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5"/>
    <sheet state="visible" name="SLG事件-Simulation" sheetId="2" r:id="rId6"/>
    <sheet state="visible" name="RPG事件-Combat" sheetId="3" r:id="rId7"/>
    <sheet state="visible" name="地圖-Map" sheetId="4" r:id="rId8"/>
    <sheet state="visible" name="野外掉落-Drops" sheetId="5" r:id="rId9"/>
    <sheet state="visible" name="武器-Weap" sheetId="6" r:id="rId10"/>
    <sheet state="visible" name="裝甲-Gears" sheetId="7" r:id="rId11"/>
    <sheet state="visible" name="道具-Items" sheetId="8" r:id="rId12"/>
    <sheet state="visible" name="料理-Dish" sheetId="9" r:id="rId13"/>
    <sheet state="visible" name="提示-Tips" sheetId="10" r:id="rId14"/>
    <sheet state="visible" name="狀態-Status" sheetId="11" r:id="rId15"/>
    <sheet state="visible" name="手機存檔-MobileArchive" sheetId="12" r:id="rId16"/>
    <sheet state="hidden" name="影音-Video" sheetId="13" r:id="rId17"/>
    <sheet state="visible" name="獨立顯卡-dGPU"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AD1">
      <text>
        <t xml:space="preserve">Human Translation</t>
      </text>
    </comment>
    <comment authorId="0" ref="J3">
      <text>
        <t xml:space="preserve">Human translation</t>
      </text>
    </comment>
    <comment authorId="0" ref="V3">
      <text>
        <t xml:space="preserve">Human Translator
</t>
      </text>
    </comment>
    <comment authorId="0" ref="AD3">
      <text>
        <t xml:space="preserve">Human Translation
</t>
      </text>
    </comment>
    <comment authorId="0" ref="AP3">
      <text>
        <t xml:space="preserve">Human translation</t>
      </text>
    </comment>
    <comment authorId="0" ref="AT3">
      <text>
        <t xml:space="preserve">Human translation</t>
      </text>
    </comment>
    <comment authorId="0" ref="AP84">
      <text>
        <t xml:space="preserve">Human Translation</t>
      </text>
    </comment>
    <comment authorId="0" ref="AP85">
      <text>
        <t xml:space="preserve">Human Translation</t>
      </text>
    </comment>
    <comment authorId="0" ref="AP86">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105">
      <text>
        <t xml:space="preserve">Human Translation</t>
      </text>
    </comment>
    <comment authorId="0" ref="AP118">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Human Translate</t>
      </text>
    </comment>
    <comment authorId="0" ref="AJ2">
      <text>
        <t xml:space="preserve">Human Translate</t>
      </text>
    </comment>
    <comment authorId="0" ref="AJ3">
      <text>
        <t xml:space="preserve">Human Translate</t>
      </text>
    </comment>
    <comment authorId="0" ref="AB4">
      <text>
        <t xml:space="preserve">Human Translator</t>
      </text>
    </comment>
    <comment authorId="0" ref="AJ4">
      <text>
        <t xml:space="preserve">Human Translate</t>
      </text>
    </comment>
    <comment authorId="0" ref="AC5">
      <text>
        <t xml:space="preserve">Human Translator
</t>
      </text>
    </comment>
    <comment authorId="0" ref="AJ5">
      <text>
        <t xml:space="preserve">Human Translate</t>
      </text>
    </comment>
    <comment authorId="0" ref="AJ6">
      <text>
        <t xml:space="preserve">Human Translate</t>
      </text>
    </comment>
    <comment authorId="0" ref="AJ7">
      <text>
        <t xml:space="preserve">Human Translate</t>
      </text>
    </comment>
    <comment authorId="0" ref="Z8">
      <text>
        <t xml:space="preserve">Human Translator</t>
      </text>
    </comment>
    <comment authorId="0" ref="AB8">
      <text>
        <t xml:space="preserve">Human Translator
</t>
      </text>
    </comment>
    <comment authorId="0" ref="AJ8">
      <text>
        <t xml:space="preserve">Human Translate</t>
      </text>
    </comment>
    <comment authorId="0" ref="Z9">
      <text>
        <t xml:space="preserve">Human Translator</t>
      </text>
    </comment>
    <comment authorId="0" ref="AJ9">
      <text>
        <t xml:space="preserve">Human Translate</t>
      </text>
    </comment>
    <comment authorId="0" ref="Z10">
      <text>
        <t xml:space="preserve">Human Translator</t>
      </text>
    </comment>
    <comment authorId="0" ref="AJ10">
      <text>
        <t xml:space="preserve">Human Translate</t>
      </text>
    </comment>
    <comment authorId="0" ref="Z11">
      <text>
        <t xml:space="preserve">Human Translator</t>
      </text>
    </comment>
    <comment authorId="0" ref="AB11">
      <text>
        <t xml:space="preserve">Human Translator</t>
      </text>
    </comment>
    <comment authorId="0" ref="AJ11">
      <text>
        <t xml:space="preserve">Human Translate</t>
      </text>
    </comment>
    <comment authorId="0" ref="AJ12">
      <text>
        <t xml:space="preserve">Human Translate</t>
      </text>
    </comment>
    <comment authorId="0" ref="Z13">
      <text>
        <t xml:space="preserve">Human Translator</t>
      </text>
    </comment>
    <comment authorId="0" ref="AC13">
      <text>
        <t xml:space="preserve">Human Translator</t>
      </text>
    </comment>
    <comment authorId="0" ref="AD13">
      <text>
        <t xml:space="preserve">Human Translator</t>
      </text>
    </comment>
    <comment authorId="0" ref="AJ13">
      <text>
        <t xml:space="preserve">Human Translate</t>
      </text>
    </comment>
    <comment authorId="0" ref="Z14">
      <text>
        <t xml:space="preserve">Human Translator</t>
      </text>
    </comment>
    <comment authorId="0" ref="AB14">
      <text>
        <t xml:space="preserve">Human Translator</t>
      </text>
    </comment>
    <comment authorId="0" ref="AJ14">
      <text>
        <t xml:space="preserve">Human Translate</t>
      </text>
    </comment>
    <comment authorId="0" ref="AB15">
      <text>
        <t xml:space="preserve">Human Translator</t>
      </text>
    </comment>
    <comment authorId="0" ref="AJ15">
      <text>
        <t xml:space="preserve">Human Translate</t>
      </text>
    </comment>
    <comment authorId="0" ref="Z16">
      <text>
        <t xml:space="preserve">Human Translator</t>
      </text>
    </comment>
    <comment authorId="0" ref="AB16">
      <text>
        <t xml:space="preserve">Human Translator</t>
      </text>
    </comment>
    <comment authorId="0" ref="AC16">
      <text>
        <t xml:space="preserve">Human Translator</t>
      </text>
    </comment>
    <comment authorId="0" ref="AJ16">
      <text>
        <t xml:space="preserve">Human Translate</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J17">
      <text>
        <t xml:space="preserve">Human Translate</t>
      </text>
    </comment>
    <comment authorId="0" ref="AC18">
      <text>
        <t xml:space="preserve">Human Translator</t>
      </text>
    </comment>
    <comment authorId="0" ref="AJ18">
      <text>
        <t xml:space="preserve">Human Translate</t>
      </text>
    </comment>
    <comment authorId="0" ref="AB19">
      <text>
        <t xml:space="preserve">Human Translator</t>
      </text>
    </comment>
    <comment authorId="0" ref="AJ19">
      <text>
        <t xml:space="preserve">Human Translate</t>
      </text>
    </comment>
    <comment authorId="0" ref="Z20">
      <text>
        <t xml:space="preserve">Human Translator</t>
      </text>
    </comment>
    <comment authorId="0" ref="AB20">
      <text>
        <t xml:space="preserve">Human Translator</t>
      </text>
    </comment>
    <comment authorId="0" ref="AC20">
      <text>
        <t xml:space="preserve">Human Translator</t>
      </text>
    </comment>
    <comment authorId="0" ref="AJ20">
      <text>
        <t xml:space="preserve">Human Translate</t>
      </text>
    </comment>
    <comment authorId="0" ref="AB21">
      <text>
        <t xml:space="preserve">Human Translator</t>
      </text>
    </comment>
    <comment authorId="0" ref="AJ21">
      <text>
        <t xml:space="preserve">Human Translate</t>
      </text>
    </comment>
    <comment authorId="0" ref="AB22">
      <text>
        <t xml:space="preserve">Human Translator</t>
      </text>
    </comment>
    <comment authorId="0" ref="AC22">
      <text>
        <t xml:space="preserve">Human Translator</t>
      </text>
    </comment>
    <comment authorId="0" ref="AJ22">
      <text>
        <t xml:space="preserve">Human Translate</t>
      </text>
    </comment>
    <comment authorId="0" ref="AJ23">
      <text>
        <t xml:space="preserve">Human Translate</t>
      </text>
    </comment>
    <comment authorId="0" ref="AB24">
      <text>
        <t xml:space="preserve">Human Translator</t>
      </text>
    </comment>
    <comment authorId="0" ref="AJ24">
      <text>
        <t xml:space="preserve">Human Translate</t>
      </text>
    </comment>
    <comment authorId="0" ref="Z25">
      <text>
        <t xml:space="preserve">Human Translator</t>
      </text>
    </comment>
    <comment authorId="0" ref="AB25">
      <text>
        <t xml:space="preserve">Human Translator</t>
      </text>
    </comment>
    <comment authorId="0" ref="AJ25">
      <text>
        <t xml:space="preserve">Human Translate</t>
      </text>
    </comment>
    <comment authorId="0" ref="Z26">
      <text>
        <t xml:space="preserve">Human Translator</t>
      </text>
    </comment>
    <comment authorId="0" ref="AJ26">
      <text>
        <t xml:space="preserve">Human Translate</t>
      </text>
    </comment>
    <comment authorId="0" ref="Z27">
      <text>
        <t xml:space="preserve">Human Translator</t>
      </text>
    </comment>
    <comment authorId="0" ref="AJ27">
      <text>
        <t xml:space="preserve">Human Translate</t>
      </text>
    </comment>
    <comment authorId="0" ref="AJ28">
      <text>
        <t xml:space="preserve">Human Translate</t>
      </text>
    </comment>
    <comment authorId="0" ref="AJ29">
      <text>
        <t xml:space="preserve">Human Translate</t>
      </text>
    </comment>
    <comment authorId="0" ref="AJ30">
      <text>
        <t xml:space="preserve">Human Translate</t>
      </text>
    </comment>
    <comment authorId="0" ref="AC31">
      <text>
        <t xml:space="preserve">Human Translator</t>
      </text>
    </comment>
    <comment authorId="0" ref="AJ31">
      <text>
        <t xml:space="preserve">Human Translate</t>
      </text>
    </comment>
    <comment authorId="0" ref="AJ32">
      <text>
        <t xml:space="preserve">Human Translate</t>
      </text>
    </comment>
    <comment authorId="0" ref="AJ33">
      <text>
        <t xml:space="preserve">Human Translate</t>
      </text>
    </comment>
    <comment authorId="0" ref="AJ34">
      <text>
        <t xml:space="preserve">Human Translate</t>
      </text>
    </comment>
    <comment authorId="0" ref="AC35">
      <text>
        <t xml:space="preserve">Human Translator</t>
      </text>
    </comment>
    <comment authorId="0" ref="AJ35">
      <text>
        <t xml:space="preserve">Human Translate</t>
      </text>
    </comment>
    <comment authorId="0" ref="Z36">
      <text>
        <t xml:space="preserve">Human Translator</t>
      </text>
    </comment>
    <comment authorId="0" ref="AJ36">
      <text>
        <t xml:space="preserve">Human Translate</t>
      </text>
    </comment>
    <comment authorId="0" ref="Z37">
      <text>
        <t xml:space="preserve">Human Translator</t>
      </text>
    </comment>
    <comment authorId="0" ref="AJ37">
      <text>
        <t xml:space="preserve">Human Translate</t>
      </text>
    </comment>
    <comment authorId="0" ref="Z38">
      <text>
        <t xml:space="preserve">Human Translator</t>
      </text>
    </comment>
    <comment authorId="0" ref="AB38">
      <text>
        <t xml:space="preserve">Human Translator</t>
      </text>
    </comment>
    <comment authorId="0" ref="AC38">
      <text>
        <t xml:space="preserve">Human Translator</t>
      </text>
    </comment>
    <comment authorId="0" ref="AJ38">
      <text>
        <t xml:space="preserve">Human Translate</t>
      </text>
    </comment>
    <comment authorId="0" ref="AB39">
      <text>
        <t xml:space="preserve">Human Translator</t>
      </text>
    </comment>
    <comment authorId="0" ref="AJ39">
      <text>
        <t xml:space="preserve">Human Translate</t>
      </text>
    </comment>
    <comment authorId="0" ref="Z40">
      <text>
        <t xml:space="preserve">Human Translator</t>
      </text>
    </comment>
    <comment authorId="0" ref="AJ40">
      <text>
        <t xml:space="preserve">Human Translate</t>
      </text>
    </comment>
    <comment authorId="0" ref="AB41">
      <text>
        <t xml:space="preserve">Human Translator</t>
      </text>
    </comment>
    <comment authorId="0" ref="AC41">
      <text>
        <t xml:space="preserve">Human Translator</t>
      </text>
    </comment>
    <comment authorId="0" ref="AD41">
      <text>
        <t xml:space="preserve">Human Translator</t>
      </text>
    </comment>
    <comment authorId="0" ref="AJ41">
      <text>
        <t xml:space="preserve">Human Translate</t>
      </text>
    </comment>
    <comment authorId="0" ref="Z42">
      <text>
        <t xml:space="preserve">Human Translator</t>
      </text>
    </comment>
    <comment authorId="0" ref="AJ42">
      <text>
        <t xml:space="preserve">Human Translate</t>
      </text>
    </comment>
    <comment authorId="0" ref="AJ43">
      <text>
        <t xml:space="preserve">Human Translate</t>
      </text>
    </comment>
    <comment authorId="0" ref="Z44">
      <text>
        <t xml:space="preserve">Human Translator</t>
      </text>
    </comment>
    <comment authorId="0" ref="AB44">
      <text>
        <t xml:space="preserve">Human Translator</t>
      </text>
    </comment>
    <comment authorId="0" ref="AJ44">
      <text>
        <t xml:space="preserve">Human Translate</t>
      </text>
    </comment>
    <comment authorId="0" ref="Z45">
      <text>
        <t xml:space="preserve">Human Translator</t>
      </text>
    </comment>
    <comment authorId="0" ref="AB45">
      <text>
        <t xml:space="preserve">Human Translator</t>
      </text>
    </comment>
    <comment authorId="0" ref="AJ45">
      <text>
        <t xml:space="preserve">Human Translate</t>
      </text>
    </comment>
    <comment authorId="0" ref="Z46">
      <text>
        <t xml:space="preserve">Human Translator</t>
      </text>
    </comment>
    <comment authorId="0" ref="AC46">
      <text>
        <t xml:space="preserve">Human Translator</t>
      </text>
    </comment>
    <comment authorId="0" ref="AJ46">
      <text>
        <t xml:space="preserve">Human Translate</t>
      </text>
    </comment>
    <comment authorId="0" ref="Z47">
      <text>
        <t xml:space="preserve">Human Translator</t>
      </text>
    </comment>
    <comment authorId="0" ref="AB47">
      <text>
        <t xml:space="preserve">Human Translator</t>
      </text>
    </comment>
    <comment authorId="0" ref="AJ47">
      <text>
        <t xml:space="preserve">Human Translate</t>
      </text>
    </comment>
    <comment authorId="0" ref="Z48">
      <text>
        <t xml:space="preserve">Human Translator</t>
      </text>
    </comment>
    <comment authorId="0" ref="AB48">
      <text>
        <t xml:space="preserve">Human Translator</t>
      </text>
    </comment>
    <comment authorId="0" ref="AC48">
      <text>
        <t xml:space="preserve">Human Translator</t>
      </text>
    </comment>
    <comment authorId="0" ref="AJ48">
      <text>
        <t xml:space="preserve">Human Translate</t>
      </text>
    </comment>
    <comment authorId="0" ref="Z49">
      <text>
        <t xml:space="preserve">Human Translator</t>
      </text>
    </comment>
    <comment authorId="0" ref="AB49">
      <text>
        <t xml:space="preserve">Human Translator</t>
      </text>
    </comment>
    <comment authorId="0" ref="AC49">
      <text>
        <t xml:space="preserve">Human Translator</t>
      </text>
    </comment>
    <comment authorId="0" ref="AJ49">
      <text>
        <t xml:space="preserve">Human Translate</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AJ50">
      <text>
        <t xml:space="preserve">Human Translate</t>
      </text>
    </comment>
    <comment authorId="0" ref="AJ51">
      <text>
        <t xml:space="preserve">Human Translate</t>
      </text>
    </comment>
    <comment authorId="0" ref="AJ52">
      <text>
        <t xml:space="preserve">Human Translate</t>
      </text>
    </comment>
    <comment authorId="0" ref="AJ53">
      <text>
        <t xml:space="preserve">Human Translate</t>
      </text>
    </comment>
    <comment authorId="0" ref="AJ54">
      <text>
        <t xml:space="preserve">Human Translate</t>
      </text>
    </comment>
    <comment authorId="0" ref="AJ55">
      <text>
        <t xml:space="preserve">Human Translate</t>
      </text>
    </comment>
    <comment authorId="0" ref="AJ56">
      <text>
        <t xml:space="preserve">Human Translate</t>
      </text>
    </comment>
    <comment authorId="0" ref="AJ57">
      <text>
        <t xml:space="preserve">Human Translate</t>
      </text>
    </comment>
    <comment authorId="0" ref="F58">
      <text>
        <t xml:space="preserve">Human Translator</t>
      </text>
    </comment>
    <comment authorId="0" ref="AJ58">
      <text>
        <t xml:space="preserve">Human Translate</t>
      </text>
    </comment>
    <comment authorId="0" ref="F59">
      <text>
        <t xml:space="preserve">Human Translator</t>
      </text>
    </comment>
    <comment authorId="0" ref="AJ59">
      <text>
        <t xml:space="preserve">Human Translate</t>
      </text>
    </comment>
    <comment authorId="0" ref="F60">
      <text>
        <t xml:space="preserve">Human Translator</t>
      </text>
    </comment>
    <comment authorId="0" ref="AJ60">
      <text>
        <t xml:space="preserve">Human Translate</t>
      </text>
    </comment>
  </commentList>
</comments>
</file>

<file path=xl/sharedStrings.xml><?xml version="1.0" encoding="utf-8"?>
<sst xmlns="http://schemas.openxmlformats.org/spreadsheetml/2006/main" count="18997" uniqueCount="14753">
  <si>
    <t>主編輯Discord:RORO#3330
主編輯信箱：gameconlch@gmail.com
日文翻譯人員：눈_눈
英文翻譯人員：Ruika
簡體中文翻譯人員：:ShigeLuna
西班牙文翻譯人員：AndyJango、maxi3002GD、samstagkaiser
德語翻譯人員：Gabriel
俄語翻譯人員：Libeti、Huntero 
韓文翻譯人員：몽블랑맛르블랑
越文翻譯人員：IntenseLag、Nian Sprout
巴西葡語翻譯人員：Hyphot
印尼語翻譯人員：Nekonin、Rafiq8K、ZERO
烏克蘭翻譯人員：Gof_de_Prush、Henk
協助資料彙整人員：南山、落染
過往協助翻譯者：maltesey、zNagato
互動地圖網站製作：Ruika
地圖Map圖檔製作:mioakatukaze</t>
  </si>
  <si>
    <t xml:space="preserve">編集長 Discord ID: RORO#3330
編集長メールアドレス: gameconlch@gmail.com
日本語翻訳担当: 눈_눈
英語翻訳担当: Ruika
簡体字中国語翻訳担当: 南山、ShigeLuna
スペイン語翻訳担当: AndyJango、maxi3002GD、samstagkaiser
ドイツ語翻訳担当: Gabriel
ロシア語翻訳担当: Libeti、Huntero
韓国語翻訳担当: 몽블랑맛르블랑
ベトナム語翻訳担当: IntenseLag、Nian Sprout
ブラジルポルトガル語翻訳担当: Hyphot
インドネシア語翻訳担当: Nekonin、Rafiq8K、ZERO
ウクライナ語翻訳者: Gof_de_Prush、Henk
データ集計協力: 南山、落染
過去の翻訳者: maltsey、zNagato
インタラクティブマップウェブサイト作成: Ruika
マップファイル作成: mioakatukaze
</t>
  </si>
  <si>
    <t>Chief Editor Discord: RORO#3330
Chief Editor Email: gameconlch@gmail.com
Japanese Translator: 눈_눈
English Translator: Ruika
Simplified Chinese Translator: 南山, ShigeLuna
Spanish Translator: AndyJango, maxi3002GD, samstagkaiser
German Translator: Gabriel
Russian Translator: Libeti, Huntero
Korean Translator: 몽블랑맛르블랑
Vietnamese Translator: IntenseLag, Nian Sprout
Brazilian Portuguese Translator: Hyphot
Indonesian Translator: Nekonin, Rafiq8K, ZERO
Ukrainian translators: Gof_de_Prush, Henk
Data Compilation Assistance: 南山, 落染
Past Translators: maltsey, zNagato
Interactive Map Website Creation: Ruika
Map File Creation: mioakatukaze</t>
  </si>
  <si>
    <t>Discord головного редактора: RORO#3330
Електронна пошта головного редактора: gameconlch@gmail.com
Перекладач з японської: 눈_눈
Перекладач з англійської: Ruika
Перекладач зі спрощенної китайскої: ShigeLuna
Перекладачі з іспанської: AndyJango, maxi3002GD, samstagkaiser
Перекладач з німецької: Gabriel
Перекладачі з російської: Libeti, Huntero
Перекладачі з корейської: 몽블랑맛르블랑
Перекладачі з в'етнамської: IntenseLag, Nian Sprout
Перекладач с бразильского португальскої: Hyphot
Перекладачі з індонезійської: Nekonin, Rafiq8K, ZERO
Перекладачі за уркаїнської: Gof_de_Prush, Henk
Помічник у складанні даних: 南山, 落染
Попередні перекладачі: maltsey, zNagato
Створення інтерактивного веб-сайту з картою: Ruika
Створення файлу з картою: mioakatukaze</t>
  </si>
  <si>
    <t>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ShigeLuna
Переводчики с испанского: AndyJango, maxi3002GD, samstagkaiser
Переводчик с немецкого: Gabriel
Переводчики с русского: Libeti, Huntero
Переводчики с корейского: 몽블랑맛르블랑
Переводчики с вьетнамского: IntenseLag, Nian Sprout
Переводчик с бразильского португальского: Hyphot
Переводчики с индонезийского: Nekonin, Rafiq8K, ZERO
Переводчики с украинского: Gof_de_Prush, Henk
Помощник в составлении данных: Nanshan, Luoran
Предыдущие переводчики: maltsey, zNagato
Создание интерактивного веб-сайта с картой: Ruika
Создание файла с картой: mioakatukaze</t>
  </si>
  <si>
    <r>
      <rPr>
        <rFont val="Arial"/>
        <b/>
        <color theme="1"/>
        <sz val="12.0"/>
      </rPr>
      <t>Discord của Tổng Biên Tập:</t>
    </r>
    <r>
      <rPr>
        <rFont val="Arial"/>
        <color theme="1"/>
        <sz val="12.0"/>
      </rPr>
      <t xml:space="preserve"> RORO#3330
</t>
    </r>
    <r>
      <rPr>
        <rFont val="Arial"/>
        <b/>
        <color theme="1"/>
        <sz val="12.0"/>
      </rPr>
      <t>Email liên hệ</t>
    </r>
    <r>
      <rPr>
        <rFont val="Arial"/>
        <color theme="1"/>
        <sz val="12.0"/>
      </rPr>
      <t xml:space="preserve">: gameconlch@gmail.com
</t>
    </r>
    <r>
      <rPr>
        <rFont val="Arial"/>
        <b/>
        <color theme="1"/>
        <sz val="12.0"/>
      </rPr>
      <t>Người dịch tiếng Nhật:</t>
    </r>
    <r>
      <rPr>
        <rFont val="Arial"/>
        <color theme="1"/>
        <sz val="12.0"/>
      </rPr>
      <t xml:space="preserve"> 눈_눈
</t>
    </r>
    <r>
      <rPr>
        <rFont val="Arial"/>
        <b/>
        <color theme="1"/>
        <sz val="12.0"/>
      </rPr>
      <t>Người dịch tiếng Anh:</t>
    </r>
    <r>
      <rPr>
        <rFont val="Arial"/>
        <color theme="1"/>
        <sz val="12.0"/>
      </rPr>
      <t xml:space="preserve"> Ruika
</t>
    </r>
    <r>
      <rPr>
        <rFont val="Arial"/>
        <b/>
        <color theme="1"/>
        <sz val="12.0"/>
      </rPr>
      <t>Người dịch tiếng Trung Giản Thể:</t>
    </r>
    <r>
      <rPr>
        <rFont val="Arial"/>
        <color theme="1"/>
        <sz val="12.0"/>
      </rPr>
      <t xml:space="preserve"> 南山, ShigeLuna
</t>
    </r>
    <r>
      <rPr>
        <rFont val="Arial"/>
        <b/>
        <color theme="1"/>
        <sz val="12.0"/>
      </rPr>
      <t>Người dịch tiếng Tây Ban Nha:</t>
    </r>
    <r>
      <rPr>
        <rFont val="Arial"/>
        <color theme="1"/>
        <sz val="12.0"/>
      </rPr>
      <t xml:space="preserve"> AndyJango, maxi3002GD, samstagkaiser
</t>
    </r>
    <r>
      <rPr>
        <rFont val="Arial"/>
        <b/>
        <color theme="1"/>
        <sz val="12.0"/>
      </rPr>
      <t>Người dịch tiếng Đức:</t>
    </r>
    <r>
      <rPr>
        <rFont val="Arial"/>
        <color theme="1"/>
        <sz val="12.0"/>
      </rPr>
      <t xml:space="preserve"> Gabriel
</t>
    </r>
    <r>
      <rPr>
        <rFont val="Arial"/>
        <b/>
        <color theme="1"/>
        <sz val="12.0"/>
      </rPr>
      <t>Người dịch tiếng Nga:</t>
    </r>
    <r>
      <rPr>
        <rFont val="Arial"/>
        <color theme="1"/>
        <sz val="12.0"/>
      </rPr>
      <t xml:space="preserve"> Libeti, Huntero 
</t>
    </r>
    <r>
      <rPr>
        <rFont val="Arial"/>
        <b/>
        <color theme="1"/>
        <sz val="12.0"/>
      </rPr>
      <t>Người dịch tiếng Hàn:</t>
    </r>
    <r>
      <rPr>
        <rFont val="Arial"/>
        <color theme="1"/>
        <sz val="12.0"/>
      </rPr>
      <t xml:space="preserve"> 몽블랑맛르블랑
</t>
    </r>
    <r>
      <rPr>
        <rFont val="Arial"/>
        <b/>
        <color theme="1"/>
        <sz val="12.0"/>
      </rPr>
      <t>Người dịch tiếng Việt:</t>
    </r>
    <r>
      <rPr>
        <rFont val="Arial"/>
        <color theme="1"/>
        <sz val="12.0"/>
      </rPr>
      <t xml:space="preserve"> IntenseLag, Nian Sprout
</t>
    </r>
    <r>
      <rPr>
        <rFont val="Arial"/>
        <b/>
        <color theme="1"/>
        <sz val="12.0"/>
      </rPr>
      <t>Người dịch tiếng Bồ Đào Nha Brazil:</t>
    </r>
    <r>
      <rPr>
        <rFont val="Arial"/>
        <color theme="1"/>
        <sz val="12.0"/>
      </rPr>
      <t xml:space="preserve"> Hyphot
</t>
    </r>
    <r>
      <rPr>
        <rFont val="Arial"/>
        <b/>
        <color theme="1"/>
        <sz val="12.0"/>
      </rPr>
      <t>Người dịch tiếng Indonesia:</t>
    </r>
    <r>
      <rPr>
        <rFont val="Arial"/>
        <color theme="1"/>
        <sz val="12.0"/>
      </rPr>
      <t xml:space="preserve"> Nekonin, Rafiq8K, ZERO
</t>
    </r>
    <r>
      <rPr>
        <rFont val="Arial"/>
        <b/>
        <color theme="1"/>
        <sz val="12.0"/>
      </rPr>
      <t>Hỗ trợ biên soạn dữ liệu:</t>
    </r>
    <r>
      <rPr>
        <rFont val="Arial"/>
        <color theme="1"/>
        <sz val="12.0"/>
      </rPr>
      <t xml:space="preserve"> 南山、落染
</t>
    </r>
    <r>
      <rPr>
        <rFont val="Arial"/>
        <b/>
        <color theme="1"/>
        <sz val="12.0"/>
      </rPr>
      <t>Các phiên dịch viên trước đây:</t>
    </r>
    <r>
      <rPr>
        <rFont val="Arial"/>
        <color theme="1"/>
        <sz val="12.0"/>
      </rPr>
      <t xml:space="preserve"> maltesey、zNagato
</t>
    </r>
    <r>
      <rPr>
        <rFont val="Arial"/>
        <b/>
        <color theme="1"/>
        <sz val="12.0"/>
      </rPr>
      <t>Tạo website bản đồ tương tác:</t>
    </r>
    <r>
      <rPr>
        <rFont val="Arial"/>
        <color theme="1"/>
        <sz val="12.0"/>
      </rPr>
      <t xml:space="preserve"> Ruika
</t>
    </r>
    <r>
      <rPr>
        <rFont val="Arial"/>
        <b/>
        <color theme="1"/>
        <sz val="12.0"/>
      </rPr>
      <t>Tạo file bản đồ:</t>
    </r>
    <r>
      <rPr>
        <rFont val="Arial"/>
        <color theme="1"/>
        <sz val="12.0"/>
      </rPr>
      <t xml:space="preserve"> mioakatukaze</t>
    </r>
  </si>
  <si>
    <t>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Huntero 
Tradutor de Coreano: 몽블랑맛르블랑 
Tradutor de Vietnamita: IntenseLag, Nian Sprout 
Tradutor de Português Brasileiro: Hyphot 
Tradutor de Indonésio: Nekonin, Rafiq8K, ZERO 
Tradutor de ucranianos: Gof_de_Prush, Henk
Assistência na Compilação de Dados: 南山, 落染 
Tradutores Anteriores: maltsey, zNagato 
Criação do Site do Mapa Interativo: Ruika 
Criação do arquivo de mapa: mioakatukaze</t>
  </si>
  <si>
    <r>
      <rPr>
        <rFont val="Microsoft JhengHei"/>
        <b/>
        <color rgb="FF000000"/>
        <sz val="13.0"/>
      </rPr>
      <t>1.</t>
    </r>
    <r>
      <rPr>
        <rFont val="Microsoft JhengHei"/>
        <b/>
        <color rgb="FFFF0000"/>
        <sz val="13.0"/>
      </rPr>
      <t>部分平台</t>
    </r>
    <r>
      <rPr>
        <rFont val="Microsoft JhengHei"/>
        <b/>
        <color rgb="FF000000"/>
        <sz val="13.0"/>
      </rPr>
      <t>依照平台規範</t>
    </r>
    <r>
      <rPr>
        <rFont val="Microsoft JhengHei"/>
        <b/>
        <color rgb="FFFF0000"/>
        <sz val="13.0"/>
      </rPr>
      <t>，</t>
    </r>
    <r>
      <rPr>
        <rFont val="Microsoft JhengHei"/>
        <b/>
        <color rgb="FF000000"/>
        <sz val="13.0"/>
      </rPr>
      <t>會對於遊戲有不同的</t>
    </r>
    <r>
      <rPr>
        <rFont val="Microsoft JhengHei"/>
        <b/>
        <color rgb="FFFF0000"/>
        <sz val="13.0"/>
      </rPr>
      <t>審查版本</t>
    </r>
    <r>
      <rPr>
        <rFont val="Microsoft JhengHei"/>
        <b/>
        <color rgb="FF000000"/>
        <sz val="13.0"/>
      </rPr>
      <t>，</t>
    </r>
    <r>
      <rPr>
        <rFont val="Microsoft JhengHei"/>
        <b/>
        <color rgb="FFFF0000"/>
        <sz val="13.0"/>
      </rPr>
      <t>預計不會有補釘</t>
    </r>
    <r>
      <rPr>
        <rFont val="Microsoft JhengHei"/>
        <b/>
        <color rgb="FF000000"/>
        <sz val="13.0"/>
      </rPr>
      <t>，請在</t>
    </r>
    <r>
      <rPr>
        <rFont val="Microsoft JhengHei"/>
        <b/>
        <color rgb="FFFF0000"/>
        <sz val="13.0"/>
      </rPr>
      <t>購買前</t>
    </r>
    <r>
      <rPr>
        <rFont val="Microsoft JhengHei"/>
        <b/>
        <color rgb="FF000000"/>
        <sz val="13.0"/>
      </rPr>
      <t>確定好!
2.</t>
    </r>
    <r>
      <rPr>
        <rFont val="Microsoft JhengHei"/>
        <b/>
        <color rgb="FFFF0000"/>
        <sz val="13.0"/>
      </rPr>
      <t>遊戲目前仍在開發中，可能會遇到部分尚未完成的場景，</t>
    </r>
    <r>
      <rPr>
        <rFont val="Microsoft JhengHei"/>
        <b/>
        <color rgb="FF000000"/>
        <sz val="13.0"/>
      </rPr>
      <t>關於版號的描述都在下方的說明中</t>
    </r>
    <r>
      <rPr>
        <rFont val="Microsoft JhengHei"/>
        <b/>
        <color rgb="FFFF0000"/>
        <sz val="13.0"/>
      </rPr>
      <t>。</t>
    </r>
  </si>
  <si>
    <t>1. プラットフォームによっては、プラットフォームの規定によりゲームのバージョンが異なる場合があります。パッチの配信は予定されていませんので、ご購入前にご確認ください。
2. 本ゲームは現在も開発中のため、一部未完成のシーンが含まれている場合がございます。バージョン番号に関する情報は下記をご覧ください。</t>
  </si>
  <si>
    <r>
      <rPr>
        <rFont val="Microsoft JhengHei"/>
        <b/>
        <color rgb="FF000000"/>
        <sz val="10.0"/>
      </rPr>
      <t>1.</t>
    </r>
    <r>
      <rPr>
        <rFont val="Microsoft JhengHei"/>
        <b/>
        <color rgb="FFFF0000"/>
        <sz val="10.0"/>
      </rPr>
      <t xml:space="preserve"> Some platforms may have different versions of the game based on their platform guidelines. This means some of them may not necessarily require patches, but some of them might require one. Please confirm first before purchasing on the platform you have chosen!
</t>
    </r>
    <r>
      <rPr>
        <rFont val="Microsoft JhengHei"/>
        <b/>
        <color rgb="FF000000"/>
        <sz val="10.0"/>
      </rPr>
      <t xml:space="preserve">2. </t>
    </r>
    <r>
      <rPr>
        <rFont val="Microsoft JhengHei"/>
        <b/>
        <color rgb="FFFF0000"/>
        <sz val="10.0"/>
      </rPr>
      <t>Version 1.0 does not automatically mean that the game is RELEASED. It only indicates that the development has been going on for a long time. Please refer to the versioning info below</t>
    </r>
  </si>
  <si>
    <t>1.部分平台依照平台规范，会对于游戏有不同的审查版本，预计不会有补钉，请在购买前确定好!
2.游戏目前还在开发中，有可能会遇到部分未完成场景，关于版号的描述都在下方的说明中。</t>
  </si>
  <si>
    <t>1. Деякі платформи можуть мати різні версії гри відповідно до їхніх правил платформи. Це означає, що деякі з них можуть не обов'язково потребувати патчів, але деякі можуть їх вимагати. Будь ласка, спочатку перевірте це перед покупкою на обраній вами платформі!
2. Версія 1.0 не означає автоматично, що гра ВИПУЩЕНА. Це лише вказує на те, що розробка триває вже давно. Будь ласка, зверніться до інформації про версії нижче.</t>
  </si>
  <si>
    <r>
      <rPr>
        <rFont val="Microsoft JhengHei"/>
        <b/>
        <color rgb="FF000000"/>
        <sz val="10.0"/>
      </rPr>
      <t>1.</t>
    </r>
    <r>
      <rPr>
        <rFont val="Microsoft JhengHei"/>
        <b/>
        <color rgb="FFFF0000"/>
        <sz val="10.0"/>
      </rPr>
      <t xml:space="preserve"> На некоторых платформах могут быть установлены разные версии игры в зависимости от требований к их платформам. Это означает, что для некоторых из них могут не требоваться патчи, но для некоторых из них они могут потребоваться. Пожалуйста, подтвердите это перед покупкой на выбранной вами платформе!
</t>
    </r>
    <r>
      <rPr>
        <rFont val="Microsoft JhengHei"/>
        <b/>
        <color rgb="FF000000"/>
        <sz val="10.0"/>
      </rPr>
      <t>2.</t>
    </r>
    <r>
      <rPr>
        <rFont val="Microsoft JhengHei"/>
        <b/>
        <color rgb="FFFF0000"/>
        <sz val="10.0"/>
      </rPr>
      <t xml:space="preserve"> Версия 1.0 не означает, что игра официально завершена. Это означает только, что разработка ведется уже долгое время. Пожалуйста, ознакомьтесь с информацией о версиях ниже</t>
    </r>
  </si>
  <si>
    <r>
      <rPr>
        <rFont val="Arial"/>
        <b/>
        <color rgb="FF000000"/>
        <sz val="10.0"/>
      </rPr>
      <t>1.</t>
    </r>
    <r>
      <rPr>
        <rFont val="Arial"/>
        <b/>
        <color rgb="FFFF0000"/>
        <sz val="10.0"/>
      </rPr>
      <t xml:space="preserve"> Một số nền tảng có thể có các phiên bản trò chơi khác nhau tùy thuộc vào chính sách của nền tảng đó. ĐIều này có nghĩa một số nền tẳng có thể không cần bản vá, nhưng một số lại có thể. Vui lòng xác nhận trước khi mua trên nền tảng bạn chọn!
</t>
    </r>
    <r>
      <rPr>
        <rFont val="Arial"/>
        <b/>
        <color rgb="FF000000"/>
        <sz val="10.0"/>
      </rPr>
      <t xml:space="preserve">2. </t>
    </r>
    <r>
      <rPr>
        <rFont val="Arial"/>
        <b/>
        <color rgb="FFFF0000"/>
        <sz val="10.0"/>
      </rPr>
      <t>Phiên bản 1.0 không đồng nghĩa với việc trò chơi đã được phát hành. Nó chỉ có nghĩa là trò chơi đã được phát triển một thời gian dài. Hãy xem cách đánh số phiên bản bên dưới</t>
    </r>
  </si>
  <si>
    <r>
      <rPr>
        <rFont val="Microsoft JhengHei"/>
        <b/>
        <color theme="1"/>
        <sz val="10.0"/>
      </rPr>
      <t xml:space="preserve">1. </t>
    </r>
    <r>
      <rPr>
        <rFont val="Microsoft JhengHei"/>
        <b/>
        <color rgb="FFFF0000"/>
        <sz val="10.0"/>
      </rPr>
      <t>Algumas plataformas podem ter versões diferentes do jogo, dependendo das diretrizes de cada plataforma. Isso significa que algumas podem não precisar de atualizações, enquanto outras podem precisar. Confirme antes de comprar na plataforma escolhida!</t>
    </r>
    <r>
      <rPr>
        <rFont val="Microsoft JhengHei"/>
        <b/>
        <color theme="1"/>
        <sz val="10.0"/>
      </rPr>
      <t xml:space="preserve">
2. </t>
    </r>
    <r>
      <rPr>
        <rFont val="Microsoft JhengHei"/>
        <b/>
        <color rgb="FFFF0000"/>
        <sz val="10.0"/>
      </rPr>
      <t>A versão 1.0 não significa automaticamente que o jogo foi LANÇADO. Ela apenas indica que o desenvolvimento está em andamento há bastante tempo. Consulte as informações de versão abaixo.</t>
    </r>
  </si>
  <si>
    <r>
      <rPr>
        <rFont val="Microsoft JhengHei"/>
        <b/>
        <color rgb="FF000000"/>
        <sz val="9.0"/>
      </rPr>
      <t>1.</t>
    </r>
    <r>
      <rPr>
        <rFont val="Microsoft JhengHei"/>
        <b/>
        <color rgb="FFFF0000"/>
        <sz val="9.0"/>
      </rPr>
      <t xml:space="preserve"> Beberapa platform (Itch, Steam, Patreon) mungkin memiliki versi game yang berbeda berdasarkan panduan platform mereka. Beberapa di antaranya mungkin tidak memerlukan patch, tetapi beberapa lainnya mungkin memerlukannya. Harap konfirmasi terlebih dahulu sebelum membeli di platform yang Anda pilih!
</t>
    </r>
    <r>
      <rPr>
        <rFont val="Microsoft JhengHei"/>
        <b/>
        <color rgb="FF000000"/>
        <sz val="9.0"/>
      </rPr>
      <t xml:space="preserve">2. </t>
    </r>
    <r>
      <rPr>
        <rFont val="Microsoft JhengHei"/>
        <b/>
        <color rgb="FFFF0000"/>
        <sz val="9.0"/>
      </rPr>
      <t>Versi 1.0 bukan berarti game tersebut TELAH DIRILIS. Ini hanya menunjukkan bahwa pengembangan telah berlangsung dalam waktu yang lama. Silakan lihat informasi versi di bawah ini.</t>
    </r>
  </si>
  <si>
    <t>1.1.0版本尚未發布，請等待官方更新。</t>
  </si>
  <si>
    <t>バージョン1.1.0はまだリリースされていません。公式のアップデートをお待ちください</t>
  </si>
  <si>
    <t>Version 1.10 has not yet been released. Please wait for the official announcement.</t>
  </si>
  <si>
    <t>Версія 1.10 (1.1.0) ще не випущена. Будь ласка, дочекайтеся офіційного анонсу.</t>
  </si>
  <si>
    <t>Версия 1.10 (1.1.0) ещё не выпущена. Пожалуйста, дождитесь официального анонса.</t>
  </si>
  <si>
    <t>Phiên bản 1.1.0 vẫn chưa được phát hành, vui lòng chờ bản cập nhật chính thức.</t>
  </si>
  <si>
    <t>A versão 1.10 ainda não foi lançada. Aguarde o anúncio oficial.</t>
  </si>
  <si>
    <t>Versi 1.10 belum dirilis. Mohon menunggu pengumuman resmi.</t>
  </si>
  <si>
    <r>
      <rPr>
        <rFont val="Microsoft JhengHei"/>
        <b/>
        <color rgb="FF000000"/>
        <sz val="12.0"/>
      </rPr>
      <t xml:space="preserve">官方伺服器攻略網址(無限制網域版本)：
</t>
    </r>
    <r>
      <rPr>
        <rFont val="Microsoft JhengHei"/>
        <b/>
        <color rgb="FF1155CC"/>
        <sz val="12.0"/>
        <u/>
      </rPr>
      <t>https://guide.nlch.io/</t>
    </r>
  </si>
  <si>
    <r>
      <rPr>
        <rFont val="Microsoft JhengHei"/>
        <b/>
        <sz val="11.0"/>
      </rPr>
      <t xml:space="preserve">Official server guide website (can be accessed anywhere): </t>
    </r>
    <r>
      <rPr>
        <rFont val="Microsoft JhengHei"/>
        <b/>
        <color rgb="FF1155CC"/>
        <sz val="11.0"/>
        <u/>
      </rPr>
      <t>https://guide.nlch.io/</t>
    </r>
  </si>
  <si>
    <r>
      <rPr>
        <rFont val="Microsoft JhengHei"/>
        <b/>
        <sz val="11.0"/>
      </rPr>
      <t xml:space="preserve">Офіційний веб-сайт з керівництвом (доступний в будь-який момент): </t>
    </r>
    <r>
      <rPr>
        <rFont val="Microsoft JhengHei"/>
        <b/>
        <color rgb="FF1155CC"/>
        <sz val="11.0"/>
        <u/>
      </rPr>
      <t>https://guide.nlch.io/</t>
    </r>
  </si>
  <si>
    <r>
      <rPr>
        <rFont val="Microsoft JhengHei"/>
        <b/>
        <sz val="11.0"/>
      </rPr>
      <t xml:space="preserve">Официальный веб-сайт с руководством (доступен в любой момент): </t>
    </r>
    <r>
      <rPr>
        <rFont val="Microsoft JhengHei"/>
        <b/>
        <color rgb="FF1155CC"/>
        <sz val="11.0"/>
        <u/>
      </rPr>
      <t>https://guide.nlch.io/</t>
    </r>
  </si>
  <si>
    <r>
      <rPr>
        <b/>
        <sz val="11.0"/>
      </rPr>
      <t xml:space="preserve">Trang web hướng dẫn máy chủ chính thức (phiên bản không giới hạn tên miền): </t>
    </r>
    <r>
      <rPr>
        <b/>
        <color rgb="FF1155CC"/>
        <sz val="11.0"/>
        <u/>
      </rPr>
      <t>https://guide.nlch.io/</t>
    </r>
  </si>
  <si>
    <r>
      <rPr>
        <rFont val="Microsoft JhengHei"/>
        <b/>
        <sz val="11.0"/>
      </rPr>
      <t xml:space="preserve">Site oficial do guia do servidor (acessível em qualquer lugar): </t>
    </r>
    <r>
      <rPr>
        <rFont val="Microsoft JhengHei"/>
        <b/>
        <color rgb="FF1155CC"/>
        <sz val="11.0"/>
        <u/>
      </rPr>
      <t>https://guide.nlch.io/</t>
    </r>
  </si>
  <si>
    <r>
      <rPr>
        <rFont val="Microsoft JhengHei"/>
        <b/>
        <sz val="11.0"/>
      </rPr>
      <t xml:space="preserve">Panduan resmi website (dapat diakses dimanapun): </t>
    </r>
    <r>
      <rPr>
        <rFont val="Microsoft JhengHei"/>
        <b/>
        <color rgb="FF1155CC"/>
        <sz val="11.0"/>
        <u/>
      </rPr>
      <t>https://guide.nlch.io/</t>
    </r>
  </si>
  <si>
    <r>
      <rPr>
        <rFont val="Microsoft JhengHei"/>
        <b/>
        <color rgb="FF000000"/>
        <sz val="12.0"/>
      </rPr>
      <t xml:space="preserve">googole攻略文件發佈版連結(無限制閱讀人數版本):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</si>
  <si>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</si>
  <si>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</si>
  <si>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
限制网址连结: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</si>
  <si>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</si>
  <si>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 웹사이트 링크: </t>
    </r>
    <r>
      <rPr>
        <rFont val="Microsoft JhengHei"/>
        <color rgb="FF1155CC"/>
        <sz val="11.0"/>
        <u/>
      </rPr>
      <t>https://docs.google.com/spreadsheets/d/e/2PACX-1vSc9bl2zSdkbhz_EeRndV7lSRBVSBtMRUk_rY0O1FQWWw4W0XVm9_ja__2ClO2BMfCJrN-YnlMAd-OL/pubhtml</t>
    </r>
  </si>
  <si>
    <r>
      <rPr>
        <rFont val="Microsoft JhengHei"/>
        <b/>
        <color rgb="FF000000"/>
        <sz val="11.0"/>
      </rPr>
      <t xml:space="preserve">В цьому документі вказана адреса веб-сайту керівництва зі стратегій. Читачам рекомендується використовувати нову адресу, щоб уникнути обмежень за кількістю читачів (автоматичний переклад буде доступний пізніше). Посилання на веб-сайт: </t>
    </r>
    <r>
      <rPr>
        <rFont val="Microsoft JhengHei"/>
        <b/>
        <sz val="11.0"/>
      </rPr>
      <t xml:space="preserve">
</t>
    </r>
    <r>
      <rPr>
        <rFont val="Microsoft JhengHei"/>
        <b/>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</si>
  <si>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</si>
  <si>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 Weblink: </t>
    </r>
    <r>
      <rPr>
        <rFont val="Microsoft JhengHei"/>
        <b/>
        <color rgb="FF1155CC"/>
        <sz val="11.0"/>
        <u/>
      </rPr>
      <t>https://docs.google.com/spreadsheets/d/e/2PACX-1vSc9bl2zSdkbhz_EeRndV7lSRBVSBtMRUk_rY0O1FQWWw4W0XVm9_ja__2ClO2BMfCJrN-YnlMAd-OL/pubhtml</t>
    </r>
  </si>
  <si>
    <r>
      <rPr>
        <b/>
        <sz val="11.0"/>
      </rPr>
      <t xml:space="preserve">Link tải bản phát hành hướng dẫn chiến lược của Google (phiên bản không giới hạn người đọc)
</t>
    </r>
    <r>
      <rPr>
        <b/>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</si>
  <si>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</si>
  <si>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Tautan situs web: </t>
    </r>
    <r>
      <rPr>
        <rFont val="Microsoft JhengHei"/>
        <b/>
        <color rgb="FF1155CC"/>
        <sz val="11.0"/>
        <u/>
      </rPr>
      <t>https://docs.google.com/spreadsheets/d/e/2PACX-1vSc9bl2zSdkbhz_EeRndV7lSRBVSBtMRUk_rY0O1FQWWw4W0XVm9_ja__2ClO2BMfCJrN-YnlMAd-OL/pubhtml</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</si>
  <si>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3.IOS版本，官方暫時不考慮製作。
4.本文件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</si>
  <si>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IOS版については、現時点では公式に開発を検討していません。
4.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</si>
  <si>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 xml:space="preserve">
3. An iOS version is NOT being considered by the development team.
4.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</si>
  <si>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3.IOS版本，官方暂时不考虑制作。 
4.本文件不用申请权限，所有人都可以在最下方的分页标签中，直接点选查看。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</si>
  <si>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iOS 버전은 현재 공식 개발팀에서 고려하고 있지 않습니다. 
4. 본 문서는 허가 없이 사용 가능합니다. 누구나 하단의 탭을 통해 바로 볼 수 있습니다.</t>
  </si>
  <si>
    <r>
      <rPr>
        <rFont val="Microsoft JhengHei"/>
        <b/>
        <color theme="1"/>
        <sz val="10.0"/>
      </rPr>
      <t xml:space="preserve">※※※
1. Зображення, які ви бачите в рекламних матеріалах, трейлерах, блогах розробників, уже реалізованих елементах і т. д., </t>
    </r>
    <r>
      <rPr>
        <rFont val="Microsoft JhengHei"/>
        <b/>
        <color theme="1"/>
        <sz val="10.0"/>
        <u/>
      </rPr>
      <t>не гарантують їх повну реалізацію в грі</t>
    </r>
    <r>
      <rPr>
        <rFont val="Microsoft JhengHei"/>
        <b/>
        <color theme="1"/>
        <sz val="10.0"/>
      </rPr>
      <t xml:space="preserve">. Пам'ятайте, що гра все ще знаходиться в стадії розробки, це не фінальний продукт. 
Тому, БУДЬ ЛАСКА, НЕ ПИТАЙТЕ, як зробити те, що неможливо або очевидно, тому що цього ще немає в грі. Вам просто будуть постійно говорити: «Це ще не реалізовано».
2. Нещодавно </t>
    </r>
    <r>
      <rPr>
        <rFont val="Microsoft JhengHei"/>
        <b/>
        <color rgb="FFFF0000"/>
        <sz val="10.0"/>
        <u/>
      </rPr>
      <t>деякі безсоромні пірати скачали та об'єднали всі матеріали цього керівництва та виставили це на продаж</t>
    </r>
    <r>
      <rPr>
        <rFont val="Microsoft JhengHei"/>
        <b/>
        <color theme="1"/>
        <sz val="10.0"/>
      </rPr>
      <t xml:space="preserve">. Це серйозне порушення авторських прав. Вільний доступ до перегляду цього документа не означає, що ви можете його піратити і заробляти на ньому гроші. Якщо вам потрібен дозвіл, просто зв'яжіться з нами, щоб отримати права на поширення... це не так вже й складно! Пірати повинні поважати це та знати, що розробники мають право подати до суду. 
</t>
    </r>
    <r>
      <rPr>
        <rFont val="Microsoft JhengHei"/>
        <b/>
        <color rgb="FFFF0000"/>
        <sz val="10.0"/>
      </rPr>
      <t>Будь ласка, майте на увазі, що цей документ-посібник доступний для перегляду безкоштовно, і якщо вас попросили за нього заплатити, значить вас обдурили.</t>
    </r>
    <r>
      <rPr>
        <rFont val="Microsoft JhengHei"/>
        <b/>
        <color theme="1"/>
        <sz val="10.0"/>
      </rPr>
      <t xml:space="preserve">
3. Розробка версії для iOS не планується.
4. Для перегляду цього документа-посібника </t>
    </r>
    <r>
      <rPr>
        <rFont val="Microsoft JhengHei"/>
        <b/>
        <color rgb="FFFF0000"/>
        <sz val="10.0"/>
        <u/>
      </rPr>
      <t>не потрібен дозвіл</t>
    </r>
    <r>
      <rPr>
        <rFont val="Microsoft JhengHei"/>
        <b/>
        <color theme="1"/>
        <sz val="10.0"/>
      </rPr>
      <t>. Доступ до нього має будь-хто. Будь ласка, скористайтесь вкладками нижче.</t>
    </r>
  </si>
  <si>
    <r>
      <rPr>
        <rFont val="Microsoft JhengHei"/>
        <b/>
        <color theme="1"/>
        <sz val="10.0"/>
      </rPr>
      <t xml:space="preserve">※※※
1. Изображения, которые вы видите в рекламных материалах, трейлерах, блогах разработчиков, уже реализованных элементах и ​​т. д., </t>
    </r>
    <r>
      <rPr>
        <rFont val="Microsoft JhengHei"/>
        <b/>
        <color theme="1"/>
        <sz val="10.0"/>
        <u/>
      </rPr>
      <t>не гарантируют их полной реализации в игре</t>
    </r>
    <r>
      <rPr>
        <rFont val="Microsoft JhengHei"/>
        <b/>
        <color theme="1"/>
        <sz val="10.0"/>
      </rPr>
      <t xml:space="preserve">. Помните, что игра всё ещё находится на стадии разработки, это не финальный продукт. 
Поэтому, ПОЖАЛУЙСТА, НЕ СПРАШИВАЙТЕ, как сделать то, что невозможно или очевидно, потому что этого ещё нет в игре. Вам просто будут постоянно говорить: «Это ещё не реализовано». 
2. Недавно, </t>
    </r>
    <r>
      <rPr>
        <rFont val="Microsoft JhengHei"/>
        <b/>
        <color rgb="FFFF0000"/>
        <sz val="10.0"/>
        <u/>
      </rPr>
      <t>некоторые бесстыжие пираты скачали и объединили все материалы этого руководства и выставили это на продажу</t>
    </r>
    <r>
      <rPr>
        <rFont val="Microsoft JhengHei"/>
        <b/>
        <color theme="1"/>
        <sz val="10.0"/>
      </rPr>
      <t xml:space="preserve">. Это серьёзное нарушение авторских прав. Свободный доступ к просмотру этого документа не означает, что вы также можете его пиратить и зарабатывать на нём деньги. Если вам требуется разрешение, просто свяжитесь с нами, чтобы получить права на распространение... это не так уж сложно! Пираты должны уважать это и знать, что разработчики имеют право подать в суд. 
</t>
    </r>
    <r>
      <rPr>
        <rFont val="Microsoft JhengHei"/>
        <b/>
        <color rgb="FFFF0000"/>
        <sz val="10.0"/>
      </rPr>
      <t xml:space="preserve">Пожалуйста, имейте в виду, что этот документ-руководство доступен для просмотра бесплатно, и если вас попросили за него заплатить, значит, вас обманули. </t>
    </r>
    <r>
      <rPr>
        <rFont val="Microsoft JhengHei"/>
        <b/>
        <color theme="1"/>
        <sz val="10.0"/>
      </rPr>
      <t xml:space="preserve">
3. Разработка версии для iOS не планируется. 
4. Для просмотра этого документа-руководства </t>
    </r>
    <r>
      <rPr>
        <rFont val="Microsoft JhengHei"/>
        <b/>
        <color rgb="FFFF0000"/>
        <sz val="10.0"/>
        <u/>
      </rPr>
      <t>не требуется разрешение</t>
    </r>
    <r>
      <rPr>
        <rFont val="Microsoft JhengHei"/>
        <b/>
        <color theme="1"/>
        <sz val="10.0"/>
      </rPr>
      <t>. Доступ к нему имеет любой желающий. Пожалуйста, воспользуйтесь вкладками ниже.</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</si>
  <si>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Eine iOS-Version wird vom Entwicklerteam NICHT in Betracht gezogen.
4. Für dieses Guide-Dokument sind keine Erlaubnisse erforderlich. Jeder kann es einsehen, bitte nutze die unten befindlichen Tabs, um darauf zuzugreifen.</t>
  </si>
  <si>
    <r>
      <rPr>
        <rFont val="Arial"/>
        <b/>
        <color theme="1"/>
        <sz val="11.0"/>
      </rPr>
      <t xml:space="preserve">***
1. Hình ảnh bạn thấy trong các quảng cáo, trailer, dev blog, vật phẩm đã được triển khai, v.v. </t>
    </r>
    <r>
      <rPr>
        <rFont val="Arial"/>
        <b/>
        <color theme="1"/>
        <sz val="11.0"/>
        <u/>
      </rPr>
      <t>không đảm bảo rằng chúng sẽ được triển khai đầy đủ trong trò chơi</t>
    </r>
    <r>
      <rPr>
        <rFont val="Arial"/>
        <b/>
        <color theme="1"/>
        <sz val="11.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1.0"/>
        <u/>
      </rPr>
      <t>một số kẻ vi phạm bản quyền đã tải xuống và gộp tất cả các tài liệu trong bản hướng dẫn này và rao bán</t>
    </r>
    <r>
      <rPr>
        <rFont val="Arial"/>
        <b/>
        <color theme="1"/>
        <sz val="11.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1.0"/>
      </rPr>
      <t>Xin lưu ý rằng tài liệu hướng dẫn này được xem miễn phí và nếu bạn được yêu cầu trả tiền cho việc này, thì bạn đã bị lừa.</t>
    </r>
    <r>
      <rPr>
        <rFont val="Arial"/>
        <b/>
        <color theme="1"/>
        <sz val="11.0"/>
      </rPr>
      <t xml:space="preserve">
3. Đội ngũ phát triển sẽ KHÔNG làm phiên bản cho IOS.
4.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</si>
  <si>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theme="1"/>
        <sz val="10.0"/>
      </rPr>
      <t xml:space="preserve">
3. Uma versão para iOS NÃO está sendo considerada pela equipe de desenvolvimento.
</t>
    </r>
    <r>
      <rPr>
        <rFont val="Microsoft JhengHei"/>
        <b/>
        <color theme="1"/>
        <sz val="12.0"/>
      </rPr>
      <t xml:space="preserve">4.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</si>
  <si>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Versi iOS saat ini belum dipertimbangkan oleh tim resmi.
4. </t>
    </r>
    <r>
      <rPr>
        <rFont val="Microsoft JhengHei"/>
        <b/>
        <color rgb="FFFF0000"/>
        <sz val="10.0"/>
      </rPr>
      <t>Dokumen ini tidak memerlukan izin</t>
    </r>
    <r>
      <rPr>
        <rFont val="Microsoft JhengHei"/>
        <b/>
        <color theme="1"/>
        <sz val="10.0"/>
      </rPr>
      <t>, Semua orang dapat melihatnya langsung dari tab di bagian bawah.</t>
    </r>
  </si>
  <si>
    <r>
      <rPr>
        <rFont val="Microsoft JhengHei"/>
        <b/>
        <color theme="1"/>
        <sz val="13.0"/>
      </rPr>
      <t>2026/3/1之後，版本號調整規則說明：
例如：
1.01.3 rev.2
大版本更新(Major Update)-
&lt;1.01&gt;代表當前遊戲的版本號，每次大版本更新就會變動，目前只有在完成</t>
    </r>
    <r>
      <rPr>
        <rFont val="Microsoft JhengHei"/>
        <b/>
        <color rgb="FFFF0000"/>
        <sz val="13.0"/>
      </rPr>
      <t>正版驗證</t>
    </r>
    <r>
      <rPr>
        <rFont val="Microsoft JhengHei"/>
        <b/>
        <color theme="1"/>
        <sz val="13.0"/>
      </rPr>
      <t>的玩家才能免費獲取自動更新,否則需要</t>
    </r>
    <r>
      <rPr>
        <rFont val="Microsoft JhengHei"/>
        <b/>
        <color rgb="FFFF0000"/>
        <sz val="13.0"/>
      </rPr>
      <t>從購買處手動重新下載遊戲</t>
    </r>
    <r>
      <rPr>
        <rFont val="Microsoft JhengHei"/>
        <b/>
        <color theme="1"/>
        <sz val="13.0"/>
      </rPr>
      <t xml:space="preserve">來完成更新。
補丁版本(Patch)-
&lt;.3&gt;代表已發布的累計修復補丁次數。(例如:.3就是舊版本的第三個補丁=C版)。包含錯誤修復、 少量新內容增添或系統優化。(無須正版驗證)
修訂版本(Revision)-
&lt;rev.2&gt;代表對當前補丁版本進行微調或修改的次數,作為靜默疊代更新自動在妹妹房間檢測發動,發動時不影響遊戲流程,完成時需要手動重啟遊戲。(無須正版驗證)
※部分無外網地區，需要使用VPN才能使用更新功能※
</t>
    </r>
  </si>
  <si>
    <t xml:space="preserve">
2026年3月1日以降のバージョン番号調整規則の説明：
例：
1.01.3 rev.2
メジャーアップデート -
&lt;1.01&gt;は現在のゲームのバージョン番号を示し、メジャーアップデートが行われるたびに変更されます。現在、正規版認証を完了したプレイヤーのみが自動更新を無料で取得できますが、それ以外の場合は購入元から手動でゲームを再ダウンロードする必要があります。
パッチバージョン -
&lt;.3&gt;はリリース済みの累積修正パッチの回数を示します（例：.3は旧バージョンの第3番目のパッチ＝C版に相当）。これにはエラー修正、少量の新規コンテンツ追加、またはシステム最適化が含まれます（正規版認証は不要）。
リビジョン -
&lt;rev.2&gt;は現在のパッチバージョンに対して行われた微調整または変更の回数を示します。これはサイレント・ローリングアップデートとして妹の部屋で自動的に検出され、実行されてもゲームの進行に影響はありませんが、完了時には手動でゲームを再起動する必要があります（正規版認証は不要）。
※一部のオフライン地域では、更新機能を使用するためにVPNが必要です。※</t>
  </si>
  <si>
    <r>
      <rPr>
        <rFont val="Microsoft JhengHei"/>
        <b/>
        <color theme="1"/>
        <sz val="10.0"/>
      </rPr>
      <t xml:space="preserve">After March 01, 2026, the game's versioning method will be updated to semantic versioning:
We will use "1.01.3 rev.2" as an example.
Major updates:
"1.01" represents the game's current version number. This changes with each major update. </t>
    </r>
    <r>
      <rPr>
        <rFont val="Microsoft JhengHei"/>
        <b/>
        <color rgb="FFFF0000"/>
        <sz val="10.0"/>
      </rPr>
      <t>As of now, only verified players are able to have access to the auto update feature in the game, otherwise they'd have to manually download the new version from the platform where they bought the game to update the game to the latest version.</t>
    </r>
    <r>
      <rPr>
        <rFont val="Microsoft JhengHei"/>
        <b/>
        <color theme="1"/>
        <sz val="10.0"/>
      </rPr>
      <t xml:space="preserve">
Patch:
".3" represents the patch version of the game. (For reference to old players, .3 is the third patch of the major version, meaning it's version "C"). This usually includes bug fixes, minor content additions or system optimizations. (You don't need to verify yourself to download patch updates)
Revision:
"rev 2" means revision 2. It represents the number of times how many times the PATCH has been tweaked or modified. It's an update that is silently added and does not affect gameplay. It might be slight tweakings of the current patch, etc. and this can be detected and triggered simply by going in imouto's room. You need to restart the game, however once it's complete. (You don't need to verify yourself to download revision updates)
Depending on your country, you might need a VPN to be able to download updates for the game.
</t>
    </r>
  </si>
  <si>
    <t>2026/3/1之后，版本号调整规则说明：
例如：
1.01 .3 rev.2
大版本更新:
&lt;1.01&gt;代表当前游戏的版本号，每次大版本更新就会变动，目前只有在完成正版验证的玩家才能免费获取自动更新,否则需要从购买处手动重新下载游戏来完成更新。
补丁版本:
&lt;.3&gt;代表已发布的累计修复补丁次数。 (例如:.3就是旧版本的第三个补丁=C版)。包含错误修复、 少量新内容增添或系统优化。 (无须正版验证)
修订版本:
&lt;rev.2&gt;代表对当前补丁版本进行微调或修改的次数,作为静默叠代更新自动在妹妹房间检测发动,发动时不影响游戏流程,完成时需要手动重启游戏。 (无须正版验证)
※部分无外网地区，需要使用VPN才能使用更新功能※</t>
  </si>
  <si>
    <t>2026년 3월 1일 이후, 게임 버전 관리 방식이 시맨틱 버전 관리로 업데이트됩니다.
예를 들어 &lt;1.01.3 rev.2&gt;와 같이 표시됩니다.
주요 업데이트:
&lt;1.01&gt;은 게임의 현재 버전 번호를 나타냅니다. 이 버전은 주요 업데이트가 있을 때마다 변경됩니다. 현재로서는 인증된 플레이어만 게임 내 자동 업데이트 기능을 이용할 수 있으며, 그렇지 않은 플레이어는 게임을 구매한 플랫폼에서 새 버전을 수동으로 다운로드하여 최신 버전으로 업데이트해야 합니다.
패치:
&lt;.3&gt;은 게임의 패치 버전을 나타냅니다. (기존 플레이어의 경우, &lt;.3&gt;은 주요 버전의 세 번째 패치, 즉 &lt;C&gt; 버전을 의미합니다.) 패치에는 일반적으로 버그 수정, 사소한 콘텐츠 추가 또는 시스템 최적화가 포함됩니다. (패치 업데이트를 다운로드하기 위해 인증할 필요는 없습니다.)
수정:
&lt;rev 2&gt;는 수정 2를 의미합니다. 이는 패치가 수정된 횟수를 나타냅니다. 이 업데이트는 조용히 추가되는 업데이트로 게임 플레이에는 영향을 미치지 않습니다. 현재 패치에 대한 약간의 수정 사항 등이 포함될 수 있으며, 여동생의 방에 들어가면 업데이트 내용을 확인하고 실행할 수 있습니다. 업데이트가 완료되면 게임을 재시작해야 합니다. (업데이트 다운로드를 위해 본인 인증 절차는 필요하지 않습니다.)
거주 국가에 따라 게임 업데이트를 다운로드하려면 VPN이 필요할 수 있습니다.</t>
  </si>
  <si>
    <r>
      <rPr>
        <rFont val="Microsoft JhengHei"/>
        <b/>
        <color theme="1"/>
        <sz val="10.0"/>
      </rPr>
      <t xml:space="preserve">Після 01 березня 2026 року система управління версіями гри була оновлена ​​до семантичної версії:
Як приклад ми будемо використовувати "1.01.3 rev.2".
Основні оновлення (Major updates):
"1.01" – це номер поточної версії гри. Він змінюється із кожним великим оновленням. </t>
    </r>
    <r>
      <rPr>
        <rFont val="Microsoft JhengHei"/>
        <b/>
        <color rgb="FFFF0000"/>
        <sz val="10.0"/>
      </rPr>
      <t>На даний момент тільки верифіковані гравці можуть мати доступ до функції автоматичного оновлення в грі, інакше їм довелося б вручну завантажувати нову версію з платформи, де вони купили гру, щоб оновити її до останньої версії.</t>
    </r>
    <r>
      <rPr>
        <rFont val="Microsoft JhengHei"/>
        <b/>
        <color theme="1"/>
        <sz val="10.0"/>
      </rPr>
      <t xml:space="preserve">
Патч (Patch):
".3" є патч версії гри. (Для довідки: .3 – третій патч на основній версії, це означає, що це версія "С"). Зазвичай це включає виправлення помилок, незначні доповнення контенту та оптимізації системи. (Вам не потрібно підтверджувати свою особу, щоб завантажувати оновлення виправлень)
Перегляд (Revision / rev.):
"rev 2" означає виправлення версії (2). Це кількість разів, коли оновлювався ПАТЧ. Це оновлення автоматично додається і не впливає на ігровий процес. Це можуть бути невеликі зміни в поточному патчі і т.д., які можна побачити та активувати, просто зайшовши до кімнати Імоуто. Після інсталяції оновлення необхідно перезапустити гру. (Вам не потрібно підтверджувати свою особу, щоб завантажувати оновлення)
Залежно від вашої країни вам може знадобитися VPN для завантаження оновлень для гри.
</t>
    </r>
  </si>
  <si>
    <r>
      <rPr>
        <rFont val="Microsoft JhengHei"/>
        <b/>
        <color theme="1"/>
        <sz val="10.0"/>
      </rPr>
      <t>После 01 марта 2026 года система управления версиями игры была обновлена до семантической версии:
В качестве примера мы будем использовать "1.01.3 rev.2".
Основные обновления (Major updates):
"1.01" - это номер текущей версии игры. Он меняется с каждым крупным обновлением.</t>
    </r>
    <r>
      <rPr>
        <rFont val="Microsoft JhengHei"/>
        <b/>
        <color rgb="FFFF0000"/>
        <sz val="10.0"/>
      </rPr>
      <t xml:space="preserve"> На данный момент только верифицированные игроки могут иметь доступ к функции автоматического обновления в игре, в противном случае им пришлось бы вручную загружать новую версию с платформы, на которой они купили игру, чтобы обновить её до последней версии.</t>
    </r>
    <r>
      <rPr>
        <rFont val="Microsoft JhengHei"/>
        <b/>
        <color theme="1"/>
        <sz val="10.0"/>
      </rPr>
      <t xml:space="preserve">
Патч (Patch):
".3" представляет собой патч версии игры. (Для справки: .3 - третий патч на основной версии, это означает, что это версия "С"). Обычно это включает в себя исправление ошибок, незначительные дополнения контента и оптимизации системы. (Вам не нужно подтверждать свою личность, чтобы загружать обновления исправлений)
Пересмотр (Revision / rev.):
"rev 2" означает исправление версии (2). Это количество раз, когда обновлялся ПАТЧ. Это обновление добавляется автоматически и не влияет на игровой процесс. Это могут быть небольшие изменения в текущем патче и т.д., которые можно увидеть и активировать, просто зайдя в комнату Имоуто. После установки обновления вам необходимо перезапустить игру. (Вам не нужно подтверждать свою личность, чтобы загружать обновления)
В зависимости от вашей страны вам может понадобиться VPN для загрузки обновлений для игры.
</t>
    </r>
  </si>
  <si>
    <r>
      <rPr>
        <rFont val="Arial"/>
        <b/>
        <color theme="1"/>
        <sz val="10.0"/>
      </rPr>
      <t xml:space="preserve">Sau ngày 01 tháng 3 năm 2026, cách đánh số phiên bản của trò chơi sẽ được cập nhật theo phiên bản ngữ nghĩa:
Chúng tôi sẽ sử dụng "1.01.3 rev.2" làm ví dụ.
Cập nhật lớn:
1.01 thể hiện số phiên bản hiện tại của trò chơi. Số này thay đổi với mỗi bản cập nhật lớn. </t>
    </r>
    <r>
      <rPr>
        <rFont val="Arial"/>
        <b/>
        <color rgb="FFFF0000"/>
        <sz val="10.0"/>
      </rPr>
      <t xml:space="preserve">Hiện tại, chỉ những người chơi đã được xác minh mới có thể truy cập tính năng tự động cập nhật trong trò chơi, nếu không họ sẽ phải tự tải xuống phiên bản mới từ nền tảng mà họ đã mua trò chơi để cập nhật trò chơi lên phiên bản mới nhất.
</t>
    </r>
    <r>
      <rPr>
        <rFont val="Arial"/>
        <b/>
        <color theme="1"/>
        <sz val="10.0"/>
      </rPr>
      <t xml:space="preserve">
Bản vá:
3 thể hiện phiên bản vá của trò chơi. (Đối với người chơi cũ, .3 là bản vá thứ ba của phiên bản chính, có nghĩa là phiên bản "C"). Bản vá này thường bao gồm sửa lỗi, bổ sung nội dung nhỏ hoặc tối ưu hệ thống. (Bạn không cần xác minh để tải xuống các bản vá)
Phiên bản sửa đổi:
"rev 2 có nghĩa là phiên bản sửa đổi 2. Nó thể hiện số lần BẢN VÁ đã được điều chỉnh hoặc sửa đổi. Đây là bản cập nhật được thêm vào lặng lẽ và không ảnh hưởng đến gameplay. Nó có thể chỉ là những điều chỉnh nhỏ đối với bản vá hiện tại, v.v. và bạn có thể nhìn thấy và kích hoạt nó bằng cách vào phòng của em gái. Tuy nhiên, bạn cần khởi động lại trò chơi sau khi cập nhật hoàn tất. (Bạn không cần xác minh tài khoản để tải xuống các bản cập nhật sửa đổi)
Tùy thuộc vào quốc gia của bạn, bạn có thể cần sử dụng VPN để tải xuống các bản cập nhật cho trò chơi.</t>
    </r>
  </si>
  <si>
    <r>
      <rPr>
        <rFont val="Microsoft JhengHei"/>
        <b/>
        <color theme="1"/>
        <sz val="10.0"/>
      </rPr>
      <t xml:space="preserve">Regras para identificar o número da versão após 1º de março de 2026:
Exemplo: 1.01.3 rev.2
Atualização Principal -
&lt;1.01&gt; representa o número da versão atual do jogo. Ele muda a cada atualização principal. </t>
    </r>
    <r>
      <rPr>
        <rFont val="Microsoft JhengHei"/>
        <b/>
        <color rgb="FFFF0000"/>
        <sz val="10.0"/>
      </rPr>
      <t>Atualmente, apenas jogadores que concluíram a verificação de autenticidade do produto podem receber atualizações automáticas gratuitas; caso contrário, precisam baixar o jogo novamente manualmente na página de compra para concluir a atualização.</t>
    </r>
    <r>
      <rPr>
        <rFont val="Microsoft JhengHei"/>
        <b/>
        <color theme="1"/>
        <sz val="10.0"/>
      </rPr>
      <t xml:space="preserve">
Patch -
&lt;.3&gt; representa o número cumulativo de patches lançados. (Por exemplo, .3 significa o terceiro patch da versão antiga = versão C). Inclui correções de bugs, pequenas adições de conteúdo ou otimizações do sistema. (Não é necessária a verificação de autenticidade do produto)
Revisão -
&lt;rev.2&gt; representa o número de vezes que a versão atual do patch foi ajustada ou modificada. Como uma atualização iterativa silenciosa, ela é detectada e ativada automaticamente no quarto da irmã. A ativação não afeta a jogabilidade; é necessário reiniciar o jogo manualmente após a conclusão. (Não é necessária verificação de autenticidade do produto)
※Em algumas áreas sem acesso à internet, é necessário usar uma VPN para atualizar o produto.※</t>
    </r>
  </si>
  <si>
    <r>
      <rPr>
        <rFont val="Microsoft JhengHei"/>
        <b/>
        <color theme="1"/>
        <sz val="10.0"/>
      </rPr>
      <t xml:space="preserve">Setelah 1 Maret 2026, metode penomoran versi game akan diperbarui menjadi penomoran versi semantik:
Kami akan menggunakan "1.01.3 rev.2" sebagai contoh.
Pembaruan utama:
"1.01" mewakili nomor versi game saat ini. Ini berubah dengan setiap pembaruan utama. </t>
    </r>
    <r>
      <rPr>
        <rFont val="Microsoft JhengHei"/>
        <b/>
        <color rgb="FFFF0000"/>
        <sz val="10.0"/>
      </rPr>
      <t>Saat ini, hanya pemain yang terverifikasi yang dapat mengakses fitur pembaruan otomatis dalam game, jika tidak, mereka harus mengunduh versi baru secara manual dari platform tempat mereka membeli game untuk memperbarui game ke versi terbaru.</t>
    </r>
    <r>
      <rPr>
        <rFont val="Microsoft JhengHei"/>
        <b/>
        <color theme="1"/>
        <sz val="10.0"/>
      </rPr>
      <t xml:space="preserve">
Patch:
".3" mewakili versi patch game. (Sebagai referensi untuk pemain lama, .3 adalah patch ketiga dari versi utama, artinya versi "C"). Ini biasanya mencakup perbaikan bug, penambahan konten kecil, atau optimasi sistem. (Anda tidak perlu memverifikasi diri untuk mengunduh pembaruan patch)
Revisi:
"rev 2" berarti revisi 2. Mewakili berapa kali PATCH telah dilakukan atau dimodifikasi. Ini adalah pembaruan yang ditambahkan secara diam-diam dan tidak memengaruhi gameplay. Mungkin berupa sedikit penyesuaian pada patch saat ini, dll., dan ini dapat dideteksi dan diaktifkan hanya dengan masuk ke Kamar Imouto. Namun, Anda perlu memulai ulang game setelah selesai. (Anda tidak perlu memverifikasi diri untuk mengunduh pembaruan revisi)
Tergantung negara Anda, Anda mungkin memerlukan VPN untuk dapat mengunduh pembaruan game.</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</si>
  <si>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</si>
  <si>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</si>
  <si>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</si>
  <si>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</si>
  <si>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</si>
  <si>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</si>
  <si>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Посилання на інтерактивну картку (доступний перегляд картки/взаємодія) 
Автор сайту з карткою: Ruika</t>
  </si>
  <si>
    <t>Ссылка на интерактивную карту (доступен просмотр карты/взаимодействие) 
Создатель сайта с картой: Ruika</t>
  </si>
  <si>
    <t>Interaktiver Kartenlink (Kartenanzeige/Interaktion verfügbar) Kartenwebsite erstellt von: Ruika</t>
  </si>
  <si>
    <t>Liên kết bản đồ tương tác (có thể xem bản đồ/tương tác) Trang web bản đồ được tạo bởi: Ruika</t>
  </si>
  <si>
    <t>Link para mapa interativo (permite visualização/interação com o mapa) Criador do site de mapas: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</si>
  <si>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</si>
  <si>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</si>
  <si>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</si>
  <si>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</si>
  <si>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</si>
  <si>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</si>
  <si>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</si>
  <si>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color rgb="FF000000"/>
      </rPr>
      <t>Офіційна група в Discord:</t>
    </r>
    <r>
      <rPr>
        <rFont val="Microsoft JhengHei"/>
        <b/>
      </rPr>
      <t xml:space="preserve"> </t>
    </r>
    <r>
      <rPr>
        <rFont val="Microsoft JhengHei"/>
        <b/>
        <color rgb="FF1155CC"/>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</si>
  <si>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</si>
  <si>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</si>
  <si>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rFont val="Arial"/>
        <sz val="11.0"/>
      </rPr>
      <t xml:space="preserve">
Discord chính thức:
</t>
    </r>
    <r>
      <rPr>
        <rFont val="Arial"/>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</si>
  <si>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</si>
  <si>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</si>
  <si>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</si>
  <si>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</si>
  <si>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</si>
  <si>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</si>
  <si>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</si>
  <si>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</si>
  <si>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</si>
  <si>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</si>
  <si>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rPr>
      <t xml:space="preserve">※Рекомендується придбати цю версію (HD-версія)※ Посилання для придбання постійної версії оригінальної гри Itch: 
</t>
    </r>
    <r>
      <rPr>
        <rFont val="Microsoft JhengHei"/>
        <b/>
        <color rgb="FF1155CC"/>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</si>
  <si>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</si>
  <si>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</si>
  <si>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rFont val="Arial"/>
        <sz val="11.0"/>
      </rPr>
      <t xml:space="preserve">*Khuyến khích nên mua phiên bản này (     )*
Đường link mua phiên bản vĩnh viễn trên itch của trò chơi:
</t>
    </r>
    <r>
      <rPr>
        <rFont val="Arial"/>
        <color rgb="FF1155CC"/>
        <sz val="11.0"/>
        <u/>
      </rPr>
      <t>https://nlch.itch.io/sister/</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</si>
  <si>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</si>
  <si>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</si>
  <si>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</si>
  <si>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</si>
  <si>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</si>
  <si>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</si>
  <si>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</si>
  <si>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</si>
  <si>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b/>
      </rPr>
      <t xml:space="preserve">Посилання на офіційні ігри Perohub (підтримується Alipay):
 </t>
    </r>
    <r>
      <rPr>
        <rFont val="Microsoft JhengHei"/>
        <b/>
        <color rgb="FF1155CC"/>
        <u/>
      </rPr>
      <t>https://perohub.com/posts/6773ed3e7e0707642a5c7882</t>
    </r>
  </si>
  <si>
    <r>
      <rPr>
        <rFont val="Microsoft JhengHei"/>
        <b/>
        <sz val="12.0"/>
      </rPr>
      <t xml:space="preserve">Ссылка на официальные игры Perohub (поддерживается Alipay): </t>
    </r>
    <r>
      <rPr>
        <rFont val="Microsoft JhengHei"/>
        <b/>
        <color rgb="FF1155CC"/>
        <sz val="12.0"/>
        <u/>
      </rPr>
      <t>https://perohub.com/posts/6773ed3e7e0707642a5c7882</t>
    </r>
  </si>
  <si>
    <r>
      <rPr>
        <rFont val="Arial"/>
        <sz val="12.0"/>
      </rPr>
      <t xml:space="preserve">Perohub Link:
</t>
    </r>
    <r>
      <rPr>
        <rFont val="Arial"/>
        <color rgb="FF1155CC"/>
        <sz val="12.0"/>
        <u/>
      </rPr>
      <t>https://perohub.com/posts/6773ed3e7e0707642a5c7882</t>
    </r>
  </si>
  <si>
    <r>
      <rPr>
        <rFont val="Microsoft JhengHei"/>
        <sz val="11.0"/>
      </rPr>
      <t xml:space="preserve">Link para os jogos oficiais da Perohub (compatíveis com Alipay): </t>
    </r>
    <r>
      <rPr>
        <rFont val="Microsoft JhengHei"/>
        <color rgb="FF1155CC"/>
        <sz val="11.0"/>
        <u/>
      </rPr>
      <t>https://perohub.com/posts/6773ed3e7e0707642a5c7882</t>
    </r>
    <r>
      <rPr>
        <rFont val="Microsoft JhengHei"/>
        <sz val="11.0"/>
      </rPr>
      <t xml:space="preserve">
 </t>
    </r>
  </si>
  <si>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</si>
  <si>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</si>
  <si>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</si>
  <si>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</si>
  <si>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</si>
  <si>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</si>
  <si>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</si>
  <si>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rPr>
      <t xml:space="preserve">Посилання на підписку на оригінальні ігри Fanbox: 
</t>
    </r>
    <r>
      <rPr>
        <rFont val="Microsoft JhengHei"/>
        <b/>
        <color rgb="FF1155CC"/>
        <u/>
      </rPr>
      <t>https://nlch.fanbox.cc/posts/9317203</t>
    </r>
    <r>
      <rPr>
        <rFont val="Microsoft JhengHei"/>
        <b/>
      </rPr>
      <t xml:space="preserve">
КЛЮЧ, заданий постійною версією, має бути версією Itch.</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</si>
  <si>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</si>
  <si>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</si>
  <si>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rFont val="Arial"/>
        <sz val="11.0"/>
      </rPr>
      <t xml:space="preserve">Link mua hàng được mã hóa trên Fanbox cho phiên bản vĩnh viễn của trò chơi:
</t>
    </r>
    <r>
      <rPr>
        <rFont val="Arial"/>
        <color rgb="FF1155CC"/>
        <sz val="11.0"/>
        <u/>
      </rPr>
      <t xml:space="preserve">https://nlch.fanbox.cc/posts/9317203
</t>
    </r>
    <r>
      <rPr>
        <rFont val="Arial"/>
        <sz val="11.0"/>
      </rPr>
      <t>KEY được cung cấp trong phiên bản vĩnh viễn sẽ là key dùng cho phiên bản trên Itch.</t>
    </r>
  </si>
  <si>
    <t xml:space="preserve">Link oficial para assinatura do jogo no Fanbox: 
https://nlch.fanbox.cc/posts/9317203 
A chave para a versão permanente deve ser a da versão do Itch.
 </t>
  </si>
  <si>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</si>
  <si>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</si>
  <si>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</si>
  <si>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</si>
  <si>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</si>
  <si>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</si>
  <si>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</si>
  <si>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rPr>
      <t xml:space="preserve">Посилання на підписку на оригінальні ігри Cien:
</t>
    </r>
    <r>
      <rPr>
        <rFont val="Microsoft JhengHei"/>
        <b/>
        <color rgb="FF1155CC"/>
        <u/>
      </rPr>
      <t>https://ci-en.dlsite.com/creator/24375/plan</t>
    </r>
    <r>
      <rPr>
        <rFont val="Microsoft JhengHei"/>
        <b/>
      </rPr>
      <t xml:space="preserve">
КЛЮЧ, заданий постійною версією, має бути версією Itch.</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</si>
  <si>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</si>
  <si>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</si>
  <si>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rFont val="Arial"/>
        <sz val="11.0"/>
      </rPr>
      <t xml:space="preserve">Link mua hàng được mã hóa trên Cien cho phiên bản vĩnh viễn của trò chơi:
</t>
    </r>
    <r>
      <rPr>
        <rFont val="Arial"/>
        <color rgb="FF1155CC"/>
        <sz val="11.0"/>
        <u/>
      </rPr>
      <t>https://ci-en.dlsite.com/creator/24375/plan</t>
    </r>
    <r>
      <rPr>
        <rFont val="Arial"/>
        <sz val="11.0"/>
      </rPr>
      <t xml:space="preserve">
KEY được cung cấp trong phiên bản vĩnh viễn sẽ là key dùng cho phiên bản trên Itch.</t>
    </r>
  </si>
  <si>
    <t xml:space="preserve">Link oficial para assinatura do jogo Cien: 
https://ci-en.dlsite.com/creator/24375/plan 
A chave fornecida para a versão permanente deve ser a da versão do Itch.
 </t>
  </si>
  <si>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</si>
  <si>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</si>
  <si>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</si>
  <si>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</si>
  <si>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</si>
  <si>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</si>
  <si>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</si>
  <si>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u/>
      </rPr>
      <t xml:space="preserve">Steam Store 
</t>
    </r>
    <r>
      <rPr>
        <rFont val="Microsoft JhengHei"/>
        <b/>
        <color rgb="FF000000"/>
      </rPr>
      <t>Будь ласка, додайте гру в бажане в стимі, це допомагає нам просунути її!</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</si>
  <si>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</si>
  <si>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</si>
  <si>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r>
      <rPr>
        <rFont val="Arial"/>
        <color rgb="FF1155CC"/>
        <sz val="12.0"/>
        <u/>
      </rPr>
      <t>Steam Store</t>
    </r>
    <r>
      <rPr>
        <rFont val="Arial"/>
        <sz val="12.0"/>
      </rPr>
      <t xml:space="preserve">
Hãy thêm game này vào wishlist với đường link ở trên nhé.</t>
    </r>
  </si>
  <si>
    <r>
      <rPr>
        <rFont val="Microsoft JhengHei"/>
        <b/>
        <color rgb="FF1155CC"/>
        <sz val="11.0"/>
        <u/>
      </rPr>
      <t xml:space="preserve">Steam Store
</t>
    </r>
    <r>
      <rPr>
        <rFont val="Microsoft JhengHei"/>
        <b/>
        <sz val="11.0"/>
      </rPr>
      <t>Por favor, adicione esse jogo na sua lista de desejo usando o link acima!</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</si>
  <si>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</si>
  <si>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</si>
  <si>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 xml:space="preserve">
現在このゲームはベータ版です。トレーラーで公開されている映像は、ゲームが実装済みであることを意味するものではありません。したがって、まだ実現不可能な内容についての質問はお控えください。必ず『「まだ実装されていません」』という回答になります。」
現在、このセクションではファイル内容の不足に関するご質問のみ受け付けております。ゲーム内容に関する質問やバグ報告は一切受け付けておりません。メールでの問い合わせはお控えください。
関連する問題については、公式Discordフォーラムで他のプレイヤーの方々とご相談ください。ご協力よろしくお願いいたします！
</t>
  </si>
  <si>
    <t>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</si>
  <si>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</si>
  <si>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</si>
  <si>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Гра в даний час знаходиться в бета-версії. Зображення, показані в трейлерах, не вказують на те, що гра вже реалізована. Тому, будь ласка, не питайте, як зробити те, що ще неможливо; відповідь завжди буде "ще не зроблено".
В даний час цей розділ приймає лише питання щодо відсутнього вмісту файлів. Ми не приймаємо питання про вміст гри або повідомлення про помилки. Будь ласка, не надсилайте запити електронною поштою.
З питань, пов'язаних із грою, будь ласка, обговорюйте їх з іншими гравцями на офіційному форумі Discord. Дякую за співпрацю!</t>
  </si>
  <si>
    <t>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t>
  </si>
  <si>
    <t>Trò chơi vẫn đang trong giai đoạn beta. Những hình ảnh được hiển thị trong phần giới thiệu không có nghĩa là các nội dung đó đã được triển khai trong game. Vì vậy, vui lòng không hỏi cách thực hiện những thứ hiện chưa thể làm được, câu trả lời sẽ luôn là “chưa được triển khai".
Hiện tại, mục này chỉ tiếp nhận các câu hỏi liên quan đến nội dung file bị thiếu. Chúng tôi không tiếp nhận các câu hỏi về nội dung trò chơi hoặc báo lỗi. Vui lòng không gửi yêu cầu qua email.
Với các câu hỏi liên quan, xin hãy ghé qua kênh Discord chính thức để trao đổi với những người chơi khác. Cảm ơn vì sự hợp tác của bạn!</t>
  </si>
  <si>
    <t xml:space="preserve">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
 </t>
  </si>
  <si>
    <t>Game saat ini masih dalam versi beta. Gambar-gambar yang ditampilkan dalam trailer tidak menunjukkan bahwa game tersebut sudah diimplementasikan. Oleh karena itu, mohon jangan bertanya tentang hal-hal yang belum memungkinkan, jawabannya akan selalu "belum selesai".
Tempat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</si>
  <si>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</si>
  <si>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 xml:space="preserve">
本資料はプレイヤーが疑問を解消するための補助資料であり、商業目的や広告目的で作成されたものではありません！
もしこのゲームの海賊版を購入して閲覧する必要がある場合、それはあなたが海賊版業者の詐欺被害に遭っていることを意味します！
このガイドは台湾のプレイヤーによって作成されたものであるため、主に繁体字中国語で記述されています。他言語版における不自然な翻訳についてはご容赦ください。
編集者はプレイヤー自身であり、掲載されていない情報の大半は公式情報源への問い合わせによって得られたものです。そのため、まだ発見されていないシステム要素が記載されている可能性があります。本資料に未発見のシステム要素、記載漏れ、または不自然な点がございましたら、ぜひメイン編集者までご連絡ください。
他のウェブサイトからのコンテンツ転載（無料）や、本フォーマットへの追加コンテンツの掲載は自由に行っていただけます。どうぞお気軽にご連絡ください。
メイン編集者 Discord ID: RORO#3330
または gameconlch@gmail.com まで直接ご連絡ください。ご協力ありがとうございます。
</t>
  </si>
  <si>
    <t xml:space="preserve">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</si>
  <si>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</si>
  <si>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Цей документ призначений для допомоги гравцям у вирішенні їх сумнівів та не призначений для комерційних чи рекламних цілей!
Якщо для перегляду цього документа вам необхідно заплатити або використати піратську версію гри, це означає, що вас обдурили пірати!
Це керівництво створене тайванським гравцем, тому воно в основному традиційною китайською мовою. Перепрошуємо за будь-які неточності перекладу на інші мовні версії.
Редактор — гравець, і більшість неопублікованої інформації було отримано шляхом консультацій з офіційними джерелами. Тому можуть бути відсутні деякі невідомі механізми.
Якщо ви знайдете будь-які невідомі механізми, упущення або аномалії в документі, будь ласка, зв'яжіться з головним редактором. Ви можете передрукувати вміст з інших веб-сайтів (безкоштовно) або додавати інший вміст до цієї форми.
Будь ласка, зв'яжіться з нами. Discord головного редактора: RORO#3330
Або зв'яжіться зі мною на адресу gameconlch@gmail.com.
Дякую за співпрацю.</t>
  </si>
  <si>
    <t>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t>
  </si>
  <si>
    <r>
      <rPr>
        <rFont val="Arial"/>
        <color theme="1"/>
        <sz val="12.0"/>
      </rPr>
      <t xml:space="preserve">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bị bỏ qua, hay bất thường trong bản tài liệu này, xin hãy liên hệ qua email biên tập
Bạn có thể xin phép để đăng lại nơi khác (miễn phí) hoặc bổ sung nội dung vào tài liệu này. Đừng ngại liên lạc chúng tôi.
</t>
    </r>
    <r>
      <rPr>
        <rFont val="Arial"/>
        <b/>
        <color theme="1"/>
        <sz val="12.0"/>
      </rPr>
      <t>Discord người biên tập:</t>
    </r>
    <r>
      <rPr>
        <rFont val="Arial"/>
        <color theme="1"/>
        <sz val="12.0"/>
      </rPr>
      <t xml:space="preserve"> RORO#3330
Hoặc liên hệ qua email: gameconlch@gmail.com. Cảm ơn vì sự hợp tác của bạn.</t>
    </r>
  </si>
  <si>
    <t xml:space="preserve">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t>
  </si>
  <si>
    <t xml:space="preserve">Dokumen ini dimaksudkan untuk membantu pemain dalam menyelesaikan keraguan mereka dan bukan untuk tujuan komersial atau periklanan!
Jika Anda perlu membayar atau menggunakan versi bajakan gime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gameconlch@gmail.com. Terima kasih atas kerja sama Anda.
</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</si>
  <si>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</si>
  <si>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</si>
  <si>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r>
      <rPr>
        <rFont val="Microsoft JhengHei"/>
        <b/>
        <sz val="10.0"/>
      </rPr>
      <t xml:space="preserve">Посилання на сторінку головного редактора Bahamut Hut (Тайванський ігровий форум):
</t>
    </r>
    <r>
      <rPr>
        <rFont val="Microsoft JhengHei"/>
        <b/>
        <color rgb="FF1155CC"/>
        <sz val="10.0"/>
        <u/>
      </rPr>
      <t>https://home.gamer.com.tw/artwork.php?sn=6032493</t>
    </r>
  </si>
  <si>
    <r>
      <rPr>
        <rFont val="Microsoft JhengHei"/>
        <b/>
        <sz val="10.0"/>
      </rPr>
      <t xml:space="preserve">Ссылка на страницу главного редактора Bahamut Hut (Тайваньский игровой форум):
</t>
    </r>
    <r>
      <rPr>
        <rFont val="Microsoft JhengHei"/>
        <b/>
        <color rgb="FF1155CC"/>
        <sz val="10.0"/>
        <u/>
      </rPr>
      <t>https://home.gamer.com.tw/artwork.php?sn=6032493</t>
    </r>
  </si>
  <si>
    <r>
      <rPr>
        <sz val="11.0"/>
      </rPr>
      <t xml:space="preserve">Liên kết đến trang Bahamut Hut (diễn đàn game Đài Loan) của tổng biên tập:
</t>
    </r>
    <r>
      <rPr>
        <color rgb="FF1155CC"/>
        <sz val="11.0"/>
        <u/>
      </rPr>
      <t>https://home.gamer.com.tw/artwork.php?sn=6032493</t>
    </r>
  </si>
  <si>
    <r>
      <rPr>
        <rFont val="Microsoft JhengHei"/>
      </rPr>
      <t xml:space="preserve">Link do editor para o Bahamut Hut (um fórum de jogos taiwanês): </t>
    </r>
    <r>
      <rPr>
        <rFont val="Microsoft JhengHei"/>
        <color rgb="FF1155CC"/>
        <u/>
      </rPr>
      <t>https://home.gamer.com.tw/artwork.php?sn=6032493</t>
    </r>
  </si>
  <si>
    <r>
      <rPr>
        <rFont val="Microsoft JhengHei"/>
        <b/>
        <sz val="12.0"/>
      </rPr>
      <t xml:space="preserve">Edisi utama Bahu Special Hut (platform hiburan Taiwan) dapat diakses melalui:
</t>
    </r>
    <r>
      <rPr>
        <rFont val="Microsoft JhengHei"/>
        <b/>
        <color rgb="FF1155CC"/>
        <sz val="12.0"/>
        <u/>
      </rPr>
      <t>https://home.gamer.com.tw/artwork.php?sn=6032493</t>
    </r>
  </si>
  <si>
    <t>編輯工作日誌</t>
  </si>
  <si>
    <t>Changelogs</t>
  </si>
  <si>
    <t>Historial de cambios</t>
  </si>
  <si>
    <t>Лог змін</t>
  </si>
  <si>
    <t>Лог изменений</t>
  </si>
  <si>
    <t>Báo cáo chỉnh sửa</t>
  </si>
  <si>
    <t>Editar registro de trabalho</t>
  </si>
  <si>
    <t>Riwayat Perubahan</t>
  </si>
  <si>
    <t>2026/4/30 Updated 1.09、1.10
S-F-8~13
tips 1
RX21
SLG-C-26
SLG-C-37~38</t>
  </si>
  <si>
    <t xml:space="preserve">2026/4/25 Updated 1.0.8
ITEM 55
Gear 69
Drops 35
tips 124
RX36
Tips121/122
Gears 20 </t>
  </si>
  <si>
    <t xml:space="preserve">25.04.2026 Оновлення 1.0.8
ITEM 55
Gear 69
Drops 35
tips 124
RX36
Tips121/122
Gears 20 </t>
  </si>
  <si>
    <t xml:space="preserve">25.04.2026 Обновление 1.0.8
ITEM 55
Gear 69
Drops 35
tips 124
RX36
Tips121/122
Gears 20 </t>
  </si>
  <si>
    <t>2026/4/1 Updated 
RX36
Tips121  No7.Name
Tips121  No19~23
Gears 20</t>
  </si>
  <si>
    <t>2026/4/1 Updated 
RX36
Tips121  No7.Name
Tips121  No19~23
Gears 20</t>
  </si>
  <si>
    <t>2026/4/1 оновлено
RX36
Tips121  No7.Name
Tips121  No19~23
Gears 20</t>
  </si>
  <si>
    <t>01.04.2026 Обновление 
RX36
Tips121  No7.Name
Tips121  No19~23
Gears 20</t>
  </si>
  <si>
    <t>2026/4/1 Updated 
SLG-C-35
Drops 67~70
Notice 2</t>
  </si>
  <si>
    <t>2026/4/1 Updated 
SLG-C-35
Drops 67~70</t>
  </si>
  <si>
    <t>2026/4/1 оновлено
SLG-C-35
Drops 67~70</t>
  </si>
  <si>
    <t>01.04.2026 Обновление
SLG-C-35
Drops 67~70</t>
  </si>
  <si>
    <t>2026/3/28 Updated 
(包含1.0版更資訊)
TIPS121、SLG-C-35、SLG-D-5~6</t>
  </si>
  <si>
    <t>2026/3/28 Updated 
(For version 1.0)
TIPS121、SLG-C-35、SLG-D-5~6</t>
  </si>
  <si>
    <t>2026/3/28 Updated 
(Includes information for version 1.0)
TIPS121、SLG-C-35、SLG-D-5~6</t>
  </si>
  <si>
    <t>2026/3/28 Updated 
(包含1.0版本更新资讯)
TIPS121、SLG-C-35、SLG-D-5~6</t>
  </si>
  <si>
    <t>2026/3/28 Updated 
TIPS121、SLG-C-35、SLG-D-5~6</t>
  </si>
  <si>
    <t>2026/3/28 оновлено
(Містить інформацію для версії 1.0)
TIPS121, SLG-C-35, SLG-D-5~6</t>
  </si>
  <si>
    <t>28.03.2026 Обновление
(Содержит информацию о версии 1.0)
TIPS121、SLG-C-35、SLG-D-5~6</t>
  </si>
  <si>
    <t>Cập nhật 28/3/2026
(Bao gồm thông tin cập nhật phiên bản 1.0)
TIPS 121, SLG-C-35, SLG-D-5~6</t>
  </si>
  <si>
    <t>2026/3/15 Updated 
TIPS：119~122</t>
  </si>
  <si>
    <t>2026/3/15 оновлено
TIPS：119~122</t>
  </si>
  <si>
    <t>15.03.2026 Обновление
TIPS：119~122</t>
  </si>
  <si>
    <t>Cập nhật 15/3/2026
TIPS：119~122</t>
  </si>
  <si>
    <t>2026/3/10 Updated 
RPG ： RA8
Drops ：23，43，44，64，66
Weap：Blue Bar 
Gears ： 3~6，78，Blue Bar 
Items ： 10，35，38，57，63，Blue Bar</t>
  </si>
  <si>
    <t>2026/3/10 оновлено
RPG ： RA8
Drops ：23，43，44，64，66
Weap：Blue Bar 
Gears ： 3~6，78，Blue Bar 
Items ： 10，35，38，57，63，Blue Bar</t>
  </si>
  <si>
    <t>10.03.2026 Обновление
RPG ： RA8
Drops ：23，43，44，64，66
Weap：Blue Bar 
Gears ： 3~6，78，Blue Bar 
Items ： 10，35，38，57，63，Blue Bar</t>
  </si>
  <si>
    <t>Cập nhật 10/3/2026
RPG ： RA8
Drops ：23，43，44，64，66
Weap：Blue Bar 
Gears ： 3~6，78，Blue Bar 
Items ： 10，35，38，57，63，Blue Bar</t>
  </si>
  <si>
    <t>2026/2/26 Updated 
Items+1、TIPS+1</t>
  </si>
  <si>
    <t>2026/2/26 оновлено
Items+1、TIPS+1</t>
  </si>
  <si>
    <t>26.02.2026 Обновление
Items+1、TIPS+1</t>
  </si>
  <si>
    <t>Cập nhật 26/2/2026
Items+1、TIPS+1</t>
  </si>
  <si>
    <t>2026/2/21 Updated 
RPG-RX35、Greas-84</t>
  </si>
  <si>
    <t>2026/2/21 оновлено 
RPG-RX35、Greas-84</t>
  </si>
  <si>
    <t>21.02.2026 Обновление
RPG-RX35、Greas-84</t>
  </si>
  <si>
    <t>Cập nhật 21/2/2021
RPG-RX35、Greas-84</t>
  </si>
  <si>
    <t>2026/2/17  0.99  Update 
SLG：A-27~29、F-10~11、C-31~34
RPG：RX21、RX35
TIPS+4、Drops+2、Weapons+1、Gears+1</t>
  </si>
  <si>
    <t>2026/2/17  0.99  оновлено 
SLG：A-27~29、F-10~11、C-31~34
RPG：RX21、RX35
TIPS+4、Drops+2、Weapons+1、Gears+1</t>
  </si>
  <si>
    <t>17.02.2026 Обновление 0.99
SLG：A-27~29、F-10~11、C-31~34
RPG：RX21、RX35
TIPS+4、Drops+2、Weapons+1、Gears+1</t>
  </si>
  <si>
    <t>17/2/2026 Cập nhật  0.99  
SLG：A-27~29、F-10~11、C-31~34
RPG：RX21、RX35
TIPS+4、Drops+2、Weapons+1、Gears+1</t>
  </si>
  <si>
    <t>2026/1/11  0.95  Update 
SLG-F  6~9 / SLG-A  20 / RPG47.48.95 / Items +2 / TIPS +2  / Dish +3</t>
  </si>
  <si>
    <t>2026/1/11 0.95 Update
SLG-F 6~9 / SLG-A 20 / RPG47.48.95 / Items +2 / TIPS +2 / Dish +3</t>
  </si>
  <si>
    <t>2026/1/11 0.95 оновлено
SLG-F 6~9 / SLG-A 20 / RPG47.48.95 / Items +2 / TIPS +2 / Dish +3</t>
  </si>
  <si>
    <t>11/1/2026 Phiên bản 0.95
SLG-F 6~9 / SLG-A 20 / RPG47.48.95 / Vật phẩm +2 / Tip +2 / Món ăn +3</t>
  </si>
  <si>
    <t xml:space="preserve">Atualização 0.95 de 11/01/2026 SLG-F 6~9 / SLG-A 20 / RPG47.48.95 / Itens +2 / DICAS +2 / Prato +3
 </t>
  </si>
  <si>
    <t>Pembaruan 0.95 11/1/2026
SLG-F 6~9 / SLG-A 20 / RPG47.48.95 / Item +2 / TIPS +2 / Hidangan +3</t>
  </si>
  <si>
    <t>2025/12/30 新增印尼語</t>
  </si>
  <si>
    <t>Added Indonesian language on 2025/12/30</t>
  </si>
  <si>
    <t>Індонезійська мова додана 2025/12/30</t>
  </si>
  <si>
    <t>30/12/2025 Đã thêm bản dịch tiếng Indonesia</t>
  </si>
  <si>
    <t>Adicionado o idioma indonésio em 30/12/2025.</t>
  </si>
  <si>
    <t>Bahasa Indonesia ditambahkan pada 30/12/2025</t>
  </si>
  <si>
    <t>2025/12/22 map版塊的圖檔暫時關閉，可以先利用互動網頁版本進行瀏覽</t>
  </si>
  <si>
    <t>The map section's images were temporarily closed on December 22, 2025. You can browse them using the interactive web version.</t>
  </si>
  <si>
    <t>Доступ до зображень у розділі карт було тимчасово закрито 22 грудня 2025 року. Ви можете переглянути їх за допомогою інтерактивної веб-версії.</t>
  </si>
  <si>
    <t xml:space="preserve"> 22/12/2025 Các hình ảnh trong mục bản đồ đã tạm dừng cập nhật. Bạn có thể xem chúng thông qua phiên bản web tương tác.</t>
  </si>
  <si>
    <t>As imagens da seção de mapas foram temporariamente desativadas em 22 de dezembro de 2025. Você pode visualizá-las usando a versão interativa da web.</t>
  </si>
  <si>
    <t>Gambar pada bagian peta ditutup sementara pada tanggal 22 Desember 2025. Anda dapat menjelajahinya menggunakan versi web interaktif.</t>
  </si>
  <si>
    <t>2025/12/5 新增Dish +3</t>
  </si>
  <si>
    <t>Added Dish +3 on 2025/12/5</t>
  </si>
  <si>
    <t>Додано Dish +3    2025/12/5</t>
  </si>
  <si>
    <t>5/12/2025 Thêm món ăn +3</t>
  </si>
  <si>
    <t>Adicionado Prato +3 em 05/12/2025</t>
  </si>
  <si>
    <t>Hidangan +3 ditambahkan pada 5 Desember 2025.</t>
  </si>
  <si>
    <t>2025/12/2 新增0.9版本內容SLG-A24~26/SLG-F1~8/R34、R90~93/Tips+2/Status+1/Weap+2/Gears+1/Items+2</t>
  </si>
  <si>
    <t>December 2, 2025: Added version 0.9 content: SLG-A24~26/SLG-F1~8/R34, R90~93/Tips+2/Status+1/Weap+2/Gears+1/Items+2</t>
  </si>
  <si>
    <t>2 грудня 2025 р.: Додано контент версії 0.9: 
SLG-A24~26/SLG-F1~8/R34, R90~93/Tips+2/Status+1/Weapon+2/Gears+1/Items+2</t>
  </si>
  <si>
    <t>2/12/2025 Phiên bản 0.90
SLG-A24~26 / SLG-F1~8 / R34, R90~93 / Tip +2 / Trạng thái +1 / Vũ khí +2 / Trang bị +1 /Vật phẩm +2</t>
  </si>
  <si>
    <t>2 de dezembro de 2025: Adicionado conteúdo da versão 0.9: SLG-A24~26/SLG-F1~8/R34, R90~93/Dicas+2/Status+1/Arma+2/Equipamentos+1/Itens+2</t>
  </si>
  <si>
    <t>2 Desember 2025: Menambahkan konten versi 0.9: SLG-A24~26/SLG-F1~8/R34, R90~93/Tips+2/Status+1/Weap+2/Gears+1/Items+2</t>
  </si>
  <si>
    <t>2025/12/1 重製Drops頁面，並且新增掉落機率</t>
  </si>
  <si>
    <t>December 1, 2025: The Drops page was redesigned, and drop rates were added.</t>
  </si>
  <si>
    <t>1 грудня 2025 р.: Сторінку Drops було перероблено, та додано інформацію про імовірність випадання предметів.</t>
  </si>
  <si>
    <t>1/12/2025 Trang Drops đã được sửa lại và bổ sung thêm tỷ lệ rơi đồ</t>
  </si>
  <si>
    <t>1º de dezembro de 2025: A página de Drops foi reformulada e as taxas de drop foram adicionadas.</t>
  </si>
  <si>
    <t>1 Desember 2025: Halaman Drops didesain ulang, dan tingkat peluang mendapatkan item (drop rate) ditambahkan.</t>
  </si>
  <si>
    <t>2025/11/26 新增葡萄巴西語</t>
  </si>
  <si>
    <t>Added Portuguese-speaking language on 2025/11/26</t>
  </si>
  <si>
    <t>Португальська мова додана 2025/11/26</t>
  </si>
  <si>
    <t>26/11/2025 Đã thêm bản dịch tiếng Bồ Đào Nha</t>
  </si>
  <si>
    <t>Adicionada a língua portuguesa em 26/11/2025.</t>
  </si>
  <si>
    <t>Bahasa Portugis ditambahkan pada 26/11/2025.</t>
  </si>
  <si>
    <t>2025/11/15 新增小版本更新內容</t>
  </si>
  <si>
    <t>Added minor version update content on 2025/11/15</t>
  </si>
  <si>
    <t>Додано контент оновлення незначної версії  2025/11/15.</t>
  </si>
  <si>
    <t>15/11/2025 Thêm nội dung cập nhật nhỏ</t>
  </si>
  <si>
    <t>Adicionado conteúdo de atualização de versão secundária em 15/11/2025.</t>
  </si>
  <si>
    <t>Konten pembaruan versi minor ditambahkan pada 15/11/2025.</t>
  </si>
  <si>
    <t>2025/11/8 新增0.85C版本內容、部分內容修正與新增</t>
  </si>
  <si>
    <t>November 8, 2025: Added version 0.85C content, and included some corrections and additions.</t>
  </si>
  <si>
    <t>8 листопада 2025 р.: Додано контент версії 0.85C, а також внесено деякі виправлення та доповнення.</t>
  </si>
  <si>
    <t>8/11/2025 Thêm nội dung phiên bản 0.85C, bao gồm một số chỉnh sửa và bổ sung</t>
  </si>
  <si>
    <t>8 de novembro de 2025: Adicionado conteúdo da versão 0.85C, além de algumas correções e adições.</t>
  </si>
  <si>
    <t>8 November 2025: Menambahkan konten versi 0.85C, serta beberapa koreksi dan penambahan.</t>
  </si>
  <si>
    <t>2025/11/3 新增0.85版本：SLG-C-23~SLG-C-29、SLG-A-24</t>
  </si>
  <si>
    <t>November 3, 2025: Added version 0.85: SLG-C-23~SLG-C-29, SLG-A-24</t>
  </si>
  <si>
    <t>3 листопада 2025 р.: Додана версія 0.85: SLG-C-23~SLG-C-29, SLG-A-24</t>
  </si>
  <si>
    <t>3/11/2025 Phiên bản 0.85
SLG-C-23~SLG-C-29 / SLG-A-24</t>
  </si>
  <si>
    <t>3 de novembro de 2025: Adicionada a versão 0.85: SLG-C-23~SLG-C-29, SLG-A-24</t>
  </si>
  <si>
    <t>3 November 2025: Menambahkan versi 0.85: SLG-C-23~SLG-C-29, SLG-A-24</t>
  </si>
  <si>
    <t>2025/10/14 新增0.82D：R4、R68、Items +3</t>
  </si>
  <si>
    <t>October 14, 2025: Added 0.82D: R4, R68, Items +3</t>
  </si>
  <si>
    <t>14 жовтня 2025 р.: Додано 0.82D: R4, R68, Items +3</t>
  </si>
  <si>
    <t>14/10/2025 Phiên bản 0.82D
R4 / R68 / Vật phẩm +3</t>
  </si>
  <si>
    <t>14 de outubro de 2025: Adicionado 0.82D: R4, R68, Itens +3</t>
  </si>
  <si>
    <t>14 Oktober 2025: Ditambahkan 0,82D: R4, R68, Item +3</t>
  </si>
  <si>
    <t>2025/10/6 新增越南文的翻譯</t>
  </si>
  <si>
    <t>Added Vietnamese translation on October 6, 2025.</t>
  </si>
  <si>
    <t>В'єтнамський переклад додано 6 жовтня 2025 року.</t>
  </si>
  <si>
    <t>6/10/2025 Đã thêm bản dịch tiếng Việt</t>
  </si>
  <si>
    <t>Adicionada tradução para vietnamita em 6 de outubro de 2025.</t>
  </si>
  <si>
    <t>Terjemahan bahasa Vietnam ditambahkan pada 6 Oktober 2025.</t>
  </si>
  <si>
    <t>2025/10/1
0.82 update：
R21、R66~R68、R83~89、Weap-45~49、Drops-15、47~49、Gears-75~78、TIPS-106~112</t>
  </si>
  <si>
    <t>2025/10/1
0.82 update:
R21, R66~R68, R83~89, Weap-45~49, Drops-15, 47~49, Gears-75~78, TIPS-106~112</t>
  </si>
  <si>
    <t>01.10.2025
0.82 оновлення:
R21, R66~R68, R83~89, Weap-45~49, Drops-15, 47~49, Gears-75~78, TIPS-106~112</t>
  </si>
  <si>
    <t>1/10/2025 
Cập nhật 0.82： 
R21、R66~R68、R83~89、Vũ khí-45~49、Vật phẩm rơi-15、47~49、Trang bị-75~78、TIPS-106~112</t>
  </si>
  <si>
    <t>01/10/2025 Atualização 0.82: R21, R66~R68, R83~89, Armas-45~49, Itens-15, 47~49, Equipamentos-75~78, Dicas-106~112</t>
  </si>
  <si>
    <t>2025/10/1
0.82 pembaruan:
R21, R66~R68, R83~89, Senjata-45~49, Drop-15, 47~49, Perlengkapan-75~78, TIPS-106~112</t>
  </si>
  <si>
    <t>2025/9/14 0.81update：
R69~R82、R24/TIPS 105~106/Drops 46/Weap 45.46/Gears 64~74/Items 42</t>
  </si>
  <si>
    <t>2025/9/14 0.81update:
R69~R82, R24/TIPS 105~106/Drops 46/Weap 45.46/Gears 64~74/Items 42</t>
  </si>
  <si>
    <t>14.09.2025 0.81 оновлено:
R69~R82, R24/Tips 105~106/Drops 46/Weap 45.46/Gears 64~74/Items 42</t>
  </si>
  <si>
    <t>14/9/2025 Cập nhật 0.81:
R69~R82,R24/TIPS 105~106/Vật phẩm rơi 46/Vũ khí 45.46/Trang bị 64~74/Vật phẩn 42</t>
  </si>
  <si>
    <t>Atualização 0.81 de 14/09/2025: R69~R82, R24/DICAS 105~106/Drops 46/Arma 45,46/Equipamentos 64~74/Itens 42</t>
  </si>
  <si>
    <t>14/9/2025 0.81update:
R69~R82, R24/TIPS 105~106/Drops 46/Weap 45.46/Gears 64~74/Items 42</t>
  </si>
  <si>
    <t>2025/9/4 新增影音分頁</t>
  </si>
  <si>
    <t>Added video/audio pagination on September 4, 2025.</t>
  </si>
  <si>
    <t>Додано посторінкову навігацію для відео/аудіо 4 вересня 2025 року.</t>
  </si>
  <si>
    <t>4/9/2025 Thêm trang video</t>
  </si>
  <si>
    <t>Adicionada paginação de vídeo/áudio em 4 de setembro de 2025.</t>
  </si>
  <si>
    <t>Penambahan penomoran halaman video/audio pada tanggal 4 September 2025.</t>
  </si>
  <si>
    <t>2025/8/31 Map板塊圖檔網站由imgse網站更換為postimage</t>
  </si>
  <si>
    <t>On August 31, 2025, the website for map files on the map section was changed from imgse to postimage.</t>
  </si>
  <si>
    <t>31 серпня 2025 року веб-сайт для файлів карт у розділі карт був змінений з imgse на postimage.</t>
  </si>
  <si>
    <t>31/8/2025 Trang web phần file bản đồ sẽ được đổi từ trang web img sang postimage</t>
  </si>
  <si>
    <t>Em 31 de agosto de 2025, o site para arquivos de mapas na seção de mapas foi alterado de imgse para postimage.</t>
  </si>
  <si>
    <t>Pada tanggal 31 Agustus 2025, situs web untuk file peta di bagian peta diubah dari imgse menjadi postimage.</t>
  </si>
  <si>
    <t>2025/8/30 0.80版本新增：SLG-A8、R11、R59~68、6樣裝備及道具、繁體中文地圖更新</t>
  </si>
  <si>
    <t>Version 0.80 (August 30, 2025) adds: SLG-A8, R11, R59~68, 6 new equipment and items, and a Traditional Chinese map update.</t>
  </si>
  <si>
    <t>У версії 0.80 (30 серпня 2025 р.) додано: SLG-A8, R11, R59~68, 6 нових предметів та спорядження, а також оновлено карту традиційною китайською мовою.</t>
  </si>
  <si>
    <t>30/8/2025 Phiên bản 0.80 thêm: SLG-81, R11, R59~68, 6 loại trang bị và trang bị, cập nhật bản đồ tiếng Trung phồn thể</t>
  </si>
  <si>
    <t>A versão 0.80 (30 de agosto de 2025) adiciona: SLG-A8, R11, R59~68, 6 novos equipamentos e itens, e uma atualização do mapa em chinês tradicional.</t>
  </si>
  <si>
    <t>Versi 0.80 (30 Agustus 2025) menambahkan: SLG-A8, R11, R59~68, 6 peralatan dan item baru, serta pembaruan peta Bahasa Mandarin Tradisional.</t>
  </si>
  <si>
    <t>2025/8/29 map更新完成繁體中文版本，其餘語系將逐步更新</t>
  </si>
  <si>
    <t>The map was updated to Traditional Chinese on August 29, 2025. Updates to other language versions will be completed gradually.</t>
  </si>
  <si>
    <t>Карта була оновлена ​​до традиційної китайської мови 29 серпня 2025 року. Оновлення для інших мовних версій буде завершено поступово.</t>
  </si>
  <si>
    <t>29/8/2025 Hoàn thiện cập nhật bản đồ tiếng Trung phồn thể, những tiếng khác sẽ được cập nhật dần</t>
  </si>
  <si>
    <t>O mapa foi atualizado para chinês tradicional em 29 de agosto de 2025. As atualizações para outros idiomas serão concluídas gradualmente.</t>
  </si>
  <si>
    <t>Peta tersebut diperbarui ke dalam aksara Tionghoa Tradisional pada tanggal 29 Agustus 2025. Pembaruan ke versi bahasa lain akan diselesaikan secara bertahap.</t>
  </si>
  <si>
    <t>2025/8/11 新增了0.79H版本 TIPS</t>
  </si>
  <si>
    <t>Version 0.79H was added on August 11, 2025. (TIPS)</t>
  </si>
  <si>
    <t>Версія 0.79H була додана 11 серпня 2025 року. (TIPS)</t>
  </si>
  <si>
    <t>11/8/2025 Phiên bản mới 0.79H TIPS</t>
  </si>
  <si>
    <t>A versão 0.79H foi adicionada em 11 de agosto de 2025. (DICAS)</t>
  </si>
  <si>
    <t>Versi 0.79H ditambahkan pada 11 Agustus 2025. (TIPS)</t>
  </si>
  <si>
    <t>2025/7/20 新增了0.79E版本 RPG35.41</t>
  </si>
  <si>
    <t>Version 0.79E (RPG35.41) was added on July 20, 2025.</t>
  </si>
  <si>
    <t>Версія 0.79E (RPG35.41) була додана 20 липня 2025 року.</t>
  </si>
  <si>
    <t>20/7/2025 Thêm phiên bản 0.79E RPG35.41</t>
  </si>
  <si>
    <t>A versão 0.79E (RPG35.41) foi adicionada em 20 de julho de 2025.</t>
  </si>
  <si>
    <t>Versi 0.79E (RPG35.41) ditambahkan pada tanggal 20 Juli 2025.</t>
  </si>
  <si>
    <t>2025/7/20 新增了0.79D版本TIPS</t>
  </si>
  <si>
    <t>Added version 0.79D TIPS on 2025/7/20</t>
  </si>
  <si>
    <t>Додано Tips версії 0.79D від 20.07.2025.</t>
  </si>
  <si>
    <t>20/7/2025 Thêm TIPS phiên bản 0.79D</t>
  </si>
  <si>
    <t>Adicionada a versão 0.79D TIPS em 20/07/2025</t>
  </si>
  <si>
    <t>Versi 0.79D TIPS ditambahkan pada 2025/7/20</t>
  </si>
  <si>
    <t>2025/7/12 新增了0.79版本SLG-A、SLG-C、TIPS、Weap、Drops</t>
  </si>
  <si>
    <t>On July 12, 2025, version 0.79 was added for SLG-A, SLG-C, TIPS, Weap, and Drops.</t>
  </si>
  <si>
    <t>12 липня 2025 року була додана версія 0.79 для SLG-A, SLG-C, TIPS, Weap та Drops.</t>
  </si>
  <si>
    <t xml:space="preserve">12/7/2025 Thêm phiên bản 0.79 SLG-A, SLG-C, TIPS, Vũ khí, Vật phẩm rơi </t>
  </si>
  <si>
    <t>Em 12 de julho de 2025, a versão 0.79 foi adicionada para SLG-A, SLG-C, TIPS, Weap e Drops.</t>
  </si>
  <si>
    <t>Pada tanggal 12 Juli 2025, versi 0.79 ditambahkan untuk SLG-A, SLG-C, TIPS, Weap, dan Drops.</t>
  </si>
  <si>
    <t>2025/6/11 修正了部分0.77版本的敘述，並新增了TIPS</t>
  </si>
  <si>
    <t>June 11, 2025: Corrected some descriptions in version 0.77 and added tips.</t>
  </si>
  <si>
    <t>11 червня 2025 р.: Виправлено деякі описи у версії 0.77 та додано Tips.</t>
  </si>
  <si>
    <t>11/6/2025 Sửa một số mô tả của phiên bản 0.77 và thêm TIPS</t>
  </si>
  <si>
    <t>11 de junho de 2025: Algumas descrições foram corrigidas na versão 0.77 e dicas foram adicionadas.</t>
  </si>
  <si>
    <t>11 Juni 2025: Memperbaiki beberapa deskripsi di versi 0.77 dan menambahkan kiat.</t>
  </si>
  <si>
    <t>2025/6/10 更新0.77版本的內容</t>
  </si>
  <si>
    <t>Updated to version 0.77 on June 10, 2025.</t>
  </si>
  <si>
    <t>Оновлено до версії 0.77 10 червня 2025 року.</t>
  </si>
  <si>
    <t>10/6/2025 Cập nhật nội dung của phiên bản 0.77</t>
  </si>
  <si>
    <t>Atualizado para a versão 0.77 em 10 de junho de 2025.</t>
  </si>
  <si>
    <t>Diperbarui ke versi 0.77 pada 10 Juni 2025.</t>
  </si>
  <si>
    <t>2025/6/3 更新0.77版本的內容</t>
  </si>
  <si>
    <t>Updated to version 0.77 on June 3, 2025.</t>
  </si>
  <si>
    <t>Оновлено до версії 0.77 3 червня 2025 року.</t>
  </si>
  <si>
    <t>3/6/2025 Cập nhật nội dung của phiên bản 0.77</t>
  </si>
  <si>
    <t>Atualizado para a versão 0.77 em 3 de junho de 2025.</t>
  </si>
  <si>
    <t>Diperbarui ke versi 0.77 pada 3 Juni 2025.</t>
  </si>
  <si>
    <t>2025/5/26 重製了SLG頁面的所有排版</t>
  </si>
  <si>
    <t>On May 26, 2025, all layouts of the SLG page were redesigned.</t>
  </si>
  <si>
    <t>26 травня 2025 року було повністю перероблено дизайн сторінки SLG.</t>
  </si>
  <si>
    <t>26/5/2025 Làm lại toàn bộ bố cục các trang SLG</t>
  </si>
  <si>
    <t>Em 26 de maio de 2025, todos os layouts da página SLG foram reformulados.</t>
  </si>
  <si>
    <t>Pada tanggal 26 Mei 2025, seluruh tata letak halaman SLG didesain ulang.</t>
  </si>
  <si>
    <t>2025/5/24 新增了獨立顯卡的安裝教學</t>
  </si>
  <si>
    <t>On May 24, 2025, a tutorial on installing a dedicated graphics card was added.</t>
  </si>
  <si>
    <t>24 травня 2025 року було додано посібник зі встановлення дискретної відеокарти.</t>
  </si>
  <si>
    <t>24/5/2025 Thêm hướng dẫn cài đặt cho card đồ họa rời</t>
  </si>
  <si>
    <t>Em 24 de maio de 2025, foi adicionado um tutorial sobre como instalar uma placa gráfica dedicada.</t>
  </si>
  <si>
    <t>Pada tanggal 24 Mei 2025, tutorial tentang cara memasang kartu grafis khusus telah ditambahkan.</t>
  </si>
  <si>
    <t>2025/5/15 新增0.75D版本的內容 (R4、R33)、一個防具</t>
  </si>
  <si>
    <t>May 15, 2025: Added content for version 0.75D (R4, R33) and one piece of armor.</t>
  </si>
  <si>
    <t>15 травня 2025 р.: Додано контент для версії 0.75D (R4, R33) та один елемент броні.</t>
  </si>
  <si>
    <t>15/5/2025 Thêm nội dung của phiên bản 0.75D (R4, R33), một giáp</t>
  </si>
  <si>
    <t>15 de maio de 2025: Adicionado conteúdo para a versão 0.75D (R4, R33) e uma peça de armadura.</t>
  </si>
  <si>
    <t>15 Mei 2025: Menambahkan konten untuk versi 0.75D (R4, R33) dan satu bagian armor.</t>
  </si>
  <si>
    <t>2025/5/6 新增大焦熱熔岩帶地圖圖片</t>
  </si>
  <si>
    <t>Added map image of the Scorching Lava Zone on May 6, 2025.</t>
  </si>
  <si>
    <t>Додано зображення карти Великого поясу кальцинованої лави від 6 травня 2025 року.</t>
  </si>
  <si>
    <t>6/5/2025 Thêm hình ảnh bản đồ của Vùng Dung Nham Nóng Cháy</t>
  </si>
  <si>
    <t>Adicionada imagem do mapa da Grande Faixa de Lava Calcinada em 6 de maio de 2025.</t>
  </si>
  <si>
    <t>Gambar peta Sabuk Lava Terkalsinasi Besar ditambahkan pada 6 Mei 2025.</t>
  </si>
  <si>
    <t>2025/5/5-2025/？ 地圖板塊最近會嘗試更新洞口掉落位置，還請後續留意</t>
  </si>
  <si>
    <t>From May 5th, 2025 to [date missing], the map section will be updated with the locations of items dropped at the cave entrance. Please stay tuned.</t>
  </si>
  <si>
    <t>З 5 травня 2025 року по [дата відсутня] розділ карт оновлюватиметься із зазначенням місць, де були залишені предмети біля входу до печери. Слідкуйте за оновленнями.</t>
  </si>
  <si>
    <t>5/5/2025-?/2025 Phần bản đồ sẽ cố gắng cập nhật vị trí của hố rơi gần đây, xin chú ý đến nó sau</t>
  </si>
  <si>
    <t>De 5 de maio de 2025 até [data ausente], a seção de mapas será atualizada com a localização dos itens deixados na entrada da caverna. Fique atento.</t>
  </si>
  <si>
    <t>Mulai 5 Mei 2025 hingga [tanggal tidak tercantum], bagian peta akan diperbarui dengan lokasi item yang dijatuhkan di pintu masuk gua. Mohon tetap pantau.</t>
  </si>
  <si>
    <t>2025/5/4 新增了俄語和德語翻譯</t>
  </si>
  <si>
    <t>Added Russian and German translations on May 4, 2025.</t>
  </si>
  <si>
    <t>Російський та німецький переклади додані 4 травня 2025 року.</t>
  </si>
  <si>
    <t>4/5/2025 Thêm bản dịch tiếng Nga và tiếng Đức</t>
  </si>
  <si>
    <t>Adicionadas traduções para russo e alemão em 4 de maio de 2025.</t>
  </si>
  <si>
    <t>Terjemahan bahasa Rusia dan Jerman ditambahkan pada 4 Mei 2025.</t>
  </si>
  <si>
    <t>2025/5/2 新增了0.75版本內容</t>
  </si>
  <si>
    <t>Version 0.75 was added on May 2, 2025.</t>
  </si>
  <si>
    <t>Версія 0.75 була додана 2 травня 2025 року.</t>
  </si>
  <si>
    <t>2/5/2025 Thêm nội dung mới cho phiên bản 0.75</t>
  </si>
  <si>
    <t>A versão 0.75 foi adicionada em 2 de maio de 2025.</t>
  </si>
  <si>
    <t>Versi 0.75 ditambahkan pada tanggal 2 Mei 2025.</t>
  </si>
  <si>
    <t>2025/4/29 刪除第二份表單，合併西班牙語和韓語的翻譯至本表單</t>
  </si>
  <si>
    <t>April 29, 2025: Deleted the second form and merged the Spanish and Korean translations into this form.</t>
  </si>
  <si>
    <t>29 квітня 2025 р.: Вилучена друга форма, а іспанська та корейська переклади об'єднані в цю форму.</t>
  </si>
  <si>
    <t>29/4/2025 Xóa bảng hướng dẫn thứ hai và gộp bản dịch tiếng Tây Ban Nha và tiếng Hàn vào bảng hướng dẫn</t>
  </si>
  <si>
    <t>29 de abril de 2025: O segundo formulário foi excluído e as traduções em espanhol e coreano foram incorporadas a este formulário.</t>
  </si>
  <si>
    <t>29 April 2025: Menghapus formulir kedua dan menggabungkan terjemahan bahasa Spanyol dan Korea ke dalam formulir ini.</t>
  </si>
  <si>
    <t>2025/4/19 新建第二份表單，有西班牙語和韓語的翻譯</t>
  </si>
  <si>
    <t>April 19, 2025: Created a second form with Spanish and Korean translations.</t>
  </si>
  <si>
    <t>19 квітня 2025 р.: Створено другу форму з перекладом іспанською та корейською мовами.</t>
  </si>
  <si>
    <t>19/4/2025 Tạo bảng hướng dẫn thứ hai với bản dịch tiếng Tây Ban Nha và tiếng Hàn</t>
  </si>
  <si>
    <t>19 de abril de 2025: Criada uma segunda versão com traduções para espanhol e coreano.</t>
  </si>
  <si>
    <t>19 April 2025: Membuat formulir kedua dengan terjemahan bahasa Spanyol dan Korea.</t>
  </si>
  <si>
    <t>2025/4/13  新建"料理"分頁</t>
  </si>
  <si>
    <t>Created a new "Cooking" page on 2025/4/13</t>
  </si>
  <si>
    <t>Створено нову сторінку "Cooking" 13 квітня 2025 року.</t>
  </si>
  <si>
    <t>13/4/2025 Thêm trang “Cooking” mới</t>
  </si>
  <si>
    <t>Criada uma nova página "Culinária" em 13/04/2025.</t>
  </si>
  <si>
    <t>Halaman "Memasak" baru dibuat pada 13/4/2025.</t>
  </si>
  <si>
    <t>2025/4/6 更新0.721版本 S32~34</t>
  </si>
  <si>
    <t>Updated to version 0.721 on April 6, 2025 (S32~34).</t>
  </si>
  <si>
    <t>Оновлено до версії 0.721 6 квітня 2025 р. (S32~34).</t>
  </si>
  <si>
    <t>6/4/2025 Cập nhật phiên bản 0.721 S32~S34</t>
  </si>
  <si>
    <t>Atualizado para a versão 0.721 em 6 de abril de 2025 (S32~34).</t>
  </si>
  <si>
    <t>Diperbarui ke versi 0.721 pada 6 April 2025 (S32~34).</t>
  </si>
  <si>
    <t>2025/4/4 地圖新增大焦熱溶岩帯</t>
  </si>
  <si>
    <t>2025/4/4 マップモジュールに大焦熱溶岩帯</t>
  </si>
  <si>
    <t>2025/4/4 Added the Scorching Lava Zone to the map module</t>
  </si>
  <si>
    <t>4 квітня 2025: На карту доданий Великий пояс випаленої лави.</t>
  </si>
  <si>
    <t>1/4/2025 Thêm Vùng Dung Nham Nóng Cháy vào mô-đun bản đồ</t>
  </si>
  <si>
    <t>4 de abril de 2025: Adicionada a Grande Zona de Lava Incandescente ao mapa.</t>
  </si>
  <si>
    <t>4 April 2025: Menambahkan Great Scorched Lava Belt ke peta.</t>
  </si>
  <si>
    <t>2025/4/1  新增0.72版本項目：S7、S32~S35、TIPS、兩樣道具、一件防具</t>
  </si>
  <si>
    <t>April 1, 2025: Added version 0.72 items: S7, S32~S35, TIPS, two items, and one piece of armor.</t>
  </si>
  <si>
    <t>1 квітня 2025 р.: Додані предмети з версії 0.72: S7, S32~S35, TIPS, два предмети та один елемент броні.</t>
  </si>
  <si>
    <t>1/4/2025 Thêm vật phẩm mới phiên bản 0.72: S7, S32~S35, TIPS, hai trang bị, một bộ giáp</t>
  </si>
  <si>
    <t>1º de abril de 2025: Adicionados os seguintes itens da versão 0.72: S7, S32~S35, DICAS, dois itens e uma peça de armadura.</t>
  </si>
  <si>
    <t>1 April 2025: Menambahkan item versi 0.72: S7, S32~S35, TIPS, dua item, dan satu bagian armor.</t>
  </si>
  <si>
    <t>2025/4/1  新增了網頁愚人節的小彩蛋</t>
  </si>
  <si>
    <t>A little April Fool's Day surprise was added to the website on April 1, 2025.</t>
  </si>
  <si>
    <t>1 квітня 2025 року на сайт був доданий невеликий першоквітневий сюрприз.</t>
  </si>
  <si>
    <t>1/4/2025 Thêm một trò đùa Cá Tháng Tư nhỏ trên trang web</t>
  </si>
  <si>
    <t>Uma pequena surpresa de 1º de abril foi adicionada ao site em 1º de abril de 2025.</t>
  </si>
  <si>
    <t>Sebuah kejutan kecil untuk Hari April Mop ditambahkan ke situs web pada tanggal 1 April 2025.</t>
  </si>
  <si>
    <t>2025/3/25 更新事件內地圖名稱與部分內容修正</t>
  </si>
  <si>
    <t>March 25, 2025 Update: Map names and some content within the event have been corrected.</t>
  </si>
  <si>
    <t>Оновлено від 25 березня 2025 р.: Виправлено назви карт та деякі елементи контенту заходу.</t>
  </si>
  <si>
    <t>25/3/2025 Cập nhật tên bản đồ và chỉnh sửa một số nội dung trong sự kiện</t>
  </si>
  <si>
    <t>Atualização de 25 de março de 2025: Os nomes dos mapas e alguns conteúdos do evento foram corrigidos.</t>
  </si>
  <si>
    <t>Pembaruan 25 Maret 2025: Nama peta dan beberapa konten dalam acara telah dikoreksi.</t>
  </si>
  <si>
    <t>2025/3/22-2025/5/5 地圖板塊重新完成</t>
  </si>
  <si>
    <t>Map sections were redesigned from March 22, 2025 to May 5, 2025.</t>
  </si>
  <si>
    <t>У період з 22 березня 2025 року по 5 травня 2025 року було перероблено окремі розділи карт.</t>
  </si>
  <si>
    <t>22/3/2025-5/5/2025 Phần bản đồ được hoàn thiện lại</t>
  </si>
  <si>
    <t>As seções do mapa foram redesenhadas entre 22 de março de 2025 e 5 de maio de 2025.</t>
  </si>
  <si>
    <t>Bagian-bagian peta didesain ulang dari tanggal 22 Maret 2025 hingga 5 Mei 2025.</t>
  </si>
  <si>
    <t>2025/3/21 重製事件頁面，分成SLG、RPG頁面</t>
  </si>
  <si>
    <t>March 21, 2025: Event page redesigned, divided into SLG and RPG pages.</t>
  </si>
  <si>
    <t>21 березня 2025 р.: Сторінку "Event" перероблено та поділено на сторінки для SLG та RPG.</t>
  </si>
  <si>
    <t>21/3/2025 Làm lại trang Event, chia ra làm trang SLG và RPG</t>
  </si>
  <si>
    <t>21 de março de 2025: Página do evento reformulada, dividida em páginas de SLG (Jogos de Escrita Criativa) e RPG (Jogos de RPG).</t>
  </si>
  <si>
    <t>21 Maret 2025: Halaman acara didesain ulang, dibagi menjadi halaman SLG dan RPG.</t>
  </si>
  <si>
    <t>2025/3/16 更新0.7版本資訊</t>
  </si>
  <si>
    <t>Updated version 0.7 information on 2025/3/16</t>
  </si>
  <si>
    <t>Оновлено інформацію про версію 0.7 від 16.03.2025.</t>
  </si>
  <si>
    <t>16/03/2025 Cập nhật thông tin phiên bản 0.7</t>
  </si>
  <si>
    <t>Informações atualizadas para a versão 0.7 em 16/03/2025</t>
  </si>
  <si>
    <t>Informasi versi 0.7 diperbarui pada 16/3/2025.</t>
  </si>
  <si>
    <t>2025/3/15 新增狀態分頁</t>
  </si>
  <si>
    <t>Added status pagination on 2025/3/15</t>
  </si>
  <si>
    <t>Додано посторінкову навігацію "Status" 15.03.2025.</t>
  </si>
  <si>
    <t>15/03/2025 Thêm trang Status</t>
  </si>
  <si>
    <t>Adicionada paginação de status em 15/03/2025</t>
  </si>
  <si>
    <t>Penambahan paginasi status pada 15/3/2025.</t>
  </si>
  <si>
    <t>2025/3/13 更新TIPS</t>
  </si>
  <si>
    <t>Updated TIPS 2025/3/13</t>
  </si>
  <si>
    <t>Оновлено "Tips" від 13.03.2025</t>
  </si>
  <si>
    <t>13/03/2025 Cập nhật TIPS</t>
  </si>
  <si>
    <t>Dicas atualizadas em 13/03/2025</t>
  </si>
  <si>
    <t>TIPS terbaru 2025/3/13</t>
  </si>
  <si>
    <t>2025/3/12 重新製作武器、防具、道具的頁面</t>
  </si>
  <si>
    <t>March 12, 2025: Redesigned the weapon, armor, and item pages.</t>
  </si>
  <si>
    <t>12 березня 2025 р.: Перероблено дизайн сторінок Weapon, Armor та Item.</t>
  </si>
  <si>
    <t>12/03/2025 Làm lại trang vũ khí, giáp và trang bị</t>
  </si>
  <si>
    <t>12 de março de 2025: Redesenhamos as páginas de armas, armaduras e itens.</t>
  </si>
  <si>
    <t>12 Maret 2025: Halaman senjata, baju besi, dan item didesain ulang.</t>
  </si>
  <si>
    <t>2025/3/10 更新公告</t>
  </si>
  <si>
    <t>Update Announcement (March 10, 2025)</t>
  </si>
  <si>
    <t>Повідомлення про оновлення (10 березня 2025 р.)</t>
  </si>
  <si>
    <t xml:space="preserve">10/03/2025 Cập nhật thông báo </t>
  </si>
  <si>
    <t>Anúncio de atualização (10 de março de 2025)</t>
  </si>
  <si>
    <t>Pengumuman Pembaruan (10 Maret 2025)</t>
  </si>
  <si>
    <t>2025/2/10 更新公告</t>
  </si>
  <si>
    <t>Update Announcement (February 10, 2025)</t>
  </si>
  <si>
    <t>Оновлення інформації (10 лютого 2025 р.)</t>
  </si>
  <si>
    <t>10/02/2025 Cập nhật thông báo</t>
  </si>
  <si>
    <t>Anúncio de atualização (10 de fevereiro de 2025)</t>
  </si>
  <si>
    <t>Pengumuman Pembaruan (10 Februari 2025)</t>
  </si>
  <si>
    <t>2025/2/4 新增0.65 B版本 事件</t>
  </si>
  <si>
    <t>February 4, 2025: Added version 0.65 B.</t>
  </si>
  <si>
    <t>4 лютого 2025: Додана версія 0.65 B.</t>
  </si>
  <si>
    <t>04/02/2025 Thêm sự kiện mới phiên bản 0.65B</t>
  </si>
  <si>
    <t>4 de fevereiro de 2025: Adicionada a versão 0.65 B.</t>
  </si>
  <si>
    <t>4 Februari 2025: Menambahkan versi 0.65 B.</t>
  </si>
  <si>
    <t>2025/2/3-2/4 新增墮落的聖堂地圖圖片，一部分地圖新增了篝火的標記</t>
  </si>
  <si>
    <t>February 3-4, 2025: Added map images for the Fallen Sanctuary; added campfire markers to some parts of the map.</t>
  </si>
  <si>
    <t>3-4 лютого 2025 р.: Додано зображення карти Святилища Загиблих; додано маркери багаття на деяких ділянках мапи.</t>
  </si>
  <si>
    <t>03-04/02/2025 Đã thêm hình ảnh bản đồ Đền Đổ Nát, và thêm dấu hiệu lửa trại vào một số bản đồ</t>
  </si>
  <si>
    <t>3 e 4 de fevereiro de 2025: Adicionadas imagens do mapa do Santuário Caído; adicionados marcadores de fogueira em algumas partes do mapa.</t>
  </si>
  <si>
    <t>3-4 Februari 2025: Menambahkan gambar peta untuk Fallen Sanctuary; menambahkan penanda api unggun ke beberapa bagian peta.</t>
  </si>
  <si>
    <t>2025/2/2 新增0.65A版本 事件、裝甲</t>
  </si>
  <si>
    <t>February 2, 2025: Added version 0.65A, including events and armor.</t>
  </si>
  <si>
    <t>2 лютого 2025 р.: Додана версія 0.65A, що включає події та броню.</t>
  </si>
  <si>
    <t>02/02/2025 Đã thêm sự kiện và giáp phiên bản 0.65A</t>
  </si>
  <si>
    <t>2 de fevereiro de 2025: Adicionada a versão 0.65A, incluindo eventos e armaduras.</t>
  </si>
  <si>
    <t>2 Februari 2025: Menambahkan versi 0.65A, termasuk event dan armor.</t>
  </si>
  <si>
    <t>2025/1/15 地圖圖庫資訊更新</t>
  </si>
  <si>
    <t>Map library information update on January 15, 2025</t>
  </si>
  <si>
    <t>Оновлення інформації бібліотеки карт 15 січня 2025 року</t>
  </si>
  <si>
    <t>15/01/2025 Cập nhật Thông Tin Thư viện Bản đồ</t>
  </si>
  <si>
    <t>Atualização das informações da biblioteca de mapas em 15 de janeiro de 2025.</t>
  </si>
  <si>
    <t>Pembaruan informasi perpustakaan peta pada 15 Januari 2025.</t>
  </si>
  <si>
    <t>2025/1/13 新增0.61版本資訊:事件</t>
  </si>
  <si>
    <t>January 13, 2025: Added version 0.61 information: Events</t>
  </si>
  <si>
    <t>13 січня 2025 р.: Додано інформацію про версію 0.61: Events</t>
  </si>
  <si>
    <t>13/01/2025 Thêm thông tin mới phiên bản 0.61: Event</t>
  </si>
  <si>
    <t>13 de janeiro de 2025: Adicionadas informações da versão 0.61: Eventos</t>
  </si>
  <si>
    <t>13 Januari 2025: Menambahkan informasi versi 0.61: Acara</t>
  </si>
  <si>
    <t>2025/1/6 新增0.6C版本資訊:裝甲</t>
  </si>
  <si>
    <t>January 6, 2025: Added 0.6C version information: Armor</t>
  </si>
  <si>
    <t>6 січня 2025 року: Додано інформацію про версію 0.6C: Armor</t>
  </si>
  <si>
    <t>06/01/2025 Thêm thông tin mới phiên bản 0.6C: Armor</t>
  </si>
  <si>
    <t>6 de janeiro de 2025: Adicionadas informações sobre a versão 0.6C: Armadura</t>
  </si>
  <si>
    <t>6 Januari 2025: Menambahkan informasi versi 0.6C: Armor</t>
  </si>
  <si>
    <t>2025/1/5 新增0.6B版本資訊:事件</t>
  </si>
  <si>
    <t>January 5, 2025: Added version 0.6B information: Events</t>
  </si>
  <si>
    <t>5 січня 2025 р.: Додано інформацію про версію 0.6B: Events</t>
  </si>
  <si>
    <t>05/01/2025 Thêm thông tin mới phiên bản 0.6B: Event</t>
  </si>
  <si>
    <t>5 de janeiro de 2025: Adicionadas informações da versão 0.6B: Eventos</t>
  </si>
  <si>
    <t>5 Januari 2025: Menambahkan informasi versi 0.6B: Acara</t>
  </si>
  <si>
    <t>2025/1/3 新增0.6A版本資訊:事件</t>
  </si>
  <si>
    <t>January 3, 2025: Added information for version 0.6A: Events</t>
  </si>
  <si>
    <t>3 січня 2025 р.: Додано інформацію для версії 0.6A: Events</t>
  </si>
  <si>
    <t>03/01/2025 Thêm thông tin mới phiên bản 0.6A: Event</t>
  </si>
  <si>
    <t>3 de janeiro de 2025: Adicionadas informações para a versão 0.6A: Eventos</t>
  </si>
  <si>
    <t>3 Januari 2025: Menambahkan informasi untuk versi 0.6A: Acara</t>
  </si>
  <si>
    <t>2025/1/2 新增0.6版本資訊</t>
  </si>
  <si>
    <t>2025/1/2 Added version 0.6 information</t>
  </si>
  <si>
    <t>2025/1/2 Додано інформацію про версію 0.6</t>
  </si>
  <si>
    <t>02/01/2025 Đã thêm thông tin phiên bản 0.6</t>
  </si>
  <si>
    <t>2025/1/2 Adicionadas informações da versão 0.6</t>
  </si>
  <si>
    <t>Informasi versi 0.6 ditambahkan pada 2 Januari 2025.</t>
  </si>
  <si>
    <t>2024/12/25 新增提示與部分文本修正、地圖製作初步完成</t>
  </si>
  <si>
    <t>December 25, 2024: Added new hints and corrected some text; initial map creation completed.</t>
  </si>
  <si>
    <t>25 грудня 2024 р.: Додано нові підказки та виправлено деякий текст; початкове створення карти завершено.</t>
  </si>
  <si>
    <t>25/12/2024 Mẹo mới và một số chỉnh sửa chính tả, xây dựng bản đồ bước đầu hoàn thành</t>
  </si>
  <si>
    <t>25 de dezembro de 2024: Adicionadas novas dicas e corrigidos alguns textos; criação inicial do mapa concluída.</t>
  </si>
  <si>
    <t>25 Desember 2024: Menambahkan petunjuk baru dan mengoreksi beberapa teks; pembuatan peta awal selesai.</t>
  </si>
  <si>
    <t>2024/12/2 新增0.55資訊-事件</t>
  </si>
  <si>
    <t>2024/12/2 Added 0.55 information - event</t>
  </si>
  <si>
    <t>2024/12/2 Додано інформацію про подію 0.55</t>
  </si>
  <si>
    <t>02/12/2024 Đã thêm thông tin - Event phiên bản 0.55</t>
  </si>
  <si>
    <t>02/12/2024 Adicionadas 0,55 informações - evento</t>
  </si>
  <si>
    <t>2024/12/2 Menambahkan 0,55 informasi - acara</t>
  </si>
  <si>
    <t>2024/11/29 新增遺跡相關地圖</t>
  </si>
  <si>
    <t>Added ruin-related maps on 2024/11/29</t>
  </si>
  <si>
    <t>Додано карти, пов'язані з руїнами, 29.11.2024</t>
  </si>
  <si>
    <t xml:space="preserve">29/11/2024 Đã thêm bản đồ mới liên quan đến tàn tích </t>
  </si>
  <si>
    <t>Adicionados mapas relacionados a ruínas em 29/11/2024.</t>
  </si>
  <si>
    <t>Peta terkait reruntuhan ditambahkan pada 29/11/2024.</t>
  </si>
  <si>
    <t>2024/11/24 新增0.5C版本內容-事件、怪物資訊、提示</t>
  </si>
  <si>
    <t>2024/11/24 Added 0.5C version content - Events, Monster Information, Tips</t>
  </si>
  <si>
    <t>24.11.2024 Додано контент версії 0.5C – Events, Monster Information, Tips</t>
  </si>
  <si>
    <t>24/11/2024 Nội dung mới được thêm vào phiên bản 0.5C - event, thông tin quái vật, mẹo</t>
  </si>
  <si>
    <t>24/11/2024 Adicionado conteúdo da versão 0.5C - Eventos, Informações sobre Monstros, Dicas</t>
  </si>
  <si>
    <t>24/11/2024 Menambahkan konten versi 0.5C - Acara, Informasi Monster, Kiat</t>
  </si>
  <si>
    <t>2024/11/22 新增0.5B版本內容-事件/提示</t>
  </si>
  <si>
    <t>Added version 0.5B content on 2024/11/22 - Events/Notifications</t>
  </si>
  <si>
    <t>Додано контент версії 0.5B 22.11.2024 – Events/Notifications</t>
  </si>
  <si>
    <t>22/11/2024 Nội dung mới được thêm vào phiên bản 0.5B - Event/Lệnh</t>
  </si>
  <si>
    <t>Adicionado conteúdo da versão 0.5B em 22/11/2024 - Eventos/Notificações</t>
  </si>
  <si>
    <t>Konten versi 0.5B ditambahkan pada 22/11/2024 - Acara/Pemberitahuan</t>
  </si>
  <si>
    <t>2024/11/21 新增MAP圖檔</t>
  </si>
  <si>
    <t>Added MAP file on 2024/11/21</t>
  </si>
  <si>
    <t>2024/11/21 新增地图图片</t>
  </si>
  <si>
    <t>Додано файл MAP 21.11.2024</t>
  </si>
  <si>
    <t>21/11/2024 Tệp MAP mới</t>
  </si>
  <si>
    <t>Arquivo MAP adicionado em 21/11/2024</t>
  </si>
  <si>
    <t>Berkas MAP ditambahkan pada 21/11/2024.</t>
  </si>
  <si>
    <t>2024/11/20 新增0.5A版本內容-事件/提示</t>
  </si>
  <si>
    <t>Added version 0.5A content on 2024/11/20 - Events/Prompts</t>
  </si>
  <si>
    <t>Додано контент версії 0.5A 20.11.2024 – Events/Prompts</t>
  </si>
  <si>
    <t>20/11/2024 Đã thêm nội dung mới vào phiên bản 0.5A - Event/Lệnh</t>
  </si>
  <si>
    <t>Adicionado conteúdo da versão 0.5A em 20/11/2024 - Eventos/Sugestões</t>
  </si>
  <si>
    <t>2024/11/20 Menambahkan konten versi 0.5A - Acara/Prompt</t>
  </si>
  <si>
    <t>2024/11/2 轉載至巴哈姆特個人創作https://home.gamer.com.tw/artwork.php?sn=6032493</t>
  </si>
  <si>
    <r>
      <rPr>
        <rFont val="Microsoft JhengHei"/>
        <sz val="12.0"/>
      </rPr>
      <t xml:space="preserve">Reposted from Bahamut's personal creations on November 2, 2024: </t>
    </r>
    <r>
      <rPr>
        <rFont val="Microsoft JhengHei"/>
        <color rgb="FF1155CC"/>
        <sz val="12.0"/>
        <u/>
      </rPr>
      <t>https://home.gamer.com.tw/artwork.php?sn=6032493</t>
    </r>
  </si>
  <si>
    <r>
      <rPr>
        <rFont val="Microsoft JhengHei"/>
        <sz val="10.0"/>
      </rPr>
      <t xml:space="preserve">Передруковано з особистих творінь Bahamut's 2 листопада 2024 року: </t>
    </r>
    <r>
      <rPr>
        <rFont val="Microsoft JhengHei"/>
        <color rgb="FF1155CC"/>
        <sz val="10.0"/>
        <u/>
      </rPr>
      <t>https://home.gamer.com.tw/artwork.php?sn=6032493</t>
    </r>
  </si>
  <si>
    <t>02/11/2024 Đăng lại trên sáng tác cá nhân của Bahamut https://home.gamer.com.tw/artwork.php?sn=6032493</t>
  </si>
  <si>
    <r>
      <rPr>
        <rFont val="Microsoft JhengHei"/>
        <sz val="11.0"/>
      </rPr>
      <t xml:space="preserve">Republicado das criações pessoais de Bahamut em 2 de novembro de 2024: </t>
    </r>
    <r>
      <rPr>
        <rFont val="Microsoft JhengHei"/>
        <color rgb="FF1155CC"/>
        <sz val="11.0"/>
        <u/>
      </rPr>
      <t>https://home.gamer.com.tw/artwork.php?sn=6032493</t>
    </r>
  </si>
  <si>
    <t>Diposting ulang dari kreasi pribadi Bahamut pada 2 November 2024: https://home.gamer.com.tw/artwork.php?sn=6032493</t>
  </si>
  <si>
    <t>2024/11/2 新增0.45版本內容-事件/提示</t>
  </si>
  <si>
    <t>November 2, 2024: Added version 0.45 content - Events/Notifications</t>
  </si>
  <si>
    <t>2 листопада 2024 р.: Додано контент версії 0.45 – Events/Notifications</t>
  </si>
  <si>
    <t>02/11/2024 Đã thêm nội dung mới vào phiên bản 0.45 - Event/Lệnh</t>
  </si>
  <si>
    <t>2 de novembro de 2024: Adicionado conteúdo da versão 0.45 - Eventos/Notificações</t>
  </si>
  <si>
    <t>2 November 2024: Menambahkan konten versi 0.45 - Acara/Notifikasi</t>
  </si>
  <si>
    <t>2024/10/31 新增獨立顯卡操作說明</t>
  </si>
  <si>
    <t>Instructions for adding a dedicated graphics card (2024/10/31)</t>
  </si>
  <si>
    <t>Інструкції щодо додавання дискретної відеокарти (31.10.2024)</t>
  </si>
  <si>
    <t>31/10/2024 Đã thêm hướng dẫn chạy card đồ họa độc lập</t>
  </si>
  <si>
    <t>Instruções para adicionar uma placa gráfica dedicada (31/10/2024)</t>
  </si>
  <si>
    <t>Petunjuk untuk menambahkan kartu grafis khusus (31/10/2024)</t>
  </si>
  <si>
    <t>2024/10/28 新增部分公告內容</t>
  </si>
  <si>
    <t>Added some announcement content on 2024/10/28</t>
  </si>
  <si>
    <t>Додано деякі оголошення від 28.10.2024</t>
  </si>
  <si>
    <t>28/10/2024 Đã thêm một số nội dung thông báo</t>
  </si>
  <si>
    <t>Adicionado conteúdo de anúncio em 28/10/2024.</t>
  </si>
  <si>
    <t>Menambahkan beberapa konten pengumuman pada 28/10/2024</t>
  </si>
  <si>
    <t>2024/10/24 新增0.4C版本內容-事件/野外掉落/裝甲</t>
  </si>
  <si>
    <t>October 24, 2024: Added 0.4C version content - Events/World Drops/Armor</t>
  </si>
  <si>
    <t>24 жовтня 2024 р.: Додано контент версії 0.4C – Events/World Drops/Armor</t>
  </si>
  <si>
    <t>24/10/2024 Nội dung mới được thêm vào phiên bản 0.4C - Event/Drops/Armor</t>
  </si>
  <si>
    <t>24 de outubro de 2024: Adicionado conteúdo da versão 0.4C - Eventos/Itens Recompensados ​​pelo Mundo/Armaduras</t>
  </si>
  <si>
    <t>24 Oktober 2024: Menambahkan konten versi 0.4C - Acara/Drop Dunia/Armor</t>
  </si>
  <si>
    <t>2024/10/21 新增0.4A版本內容(Drop/Equip/Tips)</t>
  </si>
  <si>
    <t>October 21, 2024: Added version 0.4A content (Drop/Equip/Tips)</t>
  </si>
  <si>
    <t>21 жовтня 2024 р.: Додано контент версії 0.4A (Drop/Equip/Tips)</t>
  </si>
  <si>
    <t>21/10/2024 Nội dung mới được thêm vào phiên bản 0.4A (Drops/Gears/Tips)</t>
  </si>
  <si>
    <t>21 de outubro de 2024: Adicionado conteúdo da versão 0.4A (Obter/Equipar/Dicas)</t>
  </si>
  <si>
    <t>21 Oktober 2024: Menambahkan konten versi 0.4A (Drop/Equip/Tips)</t>
  </si>
  <si>
    <t>2024/10/15新增地圖、事件編號表</t>
  </si>
  <si>
    <t>Added map and event number table on 2024/10/15</t>
  </si>
  <si>
    <t>Додано карту та таблицю номерів подій 15.10.2024</t>
  </si>
  <si>
    <t>15/10/2024 Thêm mới đánh số bản đồ và sự kiện</t>
  </si>
  <si>
    <t>Adicionado mapa e tabela de números de eventos em 15/10/2024.</t>
  </si>
  <si>
    <t>Peta dan tabel nomor acara ditambahkan pada 15/10/2024.</t>
  </si>
  <si>
    <t>2024/10/15新增部分事件、新增事件NO.</t>
  </si>
  <si>
    <t>Added some events and new event numbers on 2024/10/15.</t>
  </si>
  <si>
    <t>Додано деякі події та нові номери подій 15.10.2024.</t>
  </si>
  <si>
    <t>15/10/2024 Đã thêm một số sự kiện và đánh số sự kiện mới</t>
  </si>
  <si>
    <t>Adicionados alguns eventos e novos números de eventos em 15/10/2024.</t>
  </si>
  <si>
    <t>Beberapa acara dan nomor acara baru ditambahkan pada 15/10/2024.</t>
  </si>
  <si>
    <t>2024/10/14 調整部分格式</t>
  </si>
  <si>
    <t>2024/10/14 Adjusted some formatting</t>
  </si>
  <si>
    <t>14.10.2024 Змінено деяке форматування</t>
  </si>
  <si>
    <t>14/10/2024 Điều chỉnh một số định dạng</t>
  </si>
  <si>
    <t>14/10/2024 Ajustes de formatação</t>
  </si>
  <si>
    <t>14/10/2024 Beberapa format telah disesuaikan</t>
  </si>
  <si>
    <t>2024/10/13新增簡體中文翻譯</t>
  </si>
  <si>
    <t>Added Simplified Chinese translation on 2024/10/13</t>
  </si>
  <si>
    <t>Додано спрощений китайський переклад 13.10.2024</t>
  </si>
  <si>
    <t>13/10/2024 Đã thêm bản dịch tiếng Trung giản thể</t>
  </si>
  <si>
    <t>Adicionada tradução para chinês simplificado em 13/10/2024.</t>
  </si>
  <si>
    <t>Terjemahan Bahasa Mandarin Sederhana ditambahkan pada 13/10/2024.</t>
  </si>
  <si>
    <t>2024/10/12新增公告表與編輯日誌、修正塔羅牌</t>
  </si>
  <si>
    <t>October 12, 2024: Added announcement form and edit log; revised tarot cards.</t>
  </si>
  <si>
    <t>12 жовтня 2024 р.: Додано форму оголошень та журнал редагування; перероблено карти Таро.</t>
  </si>
  <si>
    <t>12/10/2024 Đã thêm bảng thông báo và nhật ký chỉnh sửa, thẻ Tarot đã chỉnh sửa</t>
  </si>
  <si>
    <t>12 de outubro de 2024: Adicionado formulário de anúncio e registro de edições; cartas de tarô revisadas.</t>
  </si>
  <si>
    <t>12 Oktober 2024: Menambahkan formulir pengumuman dan log pengeditan; merevisi kartu tarot.</t>
  </si>
  <si>
    <t>2024/10/10 新增事件、提示表內容</t>
  </si>
  <si>
    <t>October 10, 2024: Added new events and notification table content.</t>
  </si>
  <si>
    <t>10 жовтня 2024 р.: Додано нові події та вміст таблиці сповіщень.</t>
  </si>
  <si>
    <t>10/10/2024 Thêm sự kiện và lệnh mới</t>
  </si>
  <si>
    <t>10 de outubro de 2024: Adicionados novos eventos e conteúdo à tabela de notificações.</t>
  </si>
  <si>
    <t>10 Oktober 2024: Menambahkan acara baru dan konten tabel pemberitahuan.</t>
  </si>
  <si>
    <t>2024/10/9新增事件、提示表內容</t>
  </si>
  <si>
    <t>Added events and notifications on 2024/10/9</t>
  </si>
  <si>
    <t>Додано події та сповіщення 09.10.2024</t>
  </si>
  <si>
    <t>9/10/2024 Thêm sự kiện và lệnh mới</t>
  </si>
  <si>
    <t>Eventos e notificações adicionados em 09/10/2024</t>
  </si>
  <si>
    <t>Acara dan pemberitahuan ditambahkan pada 9 Oktober 2024.</t>
  </si>
  <si>
    <t>2024/10/8新增事件、提示表內容</t>
  </si>
  <si>
    <t>Added event and notification table content on 2024/10/8</t>
  </si>
  <si>
    <t>Додано вміст таблиці подій та сповіщень 08.10.2024</t>
  </si>
  <si>
    <t>8/10/2024 Thêm sự kiện và lệnh mới</t>
  </si>
  <si>
    <t>Adicionado conteúdo à tabela de eventos e notificações em 08/10/2024.</t>
  </si>
  <si>
    <t>Konten tabel acara dan pemberitahuan ditambahkan pada 8 Oktober 2024.</t>
  </si>
  <si>
    <t>2024/10/7新增提示表</t>
  </si>
  <si>
    <t>Added notification table on 2024/10/7</t>
  </si>
  <si>
    <t>Додано таблицю сповіщень 07.10.2024</t>
  </si>
  <si>
    <t>7/10/2024 Bảng TIPS mới</t>
  </si>
  <si>
    <t>Tabela de notificações adicionada em 07/10/2024</t>
  </si>
  <si>
    <t>Tabel pemberitahuan ditambahkan pada 7/10/2024.</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</si>
  <si>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</si>
  <si>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</si>
  <si>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October 6, 2024. Authorized Discord user: mioakatukaze to repost on bilibili.
https://www.bilibili.com/opus/985591575966908440?spm_id_from=333.999.0.0</t>
  </si>
  <si>
    <t>6 жовтня 2024 року. Авторизований користувач Discord: mioakatukaze має право репостнути допис на bilibili.
https://www.bilibili.com/opus/985591575966908440?spm_id_from=333.999.0.0</t>
  </si>
  <si>
    <r>
      <rPr>
        <rFont val="Arial"/>
      </rPr>
      <t xml:space="preserve">6/10/2024
Được cho phép đăng lại trên Bilibili qua Discord: mioakatukaze
</t>
    </r>
    <r>
      <rPr>
        <rFont val="Arial"/>
        <color rgb="FF1155CC"/>
        <u/>
      </rPr>
      <t>https://www.bilibili.com/opus/985591575966908440?spm_id_from=333.999.0.0</t>
    </r>
  </si>
  <si>
    <r>
      <rPr>
        <rFont val="Microsoft JhengHei"/>
        <sz val="11.0"/>
      </rPr>
      <t xml:space="preserve">6 de outubro de 2024. Usuário autorizado do Discord: mioakatukaze para republicar no Bilibili. </t>
    </r>
    <r>
      <rPr>
        <rFont val="Microsoft JhengHei"/>
        <color rgb="FF1155CC"/>
        <sz val="11.0"/>
        <u/>
      </rPr>
      <t>https://www.bilibili.com/opus/985591575966908440?spm_id_from=333.999.0.0</t>
    </r>
  </si>
  <si>
    <t>6 Oktober 2024. Pengguna Discord yang berwenang: mioakatukaze untuk memposting ulang di bilibili.
https://www.bilibili.com/opus/985591575966908440?spm_id_from=333.999.0.0</t>
  </si>
  <si>
    <t>2024/10/6全頁面修改調整</t>
  </si>
  <si>
    <t>Full page edited and adjusted on 2024/10/6</t>
  </si>
  <si>
    <t>Повна сторінка відредагована та скоригована 06.10.2024</t>
  </si>
  <si>
    <t>6/10/2024 Sửa đổi và điều chỉnh toàn bộ toàn bộ trang</t>
  </si>
  <si>
    <t>Página inteira editada e ajustada em 06/10/2024</t>
  </si>
  <si>
    <t>Halaman lengkap diedit dan disesuaikan pada 6 Oktober 2024.</t>
  </si>
  <si>
    <t>2024/10/5對外發布</t>
  </si>
  <si>
    <t>Released to the public on October 5, 2024</t>
  </si>
  <si>
    <t>Опубліковано для публіки 5 жовтня 2024 року</t>
  </si>
  <si>
    <t>Được phát hành vào ngày 5/10/2024</t>
  </si>
  <si>
    <t>Lançado ao público em 5 de outubro de 2024.</t>
  </si>
  <si>
    <t>Dirilis ke publik pada 5 Oktober 2024.</t>
  </si>
  <si>
    <t>2024/10/4初版完成</t>
  </si>
  <si>
    <t>First draft completed on October 4, 2024</t>
  </si>
  <si>
    <t>Перший черновик завершено 4 жовтня 2024 року</t>
  </si>
  <si>
    <t>4/10/2024 Phiên bản đầu tiên được hoàn thiện</t>
  </si>
  <si>
    <t>Primeira versão concluída em 4 de outubro de 2024.</t>
  </si>
  <si>
    <t>Draf pertama selesai pada 4 Oktober 2024.</t>
  </si>
  <si>
    <t>2024/10/1 建立本表單</t>
  </si>
  <si>
    <t>This form was created on October 1, 2024.</t>
  </si>
  <si>
    <t>Цю форму було створено 1 жовтня 2024 року.</t>
  </si>
  <si>
    <t>Biểu mẫu này được tạo ra vào ngày 1/10/2024</t>
  </si>
  <si>
    <t xml:space="preserve">Este formulário foi criado em 1 de outubro de 2024. </t>
  </si>
  <si>
    <t>Formulir ini dibuat pada tanggal 1 Oktober 2024.</t>
  </si>
  <si>
    <t>NO.</t>
  </si>
  <si>
    <t>SLG事件</t>
  </si>
  <si>
    <t>說明</t>
  </si>
  <si>
    <t>結果</t>
  </si>
  <si>
    <t>SLGイベント</t>
  </si>
  <si>
    <t>説明内容</t>
  </si>
  <si>
    <t>SLG Event</t>
  </si>
  <si>
    <t>How to Get</t>
  </si>
  <si>
    <t>Result</t>
  </si>
  <si>
    <t>Simulacion de Evento</t>
  </si>
  <si>
    <t>Como obtenerlos</t>
  </si>
  <si>
    <t>Resultado</t>
  </si>
  <si>
    <t>Події</t>
  </si>
  <si>
    <t>Способи отримання</t>
  </si>
  <si>
    <t>Результат</t>
  </si>
  <si>
    <t>События</t>
  </si>
  <si>
    <t>Способы получения</t>
  </si>
  <si>
    <t>Eventsnamen</t>
  </si>
  <si>
    <t>Wie bekommt man es?</t>
  </si>
  <si>
    <t>Die Ergebnisse</t>
  </si>
  <si>
    <t>Số</t>
  </si>
  <si>
    <t>Sự kiện mô phỏng</t>
  </si>
  <si>
    <t>Cách thực hiện</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</si>
  <si>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</si>
  <si>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</si>
  <si>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</si>
  <si>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</si>
  <si>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</si>
  <si>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</si>
  <si>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</si>
  <si>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</si>
  <si>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</si>
  <si>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</si>
  <si>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</si>
  <si>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</si>
  <si>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</si>
  <si>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Загальні події</t>
  </si>
  <si>
    <t>Основные события</t>
  </si>
  <si>
    <t>Übliche, relevante Events</t>
  </si>
  <si>
    <t>Sự kiện chung</t>
  </si>
  <si>
    <t>Evento geral</t>
  </si>
  <si>
    <t>Event Umum</t>
  </si>
  <si>
    <t>開局選項</t>
  </si>
  <si>
    <t>抱住妹妹</t>
  </si>
  <si>
    <t>提升妹妹性慾</t>
  </si>
  <si>
    <t>最初の選択肢</t>
  </si>
  <si>
    <t>妹を抱きしめる</t>
  </si>
  <si>
    <t>妹の性欲を高める「お兄ちゃんのバカ！変態！」</t>
  </si>
  <si>
    <t>First Choices</t>
  </si>
  <si>
    <t>Hug my sister</t>
  </si>
  <si>
    <t>Sister's desire will be increased</t>
  </si>
  <si>
    <t>开局选项</t>
  </si>
  <si>
    <t>提升妹妹Xin欲
（谁不想趁妹妹在旁边叫你起床的时候rua一下呢）</t>
  </si>
  <si>
    <t>Primeras Opciones</t>
  </si>
  <si>
    <t>Abrazar a mi hermana</t>
  </si>
  <si>
    <t>El deseo sexual de la hermana se incrementara</t>
  </si>
  <si>
    <t>첫 번째 선택지</t>
  </si>
  <si>
    <t>여동생을 껴안는다.</t>
  </si>
  <si>
    <t>여동생의 호감도가 올라갔다.</t>
  </si>
  <si>
    <t>Початкові дії</t>
  </si>
  <si>
    <t>Обійняти сестру</t>
  </si>
  <si>
    <t>Підвищує сексуальний потяг сестри</t>
  </si>
  <si>
    <t>Начальные действия</t>
  </si>
  <si>
    <t>Обнять сестру</t>
  </si>
  <si>
    <t>Повышает сексуальное влечение сестры</t>
  </si>
  <si>
    <t>Erste Entscheidungen</t>
  </si>
  <si>
    <t>Umarme deine Schwester</t>
  </si>
  <si>
    <t>Sexuelle Lust deiner Schwester erhöht</t>
  </si>
  <si>
    <t>Lựa chọn đầu tiên</t>
  </si>
  <si>
    <t>Ôm em gái</t>
  </si>
  <si>
    <t>Ham muốn của em gái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</si>
  <si>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</si>
  <si>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</si>
  <si>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</si>
  <si>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</si>
  <si>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</si>
  <si>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</si>
  <si>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</si>
  <si>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</si>
  <si>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</si>
  <si>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</si>
  <si>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</si>
  <si>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</si>
  <si>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 xml:space="preserve">获得随机部分武器
</t>
  </si>
  <si>
    <t>Se consigue un arma al azar</t>
  </si>
  <si>
    <t>괜찮아, 일어났어. -&gt; 어릴 적 꿈</t>
  </si>
  <si>
    <t>무작위 무기 획득합니다.</t>
  </si>
  <si>
    <t>Пробудження -&gt; Спогади про дитинство</t>
  </si>
  <si>
    <t>Отримання випадкової зброї</t>
  </si>
  <si>
    <t>Пробуждение -&gt; Воспоминания о детстве</t>
  </si>
  <si>
    <t>Получение случайного оружия</t>
  </si>
  <si>
    <t xml:space="preserve">
Ich bin jetzt wach -&gt; Kindheit
</t>
  </si>
  <si>
    <t>Erhalte eine zufällige Waffe</t>
  </si>
  <si>
    <t>Mình thức dậy -&gt; Tuổi thơ</t>
  </si>
  <si>
    <t>Nhận được vũ khí ngẫu nhiên</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</si>
  <si>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</si>
  <si>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</si>
  <si>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</si>
  <si>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</si>
  <si>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</si>
  <si>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</si>
  <si>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</si>
  <si>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</si>
  <si>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</si>
  <si>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</si>
  <si>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</si>
  <si>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</si>
  <si>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</si>
  <si>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Пробудження -&gt; Наснився стейк</t>
  </si>
  <si>
    <t>Цей вибір активує "Обіцянка м'ясної страви"</t>
  </si>
  <si>
    <t>Пробуждение -&gt; Приснился стейк</t>
  </si>
  <si>
    <t xml:space="preserve">Этот выбор активирует "Обещание мясного блюда" </t>
  </si>
  <si>
    <t>Ich bin jetzt wach -&gt; Traum des Steak</t>
  </si>
  <si>
    <t>Ich verspreche ihr ein Fleischgericht</t>
  </si>
  <si>
    <t>Mình thức dậy -&gt; Giấc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</si>
  <si>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</si>
  <si>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</si>
  <si>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</si>
  <si>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</si>
  <si>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</si>
  <si>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</si>
  <si>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</si>
  <si>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</si>
  <si>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</si>
  <si>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</si>
  <si>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</si>
  <si>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</si>
  <si>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</si>
  <si>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</si>
  <si>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Пробудження -&gt; Не пам'ятаю</t>
  </si>
  <si>
    <t>"Можливо я згадаю це коли-небудь"</t>
  </si>
  <si>
    <t>Пробуждение -&gt; Не помню</t>
  </si>
  <si>
    <t>"Возможно я вспомню это когда нибудь"</t>
  </si>
  <si>
    <t>Ich bin jetzt wach -&gt; Traum Vergessen</t>
  </si>
  <si>
    <t>Ich werde mich wahrscheinlich irgendwann daran erinnern …</t>
  </si>
  <si>
    <t>Mình thức dậy -&gt; Không nhớ gì cả</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</si>
  <si>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</si>
  <si>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</si>
  <si>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</si>
  <si>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</si>
  <si>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</si>
  <si>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</si>
  <si>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</si>
  <si>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</si>
  <si>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</si>
  <si>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</si>
  <si>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</si>
  <si>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</si>
  <si>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</si>
  <si>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</si>
  <si>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</si>
  <si>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</si>
  <si>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</si>
  <si>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</si>
  <si>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Перша подорож</t>
  </si>
  <si>
    <t>Після першої подорожі у вас відкриється особливий діалог із сестрою, який буде програний лише один раз.</t>
  </si>
  <si>
    <t>Спеціальний діалог</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</si>
  <si>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</si>
  <si>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</si>
  <si>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</si>
  <si>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</si>
  <si>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</si>
  <si>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</si>
  <si>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</si>
  <si>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hội thoại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</si>
  <si>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</si>
  <si>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</si>
  <si>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</si>
  <si>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</si>
  <si>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</si>
  <si>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</si>
  <si>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</si>
  <si>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</si>
  <si>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</si>
  <si>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</si>
  <si>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</si>
  <si>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</si>
  <si>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</si>
  <si>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</si>
  <si>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</si>
  <si>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</si>
  <si>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</si>
  <si>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</si>
  <si>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Обіцянка м'ясної страви</t>
  </si>
  <si>
    <t>Приготуйте м'ясну страву</t>
  </si>
  <si>
    <t>Отримання предмета 
"Дівчача посмішка"</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</si>
  <si>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</si>
  <si>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</si>
  <si>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</si>
  <si>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</si>
  <si>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</si>
  <si>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</si>
  <si>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</si>
  <si>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</si>
  <si>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em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</si>
  <si>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</si>
  <si>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</si>
  <si>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</si>
  <si>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</si>
  <si>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</si>
  <si>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</si>
  <si>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</si>
  <si>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</si>
  <si>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</si>
  <si>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 xml:space="preserve">
30日間連続で行動不能になることはできません。星の門（赤い扉）を使って帰宅するか、時間が17:00に達すると、妹がかわいいスタンプをくれます。冒険開始直後に早く帰る場合はカウントされません。失敗（死亡）すると、その都度最初からやり直しになります。
</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</si>
  <si>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</si>
  <si>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</si>
  <si>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</si>
  <si>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"Imouto's Free Pass" item from Imouto. (Subsequent events are still unimplemented)</t>
  </si>
  <si>
    <t>30天内不可以受到致命伤害(死亡)，需使用传送门提前回家或时间到时回家，使用地图起始处下方的提前回家视为无效，若中断则会重新累计</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</si>
  <si>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</si>
  <si>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</si>
  <si>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</si>
  <si>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</si>
  <si>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Обіцянка не постраждати</t>
  </si>
  <si>
    <t>Ви повинні не отримати статус "травмований" протягом 30 днів. Ви можете використовувати Зоряні двері або дочекатися 17:00, щоб повернутися додому. Дія "Піти додому раніше" біля входу на локацію не рахується. Якщо ви повернулися травмованим, таймер обнулюється.</t>
  </si>
  <si>
    <t>Отримайте "Квиток безкоштовної перепустки" від сестри. (Далі подальші дії з ним ще не реалізовані).</t>
  </si>
  <si>
    <t>Обещание не пострадать</t>
  </si>
  <si>
    <t>Вы должны не получать статус "травмирован" в течение 30 дней. Вы можете использовать Звёздную дверь или дождаться 17:00, чтобы вернуться домой. Действие "Пойти домой пораньше" возле входа на локацию не считается. Если вы вернулись травмированым, то таймер обнуляется.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</si>
  <si>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</si>
  <si>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</si>
  <si>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</si>
  <si>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</si>
  <si>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</si>
  <si>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chết trong 30 ngày liên tiếp. Em gái sẽ cho bạn một hình dán dễ thương mỗi khi bạn về nhà bằng Cửa Thiên Tinh (Cửa màu đỏ)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</si>
  <si>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được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</si>
  <si>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</si>
  <si>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</si>
  <si>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</si>
  <si>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</si>
  <si>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</si>
  <si>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</si>
  <si>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</si>
  <si>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</si>
  <si>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</si>
  <si>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</si>
  <si>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</si>
  <si>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</si>
  <si>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</si>
  <si>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</si>
  <si>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</si>
  <si>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</si>
  <si>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</si>
  <si>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</si>
  <si>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</si>
  <si>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</si>
  <si>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Обіцянка полуничного молока</t>
  </si>
  <si>
    <t>Якщо ви хочете, щоб сестра зробила щось, чого вона не хоче робити, ви можете підкупити її полуничним молоком у кількості 1, 10 чи 100 штук. Чим більше молока ви дасте їй, тим більше шанс на те, що вона погодиться виконати ваше прохання. (Цей трюк схожий на бонусний подарунок сестри)</t>
  </si>
  <si>
    <t>Ви повинні виконати цю обіцянку протягом 1 дня, інакше ❤️ перетвориться на 🖤
(Ще не реалізовано)</t>
  </si>
  <si>
    <t>Обещание клубничного молока</t>
  </si>
  <si>
    <t>Если вы хотите, чтобы сестра сделала что-то, чего она не хочет делать, вы можете подкупить её клубничным молоком в количестве 1, 10 или 100 штук. Чем больше молока вы ей дадите, тем больше шанс на то, что она согласится выполнить вашу просьбу. (Этот трюк похож на бонусный подарок сестры)</t>
  </si>
  <si>
    <t>Вы должны выполнить это обещание в течение 1 дня, иначе ❤️ превратится в 🖤
(Ещё не реализовано)</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</si>
  <si>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</si>
  <si>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</si>
  <si>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</si>
  <si>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</si>
  <si>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mà em ấy không muốn, bạn có thể "hối lộ" em ấy với Sữa Dâu Tây với số lượng là 1,10 hay 100. Khả năng em ấy đồng ý tăng sẽ nếu cho em ấy càng nhiều sữa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</si>
  <si>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</si>
  <si>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</si>
  <si>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Passe Livre)</t>
  </si>
  <si>
    <t>Você tem que completar a promessa em 1 dia se não o ❤️ da imouto irá se transformar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</si>
  <si>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</si>
  <si>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</si>
  <si>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</si>
  <si>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</si>
  <si>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</si>
  <si>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</si>
  <si>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</si>
  <si>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</si>
  <si>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</si>
  <si>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</si>
  <si>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</si>
  <si>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</si>
  <si>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</si>
  <si>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</si>
  <si>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</si>
  <si>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</si>
  <si>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</si>
  <si>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напій вперше</t>
  </si>
  <si>
    <t>Принесіть додому напій, після чого відбувається особливий діалог. Якщо підірвати автомат напоїв, відбудеться ще один діалог.</t>
  </si>
  <si>
    <t>Відкриває дію "Випити щось" із сестрою</t>
  </si>
  <si>
    <t>Принести напиток в первый раз</t>
  </si>
  <si>
    <t>Принесите домой напиток, после этого происходит особый диалог. Если взорвать автомат напитков, произойдет ещё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</si>
  <si>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</si>
  <si>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</si>
  <si>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</si>
  <si>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</si>
  <si>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</si>
  <si>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đối thoại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</si>
  <si>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</si>
  <si>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</si>
  <si>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</si>
  <si>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</si>
  <si>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</si>
  <si>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</si>
  <si>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</si>
  <si>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</si>
  <si>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</si>
  <si>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</si>
  <si>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</si>
  <si>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</si>
  <si>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</si>
  <si>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</si>
  <si>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</si>
  <si>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</si>
  <si>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</si>
  <si>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</si>
  <si>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Cuando moris por primera vez, se activa una escena donde la hermana te cocinara y dara comida</t>
  </si>
  <si>
    <t>Evento de una sola vez
Te dara la opcion de que te cocine tu hermana y veras un sueño especial</t>
  </si>
  <si>
    <t>첫 패배</t>
  </si>
  <si>
    <t>사망 시 집으로 돌아오며 여동생이 음식을 만들어줍니다. 
(사망 시 반복)</t>
  </si>
  <si>
    <t>※일회성 이벤트
여동생에게 요리를 부탁할 수 있는 선택지가 해금됩니다.</t>
  </si>
  <si>
    <t>Перша смерть</t>
  </si>
  <si>
    <t>Після першої смерті буде сцена за їжею, приготовленою сестрою</t>
  </si>
  <si>
    <t>※Розова подія
Після їжі сестри ви можете побачити особливий сон.</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</si>
  <si>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</si>
  <si>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</si>
  <si>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</si>
  <si>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</si>
  <si>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</si>
  <si>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</si>
  <si>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</si>
  <si>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</si>
  <si>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</si>
  <si>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</si>
  <si>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</si>
  <si>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</si>
  <si>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</si>
  <si>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</si>
  <si>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</si>
  <si>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</si>
  <si>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</si>
  <si>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</si>
  <si>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</si>
  <si>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</si>
  <si>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</si>
  <si>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</si>
  <si>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</si>
  <si>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</si>
  <si>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 xml:space="preserve">
通过选项去优先选择妹妹做出来的料理。
 并且另外有部分规则： 
1.在剩余的食材中随机选择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t>
  </si>
  <si>
    <t xml:space="preserve">
Cuando dejes a Imouto cocinar, ella hara lo siguiente:
1. Elegir comida aleatoria de los ingredientes disponibles
2. Nunca elegir chile o basura
3. Prioriza la carne
4. Hace una comida a base de recetas genericas
5. Hay una chance de activar "Great Miracle" cuando ella cocina, incluso si los ingredientes son para una comida fallida
6. Onii-Chan's luck puede ayudar a aumentar la probabilidad de "Great Miracle"
7. No cocina si ella esta molesta o de mal humor
8. Secretamente añade un ingrediente extra cuando tenga muchos corazones purpuras</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</si>
  <si>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</si>
  <si>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</si>
  <si>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</si>
  <si>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Кулінарія від молодшої сестри</t>
  </si>
  <si>
    <t>Коли ви дозволите Імоуто готувати, вона робитиме таке:
1. Випадково вибирати будь-який доступний інгредієнт.
2. Ніколи не вибирати перець чилі чи шкідливу їжу.
3. Віддавати пріоритет м'ясу.
4. Готувати їжу за стандартними рецептами.
5. Є шанс активувати "Велике диво" під час готування, навіть якщо інгредієнти призначені для невдалої страви.
6. Вдача Курохи може допомогти збільшити шанс активації «Великого дива».
7. Не готуватиме, якщо в неї поганий настрій.
8. Може таємно додати додатковий інгредієнт, якщо вона має багато фіолетових сердець.</t>
  </si>
  <si>
    <t>Нехай молодша сестра готує.
PS: Можливість вибрати "З'їсти тебе!" поки не реалізована.</t>
  </si>
  <si>
    <t>Кулинария от младшей сестры</t>
  </si>
  <si>
    <t>Когда вы позволите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Курохи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t>
  </si>
  <si>
    <t xml:space="preserve">Пусть младшая сестра готовит.
P.S.: Возможность выбрать "Съесть тебя!" пока не реализована.
</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</si>
  <si>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</si>
  <si>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</si>
  <si>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</si>
  <si>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</si>
  <si>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bạn để em gái nấu ăn, em ấy sẽ làm những điều sau:
1. Chọn ngẫu nhiên trong số nguyên liệu còn lại
2. Không bao giờ chọn Ớt hoặc Rác
3. Ưu tiên Thịt
4. Nấu ăn dựa trên công thức chung
5. Có khả năng kích hoạt "Phép Màu Vĩ Đại" khi nấu ăn, dù nguyên liệu là cho món ăn hỏng
6. May mắn của Onii-chan sẽ tăng khả năng xảy ra "Phép Màu Vĩ Đại"
7. Sẽ không chịu nấu ăn nếu em ấy ở trong tâm trạng xấu
8. Có thể bí mật cho thêm nguyên liệu khi số lượng tim tím 💜 cao</t>
  </si>
  <si>
    <t>Cho Imouto nấu
PS: Lựa chọn "Ăn em!"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</si>
  <si>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</si>
  <si>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</si>
  <si>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</si>
  <si>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</si>
  <si>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</si>
  <si>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</si>
  <si>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</si>
  <si>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</si>
  <si>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</si>
  <si>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</si>
  <si>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</si>
  <si>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</si>
  <si>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</si>
  <si>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</si>
  <si>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</si>
  <si>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</si>
  <si>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Imouto llorara cuando es alimentada con comidas picantes</t>
  </si>
  <si>
    <t>Desencadena el evento "hermanita llorando"</t>
  </si>
  <si>
    <t>매운 요리 만들기</t>
  </si>
  <si>
    <t>너무 매워 여동생이 울었습니다.</t>
  </si>
  <si>
    <t>너무 매워서 눈물 흘리는 장면을 연출합니다.</t>
  </si>
  <si>
    <t>Готування гострої їжі</t>
  </si>
  <si>
    <t>Нагодуйте сестричку гострою їжею</t>
  </si>
  <si>
    <t>Спрацює подія 
" Сестричка, що плаче "</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</si>
  <si>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</si>
  <si>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</si>
  <si>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</si>
  <si>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</si>
  <si>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</si>
  <si>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</si>
  <si>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</si>
  <si>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</si>
  <si>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"em gái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</si>
  <si>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</si>
  <si>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</si>
  <si>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</si>
  <si>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</si>
  <si>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</si>
  <si>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</si>
  <si>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</si>
  <si>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</si>
  <si>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</si>
  <si>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</si>
  <si>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</si>
  <si>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</si>
  <si>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</si>
  <si>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</si>
  <si>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</si>
  <si>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</si>
  <si>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</si>
  <si>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</si>
  <si>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</si>
  <si>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</si>
  <si>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</si>
  <si>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Порятунок від печіння</t>
  </si>
  <si>
    <t>Їжа настільки гостра, що сестричка впаде на ліжко, щоб полегшити печіння.</t>
  </si>
  <si>
    <t>Відкриває дію 
"Допомогти зняти гостроту"</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</si>
  <si>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</si>
  <si>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</si>
  <si>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</si>
  <si>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</si>
  <si>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</si>
  <si>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</si>
  <si>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Giải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</si>
  <si>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</si>
  <si>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</si>
  <si>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</si>
  <si>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</si>
  <si>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</si>
  <si>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</si>
  <si>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</si>
  <si>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</si>
  <si>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</si>
  <si>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</si>
  <si>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</si>
  <si>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</si>
  <si>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妹の辛さで泣いている状態を解除した後、お口を見ることを提案できますが、妹の💜が3未満の場合は拒否される</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</si>
  <si>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</si>
  <si>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</si>
  <si>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</si>
  <si>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</si>
  <si>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</si>
  <si>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</si>
  <si>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</si>
  <si>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</si>
  <si>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</si>
  <si>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</si>
  <si>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Чутливі губи 1</t>
  </si>
  <si>
    <t>Після дії "Допомогти зняти гостроту" можна попросити у сестрички перевірити її рот. Якщо кількість фіолетових сердець менше 3, вона відмовиться.</t>
  </si>
  <si>
    <t>Спрацює подія 
"Огляд рота - відмова"</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</si>
  <si>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</si>
  <si>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</si>
  <si>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</si>
  <si>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</si>
  <si>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</si>
  <si>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</si>
  <si>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</si>
  <si>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</si>
  <si>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</si>
  <si>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</si>
  <si>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</si>
  <si>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</si>
  <si>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</si>
  <si>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</si>
  <si>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</si>
  <si>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</si>
  <si>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</si>
  <si>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</si>
  <si>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</si>
  <si>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妹の💜が3以上のとき、お口を見るの後続のイベントが発生する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</si>
  <si>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</si>
  <si>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</si>
  <si>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</si>
  <si>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</si>
  <si>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</si>
  <si>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</si>
  <si>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</si>
  <si>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</si>
  <si>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</si>
  <si>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</si>
  <si>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Чутливі губи 2</t>
  </si>
  <si>
    <t>Те ж саме, що і "Чутливі губи 1", але якщо у вас 3 або більше фіолетових сердець, то сестричка дозволить перевірити її рот.</t>
  </si>
  <si>
    <t>Спрацює подія 
"Огляд рота"</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</si>
  <si>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</si>
  <si>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</si>
  <si>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</si>
  <si>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</si>
  <si>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</si>
  <si>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</si>
  <si>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</si>
  <si>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</si>
  <si>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</si>
  <si>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</si>
  <si>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</si>
  <si>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</si>
  <si>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</si>
  <si>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</si>
  <si>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</si>
  <si>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</si>
  <si>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</si>
  <si>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</si>
  <si>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</si>
  <si>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</si>
  <si>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</si>
  <si>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</si>
  <si>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</si>
  <si>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</si>
  <si>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</si>
  <si>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</si>
  <si>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</si>
  <si>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</si>
  <si>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</si>
  <si>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</si>
  <si>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</si>
  <si>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тактильному контакті ви можете висмикнути ахоге (до двох разів). Не може бути виконано після ванни. Ви можете продовжувати висмикувати ахоге, коли він скидається. Він скидається одночасно з безоднею, картами Таро або дощовими днями.</t>
  </si>
  <si>
    <t>Отримання предмета 
"Ахоге сестри", як інгредієнта для їжі.</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</si>
  <si>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</si>
  <si>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</si>
  <si>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</si>
  <si>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</si>
  <si>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</si>
  <si>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</si>
  <si>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</si>
  <si>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</si>
  <si>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</si>
  <si>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</si>
  <si>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</si>
  <si>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</si>
  <si>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</si>
  <si>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</si>
  <si>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</si>
  <si>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</si>
  <si>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</si>
  <si>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</si>
  <si>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</si>
  <si>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</si>
  <si>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</si>
  <si>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</si>
  <si>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Se activa cuando volves a casa con el arma "Hueso de Pescado" equipado</t>
  </si>
  <si>
    <t>Activa el evento 1- "Hermano hueles mal"</t>
  </si>
  <si>
    <t>오빠, 몸에서 냄새나! - 1</t>
  </si>
  <si>
    <t>냄새나는 생선 뼈를 장착한 채 집으로 돌아가면 이벤트가 발생합니다.</t>
  </si>
  <si>
    <t>오빠, 몸에서 냄새나! - 1 이벤트가 발생합니다.</t>
  </si>
  <si>
    <t>Братик, ти смердишь! 1</t>
  </si>
  <si>
    <t>Подію можна активувати, повертаючись додому спорядженим "Смердючою рибною кісткою".</t>
  </si>
  <si>
    <t>Запускає подію 
"Братик, ти смердишь 1".</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</si>
  <si>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</si>
  <si>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</si>
  <si>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</si>
  <si>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</si>
  <si>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</si>
  <si>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</si>
  <si>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hôi quá! - 1</t>
  </si>
  <si>
    <t>Xảy ra lúc bạn về nhà khi trang bị vũ khí "Xương Cá Thối"</t>
  </si>
  <si>
    <t>Sự kiện "Onii-chan hôi quá!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</si>
  <si>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</si>
  <si>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</si>
  <si>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</si>
  <si>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</si>
  <si>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</si>
  <si>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</si>
  <si>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</si>
  <si>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</si>
  <si>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</si>
  <si>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</si>
  <si>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</si>
  <si>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</si>
  <si>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</si>
  <si>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</si>
  <si>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</si>
  <si>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</si>
  <si>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</si>
  <si>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</si>
  <si>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</si>
  <si>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</si>
  <si>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</si>
  <si>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ти смердишь! 2</t>
  </si>
  <si>
    <t>Ви повинні не приймати душ/ванну деякий час</t>
  </si>
  <si>
    <t>Поки що не реалізовано.</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</si>
  <si>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</si>
  <si>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</si>
  <si>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</si>
  <si>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</si>
  <si>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</si>
  <si>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</si>
  <si>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hôi quá!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</si>
  <si>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</si>
  <si>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</si>
  <si>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</si>
  <si>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</si>
  <si>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</si>
  <si>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</si>
  <si>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</si>
  <si>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</si>
  <si>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</si>
  <si>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</si>
  <si>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</si>
  <si>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</si>
  <si>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</si>
  <si>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</si>
  <si>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</si>
  <si>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</si>
  <si>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</si>
  <si>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</si>
  <si>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</si>
  <si>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</si>
  <si>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</si>
  <si>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</si>
  <si>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</si>
  <si>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Напій після душу!</t>
  </si>
  <si>
    <t>Якщо у вашому інвентарі є молоко, є можливість, що сестра вип'є його після прийняття ванни.</t>
  </si>
  <si>
    <t>Буде відтворено анімацію того, як вона п'є молоко. 
Зацікавлення сестри збільшитися.</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</si>
  <si>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</si>
  <si>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</si>
  <si>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</si>
  <si>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</si>
  <si>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</si>
  <si>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</si>
  <si>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sữa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</si>
  <si>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</si>
  <si>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</si>
  <si>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</si>
  <si>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</si>
  <si>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</si>
  <si>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</si>
  <si>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</si>
  <si>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</si>
  <si>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</si>
  <si>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</si>
  <si>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</si>
  <si>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</si>
  <si>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</si>
  <si>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</si>
  <si>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</si>
  <si>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</si>
  <si>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</si>
  <si>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</si>
  <si>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</si>
  <si>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</si>
  <si>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</si>
  <si>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</si>
  <si>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</si>
  <si>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Вітряний потік</t>
  </si>
  <si>
    <t>Після того, як ви вперше приймете ванну з сестрою, запропонуйте їй свою допомогу, щоб висушити волосся феном.</t>
  </si>
  <si>
    <t>Відкриває дію 
"Підсушити волосся" сестри.</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</si>
  <si>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</si>
  <si>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</si>
  <si>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</si>
  <si>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</si>
  <si>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</si>
  <si>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</si>
  <si>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</si>
  <si>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sấy tóc cho em ấy</t>
  </si>
  <si>
    <t>Mở khóa lựa chọn "Sấy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</si>
  <si>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</si>
  <si>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</si>
  <si>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</si>
  <si>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</si>
  <si>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</si>
  <si>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</si>
  <si>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</si>
  <si>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</si>
  <si>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</si>
  <si>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</si>
  <si>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</si>
  <si>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</si>
  <si>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</si>
  <si>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</si>
  <si>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</si>
  <si>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</si>
  <si>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</si>
  <si>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</si>
  <si>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</si>
  <si>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</si>
  <si>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</si>
  <si>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</si>
  <si>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Сонний братик</t>
  </si>
  <si>
    <t>Лягайте спати рано.</t>
  </si>
  <si>
    <t>Можна запустити лише після четвертого дня. Проігноруйте сестру та йдіть спати. Запуститься спеціальний діалог.
(Наступні події ще не реалізовані)</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</si>
  <si>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</si>
  <si>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</si>
  <si>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</si>
  <si>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</si>
  <si>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</si>
  <si>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</si>
  <si>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</si>
  <si>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</si>
  <si>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</si>
  <si>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</si>
  <si>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</si>
  <si>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</si>
  <si>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</si>
  <si>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</si>
  <si>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</si>
  <si>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</si>
  <si>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</si>
  <si>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</si>
  <si>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</si>
  <si>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</si>
  <si>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</si>
  <si>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</si>
  <si>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</si>
  <si>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</si>
  <si>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</si>
  <si>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</si>
  <si>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</si>
  <si>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</si>
  <si>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</si>
  <si>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</si>
  <si>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Пробудження</t>
  </si>
  <si>
    <t>Якщо ви не давали сестрі Фрагмент Філософського каменю, спроби розбудити її вранці завжди будуть безуспішними. Тільки після трьох спроб є шанс, що ви зможете розбудити її насильно.</t>
  </si>
  <si>
    <t>Спрацює подія "Примусове пробудження".
Коли сестричку будять насильно, вона все одно не прокидається і знову засне.</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</si>
  <si>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</si>
  <si>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</si>
  <si>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</si>
  <si>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</si>
  <si>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</si>
  <si>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</si>
  <si>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</si>
  <si>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gái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</si>
  <si>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</si>
  <si>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</si>
  <si>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</si>
  <si>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</si>
  <si>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</si>
  <si>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</si>
  <si>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</si>
  <si>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</si>
  <si>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</si>
  <si>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</si>
  <si>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</si>
  <si>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</si>
  <si>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</si>
  <si>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</si>
  <si>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</si>
  <si>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</si>
  <si>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</si>
  <si>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</si>
  <si>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</si>
  <si>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Al realizar la acción "Tomar algo juntos"
puedes hacer que tu hermana beba el fragmento de la piedra filosofal que se ha convertido en líquido
PD: Por el momento, solo puede curar a la hermana dos veces. Para saber cómo conseguir este objeto, consulta la sección de RPG de esta guía</t>
  </si>
  <si>
    <t xml:space="preserve">Ya no se producirá el despertar forzado de la hermana
Tras la cura, existe la posibilidad de despertarla con éxito por la mañana para activar algunas escenas, como el cepillado de dientes. Sin embargo, sigue existiendo la posibilidad de que el despertar falle.
Primera cura:
Puedes quedarte despierto hasta las 22:30. Después del primer evento de despertar por la mañana, hay un 50 % de posibilidades de despertar a imouto con éxito.
Segunda cura:
Puedes quedarte despierto hasta las 23:00. Después del primer evento de despertar por la mañana, hay un 75 % de posibilidades de despertar a imouto con éxito.
Tercera cura (aún no implementada)
Puedes quedarte despierto hasta las 00:00. Después del primer evento de despertar por la mañana, hay un 100 % de posibilidades de despertar con éxito a imouto
</t>
  </si>
  <si>
    <t>Лікування сестри</t>
  </si>
  <si>
    <t>Вибравши "Випити що-небудь", ви можете дозволити своїй сестрі випити фрагмент Філософського каменю, який перетворився на рідину ("Еліксір Рубрум").
PS: Нині це може вилікувати сестру лише двічі. Про те, як отримати цей предмет, будь ласка, читайте у розділі RPG цього посібника</t>
  </si>
  <si>
    <t>Примусове пробудження Імоуто більше не відбуватиметься.
Після лікування є шанс успішно розбудити її вранці, щоб викликати деякі сцени, такі як чищення зубів. Однак все ще є ймовірність невдачі при пробудженні.
Перше лікування:
Ви можете не лягати спати допізна, до 22:30.
Після події першого ранкового пробудження ймовірність успішного пробудження сестри становить 50%.
Друге лікування:
Ви можете не лягати спати допізна, до 23:00.
Після події першого ранкового пробудження ймовірність успішного пробудження сестри становить 75%.
Третє лікування (Ще не реалізовано):
Ви можете не лягати спати допізна, до 00:00.
Після події першого ранкового пробудження є 100% шанс успішного пробудження сестри.</t>
  </si>
  <si>
    <t>Исцеление сестры</t>
  </si>
  <si>
    <t>Выбрав "Выпить что-нибудь", вы можете позволить своей сестре выпить фрагмент Философского камня, который превратился в жидкость ("Эликсир Рубрум").
PS: В настоящее время это может вылечить сестру только дважды. О том, как получить этот предмет, пожалуйста, читайте в разделе RPG данного руководства</t>
  </si>
  <si>
    <t>Принудительное пробуждение Имоуто больше не будет происходить.
После излечения есть шанс успешно разбудить её утром, чтобы вызвать некоторые сцены, такие как чистка зубов. Однако, всё ещё есть вероятность неудачи при пробуждении.
Первое лечение:
Вы можете не ложиться спать допоздна, до 22:30.
После первого утреннего пробуждения вероятность успешного пробуждения составляет 50%.
Второе лечение:
Вы можете не ложиться спать допоздна, до 23:00.
После первого утреннего пробуждения вероятность успешного пробуждения составляет 75%.
Третье лечение (Ещё не реализовано):
Вы можете не ложиться спать допоздна, до 00:00.
После первого утреннего пробуждения есть 100% шанс успешно проснуться утром.</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</si>
  <si>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</si>
  <si>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</si>
  <si>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</si>
  <si>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</si>
  <si>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</si>
  <si>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cưỡng ép đánh thức em gái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</si>
  <si>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</si>
  <si>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</si>
  <si>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</si>
  <si>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</si>
  <si>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</si>
  <si>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</si>
  <si>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</si>
  <si>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</si>
  <si>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</si>
  <si>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</si>
  <si>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</si>
  <si>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Despues de tomar algo con tu hermana, elegis darle un caramelo "Blue Konpeito". Toma algo con ella otra vez y dale esta vez el caramelo "Pink Konpeito". Esto la pondra en un estado ??</t>
  </si>
  <si>
    <t>여동생과 "같이 마실래?" 라고 할때 "파란색 콘페이토"와 "분홍색 콘페이토"를 먹이면, 여동생은 어리둥절한 표정을 짓습니다.</t>
  </si>
  <si>
    <t>Почавши дій "випити щось" із сестрою, дайте їй цукерку "Синій Конпейто". Випийте щось із нею ще раз і дайте їй "Рожевий Конпейто". Це введе її до особливого стану.</t>
  </si>
  <si>
    <t>Поки що ще не реалізовано.</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</si>
  <si>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</si>
  <si>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ещё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</si>
  <si>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</si>
  <si>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</si>
  <si>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được triển khai</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</si>
  <si>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</si>
  <si>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</si>
  <si>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</si>
  <si>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</si>
  <si>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</si>
  <si>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</si>
  <si>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</si>
  <si>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</si>
  <si>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</si>
  <si>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</si>
  <si>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</si>
  <si>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</si>
  <si>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</si>
  <si>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Activara la escena de las pesadillas</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</si>
  <si>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</si>
  <si>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</si>
  <si>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</si>
  <si>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</si>
  <si>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Ви повинні витягнути певну кількість ахоге, щоб уночі тригернути подію "Нічний кошмар"". 
(Ви можете витягувати не більше двох ахоге на день. Після того як ви в сумі витягнете 5 ахоге подію буде активовано.)</t>
  </si>
  <si>
    <t>Відтвориться анімація нічного кошмару.</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</si>
  <si>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</si>
  <si>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</si>
  <si>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</si>
  <si>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</si>
  <si>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</si>
  <si>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</si>
  <si>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</si>
  <si>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</si>
  <si>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</si>
  <si>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</si>
  <si>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</si>
  <si>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</si>
  <si>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</si>
  <si>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</si>
  <si>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</si>
  <si>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</si>
  <si>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</si>
  <si>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</si>
  <si>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"Imouto's Free Pass", you can use it when choosing the "Do Something" option when you talk to imouto in her room.</t>
  </si>
  <si>
    <t>New option: Spoil me!
No-follow up yet</t>
  </si>
  <si>
    <t>Mimame</t>
  </si>
  <si>
    <t xml:space="preserve">Su tieness el "Imouto's Free Pass" podras usarlo cuando eligas la opcion de "Hacer algo" cuando hables con ella en su habitacion </t>
  </si>
  <si>
    <t>Nueva opcion: Mimar
Todavia no tiene un seguimiento</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</si>
  <si>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</si>
  <si>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</si>
  <si>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</si>
  <si>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Потіш мене!</t>
  </si>
  <si>
    <t>Якщо у вас є «Вільний пропуск», ви можете використовувати його при виборі варіанта «Зробити щось» під час розмови з молодшою ​​сестрою у її кімнаті.</t>
  </si>
  <si>
    <t>Нова опція: Побалуй мене!
Поки що немає продовження.</t>
  </si>
  <si>
    <t>Побалуй меня!</t>
  </si>
  <si>
    <t>Если у вас есть «Свободный пропуск», вы можете использовать его при выборе варианта «Сделать что-нибудь» во время разговора с младшей сестрой в её комнате.</t>
  </si>
  <si>
    <t>Новая опция: Побалуй меня!
Пока нет продолжения.</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</si>
  <si>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</si>
  <si>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</si>
  <si>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</si>
  <si>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</si>
  <si>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em gái trong phòng em ấy</t>
  </si>
  <si>
    <t>Lựa chọn mới: Chiều em ấy!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</si>
  <si>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</si>
  <si>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</si>
  <si>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</si>
  <si>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</si>
  <si>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</si>
  <si>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</si>
  <si>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</si>
  <si>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</si>
  <si>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</si>
  <si>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</si>
  <si>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</si>
  <si>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</si>
  <si>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</si>
  <si>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</si>
  <si>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</si>
  <si>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Si te mantienes en la habitacion de Imouto y no interactuas con nada, ella se dormira</t>
  </si>
  <si>
    <t>잠꾸러기</t>
  </si>
  <si>
    <t>플레이어가 한동안 캐릭터와 상호작용하지 않으면 여동생은 의자에서 잠이 듭니다.</t>
  </si>
  <si>
    <t>잠든 여동생과 상호작용할 수 있습니다(현재는 얼굴만 상호작용 가능합니다).</t>
  </si>
  <si>
    <t>Соня</t>
  </si>
  <si>
    <t>Якщо ви не діятимете в кімнаті молодшої сестри і ні з чим не взаємодіятимете, вона засне.</t>
  </si>
  <si>
    <t>Ви можете взаємодіяти зі сплячою молодшою ​​сестрою.
(В даний час доступне для взаємодії тільки її обличчя)</t>
  </si>
  <si>
    <t>Если вы будете бездействовать в комнате младшей сестры и ни с чем не взаимодействовать, она уснет.</t>
  </si>
  <si>
    <t>Вы можете взаимодействовать со спящей младшей сестрой.
(В настоящее время доступно для взаимодействия только её лицо)</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</si>
  <si>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</si>
  <si>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</si>
  <si>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</si>
  <si>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</si>
  <si>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</si>
  <si>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thể tương tác được với khuôn mặt)</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</si>
  <si>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</si>
  <si>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</si>
  <si>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</si>
  <si>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</si>
  <si>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2.扭蛋完後剛好身上的持有金大於1000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</si>
  <si>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</si>
  <si>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</si>
  <si>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</si>
  <si>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</si>
  <si>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</si>
  <si>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Spend more than 10,000 yen
2. After rolling on the gacha, your remaining money must be above 1000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</si>
  <si>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</si>
  <si>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</si>
  <si>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2.扭蛋后刚好身上的持有金大于1000
3.当天回家时身上的持有金低于500
4.如果总消费超过5W，即便没有破产也可以触发事件</t>
  </si>
  <si>
    <t>触发破产，妹妹会开始嫌弃哥哥挥金如土的事件</t>
  </si>
  <si>
    <t>!Mi hermano esta en bancarrota!</t>
  </si>
  <si>
    <t>Para activar este evento, tenes que seguir lo siguiente:
1. Gasta mas de 10,000 yens
2. Despues de dar una tirada al gacha, tu dinero restante tiene que ser arriba de 1000 yen
3. Cuando llegues a casa tu dinero tienes que ser menor a 500 yen por ese dia
4. Si en total gastas mas de 50,000 yen, este evento podra ser activa sin quedarte sin dinero</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</si>
  <si>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</si>
  <si>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</si>
  <si>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</si>
  <si>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Куроха розорився!</t>
  </si>
  <si>
    <t>Для запуску цієї події необхідно виконати такі умови:
1. Витратити понад 10 000 єн
2. Після розіграшу в гачі ваші гроші, що залишилися, повинні бути менше 1000 єн
3. Коли ви повернетеся додому, ваші гроші на цей день мають бути менше 500 єн
4. Якщо ваші загальні витрати перевищують 50 000 єн, цю подію можна запустити, не розорившись.</t>
  </si>
  <si>
    <t>Якщо ця подія відбудеться, Імоуто почне ображатися на вас за те, що ви не стежите за своїми грошима і є залежним від гача-ігор.</t>
  </si>
  <si>
    <t>Куроха разорился!</t>
  </si>
  <si>
    <t>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t>
  </si>
  <si>
    <t>Если это событие произойдёт, Имоуто начнёт обижаться на вас за то, что вы не следите за своими деньгами и являетесь зависимым от гача-игр.</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</si>
  <si>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</si>
  <si>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</si>
  <si>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</si>
  <si>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</si>
  <si>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Chi tiêu hơn 10.000 yên 
2. Sau khi quay gacha, số tiền còn lại trên người lớn hơn 1.000 yên
3. Khi về nhà, số tiền trong ngày hôm đó phải dưới 500 yên
4. Nếu tổng tiền tiêu của bạn vượt quá 50.000 yên, dù chưa cháy túi thì bạn vẫn có thể kích hoạt sự kiện này.</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</si>
  <si>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</si>
  <si>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</si>
  <si>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</si>
  <si>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</si>
  <si>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</si>
  <si>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給妹妹零用錢</t>
  </si>
  <si>
    <t>解鎖成就&lt;扭蛋是壞文明！&gt;之後，於與妹妹互動時，可以送點小禮物給妹妹
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</si>
  <si>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</si>
  <si>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</si>
  <si>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</si>
  <si>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</si>
  <si>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</si>
  <si>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After unlocking the achievement "Gacha is Bad Civilization!", you'll be able to give imouto small gifts while interacting her.
When doing this, an empty heart will become a full yellow heart. If a heart already exists, it will have a yellow outline instead. Yellow hearts are considered purple hearts and will disappear the next day</t>
  </si>
  <si>
    <t>Currently, there's no use for the yellow heart. Its functions is currently not implemented and it's 1 yellow heart = 1 red heart for now</t>
  </si>
  <si>
    <t>给妹妹零用钱</t>
  </si>
  <si>
    <t>解锁成就&lt;扭蛋是坏文明！ &gt;之后，于与妹妹互动时，可以送点小礼物给妹妹
空的心之容器可以变成💛，但如果已经有❤️或者💜，就会以金色的镀边形式呈现(第二天会清空💛)</t>
  </si>
  <si>
    <t>目前无实际用途，💛的功能尚未制作
目前一颗💛等于一颗❤️</t>
  </si>
  <si>
    <t>Despues de desbloquear el logro "Gacha is Bad Civilization!" podras darles a Imouto pequeños regalos cuando interactuas con ella
Cuando haces esto, un corazon vacio se llenara de color amarillo. Si el corazon ya existia, este se volvera uno amarillo con lineas afuera. Los corazones amarillos son considerados corazones purpuras y desapareceran el proximo dia</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</si>
  <si>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</si>
  <si>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</si>
  <si>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</si>
  <si>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"Гроші для Сестри"</t>
  </si>
  <si>
    <t>Після отримання досягнення "Гача — погана цивілізація!", ви зможете дарувати Сестрі невеликі подарунки під час взаємодії з нею.
Підкупіть молодшу сестру грошима. При цьому порожнє серце перетвориться на повне жовте. Якщо серце вже існує, воно матиме жовте обведення. Жовті серця вважаються фіолетовими і зникнуть наступного дня.</t>
  </si>
  <si>
    <t>В даний час жовте серце не використовується. Його функції поки не реалізовані, і 1 жовте серце = 1 червоне серце.</t>
  </si>
  <si>
    <t>"Имоуто за Деньги"</t>
  </si>
  <si>
    <t>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t>
  </si>
  <si>
    <t>В настоящее время жёлтое сердечко не используется. Его функции пока не реализованы, и 1 жёлтое сердечко = 1 красное сердечко.</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</si>
  <si>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</si>
  <si>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</si>
  <si>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</si>
  <si>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Sau khi mở khóa thành tựu “Gacha là nền văn minh tồi tệ!”, khi tương tác với em gái, bạn có thể tặng quà cho em ấy.
Chỗ chứa trái tim rỗng có thể chuyển thành tim vàng💛, nhưng nếu đã có tim đỏ❤️ hoặc tim tím💜, thì sẽ hiển thị dưới dạng viền mạ vàng, và chỉ có hiệu lực trong ngày</t>
  </si>
  <si>
    <t>Hiện tại, tim vàng không có tác dụng gì. Chức năng của nó hiện chưa được triển khai và hiện tại 1 tim vàng 💛 = 1 tim đỏ ❤️.</t>
  </si>
  <si>
    <t>"Dinheiro da Imouto"</t>
  </si>
  <si>
    <r>
      <rPr>
        <rFont val="Microsoft JhengHei"/>
        <color theme="1"/>
      </rPr>
      <t xml:space="preserve">Após desbloquear a conquista "Gacha é uma civilização ruim!", você poderá subornar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</si>
  <si>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</si>
  <si>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Bribes Imouto with some money. When doing this, an empty heart will become a full yellow heart. If a heart already exists, it will have a yellow outline instead. Yellow hearts are considered purple hearts (red for now) and will disappear the next day</t>
  </si>
  <si>
    <t>撒嬌吧-妹妹的告白</t>
  </si>
  <si>
    <t>於"向妹妹撒嬌吧"中，選擇妹妹的告白</t>
  </si>
  <si>
    <t>甘える ~妹の告白</t>
  </si>
  <si>
    <t>「妹に甘える」で「妹の告白」を選択する</t>
  </si>
  <si>
    <t>Spoil Me! - Imouto's Confession</t>
  </si>
  <si>
    <t>Choose the option "Confess to Imouto" after selecting "Spoil me!"</t>
  </si>
  <si>
    <t>Not yet implemented</t>
  </si>
  <si>
    <t>Mimame - Declararte a Imouto</t>
  </si>
  <si>
    <t>Elegir la opcion "Declararte a Imouto" despues de seleccionar "Mimame"</t>
  </si>
  <si>
    <t>Потіш мене! - Зізнання сестри</t>
  </si>
  <si>
    <t>У розділі "Потіш мене" виберіть "Ніжні слова".</t>
  </si>
  <si>
    <t>(Не реалізовано)</t>
  </si>
  <si>
    <t>Побалуй меня! - Признание сестры</t>
  </si>
  <si>
    <t>В разделе "Побалуй меня" выберите "Нежные слова".</t>
  </si>
  <si>
    <t>(Не реализовано)</t>
  </si>
  <si>
    <t>Sei lieb zu mir – Das Geständnis deiner Schwester</t>
  </si>
  <si>
    <t>Wähle in Sei lieb zu deiner Schwester – Das Geständnis deiner Schwester</t>
  </si>
  <si>
    <t>Chiều em ấy! - Lời yêu thương của em gái</t>
  </si>
  <si>
    <t>Chọn lựa chọn "Lời yêu thương" sau khi lựa chọn "Chiều em ấy"</t>
  </si>
  <si>
    <t>Chưa triển khai</t>
  </si>
  <si>
    <t>Me mime! - A confissão da minha imouto</t>
  </si>
  <si>
    <t>Em "Me mime!", escolha a "confissão da imouto".</t>
  </si>
  <si>
    <t>Ainda não implementado</t>
  </si>
  <si>
    <t>Manjakan aku! - pengakan Imouto</t>
  </si>
  <si>
    <t>Pilih opsi "mengaku ke Imouto" setelah memilih "Manjakan aku!"</t>
  </si>
  <si>
    <t>Masih belum dikembangkan</t>
  </si>
  <si>
    <t>撒嬌吧-和妹妹親吻</t>
  </si>
  <si>
    <t>於"向妹妹撒嬌吧"中，選擇和妹妹親吻</t>
  </si>
  <si>
    <t>甘える ~ 妹とキス</t>
  </si>
  <si>
    <t>「妹に甘える」で「妹とキス」を選択する</t>
  </si>
  <si>
    <t>Spoil Me! - Kiss Imouto</t>
  </si>
  <si>
    <t>Choose the option "Kiss Imouto" after selecting "Spoil me!"</t>
  </si>
  <si>
    <t>Mimame - Besar a Imouto</t>
  </si>
  <si>
    <t>Elige la opcion "Besar a Imouto" despues de seleccionar "Mimame"</t>
  </si>
  <si>
    <t>Потіш мене! - Поцілунок сестри</t>
  </si>
  <si>
    <t>У розділі "Потіш мене" виберіть "Поцілувати".</t>
  </si>
  <si>
    <t>Побалуй меня! - Поцелуй сестры</t>
  </si>
  <si>
    <t>В разделе "Побалуй меня" выберите "Поцеловать".</t>
  </si>
  <si>
    <t>Sei lieb zu mir – Ein Kuss von deiner Schwester</t>
  </si>
  <si>
    <t>Wähle in Sei lieb zu deiner Schwester – Ein Kuss von deiner Schwester</t>
  </si>
  <si>
    <t>Chiều em ấy! - Hôn em gái</t>
  </si>
  <si>
    <t>Chọn lựa chọn "Hôn nhau" sau khi lựa chọn "Chiều em ấy"</t>
  </si>
  <si>
    <t>Me mime! - dê um beijo na sua imouto.</t>
  </si>
  <si>
    <t>Em "Me mime!", escolha "beijar sua imouto".</t>
  </si>
  <si>
    <t>Manjakan Aku! - Cium Imouto</t>
  </si>
  <si>
    <t>Pilih opsi "Cium Imouto" setelah memilih "Manjakan aku!"</t>
  </si>
  <si>
    <t>撒嬌吧-妹妹的膝枕</t>
  </si>
  <si>
    <t>於"向妹妹撒嬌吧"中，選擇妹妹的膝枕，使用"妹妹使用券"即可觸發</t>
  </si>
  <si>
    <t>觸發劇情
(目前版本必須使用道具，無法平時觸發)</t>
  </si>
  <si>
    <t>甘える ~ 妹の膝枕</t>
  </si>
  <si>
    <t>「妹に甘える」で「妹の膝枕」を選択し「妹のフリーパス」を使うと発生する</t>
  </si>
  <si>
    <t>イベントが発生する
（現在のバージョンではアイテムを使用する必要があり持っていない場合は選択できません）</t>
  </si>
  <si>
    <t>Spoil Me! - Lap Pillow</t>
  </si>
  <si>
    <t>Choose the option "Lap Pillow" after selecting "Spoil me!"</t>
  </si>
  <si>
    <t>Triggers the lap pillow event. (Currently, this requires an item and cannot be triggered normally)</t>
  </si>
  <si>
    <t>Mimame - Abrazar la almohada</t>
  </si>
  <si>
    <t>Elige la opcion "Abrazar la almohada" despues de seleccionar "Mimame"</t>
  </si>
  <si>
    <t>Потіш мене! - Коліна-подушка від сестри</t>
  </si>
  <si>
    <t>У розділі "Потіш мене" виберіть "Коліни-подушка".</t>
  </si>
  <si>
    <t>Починається подія Коліна-подушка
 (Наразі для цього потрібен предмет, і його неможливо активувати звичайним способом.)</t>
  </si>
  <si>
    <t>Побалуй меня! - Колени-подушка от сестры</t>
  </si>
  <si>
    <t>В разделе "Побалуй меня" выберите "Колени-подушка".</t>
  </si>
  <si>
    <t>Диалог с Имоуто.
(*Текущая версия не может быть запущена в обычном режиме)</t>
  </si>
  <si>
    <t>Sei lieb zu mir – Schoss deiner Schwester</t>
  </si>
  <si>
    <t>Wähle in Sei lieb zu deiner Schwester – Schoss deiner Schwester, dann nutze den Gutschein deiner Schwester, um es auszulösen.</t>
  </si>
  <si>
    <t>Ereignis auslösen (In der aktuellen Version muss ein Gegenstand benutzt werden, kann nicht normal ausgelöst werden)</t>
  </si>
  <si>
    <t>Chiều em ấy! - Gối đùi</t>
  </si>
  <si>
    <t>Chọn lựa chọn "Gối đùi" sau khi lựa chọn "Chiều em ấy"</t>
  </si>
  <si>
    <t>Xảy ra sự kiện
(Hiện tại cần sử dụng một vật phẩm và chưa thể kích hoạt bình thường)</t>
  </si>
  <si>
    <t>Me mime! - Almofada de colo da imouto</t>
  </si>
  <si>
    <t>Em "Me mime!", selecione a "almofada de colo da imouto" e use o "Passe Livre" para ativar o evento.</t>
  </si>
  <si>
    <t>Ocorre o evento
(Atualmente, isso requer o uso de um item e não pode ser acionado normalmente.)</t>
  </si>
  <si>
    <t>Manjakan Aku! - Bantal Pangkuan</t>
  </si>
  <si>
    <t>Pilih opsi "Bantal Pangkuan" setelah memilih "Manjakan aku!"</t>
  </si>
  <si>
    <t>Memicu adegan bantal pangkuan. (Saat ini, hal ini memerlukan item dan tidak bisa dipicu secara normal)</t>
  </si>
  <si>
    <t>B</t>
  </si>
  <si>
    <t>廁所相關</t>
  </si>
  <si>
    <t>トイレイベント</t>
  </si>
  <si>
    <t>Toilet Events</t>
  </si>
  <si>
    <t>Eventos en el Baño</t>
  </si>
  <si>
    <t>화장실 이벤트</t>
  </si>
  <si>
    <t>Події у туалеті</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</si>
  <si>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</si>
  <si>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</si>
  <si>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</si>
  <si>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</si>
  <si>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Event terkait Toilet</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</si>
  <si>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</si>
  <si>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</si>
  <si>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</si>
  <si>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</si>
  <si>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</si>
  <si>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</si>
  <si>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</si>
  <si>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</si>
  <si>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</si>
  <si>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</si>
  <si>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</si>
  <si>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</si>
  <si>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</si>
  <si>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</si>
  <si>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</si>
  <si>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Ти зможеш Братику!</t>
  </si>
  <si>
    <t>Просидіть у туалеті дуже довго і будьте окликнути сестрою кілька разів.</t>
  </si>
  <si>
    <t>Після четвертого дня повторення цієї дії, сестра подумає, що ви захворіли.
(Дальший розвиток події ще не реалізовано.)</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</si>
  <si>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</si>
  <si>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</si>
  <si>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ещё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</si>
  <si>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</si>
  <si>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</si>
  <si>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</si>
  <si>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</si>
  <si>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</si>
  <si>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</si>
  <si>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</si>
  <si>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</si>
  <si>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</si>
  <si>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Lakukan yang terbaik, Onii-chan</t>
  </si>
  <si>
    <t>Terlalu lama di toilet, dan berlangsung selama N hari</t>
  </si>
  <si>
    <t>Kira-kira setelah hari keempat, adik akan salah paham bahwa Onii-chan sakit. Belum ada gameplay lanjutan.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</si>
  <si>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</si>
  <si>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</si>
  <si>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</si>
  <si>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</si>
  <si>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</si>
  <si>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</si>
  <si>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</si>
  <si>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</si>
  <si>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</si>
  <si>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</si>
  <si>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</si>
  <si>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</si>
  <si>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</si>
  <si>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</si>
  <si>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</si>
  <si>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Збуджена сестричка 1</t>
  </si>
  <si>
    <t>Після того як ви разом вип'єте напій, вибери опцію дати сестрі цукерку «Рожевий Конпейто». Після цього у неї почнеться «жар».
Покличте її і поговоріть прямо - є шанс, що вона піде в туалет.</t>
  </si>
  <si>
    <t>Активуйте подію, в якій сестра потребує туалету. Фіолетові серця та бажання вплинуть на перебіг сцени. Крім того, взаємодія з нею в кімнаті під час течки відрізнятиметься.</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</si>
  <si>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</si>
  <si>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Позовите её и поговорите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</si>
  <si>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</si>
  <si>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</si>
  <si>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</si>
  <si>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</si>
  <si>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</si>
  <si>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</si>
  <si>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</si>
  <si>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</si>
  <si>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</si>
  <si>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</si>
  <si>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Adik yang birahi - 1</t>
  </si>
  <si>
    <t>Setelah memilih "Minum sesuatu" dan memberi makan "Permen Konpeitou Merah Muda" kepada adik, itu pasti akan terpicu pertama kali, lalu silakan klik area kosong untuk kembali ke layar memanggil adik, dan itu akan memicu alur cerita (di tempat lain di mana permen muncul, saat ini hanya adegan transisi).</t>
  </si>
  <si>
    <t>Memicu adegan di mana adik menyelesaikan kebutuhannya di toilet. Akan ada penampilan yang berbeda tergantung pada hati ungu yang berbeda. Selain itu, dalam kondisi birahi, akan ada dialog, kontak intim, dll. yang berbeda dari biasanya.</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</si>
  <si>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</si>
  <si>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</si>
  <si>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</si>
  <si>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</si>
  <si>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</si>
  <si>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</si>
  <si>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</si>
  <si>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</si>
  <si>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</si>
  <si>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</si>
  <si>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</si>
  <si>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</si>
  <si>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</si>
  <si>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</si>
  <si>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</si>
  <si>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Збуджена сестричка 2</t>
  </si>
  <si>
    <t>Те саме, що й вище. Коли рівень «фіолетового серця» сестри досягне певного значення, Куроха може зайти в туалет і попросити сестру про послугу.</t>
  </si>
  <si>
    <t>Для запуску спеціальних сцен використовуватимуться руки.</t>
  </si>
  <si>
    <t>Возбужденная сестрёнка 2</t>
  </si>
  <si>
    <t>То же самое, что и выше. Когда уровень «фиолетового сердца» сестры достигнет определённого значения, Куроха может зайти в туалет и попросить сестру об услуге.</t>
  </si>
  <si>
    <t>Для запуска специальных сцен будут использоваться руки.</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</si>
  <si>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</si>
  <si>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</si>
  <si>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</si>
  <si>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</si>
  <si>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</si>
  <si>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</si>
  <si>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</si>
  <si>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</si>
  <si>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</si>
  <si>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Adik yang birahi - 2</t>
  </si>
  <si>
    <t>Setelah hati ungu mencapai tingkat tertentu, Onii-chan dapat masuk dan membiarkan adik melayaninya.</t>
  </si>
  <si>
    <t>Gunakan tangan untuk melakukan alur cerita khusus</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</si>
  <si>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</si>
  <si>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</si>
  <si>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</si>
  <si>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</si>
  <si>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</si>
  <si>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</si>
  <si>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</si>
  <si>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</si>
  <si>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</si>
  <si>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</si>
  <si>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</si>
  <si>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</si>
  <si>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</si>
  <si>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</si>
  <si>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</si>
  <si>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Збуджена сестричка 3</t>
  </si>
  <si>
    <t>Грунтуючись на "Збуджена сестричка 1", якщо ви зустрінете з тарганом у цей час, сюжет розвиватиметься по-іншому.</t>
  </si>
  <si>
    <t>Запускає подію вбивства таргана. Приведе до мінету в події "Мастурбуюча Імоуто"".
Примітка: Вам не потрібно шукати таргана заздалегідь.
(Поки що не реалізовано)</t>
  </si>
  <si>
    <t>Возбужденная сестрёнка 3</t>
  </si>
  <si>
    <t>Основываясь на "Возбужденная сестрёнка 1", если вы встретите с тараканом в это время, сюжет будет развиваться по-другому.</t>
  </si>
  <si>
    <t>Запускает событие убийства таракана. Приведёт к минету в событии "Мастурбирующая Имоуто".
Примечание: Вам не нужно искать таракана заранее.
(Пока не реализовано)</t>
  </si>
  <si>
    <t>Meine Schwester in Hitze – 3</t>
  </si>
  <si>
    <t>Basierend auf ,,Schwester in Hitze - 1": Bei einer Begegnung mit „C" zu diesem Zeitpunkt nimmt das Event einen alternativen Verlauf.</t>
  </si>
  <si>
    <t>Hände werden verwendet, um ein besonderes Event auszulösen</t>
  </si>
  <si>
    <t>Em gái rạo rực - 3</t>
  </si>
  <si>
    <t>Dựa trên "Em gái đang rạo rực - 1", nếu bạn gặp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</si>
  <si>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</si>
  <si>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</si>
  <si>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</si>
  <si>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</si>
  <si>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Adik yang birahi - 3</t>
  </si>
  <si>
    <t>Berdasarkan "Adik yang birahi - 1" jika dihampiri oleh kecoa, akan memicu suatu percabangan.</t>
  </si>
  <si>
    <t>Memicu event membunuh kecoa. 
Catatan: Tidak perlu menemukan kecoa (belum diimplementasikan)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</si>
  <si>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</si>
  <si>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</si>
  <si>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</si>
  <si>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</si>
  <si>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</si>
  <si>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</si>
  <si>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</si>
  <si>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</si>
  <si>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</si>
  <si>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部分食材，(例如：垃圾、紫丁香蘑菇、月夜茸)，做成料理后，都有一定的概率让哥哥进入食物中毒状态</t>
  </si>
  <si>
    <t>No puedo aguantarme!</t>
  </si>
  <si>
    <t>Algunas comidas como la basura, Hongos Lilac, Hongo luz de luna, etc, tiene una chance de envenenarte cuando es coinada. La comida envenenada solo afecta al hermano y le hara mal a su estomago</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</si>
  <si>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</si>
  <si>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</si>
  <si>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</si>
  <si>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Я більше не можу це терпіти... -1</t>
  </si>
  <si>
    <t>Деякі харчові інгредієнти, такі як фастфуд, лілові гриби, місячні гриби тощо, при термічній обробці можуть спричинити харчове отруєння. Харчове отруєння торкнеться тільки Куроху та викличе у нього розлад шлунка.</t>
  </si>
  <si>
    <t>Після вживання їжі почнеться діарея. Ваше здоров'я значно погіршиться, а також скоротиться вільний час уночі.
Також є ймовірність, що сестрі доведеться терпіти і вона намагатиметься вас поквапити в туалеті.</t>
  </si>
  <si>
    <t>Я больше не могу это терпеть... - 1</t>
  </si>
  <si>
    <t>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Куроху и вызовет у него расстройство желудка.</t>
  </si>
  <si>
    <t>После употребления пищи начнётся диарея. Ваше здоровье значительно ухудшится, а также сократится свободное время ночью.
Также есть вероятность, что сестра будет терпеть и пытаться вас поторопить.</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</si>
  <si>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</si>
  <si>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</si>
  <si>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</si>
  <si>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</si>
  <si>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</si>
  <si>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</si>
  <si>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</si>
  <si>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</si>
  <si>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</si>
  <si>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Tidak bisa menahannya lagi - 1</t>
  </si>
  <si>
    <t>Beberapa bahan, (misalnya: sampah, jamur lilac, jamur malam), memiliki kemungkinan besar menyebabkan kakak keracunan makanan setelah dimasak.</t>
  </si>
  <si>
    <t>Setelah beberapa saat, diare akan dipicu secara paksa, yang mengakibatkan hilangnya banyak kekuatan fisik dan mengurangi waktu aktivitas bebas di malam hari. Ada juga kemungkinan peristiwa menahan kencing adik dipicu pada saat yang sama.</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</si>
  <si>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</si>
  <si>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</si>
  <si>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</si>
  <si>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</si>
  <si>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</si>
  <si>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</si>
  <si>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</si>
  <si>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</si>
  <si>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</si>
  <si>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</si>
  <si>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ademas de los ingredientes envenenados, si añadis chile a la mezcla dara peores efectos de diarrea producido por la comida envenenada</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</si>
  <si>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</si>
  <si>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</si>
  <si>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</si>
  <si>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Я більше не можу це терпіти... -2</t>
  </si>
  <si>
    <t>Крім отруйних харчових інгредієнтів, додавання перцю чилі до страви ще більше посилить наслідки діареї, спричиненої харчовим отруєнням.</t>
  </si>
  <si>
    <t>Наступного дня у Курохи сильно заболить живіт, що завадить йому бігати.
*Цей ефект можна зняти за допомогою карти Таро «Справедливість» або випивши морквяного молока.*
*Поточна версія буде збережена та змінена в майбутньому.*</t>
  </si>
  <si>
    <t>Я больше не могу это терпеть... - 2</t>
  </si>
  <si>
    <t>Помимо ядовитых пищевых ингредиентов, добавление перца чили в блюдо ещё больше усугубит последствия диареи, вызванной пищевым отравлением.</t>
  </si>
  <si>
    <t>На следующий день у Курохи сильно заболит живот,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</si>
  <si>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</si>
  <si>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</si>
  <si>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</si>
  <si>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</si>
  <si>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</si>
  <si>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</si>
  <si>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</si>
  <si>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</si>
  <si>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</si>
  <si>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Tidak bisa menahannya lagi - 2</t>
  </si>
  <si>
    <t>Jika bahan-bahan dicampur dengan cabai, efek samping diare akan semakin kuat.</t>
  </si>
  <si>
    <t>Keesokan harinya saat berpetualang, Onii-chan tidak bisa berlari karena sakit pantat. 
※Ini adalah kondisi abnormal yang dapat dihilangkan dengan kartu Tarot atau susu wortel. 
※Versi saat ini akan bertahan selamanya dan akan diubah menjadi penghilangan waktu nanti.</t>
  </si>
  <si>
    <t>氣息消除-4</t>
  </si>
  <si>
    <t>廁所門改造</t>
  </si>
  <si>
    <t>気配遮断-4</t>
  </si>
  <si>
    <t>トイレのドア改造することが出来る…</t>
  </si>
  <si>
    <t>Breath Concealment - 4</t>
  </si>
  <si>
    <t>Onii-chan can also modify the door of the toilet into another ninja door.</t>
  </si>
  <si>
    <t>*Not yet implemented.</t>
  </si>
  <si>
    <t>La hermana podra modificar la puerta del baño en una puerta ninja</t>
  </si>
  <si>
    <t>기척 제거 - 4</t>
  </si>
  <si>
    <t>화장실 문을 개조할 수 있습니다.</t>
  </si>
  <si>
    <t>Маскування дихання - 4</t>
  </si>
  <si>
    <t>Куроха також може перетворити двері туалету на двері ніндзя.</t>
  </si>
  <si>
    <t>*Поки що не реалізовано.</t>
  </si>
  <si>
    <t>Маскировка дыхания - 4</t>
  </si>
  <si>
    <t>Куроха также может превратить дверь туалета в Дверь ниндзя.</t>
  </si>
  <si>
    <t>*Пока не реализовано.</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</si>
  <si>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</si>
  <si>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</si>
  <si>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</si>
  <si>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</si>
  <si>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</si>
  <si>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</si>
  <si>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</si>
  <si>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</si>
  <si>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</si>
  <si>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Penghapusan Nafas - 4</t>
  </si>
  <si>
    <t>Modifikasi pintu toilet</t>
  </si>
  <si>
    <t>Belum diimplementasikan</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</si>
  <si>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</si>
  <si>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</si>
  <si>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</si>
  <si>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</si>
  <si>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</si>
  <si>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</si>
  <si>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</si>
  <si>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</si>
  <si>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</si>
  <si>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</si>
  <si>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</si>
  <si>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</si>
  <si>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</si>
  <si>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</si>
  <si>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</si>
  <si>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Мені потрібно в туалет... -1</t>
  </si>
  <si>
    <t>Спочатку вам потрібно змусити таргана слідувати за вами додому, знайшовши його в Загубленому лісі. (Дотик до нього накладе на вас дебафф.)
Як тільки ви повернетеся додому після пригоди, виберіть опцію «Іти в туалет» -&gt; «Пошук», доки не знайдете його (таргана).
Пізніше, коли ви покличете сестру до її кімнати, є ймовірність, що станеться подія з туалетом.</t>
  </si>
  <si>
    <t>Фіолетові серця та бажання вплинуть на розвиток події.
*Може статися лише один раз.</t>
  </si>
  <si>
    <t>Мне нужно в туалет... - 1</t>
  </si>
  <si>
    <t>Сначала вам нужно заставить таракана следовать за вами домой, найдя его в Затерянном лесу. (Прикосновение к нему наложит на вас дебафф.)
Как только вы вернетесь домой после приключения, выберите опцию «Идти в туалет» -&gt; «Поиск», пока не найдете его (таракана).
Позже, когда вы позовете сестру в её комнату, есть вероятность, что произойдет событие с туалетом.</t>
  </si>
  <si>
    <t>Фиолетовые сердечки и желание повлияют на развитие сцены.
*Может произойти только один раз.</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</si>
  <si>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</si>
  <si>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</si>
  <si>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</si>
  <si>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</si>
  <si>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</si>
  <si>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</si>
  <si>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</si>
  <si>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</si>
  <si>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</si>
  <si>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Ingin ke toilet... - 1</t>
  </si>
  <si>
    <t>Di hutan yang hilang, Anda terjerat oleh Z (kecoa) dan membawanya pulang. Setelah petualangan pulang, pergi ke toilet -&gt; cari -&gt; temukan makhluk seperti kecoa (Z). Setelah itu, saat memanggil adik perempuan Anda di kamar, ada kemungkinan memicu kejadian toilet.</t>
  </si>
  <si>
    <t>Adik akan memiliki pertunjukan yang berbeda saat dipicu pada hati ungu yang berbeda 
※Hanya dapat dipicu sekali※</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</si>
  <si>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</si>
  <si>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</si>
  <si>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</si>
  <si>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</si>
  <si>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</si>
  <si>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</si>
  <si>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</si>
  <si>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</si>
  <si>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</si>
  <si>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</si>
  <si>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</si>
  <si>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</si>
  <si>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</si>
  <si>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</si>
  <si>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</si>
  <si>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Мені потрібно в туалет... - 2</t>
  </si>
  <si>
    <t>Зазвичай існує невелика ймовірність того, що сестра сходить до туалету.
Вживання напоїв підвищує цю можливість.</t>
  </si>
  <si>
    <t>Дозволяє активувати опцію підгляду в туалеті.
*Поки не реалізовано</t>
  </si>
  <si>
    <t>Мне нужно в туалет... - 2</t>
  </si>
  <si>
    <t>Обычно существует небольшая вероятность того, что сестра сходит в туалет.
Употребление напитков увеличивает эту вероятность.</t>
  </si>
  <si>
    <t>Позволяет активировать опцию подглядывания в туалете.
*Пока не реализовано</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</si>
  <si>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</si>
  <si>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</si>
  <si>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</si>
  <si>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</si>
  <si>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</si>
  <si>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</si>
  <si>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</si>
  <si>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</si>
  <si>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</si>
  <si>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Ingin ke toilet... - 2</t>
  </si>
  <si>
    <t>Adik memiliki kemungkinan kecil untuk memicu event pergi ke toilet pada waktu normal, dan minum minuman akan meningkatkan kemungkinan tersebut.</t>
  </si>
  <si>
    <t>Memicu opsi untuk pergi ke toilet dan mengintip 
*Belum diimplementasikan*</t>
  </si>
  <si>
    <t>廁所Play-1</t>
  </si>
  <si>
    <t>若妹妹在廁所時前往偷窺
且妹妹處於自摸的狀態(粉紅金平糖)，哥哥可以在偷窺時一邊偷偷打手槍，若未被發現則安全結束</t>
  </si>
  <si>
    <t>觸發劇情
※目前尚未實裝被發現的相關劇情</t>
  </si>
  <si>
    <t>トイレPlay-1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</si>
  <si>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</si>
  <si>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</si>
  <si>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</si>
  <si>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</si>
  <si>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</si>
  <si>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</si>
  <si>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</si>
  <si>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</si>
  <si>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</si>
  <si>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화장실Play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</si>
  <si>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</si>
  <si>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</si>
  <si>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Мастурбуюча Сестра - 1</t>
  </si>
  <si>
    <t>Запуститься подія, в якій ви зможете піддивитися, як сестра торкається себе в туалеті після того, як ви дасте їй рожеву цукерку конпейто. Підглядаючи, Куроха може мастурбувати, і якщо його не виявлять, все закінчиться благополучно.</t>
  </si>
  <si>
    <t>Запускає подію, підглядання у туалеті.</t>
  </si>
  <si>
    <t>Мастурбирующая Имоуто - 1</t>
  </si>
  <si>
    <t>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Куроха может мастурбировать, и если его не обнаружат, всё закончится благополучно.</t>
  </si>
  <si>
    <t>Запускает событие, подглядывание в туалете.</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</si>
  <si>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</si>
  <si>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</si>
  <si>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</si>
  <si>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</si>
  <si>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</si>
  <si>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</si>
  <si>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</si>
  <si>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</si>
  <si>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</si>
  <si>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Toilet Play-1</t>
  </si>
  <si>
    <t>Jika mengintip adik di toilet dan berada dalam keadaan masturbasi (permen merah muda), Onii-chan dapat diam-diam melakukan masturbasi saat mengintip, dan jika tidak ditemukan, itu akan berakhir dengan aman.</t>
  </si>
  <si>
    <t>Memicu alur cerita 
*Saat ini, alur cerita terkait yang ditemukan belum diterapkan*</t>
  </si>
  <si>
    <t>廁所Play-2</t>
  </si>
  <si>
    <t>同上
若哥哥打手槍時被發現，且妹妹處於低紫心的狀態，觸發一種分歧</t>
  </si>
  <si>
    <t>觸發相關劇情
※目前尚未實裝被發現的相關劇情</t>
  </si>
  <si>
    <t>トイレPlay-2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</si>
  <si>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</si>
  <si>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</si>
  <si>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</si>
  <si>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</si>
  <si>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</si>
  <si>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 xml:space="preserve">同上 若哥哥起飞时被发现，且妹妹处于低紫心的状态，则会触发一种分支剧情
</t>
  </si>
  <si>
    <t>Masturbacion de la hermana -2</t>
  </si>
  <si>
    <t>Igual que arriba, si te descubren mientras te masturbas y tu hermana tiene pocos corazones morados, el evento tendra otra direccion.</t>
  </si>
  <si>
    <t>Activa el evento relacionado</t>
  </si>
  <si>
    <t>화장실Play - 2</t>
  </si>
  <si>
    <t>오빠가 여동생을 보며 자위하는 걸 들킨 상태에서 여동생이 낮은 보라색 하트 상태일 경우 분기점이 발생합니다.</t>
  </si>
  <si>
    <t>이벤트가 발생합니다.
미구현</t>
  </si>
  <si>
    <t>Мастурбуюча Сестра - 2</t>
  </si>
  <si>
    <t>Продовження події «Мастурбуюча Сестра – 1»: якщо у сестри мало фіолетових сердець і вас застануть за мастурбацією, подія розвиватиметься по-іншому.</t>
  </si>
  <si>
    <t>Запускає пов'язану подію.
*В даний час пов'язана подія ще не реалізована.</t>
  </si>
  <si>
    <t>Мастурбирующая Имоуто - 2</t>
  </si>
  <si>
    <t>Продолжение события «Мастурбирующая Имоуто - 1»: если у сестры мало фиолетовых сердечек и вас застанут за мастурбацией, событие будет развиваться по-другому.</t>
  </si>
  <si>
    <t>Запускает связанное событие.
*В настоящее время связанное событие еще не реализовано.</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</si>
  <si>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</si>
  <si>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</si>
  <si>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</si>
  <si>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</si>
  <si>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</si>
  <si>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</si>
  <si>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</si>
  <si>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</si>
  <si>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</si>
  <si>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Toilet Play-2</t>
  </si>
  <si>
    <t>Sama seperti di atas Jika Onii-chan ditemukan saat masturbasi, dan adik dalam keadaan hati ungu rendah, sebuah percabangan akan terpicu</t>
  </si>
  <si>
    <t>Memicu alur cerita terkait
※Alur cerita terkait yang ditemukan belum diterapkan saat ini.</t>
  </si>
  <si>
    <t>廁所Play-3</t>
  </si>
  <si>
    <t>同-1
若此時遇到Z的突擊，觸發一種分歧</t>
  </si>
  <si>
    <t>50%機率，出現打死Z劇情
備註：無須發現Z的前置操作</t>
  </si>
  <si>
    <t>トイレPlay-3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</si>
  <si>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</si>
  <si>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</si>
  <si>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</si>
  <si>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</si>
  <si>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</si>
  <si>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同-1 
若此时遇到Z的突击，则会触发遇到Z时的分支剧情</t>
  </si>
  <si>
    <t>Masturbacion de la hermana -3</t>
  </si>
  <si>
    <t>Igual que arriba, Si encuentras la criatura ''C'' en este punto, el evento tendra otra direccion.</t>
  </si>
  <si>
    <t>화장실Play - 3</t>
  </si>
  <si>
    <t>이 시점에 바퀴벌레랑 조우하게 되면 분기점이 발생합니다.</t>
  </si>
  <si>
    <t xml:space="preserve">바퀴벌레를 때려잡는 이벤트가 발생합니다.
(바퀴벌레를 사전에 볼 필요가 없습니다.) </t>
  </si>
  <si>
    <t>Мастурбуюча Сестра - 3</t>
  </si>
  <si>
    <t>Продовження події «Мастурбуюча Імоуто – 1». Якщо ви зустрінете таргана в цей час, події розвиватимуться по-іншому.</t>
  </si>
  <si>
    <t>50% імовірність запуску події "Вбивство таргана", яка призводить до одноразової події "Мінет".
Примітка: Вам не потрібно шукати таргана заздалегідь.</t>
  </si>
  <si>
    <t>Мастурбирующая Имоуто - 3</t>
  </si>
  <si>
    <t>Продолжение события «Мастурбирующая Имоуто - 1». Если вы встретите таракана в это время, события будут развиваться по-другому.</t>
  </si>
  <si>
    <t>50% вероятность запуска события «Убийство таракана», которое приводит к одноразовому событию "Минет".
Примечание: Вам не нужно искать таракана заранее.</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</si>
  <si>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</si>
  <si>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</si>
  <si>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</si>
  <si>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</si>
  <si>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</si>
  <si>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</si>
  <si>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</si>
  <si>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</si>
  <si>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Toilet Play-3</t>
  </si>
  <si>
    <t>Sama-1 Jika pada saat ini bertemu dengan kecoa, memicu sebuah perbecabangan</t>
  </si>
  <si>
    <t>50% kemungkinan event memukul kecoa muncul
Catatan: Tidak diperlukan event awal untuk menemukan kecoa.</t>
  </si>
  <si>
    <t>廁所Play-4</t>
  </si>
  <si>
    <t>同上
若妹妹處於高紫心的狀態，且哥哥已經觸發過Z突擊的劇情，選擇闖入廁所，觸發另一種分歧</t>
  </si>
  <si>
    <t>觸發使用嘴巴服務的相關劇情
*三種差分，分為蹲式、躺式，坐式待更新</t>
  </si>
  <si>
    <t>トイレPlay-4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</si>
  <si>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</si>
  <si>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</si>
  <si>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</si>
  <si>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</si>
  <si>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</si>
  <si>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同上
若妹妹处于高紫心的状态，且哥哥已经触发过Z突击的剧情，选择闯入厕所，则会触发另一种分支剧情</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</si>
  <si>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</si>
  <si>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</si>
  <si>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</si>
  <si>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화장실Play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</si>
  <si>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</si>
  <si>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</si>
  <si>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Мастурбуюча Сестра - 4</t>
  </si>
  <si>
    <t>Продовження події «Мастурбуюча Сестра – 3». Якщо у сестри багато фіолетових сердець, і ви вже бачили таргана, ви можете вибрати варіант "Вірватися" в туалет.</t>
  </si>
  <si>
    <t>Запускає подію, в якій сестра використовує свій рот для надання сексуальних послуг.
*Існує три варіанти: лежачи, навпочіпки і сидячи.</t>
  </si>
  <si>
    <t>Мастурбирующая Имоуто - 4</t>
  </si>
  <si>
    <t>Продолжение события «Мастурбирующая Имоуто - 3». Если у сестры много фиолетовых сердечек, и вы уже видели таракана, вы можете выбрать вариант «Ворваться» в туалет.</t>
  </si>
  <si>
    <t>Запускает событие, в котором сестра использует свой рот для оказания вам сексуальных услуг.
*Существует три варианта: лежа, на корточках и сидя.</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</si>
  <si>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</si>
  <si>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</si>
  <si>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</si>
  <si>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</si>
  <si>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</si>
  <si>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</si>
  <si>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</si>
  <si>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</si>
  <si>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</si>
  <si>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Toilet Play-4</t>
  </si>
  <si>
    <t>Sama seperti di atas. Jika adik  berada dalam kondisi hati yang ungu tinggi, dan Onii-chan memicu event menyerang kecoa, pilih untuk menerobos masuk ke kamar mandi, memicu jenis cabang lain.</t>
  </si>
  <si>
    <t>Memicu alur cerita yang berkaitan dengan penggunaan layanan mulut. 
*Tiga perbedaan, dibagi menjadi posisi jongkok, posisi berbaring, dan posisi duduk yang akan diperbarui.</t>
  </si>
  <si>
    <t>C</t>
  </si>
  <si>
    <t>浴室相關</t>
  </si>
  <si>
    <t>お風呂イベント</t>
  </si>
  <si>
    <t>Washroom Events</t>
  </si>
  <si>
    <t>Eventos en la ducha</t>
  </si>
  <si>
    <t>욕실 이벤트</t>
  </si>
  <si>
    <t>Події у ванній</t>
  </si>
  <si>
    <t>События в ванной</t>
  </si>
  <si>
    <t>Aufs Badezimmer bezogene Events</t>
  </si>
  <si>
    <t>Sự kiện trong phòng tắm</t>
  </si>
  <si>
    <r>
      <rPr>
        <rFont val="Microsoft JhengHei"/>
        <b/>
        <color theme="1"/>
        <sz val="12.0"/>
      </rPr>
      <t>Evento no banheiro</t>
    </r>
    <r>
      <rPr>
        <rFont val="Microsoft JhengHei"/>
        <b/>
        <color theme="1"/>
        <sz val="10.0"/>
      </rPr>
      <t>(privada e chuveiro ficam em cômodos diferentes)</t>
    </r>
  </si>
  <si>
    <t>Event terkait Kamar Mandi</t>
  </si>
  <si>
    <t>洗髮乳</t>
  </si>
  <si>
    <t>洗澡大約7天會消耗光，並在不偷窺的情況下機率性觸發
哥哥獨自洗澡時，可以提前使用完畢
或者在偷內衣時，機率觸發</t>
  </si>
  <si>
    <t>機率觸發浴室摔倒事件</t>
  </si>
  <si>
    <t>シャンプー</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</si>
  <si>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</si>
  <si>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</si>
  <si>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</si>
  <si>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</si>
  <si>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wwwwwwwwwwwwwwwwwwwwwwwwwwwwwwwwwwwwwwwwwwwwwwwwwwwwwwwwwwwwwwwwwwwwwwwwwwwwwwwwwwwwwwwwwwwww</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</si>
  <si>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</si>
  <si>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</si>
  <si>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Шампунь</t>
  </si>
  <si>
    <t>З'являється, коли ви приймаючи ванну поодинці витрачаєте дуже багато шампуню. Якщо шампуть закінчився, не підглядайте за сестрою. Також може спрацювати рандомно під час огляду нижньої білизни сестри.</t>
  </si>
  <si>
    <t>Викликає подію "Падіння у ванній".</t>
  </si>
  <si>
    <t>Появляеться, когда вы принимая ванну в одиночку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</si>
  <si>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</si>
  <si>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</si>
  <si>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</si>
  <si>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</si>
  <si>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</si>
  <si>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</si>
  <si>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</si>
  <si>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</si>
  <si>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</si>
  <si>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Sampo</t>
  </si>
  <si>
    <t>Terpicu jika kamu mandi sendirian dan menggunakan sampo secara berlebihan. 
Setelah sampo habis, jangan mengintip adikmu. 
Juga dapat terpicu secara acak saat kamu diam-diam mengambil pakaian dalam adikmu.</t>
  </si>
  <si>
    <t>Peluang terjadinya insiden terpeleset di kamar mandi</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</si>
  <si>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</si>
  <si>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</si>
  <si>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</si>
  <si>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</si>
  <si>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</si>
  <si>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</si>
  <si>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</si>
  <si>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</si>
  <si>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</si>
  <si>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当哥哥性欲到达一定程度时，独自洗澡后可以前往潜入洗手间</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</si>
  <si>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</si>
  <si>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</si>
  <si>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</si>
  <si>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</si>
  <si>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</si>
  <si>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</si>
  <si>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Зачекати, поки Сестра закінчить купатися?</t>
  </si>
  <si>
    <t>Коли у вас з'явиться достатньо "бажання", ви можете сміливо зазирнути до Імоуто, коли вона прийматиме ванну.</t>
  </si>
  <si>
    <t>У варіантах, що з'явилися, будуть наступні:
1. Піти зараз!
2. Зачекати
3. Забути про це</t>
  </si>
  <si>
    <t>Подождать, пока Имоуто закончит купаться?</t>
  </si>
  <si>
    <t>Когда у вас появится достаточно "желания", вы можете смело заглянуть к Имоуто, когда она будет принимать ванну.</t>
  </si>
  <si>
    <t>В появившихся вариантах будут следующие:
1. Уйти сейчас!
2. Подождать
3. Забыть об этом</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</si>
  <si>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</si>
  <si>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</si>
  <si>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</si>
  <si>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</si>
  <si>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</si>
  <si>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</si>
  <si>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</si>
  <si>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</si>
  <si>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</si>
  <si>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Apakah kita perlu menunggu adikku selesai mandi?</t>
  </si>
  <si>
    <t>Ketika hasrat seksual Onii-chan terpenuhi, dia bisa pergi ke pemandian umum setelah mandi sendirian.</t>
  </si>
  <si>
    <t>Opsi berikut muncul:
1. Pergi sekarang
2. Tunggu sebentar
3. Lupakan saja</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</si>
  <si>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</si>
  <si>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</si>
  <si>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</si>
  <si>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</si>
  <si>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</si>
  <si>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</si>
  <si>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</si>
  <si>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</si>
  <si>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</si>
  <si>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</si>
  <si>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</si>
  <si>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</si>
  <si>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Піти зараз! -1</t>
  </si>
  <si>
    <t>Запускає подію підглядання. Якщо ви оберете «Піти зараз!», Ви зможете підглядати за Сестрою, поки вона роздягається. Чим ширше ви відчините двері, тим вища ймовірність, що вона вас помітить.</t>
  </si>
  <si>
    <t>Можливі два результати:
1. Вас непомітять.
2. Вас помітить Сестра.</t>
  </si>
  <si>
    <t>Идите сейчас! - 1</t>
  </si>
  <si>
    <t>Запускает событие подглядывания. Если вы выберете «Уйти сейчас!», вы сможете подглядывать за Имоуто, пока она раздевается. Чем шире вы откроете дверь, тем выше вероятность, что она вас заметит.</t>
  </si>
  <si>
    <t>Возможны два исхода:
1. Вас незаметят.
2. Вас застукает Имоуто.</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</si>
  <si>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</si>
  <si>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</si>
  <si>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</si>
  <si>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</si>
  <si>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</si>
  <si>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</si>
  <si>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</si>
  <si>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</si>
  <si>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</si>
  <si>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Pergi sekarang! - 1</t>
  </si>
  <si>
    <t>Semakin besar pintu geser, semakin mudah ketahuan jika seseorang mengintip saat berganti pakaian.</t>
  </si>
  <si>
    <t>1. Berhasil menyusup ke kamar mandi.
2. Ditemukan oleh adik</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</si>
  <si>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</si>
  <si>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</si>
  <si>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</si>
  <si>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</si>
  <si>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</si>
  <si>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</si>
  <si>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</si>
  <si>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</si>
  <si>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</si>
  <si>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</si>
  <si>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</si>
  <si>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</si>
  <si>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Піти зараз! -2</t>
  </si>
  <si>
    <t>Те саме, що й вище. Якщо рівень прихильності вище 2, і вас зловили на підгляданні, незважаючи на те, що двері не були повністю відчинені, гравцеві буде запропоновано три варіанти.</t>
  </si>
  <si>
    <t>З'являться три варіанти:
1. Медичний огляд
2. Покажи!
3. Придумати відмовку</t>
  </si>
  <si>
    <t>Идите сейчас! - 2</t>
  </si>
  <si>
    <t>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t>
  </si>
  <si>
    <t>Появятся три варианта:
1. Медицинский осмотр
2. Покажите!
3. Придумать отговорку</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</si>
  <si>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</si>
  <si>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</si>
  <si>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</si>
  <si>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</si>
  <si>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</si>
  <si>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</si>
  <si>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</si>
  <si>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</si>
  <si>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</si>
  <si>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Pergi sekarang! - 2</t>
  </si>
  <si>
    <t>Jika peristiwa mengintip saat berganti pakaian dipicu, dan tingkat kasih sayang di atas 2, tetapi pintu geser tidak terbuka sepenuhnya, opsi untuk ketahuan dapat dipicu.</t>
  </si>
  <si>
    <t>Tiga pilihan muncul (termasuk "Coba kulihat").</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</si>
  <si>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</si>
  <si>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</si>
  <si>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</si>
  <si>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</si>
  <si>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</si>
  <si>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</si>
  <si>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</si>
  <si>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</si>
  <si>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</si>
  <si>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</si>
  <si>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</si>
  <si>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</si>
  <si>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Піти зараз! -3</t>
  </si>
  <si>
    <t>Те саме, що й вище. Однак, коли з'являться три варіанти, натисніть праву кнопку миші, щоб відобразити прихований варіант.</t>
  </si>
  <si>
    <t>З'являється прихована опція:
Останній варіант</t>
  </si>
  <si>
    <t>Идите сейчас! - 3</t>
  </si>
  <si>
    <t>То же самое, что и выше. Однако, когда появятся три варианта, нажмите правую кнопку мыши, чтобы отобразить скрытый вариант.</t>
  </si>
  <si>
    <t>Появляется скрытая опция:
Последний вариант</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</si>
  <si>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</si>
  <si>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</si>
  <si>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</si>
  <si>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</si>
  <si>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</si>
  <si>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</si>
  <si>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</si>
  <si>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</si>
  <si>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</si>
  <si>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Pergi sekarang! - 3</t>
  </si>
  <si>
    <t>Saat adegan mengintip saat berganti pakaian dipicu, dan tingkat kasih sayang di atas 2, pintu geser tidak terbuka sepenuhnya (jika tidak ada satu pun dari tiga pilihan yang dipilih), mengklik tombol kanan mouse akan memunculkan pilihan khusus.</t>
  </si>
  <si>
    <t>Opsi khusus muncul</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</si>
  <si>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</si>
  <si>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</si>
  <si>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</si>
  <si>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</si>
  <si>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</si>
  <si>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</si>
  <si>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</si>
  <si>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</si>
  <si>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</si>
  <si>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</si>
  <si>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</si>
  <si>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</si>
  <si>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Піти зараз! -4</t>
  </si>
  <si>
    <t>Те саме, що й вище. Коли ви повністю відчините двері і вас застануть зненацька, з'явиться єдиний варіант.</t>
  </si>
  <si>
    <t>Відобразиться лише один варіант:
Покажи!</t>
  </si>
  <si>
    <t>Идите сейчас! - 4</t>
  </si>
  <si>
    <t>То же самое, что и выше. Когда вы полностью откроете дверь и вас застанут врасплох, появится единственный вариант.</t>
  </si>
  <si>
    <t>Отобразится только один вариант:
Покажите!</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</si>
  <si>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</si>
  <si>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</si>
  <si>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</si>
  <si>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</si>
  <si>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</si>
  <si>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</si>
  <si>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</si>
  <si>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</si>
  <si>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</si>
  <si>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Pergi sekarang! - 4</t>
  </si>
  <si>
    <t>Adegan mengintip saat berganti pakaian terpicu, pintu geser terbuka sepenuhnya, dan satu-satunya pilihan yang tersedia terpicu.</t>
  </si>
  <si>
    <t>Aktifkan opsi (Coba kulihat).</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</si>
  <si>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</si>
  <si>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</si>
  <si>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</si>
  <si>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</si>
  <si>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</si>
  <si>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</si>
  <si>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</si>
  <si>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</si>
  <si>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</si>
  <si>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Como se dijo anteriormente. Cuando abris la puerta por completo y la deslizas hasya el final, podes volver a cerrarla</t>
  </si>
  <si>
    <t>Піти зараз! -5</t>
  </si>
  <si>
    <t>Те саме, що й вище. Коли ви повністю відчините двері і відчините її до упору, ви зможете знову закрити.</t>
  </si>
  <si>
    <t>Запускає інше діалогове вікно. З'являться три варіанти.</t>
  </si>
  <si>
    <t>Идите сейчас! - 5</t>
  </si>
  <si>
    <t>То же самое, что и выше. Когда вы полностью откроете дверь и распахнёте её до упора, вы сможете снова её закрыть.</t>
  </si>
  <si>
    <t>Запускает другое диалоговое окно. Появятся три варианта.</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</si>
  <si>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</si>
  <si>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</si>
  <si>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</si>
  <si>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</si>
  <si>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</si>
  <si>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</si>
  <si>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</si>
  <si>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</si>
  <si>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</si>
  <si>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Pergi sekarang! - 5</t>
  </si>
  <si>
    <t>Seperti yang telah dijelaskan di atas, setelah pintu geser terbuka sepenuhnya, segera tutup kembali.</t>
  </si>
  <si>
    <t>Hal ini memicu dialog yang berbeda, menyajikan tiga pilihan (termasuk "Coba kulihat").</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</si>
  <si>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</si>
  <si>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</si>
  <si>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</si>
  <si>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</si>
  <si>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</si>
  <si>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</si>
  <si>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</si>
  <si>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</si>
  <si>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</si>
  <si>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</si>
  <si>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Igual que antes. Una vez rechazado, puedes sobornar a Imouto con leche de fresa o monedas de oro. Si acepta, se activarán los eventos relacionados con esta escena. (El soborno aún no se ha implementado)</t>
  </si>
  <si>
    <t>Onii-chan baka!</t>
  </si>
  <si>
    <t>Дай-но подивлюся... - 1</t>
  </si>
  <si>
    <t>Якщо рівень прихильності нижче 2, вам буде відмовлено.</t>
  </si>
  <si>
    <t>Куроха, ти дурень!</t>
  </si>
  <si>
    <t>Давайте посмотрим... - 1</t>
  </si>
  <si>
    <t>Если уровень благосклонности ниже 2, вам будет отказано.</t>
  </si>
  <si>
    <t>Куроха, ты дурак!!</t>
  </si>
  <si>
    <t>Lass mich sehen... -1</t>
  </si>
  <si>
    <t>Zuneigung unter 2 rote Herzen, von der Schwester abgelehnt.</t>
  </si>
  <si>
    <t>OnIi-cHaN ud BiST eIN IDiot</t>
  </si>
  <si>
    <t>Để xem nào... - 1</t>
  </si>
  <si>
    <t>Nếu độ yêu thích của bạn thấp hơn 2, bạn sẽ bị từ chối</t>
  </si>
  <si>
    <t xml:space="preserve">Onii-chan baka!! </t>
  </si>
  <si>
    <t>Deixe me ver... - 1</t>
  </si>
  <si>
    <t>Se você tiver a afeição abaixo de 2❤️, Você será rejeitado.</t>
  </si>
  <si>
    <t>Onii-chan seu baka!! (baka = idiota/bobo)</t>
  </si>
  <si>
    <t>Coba kulihat... - 1</t>
  </si>
  <si>
    <t>Ditolak oleh adik</t>
  </si>
  <si>
    <t>Onii-chan baka!! (baka = bodoh)</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</si>
  <si>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</si>
  <si>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</si>
  <si>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</si>
  <si>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</si>
  <si>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</si>
  <si>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</si>
  <si>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</si>
  <si>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</si>
  <si>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</si>
  <si>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</si>
  <si>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</si>
  <si>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</si>
  <si>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Дай-но подивлюся... - 2</t>
  </si>
  <si>
    <t>Те саме, що й вище. Після відмови ви можете підкупити молодшу сестру полуничним молоком чи золотими монетами. У разі успіху запустяться події, пов'язані з цією сценою. (*Підкуп поки не реалізовано)</t>
  </si>
  <si>
    <t>Залежно від результату підкупу буде запущено відповідні події.
(*Підкуп поки не реалізовано)</t>
  </si>
  <si>
    <t>Давайте посмотрим... - 2</t>
  </si>
  <si>
    <t>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t>
  </si>
  <si>
    <t>В зависимости от результата подкупа будут запущены соответствующие события.
(*Подкуп пока не реализован)</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</si>
  <si>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</si>
  <si>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</si>
  <si>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</si>
  <si>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</si>
  <si>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(hối lộ chưa được triển khai)</t>
  </si>
  <si>
    <t>Dựa vào kết quả của việc hối lộ, những sự kiện liên quan sẽ xảy ra. (hối lộ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</si>
  <si>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</si>
  <si>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</si>
  <si>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</si>
  <si>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Coba kulihat... - 2
"Ingin berhubungan seks"</t>
  </si>
  <si>
    <t>Saat pintu terbuka sepenuhnya, ada kemungkinan "Ingin menjadi seksi" akan muncul. Jika Anda tidak memiliki cukup hati saat ini, Anda dapat menggunakan "Janji: Susu Stroberi" atau koin.</t>
  </si>
  <si>
    <t>Jalankan opsi "Ingin berhubungan seks"
Peristiwa selanjutnya akan dipicu berdasarkan hasil penyuapan (penyuapan belum diimplementasikan).</t>
  </si>
  <si>
    <t>讓我看看...-3
"想要色色"</t>
  </si>
  <si>
    <t>同上，被拒絕時，使用"什麼都行券"</t>
  </si>
  <si>
    <t>執行"想要色色"選項
後續使用"什麼都行券"必定可以觸發後續劇情(未實裝)</t>
  </si>
  <si>
    <t>ちょっと見せて...-3</t>
  </si>
  <si>
    <t>拒否された時には「妹のフリーパス」を使用することができる</t>
  </si>
  <si>
    <t>後続のイベントが発生する（「何でもOK券」は未実装）</t>
  </si>
  <si>
    <t>Let me see... - 3</t>
  </si>
  <si>
    <t>Same as above. Once rejected, use "Imouto's Free Pass"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</si>
  <si>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</si>
  <si>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</si>
  <si>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</si>
  <si>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</si>
  <si>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Дай-но подивлюся... - 13</t>
  </si>
  <si>
    <t>Те саме, що й вище. У разі відмови використовуйте «Вільний перепусток», який можна отримати при обіцянці «Не постраждати»
(*Поки не реалізовано).</t>
  </si>
  <si>
    <t>Запускає відповідні події.
(*Поки не реалізовано)</t>
  </si>
  <si>
    <t>Давайте посмотрим... - 3</t>
  </si>
  <si>
    <t>То же самое, что и выше. В случае отказа используйте «Свободный пропуск», который можно получить при обещании «Не пострадать»
(*Пока не реализовано).</t>
  </si>
  <si>
    <t>Запускает соответствующие события.
(*Пока не реализовано)</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</si>
  <si>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</si>
  <si>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</si>
  <si>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</si>
  <si>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</si>
  <si>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</si>
  <si>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</si>
  <si>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</si>
  <si>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</si>
  <si>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</si>
  <si>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Coba kulihat... - 3
"Ingin terlihat seksi"</t>
  </si>
  <si>
    <t>Demikian pula, jika ditolak, gunakan kupon "Apa pun dapat diterima".</t>
  </si>
  <si>
    <t>Mengeksekusi opsi "Ingin berhubungan seks"
Penggunaan selanjutnya dari "Kupon Apa Saja Boleh" pasti akan memicu peristiwa cerita selanjutnya (belum diimplementasikan).</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</si>
  <si>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</si>
  <si>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</si>
  <si>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</si>
  <si>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</si>
  <si>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</si>
  <si>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</si>
  <si>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</si>
  <si>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</si>
  <si>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</si>
  <si>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</si>
  <si>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</si>
  <si>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</si>
  <si>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Хочу розпусти</t>
  </si>
  <si>
    <t>Якщо у вас 1 або більше фіолетових сердець і 2 або більше червоних, подія з мастурбацією може випадково статися, коли двері будуть повністю відчинені. Варіант зміниться з "Покажи мені" на "Хочу розпусти"</t>
  </si>
  <si>
    <t>Запускає подію, пов'язану з мастурбацією. У вас все ще є шанс отримати відмову, і двері повинні бути повністю відчинені.
Примітка: Вона повинна бути повернута до вас обличчям."</t>
  </si>
  <si>
    <t>Хочу разврата</t>
  </si>
  <si>
    <t>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t>
  </si>
  <si>
    <t>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</si>
  <si>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</si>
  <si>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</si>
  <si>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</si>
  <si>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</si>
  <si>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</si>
  <si>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</si>
  <si>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</si>
  <si>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</si>
  <si>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</si>
  <si>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Coba kulihat... - 4
"Ingin terlihat seksi"</t>
  </si>
  <si>
    <t>Demikian pula, ketika Anda memiliki 1 atau lebih hati ungu dan 2 atau lebih hati merah, peristiwa tersebut dapat dipicu.</t>
  </si>
  <si>
    <t>Pilih opsi "Ingin sedikit erotisme"
Ini akan memicu adegan di mana Anda menggunakan tangan Anda untuk melakukan hubungan seksual.</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</si>
  <si>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</si>
  <si>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</si>
  <si>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</si>
  <si>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</si>
  <si>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</si>
  <si>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</si>
  <si>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</si>
  <si>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</si>
  <si>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</si>
  <si>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跳过偷窥换衣事件，保证安全潜入洗手间</t>
  </si>
  <si>
    <t>Espera un minuto</t>
  </si>
  <si>
    <t>Omites el evento de cambio de ropa y entras al baño de manera segura.</t>
  </si>
  <si>
    <t>Inlitracion silenciosa y sin riesgos</t>
  </si>
  <si>
    <t>Трохи зачекати</t>
  </si>
  <si>
    <t>Пропускає початкову сцену підгляду і відразу переходить до підгляду у ванній кімнаті.</t>
  </si>
  <si>
    <t>Прослизьте у ванну, не ризикуючи життям.</t>
  </si>
  <si>
    <t>Немного подождать</t>
  </si>
  <si>
    <t>Пропускает начальную сцену подглядывания и сразу переходит к подглядыванию в ванной.</t>
  </si>
  <si>
    <t>Проскользните в ванну, не рискуя жизнью.</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</si>
  <si>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</si>
  <si>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</si>
  <si>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</si>
  <si>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</si>
  <si>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</si>
  <si>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</si>
  <si>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</si>
  <si>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</si>
  <si>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</si>
  <si>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Tunggu sebentar</t>
  </si>
  <si>
    <t>Menghindari insiden mengintip saat berganti pakaian memastikan masuk ke kamar mandi dengan aman.</t>
  </si>
  <si>
    <t>Masukkan cairan pembersih wajah dengan aman.</t>
  </si>
  <si>
    <t>第一次潛入</t>
  </si>
  <si>
    <t>第一次於洗面所潛入，屬於特殊劇情</t>
  </si>
  <si>
    <t>※一次性事件
只能探索一下就必須離開</t>
  </si>
  <si>
    <t>最初の潜入ミッション</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</si>
  <si>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</si>
  <si>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</si>
  <si>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</si>
  <si>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</si>
  <si>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</si>
  <si>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第一次潜入洗手间，属于特殊剧情</t>
  </si>
  <si>
    <t>Primera vez espiando</t>
  </si>
  <si>
    <t>La primera vze que espias en el baño, dara un pequeño evento</t>
  </si>
  <si>
    <t>*Evento unico.
puedes explorar un poco y luego tienes que salir</t>
  </si>
  <si>
    <t>처음 엿보러 갈 때 작은 이벤트가 발생합니다.</t>
  </si>
  <si>
    <t>※일회성 이벤트
몰래 엿볼 수 있습니다.</t>
  </si>
  <si>
    <t>Перше підглядання</t>
  </si>
  <si>
    <t>Перший раз, коли ви заглянете до ванної кімнати, буде особливий діалог.</t>
  </si>
  <si>
    <t>※Разова подія
Ви можете досліджувати лише трохи, а потім вам доведеться піти</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</si>
  <si>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</si>
  <si>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</si>
  <si>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</si>
  <si>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</si>
  <si>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</si>
  <si>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</si>
  <si>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</si>
  <si>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</si>
  <si>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</si>
  <si>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</si>
  <si>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</si>
  <si>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</si>
  <si>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Infiltrasi pertama</t>
  </si>
  <si>
    <t>Penyusupan pertama ke kamar mandi merupakan bagian dari alur cerita khusus.</t>
  </si>
  <si>
    <t>※Acara sekali saja
Anda hanya dapat menjelajahinya sebentar sebelum harus pergi.</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</si>
  <si>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</si>
  <si>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</si>
  <si>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</si>
  <si>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</si>
  <si>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</si>
  <si>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</si>
  <si>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</si>
  <si>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</si>
  <si>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</si>
  <si>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</si>
  <si>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</si>
  <si>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</si>
  <si>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Трусики!</t>
  </si>
  <si>
    <t>Прокрадіться у туалет, потримайте трусики Сестри, і якщо вас вперше спіймають, запуститься кат-сцена.</t>
  </si>
  <si>
    <t>Подія призведе до отримання спорядження «Трусики Сестри».</t>
  </si>
  <si>
    <t>Прокрадитесь в туалет, подержите трусики Имоуто, и если вас впервые поймают, запустится кат-сцена.</t>
  </si>
  <si>
    <t>Событие запустит процесс получения
Приобретите снаряжение "Трусики Имоуто".</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</si>
  <si>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</si>
  <si>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</si>
  <si>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</si>
  <si>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</si>
  <si>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</si>
  <si>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</si>
  <si>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</si>
  <si>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</si>
  <si>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</si>
  <si>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Celana dalam!</t>
  </si>
  <si>
    <t>Dia masuk tanpa izin, mencuri pakaian dalam, dan kemudian ketahuan.</t>
  </si>
  <si>
    <t>Acara Spesial
Barang yang Diperoleh: Pakaian Dalam Adik Perempuan</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</si>
  <si>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</si>
  <si>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</si>
  <si>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</si>
  <si>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</si>
  <si>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</si>
  <si>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</si>
  <si>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</si>
  <si>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</si>
  <si>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</si>
  <si>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</si>
  <si>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</si>
  <si>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Теплі ручки сестрички 1</t>
  </si>
  <si>
    <t>Якщо ви наберете в сумі 6 сердець (тобто 3 червоних і 3 фіолетових), вона подрочит вам, коли наступного разу вас застане, коли ви чіпаєте її нижню білизну.</t>
  </si>
  <si>
    <t>Буде програно спеціальну сцену, в якій сестра мастурбує вам своєю нижньою білизною.
(В даний час існує 3 види нижньої білизни)</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</si>
  <si>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</si>
  <si>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</si>
  <si>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</si>
  <si>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</si>
  <si>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</si>
  <si>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</si>
  <si>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</si>
  <si>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</si>
  <si>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</si>
  <si>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</si>
  <si>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</si>
  <si>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</si>
  <si>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Suhu tangan - 1</t>
  </si>
  <si>
    <t>Peristiwa ini akan dipicu ketika Anda tertangkap mencuri pakaian dalam untuk kedua kalinya dan jumlah hati Anda mencapai 6.</t>
  </si>
  <si>
    <t>Alur cerita spesial yang melibatkan adik perempuan menggunakan tangannya
*Saat ini, 3 jenis pakaian dalam tersedia.</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</si>
  <si>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</si>
  <si>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</si>
  <si>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</si>
  <si>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</si>
  <si>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</si>
  <si>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</si>
  <si>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</si>
  <si>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</si>
  <si>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</si>
  <si>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</si>
  <si>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Como se dijo a continuacion. Si tenes 3 corazones morados y lo haces denuevo, ella te hara una paja directamente (sin ropa interior)</t>
  </si>
  <si>
    <t>Теплі ручки сестрички 2</t>
  </si>
  <si>
    <t>Продовження події зверху. Якщо у вас є 3 фіолетових серця і ви зробите це знову, натомість вона зробить вам звичайну дрочку (без спідньої білизни).</t>
  </si>
  <si>
    <t>Сцена, де сестра дрочить вам руками без спідньої білизни.</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</si>
  <si>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</si>
  <si>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</si>
  <si>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</si>
  <si>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</si>
  <si>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</si>
  <si>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</si>
  <si>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</si>
  <si>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</si>
  <si>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cảnh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</si>
  <si>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</si>
  <si>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</si>
  <si>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</si>
  <si>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Suhu tangan - 2</t>
  </si>
  <si>
    <t>Melanjutkan dari penjelasan di atas, begitu Anda mencapai level hati ungu 3, Anda dapat bermain tanpa mengenakan pakaian.</t>
  </si>
  <si>
    <t>Alur cerita istimewa tentang adik perempuan yang menggunakan tangannya untuk melayani.</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</si>
  <si>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</si>
  <si>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</si>
  <si>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</si>
  <si>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</si>
  <si>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</si>
  <si>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</si>
  <si>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</si>
  <si>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</si>
  <si>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</si>
  <si>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在学习"气息消除"后，于妹妹洗澡时潜入洗手间，可以使用忍者跳舞选项</t>
  </si>
  <si>
    <t xml:space="preserve">Despues de aprender la habilidad ninja "Respiracion controlada" muevete silenciosamente dentro de la baño mientras que tu hermana se esta bañando y elegis la opcion de "Hacer el baile NInja" </t>
  </si>
  <si>
    <t>Маскування дихання - 1</t>
  </si>
  <si>
    <t>Освоївши навичку ніндзя «Приховування дихання», проберіться у ванну, поки ваша сестра приймає ванну, і виберіть варіант «Танець ніндзя».</t>
  </si>
  <si>
    <t>Дозволяє використовувати спеціальну опцію</t>
  </si>
  <si>
    <t>Маскировка дыхания - 1</t>
  </si>
  <si>
    <t>Освоив навык ниндзя «Сокрытия дыхания», проберитесь в ванную комнату, пока ваша сестра принимает ванну, и выберите вариант «Танец ниндзя».</t>
  </si>
  <si>
    <t>Позволяет использовать специальную опцию</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</si>
  <si>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</si>
  <si>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</si>
  <si>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</si>
  <si>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</si>
  <si>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</si>
  <si>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</si>
  <si>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</si>
  <si>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</si>
  <si>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</si>
  <si>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Penghapusan Aura - 1</t>
  </si>
  <si>
    <t>Setelah mempelajari "Menghilangkan Aura," menyelinaplah ke kamar mandi saat adikmu sedang mandi untuk mengakses opsi tarian ninja.</t>
  </si>
  <si>
    <t>Gunakan opsi khusus</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</si>
  <si>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</si>
  <si>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</si>
  <si>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</si>
  <si>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</si>
  <si>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</si>
  <si>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</si>
  <si>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</si>
  <si>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</si>
  <si>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</si>
  <si>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</si>
  <si>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Podes espiar a tu herman mientras se baña sola</t>
  </si>
  <si>
    <t>Прозорі двері - 1</t>
  </si>
  <si>
    <t>Шпигуйте за сестрою, поки вона приймає душ одна.</t>
  </si>
  <si>
    <t>Ви можете побачити сцену, де сестра миє волосся та груди. 
(В даний час погані наслідки не просаджують зацікавленість сестри до вас. Це буде реалізовано в майбутньому.)</t>
  </si>
  <si>
    <t>Прозрачная дверь - 1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</si>
  <si>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</si>
  <si>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</si>
  <si>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</si>
  <si>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</si>
  <si>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</si>
  <si>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</si>
  <si>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</si>
  <si>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</si>
  <si>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</si>
  <si>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</si>
  <si>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</si>
  <si>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Pintu Transparan - 1</t>
  </si>
  <si>
    <t>Anda bisa mengintip adik perempuan Anda saat dia mandi sendirian.</t>
  </si>
  <si>
    <t>Adegan adik perempuan mencuci rambut dan memperlihatkan dadanya dapat terlihat. Saat ini, belum ada masalah terkait upaya mengintip yang gagal atau perasaan sayang; hal ini masih dalam pengembangan.</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</si>
  <si>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</si>
  <si>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</si>
  <si>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</si>
  <si>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</si>
  <si>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</si>
  <si>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</si>
  <si>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</si>
  <si>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</si>
  <si>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</si>
  <si>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</si>
  <si>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</si>
  <si>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Прозорі двері - 2</t>
  </si>
  <si>
    <t>Виконуйте дії у ванній, доки силует сестри повністю не зникне за дверима, а потім загляньте до неї. Після чого ви побачите, як вона приймає у ванну.
Примітка: Можна просто брати її спідню білизну і класти назад, щоб реалізувати дану дію.</t>
  </si>
  <si>
    <t>Існують варіанти в залежності від того, чи підібрали ви гумову качечку біля річки.
На даний момент немає сцен без гумової качки. Дія підглядання може бути провальним. У майбутньому це буде покращено.</t>
  </si>
  <si>
    <t>Прозрачная дверь - 2</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</si>
  <si>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</si>
  <si>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</si>
  <si>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</si>
  <si>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</si>
  <si>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</si>
  <si>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</si>
  <si>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</si>
  <si>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</si>
  <si>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</si>
  <si>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</si>
  <si>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</si>
  <si>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Pintu Transparan - 2</t>
  </si>
  <si>
    <t>Saat adik perempuanmu sedang mandi sendirian, tunggu sampai dia tidak terlihat lagi di kamar mandi. Kemudian, intip ke dalam untuk melihat apa yang sedang dia lakukan saat mandi.</t>
  </si>
  <si>
    <t>Kehadiran atau ketidakhadiran bebek karet menciptakan visual yang berbeda.
(Adegan tanpa bebek belum dibuat; akan segera diperbarui.)
Saat ini belum ada adegan yang menunjukkan upaya mengintip yang gagal.</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</si>
  <si>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</si>
  <si>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</si>
  <si>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</si>
  <si>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</si>
  <si>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</si>
  <si>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</si>
  <si>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</si>
  <si>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</si>
  <si>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</si>
  <si>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</si>
  <si>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</si>
  <si>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</si>
  <si>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Прозорі двері - 3</t>
  </si>
  <si>
    <t>Коли він прийматиме ванну на самоті, Куроха потай переробить двері у ванну кімнату на кшталт дверей ніндзя. Після цього, якщо ви підгляньте за сестрою, поки вона приймає душ, у вас з'явиться можливість скористатися нею.</t>
  </si>
  <si>
    <t>Ви можете подивитися на сестру, яка приймає душ, з іншого ракурсу.</t>
  </si>
  <si>
    <t>Прозрачная дверь - 3</t>
  </si>
  <si>
    <t>Когда он будет принимать ванну в одиночестве, Куроха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t>
  </si>
  <si>
    <t>Вы можете понаблюдать за принимающей душ с другого ракурса.</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</si>
  <si>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</si>
  <si>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</si>
  <si>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</si>
  <si>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</si>
  <si>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</si>
  <si>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</si>
  <si>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</si>
  <si>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</si>
  <si>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</si>
  <si>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Pintu Transparan-3</t>
  </si>
  <si>
    <t>Setelah mempelajari "Penghilangan Bau," kakak laki-laki itu akan diam-diam memodifikasi pintu kamar mandi saat mandi sendirian, mengubahnya menjadi pintu ninja.
Opsi untuk menggunakan pintu ninja dipicu pada tahap ketiga saat ia mengintip adiknya mandi.</t>
  </si>
  <si>
    <t>Menyaksikan pertunjukan dari perspektif khusus.</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</si>
  <si>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</si>
  <si>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</si>
  <si>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</si>
  <si>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</si>
  <si>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</si>
  <si>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</si>
  <si>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</si>
  <si>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</si>
  <si>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</si>
  <si>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</si>
  <si>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</si>
  <si>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</si>
  <si>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Давай приймемо ванну разом</t>
  </si>
  <si>
    <t>Розблокується при досягненні рівня прихильності 2.</t>
  </si>
  <si>
    <t>Дозволяє приймати ванну разом із молодшою ​​сестрою.</t>
  </si>
  <si>
    <t>Давайте примем ванну вместе</t>
  </si>
  <si>
    <t>Разблокируется при достижении уровня благосклонности 2.</t>
  </si>
  <si>
    <t>Позволяет принимать ванну вместе с младшей сестрой.</t>
  </si>
  <si>
    <t>Gemeinsam baden</t>
  </si>
  <si>
    <t>Wenn der Zuneigungswert über 2 Herzen liegt</t>
  </si>
  <si>
    <t>Du kannst mit deiner Schwester baden gehen</t>
  </si>
  <si>
    <t>Hãy tắm cùng anh</t>
  </si>
  <si>
    <t>Mở khóa khi độ yêu thích đạt cấp 2</t>
  </si>
  <si>
    <t>Cho phép tắm chung với Imouto</t>
  </si>
  <si>
    <t>Vamos tomar banho juntos</t>
  </si>
  <si>
    <t>Desbloqueado quando a afeição chega ao nível 2 ❤️❤️</t>
  </si>
  <si>
    <t>Permite você tomar banho junto com a Imouto</t>
  </si>
  <si>
    <t>Mandi bersama</t>
  </si>
  <si>
    <t>Ketika tingkat kesukaannya lebih besar dari 2</t>
  </si>
  <si>
    <t>Kamu bisa mandi bersama adikmu.</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</si>
  <si>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</si>
  <si>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</si>
  <si>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</si>
  <si>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</si>
  <si>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</si>
  <si>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</si>
  <si>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</si>
  <si>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</si>
  <si>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</si>
  <si>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</si>
  <si>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Будь ласка, давай приймемо ванну разом</t>
  </si>
  <si>
    <t>Прийміть ванну з сестрою, коли вона у поганому настрої.</t>
  </si>
  <si>
    <t>Буде додано ще одну варіацію.
(Не працює у поточній версії)</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</si>
  <si>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</si>
  <si>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</si>
  <si>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</si>
  <si>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</si>
  <si>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</si>
  <si>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</si>
  <si>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anh</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</si>
  <si>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</si>
  <si>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</si>
  <si>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</si>
  <si>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</si>
  <si>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</si>
  <si>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Harap cuci bersama-sama</t>
  </si>
  <si>
    <t>Syarat untuk mandi bersama sudah terpenuhi, tetapi adikku sedang murung.</t>
  </si>
  <si>
    <t>Opsi Khusus</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</si>
  <si>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</si>
  <si>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</si>
  <si>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</si>
  <si>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</si>
  <si>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</si>
  <si>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</si>
  <si>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</si>
  <si>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</si>
  <si>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</si>
  <si>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Майже знепритомніла - 1</t>
  </si>
  <si>
    <t>Якщо під час купання з Імоуто без фіолетових сердець постійно торкатися її, вона встане з ванни і втече.</t>
  </si>
  <si>
    <t>«Сестра втекла»</t>
  </si>
  <si>
    <t>Чуть не упала в обморок - 1</t>
  </si>
  <si>
    <t>Если во время купания с Имоуто без фиолетовых сердечек постоянно прикасаться к ней, она встанет из ванны и убежит.</t>
  </si>
  <si>
    <t>«Имоуто сбежала»</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</si>
  <si>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</si>
  <si>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</si>
  <si>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</si>
  <si>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</si>
  <si>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</si>
  <si>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</si>
  <si>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</si>
  <si>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</si>
  <si>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</si>
  <si>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Aku hampir pingsan karena panasnya -1</t>
  </si>
  <si>
    <t>Jika kamu terus menyentuh adik perempuanmu saat mandi bersamanya (tanpa mendapatkan Purple Heart), dia akan lari.</t>
  </si>
  <si>
    <t>Saudari saya melarikan diri.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</si>
  <si>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</si>
  <si>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</si>
  <si>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</si>
  <si>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</si>
  <si>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</si>
  <si>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</si>
  <si>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Almost Fainted - 2</t>
  </si>
  <si>
    <t>Similar to above, if you have at least 1 purple heart, she will end up fainting from the heat</t>
  </si>
  <si>
    <t>"Imouto fainted from the heat"
*One-time event</t>
  </si>
  <si>
    <t>Майже знепритомніла - 2</t>
  </si>
  <si>
    <t>Як і в попередньому випадку, якщо у вас є хоча б одне фіолетове серце, вона зрештою втратить свідомість від спеки.</t>
  </si>
  <si>
    <t>«Сестра знепритомніла від спеки»
*Одиничний випадок"</t>
  </si>
  <si>
    <t>Чуть не упала в обморок - 2</t>
  </si>
  <si>
    <t>Как и в предыдущем случае, если у вас есть хотя бы одно фиолетовое сердце, она в итоге потеряет сознание от жары.</t>
  </si>
  <si>
    <t>«Имоуто потеряла сознание от жары»
*Единичный случай</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</si>
  <si>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</si>
  <si>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</si>
  <si>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</si>
  <si>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</si>
  <si>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</si>
  <si>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</si>
  <si>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</si>
  <si>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</si>
  <si>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</si>
  <si>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Aku hampir pingsan karena panasnya -2</t>
  </si>
  <si>
    <t>Jika kamu terus menyentuh adikmu saat dia memiliki setidaknya satu Purple Heart, dia akan kepanasan hingga pingsan.</t>
  </si>
  <si>
    <t>Adikku pingsan karena kepanasan.
*Ini adalah kejadian sekali saja.*</t>
  </si>
  <si>
    <t>快要熱暈了-3</t>
  </si>
  <si>
    <t>同上，第二次進入熱暈環節前，會進入特殊畫面</t>
  </si>
  <si>
    <t>CG演出</t>
  </si>
  <si>
    <t>逆上せちゃいそう-3</t>
  </si>
  <si>
    <t>2回目に気絶する段階に入る前に、特殊イベントに移行します</t>
  </si>
  <si>
    <t>Almost Fainted - 3</t>
  </si>
  <si>
    <t>Before she faints the second time from the heat, a special screen will appear</t>
  </si>
  <si>
    <t>A special CG will show up</t>
  </si>
  <si>
    <t>Майже знепритомніла - 3</t>
  </si>
  <si>
    <t>Аналогічно попередньому випадку, але перед тим, як вона знепритомніє від спеки, з'явиться спеціальний екран.</t>
  </si>
  <si>
    <t>З'явиться спеціальне CG.</t>
  </si>
  <si>
    <t>Чуть не упала в обморок - 3</t>
  </si>
  <si>
    <t>Аналогично предыдущему случаю, но перед тем, как она потеряет сознание от жары, появится специальный экран.</t>
  </si>
  <si>
    <t>Появится специальный CG.</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</si>
  <si>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</si>
  <si>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</si>
  <si>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</si>
  <si>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</si>
  <si>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</si>
  <si>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</si>
  <si>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</si>
  <si>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</si>
  <si>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</si>
  <si>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Aku hampir pingsan karena panasnya -3</t>
  </si>
  <si>
    <t>Seperti yang telah disebutkan di atas, adegan khusus akan diputar sebelum fase serangan panas kedua.</t>
  </si>
  <si>
    <t>Performa CG</t>
  </si>
  <si>
    <t>快要熱暈了-4</t>
  </si>
  <si>
    <t>同上，選擇繼續。觸發用手觸摸的劇情</t>
  </si>
  <si>
    <t>觸發相關劇情</t>
  </si>
  <si>
    <t>Almost Fainted - 4</t>
  </si>
  <si>
    <t>After doing the event above, keep touching imouto's breasts and a scene will trigger</t>
  </si>
  <si>
    <t>Triggers the "Grabbed from behind" seggs scene</t>
  </si>
  <si>
    <t>Майже знепритомніла - 4</t>
  </si>
  <si>
    <t>Виконавши вищезазначену дію, продовжуйте торкатися грудей Імоуто, і почнеться сцена</t>
  </si>
  <si>
    <t>Запускає сцену "Схоплена ззаду"</t>
  </si>
  <si>
    <t>Чуть не упала в обморок - 4</t>
  </si>
  <si>
    <t>После выполнения описанного выше действия продолжайте прикасаться к груди Имоуто, и начнется сцена</t>
  </si>
  <si>
    <t>Запускает сцену "Схваченная сзади"</t>
  </si>
  <si>
    <t>Mir wird heiß und schwindelig-4</t>
  </si>
  <si>
    <t>Nach dem oben genannten Ereignis löst sich eine Szene aus, wenn du weiterhin die Brüste von deiner Schwester berührst.</t>
  </si>
  <si>
    <t>Löst die "Von hinten gepackt" Sex Szene aus.</t>
  </si>
  <si>
    <t>Gần ngất đi - 4</t>
  </si>
  <si>
    <t>Sau sự kiện trên, tiếp tục sờ vào ngực của imouto và một cảnh sẽ xuất hiện</t>
  </si>
  <si>
    <t>Xảy ra cảnh "Từ đằng sau"</t>
  </si>
  <si>
    <t>Quase Desmaiou - 4</t>
  </si>
  <si>
    <t>Após realizar o evento acima, continue tocando nos seios da irmãzinha e uma cena ocorrerá.</t>
  </si>
  <si>
    <t>Aciona a cena íntima "Agarrada por trás".</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</si>
  <si>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</si>
  <si>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</si>
  <si>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</si>
  <si>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</si>
  <si>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</si>
  <si>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</si>
  <si>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Almost Fainted - 5</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</si>
  <si>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</si>
  <si>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</si>
  <si>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</si>
  <si>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</si>
  <si>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Фантазировать</t>
  </si>
  <si>
    <t>Коли рівень збудження братика перевищує 50%, і він заходить у ванну, щоб підглядати за імауто, опція «Медитувати» замінюється на «Фантазувати».</t>
  </si>
  <si>
    <t>Замінює опцію "Медитувати" на "Фантазувати".
Вибір цієї опції викликає діалоги від молодшої сестри, які виникнуть у вашій уяві.</t>
  </si>
  <si>
    <t>Когда уровень возбуждения они-чана превышает 50%, и он заходит в ванную, чтобы подглядывать за имауто, опция «Медитировать» заменяется на «Фантазировать».</t>
  </si>
  <si>
    <t xml:space="preserve">Заменяет опцию «Медитировать» на «Фантазировать».
Выбор этой опции вызовет диалоги от младшей сестры, которые возникнут в вашем воображении.
</t>
  </si>
  <si>
    <t>Mir wird heiß und schwindelig-5</t>
  </si>
  <si>
    <t>Wenn Onii-chan's Erregungslevel über 50% liegt und er das Badezimmer betritt, um deine Schwester zu beobachten, wird die Option "Meditieren" zu "Fantasieren".</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</si>
  <si>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</si>
  <si>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</si>
  <si>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</si>
  <si>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</si>
  <si>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</si>
  <si>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</si>
  <si>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meditação muda para Fantasiar. Após a seleção, um diálogo fantasioso ocorrerá.</t>
  </si>
  <si>
    <t>Bar Meditasi</t>
  </si>
  <si>
    <t>Saat adik perempuannya sedang mandi sendirian, hasrat seksual kakak laki-lakinya meningkat drastis, dan dia pun masuk ke kamar mandi.</t>
  </si>
  <si>
    <t>Opsi untuk mengubah meditasi menjadi delusi diaktifkan. Setelah memilih opsi ini, pertunjukan oleh saudari yang menyukai delusi akan berlangsung.</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</si>
  <si>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</si>
  <si>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</si>
  <si>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</si>
  <si>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</si>
  <si>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</si>
  <si>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</si>
  <si>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</si>
  <si>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</si>
  <si>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</si>
  <si>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Миття з Сестрою - 1</t>
  </si>
  <si>
    <t>Коли купатиметеся з Сестрою, попросіть її помити вам спину. Потім з'явиться нова опція, що дозволяє попросити її помити передню частину тіла.</t>
  </si>
  <si>
    <t>Запускається нова сцена.
Додано нову опцію: «Помити перед».</t>
  </si>
  <si>
    <t>Вымытый Имоуто - 1</t>
  </si>
  <si>
    <t>Когда будете купаться с Имоуто, попросите её помыть вам спину. Позже появится новая опция, позволяющая попросить её помыть вам переднюю часть тела.</t>
  </si>
  <si>
    <t>Запускается новая сцена.
Добавлена ​​новая опция: «Помыть перед».</t>
  </si>
  <si>
    <t>Bitte deine Schwester um Hilfe beim Waschen – 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</si>
  <si>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</si>
  <si>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</si>
  <si>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</si>
  <si>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</si>
  <si>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</si>
  <si>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imouto me lavar - 1</t>
  </si>
  <si>
    <t>Quando você tomando banho com a sua imouto, peça para ela "esfregar as costas". Uma nova opção será adicionada onde você pode pedir pra ela "lavar a frente".</t>
  </si>
  <si>
    <t>Uma nova Cena ocorrerá.
Uma nova opção será adicionada: "lavar a frente"</t>
  </si>
  <si>
    <t>Tolong minta adikku untuk membantuku mencuci -1</t>
  </si>
  <si>
    <t>Saat mandi bersama adik perempuanku, aku memintanya untuk membantuku menggosok punggungku.</t>
  </si>
  <si>
    <t>Ini memicu adegan sinematik dan menambahkan opsi baru di lain waktu: Bersihkan area di depan.</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</si>
  <si>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</si>
  <si>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</si>
  <si>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</si>
  <si>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</si>
  <si>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</si>
  <si>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</si>
  <si>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</si>
  <si>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</si>
  <si>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</si>
  <si>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Миття з Сестрою - 2</t>
  </si>
  <si>
    <t>Аналогічно вищесказаному, якщо ви наполягатимете на миття передньої частини, коли рівень ваших фіолетових сердець нижче 4, Сестра відмовиться.</t>
  </si>
  <si>
    <t>Сестра відмовить вам у вашому проханні</t>
  </si>
  <si>
    <t>Вымытый Имоуто - 2</t>
  </si>
  <si>
    <t>Аналогично вышесказанному, если вы будете настаивать на мытье передней части, когда уровень ваших фиолетовых сердечек ниже 4, Имоуто откажется.</t>
  </si>
  <si>
    <t>Имоуто откажет вам в вашей просьбе</t>
  </si>
  <si>
    <t>Bitte deine Schwester um Hilfe beim Waschen – 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</si>
  <si>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</si>
  <si>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</si>
  <si>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</si>
  <si>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</si>
  <si>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</si>
  <si>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imouto me lavar - 2</t>
  </si>
  <si>
    <t>Similar com o de cima, se você insistir pra ela "lavar a frente" enquanto tiver menos de 4 corações roxos💜, imouto irá recusar.</t>
  </si>
  <si>
    <t>Imouto irá recusar o seu pedido</t>
  </si>
  <si>
    <t>Tolong minta adikku untuk membantuku mencuci -2</t>
  </si>
  <si>
    <t>Seperti di atas, untuk kedua kalinya Anda memilih untuk membantu membersihkan area di depan, dan sebelum Anda mencapai 4 hati ungu.</t>
  </si>
  <si>
    <t>Saudari saya akan menolak untuk membantu.</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</si>
  <si>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</si>
  <si>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</si>
  <si>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</si>
  <si>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</si>
  <si>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</si>
  <si>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</si>
  <si>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</si>
  <si>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</si>
  <si>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</si>
  <si>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Миття з Сестрою - 3</t>
  </si>
  <si>
    <t>Аналогічно попередньому, але якщо у вас 4 фіолетові серця, запуститься перша сцена з "суматою".</t>
  </si>
  <si>
    <t>Перша сцена "сумати"</t>
  </si>
  <si>
    <t>Вымытый Имоуто - 3</t>
  </si>
  <si>
    <t>Аналогично предыдущему, но если у вас 4 фиолетовых сердца, запустится первая сцена с "суматой".</t>
  </si>
  <si>
    <t>Первая сцена "суматы"</t>
  </si>
  <si>
    <t>Bitte deine Schwester um Hilfe beim Waschen – 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</si>
  <si>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</si>
  <si>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</si>
  <si>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</si>
  <si>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</si>
  <si>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</si>
  <si>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imouto me lavar - 3</t>
  </si>
  <si>
    <t>Similar com o de cima, mas se você tiver 4 corações roxos💜💜💜💜, a primeria cena de sumata ocorrerá</t>
  </si>
  <si>
    <t>Primeira cena de sumata</t>
  </si>
  <si>
    <t>Tolong minta adikku untuk membantuku mencuci - 3</t>
  </si>
  <si>
    <t>Demikian pula, jika Anda mencapai 4 hati ungu...</t>
  </si>
  <si>
    <t>Bagian pertama dari pertunjukan adegan kaus kaki polos</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</si>
  <si>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</si>
  <si>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</si>
  <si>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</si>
  <si>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</si>
  <si>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</si>
  <si>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</si>
  <si>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</si>
  <si>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</si>
  <si>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</si>
  <si>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Миття з Сестрою - 4</t>
  </si>
  <si>
    <t>Аналогічно попередньому, але якщо у вас 5 фіолетових сердець, запуститься друга сцена із "суматою".</t>
  </si>
  <si>
    <t>Друга сцена "сумати"</t>
  </si>
  <si>
    <t>Вымытый Имоуто - 4</t>
  </si>
  <si>
    <t>Аналогично предыдущему, но если у вас 5 фиолетовых сердец, запустится вторая сцена с "суматой".</t>
  </si>
  <si>
    <t>Вторая сцена "суматы"</t>
  </si>
  <si>
    <t>Bitte deine Schwester um Hilfe beim Waschen – 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</si>
  <si>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</si>
  <si>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</si>
  <si>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</si>
  <si>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</si>
  <si>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</si>
  <si>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imouto me lavar - 4</t>
  </si>
  <si>
    <t>Similar com o de cima, mas se você tiver 5 corações, a segunda cena de sumata ocorrerá</t>
  </si>
  <si>
    <t>Segunda cena de sumata</t>
  </si>
  <si>
    <t>Tolong minta adikku untuk membantuku mencuci -4</t>
  </si>
  <si>
    <t>Demikian pula, jika Anda mencapai 5 hati ungu...</t>
  </si>
  <si>
    <t>Bagian kedua dari pertunjukan adegan kaus kaki polos.</t>
  </si>
  <si>
    <t>請妹妹幫忙洗-5</t>
  </si>
  <si>
    <t>當心動值達10分以上、以及觸發過2次素股事件
或者使用賄絡</t>
  </si>
  <si>
    <t>觸發洗浴中口交事件</t>
  </si>
  <si>
    <t>妹に洗うのを手伝ってもらう -5</t>
  </si>
  <si>
    <t xml:space="preserve">
合計ハート数が10以上で、かつ前のイベントを2回発生させている場合のみ発動可能。
または、妹に賄賂を渡すことでも発動できる…
</t>
  </si>
  <si>
    <t>お風呂中のフェラチオイベントを発生する</t>
  </si>
  <si>
    <t>Imouto's Washing - 5</t>
  </si>
  <si>
    <t>Can only be triggered if your total hearts is 10 or higher while triggering the previous events twice. Can also be triggered by bribing imouto.</t>
  </si>
  <si>
    <t>Triggers the blowjob event in the washroom</t>
  </si>
  <si>
    <t>Миття з Сестрою - 5</t>
  </si>
  <si>
    <t>Може бути активовано, якщо при повторному запуску попередніх подій при кількості прив'язаності 10 і вище. Також може бути активовано під час підкупу Сестри.</t>
  </si>
  <si>
    <t>Мінет у ванній</t>
  </si>
  <si>
    <t>Вымытый Имоуто - 5</t>
  </si>
  <si>
    <t>Может быть активировано, если при повторном запуске предыдущих событий при кол-ве привязанности 10 и выше. Также может быть активировано при подкупе Имоуто.</t>
  </si>
  <si>
    <t>Минет в ванной</t>
  </si>
  <si>
    <t>Bitte deine Schwester um Hilfe beim Waschen – 5</t>
  </si>
  <si>
    <t>Achte darauf, dass der Zuneigungswert 10 oder mehr erreicht, damit deine Schwester deinen Penis lutscht</t>
  </si>
  <si>
    <t>Die Schwester saugt dich aus</t>
  </si>
  <si>
    <t>Imouto tắm cho - 5</t>
  </si>
  <si>
    <t>Khi giá trị tim đạt từ 10 trở lên, hoặc khi hai sự kiện liên quan đến phiếu thưởng xảy ra, hoặc khi ta hối lộ...</t>
  </si>
  <si>
    <t>Kích hoạt sự kiện blowjob ở trong nhà tắm</t>
  </si>
  <si>
    <t>Pedir pra imouto me lavar -5</t>
  </si>
  <si>
    <t>"Quando a afeição atingir 10 pontos(Olhar em Tips) ou mais, e os eventos anteriores ocorrerem duas vezes, ou quando houver suborno..."</t>
  </si>
  <si>
    <t>Ocorre um evento de felação no banho</t>
  </si>
  <si>
    <t xml:space="preserve">memicu adegan blowjob di kamarmandi </t>
  </si>
  <si>
    <t>請妹妹幫忙洗-6</t>
  </si>
  <si>
    <t>同上，並且哥哥持有裝備"惡魔眼球"</t>
  </si>
  <si>
    <t>於左下角的黑色眼球，可以觀看到透視版本的畫面</t>
  </si>
  <si>
    <t>妹に洗うのを手伝ってもらう -6</t>
  </si>
  <si>
    <t>同上、かつお兄ちゃんが装備「悪魔の眼球」を所持している場合…</t>
  </si>
  <si>
    <t>左下の黒い眼球(アイコン)から透視することができる！</t>
  </si>
  <si>
    <t>Imouto's Washing - 6</t>
  </si>
  <si>
    <t>Same as above but Onii-chan must possess the equipment "Demon Eyeball"</t>
  </si>
  <si>
    <t>Same as above but a different perspective can be selected by pressing  the black eyeball button in the bottom left corner during the scene</t>
  </si>
  <si>
    <t>Миття з Сестрою - 6</t>
  </si>
  <si>
    <t>Те саме, що й вище.
Тільки Куроха використовує екіпірування "Демонічне око".</t>
  </si>
  <si>
    <t>Натиснувши на значок "око" в нижньому лівому кутку, ви зможете побачити анімацію з ефектом "рентгена"</t>
  </si>
  <si>
    <t>Вымытый Имоуто - 6</t>
  </si>
  <si>
    <t>То же, что и выше.
Только Куроха использует экипировку "Демонический глаз".</t>
  </si>
  <si>
    <t>Нажав на значок "глаза" в левом нижнем углу, вы сможете увидеть анимацию с эффектом "рентгена"</t>
  </si>
  <si>
    <t>Bitte deine Schwester um Hilfe beim Waschen – 6</t>
  </si>
  <si>
    <t xml:space="preserve">Das gleiche wie oben, aber du hast die Ausrüstung "Dämonenauge" </t>
  </si>
  <si>
    <t>Mit dem schwarzen Auge unten links kann man die durchsichtige Version der Szene sehen</t>
  </si>
  <si>
    <t>Imouto tắm cho - 6</t>
  </si>
  <si>
    <t>Giống như trên, nhưng onii-chan có trang bị "Ma Nhãn".</t>
  </si>
  <si>
    <t>Giống như trên nhưng có thể xem từ góc nhìn khác bằng biểu tượng con mắt đen ở góc trái dưới cùng</t>
  </si>
  <si>
    <t>Pedir pra imouto me lavar - 6</t>
  </si>
  <si>
    <t>Igual ao anterior, e o onii-chan equipar o equipamento "Olho Demoníaco".</t>
  </si>
  <si>
    <t>É possível ver uma perspectiva através do "Olho Demoníaco" no canto inferior esquerdo.</t>
  </si>
  <si>
    <t>sama seperti diatas tapi Onii-chan harus memakai perlengkapan "Devil's Eye"</t>
  </si>
  <si>
    <t xml:space="preserve">sama seperti diatas tapi dengan pandangan yang berbedabisa di pilih dengan menekan tombol bola mata hitam  di pojok kiri bawah saat adegan berlangsung </t>
  </si>
  <si>
    <t>請妹妹幫忙洗-7</t>
  </si>
  <si>
    <t>洗浴中口交事件中，在嘴巴發射後，後續又馬上被妹妹用手服務出兩次</t>
  </si>
  <si>
    <t>觸發"洗浴中被榨乾"的相關劇情
P.S.若哥哥體力不足的話，中途會枯萎</t>
  </si>
  <si>
    <t>妹に洗うのを手伝ってもらう-7</t>
  </si>
  <si>
    <t>お風呂でのお口での奉仕で射精した後に、さらに妹が手で奉仕くれる</t>
  </si>
  <si>
    <t>条件「入浴中に絞り取られる」ことによる関連したストーリー
P.S. お兄さんの体力が足りない場合、途中で萎えてしまいます</t>
  </si>
  <si>
    <t>Imouto's Washing - 7</t>
  </si>
  <si>
    <t>After ejaculating in the mouth of from the previous events, she will immediately give you a handjob two more times</t>
  </si>
  <si>
    <t>Triggers the "Sucked dry in the bath" event
PS: If Onii-chan's stamina is not enough (low HP), he will "go limp" midway</t>
  </si>
  <si>
    <t>请妹妹帮忙洗-7</t>
  </si>
  <si>
    <t>洗浴中口交事件中，在嘴巴发射后，后续又马上被妹妹用手服务出两次</t>
  </si>
  <si>
    <t>触发"洗浴中被榨干"的相关剧情
P.S.若哥哥体力不足的话，中途会枯萎</t>
  </si>
  <si>
    <t>Миття з Сестрою - 7</t>
  </si>
  <si>
    <t>Після еякуляції до рота від попередніх подій, вона зробить "це" руками ще двічі.</t>
  </si>
  <si>
    <t>Запускає подію "Висмоктаний насухо у ванні"
PS: Якщо у Курохи недостатньо витривалості (мало здоров'я), він "обм'якне" на півдорозі</t>
  </si>
  <si>
    <t>Вымытый Имоуто - 7</t>
  </si>
  <si>
    <t>После эякуляции в рот от предыдущих событий, она сделает "это" руками ещё два раза.</t>
  </si>
  <si>
    <t>Запускает событие "Высосанный досуха в ванне"
P.s.: Если у Курохи недостаточно выносливости (мало здоровья), он "обмякнет" на полпути</t>
  </si>
  <si>
    <t>Bitte deine Schwester um Hilfe beim Waschen – 7</t>
  </si>
  <si>
    <t>Nachdem du ihr nach den vorherigen Ereignissen in den Mund gekommen bist, wird sie dir sofort noch zweimal hintereinander einen Handjob geben</t>
  </si>
  <si>
    <t>Löst das Ereignis "Im Bad ausgesaugt" aus
PS: Wenn Onii-chan nicht genug Ausdauer hat (wenig HP), wird er mittendrin schlaff werden</t>
  </si>
  <si>
    <t>Imouto tắm cho - 7</t>
  </si>
  <si>
    <t>Sau khi xuất vào miệng từ những sự kiện trước đó, em ấy sẽ lập tức handjob bạn thêm hai lần nữa.</t>
  </si>
  <si>
    <t>Xảy ra sự kiện "bị vắt khô trong bồn tắm"
PS: Nếu năng lượng của omii-chan không đủ (HP thấp), anh ấy sẽ "mềm nhũn" giữa chừng</t>
  </si>
  <si>
    <t>Pedir pra imouto me lavar - 7</t>
  </si>
  <si>
    <t>Após a felação no banho, depois da imouto engolir, ela irá realizar estimulação manual duas vezes</t>
  </si>
  <si>
    <t>Ocorre o evento "ficar exausto durante o banho".
OBS.: Se a resistência do onii-chan for insuficiente, ele não consiguirá finalizar o trabalho.</t>
  </si>
  <si>
    <t>請妹妹幫忙洗-8</t>
  </si>
  <si>
    <t>達成兩次"洗浴口交"、"洗浴中被榨乾"</t>
  </si>
  <si>
    <t>新增"跳過"選項，直接觀看劇情</t>
  </si>
  <si>
    <t>妹に洗うのを手伝ってもらう-8</t>
  </si>
  <si>
    <t>「入浴中のお口の奉仕」を2回、「入浴中に搾り取られる」シーンを1回達成する</t>
  </si>
  <si>
    <t>『スキップ』オプションを追加し、直接イベントを閲覧可能になる</t>
  </si>
  <si>
    <t>Imouto's Washing - 8</t>
  </si>
  <si>
    <t>Trigger Imouto's Washing - 7 and getting "sucked dry in the bath" twice</t>
  </si>
  <si>
    <t>A new "Skip" button will be added to let you directly watch the scene</t>
  </si>
  <si>
    <t>请妹妹帮忙洗-8</t>
  </si>
  <si>
    <t>达成两次"洗浴口交"、"洗浴中被榨干"</t>
  </si>
  <si>
    <t>新增"跳过"选项，直接观看剧情</t>
  </si>
  <si>
    <t>Миття з Сестрою - 8</t>
  </si>
  <si>
    <t>Запустіть "Миття з Сестрою - 7" і двічі "висушіться у ванні".</t>
  </si>
  <si>
    <t>Буде додана нова кнопка "Пропустити", яка дозволить вам безпосередньо спостерігати за тим, що відбувається</t>
  </si>
  <si>
    <t>Вымытый Имоуто - 8</t>
  </si>
  <si>
    <t>Запустите "Мытьё с Имоуто - 7" и дважды "высушитесь в ванне".</t>
  </si>
  <si>
    <t>Будет добавлена новая кнопка "Пропустить", которая позволит вам непосредственно наблюдать за происходящим</t>
  </si>
  <si>
    <t>Bitte deine Schwester um Hilfe beim Waschen – 8</t>
  </si>
  <si>
    <t>Löst Schwesterchen Waschen – 7“ aus und lässt sie zweimal im Bad "ausgesaugt" werden</t>
  </si>
  <si>
    <t>Ein neuer "Überspringen"-Button wird hinzugefügt, mit dem du die Szene direkt ansehen kannst</t>
  </si>
  <si>
    <t>Imouto tắm cho - 8</t>
  </si>
  <si>
    <t>Xảy ra sự kiện Imouto tắm cho - 7 và "bị vắt khô trong bồn tắm" hai lần</t>
  </si>
  <si>
    <t xml:space="preserve">Một nút "Bỏ qua" sẽ được thêm vào và cho phép bạn xem trực tiếp </t>
  </si>
  <si>
    <t>Pedir pra imouto me lavar - 8</t>
  </si>
  <si>
    <t>O incidente resultou em dois casos de "felação no banho(5)" e "ser drenado até a última gota no banho(7)".</t>
  </si>
  <si>
    <t>Uma nova opção "Pular" foi adicionada, permitindo que você assista à história diretamente.</t>
  </si>
  <si>
    <t>請妹妹幫忙洗-9</t>
  </si>
  <si>
    <t>1.至少在其他場景中與妹妹中出一次
2.觸發最少一次浴室口交事件
3.進入賄賂流程，成功賄賂妹妹時才視為一次完整的觸發</t>
  </si>
  <si>
    <t>新增一個本番事件的黑色選項</t>
  </si>
  <si>
    <t>妹に洗うのを手伝ってもらう-9</t>
  </si>
  <si>
    <t>1. 少なくとも他のシナリオで妹と一度は中出しする
2. 少なくとも1回はお風呂でお口イベントを発生させる
3. 賄賂イベントで妹に賄賂が成功した場合にのみ、黒い選択肢が解放される</t>
  </si>
  <si>
    <t>本番イベント用の黒い選択肢が追加される…</t>
  </si>
  <si>
    <t>Imouto's Washing - 9</t>
  </si>
  <si>
    <t xml:space="preserve">1. Creampie Imouto once
2. Trigger at least one oral sex in the washroom
3. Bribe imouto. The black option will show up if you successfully bribe her
</t>
  </si>
  <si>
    <t>A new black option shows up to trigger the event</t>
  </si>
  <si>
    <t>请妹妹帮忙洗-9</t>
  </si>
  <si>
    <t>1.至少在其他场景中与妹妹中出一次
2.触发最少一次浴室口交事件
3.进入贿赂流程，成功贿赂妹妹时才视为一次完整的触发</t>
  </si>
  <si>
    <t>新增一个本番事件的黑色选项</t>
  </si>
  <si>
    <t>Миття з Сестрою - 9</t>
  </si>
  <si>
    <t>1. Кінчити в Сестру один раз
2. Спровокувати хоча б один оральний секс у ванній кімнаті
3. Підкупити Сестру. Чорний варіант з'явиться, якщо вам вдасться її підкупити</t>
  </si>
  <si>
    <t>З'являється нова чорна опція для запуску події.</t>
  </si>
  <si>
    <t>Вымытый Имоуто - 9</t>
  </si>
  <si>
    <t>1. Кончить в Имоуто один раз
2. Спровоцировать хотя бы один оральный секс в ванной комнате
3. Подкупить Имоуто. Черный вариант появится, если вам удастся её подкупить.</t>
  </si>
  <si>
    <t>Появляется новая черная опция для запуска события.</t>
  </si>
  <si>
    <t>Bitte deine Schwester um Hilfe beim Waschen – 9</t>
  </si>
  <si>
    <t>1. Einmal Creampie bei deiner Schwester
2. Mindestens zweimal Oralverkehr im Waschraum auslösen
3. Die Stimmung deiner Schwester wird für den Bestechungsprozess überprüft. Allerdings besteht selbst bei sehr guter Stimmung noch eine 40 % Chance, dass der Bestechungsprozess fortgesetzt wird
4. Besteche deine Schwester während sie dir einen Blowjob gibt
Sobald alle diese Bedingungen erfüllt sind, erscheint eine schwarze Option im Bestechungsmenü.</t>
  </si>
  <si>
    <t>Eine neue schwarze Option erscheint, um das Ereignis auszulösen</t>
  </si>
  <si>
    <t>Imouto tắm cho - 9</t>
  </si>
  <si>
    <t>1. Xuất vào trong em gái ít nhất một lần
2. Xảy ra ít nhất một lần blowjob trong phòng giặt
3. Hối lộ imouto. Lựa chọn màu đen sẽ xuất hiện nếu khi thành công hối lộ em ấy</t>
  </si>
  <si>
    <t>Một tùy chọn màu đen mới xuất hiện để kích hoạt sự kiện.</t>
  </si>
  <si>
    <t>Pedir pra imouto me lavar - 9</t>
  </si>
  <si>
    <t xml:space="preserve">1. Tenha relações íntimas com a sua imouto pelo menos uma vez anteriormente
2. Acione pelo menos um evento de felação no banheiro
3. Suborne sua imouto; Se você subornar sua imouto com sucesso. uma nova opção aparecerá" </t>
  </si>
  <si>
    <t>Uma nova opção para este evento principal foi adicionada.</t>
  </si>
  <si>
    <t>幫妹妹洗澡-1</t>
  </si>
  <si>
    <t>與妹妹共浴時，選擇幫妹妹洗澡</t>
  </si>
  <si>
    <t>切換場景至妹妹身後</t>
  </si>
  <si>
    <t>Washing Imouto - 1</t>
  </si>
  <si>
    <t>When Imouto is washing herself, offer your help to wash her back</t>
  </si>
  <si>
    <t>A new scene is triggered where you see a POV of Imouto's back</t>
  </si>
  <si>
    <t>Мытьё Имоуто - 1</t>
  </si>
  <si>
    <t>Когда Имоуто будет мыться сама, предложите свою помощь, чтобы вымыть ей спину.</t>
  </si>
  <si>
    <t>Запускается новая сцена, в которой вы видите спину Имоуто от первого лица</t>
  </si>
  <si>
    <t>Schwesterlein Waschen -1</t>
  </si>
  <si>
    <t>Wenn deine Schwesterlein sich wäscht, biete an, ihr den Rücken zu waschen.</t>
  </si>
  <si>
    <t>Eine neue Szene wird ausgelöst, in der du die Perspektive auf Schwesterleins Rücken siehst.</t>
  </si>
  <si>
    <t>Tắm cho Imouto - 1</t>
  </si>
  <si>
    <t>Khi imouto đang tự tắm, hãy hỏi kì lưng cho em ấy</t>
  </si>
  <si>
    <t>Một cảnh sẽ xuất hiện khi bạn thấy POV của lưng Imouto</t>
  </si>
  <si>
    <t xml:space="preserve">Lavando a imouto - 1 </t>
  </si>
  <si>
    <t>Quando a Imouto estiver se lavando, ofereça sua ajuda para lavar as costas dela.</t>
  </si>
  <si>
    <t>Uma nova cena ocorrerá, mostrando a perspectiva das costas da Imouto.</t>
  </si>
  <si>
    <t>幫妹妹洗澡-2</t>
  </si>
  <si>
    <t>同上，哥哥可以偷偷自慰</t>
  </si>
  <si>
    <t>Washing Imouto - 2</t>
  </si>
  <si>
    <t>After doing the event above, Onii-chan can jerk off to imouto's back</t>
  </si>
  <si>
    <t>A new scene will trigger where Imouto will turn around and look at you</t>
  </si>
  <si>
    <t>Мытьё Имоуто - 2</t>
  </si>
  <si>
    <t>После выполнения описанного выше действия Куроха может подрочить на спину Имоуто</t>
  </si>
  <si>
    <t>Начнется новая сцена, в которой Имоуто обёрнется и посмотрит на вас</t>
  </si>
  <si>
    <t>Schwesterlein Waschen -2</t>
  </si>
  <si>
    <t>Nach dem oben genannten Ereignis kann Onii-chan sich auf Schwesterchens Rücken einen runterholen.</t>
  </si>
  <si>
    <t>Eine weitere Szene wird ausgelöst, in der dein Schwesterchen sich umdreht und dich ansieht.</t>
  </si>
  <si>
    <t>Tắm cho Imouto - 2</t>
  </si>
  <si>
    <t>Sau sự kiện trên, onii-chan có thể thủ dâm bằng lưng của imouto</t>
  </si>
  <si>
    <t>Một cảnh sẽ xuất hiện khi imouto quay lại và nhìn vào bạn</t>
  </si>
  <si>
    <t>Lavando a imouto - 2</t>
  </si>
  <si>
    <t>Após realizar o evento acima, Onii-chan pode tocar uma olhando para as costas da imouto.</t>
  </si>
  <si>
    <t>Uma nova cena ocorrerá, onde a imouto se virará e olhará pro onii-chan.</t>
  </si>
  <si>
    <t>D</t>
  </si>
  <si>
    <t>遊戲機相關劇情</t>
  </si>
  <si>
    <t>ゲームイベント</t>
  </si>
  <si>
    <t>Gaming Console Events</t>
  </si>
  <si>
    <t>Eventos de la Consola de juegos</t>
  </si>
  <si>
    <t>콘솔 게임 중 이벤트</t>
  </si>
  <si>
    <t>Події з приставкою</t>
  </si>
  <si>
    <t>События с приставкой</t>
  </si>
  <si>
    <t>Auf die Spielkonsole bezogene Events</t>
  </si>
  <si>
    <t>Sự kiện máy chơi game</t>
  </si>
  <si>
    <t>Eventos do Console</t>
  </si>
  <si>
    <t>Event terkait Game Konsol</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</si>
  <si>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</si>
  <si>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</si>
  <si>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</si>
  <si>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</si>
  <si>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</si>
  <si>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</si>
  <si>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</si>
  <si>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</si>
  <si>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</si>
  <si>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</si>
  <si>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</si>
  <si>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</si>
  <si>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</si>
  <si>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</si>
  <si>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</si>
  <si>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Перша витівка під час гри</t>
  </si>
  <si>
    <t>Після того як у вас з'явилася консоль, ви повинні приєднатися до гри, коли вона грає і пранкануть її.</t>
  </si>
  <si>
    <t>З'явиться спеціальний діалог, після якого ви можете помацати сестру, поки вона грає на консолі.</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</si>
  <si>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</si>
  <si>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</si>
  <si>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</si>
  <si>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</si>
  <si>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</si>
  <si>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</si>
  <si>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</si>
  <si>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</si>
  <si>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</si>
  <si>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</si>
  <si>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</si>
  <si>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</si>
  <si>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</si>
  <si>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</si>
  <si>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</si>
  <si>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</si>
  <si>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</si>
  <si>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</si>
  <si>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</si>
  <si>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</si>
  <si>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</si>
  <si>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</si>
  <si>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</si>
  <si>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</si>
  <si>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</si>
  <si>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</si>
  <si>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</si>
  <si>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</si>
  <si>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Нічне виявлення</t>
  </si>
  <si>
    <t>Після отримання консолі, ви можете перевірити кімнату сестри вночі і застати її граючою за консоллю.</t>
  </si>
  <si>
    <t>※Запускає разову подію</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</si>
  <si>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</si>
  <si>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</si>
  <si>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</si>
  <si>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</si>
  <si>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</si>
  <si>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</si>
  <si>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</si>
  <si>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</si>
  <si>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</si>
  <si>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à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</si>
  <si>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</si>
  <si>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</si>
  <si>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</si>
  <si>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
若在沒有遊戲機的DLC時，選擇打開大腿，會立即被發現!</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</si>
  <si>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</si>
  <si>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</si>
  <si>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</si>
  <si>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</si>
  <si>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</si>
  <si>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
If you decided to spread the sister's thighs without the Shadowsouls DLC (item), you will be caught immediately!!</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</si>
  <si>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</si>
  <si>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</si>
  <si>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</si>
  <si>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</si>
  <si>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</si>
  <si>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</si>
  <si>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</si>
  <si>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Будь ласка, не відволікай мене</t>
  </si>
  <si>
    <t>Втрутиться, коли ваша сестра гратиме у приставку та завадите їй грати.
Якщо ви вирішили розсунути стегна сестри без DLC (предмету) Shadowsouls, вас одразу ж спіймають!!</t>
  </si>
  <si>
    <t>Сестра розсердиться, після чого треба буде її втішити. Після цього вона попросить вас зробити їй м'ясну страву і пообіцяти не травмуватися.</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</si>
  <si>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</si>
  <si>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</si>
  <si>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</si>
  <si>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</si>
  <si>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</si>
  <si>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</si>
  <si>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</si>
  <si>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
Nếu bạn lựa chọn mở chân em gái mà không có vật phẩm Shadow Souls DLC, bạn sẽ bị bắt ngay lập tức!</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</si>
  <si>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</si>
  <si>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</si>
  <si>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</si>
  <si>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</si>
  <si>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</si>
  <si>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</si>
  <si>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</si>
  <si>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</si>
  <si>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</si>
  <si>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選択肢を追加される</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</si>
  <si>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</si>
  <si>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</si>
  <si>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</si>
  <si>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</si>
  <si>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</si>
  <si>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</si>
  <si>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</si>
  <si>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Відволікаючі фактори під час гри - 1</t>
  </si>
  <si>
    <r>
      <rPr>
        <rFont val="Microsoft JhengHei"/>
        <color theme="1"/>
        <sz val="12.0"/>
      </rPr>
      <t xml:space="preserve">Як і вище, якщо вам вдасться отримати </t>
    </r>
    <r>
      <rPr>
        <rFont val="Microsoft JhengHei"/>
        <b/>
        <color theme="1"/>
        <sz val="10.0"/>
      </rPr>
      <t>Shadow Souls - DLC з R28</t>
    </r>
    <r>
      <rPr>
        <rFont val="Microsoft JhengHei"/>
        <color theme="1"/>
        <sz val="12.0"/>
      </rPr>
      <t>, ви зможете виконувати більше дій.
ПРИМІТКА: Shadow Souls - це відеогра, в яку грає Сестра. Це не DLC цієї гри.</t>
    </r>
  </si>
  <si>
    <t>Відкриває додаткові дії витівок над сестрою під час гри в приставку.</t>
  </si>
  <si>
    <t>Отвлекающие факторы в игре - 1</t>
  </si>
  <si>
    <t>Как и выше, если у вас есть "DLC: Тени Душ",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</si>
  <si>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</si>
  <si>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</si>
  <si>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</si>
  <si>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</si>
  <si>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</si>
  <si>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Soul Shadow là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</si>
  <si>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</si>
  <si>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</si>
  <si>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</si>
  <si>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</si>
  <si>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遊戲中的干擾-2</t>
  </si>
  <si>
    <t>當能夠顯示揉胸之後，將會自動解鎖選項</t>
  </si>
  <si>
    <t>新增黑色選項-湊近觀察</t>
  </si>
  <si>
    <t>今なら悪戯しても…-2</t>
  </si>
  <si>
    <t>胸を揉む場面に進むと、自動的にロック解除されます</t>
  </si>
  <si>
    <t>黒い選択肢『近づいて観察』を追加される</t>
  </si>
  <si>
    <t>Game Distractions - 2</t>
  </si>
  <si>
    <t>Once the option to massage Imouto's breasts becomes available, a new option will automatically be unlocked</t>
  </si>
  <si>
    <t>Adds a new black option "Observe closely"</t>
  </si>
  <si>
    <t>游戏中的干扰-2</t>
  </si>
  <si>
    <t>当能够显示揉胸之后，将会自动解锁选项</t>
  </si>
  <si>
    <t>新增黑色选项-凑近观察</t>
  </si>
  <si>
    <t>Відволікаючі фактори під час гри - 2</t>
  </si>
  <si>
    <t>Щойно з'явиться опція масажу грудей Сестри, нова опція автоматично розблокується.</t>
  </si>
  <si>
    <t>Додає нову чорну опцію "Придивитися"</t>
  </si>
  <si>
    <t>Отвлекающие факторы в игре - 2</t>
  </si>
  <si>
    <t>Как только появится опция массажа груди Имоуто, новая опция автоматически разблокируется.</t>
  </si>
  <si>
    <t>Добавляет новую черную опцию "Присмотреться"</t>
  </si>
  <si>
    <t>Spiel-Ablenkung - 2</t>
  </si>
  <si>
    <t>Sobald die Option, Schwesterleins Brüste zu massieren verfügbar ist, wird automatisch eine neue Option freigeschaltet</t>
  </si>
  <si>
    <t>Fügt eine neue schwarze Option "Genau beobachten" hinzu</t>
  </si>
  <si>
    <t>Mất tập trung khi game - 2</t>
  </si>
  <si>
    <t>Khi tùy chọn sờ ngực Imouto được chọn, một lựa chọn mới tự động xuất hiện</t>
  </si>
  <si>
    <t>Thêm một tùy chọn màu đen "Lùi lại và quan sát"</t>
  </si>
  <si>
    <t>Distrações do jogo- 2</t>
  </si>
  <si>
    <t>Assim que a opção de massagear os seios da imouto estiver disponível, uma nova opção será desbloqueada</t>
  </si>
  <si>
    <t>Nova opção de ação "Observar de pertinho"</t>
  </si>
  <si>
    <t>遊戲中的干擾-3</t>
  </si>
  <si>
    <t>湊近觀察-大口呼吸</t>
  </si>
  <si>
    <t>會增加哥哥的興奮值
*目前暫無後續</t>
  </si>
  <si>
    <t>今なら悪戯しても…-3</t>
  </si>
  <si>
    <t>近づいて観察 ― 大きく息をする</t>
  </si>
  <si>
    <t>お兄ちゃんの興奮度が上がります
*今のところ続きはありません</t>
  </si>
  <si>
    <t>Game Distractions - 3</t>
  </si>
  <si>
    <t>Observe closely -&gt; Breathe deeply</t>
  </si>
  <si>
    <t>Increases onii-chan's excitement level. *Current follow-up events are not yet implemented.</t>
  </si>
  <si>
    <t>游戏中的干扰-3</t>
  </si>
  <si>
    <t>凑近观察-大口呼吸</t>
  </si>
  <si>
    <t>会增加哥哥的兴奋值
*目前暂无后续</t>
  </si>
  <si>
    <t>Відволікаючі фактори під час гри - 3</t>
  </si>
  <si>
    <t>Придивитися -&gt; Глибоко дихайте</t>
  </si>
  <si>
    <t>Підвищує рівень збудження Курохи. *Поточні подальші події ще не реалізовані.</t>
  </si>
  <si>
    <t>Отвлекающие факторы в игре - 3</t>
  </si>
  <si>
    <t>Присмотреться -&gt; Глубоко дышать</t>
  </si>
  <si>
    <t>Повышает уровень возбуждения Курохи. 
*Текущие последующие события еще не реализованы.</t>
  </si>
  <si>
    <t>Spiel-Ablenkung - 3</t>
  </si>
  <si>
    <t>Genau beobachten -&gt; Tief einatmen</t>
  </si>
  <si>
    <t>Erhöht Onii-chans Erregungslevel. *Die aktuellen Folgeveranstaltungen sind noch nicht implementiert.</t>
  </si>
  <si>
    <t>Mất tập trung khi game - 3</t>
  </si>
  <si>
    <t>"Lùi lại và quan sát" -&gt; Thở dốc</t>
  </si>
  <si>
    <t>Mức độ phấn khích của onii-chan tăng.
*Những sự kiện theo sau chưa được triển khai</t>
  </si>
  <si>
    <t>Distrações do jogo- 3</t>
  </si>
  <si>
    <t xml:space="preserve"> "Observar de pertinho" --&gt; "Respirar profundamente"</t>
  </si>
  <si>
    <t>Aumenta o nível de excitação do Onii-chan. *Os eventos seguintes ainda não foram implementados.</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</si>
  <si>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</si>
  <si>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</si>
  <si>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</si>
  <si>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</si>
  <si>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</si>
  <si>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</si>
  <si>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</si>
  <si>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</si>
  <si>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</si>
  <si>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</si>
  <si>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</si>
  <si>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</si>
  <si>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 Сестричка - 1</t>
  </si>
  <si>
    <t>Почавши дію "випити щось" із сестрою, дайте їй цукерку "Синій Конпейто", після чого вона стане сонною.
Під час гри з сестрою, вона не гратиме на повну силу (*ще не реалізовано).
Під час пустощів над сестрою під час гри вона почне програвати швидше (*ще не реалізовано).</t>
  </si>
  <si>
    <t>Уважність сестри зменшитися, тому ймовірність бути спійманим під час підглядання знизитися.</t>
  </si>
  <si>
    <t>Сонная сестренка - 1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</si>
  <si>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</si>
  <si>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</si>
  <si>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</si>
  <si>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</si>
  <si>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</si>
  <si>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</si>
  <si>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triển khai)
Chọc ghẹo em gái khi em ấy đang chơi game sẽ khiến em ấy thua nhanh hơn (chưa được triển khai)</t>
  </si>
  <si>
    <t>Sự cảnh giác của em gái bị giảm xuống, việc bị bắt khi đang nhìn trộm khó xảy ra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</si>
  <si>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</si>
  <si>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</si>
  <si>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</si>
  <si>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</si>
  <si>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</si>
  <si>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</si>
  <si>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</si>
  <si>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</si>
  <si>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</si>
  <si>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Події, що залежать від погоди</t>
  </si>
  <si>
    <t>События зависящие от погоды</t>
  </si>
  <si>
    <t>Aufs Wetter bezogene Events</t>
  </si>
  <si>
    <t>Sự kiện liên quan đến thời tiết</t>
  </si>
  <si>
    <t>Eventos Relacionados ao Clima</t>
  </si>
  <si>
    <t>Event terkait Cuaca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</si>
  <si>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</si>
  <si>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</si>
  <si>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</si>
  <si>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</si>
  <si>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</si>
  <si>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</si>
  <si>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</si>
  <si>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</si>
  <si>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</si>
  <si>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</si>
  <si>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</si>
  <si>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Спекотна погода - Охолодження 1</t>
  </si>
  <si>
    <t>У спеку дайте сестрі газовану воду.</t>
  </si>
  <si>
    <t>Буде відтворено спеціальну сцену. Настрій сестри підвищується на 10 та зацікавленість на 20.</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</si>
  <si>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</si>
  <si>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</si>
  <si>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</si>
  <si>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</si>
  <si>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</si>
  <si>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</si>
  <si>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</si>
  <si>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</si>
  <si>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</si>
  <si>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</si>
  <si>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</si>
  <si>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</si>
  <si>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</si>
  <si>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</si>
  <si>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</si>
  <si>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</si>
  <si>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</si>
  <si>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</si>
  <si>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</si>
  <si>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</si>
  <si>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</si>
  <si>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特殊动画、妹妹的心情会固定剩20点
（太屑了）</t>
  </si>
  <si>
    <t>Clima caliente, a refrescarse -2</t>
  </si>
  <si>
    <t>Cuando le des la Coca-Cola a tu hermana, agitala</t>
  </si>
  <si>
    <t>Спекотна погода - Охолодження 2</t>
  </si>
  <si>
    <t>Потрібно струсити газовану воду перед тим як дати її сестрі.</t>
  </si>
  <si>
    <t>Буде відтворено спеціальну сцену. Настрій сестри знизиться до фіксованого значення 20 одиниць.</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</si>
  <si>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</si>
  <si>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</si>
  <si>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</si>
  <si>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</si>
  <si>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</si>
  <si>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</si>
  <si>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</si>
  <si>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</si>
  <si>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</si>
  <si>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</si>
  <si>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</si>
  <si>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</si>
  <si>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</si>
  <si>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</si>
  <si>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</si>
  <si>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</si>
  <si>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</si>
  <si>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</si>
  <si>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</si>
  <si>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</si>
  <si>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Спекотна погода - Охолодження 3</t>
  </si>
  <si>
    <t>Те саме, що й вище, але ймовірність події буде 70%.</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</si>
  <si>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</si>
  <si>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</si>
  <si>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</si>
  <si>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</si>
  <si>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</si>
  <si>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</si>
  <si>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</si>
  <si>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</si>
  <si>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</si>
  <si>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</si>
  <si>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</si>
  <si>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</si>
  <si>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</si>
  <si>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</si>
  <si>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</si>
  <si>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</si>
  <si>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</si>
  <si>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</si>
  <si>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</si>
  <si>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</si>
  <si>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</si>
  <si>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Піднімаючи та зазираючи</t>
  </si>
  <si>
    <t>Коли на молодшій сестрі одягнена футболка, подарована Загадковим Лицарем, ви можете підняти її та робити інші дії, під час фізичного контакту.</t>
  </si>
  <si>
    <t>Особливі взаємодії
*В даний час це знаходиться на попередній стадії, тому деякі елементи ще не повністю реалізовані (наприклад, малювання на ній).
*Взаємодія може відбуватися тільки в спеку, але у майбутніх оновленнях, її можна буде активувати і вночі, коли футболка стане доступною для цього.</t>
  </si>
  <si>
    <t>Подняв руку и заглянув внутрь</t>
  </si>
  <si>
    <t>Когда на младшей сестре надета футболка, подаренная Загадочным Рыцарем, вы можете поднять её и совершать другие действия, если между вами есть физический контакт.</t>
  </si>
  <si>
    <t>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</si>
  <si>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</si>
  <si>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</si>
  <si>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</si>
  <si>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</si>
  <si>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</si>
  <si>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</si>
  <si>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</si>
  <si>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</si>
  <si>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</si>
  <si>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</si>
  <si>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</si>
  <si>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</si>
  <si>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</si>
  <si>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</si>
  <si>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</si>
  <si>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</si>
  <si>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</si>
  <si>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</si>
  <si>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 xml:space="preserve">妹妹穿着游戏服吹电风扇
</t>
  </si>
  <si>
    <t>Повернення додому раніше - 1</t>
  </si>
  <si>
    <t>У спекотні дні можна піти додому раніше і непомітно підкрастися до Сестри.
(Необхідний: Вентилятор)</t>
  </si>
  <si>
    <t>Сестра одягнена у футболку та використовує електричний вентилятор.</t>
  </si>
  <si>
    <t>Ухожу домой пораньше - 1</t>
  </si>
  <si>
    <t>В жаркие дни можно уйти домой пораньше и незаметно добраться до Имоуто.
(Необходим: вентилятор)</t>
  </si>
  <si>
    <t>Имоуто одета в футболку и использует электрический вентилятор.</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</si>
  <si>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</si>
  <si>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</si>
  <si>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</si>
  <si>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</si>
  <si>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</si>
  <si>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</si>
  <si>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</si>
  <si>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</si>
  <si>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</si>
  <si>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</si>
  <si>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</si>
  <si>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</si>
  <si>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</si>
  <si>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</si>
  <si>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</si>
  <si>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</si>
  <si>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</si>
  <si>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</si>
  <si>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妹妹穿着游戏服，并且没穿胖次吹电风扇
（确实是好事）</t>
  </si>
  <si>
    <t>Повернення додому раніше - 2</t>
  </si>
  <si>
    <t>Аналогічно сказаному вище, існує ймовірність того, що ця подія відбудеться.</t>
  </si>
  <si>
    <t>Сестра спрямовує потік повітря з вентилятора собі в промежину і не носить нижньої білизни.</t>
  </si>
  <si>
    <t>Ухожу домой пораньше - 2</t>
  </si>
  <si>
    <t>Аналогично вышесказанному, существует вероятность того, что это событие произойдет.</t>
  </si>
  <si>
    <t>Имоуто направляет поток воздуха из вентилятора себе в промежность и не носит нижнего белья.</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</si>
  <si>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</si>
  <si>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</si>
  <si>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</si>
  <si>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</si>
  <si>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</si>
  <si>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</si>
  <si>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</si>
  <si>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</si>
  <si>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</si>
  <si>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</si>
  <si>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</si>
  <si>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</si>
  <si>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</si>
  <si>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</si>
  <si>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</si>
  <si>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</si>
  <si>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</si>
  <si>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</si>
  <si>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Повернення додому раніше - 3</t>
  </si>
  <si>
    <t>Аналогічно сказаному вище, існує ймовірність того, що ця подія станеться, якщо в Сестри високий показник фіолетового серця.</t>
  </si>
  <si>
    <t>Сестра використовує морозиво на собі (поки не реалізовано).</t>
  </si>
  <si>
    <t>Ухожу домой пораньше - 3</t>
  </si>
  <si>
    <t>Аналогично вышесказанному, существует вероятность того, что это событие произойдет, если у Имоуто высокий показатель фиолетового сердца.</t>
  </si>
  <si>
    <t>Имоуто использует эскимо на себе (пока не реализовано).</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</si>
  <si>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</si>
  <si>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</si>
  <si>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</si>
  <si>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</si>
  <si>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</si>
  <si>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</si>
  <si>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</si>
  <si>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</si>
  <si>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</si>
  <si>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</si>
  <si>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</si>
  <si>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</si>
  <si>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</si>
  <si>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</si>
  <si>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</si>
  <si>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</si>
  <si>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</si>
  <si>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</si>
  <si>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在与妹妹的对话中，进行裸体教育（¿）之后，有可能</t>
  </si>
  <si>
    <t>裸体妹妹(未实装)
（还能这样的¿）</t>
  </si>
  <si>
    <t>Повернення додому раніше - 4</t>
  </si>
  <si>
    <t>Якщо поговорити з молодшою ​​сестрою про непристойні речі, то є ймовірність, що станеться таке.</t>
  </si>
  <si>
    <t>Сестра роздягнеться (поки не реалізовано)</t>
  </si>
  <si>
    <t>Ухожу домой пораньше - 4</t>
  </si>
  <si>
    <t>Если поговорить с младшей сестрой о непристойных вещах, есть вероятность, что произойдет следующее.</t>
  </si>
  <si>
    <t>Имоуто разденется (пока не реализовано)</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</si>
  <si>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</si>
  <si>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</si>
  <si>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</si>
  <si>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</si>
  <si>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</si>
  <si>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</si>
  <si>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</si>
  <si>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</si>
  <si>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</si>
  <si>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</si>
  <si>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</si>
  <si>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</si>
  <si>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</si>
  <si>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</si>
  <si>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</si>
  <si>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</si>
  <si>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Пов'язані з вітальнею</t>
  </si>
  <si>
    <t>Связанные с гостиной</t>
  </si>
  <si>
    <t>Bezogen auf das Wohnzimmer</t>
  </si>
  <si>
    <t>Phòng khách</t>
  </si>
  <si>
    <t>Eventos na Sala de Estar</t>
  </si>
  <si>
    <t>Event terkait Ruang Tamu</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</si>
  <si>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</si>
  <si>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</si>
  <si>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</si>
  <si>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</si>
  <si>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</si>
  <si>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</si>
  <si>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</si>
  <si>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</si>
  <si>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</si>
  <si>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</si>
  <si>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</si>
  <si>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</si>
  <si>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Дивлячись телевізор</t>
  </si>
  <si>
    <t>Після повернення додому ви можете подивитися телевізор у вітальні на свій розсуд.
Телепередачі, які зараз транслюються:
18:00-19:00: Канал «Новини Безодні» (Новини кролика)
19:00-20:00: Канал прогнозу погоди
20:00-21:00: Канал про їжу (у деякі дні перемикається на анімі про чарівних дівчаток)
21:00-22:00: Канали поки що недоступні
22:00-23:00: Канали поки недоступні (Можна використовувати відеокасети)</t>
  </si>
  <si>
    <t>Ви зможете дивитися різні телепрограми.
Натисніть на значок телевізора, коли кликатимете на Сестру в її кімнаті.</t>
  </si>
  <si>
    <t>Смотря телевизор</t>
  </si>
  <si>
    <t xml:space="preserve">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(Можно использовать видеокассеты)
</t>
  </si>
  <si>
    <t>Вы сможете смотреть различные телепрограммы.
Нажмите на значок телевизора, когда будете кликать на Имоуто в её комнате.</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</si>
  <si>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</si>
  <si>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</si>
  <si>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</si>
  <si>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</si>
  <si>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</si>
  <si>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</si>
  <si>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</si>
  <si>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</si>
  <si>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</si>
  <si>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Televisi di ruang tamu</t>
  </si>
  <si>
    <t>Anda dapat menonton TV di ruang tamu pada jam-jam normal.
18:00-19:00: Menonton Berita Kelinci
19:00-20:00: Menonton ramalan cuaca
20:00-21:00: Menonton program makanan (pada hari-hari tertentu, program ini akan diganti dengan anime gadis penyihir)
21:00-22:00: Tidak ada program yang tersedia
22:00-23:00: Tidak ada program yang tersedia (tetapi kaset video diperbolehkan)</t>
  </si>
  <si>
    <t>Tonton program TV tertentu</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</si>
  <si>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</si>
  <si>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</si>
  <si>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</si>
  <si>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</si>
  <si>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</si>
  <si>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</si>
  <si>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</si>
  <si>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</si>
  <si>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</si>
  <si>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Аніме "Чарівна дівчинка"</t>
  </si>
  <si>
    <t>Подія «Вітальня» запускається лише після 5-го дня. У кожному файлі збереження є випадкове значення, яке визначає, який день тижня станеться ця подія. Наприклад, у моєму випадку значення виявилося «субота» як день, коли відбудеться подія «Вітальні». Це означає, що воно запуститься на 6-й, 13-й, 20-й день і т.д., і ця подія найчастіше відбувається близько 20:00.</t>
  </si>
  <si>
    <t>Показує аніме про чарівних дівчаток на телевізорі.
*В даний час Сестра самостійно ходитиме у вітальню під час показу аніме. Більшість функцій ще не реалізовано."</t>
  </si>
  <si>
    <t>Аниме "Волшебная девочка"</t>
  </si>
  <si>
    <t>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t>
  </si>
  <si>
    <t>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</si>
  <si>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</si>
  <si>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</si>
  <si>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</si>
  <si>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</si>
  <si>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</si>
  <si>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</si>
  <si>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</si>
  <si>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</si>
  <si>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</si>
  <si>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Anime Gadis Penyihir</t>
  </si>
  <si>
    <t>Fitur ini hanya akan aktif setelah bermain lebih dari 5 hari, dan setiap file penyimpanan memiliki nilai acak yang menentukan hari apa dalam seminggu fitur tersebut akan aktif.
Misalnya, jika nilai acak file penyimpanan adalah "setiap hari Sabtu," maka di dalam game fitur tersebut dapat aktif pada tanggal 6, 13, 20, dan 27. Fitur ini diatur untuk aktif sekitar pukul 8 malam.</t>
  </si>
  <si>
    <t>Anime Gadis Penyihir
*Saat ini, adik perempuan hanya akan pergi ke ruang tamu sendirian selama periode waktu tersebut dan tidak memiliki fungsi lain.
Anime TV dan sebagian besar fungsinya belum diimplementasikan.</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</si>
  <si>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</si>
  <si>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</si>
  <si>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</si>
  <si>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</si>
  <si>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</si>
  <si>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</si>
  <si>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</si>
  <si>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魔法少女动画-1</t>
  </si>
  <si>
    <t>错过了</t>
  </si>
  <si>
    <t>未实装</t>
  </si>
  <si>
    <t>Аніме про чарівних дівчаток -1</t>
  </si>
  <si>
    <t>Поки що не реалізовано</t>
  </si>
  <si>
    <t>Аниме про волшебных девочек - 1</t>
  </si>
  <si>
    <t>Пока не реализовано</t>
  </si>
  <si>
    <t>Magisches Mädchen Anime -1</t>
  </si>
  <si>
    <t>Noch nicht fertig</t>
  </si>
  <si>
    <t>Anime Ma Pháp Thiếu Nữ - 1</t>
  </si>
  <si>
    <t>Anime Ruby, A Garota da Luz Estelar!-1</t>
  </si>
  <si>
    <t>Perdido</t>
  </si>
  <si>
    <t>Anime Gadis Penyihir - 1</t>
  </si>
  <si>
    <t>Kosong</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</si>
  <si>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</si>
  <si>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</si>
  <si>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</si>
  <si>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</si>
  <si>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</si>
  <si>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</si>
  <si>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</si>
  <si>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</si>
  <si>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</si>
  <si>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</si>
  <si>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</si>
  <si>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</si>
  <si>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Пізньої ночі</t>
  </si>
  <si>
    <t>Після того, як ви дали ліки Сестрі, ви тепер можете не лягати спати та проводити вечори за переглядом відеокасет у вітальні.</t>
  </si>
  <si>
    <t>Дозволяє вам та Сестрі не лягати спати пізно вночі (з 22:00 до 22:30).</t>
  </si>
  <si>
    <t>Поздней ночью</t>
  </si>
  <si>
    <t>После того, как вы дали лекарство Имоуто, вы теперь можете не ложиться спать и проводить вечера за просмотром видеокассет в гостиной.</t>
  </si>
  <si>
    <t>Позволяет вам и Имоуто не ложиться спать поздно ночью (с 22:00 до 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</si>
  <si>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</si>
  <si>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</si>
  <si>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</si>
  <si>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</si>
  <si>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</si>
  <si>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</si>
  <si>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</si>
  <si>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</si>
  <si>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</si>
  <si>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Larut malam</t>
  </si>
  <si>
    <t>Setelah menggunakan "Red Marrow Liquid" dan menyelesaikan perawatan, Anda dapat memulai sesi larut malam.</t>
  </si>
  <si>
    <t>Buka hingga larut malam (22:00~22:30)</t>
  </si>
  <si>
    <t>好可怕哦！</t>
  </si>
  <si>
    <t>於深夜時段使用"恐怖錄影帶"
並且好感/紫心未達於標準</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</si>
  <si>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</si>
  <si>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</si>
  <si>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</si>
  <si>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</si>
  <si>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</si>
  <si>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</si>
  <si>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</si>
  <si>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</si>
  <si>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Це було страшно!</t>
  </si>
  <si>
    <t>Подивіться "Відеокасету з Жахом" пізно вночі.</t>
  </si>
  <si>
    <t>Запускає першу частину сексуальної сцени з Імоуто у вітальні з можливістю запуску наступної події</t>
  </si>
  <si>
    <t>Это было страшно!</t>
  </si>
  <si>
    <t>Посмотрите "Видеокассету с Ужастиком" поздно ночью.</t>
  </si>
  <si>
    <t>Запускает первую часть сексуальной сцены с Имоуто в гостиной, с возможностью запуска последующей последовательности.</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</si>
  <si>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</si>
  <si>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</si>
  <si>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</si>
  <si>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</si>
  <si>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</si>
  <si>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</si>
  <si>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</si>
  <si>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</si>
  <si>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</si>
  <si>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Menakutkan sekali!</t>
  </si>
  <si>
    <t>Menggunakan "Rekaman Video Horor" larut malam
dan memiliki tingkat afinitas/hati ungu yang lebih rendah dari yang dibutuhkan</t>
  </si>
  <si>
    <t>Alur cerita yang dipicu</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</si>
  <si>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</si>
  <si>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</si>
  <si>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</si>
  <si>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</si>
  <si>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</si>
  <si>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</si>
  <si>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</si>
  <si>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</si>
  <si>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</si>
  <si>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</si>
  <si>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</si>
  <si>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Це було страшно! - 1</t>
  </si>
  <si>
    <t>Аналогічно попередньому, подивіться "Відеокасету з Жахом" пізно вночі, маючи більше 3 фіолетових сердець.</t>
  </si>
  <si>
    <t>Відповідно до обраного варіанта
Активується сцена із сестричкою
Перший раз змушує еякулювати зовні
Другий раз ви можете вибрати де
Третій раз станеться, якщо ви не оберете
(Радю зберегти гру, оскільки сцени мають варіативності, але через заскриптованість після однієї з варіацій вас відразу ж перекине на наступний етап, і подивитися іншу варіацію стане неможливо.)</t>
  </si>
  <si>
    <t>Это было страшно! - 1</t>
  </si>
  <si>
    <t>Аналогично предыдущему, посмотрите "Видеокассету с Ужастиком" поздно ночью, имея более 3 фиолетовых сердечек.</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</si>
  <si>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</si>
  <si>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</si>
  <si>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</si>
  <si>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</si>
  <si>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</si>
  <si>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</si>
  <si>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</si>
  <si>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</si>
  <si>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</si>
  <si>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</si>
  <si>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Menakutkan sekali! -1</t>
  </si>
  <si>
    <t>Gunakan "Rekaman Video Horor" larut malam
dan miliki skor hati ungu lebih besar dari 3</t>
  </si>
  <si>
    <t>Berdasarkan pilihan yang Anda buat, kejadian utama dengan adik akan dipicu.
Pertama kali, Anda terpaksa berada di luar.
Kedua kalinya, Anda melakukannya secara sukarela.
Ketiga kalinya, Anda memilih untuk melakukannya secara opsional.
(Jumlah kejadian utama dibagi di semua adegan, jadi disarankan untuk menyimpan permainan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</si>
  <si>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</si>
  <si>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</si>
  <si>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</si>
  <si>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</si>
  <si>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</si>
  <si>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</si>
  <si>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</si>
  <si>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</si>
  <si>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</si>
  <si>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</si>
  <si>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Куроха... Чим вони займаються?</t>
  </si>
  <si>
    <t>Використати "Відеокасету для дорослих" вночі, якщо не зберете необхідну кількість червоних/фіолетових сердець</t>
  </si>
  <si>
    <t>Запускає відповідну подію</t>
  </si>
  <si>
    <t>Куроха... Чем они занимаются?</t>
  </si>
  <si>
    <t>Используйте "Видеокассету для взрослых" ночью, если не соберете необходимое количество красных/фиолетовых сердечек</t>
  </si>
  <si>
    <t>Запускает соответствующее событие</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</si>
  <si>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</si>
  <si>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</si>
  <si>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</si>
  <si>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</si>
  <si>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</si>
  <si>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</si>
  <si>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</si>
  <si>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</si>
  <si>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</si>
  <si>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</si>
  <si>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</si>
  <si>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</si>
  <si>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</si>
  <si>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於深夜時段(22:00後)使用"成人錄影帶"</t>
  </si>
  <si>
    <t>依照選項
1.前面
觸發和妹妹的本番劇情
第一次是強制在外面
第二次是主動在外面
第三次能自行選擇
(本番次數是全場景共享的，因此若要觀看每個差分，建議先保存)</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</si>
  <si>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</si>
  <si>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</si>
  <si>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</si>
  <si>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</si>
  <si>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</si>
  <si>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</si>
  <si>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</si>
  <si>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</si>
  <si>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</si>
  <si>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Куроха... Чим вони займаються? -1</t>
  </si>
  <si>
    <t>Використовуйте "Відеокасету для дорослих" вночі, коли кількість червоних та фіолетових сердець перевищує (#?)</t>
  </si>
  <si>
    <t>Залежно від вибору, головна подія з Сестрою відбудеться
Перший раз, коли ти еякулюешь зовні.
Другого разу братик тепер може самостійно витягнути.
Третього разу ти можеш вільно вибирати, де досягти еякулювати.</t>
  </si>
  <si>
    <t>Куроха... Чем они занимаются? - 1</t>
  </si>
  <si>
    <t>Используйте "Видеокассету для взрослых" ночью, когда количество красных и фиолетовых сердечек превышает (#?)</t>
  </si>
  <si>
    <t>В зависимости от выбора, главным событием с Имоуто станет триггер
В первый раз вас заставят эякулировать снаружи
Во второй раз вы можете выбрать, где именно
В третий раз произойдет, если вы не выберете</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</si>
  <si>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</si>
  <si>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</si>
  <si>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</si>
  <si>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</si>
  <si>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Dựa trên các lựa chọn, sự kiện chính với em gái sẽ được kích hoạt
Lần đầu tiên, bạn buộc phải ra bên ngoài
Lần thứ hai, onii-chan giờ có thể tự rút ra
Lần thứ ba, bạn có thể tự do lựa chọn.
(Các biến thể chỉ xảy ra một lần này giống nhau trong tất cả các cảnh sex, vì vậy nếu bạn muốn xem tất cả các biến thể, nên lưu lại từ trước)</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</si>
  <si>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</si>
  <si>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</si>
  <si>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</si>
  <si>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</si>
  <si>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</si>
  <si>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</si>
  <si>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哥哥~不可以!</t>
  </si>
  <si>
    <t>同上，當中出過至少一次後，解鎖"後面"的選項</t>
  </si>
  <si>
    <t>解鎖新選項</t>
  </si>
  <si>
    <t>お兄ちゃん～だめ！</t>
  </si>
  <si>
    <t>一度以上発生すると「お尻」の選択肢が解放される</t>
  </si>
  <si>
    <t>新たな選択肢が解放</t>
  </si>
  <si>
    <t>Onii-chan, no!</t>
  </si>
  <si>
    <t>In relation to the event above, a new option to do Imouto's ass will be unlocked</t>
  </si>
  <si>
    <t>A new option will be unlocked</t>
  </si>
  <si>
    <t>Куроха, ні!</t>
  </si>
  <si>
    <t>У зв'язку з описаним вище подією, буде розблокована нова опція з Імоуто.</t>
  </si>
  <si>
    <t>Буде розблокована нова опція</t>
  </si>
  <si>
    <t>Куроха, нет!</t>
  </si>
  <si>
    <t>В связи с описанным выше событием, будет разблокирована новая опция с Имоуто.</t>
  </si>
  <si>
    <t>Будет разблокирована новая опция</t>
  </si>
  <si>
    <t>Onii-chan, nein!</t>
  </si>
  <si>
    <t>Im Zusammenhang mit dem oben genannten Ereignis wird eine neue Option freigeschaltet, Schwesterchens Arsch zu benutzen.</t>
  </si>
  <si>
    <t>Eine neue Option wird freigeschaltet.</t>
  </si>
  <si>
    <t>Onii-chan, đừng mà!</t>
  </si>
  <si>
    <t>Giống như ở trên, sau khi xuất vào trong ít nhất một lần, tùy chọn "thông cửa sau" sẽ được mở khóa.</t>
  </si>
  <si>
    <t>Mở khóa thêm tùy chọn mới</t>
  </si>
  <si>
    <t>Onii-chan, não!</t>
  </si>
  <si>
    <t>Em relação ao evento acima, uma nova opção para usar a porta de trás da Imouto será desbloqueada.</t>
  </si>
  <si>
    <t>Uma nova opção será desbloqueada.</t>
  </si>
  <si>
    <t>哥哥~不可以!-1</t>
  </si>
  <si>
    <t>第一次使用後面的選項</t>
  </si>
  <si>
    <t>必定失敗</t>
  </si>
  <si>
    <t>お兄ちゃん～だめ！-1</t>
  </si>
  <si>
    <t>「お尻」の選択肢を選ぶ</t>
  </si>
  <si>
    <t>必ず失敗する…</t>
  </si>
  <si>
    <t>Onii-chan, no! - 1</t>
  </si>
  <si>
    <t>Occurs on the first time selecting the option above.</t>
  </si>
  <si>
    <t>The event is guaranteed to fail</t>
  </si>
  <si>
    <t>Куроха, ні! - 1</t>
  </si>
  <si>
    <t>Відбувається при першому виборі зазначеної вище опції.</t>
  </si>
  <si>
    <t>Подія гарантовано завершиться невдачею</t>
  </si>
  <si>
    <t>Куроха, нет! - 1</t>
  </si>
  <si>
    <t>Происходит при первом выборе указанной выше опции.</t>
  </si>
  <si>
    <t>Событие гарантированно завершится неудачей</t>
  </si>
  <si>
    <t>Onii-chan, nein! -1</t>
  </si>
  <si>
    <t>Tritt beim ersten Auswählen der oben genannten Option auf.</t>
  </si>
  <si>
    <t>Das Ereignis ist garantiert ein Fehlschlag.</t>
  </si>
  <si>
    <t>Onii-chan, đừng mà! - 1</t>
  </si>
  <si>
    <t>Lần đầu tiên sử dụng thêm tùy chọn mới</t>
  </si>
  <si>
    <t>Onii-chan, não! - 1</t>
  </si>
  <si>
    <t>Ocorre na primeira vez que a opção acima é selecionada.</t>
  </si>
  <si>
    <t>O evento falhará.</t>
  </si>
  <si>
    <t>哥哥~不可以!-2</t>
  </si>
  <si>
    <t>同上，後續開發</t>
  </si>
  <si>
    <t>失敗會導致妹妹生氣</t>
  </si>
  <si>
    <t>お兄ちゃん～だめ！-2</t>
  </si>
  <si>
    <t>今後のアップデートで実装予定！</t>
  </si>
  <si>
    <t>失敗すると妹が怒る…</t>
  </si>
  <si>
    <t>Onii-chan, no! - 2</t>
  </si>
  <si>
    <t>Same as above, it will be continuously developed</t>
  </si>
  <si>
    <t>The failure will upset Imouto</t>
  </si>
  <si>
    <t>Куроха, ні! - 2</t>
  </si>
  <si>
    <t>Також як і вище, але Куроха буде постійно вдосконалюватися.</t>
  </si>
  <si>
    <t>Чергова невдача засмутить Імоуто</t>
  </si>
  <si>
    <t>Куроха, нет! - 2</t>
  </si>
  <si>
    <t>Также как и выше, но Куроха будет постоянно совершенствоваться.</t>
  </si>
  <si>
    <t>Очередная неудача расстроит Имоуто</t>
  </si>
  <si>
    <t>Onii-chan, nein! -2</t>
  </si>
  <si>
    <t>Wie oben, wird dies kontinuierlich weiterentwickelt.</t>
  </si>
  <si>
    <t>Der Fehlschlag wird Schwesterlein verärgern.</t>
  </si>
  <si>
    <t>Onii-chan, đừng mà! - 2</t>
  </si>
  <si>
    <t>Tương tự như trên, diễn biến tiếp theo</t>
  </si>
  <si>
    <t>Thất bại sẽ khiến em gái tức giận</t>
  </si>
  <si>
    <t>Onii-chan, não! - 2</t>
  </si>
  <si>
    <t>Igual ao anterior, ela começará a se acostumar.</t>
  </si>
  <si>
    <t>O fracasso deixará a Imouto chateada</t>
  </si>
  <si>
    <t>哥哥~不可以!-3</t>
  </si>
  <si>
    <t>經過多次開發，或者使用道具，才可以繼續</t>
  </si>
  <si>
    <t>第二階段
*目前道具只有水饅頭</t>
  </si>
  <si>
    <t>お兄ちゃん～だめ！-３</t>
  </si>
  <si>
    <t>複数回の開発を経る、またはアイテムを使用することで続行できるようになる</t>
  </si>
  <si>
    <t>第2段階
※現在のアイテムはビンカンぷにゅ饅</t>
  </si>
  <si>
    <t>Onii-chan, no! - 3</t>
  </si>
  <si>
    <t>It takes multiple attempts of "development" or by using items to proceed with the act</t>
  </si>
  <si>
    <t xml:space="preserve">Phase 2
*Currently, the only available item for use is the Mizu Manju
</t>
  </si>
  <si>
    <t>Куроха, ні! - 3</t>
  </si>
  <si>
    <t>Потрібно кілька спроб "розробити" або використовувати предмети, щоб продовжити цю дію.</t>
  </si>
  <si>
    <t>Фаза 2
*В даний час єдиним доступним предметом для використання є "Манджу Мідзу"</t>
  </si>
  <si>
    <t>Куроха, нет! - 3</t>
  </si>
  <si>
    <t>Требуется несколько попыток "развития" или использования предметов, чтобы продолжить это действие.</t>
  </si>
  <si>
    <t>Фаза 2
*В настоящее время единственным доступным предметом для использования является "Манджу Мидзу"</t>
  </si>
  <si>
    <t>Onii-chan, nein! -3</t>
  </si>
  <si>
    <t>Es sind mehrere Versuche von "Entwicklung" oder der Einsatz von Gegenständen erforderlich, um die Handlung voranzubringen.</t>
  </si>
  <si>
    <t>Phase 2
Derzeit ist als einziger nutzbarer Gegenstand das Mizu Manju verfügbar</t>
  </si>
  <si>
    <t>Onii-chan, đừng mà! - 3</t>
  </si>
  <si>
    <t>Cần nhiều lần phát triển hoặc sử dụng đạo cụ để tiếp tục</t>
  </si>
  <si>
    <t>Giai đoạn Hai "Hiện tại chỉ có thể sử dụng Bánh Mizumanju Đàn Hồi"</t>
  </si>
  <si>
    <t>Onii-chan, não! - 3</t>
  </si>
  <si>
    <t>São necessárias várias tentativas de "se acostumar" ou o uso de itens para prosseguir com o ato</t>
  </si>
  <si>
    <t>Fase 2
*Atualmente, o único item disponível para uso é o Mizu Manju</t>
  </si>
  <si>
    <t>在夢境中一起睡</t>
  </si>
  <si>
    <t>於深夜時段使用"成人錄影帶"
並且不斷做喜歡的事情直到深夜，並且"當前"至少中出達到"2次"以上</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</si>
  <si>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</si>
  <si>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</si>
  <si>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</si>
  <si>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</si>
  <si>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</si>
  <si>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</si>
  <si>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</si>
  <si>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</si>
  <si>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</si>
  <si>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</si>
  <si>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Заснули разом</t>
  </si>
  <si>
    <t>Використовуйте "Відеокасету для дорослих" при перегляді телевізора і продовжуйте дивитися до пізньої ночі, принаймні з двома білими серцями (не рахуючи попередніх сеансів).</t>
  </si>
  <si>
    <t>Другий епізод зі сну Курохи буде відтворено, якщо ця подія відбудеться вперше.
Крім того, якщо її ім'я було змінено з "Міо" на "Сестра", буде додано додатковий діалог</t>
  </si>
  <si>
    <t>Уснули вместе</t>
  </si>
  <si>
    <t>Используйте "Видеокассету для взрослых" при просмотре телевизора и продолжайте смотреть до поздней ночи, по крайней мере, с 2 белыми сердечками (не считая предыдущих сеансов).</t>
  </si>
  <si>
    <t>Второй эпизод из сна Курохи будет воспроизведен, если это событие произойдет впервые.
Кроме того, если её имя было изменено с "Мио" на "Имоуто", будет добавлен дополнительный диалог</t>
  </si>
  <si>
    <t>-Zusammen schlafen</t>
  </si>
  <si>
    <t>Nutze in der späten Zeit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</si>
  <si>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</si>
  <si>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</si>
  <si>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Sử dụng "Băng video người lớn" khi xem TV và tiếp tục cho đến khuya để tích lũy ít nhất 2 trái tim trắng (không tính các lần trước đó).</t>
  </si>
  <si>
    <t>Phân cảnh giấc mơ thứ hai của Onii-chan (chỉ một lần duy nhất) sẽ xảy ra nếu sự kiện này xảy ra lần đầu tiên. Hơn nữa, nếu tên của Imouto đã được đổi từ 'Mio' thành 'Imouto', sẽ có một đoạn hội thoại bổ sung.
(Tên trò chơi cũng sẽ thay đổi từ "Unobtrusive Girl" trở lại tên gốc "Unobtrusive Sister")"</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</si>
  <si>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</si>
  <si>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</si>
  <si>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</si>
  <si>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</si>
  <si>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</si>
  <si>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</si>
  <si>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一起睡吧</t>
  </si>
  <si>
    <t>客廳成人錄影帶事件裡，和妹妹運動結束後，剛好到睡覺時間</t>
  </si>
  <si>
    <t>哥哥比妹妹早醒，進行劇情</t>
  </si>
  <si>
    <t>一緒に寝よう</t>
  </si>
  <si>
    <t>リビングのアダルトビデオイベントで、妹とHな運動を終えた後ちょうど就寝時間になる</t>
  </si>
  <si>
    <t>お兄ちゃんが妹より先に目を覚まし、イベントが進行する</t>
  </si>
  <si>
    <t>After the adult tape scene, you will end up sleeping together with imouto if you keep going until very late night until she's tired</t>
  </si>
  <si>
    <t>Onii-chan wakes up beside Imouto and you'll get a bit more of the story</t>
  </si>
  <si>
    <t>Давай спати разом</t>
  </si>
  <si>
    <t>Після сцени з фільму для дорослих ви заснете разом з Сестрою, якщо продовжуватимете до пізньої ночі, поки вона не втомиться.</t>
  </si>
  <si>
    <t>Куроха прокинувся раніше за Сестру, щоб здійснити задумане</t>
  </si>
  <si>
    <t>Давай спать вместе</t>
  </si>
  <si>
    <t>После сцены из фильма для взрослых вы уснёте вместе с Имоуто, если будете продолжать до поздней ночи, пока она не устанет.</t>
  </si>
  <si>
    <t>Куроха проснулся раньше Имоуто, чтобы осуществить задуманное</t>
  </si>
  <si>
    <t>Lass uns zusammen schlafen</t>
  </si>
  <si>
    <t>Im Ereignis Erwachsenenvideo im Wohnzimmer, nach dem Sport mit deiner Schwester, ist es genau Schlafenszeit.</t>
  </si>
  <si>
    <t>Der Bruder wacht vor der Schwester auf und löst das Ereignis aus</t>
  </si>
  <si>
    <t>Hãy ngủ cùng nhau</t>
  </si>
  <si>
    <t>Trong sự kiện băng video người lớn trong phòng khách, sau khi đã làm xong cùng em gái, đi ngủ</t>
  </si>
  <si>
    <t>Onii-chan thức dậy trước imouto và xảy ra sự kiện</t>
  </si>
  <si>
    <t>Vamos dormir juntos</t>
  </si>
  <si>
    <t>No incidente do vídeo adulto na sala de estar, depois de se exercitar com a imouto, já era hora de dormir.</t>
  </si>
  <si>
    <t>Onii-chan acorda antes da imouto, um evento ocorre.</t>
  </si>
  <si>
    <t>Setelah adegan video dewasa, kau akan tidur bersama dengan imouto jika kau terus melanjutkannya sampai tengah malam dia akan lelah</t>
  </si>
  <si>
    <t>Onii-chan bangun diaamping Imouto dan kau akan mendapat beberapa cerita</t>
  </si>
  <si>
    <t>一起睡吧-1</t>
  </si>
  <si>
    <t>同上</t>
  </si>
  <si>
    <t>同上
分支-妹妹比哥哥早醒，進行劇情</t>
  </si>
  <si>
    <t>一緒に寝よう~1</t>
  </si>
  <si>
    <t xml:space="preserve">
同上
分岐 ― 妹が兄より先に目を覚まし、イベントが進行する
</t>
  </si>
  <si>
    <t>Sleeping together - 1</t>
  </si>
  <si>
    <t>Same as above</t>
  </si>
  <si>
    <t>Same as above, except Imouto wakes up earlier than Onii-chan which triggers the story</t>
  </si>
  <si>
    <t>Давай спати разом - 1</t>
  </si>
  <si>
    <t>Так само, як і "Давай спати разом".</t>
  </si>
  <si>
    <t>Сестра прокинулася раніше Курохи і почала розмову</t>
  </si>
  <si>
    <t>Давай спать вместе - 1</t>
  </si>
  <si>
    <t>Так же, как и "Давай спать вместе".</t>
  </si>
  <si>
    <t>Имоуто проснулась раньше Курохи и начала разговор</t>
  </si>
  <si>
    <t>Lass uns zusammen schlafen – 1</t>
  </si>
  <si>
    <t>Das gleiche wie oben</t>
  </si>
  <si>
    <t>Das gleiche wie oben – Verzweigung: Die Schwester wacht vor dem Bruder auf und löst das Ereignis aus</t>
  </si>
  <si>
    <t>Hãy ngủ cùng nhau - 1</t>
  </si>
  <si>
    <t>Giống như trên</t>
  </si>
  <si>
    <t>Như trên - nhánh nhỏ: imouto thức dậy trước</t>
  </si>
  <si>
    <t>Vamos dormir juntos - 1</t>
  </si>
  <si>
    <t>Igual ao anterior</t>
  </si>
  <si>
    <t>Igual ao anterior. Ponto de ramificação: a imouto acorda antes do onii-chan, levando a outro evento.</t>
  </si>
  <si>
    <t xml:space="preserve">sama seperti diatas </t>
  </si>
  <si>
    <t>sama seperti diatas, namun Imouto bangun lebih dulu daripada Onii-chan yang akan memicu jalan cerita</t>
  </si>
  <si>
    <t>G</t>
  </si>
  <si>
    <t>夜襲相關</t>
  </si>
  <si>
    <t>眠りさわさわイベント</t>
  </si>
  <si>
    <t>Night Raid Events</t>
  </si>
  <si>
    <t>Eventos de Noche</t>
  </si>
  <si>
    <t>야간 이벤트</t>
  </si>
  <si>
    <t xml:space="preserve">Нічні події		</t>
  </si>
  <si>
    <t>Ночные события</t>
  </si>
  <si>
    <t>Auf nächtliche Überfälle bezogene Events</t>
  </si>
  <si>
    <t>Sự kiện đột kích ban đêm</t>
  </si>
  <si>
    <t>Eventos de incursão noturna</t>
  </si>
  <si>
    <t>Event terkait Serangan Malam</t>
  </si>
  <si>
    <t>總覺得睡不著...</t>
  </si>
  <si>
    <t>1.想要半夜醒來，性慾至少高於20
2.早睡可以提升機率，高性慾值也能提高
3.裝備"少女的笑容"時必甦醒 （23點前入睡）
4.吃到黑暗料理，必定甦醒（23點前入睡）</t>
  </si>
  <si>
    <t>哥哥睡不著覺
可以選擇進入妹妹房間</t>
  </si>
  <si>
    <t>なんだか眠れない気がする…</t>
  </si>
  <si>
    <t>1. 深夜に目が覚めるようにするには、性的欲求が少なくとも 20 以上である必要があります
2. 早めに就寝すると確率が上がり、性的欲求が高い場合はさらに確率が上がります
3. 『少女の笑顔』を装備していると必ず目覚めます（23:00 までに就寝した場合）
4. 暗黒料理を食べると必ず目覚めます（23:00 までに就寝した場合）</t>
  </si>
  <si>
    <t>お兄ちゃんはなかなか寝れない…
妹の部屋を見に行くことができる</t>
  </si>
  <si>
    <t>I can't sleep...</t>
  </si>
  <si>
    <t>1. To wake up at night, your excitement level must be more than 20%
2. Going to bed early increases the chances, as well as higher excitement levels
3. You are guaranteed to wake up if you're wearing the "Girl's Smile" equipment if you go to bed before 11PM
4. You are guaranteed to wake up if you ate something bad if you go to bed before 11PM</t>
  </si>
  <si>
    <t>If you are unable to sleep and wake up in the middle of the night, you can go to Imouto's room</t>
  </si>
  <si>
    <t>总觉得睡不着...</t>
  </si>
  <si>
    <t>1.想要半夜醒来，性欲至少高于20
2.早睡可以提升机率，高性欲值也能提高
3.装备"少女的笑容"时必苏醒 （23点前入睡）
4.吃到黑暗料理，必定苏醒（23点前入睡）</t>
  </si>
  <si>
    <t>哥哥睡不着觉
可以选择进入妹妹房间</t>
  </si>
  <si>
    <t>Я не можу спати...</t>
  </si>
  <si>
    <t>1. Щоб прокинутися вночі, рівень вашого збудження має бути понад 20%.
2. Раннє лягання спати збільшує шанси, а також вищий рівень збудження.
3. Ви гарантовано прокинетеся, якщо носите спорядження "Дівчача посмішка", якщо ляжете спати до 23:00.
4. Ви гарантовано прокинетеся, якщо з'їли щось погане, якщо ляжете спати до 23:00.</t>
  </si>
  <si>
    <t>Якщо ти не можеш заснути і прокидаєшся посеред ночі, можеш піти до кімнати Сестри.</t>
  </si>
  <si>
    <t>Я не могу уснуть...</t>
  </si>
  <si>
    <t>1. Чтобы проснуться ночью, уровень вашего возбуждения должен быть более 20%.
2. Раннее засыпание увеличивает шансы, а также более высокий уровень возбуждения.
3. Вы гарантированно проснетесь, если наденете снаряжение "Девичья улыбка", если ляжете спать до 23:00.
4. Вы гарантированно проснетесь, если съели что-то плохое, если ляжете спать до 23:00.</t>
  </si>
  <si>
    <t>Если вы не можете заснуть и просыпаетесь посреди ночи, вы можете пойти в комнату Имоуто.</t>
  </si>
  <si>
    <t>Ich kann nicht schlafen…</t>
  </si>
  <si>
    <t>1 Um nachts aufzuwachen, muss dein Erregungslevel über 20 % liegen.
2 Frühes Zubettgehen erhöht die Wahrscheinlichkeit, ebenso wie ein höheres Erregungslevel.
3 Du wachst garantiert auf, wenn du das Ausrüstungsteil „Mädchenlächeln“ trägst und vor 23 Uhr schlafen gehst.
4 Du wachst garantiert auf, wenn du etwas Schlechtes gegessen hast und vor 23 Uhr schlafen gehst.</t>
  </si>
  <si>
    <t>Không ngủ được...</t>
  </si>
  <si>
    <t>1. Để thức dậy vào giữa đêm, mức độ phấn khích phải trên 20%
2. Đi ngủ sớm làm tăng cơ hội cũng như mức độ hưng phấn cao hơn
3. Bạn chắc chắn sẽ thức dậy khi đang trang bị "Nụ cười của em gái" nếu bạn đi ngủ trước 23 giờ tối
4. Bạn chắc chắn sẽ thức dậy nếu bạn ăn gì đó tệ và đi ngủ trước 23 giờ</t>
  </si>
  <si>
    <t>Nếu bạn không ngủ được và thức dậy giữa đêm, bạn sẽ có thể đi sang phòng của imouto</t>
  </si>
  <si>
    <t>Não consigo dormir...</t>
  </si>
  <si>
    <t>1. Para acordar à noite, seu nível de excitação deve ser superior a 20%
2. Ir para a cama cedo aumenta as chances, assim como níveis de excitação mais altos
3. Você com certeza acordará se estiver usando o equipamento "Sorriso de Garota" se for dormir antes das 23h
4. Você com certeza acordará se comer algo que lhe faça mal se for dormir antes das 23h.</t>
  </si>
  <si>
    <t xml:space="preserve"> Se você não conseguir dormir e acordar no meio da noite, pode ir ao quarto da sua irmã</t>
  </si>
  <si>
    <t>夜襲相關選項，目前只有少量的互動
等待夜襲場景重製後，再進行修改內容</t>
  </si>
  <si>
    <t>待重製</t>
  </si>
  <si>
    <t>夜襲に関連する選択肢は、現在は少量のインタラクションのみです
夜襲シーンのリメイク後に、内容を改めて調整予定です</t>
  </si>
  <si>
    <t>リメイク待ち</t>
  </si>
  <si>
    <t>Currently, the interactions with the night raid system is minimal. This is because the system is under rework. There will be more in the future</t>
  </si>
  <si>
    <t>TBA</t>
  </si>
  <si>
    <t>夜袭相关选项，目前只有少量的互动
等待夜袭场景重制后，再进行修改内容</t>
  </si>
  <si>
    <t>待重置
To be continued...</t>
  </si>
  <si>
    <t>Наразі взаємодія з системою нічних рейдів мінімальна. Це пов'язано з тим, що система переробляється. У майбутньому буде більше.</t>
  </si>
  <si>
    <t>В настоящее время взаимодействие с системой ночных рейдов минимально. Это связано с тем, что система перерабатывается. В будущем будет больше.</t>
  </si>
  <si>
    <t>Derzeit sind die Interaktionen mit dem Nachtangriffssystem minimal. Dies liegt daran, dass das System überarbeitet wird. In Zukunft wird es mehr Inhalte geben.</t>
  </si>
  <si>
    <t xml:space="preserve">Hiện tại, sự tương tác với hệ thống đột kích ban đêm rất ít. Điều này là do hệ thống event đang được làm lại. Sẽ có nhiều hơn nữa trong tương lai </t>
  </si>
  <si>
    <t xml:space="preserve">Atualmente, os eventos de incursão noturnas são mínimas. Isso ocorre porque o sistema está sendo reformulado. </t>
  </si>
  <si>
    <t>Mais novidades serão anunciadas em breve.</t>
  </si>
  <si>
    <t xml:space="preserve">                      </t>
  </si>
  <si>
    <t>RPG事件</t>
  </si>
  <si>
    <t>RPGイベント</t>
  </si>
  <si>
    <t>説明する</t>
  </si>
  <si>
    <t>Combat Event</t>
  </si>
  <si>
    <t>说明</t>
  </si>
  <si>
    <t>结果</t>
  </si>
  <si>
    <t>Evento de rol</t>
  </si>
  <si>
    <t>RPG-подія</t>
  </si>
  <si>
    <t>Як отримати</t>
  </si>
  <si>
    <t>RPG-событие</t>
  </si>
  <si>
    <t>Описание</t>
  </si>
  <si>
    <t>RPG-Events</t>
  </si>
  <si>
    <t>Orte um das Event zu erhalten</t>
  </si>
  <si>
    <t>Ergebnisse</t>
  </si>
  <si>
    <t xml:space="preserve">Sự kiện </t>
  </si>
  <si>
    <t>Cách đạt được</t>
  </si>
  <si>
    <t>Evento de RPG</t>
  </si>
  <si>
    <t>Event RPG</t>
  </si>
  <si>
    <t xml:space="preserve">Cara mendapatkannya </t>
  </si>
  <si>
    <t>冒險者小道:集結地</t>
  </si>
  <si>
    <t>Adventurer's Path: Gathering Point</t>
  </si>
  <si>
    <t>冒险者小道:集结地</t>
  </si>
  <si>
    <t>Шлях мандрівників: Місце збору</t>
  </si>
  <si>
    <t>Тропа авантюристов: Место сбора</t>
  </si>
  <si>
    <t>Caminho do Aventureiro: Ponto de Encontro(Adventurer's Path: Gathering Point)</t>
  </si>
  <si>
    <t>RA1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</si>
  <si>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</si>
  <si>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</si>
  <si>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</si>
  <si>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</si>
  <si>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</si>
  <si>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</si>
  <si>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</si>
  <si>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</si>
  <si>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</si>
  <si>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于冒险者的街道 起始点往下走，是提前回家。</t>
  </si>
  <si>
    <t>第一次会触发一段特殊剧情 后续可能触发 *和妹妹玩了一整天 *和妹妹一起悠闲度过 *和妹妹一起睡午觉 *妹妹帮忙按摩</t>
  </si>
  <si>
    <t>Vete a casa temprano</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</si>
  <si>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</si>
  <si>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</si>
  <si>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Повернутися додому раніше</t>
  </si>
  <si>
    <t>На «Шляху Мандрівників» поверніться звідки прийшли – найкращий спосіб повернутися додому раніше.</t>
  </si>
  <si>
    <t>Вперше буде запущено спеціальний діалог.
Наступні діалоги будуть випадковим чином вибрані між:
- Гра в ігри з твоєю сестрою
- Відпочинок з твоєю сестрою
- Дрім разом з твоєю сестрою
- Сестра робить тобі масаж
Час буде перенесено на вечерю.</t>
  </si>
  <si>
    <t>Вернуться домой пораньше</t>
  </si>
  <si>
    <t>На «Тропе авантюристов» вернитесь откуда пришли – лучший способ вернуться домой пораньше.</t>
  </si>
  <si>
    <t>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</si>
  <si>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</si>
  <si>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</si>
  <si>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</si>
  <si>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</si>
  <si>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</si>
  <si>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</si>
  <si>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</si>
  <si>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</si>
  <si>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</si>
  <si>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</si>
  <si>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</si>
  <si>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</si>
  <si>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RA2</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</si>
  <si>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</si>
  <si>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</si>
  <si>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</si>
  <si>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</si>
  <si>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</si>
  <si>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</si>
  <si>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</si>
  <si>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</si>
  <si>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</si>
  <si>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冒险者小道:集结地 于垃圾桶丢弃装备，打爆垃圾桶会获得道具。 只限制丢弃的当天，隔天就不算。</t>
  </si>
  <si>
    <t>获得道具：魔力小凝胶 用于拓展背包格子</t>
  </si>
  <si>
    <t>cubo de la basura</t>
  </si>
  <si>
    <t>Кошик для сміття</t>
  </si>
  <si>
    <t>Ви можете викидати непотрібні предмети та обладнання у кошик для сміття. Знищення  після викидання предметів призведе до викидання магічного гелю залежно від кількості викинутих вами предметів.
*Враховуються лише предмети, викинуті в той самий день</t>
  </si>
  <si>
    <t>Отримайте предмет «Мана гель».
Це розширить слоти вашого рюкзака.</t>
  </si>
  <si>
    <t>Мусорка</t>
  </si>
  <si>
    <t>Выбросьте своё снаряжение в мусорку. Разбив мусорку, вы получите предметы.
Это действует только в тот день, когда снаряжение было выброшено. На следующий день это не засчитывается.</t>
  </si>
  <si>
    <t>Получение предмета: Мана-гель
Используется для расширения вместимости рюкзака</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</si>
  <si>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</si>
  <si>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</si>
  <si>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</si>
  <si>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</si>
  <si>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</si>
  <si>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</si>
  <si>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</si>
  <si>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</si>
  <si>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</si>
  <si>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</si>
  <si>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</si>
  <si>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</si>
  <si>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RA3</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</si>
  <si>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</si>
  <si>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</si>
  <si>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</si>
  <si>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</si>
  <si>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</si>
  <si>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</si>
  <si>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</si>
  <si>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</si>
  <si>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</si>
  <si>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主要用于测试玩家伤害数值用，有可能透过其他方式击杀。 (可以参考TIPS)</t>
  </si>
  <si>
    <t>获得道具：稻草人的心</t>
  </si>
  <si>
    <t>espantapájaros</t>
  </si>
  <si>
    <t>Опудало</t>
  </si>
  <si>
    <t>В основному використовується для перевірки значень шкоди гравця. Можна вбити іншими способами.
Зверніться до ПОРАДИ, як це зробити.</t>
  </si>
  <si>
    <t>Отримання спорядження «Серце опудала»</t>
  </si>
  <si>
    <t>Пугало</t>
  </si>
  <si>
    <t>В основном используется для проверки значений урона, наносимого игроком. Его можно убить и другими способами.
(Подробности см. в разделе Tips)</t>
  </si>
  <si>
    <t>Получение предмета: Сердце Пугала</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</si>
  <si>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</si>
  <si>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</si>
  <si>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</si>
  <si>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</si>
  <si>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</si>
  <si>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</si>
  <si>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</si>
  <si>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</si>
  <si>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</si>
  <si>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Orang-orangan sawah</t>
  </si>
  <si>
    <t>Terutama digunakan untuk menguji nilai kerusakan pemain; dimungkinkan untuk membunuh mereka melalui metode lain.
(Lihat TIPS untuk detailnya)</t>
  </si>
  <si>
    <t>Item yang diperoleh: Jantung Orang-orangan Sawah</t>
  </si>
  <si>
    <t>RA4</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</si>
  <si>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</si>
  <si>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</si>
  <si>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</si>
  <si>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</si>
  <si>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</si>
  <si>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</si>
  <si>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</si>
  <si>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</si>
  <si>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闪步太刀</t>
  </si>
  <si>
    <t>装备或者持有"硬木剑" 于冒险者小道:集结地的谜之剑士进行对话，并成功击败(中途可切换武器)
（谜之剑士：卧槽你不讲武德）</t>
  </si>
  <si>
    <t>习得技能:闪步太刀</t>
  </si>
  <si>
    <t>Espada de paso rápido</t>
  </si>
  <si>
    <t>Сенпо Тачі</t>
  </si>
  <si>
    <t>Повинен мати екіпірований або в інвентарі "Дерев'яний меч".
Поговоріть із Таємничим Мечником у Шляху Мандрівників: Місце Збору та побийтеся з ним у спарингу. Ви повинні виграти бій.</t>
  </si>
  <si>
    <t>Отримання нової здібності: "Senpo Tachi"</t>
  </si>
  <si>
    <t>Сенпо Тати</t>
  </si>
  <si>
    <t>Возьмите в руки или получите «Деревянный меч» и поговорите с Загадочной Фехтовальщицей, после чего одолейте её в поединке.
(В процессе можно сменить оружие)</t>
  </si>
  <si>
    <t>Получение навыка: Сенпо Тати</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</si>
  <si>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</si>
  <si>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</si>
  <si>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</si>
  <si>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</si>
  <si>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</si>
  <si>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</si>
  <si>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</si>
  <si>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</si>
  <si>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</si>
  <si>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RA5</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</si>
  <si>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</si>
  <si>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</si>
  <si>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</si>
  <si>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</si>
  <si>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</si>
  <si>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</si>
  <si>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</si>
  <si>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</si>
  <si>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</si>
  <si>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攻略在哪里?</t>
  </si>
  <si>
    <t>冒险者小道:集结地 篝火前方 只有在晴天(不可炎热)、中午12点以前会出现"连衣裙的幽灵少女"，与其对话并在隔日之后，再次对话可以获得道具</t>
  </si>
  <si>
    <t>获得道具：冒险者心得 *后续剧情待更新</t>
  </si>
  <si>
    <t>¿Dónde puedo encontrar la guía de estrategia?</t>
  </si>
  <si>
    <t>Де ж путівник?</t>
  </si>
  <si>
    <t>На «Шлях Мандрівників: Місце збору» «Дівчина в білій сукні» з'являтиметься в сонячні (не спекотні) дні до 12:00 перед багаттям. Поговоріть з нею ДВІЧІ в різні сонячні дні, щоб отримати предмет.</t>
  </si>
  <si>
    <t>Отримання предмету «Путівник авантюриста».
Наступні події ще не реалізовані.</t>
  </si>
  <si>
    <t>Где я могу найти руководство?</t>
  </si>
  <si>
    <t>Перед костром. «Девушка-призрак в платье» появляется только в солнечные дни (не жаркие) до полудня. Поговорив с ней, а затем снова поговорив только уже на следующий день, вы получите этот предмет.</t>
  </si>
  <si>
    <t>Получение предмета: «Путеводитель авантюриста»
*Дальнейшая история будет обновлена</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</si>
  <si>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</si>
  <si>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</si>
  <si>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</si>
  <si>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</si>
  <si>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</si>
  <si>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</si>
  <si>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</si>
  <si>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</si>
  <si>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</si>
  <si>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</si>
  <si>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</si>
  <si>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</si>
  <si>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RA6</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</si>
  <si>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</si>
  <si>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</si>
  <si>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</si>
  <si>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</si>
  <si>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</si>
  <si>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</si>
  <si>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饮料贩售机重生</t>
  </si>
  <si>
    <t>若打爆自动贩卖机，机器将会在下雨天时修好，并提高售价（天价牛奶警告.jpg）</t>
  </si>
  <si>
    <t>La máquina expendedora de bebidas renace</t>
  </si>
  <si>
    <t>Відремонтований Торговий автомат</t>
  </si>
  <si>
    <t>Якщо Торговий автомат був знищений, він знову з'явиться в дощові дні. Ціна товарів, які він продає, зросте.</t>
  </si>
  <si>
    <t>Возрождение автомата с напитками</t>
  </si>
  <si>
    <t>Если вы уничтожите автомат с напитками, он появится снова во время дождя, но цена на напитки выростет.</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</si>
  <si>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</si>
  <si>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</si>
  <si>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</si>
  <si>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</si>
  <si>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</si>
  <si>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</si>
  <si>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</si>
  <si>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</si>
  <si>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</si>
  <si>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RA7</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</si>
  <si>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</si>
  <si>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</si>
  <si>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</si>
  <si>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</si>
  <si>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</si>
  <si>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</si>
  <si>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</si>
  <si>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</si>
  <si>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</si>
  <si>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t>游戏机</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</si>
  <si>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</si>
  <si>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获得"JoyStation V" 回家后触发和开启与妹妹游戏的功能</t>
  </si>
  <si>
    <t>consola de juegos</t>
  </si>
  <si>
    <t>Ігрова приставка</t>
  </si>
  <si>
    <t>Можна придбати у Загадкового Лицаря за 5000 єн.</t>
  </si>
  <si>
    <t>Після придбання "JoyStation V" ви зможете грати разом зі своєю сестрою після повернення додому.</t>
  </si>
  <si>
    <t>Игровая консоль</t>
  </si>
  <si>
    <t>Можно приобрести у Загадочного Рыцаря за 5000 йен.</t>
  </si>
  <si>
    <t>После приобретения "JoyStation V" вы сможете играть вместе со своей сестрой по возвращению домой.</t>
  </si>
  <si>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</si>
  <si>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</si>
  <si>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</si>
  <si>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</si>
  <si>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</si>
  <si>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</si>
  <si>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</si>
  <si>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</si>
  <si>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</si>
  <si>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Game Konsol</t>
  </si>
  <si>
    <t>‎Membeli konsol dari Kesatria Aneh di Adventurer's Path: Gathering Point seharga 5000 yen.</t>
  </si>
  <si>
    <t>Medapat "JoyStation V".
Sebuah adegan akan muncul saat kau pulang dan bermain dengan adik.</t>
  </si>
  <si>
    <t>RA8</t>
  </si>
  <si>
    <t>DLC</t>
  </si>
  <si>
    <t>冒險者小道:集結地
和騎士分享一定數量的見聞可以獲得</t>
  </si>
  <si>
    <t>暗影之魂-DLC
讓妹妹玩遊戲更專注，解鎖額外選項</t>
  </si>
  <si>
    <t>DLC！</t>
  </si>
  <si>
    <t>謎の騎士と一定数見聞を共有するとお返しで貰える</t>
  </si>
  <si>
    <t xml:space="preserve">Shadow Souls-DLCを入手できる！
妹がゲームにもっと集中できるようにし、追加の選択肢を出現させる…
</t>
  </si>
  <si>
    <t>Share a certain amount of insights with the Weird Knight and then purchase it from her shop.</t>
  </si>
  <si>
    <r>
      <rPr>
        <rFont val="Microsoft JhengHei"/>
        <color theme="1"/>
      </rPr>
      <t xml:space="preserve">Obtain "Shadow Souls - DLC" item. Makes imouto focus more on the game, allowing extra options to be used when pranking her.
</t>
    </r>
    <r>
      <rPr>
        <rFont val="Microsoft JhengHei"/>
        <b/>
        <color theme="1"/>
      </rPr>
      <t>*Shadow Souls is a video game that imouto plays.</t>
    </r>
  </si>
  <si>
    <t>冒险者小道:集结地 和骑士分享一定数量的见闻可以获得</t>
  </si>
  <si>
    <t>暗影之魂-DLC
让妹妹玩游戏更专注，解锁额外选项</t>
  </si>
  <si>
    <t>Contenido descargable</t>
  </si>
  <si>
    <t>Compartir una cierta cantidad de conocimientos con el Caballero Raro.</t>
  </si>
  <si>
    <t>Поділіться деякими міркуваннями із Загадковим Лицарем.</t>
  </si>
  <si>
    <t>Отримання предмета: "DLC - Тіні душ"
Це дозволить Імоуто більше грати, додаючи додаткові можливості для розіграшів.
*Shadow Souls - це відеогра, в яку грає Сестра.</t>
  </si>
  <si>
    <t>Поделитесь некоторыми соображениями с Загадочным Рыцарем.</t>
  </si>
  <si>
    <t>Получение предмета: Тени Душ - DLC
Это позволит Имоуто больше играть, добавляя дополнительные возможности для розыгрышей.
*Shadow Souls - это видеоигра, в которую играет Имоуто.</t>
  </si>
  <si>
    <t>Shadow Soul-DLC</t>
  </si>
  <si>
    <t>Chia sẻ một lượng kiến thức nhất định với Hiệp sĩ Kì Lạ.</t>
  </si>
  <si>
    <t>Nhận vật phẩm “Shadow Souls - DLC”.
Shadow Souls - DLC: khiến em gái tập trung hơn vào trò chơi và mở khoá thêm hành động</t>
  </si>
  <si>
    <t>No Adventurer's Path: Gathering Point, divida uma certa quantidade de conhecimento com o Cavaleiro Estranho.</t>
  </si>
  <si>
    <r>
      <rPr>
        <rFont val="Microsoft JhengHei"/>
        <color theme="1"/>
      </rPr>
      <t xml:space="preserve">Obtém o item "Shadow Souls - DLC"
</t>
    </r>
    <r>
      <rPr>
        <rFont val="Microsoft JhengHei"/>
        <b/>
        <color theme="1"/>
      </rPr>
      <t>permite que sua irmã se concentre mais no jogo e desbloqueia opções adicionais.</t>
    </r>
  </si>
  <si>
    <t>Jalur Petualang: Tempat Berkumpul Anda dapat memperoleh [sesuatu] dengan berbagi sejumlah pertemuan tertentu dengan ksatria.</t>
  </si>
  <si>
    <t>Shadow Souls - DLC</t>
  </si>
  <si>
    <t>RA9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</si>
  <si>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</si>
  <si>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</si>
  <si>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</si>
  <si>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</si>
  <si>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</si>
  <si>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</si>
  <si>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</si>
  <si>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</si>
  <si>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</si>
  <si>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全部见闻</t>
  </si>
  <si>
    <t>于冒险步道的骑士分享见闻： 怪鸟吼声/兽肉料理/ 走路菇料理/ 史莱姆料理/被遗弃的森林/打掉连接遗迹的石头/掉到洞窟/机甲/陪妹妹玩游戏揉大白兔 数字表示:事件编号</t>
  </si>
  <si>
    <t>分享一定数量见闻后，会获得「特典T恤」，回家后会看到妹妹穿着的剧情。 (后续更衣功能尚未实装)</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</si>
  <si>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</si>
  <si>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</si>
  <si>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Всі спостереження</t>
  </si>
  <si>
    <t>Поділіться з Загадковим Лицарем: Дивний пташиний рев / Страва з м'яса звіра / Страва з ходячого гриба / Страва зі слизу / Загублений ліс / Руйнування каменю, що з'єднує руїни / Падіння в печеру / Мех / Гра з сестрою / Погладжування її "великого білого кролика"</t>
  </si>
  <si>
    <t>Після того, як ви поділитеся певною кількістю своїх вражень, ви отримаєте "бонусну футболку", яку побачите у сцені, де ваша сестра одягне її, коли ви повернетеся додому.
(Функція наступної зміни одягу поки що не реалізована.)</t>
  </si>
  <si>
    <t>Все наблюдения</t>
  </si>
  <si>
    <t>Поделитесь с Загадочным Рыцарем историями: Странный птичий рёв / Блюдо из мяса зверя / Блюдо из ходячего гриба / Блюдо из слизи / Затерянный лес / Разрушение камня, соединяющего руины / Падение в пещеру / Мех / Игра с сестрой / Поглаживание её "большого белого кролика"</t>
  </si>
  <si>
    <t>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</si>
  <si>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</si>
  <si>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</si>
  <si>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</si>
  <si>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Độ thông thái</t>
  </si>
  <si>
    <t>Chia sẻ kiến thức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</si>
  <si>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kiến thức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</si>
  <si>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</si>
  <si>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</si>
  <si>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</si>
  <si>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Semua Pengamatan</t>
  </si>
  <si>
    <t>Para Ksatria di Jalur Petualangan berbagi pengalaman mereka: Raungan burung aneh / Hidangan daging binatang buas / Hidangan jamur berjalan / Hidangan lendir / Hutan terlantar / Menghancurkan batu yang menghubungkan ke reruntuhan / Jatuh ke dalam gua / Mech / Bermain game dengan adikku dan membelai kelinci putih besarnya
Angka mewakili: Nomor Peristiwa</t>
  </si>
  <si>
    <t>Setelah berbagi sejumlah pengalaman tertentu, Anda akan menerima "kaos bonus," yang akan Anda lihat di adegan di mana saudara perempuan Anda memakainya saat Anda pulang.
(Fitur pergantian pakaian selanjutnya belum diimplementasikan.)</t>
  </si>
  <si>
    <t>RA10</t>
  </si>
  <si>
    <t>隱藏通道</t>
  </si>
  <si>
    <t>冒險者小道:集結地，左上方有個寶箱</t>
  </si>
  <si>
    <t>獲得武器-千鳥、特殊字條劇情</t>
  </si>
  <si>
    <t>RA11</t>
  </si>
  <si>
    <t>隠しアイテム</t>
  </si>
  <si>
    <t>冒険者の道：集合場所、左上に宝箱があります</t>
  </si>
  <si>
    <t>武器とボロボロの紙切れを入手できる</t>
  </si>
  <si>
    <t>Hidden Chest</t>
  </si>
  <si>
    <t>In Adventurer's Path: Gathering Point, there is a treasure chest on the top-left corner of the map</t>
  </si>
  <si>
    <t>Obtain "Chidori" weapon
Obtain a note</t>
  </si>
  <si>
    <t>隐藏通道</t>
  </si>
  <si>
    <t>冒险者小道:集结地，左上方有个宝箱</t>
  </si>
  <si>
    <t>获得武器-千鸟、特殊字条剧情</t>
  </si>
  <si>
    <t>Cofre oculto</t>
  </si>
  <si>
    <t>Прихована скриня</t>
  </si>
  <si>
    <t>Точка збору, у верхньому лівому кутку, знаходиться скриня.</t>
  </si>
  <si>
    <t>Отримання зброї: "Чідорі"; отримання спеціальної примітки</t>
  </si>
  <si>
    <t>Скрытый сундук</t>
  </si>
  <si>
    <t>Точка сбора, в верхнем левом углу, находится сундук.</t>
  </si>
  <si>
    <t>Получение оружия: Чидори, сюжетная линия со специальными примечаниями</t>
  </si>
  <si>
    <t>Versteckter Durchgang</t>
  </si>
  <si>
    <t>In Adventurer's Path: Versammlungsplatz ist im oberen linken Bereich eine Truhe</t>
  </si>
  <si>
    <t>Erhalte die Waffe ,,Tausend Vögel" und eine spezielle Notiz mit einer Handlung</t>
  </si>
  <si>
    <t>Rương ẩn</t>
  </si>
  <si>
    <t>Ở Con Đường Nhà Thám Hiểm: Điểm Tập Hợp, có một cái rương kho báu ở góc trái trên cùng của bản đồ</t>
  </si>
  <si>
    <t>Nhận vũ khí “Chidori”.
Nhận một ghi chú.</t>
  </si>
  <si>
    <t>Baú escondido</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</si>
  <si>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</si>
  <si>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</si>
  <si>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Lorong Tersembunyi</t>
  </si>
  <si>
    <t>Jalur Petualang: Titik Berkumpul, ada peti harta karun di pojok kiri atas.</t>
  </si>
  <si>
    <t>Dapatkan senjata - Chidori, alur cerita catatan khusus</t>
  </si>
  <si>
    <t>於"冒險者小道:集結地"
飲料機右方繩索上去後，下方的大片森林有隱藏通道</t>
  </si>
  <si>
    <t>發現機甲，第二天前往後會消失，此時才可觸發見聞
(後續未實裝)
獲得道具：初號核心</t>
  </si>
  <si>
    <t>RA12</t>
  </si>
  <si>
    <t>隠しMAP</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</si>
  <si>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</si>
  <si>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</si>
  <si>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</si>
  <si>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</si>
  <si>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</si>
  <si>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发现机甲，第二天前往后会消失，此时才可触发见闻 (后续未实装) 获得道具：初号核心</t>
  </si>
  <si>
    <t>Прихований прохід</t>
  </si>
  <si>
    <t>Піднявшись по лозі праворуч від торгового автомата і пройшовши нижче, упершись у ліс, ви потрапите в Загублений ліс через потайний прохід.</t>
  </si>
  <si>
    <t>Після взаємодії з гігантським мехом, він зникне наступного дня, коли ви повернетеся. Це активує коротку історію...
Отримання обладнання "Модуль 1 Нексус"</t>
  </si>
  <si>
    <t>Скрытый проход</t>
  </si>
  <si>
    <t>Поднявшись по лозе справа от торгового автомата и пройдя ниже, упераясь в лес, вы попадете в Затерянный лес через потайной проход.</t>
  </si>
  <si>
    <t>Обнаруженный вами робот исчезнет на следующий день, после чего вы сможете начать столкновение.
(Пока не реализовано)
Получение предмета: Модуль 1 "Нексус"</t>
  </si>
  <si>
    <t>Versteckter Weg</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</si>
  <si>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</si>
  <si>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</si>
  <si>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</si>
  <si>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</si>
  <si>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</si>
  <si>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</si>
  <si>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Setelah memanjat tali di sebelah kanan mesin penjual otomatis di "Jalur Petualang: Tempat Berkumpul," sebuah lorong tersembunyi mengarah ke hutan besar di bawahnya.</t>
  </si>
  <si>
    <t>Robot yang kamu temukan akan menghilang keesokan harinya, dan pada saat itu kamu dapat memicu sebuah pertemuan.
(Belum diimplementasikan)
Item yang diperoleh: Evolution Core</t>
  </si>
  <si>
    <t>冒險者小道:林間-1/林間-2/ 獵人小屋</t>
  </si>
  <si>
    <t>Adventurer's Path: Grove - 1/ Grove - 2 /Hunter's Lodge</t>
  </si>
  <si>
    <t>冒险者小道 :林间-1</t>
  </si>
  <si>
    <t>Стежка Мандрівників: Ліс-1 / Ліс-2 / Хата мисливця</t>
  </si>
  <si>
    <t>Тропа авантюристов: Лес-1 / Лес-2 / Хижина охотника</t>
  </si>
  <si>
    <t>Trilha do Aventureiro: Bosque - 1/ Bosque - 2 / Cabana do Caçador (Adventurer's Path: Grove - 1/ Grove - 2 /Hunter's Lodge)</t>
  </si>
  <si>
    <t>RA13</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</si>
  <si>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</si>
  <si>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</si>
  <si>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</si>
  <si>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</si>
  <si>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</si>
  <si>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</si>
  <si>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</si>
  <si>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</si>
  <si>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</si>
  <si>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冒险者小道:林间 小木屋烟囱后方捡取 (木屋左方斧头可捡到斧头)</t>
  </si>
  <si>
    <t>$5000 下雨之后会刷新，但金额会降低。
（无限金币池...?）</t>
  </si>
  <si>
    <t>$5000</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</si>
  <si>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</si>
  <si>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</si>
  <si>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</si>
  <si>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єн</t>
  </si>
  <si>
    <t>За димарем будинку знаходиться купюра в 5000 єн.
(Сокиру також можна взяти)</t>
  </si>
  <si>
    <t>Знаходження 5000 єн. Вони з'являтимуться після дощу, але сума буде менше.</t>
  </si>
  <si>
    <t>5000 йен</t>
  </si>
  <si>
    <t>Подберите топор за дымоходом Хижины охотника
(Топор находится слева от хижины)</t>
  </si>
  <si>
    <t>Нахождение 5000 йен. Они будут появляться после дождя, но сумма будет становиться всё меньше.</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</si>
  <si>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</si>
  <si>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</si>
  <si>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</si>
  <si>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</si>
  <si>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</si>
  <si>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</si>
  <si>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</si>
  <si>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</si>
  <si>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</si>
  <si>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di Adventurer's Path: Grove
Dibalik cerobong asap rumah, disana ada uang 5000 yen.
(kapak kayu di batang pohon juga bisa diambil)</t>
  </si>
  <si>
    <t>5000 yen
Kau bisa mengambil nya lagi setelah hujan tapi jumlahnya akan dikurangi.</t>
  </si>
  <si>
    <t>RA14</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</si>
  <si>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</si>
  <si>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</si>
  <si>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</si>
  <si>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</si>
  <si>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</si>
  <si>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</si>
  <si>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</si>
  <si>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</si>
  <si>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</si>
  <si>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猎人小屋</t>
  </si>
  <si>
    <t xml:space="preserve">猎人小屋开放探索了，需要打破门才能进入
在皮草堆中可捡到猎人服
在中央柜子堆中可捡到猎人腰带
</t>
  </si>
  <si>
    <t>获得装备：猎人服、猎人腰带
*未来预计有Npc</t>
  </si>
  <si>
    <t>Logia del cazador</t>
  </si>
  <si>
    <t>Хатина мисливця</t>
  </si>
  <si>
    <t>Щоб увійти, потрібно виламати двері.
Одяг мисливця можна знайти у купі хутра.
Пояс мисливця можна знайти у центральній купі шаф.</t>
  </si>
  <si>
    <t>Отримання спорядження: Одяг мисливця, Пояс мисливця
*У майбутньому очікується додавання NPC</t>
  </si>
  <si>
    <t>Хижина охотника</t>
  </si>
  <si>
    <t xml:space="preserve">Чтобы войти, нужно выломать дверь.
Одежду охотника можно найти в куче меха.
Пояс охотника можно найти в центральной куче шкафов.
</t>
  </si>
  <si>
    <t>Получение снаряжения: Одежда охотника, Пояс охотника
*В будущем ожидается добавление NPC</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</si>
  <si>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</si>
  <si>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</si>
  <si>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</si>
  <si>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</si>
  <si>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</si>
  <si>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</si>
  <si>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</si>
  <si>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</si>
  <si>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</si>
  <si>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Pondok Pemburu</t>
  </si>
  <si>
    <t xml:space="preserve">Pondok Pemburu kini terbuka untuk dijelajahi; Anda perlu mendobrak pintu untuk masuk.
Anda dapat menemukan Jubah Pemburu di tumpukan bulu.
Anda dapat menemukan Sabuk Pemburu di tumpukan lemari tengah.
</t>
  </si>
  <si>
    <t>Perlengkapan yang Diperoleh: Pakaian Pemburu, Sabuk Pemburu
*NPC diharapkan akan ditambahkan di masa mendatang</t>
  </si>
  <si>
    <t>RA15</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</si>
  <si>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</si>
  <si>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</si>
  <si>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</si>
  <si>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</si>
  <si>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</si>
  <si>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</si>
  <si>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</si>
  <si>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</si>
  <si>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</si>
  <si>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猎人小屋-地下室</t>
  </si>
  <si>
    <t>中下方木板处有隐藏通道，可以通过爆炸等手段进入
可获得猎人短刀
并且在右下方的木桶中，可以获得护刃众的徽章</t>
  </si>
  <si>
    <t>获得装备：猎人短刀、护刃众的徽章</t>
  </si>
  <si>
    <t>Hunter's Lodge - Sótano</t>
  </si>
  <si>
    <t>Хатина мисливця - Підвал</t>
  </si>
  <si>
    <t>У центральній кімнаті є забитий потайний прохід, який можна розблокувати кинувши в нього бомбу.
Там можна знайти Мисливський кинджал.
А в бочці у правому нижньому кутку знаходиться Значок Зберігача Клинків.</t>
  </si>
  <si>
    <t>Придбане спорядження: Мисливський кинджал, Піктограма Охоронця Клинків.</t>
  </si>
  <si>
    <t>Хижина охотника - Подвал</t>
  </si>
  <si>
    <t>В центральной комнате есть заколоченный потайной проход, который можно разблокировать кинув в него бомбу.
Там можно найти Охотничий кинжал.
А в бочке в правом нижнем углу находится Значок Хранителя Клинков.</t>
  </si>
  <si>
    <t>Приобретенное снаряжение: Охотничий кинжал, Значок Хранителя Клинков.</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</si>
  <si>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</si>
  <si>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</si>
  <si>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</si>
  <si>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</si>
  <si>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</si>
  <si>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</si>
  <si>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</si>
  <si>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</si>
  <si>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</si>
  <si>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Pondok Pemburu - Ruang Bawah Tanah</t>
  </si>
  <si>
    <t>Terdapat lorong tersembunyi di bagian tengah bawah papan kayu, yang dapat diakses melalui ledakan atau cara lain.
Di sana Anda dapat memperoleh Belati Pemburu.
Dan di dalam tong di sudut kanan bawah, Anda dapat menemukan Lencana Pedang Penjaga.</t>
  </si>
  <si>
    <t>Peralatan yang diperoleh: Belati Pemburu, Lencana Master Pedang Penjaga</t>
  </si>
  <si>
    <t>RA16</t>
  </si>
  <si>
    <t>冒險者小道:林間 右下角樹林，有隱藏物品</t>
  </si>
  <si>
    <t>獲得道具</t>
  </si>
  <si>
    <t>冒険者の道：森の右下隅に隠されたアイテム</t>
  </si>
  <si>
    <t>アイテムを入手できる</t>
  </si>
  <si>
    <t xml:space="preserve">Adventurer's Path: Grove
On the bottom-right side of the map, there is a hidden chest.
</t>
  </si>
  <si>
    <t>Obtain random items</t>
  </si>
  <si>
    <t>冒险者小道:林间 右下角树林，有隐藏物品</t>
  </si>
  <si>
    <t>获得道具</t>
  </si>
  <si>
    <t>Cofre oculto 1</t>
  </si>
  <si>
    <t>Стежка Мандрівників: Ліс»: Прихований прохід і скриня в правому нижньому кутку лісу.</t>
  </si>
  <si>
    <t>Отримання випадкового предмета</t>
  </si>
  <si>
    <t>«Тропа авантюристов: Лес»: Скрытый проход и сундук в правом нижнем углу леса.</t>
  </si>
  <si>
    <t>Получение случайного предмета</t>
  </si>
  <si>
    <t>Adventurer's Path: Grove: Wald gibt es rechts einen Gang nach unten, in dem versteckte Items zu finden sind.</t>
  </si>
  <si>
    <t xml:space="preserve">Erhalte Gegenstände </t>
  </si>
  <si>
    <t>Con Đường Nhà Thám Hiểm: Bụi Cây
Ở góc phải bên dưới bản đồ. có một cái rương ẩn</t>
  </si>
  <si>
    <t>Nhận vật phẩm ngẫu nhiên.</t>
  </si>
  <si>
    <r>
      <rPr>
        <rFont val="Microsoft JhengHei"/>
        <i/>
        <color theme="1"/>
      </rPr>
      <t>Adventurer's Path: Grove</t>
    </r>
    <r>
      <rPr>
        <rFont val="Microsoft JhengHei"/>
        <color theme="1"/>
      </rPr>
      <t xml:space="preserve">
No lado direito em baixo do mapa, existe um baú escondido.
</t>
    </r>
  </si>
  <si>
    <t>Obtém um item aleatório</t>
  </si>
  <si>
    <t>Jalur Petualang: Item tersembunyi di pojok kanan bawah hutan.</t>
  </si>
  <si>
    <t>Dapatkan barang-barang</t>
  </si>
  <si>
    <t>RA17</t>
  </si>
  <si>
    <t>隱藏道具</t>
  </si>
  <si>
    <t>冒險者小道:林間-2，中間隱藏通道的採集點</t>
  </si>
  <si>
    <t>獲得道具：塔羅牌-節制
(雨天刷新)</t>
  </si>
  <si>
    <t>隠されたアイテム</t>
  </si>
  <si>
    <t>冒険者の道：森-2、中央の隠し通路の集合場所</t>
  </si>
  <si>
    <t>入手アイテム：タロットカード - 節制 （雨の日に回復）</t>
  </si>
  <si>
    <t>Hidden item</t>
  </si>
  <si>
    <t>In Adventurer's Path: Grove - 2, there is a small hidden path that leads to a chest with a glowing spot that you can loot</t>
  </si>
  <si>
    <t xml:space="preserve">Obtain "Temperance" tarot card item
(Refreshes on rainy days)
</t>
  </si>
  <si>
    <t>冒险者小道:林间-2，中间隐藏通道的采集点</t>
  </si>
  <si>
    <t>获得道具：塔罗牌-节制
(雨天刷新)</t>
  </si>
  <si>
    <t>Objetos ocultos</t>
  </si>
  <si>
    <t>Прихований предмет</t>
  </si>
  <si>
    <t>«Стежка Мандрівників: Ліс-2»: є невелика прихована стежка, що веде до скрині з плямою, що світиться, яку можна обшукати.</t>
  </si>
  <si>
    <t>Отримайте карту Таро «Помірність»
(Оновлюється у дощові дні)</t>
  </si>
  <si>
    <t>Скрытый предмет</t>
  </si>
  <si>
    <t>«Тропа авантюристов: Лес-2»: есть небольшая скрытая тропинка, ведущая к сундуку со светящимся пятном, которое можно обыскать.</t>
  </si>
  <si>
    <t xml:space="preserve">Получите карту Таро «Умеренность»
(Обновляется в дождливые дни)
</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</si>
  <si>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</si>
  <si>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</si>
  <si>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</si>
  <si>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</si>
  <si>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</si>
  <si>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</si>
  <si>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</si>
  <si>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</si>
  <si>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</si>
  <si>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Barang tersembunyi</t>
  </si>
  <si>
    <t>Jalur Petualang: Hutan-2, titik berkumpul di lorong tersembunyi di tengah</t>
  </si>
  <si>
    <t>Item yang Diperoleh: Kartu Tarot - Kesederhanaan
(Diperbarui pada hari hujan)</t>
  </si>
  <si>
    <t>RA18</t>
  </si>
  <si>
    <t>前往廢墟森林(箱庭的白兔)</t>
  </si>
  <si>
    <t>於"冒險者小道:林間-2"，繞過公告牌子後，通過森林可以抵達"廢墟森林(箱庭的白兔)"</t>
  </si>
  <si>
    <t>抵達"廢墟森林"
(箱庭的白兔)</t>
  </si>
  <si>
    <t>廃墟の森へ向かう（箱庭の白兎）</t>
  </si>
  <si>
    <t>「冒険者の小道：林間-2」にて、掲示板を回り込んだ後、森を抜けると「廃墟の森（箱庭の白兎）」に到達できる</t>
  </si>
  <si>
    <t>『廃墟の森』に到達
（箱庭の白うさぎ）</t>
  </si>
  <si>
    <t>Ruined Forest</t>
  </si>
  <si>
    <t>In Adventurer's Path: Grove - 2, you can destroy the signpost which will give you access to the Forest of Ruins map</t>
  </si>
  <si>
    <t>Will arrive at Forest oF Ruins</t>
  </si>
  <si>
    <t>前往废墟森林</t>
  </si>
  <si>
    <t>于"冒险者小道:林间-2"，绕过公告牌子后，通过森林可以抵达"废墟森林"</t>
  </si>
  <si>
    <t>抵达"废墟森林"</t>
  </si>
  <si>
    <t>Dirígete al Bosque de las Ruinas</t>
  </si>
  <si>
    <t>Прибуття в Ліс у руїн.</t>
  </si>
  <si>
    <t>З локації «Стежка Мандрівників: Ліс-2»: Обминаючи Загадкового Лицаря, можна пройти через ліс у локацію «Ліс у руїн».</t>
  </si>
  <si>
    <t>Прибуття в «Ліс у руїн»</t>
  </si>
  <si>
    <t>Прибытие в Лес у руин.</t>
  </si>
  <si>
    <t>Из локации «Тропа авантюристов: Лес-2»: Минуя Загадочного рыцаря, можно пройти через лес в локацию «Лес у руин».</t>
  </si>
  <si>
    <t>Прибытие в «Лес у руин»</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</si>
  <si>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</si>
  <si>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</si>
  <si>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</si>
  <si>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</si>
  <si>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</si>
  <si>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</si>
  <si>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Forest of Ruins</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</si>
  <si>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</si>
  <si>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</si>
  <si>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Pergilah ke Hutan Reruntuhan</t>
  </si>
  <si>
    <t>Dari "Jalur Petualang: Hutan-2", setelah melewati papan pengumuman, Anda dapat mencapai "Hutan Reruntuhan" dengan melewati hutan.</t>
  </si>
  <si>
    <t>Tiba di "Hutan Reruntuhan"</t>
  </si>
  <si>
    <t>冒險者小道:紀念碑</t>
  </si>
  <si>
    <t>Adventurer's Path: Monument</t>
  </si>
  <si>
    <t>冒险者小道:纪念碑</t>
  </si>
  <si>
    <t>Стежка Мандрівників: Пам'ятник</t>
  </si>
  <si>
    <t>Тропа авантюристов: Памятник</t>
  </si>
  <si>
    <t>Caminho do Aventureiro: Monumento (Adventurer's Path: Monument)</t>
  </si>
  <si>
    <t>RA19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</si>
  <si>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</si>
  <si>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</si>
  <si>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</si>
  <si>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</si>
  <si>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</si>
  <si>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</si>
  <si>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</si>
  <si>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</si>
  <si>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</si>
  <si>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鸭鸭</t>
  </si>
  <si>
    <t>冒险者小道:纪念碑 在右边的岸边可以捡到 *若你从遗迹之森-4的瀑布被冲到此处，会触发另一段对话。</t>
  </si>
  <si>
    <t>获得"橡胶鸭"道具 可于洗澡时可放入</t>
  </si>
  <si>
    <t>Pato de Goma</t>
  </si>
  <si>
    <t>Sendero del aventurero 2. Un pato de goma puede ser encontrado a las orillas del rio, otro dialogo se activara si fuiste arrastrado por la corriente hasta aqui</t>
  </si>
  <si>
    <t>Качечка</t>
  </si>
  <si>
    <t>Її можна знайти на правому березі.
*Якщо вас принесло туди водоспадом у «Лісу у руїн - 4», запуститься інший діалог.</t>
  </si>
  <si>
    <t>Отримання предмета: Гумова качечка.
Її можна помістити у ванну.</t>
  </si>
  <si>
    <t>Уточка</t>
  </si>
  <si>
    <t>Её можно найти на правом берегу.
*Если вас принесло туда водопадом в «Лесу у руин - 4», запустится другой диалог.</t>
  </si>
  <si>
    <t>Получение предмета: Резиновая уточка.
Её можно поместить в ванну.</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</si>
  <si>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</si>
  <si>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</si>
  <si>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</si>
  <si>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</si>
  <si>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</si>
  <si>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</si>
  <si>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</si>
  <si>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</si>
  <si>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di Adventurer's Pathway 2
bebek karet bisa ditemukan mengambang di dekat danau.
Dialog lain akan terpicu jika kau menyucinya di air terjun di Forest of Ruins 4.</t>
  </si>
  <si>
    <t>Mendapat "Bebek Karet". bisa ditaruh di bathtub.</t>
  </si>
  <si>
    <t>RA20</t>
  </si>
  <si>
    <t>冒險者小道:紀念碑，下方的石碑後方，有隱藏道具</t>
  </si>
  <si>
    <t>獲得道具和武器-熔岩杖</t>
  </si>
  <si>
    <t>冒険者の遊歩道：記念碑の下の方にある大きな石碑の裏側に隠しアイテムがあります</t>
  </si>
  <si>
    <t>武器とアイテムを入手できる</t>
  </si>
  <si>
    <t>Adventurer's Path: Monument
Behind the large monument, there are hidden items you can loot.</t>
  </si>
  <si>
    <t>Obtain random items.
Obtain "Lava Staff" weapon</t>
  </si>
  <si>
    <t xml:space="preserve">冒险者小道:纪念碑，下方的石碑后方，有隐藏道具
</t>
  </si>
  <si>
    <t>获得道具和武器-熔岩杖</t>
  </si>
  <si>
    <t>За пам'ятником захований предмет.</t>
  </si>
  <si>
    <t>Отримання випадкового предмета.
Отримання зброї: Лавовий посох."</t>
  </si>
  <si>
    <t>За памятником внизу спрятан предмет.</t>
  </si>
  <si>
    <t>Получение случайного предмета.
Получение оружия: Лавовый посох.</t>
  </si>
  <si>
    <t>Adventurer's Pathway 2: 
Hinter dem Stein unten gibt es ein verstecktes Item.</t>
  </si>
  <si>
    <t>Erhalte ein Item und die Waffe ,,Lavastab"</t>
  </si>
  <si>
    <t>Con Đường Nhà Thám Hiểm 2
Sau đài tưởng niệm lớn, có những vật phẩm ẩn mà bạn có thể nhặt</t>
  </si>
  <si>
    <t>Nhận vật phẩm ngẫu nhiên.
Nhận vũ khí “Trượng Dung Nham”.</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</si>
  <si>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</si>
  <si>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</si>
  <si>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Jalur Petualang: Di balik monumen di bawah ini, terdapat sebuah item tersembunyi.</t>
  </si>
  <si>
    <t>Dapatkan item dan senjata - Tongkat Lava</t>
  </si>
  <si>
    <t>冒險者小道:深淵之門</t>
  </si>
  <si>
    <t>In front of the ruins gate</t>
  </si>
  <si>
    <t>冒险者小道:深渊之门</t>
  </si>
  <si>
    <t>Стежка Мандрівників: Брама Безодні</t>
  </si>
  <si>
    <t>Тропа авантюристов: Врата Бездны</t>
  </si>
  <si>
    <t>Em frente ao portão das ruínas (In front of the ruins gate)</t>
  </si>
  <si>
    <t>RA21</t>
  </si>
  <si>
    <t>山之洞窟</t>
  </si>
  <si>
    <t>在遺跡門前
往右下方尋找一塊石頭並且清除
裡面有一條個地道，並且可以撿到道具</t>
  </si>
  <si>
    <t>門的後方須從開發中區域(礦坑)-2，突破後才可以自由進出</t>
  </si>
  <si>
    <t>山の洞窟…</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</si>
  <si>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</si>
  <si>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</si>
  <si>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</si>
  <si>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</si>
  <si>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</si>
  <si>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不知名地洞</t>
  </si>
  <si>
    <t>在遗迹门前 往右下方寻找一块石头并且清除 里面有一条个地道，并且可以捡到道具</t>
  </si>
  <si>
    <t>门的后方须从开发中区域(矿坑)-2，突破后才可以自由进出</t>
  </si>
  <si>
    <t>Cueva desconocida</t>
  </si>
  <si>
    <t>Печера</t>
  </si>
  <si>
    <t>Перед входом у руїни направтеся в нижній правий кут і знайдіть камінь, який потрібно прибрати. Усередині ви знайдете кілька тунелів, де можна знайти предмети.</t>
  </si>
  <si>
    <t>У зону за дверима можна вільно входити і виходити лише після прориву через незасвоєну територію (шахту)-2.</t>
  </si>
  <si>
    <t>Пещера</t>
  </si>
  <si>
    <t>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t>
  </si>
  <si>
    <t>В зону за дверью можно свободно входить и выходить только после прорыва через неосвоенную территорию (шахту)-2.</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</si>
  <si>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</si>
  <si>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</si>
  <si>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</si>
  <si>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</si>
  <si>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Thẳm,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</si>
  <si>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</si>
  <si>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</si>
  <si>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</si>
  <si>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</si>
  <si>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Gua yang tidak dikenal</t>
  </si>
  <si>
    <t>Di depan pintu masuk reruntuhan, pergilah ke kanan bawah dan temukan batu untuk disingkirkan. Di dalamnya, terdapat beberapa terowongan tempat Anda dapat menemukan berbagai barang.</t>
  </si>
  <si>
    <t>Area di balik pintu hanya dapat diakses dan ditinggalkan dengan bebas setelah menembus area yang belum dikembangkan (tambang)-2.</t>
  </si>
  <si>
    <t>沉眠之所...(尼伯龍根)</t>
  </si>
  <si>
    <t>Land of Slumber (Nibelungen)</t>
  </si>
  <si>
    <t>沉眠之所…(尼伯龙根)</t>
  </si>
  <si>
    <t>Місце відпочинку... (Нібелунген)</t>
  </si>
  <si>
    <t>Место отдыха... (Нибелунген)</t>
  </si>
  <si>
    <t>Terra do Sono (Land of Slumber (Nibelungen))</t>
  </si>
  <si>
    <t>遺跡之森-1~4</t>
  </si>
  <si>
    <t>Forest of Ruins - 1 ~ 4</t>
  </si>
  <si>
    <t>遗迹之森-1~4</t>
  </si>
  <si>
    <t>Ліс у руїн-1~4</t>
  </si>
  <si>
    <t>Лес у руин-1~4</t>
  </si>
  <si>
    <t>Floresta de Ruínas - 1 ~ 4 (Forest of Ruins - 1 ~ 4)</t>
  </si>
  <si>
    <t>RB1</t>
  </si>
  <si>
    <t>"遺跡之森-4"右下角樹林，有隱藏物品</t>
  </si>
  <si>
    <t>「遺跡の森-4」右下の森に隠しアイテムがある</t>
  </si>
  <si>
    <t xml:space="preserve">Forest of Ruins 4
There is a hidden chest on the bottom-right corner
(Note: Please refer to the Map section of this document)
</t>
  </si>
  <si>
    <t>"遗迹之森-4"右下角树林，有隐藏物品</t>
  </si>
  <si>
    <t>Se obtienen objetos random</t>
  </si>
  <si>
    <t>У правому нижньому кутку захована скриня.
(Примітка: Будь ласка, перегляньте розділ "Map" у цьому документі)</t>
  </si>
  <si>
    <t>В правом нижнем углу спрятан сундук.
(Примечание: Пожалуйста, ознакомьтесь с разделом "Map" в этом документе)</t>
  </si>
  <si>
    <t>Forest of Ruins 4:
Gibt es im unteren rechten Bereich des Waldes ein verstecktes Item</t>
  </si>
  <si>
    <t>Bekomme  einen Gegenständ</t>
  </si>
  <si>
    <t>Khu Rừng Của Tàn Tích 4
Có một cái rương ẩn ở phía bên phải góc dưới.
(Ghi chú: xin hãy xem phần Map của tài liệu này)</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</si>
  <si>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</si>
  <si>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</si>
  <si>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Terdapat sebuah item tersembunyi di hutan di pojok kanan bawah "Hutan Reruntuhan-4".</t>
  </si>
  <si>
    <t>RB2</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</si>
  <si>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</si>
  <si>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</si>
  <si>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</si>
  <si>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</si>
  <si>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</si>
  <si>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</si>
  <si>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</si>
  <si>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</si>
  <si>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</si>
  <si>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 xml:space="preserve">连结遗迹洞口
</t>
  </si>
  <si>
    <t>遗迹之森-4 地图中央的岩石清除完毕</t>
  </si>
  <si>
    <t>连结至遗迹地图 见闻</t>
  </si>
  <si>
    <t>Entrada de la cueva a las ruinas</t>
  </si>
  <si>
    <t>"Bosque de Ruinas-4'' Hay una entrada por la cueva a las ruinas, se pueden destruir las rocas para tener acceso.</t>
  </si>
  <si>
    <t>Вхід до печери, що веде до руїн</t>
  </si>
  <si>
    <t>Вхід у печеру завалений камінням. Зруйнуйте каміння, щоб отримати доступ.</t>
  </si>
  <si>
    <t>Прихований вхід до лабіринту руїн.</t>
  </si>
  <si>
    <t>Вход в пещеру, ведущую к руинам</t>
  </si>
  <si>
    <t>Вход в пещеру завален камнями. Разрушьте камни, чтобы получить доступ.</t>
  </si>
  <si>
    <t>Скрытый вход в Лабиринт руин.</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</si>
  <si>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</si>
  <si>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</si>
  <si>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</si>
  <si>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</si>
  <si>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</si>
  <si>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</si>
  <si>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</si>
  <si>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</si>
  <si>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</si>
  <si>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Menghubungkan pintu masuk ke reruntuhan</t>
  </si>
  <si>
    <t>Bebatuan di tengah peta Hutan Reruntuhan - 4 telah dibersihkan.</t>
  </si>
  <si>
    <t>Tautan ke Peta Reruntuhan
Pengamatan</t>
  </si>
  <si>
    <t>廢墟森林(箱庭的白兔)</t>
  </si>
  <si>
    <t>废墟森林(箱庭的白兔)</t>
  </si>
  <si>
    <t>Ліс у руїн (Зона боса Кролика-Покоївки)</t>
  </si>
  <si>
    <t>Лес у руин (Зона босса Кролика-Горничной)</t>
  </si>
  <si>
    <t>Floresta Arruinada (Ruined Forest)</t>
  </si>
  <si>
    <t>RB3</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</si>
  <si>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</si>
  <si>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</si>
  <si>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</si>
  <si>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</si>
  <si>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</si>
  <si>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</si>
  <si>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</si>
  <si>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</si>
  <si>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</si>
  <si>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女仆兔BOSS区域-1</t>
  </si>
  <si>
    <t>于"废墟森林"透过特殊移动手段，可以抵达女仆兔的BOSS区域</t>
  </si>
  <si>
    <t xml:space="preserve">抵达BOSS区域 P.S.例如：怪鸟的羽毛可以进行漂浮
</t>
  </si>
  <si>
    <t>Área BOSS de Maid Bunny -1</t>
  </si>
  <si>
    <t>Зона боса Кролика-Покоївки - 1</t>
  </si>
  <si>
    <t>Дістатись до локації з босом можна використовуючи особливий спосіб пересування в «Лісу у руїн».</t>
  </si>
  <si>
    <t>Зона із босом.
P.s. Наприклад: Перо можна використовувати для левітації."</t>
  </si>
  <si>
    <t>Зона босса Кролика-Горничной - 1</t>
  </si>
  <si>
    <t>Добраться до локации с боссом можно используя особый способ передвижения в «Лесу у руин».</t>
  </si>
  <si>
    <t>Зона с боссом.
P.s. Например: Перо можно использовать для левитации.</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</si>
  <si>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</si>
  <si>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</si>
  <si>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</si>
  <si>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</si>
  <si>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</si>
  <si>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</si>
  <si>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</si>
  <si>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</si>
  <si>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</si>
  <si>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Area BOSS Maid Bunny -1</t>
  </si>
  <si>
    <t>Anda dapat mencapai area bos Maid Bunny dengan menggunakan metode pergerakan khusus di "Hutan Reruntuhan".</t>
  </si>
  <si>
    <t>Tiba di area BOSS.
P.S. Misalnya: bulu burung monster dapat digunakan untuk melayang.</t>
  </si>
  <si>
    <t>RB4</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</si>
  <si>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</si>
  <si>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</si>
  <si>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</si>
  <si>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</si>
  <si>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</si>
  <si>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</si>
  <si>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</si>
  <si>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</si>
  <si>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</si>
  <si>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女仆兔BOSS区域-2</t>
  </si>
  <si>
    <t>于BOSS区域前的宝箱，开启后会爆炸，会对玩家或敌人造成伤害</t>
  </si>
  <si>
    <t>请谨慎开启
*不会重置</t>
  </si>
  <si>
    <t>Área BOSS de Maid Bunny - 2</t>
  </si>
  <si>
    <t>Зона боса Кролика-Покоївки - 2</t>
  </si>
  <si>
    <t>Скриня зі скарбами перед зоною боса вибухне при відкритті, завдавши шкоди гравцю або ворогам.</t>
  </si>
  <si>
    <t>Будь ласка, відкривайте з обережністю.
*Тільки один раз"</t>
  </si>
  <si>
    <t>Зона босса Кролика-Горничной - 2</t>
  </si>
  <si>
    <t>Сундук с сокровищами перед зоной босса взорвется при открытии, нанеся урон игроку или врагам.</t>
  </si>
  <si>
    <t>Пожалуйста, открывайте с осторожностью.
*Только один раз</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</si>
  <si>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</si>
  <si>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</si>
  <si>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</si>
  <si>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</si>
  <si>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</si>
  <si>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</si>
  <si>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</si>
  <si>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</si>
  <si>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</si>
  <si>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Area BOSS Maid Bunny - 2</t>
  </si>
  <si>
    <t>Peti harta karun di depan area BOSS akan meledak saat dibuka, menyebabkan kerusakan pada pemain atau musuh.</t>
  </si>
  <si>
    <t>Harap buka dengan hati-hati. *Tidak akan direset.</t>
  </si>
  <si>
    <t>RB5</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</si>
  <si>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</si>
  <si>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</si>
  <si>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</si>
  <si>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</si>
  <si>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</si>
  <si>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</si>
  <si>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</si>
  <si>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</si>
  <si>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</si>
  <si>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女仆兔BOSS区域-3</t>
  </si>
  <si>
    <t>拔除发光的胡萝卜后，将召唤女仆兔BOSS
P.S.穿着女仆装有不同的分歧对话，但仍会触发战斗，请记得更新战斗装备</t>
  </si>
  <si>
    <t>召唤BOSS-箱庭的白兔</t>
  </si>
  <si>
    <t>Área del JEFE de Maid Rabbit - 3</t>
  </si>
  <si>
    <t>Зона боса Кролика-Покоївки - 3</t>
  </si>
  <si>
    <t>Після витягування моркви, що світиться, буде покликаний бос - Кролик-Покоївка.
P.S. Одягання костюму покоївки активує різні варіанти діалогу, але битва все одно відбудеться. Будь ласка, не забудьте оновити своє бойове спорядження.</t>
  </si>
  <si>
    <t>Заклик боса - Білий Кролик із Маленького Саду</t>
  </si>
  <si>
    <t>Зона босса Кролика-Горничной - 3</t>
  </si>
  <si>
    <t>После вытягивания светящейся морковки будет призван босс — Кролик-Горничная.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t>
  </si>
  <si>
    <t>Призыв босса - Белый Кролик из Маленького Сада</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</si>
  <si>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</si>
  <si>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</si>
  <si>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</si>
  <si>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</si>
  <si>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</si>
  <si>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</si>
  <si>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</si>
  <si>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</si>
  <si>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</si>
  <si>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Area BOSS Maid Bunny - 3</t>
  </si>
  <si>
    <t>Setelah menghilangkan wortel bercahaya, BOSS Kelinci Pelayan akan dipanggil.
P.S. Mengenakan pakaian pelayan akan memicu pilihan dialog yang berbeda, tetapi pertempuran tetap akan terjadi. Harap ingat untuk memperbarui perlengkapan pertempuran Anda.</t>
  </si>
  <si>
    <t>Bos Panggilan - Kelinci Putih dari Taman Kecil</t>
  </si>
  <si>
    <t>RB6</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</si>
  <si>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</si>
  <si>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</si>
  <si>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</si>
  <si>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</si>
  <si>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</si>
  <si>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</si>
  <si>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</si>
  <si>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</si>
  <si>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</si>
  <si>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女仆兔BOSS区域-4</t>
  </si>
  <si>
    <t>击败-箱庭的白兔
特殊击败(未实装)-将所有洞口炸毁，即可击败BOSS</t>
  </si>
  <si>
    <t>机率掉落道具：胡萝卜大剑/冻萝卜大剑/霉萝卜大剑
机率掉落食材：胡萝卜
机率掉落装甲：萌萌兔耳、女仆制服
掉落道具：兔子地图(唯一)</t>
  </si>
  <si>
    <t>Área del jefe de Maid Rabbit -4</t>
  </si>
  <si>
    <t>Зона боса Кролика-Покоївки - 4</t>
  </si>
  <si>
    <t>Перемога над Білим Кроликом із Маленького Саду
Особливий спосіб перемоги (не реалізовано) - Знищити всі входи в печеру, щоб перемогти Боса.</t>
  </si>
  <si>
    <t>Шанс випадання предметів: Морквяний меч/Заморожений морквяний меч/Зацвілий морквяний меч
Шанс випадання їжі: Морква
Шанс випадання броні: Милі кролячі вушка, Форма покоївки
Випадаючий предмет: Карта Кроликів (унікальна)</t>
  </si>
  <si>
    <t>Зона босса Кролика-Горничной - 4</t>
  </si>
  <si>
    <t>Победа над Белым Кроликом из Маленького Сада
Особый способ победы (не реализовано) - Уничтожьте все входы в пещеру, чтобы победить Босса.</t>
  </si>
  <si>
    <t>Шанс выпадения предметов: Морковный меч/Замороженный морковный меч/Заплесневелый морковный меч
Шанс выпадения еды: Морковь
Шанс выпадения брони: Милые кроличьи ушки, Форма горничной
Выпадающий предмет: Карта Кроликов (уникальная)</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</si>
  <si>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</si>
  <si>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</si>
  <si>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</si>
  <si>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</si>
  <si>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</si>
  <si>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</si>
  <si>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</si>
  <si>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</si>
  <si>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</si>
  <si>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Area BOSS Maid Bunny - 4</t>
  </si>
  <si>
    <t>Kekalahan - Kelinci Putih dari Taman Kecil
Kekalahan Spesial (Belum Diimplementasikan) - Hancurkan semua pintu masuk gua untuk mengalahkan BOS.</t>
  </si>
  <si>
    <t>Peluang mendapatkan item: Pedang Besar Wortel/Pedang Besar Wortel Beku/Pedang Besar Wortel Berjamur
Peluang mendapatkan makanan: Wortel
Peluang mendapatkan baju zirah: Telinga Kelinci Lucu, Seragam Pelayan
Item yang didapatkan: Peta Kelinci (Unik)</t>
  </si>
  <si>
    <t>RB7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</si>
  <si>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</si>
  <si>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</si>
  <si>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</si>
  <si>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</si>
  <si>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</si>
  <si>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</si>
  <si>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</si>
  <si>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</si>
  <si>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</si>
  <si>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发光的胡萝卜</t>
  </si>
  <si>
    <t>发光的胡萝卜会在女仆兔BOSS出场时，没收掉在场的特殊胡萝卜，直到你打倒它才会出现。
拔起这个特殊胡萝卜，会掉落特殊物品</t>
  </si>
  <si>
    <t>获得：胡萝卜大剑、天上之石碎片
未实装后续流程，现阶段无法制作第二号红髓液</t>
  </si>
  <si>
    <t>Zanahorias brillantes</t>
  </si>
  <si>
    <t>Морква, що світиться</t>
  </si>
  <si>
    <t>Морква, що світиться, конфіскує всі присутні особливі моркви, після появи боса Кролик-Покоївка, вона не з'явиться знову, поки ви його не переможете.
Піднявши цю особливу морквину, ви отримаєте особливий предмет.</t>
  </si>
  <si>
    <t>Отримано: Морквяний меч, фрагмент Філософського каменю.
Наступні події поки що не реалізовані. В даний час неможливо виготовити другий Еліксір Рубрум.</t>
  </si>
  <si>
    <t>Светящаяся морковь</t>
  </si>
  <si>
    <t>Светящаяся морковка конфискует все присутствующие особые морковки, после появления босса Кролик-Горничная, она не появится снова, пока вы его не победите.
Подняв эту особую морковку, вы получите особый предмет.</t>
  </si>
  <si>
    <t>Получено: Морковный меч, фрагмент Философского камня.
Последующие события пока не реализованы. В настоящее время невозможно изготовить второй Эликсир Рубрум.</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</si>
  <si>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</si>
  <si>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</si>
  <si>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</si>
  <si>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</si>
  <si>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</si>
  <si>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</si>
  <si>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</si>
  <si>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</si>
  <si>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Wortel bercahaya</t>
  </si>
  <si>
    <t>Wortel bercahaya akan menyita semua wortel spesial yang ada saat BOSS Kelinci Pelayan muncul, dan hanya akan muncul kembali setelah Anda mengalahkannya.
Mencabut wortel spesial ini akan menyebabkan wortel tersebut menjatuhkan item spesial.</t>
  </si>
  <si>
    <t>Diperoleh: Pedang Besar Wortel, Fragmen Batu Surgawi
Proses selanjutnya belum diimplementasikan; saat ini belum dapat membuat Ramuan Sumsum Merah kedua.</t>
  </si>
  <si>
    <t>迷失之森 / 迷失之森(終點)</t>
  </si>
  <si>
    <t>Abadoned Forest / Abandoned Forest (End)</t>
  </si>
  <si>
    <t>迷失之森</t>
  </si>
  <si>
    <t>Загублений ліс (Кінець)</t>
  </si>
  <si>
    <t>Затерянный лес (Конечная)</t>
  </si>
  <si>
    <t>Floresta Abandonada / Floresta Abandonada (Fim) (Abadoned Forest / Abandoned Forest (End))</t>
  </si>
  <si>
    <t>RB8</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</si>
  <si>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</si>
  <si>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</si>
  <si>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</si>
  <si>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</si>
  <si>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</si>
  <si>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</si>
  <si>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</si>
  <si>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monster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</si>
  <si>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</si>
  <si>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</si>
  <si>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</si>
  <si>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No soy el flautista de Hamem~</t>
  </si>
  <si>
    <t>Я не Щуролов</t>
  </si>
  <si>
    <t>Безіменний "Т" - це монстр, що з'являється в Загубленому лісі. При контакті з ним є можливість, що він накладе на вас особливий негативний ефект. Перебуваючи під впливом цього ефекту, «Т» постійно слідуватиме за вами по всій карті.</t>
  </si>
  <si>
    <t>Є шанс отримати негативні ефекти та отримати наступний ефект "Т".
Ви можете купити «Спрей від шкідників» у фургоні кішок-дівчат.</t>
  </si>
  <si>
    <t>Я не Крысолов</t>
  </si>
  <si>
    <t>Безымянный «Т» — это монстр, появляющийся в Затерянном лесу. При контакте с ним есть вероятность, что он наложит на вас особый негативный эффект. Находясь под действием этого эффекта, «Т» будет постоянно следовать за вами по всей карте.</t>
  </si>
  <si>
    <t>Есть шанс получить негативные эффекты и получить последующий эффект «Т».
Вы можете купить «Спрей от вредителей» в фургоне кошко-девочек.</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</si>
  <si>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</si>
  <si>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</si>
  <si>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</si>
  <si>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</si>
  <si>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</si>
  <si>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</si>
  <si>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</si>
  <si>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</si>
  <si>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Aku bukan pemain seruling Hamem~</t>
  </si>
  <si>
    <t>Z biasanya hanya muncul di Hutan Hilang. Jika Anda bertemu dengan Z, ada kemungkinan Anda akan mendapatkan status khusus. Dengan status ini, ada kemungkinan Z akan terus mengikuti Anda saat Anda berpindah peta.</t>
  </si>
  <si>
    <t>Kesempatan untuk mendapatkan efek status dan diikuti oleh Z
Pembasmi Serangga dapat dibeli dari Keranjang Toko Nekogami</t>
  </si>
  <si>
    <t>RB9</t>
  </si>
  <si>
    <t>迷失之森，依照發光的蘑菇走，到達終點地圖後的右下方寶箱</t>
  </si>
  <si>
    <t>獲得"熔岩杖"武器</t>
  </si>
  <si>
    <t>迷いの森では光るキノコに従って進み終点マップに到達後に右下の宝箱へ向かう</t>
  </si>
  <si>
    <t>武器を入手できる</t>
  </si>
  <si>
    <t xml:space="preserve">Abandoned Forest
Follow the glowing mushrooms. Once you reach the end, there will be a wooden chest on the bottom-right side
</t>
  </si>
  <si>
    <t>Obtain "Lava Staff" weapon</t>
  </si>
  <si>
    <t>被遗弃的森林，依照发光的蘑菇走，到达终点地图后的右下方宝箱</t>
  </si>
  <si>
    <t>获得"熔岩杖"武器</t>
  </si>
  <si>
    <t>Слідуйте за грибами, що світяться, щоб дістатися до скрині в правому нижньому кутку карти.</t>
  </si>
  <si>
    <t>Отримання зброї: «Лавовий посох»</t>
  </si>
  <si>
    <t>Следуйте за светящимися грибами, чтобы добраться до сундука в правом нижнем углу карты.</t>
  </si>
  <si>
    <t>Получение оружия: «Лавовый посох»</t>
  </si>
  <si>
    <t>Abandoned Forest:
Folge den leuchtenden Pilzen und du findest im unteren rechten Bereich der Endkarte eine Truhe</t>
  </si>
  <si>
    <t>Erhalte die Waffe ,,Lavastab"</t>
  </si>
  <si>
    <t>Khu Rừng Bỏ Hoang
Theo dấu những cây nấm phát sáng. Một khi đã đến đích, sẽ có một rương gỗ ở phía bên phải góc dưới</t>
  </si>
  <si>
    <t>Nhận vũ khí “Trượng Dung Nham”.</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</si>
  <si>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</si>
  <si>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</si>
  <si>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Di hutan yang terlantar, ikuti jamur bercahaya untuk mencapai peti harta karun di sudut kanan bawah peta.</t>
  </si>
  <si>
    <t>Dapatkan senjata "Lava Staff"</t>
  </si>
  <si>
    <t>RB10</t>
  </si>
  <si>
    <t>出現了一個未知的生物</t>
  </si>
  <si>
    <t>迷失之森(終點)，出現了一個未知的生物</t>
  </si>
  <si>
    <t>初步設置的BOSS甲蟲
目前無作用</t>
  </si>
  <si>
    <t>カブトムシ…？</t>
  </si>
  <si>
    <t>迷いの森（最奥）に、未知の生物が現れた…</t>
  </si>
  <si>
    <t>初期設置のボスモンスター
現在はただのデカい虫でしかない！</t>
  </si>
  <si>
    <t>Beetle Boss</t>
  </si>
  <si>
    <t>Similar to R16, an unknown creature appears for a short time.</t>
  </si>
  <si>
    <t>A preliminary stage for the Beetle boss fight. Currently inactive.</t>
  </si>
  <si>
    <t>甲虫</t>
  </si>
  <si>
    <t>同R16，出现了一个未知的生物</t>
  </si>
  <si>
    <t>初步设置的BOSS甲虫 目前无作用</t>
  </si>
  <si>
    <t>escarabajo</t>
  </si>
  <si>
    <t>Жук</t>
  </si>
  <si>
    <t>Як і у випадку з R16 з'явилася невідома істота.</t>
  </si>
  <si>
    <t>Спочатку жук планувався як новий Бос, але нині це реалізовано.</t>
  </si>
  <si>
    <t>Как и в случае с R16, появилось неизвестное существо.</t>
  </si>
  <si>
    <t>Изначально жук планировался как новый Босс, но в настоящее время это не реализовано.</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</si>
  <si>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</si>
  <si>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</si>
  <si>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</si>
  <si>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</si>
  <si>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</si>
  <si>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</si>
  <si>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</si>
  <si>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</si>
  <si>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</si>
  <si>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Kumbang</t>
  </si>
  <si>
    <t>Mirip dengan R16, makhluk tak dikenal muncul.</t>
  </si>
  <si>
    <t>Pengaturan awal BOSS beetle saat ini tidak efektif.</t>
  </si>
  <si>
    <t>開拓中地區(山之洞窟)</t>
  </si>
  <si>
    <t>Mountain Caves</t>
  </si>
  <si>
    <t>开拓中地区(山之洞窟)</t>
  </si>
  <si>
    <t>Місце розкопок</t>
  </si>
  <si>
    <t>Место раскопок</t>
  </si>
  <si>
    <t>Cavernas de montanha (Mountain Caves)</t>
  </si>
  <si>
    <t>RC1</t>
  </si>
  <si>
    <t>於"開拓中地區(山之洞窟)"進入後的左方木箱發光處</t>
  </si>
  <si>
    <t>獲得裝備：護刃眾的徽章</t>
  </si>
  <si>
    <t>「開発中エリア（山の洞窟）」に入った後の左側の木箱の光る部分</t>
  </si>
  <si>
    <t>装備アイテムを入手できる</t>
  </si>
  <si>
    <t>Hidden Items</t>
  </si>
  <si>
    <t>On the leftmost side of the Mountain Cave, there is a glowing spot that can be looted.</t>
  </si>
  <si>
    <t>Obtain "Bladekeeper's Badge" equipment</t>
  </si>
  <si>
    <t>隐藏道具</t>
  </si>
  <si>
    <t>于"开拓中地区(山之洞窟)"进入后的左侧木箱发光处</t>
  </si>
  <si>
    <t>获得装备：护刃众的徽章</t>
  </si>
  <si>
    <t>Приховані предмети</t>
  </si>
  <si>
    <t>Підійдіть до дерев'яної скриньки ліворуч, після входу в «Місце розкопок (шахта)».</t>
  </si>
  <si>
    <t>Отримайте екіпірування: Значок Хранителя Клінків</t>
  </si>
  <si>
    <t>Скрытые предметы</t>
  </si>
  <si>
    <t>Подойдите к деревянному ящику слева, после входа в «Место раскопок (шахта)».</t>
  </si>
  <si>
    <t>Получите экипировку: Значок Стража Клинков</t>
  </si>
  <si>
    <t>Itens Ocultos:</t>
  </si>
  <si>
    <t xml:space="preserve">No lado mais à esquerda da Caverna da Montanha, há um ponto brilhante que pode ser obtido. </t>
  </si>
  <si>
    <t>Obtenha o equipamento "Insígnia dos Guardiões da Lâmina".</t>
  </si>
  <si>
    <t>開拓中地區(礦坑)-1~開拓中地區(礦坑)-4</t>
  </si>
  <si>
    <t>Excavation Site (Mine Tunnels) - 1 ~ 4</t>
  </si>
  <si>
    <t>开拓中地区(矿坑)</t>
  </si>
  <si>
    <t>Місце розкопок (шахта)-1~4</t>
  </si>
  <si>
    <t>Место раскопок (шахта)-1~4</t>
  </si>
  <si>
    <t>Sítio de Escavação (Túneis da Mina) - 1 ~ 4 (Excavation Site (Mine Tunnels) - 1 ~ 4)</t>
  </si>
  <si>
    <t>RC2</t>
  </si>
  <si>
    <t>摔洞裡</t>
  </si>
  <si>
    <t>開發中區域(礦坑)
在礦坑地圖中摔落至下一層</t>
  </si>
  <si>
    <t>見聞：掉到洞窟</t>
  </si>
  <si>
    <t>穴に落ちる…</t>
  </si>
  <si>
    <t>開発中エリア（坑道）
坑道マップで下の層に落下…</t>
  </si>
  <si>
    <t>見聞: 穴に落ちる</t>
  </si>
  <si>
    <t>Falling Down</t>
  </si>
  <si>
    <t xml:space="preserve">Fall in any of the holes in the Excavation Site Mines
</t>
  </si>
  <si>
    <t>Insight: Gain insight about falling in caves</t>
  </si>
  <si>
    <t>摔洞里</t>
  </si>
  <si>
    <t>开发中区域(矿坑) 矿坑地图掉下去</t>
  </si>
  <si>
    <t>见闻：掉到洞窟</t>
  </si>
  <si>
    <t>Caer en el agujero</t>
  </si>
  <si>
    <t>Dejate caer en cualquier agujero que estan en el sitio de excavacion.</t>
  </si>
  <si>
    <t>Падіння в яму</t>
  </si>
  <si>
    <t>Місце розкопок (шахта) – Ви опинитеся на локації Шахта.</t>
  </si>
  <si>
    <t>Прибуття до печери.</t>
  </si>
  <si>
    <t>Падение в яму</t>
  </si>
  <si>
    <t>Место раскопок (шахта) - Вы окажетесь на локации Шахта.</t>
  </si>
  <si>
    <t>Прибытие в пещеру.</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</si>
  <si>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</si>
  <si>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</si>
  <si>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</si>
  <si>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</si>
  <si>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</si>
  <si>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</si>
  <si>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</si>
  <si>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</si>
  <si>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</si>
  <si>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Jatuh ke dalam lubang</t>
  </si>
  <si>
    <t>Area pengembangan (tambang) - Anda akan jatuh ke dalam peta tambang.</t>
  </si>
  <si>
    <t>Apa yang saya lihat: Saya jatuh ke dalam gua</t>
  </si>
  <si>
    <t>RC3</t>
  </si>
  <si>
    <t>開發中地帶(礦坑)-1，沿著樓梯的中央有寶箱</t>
  </si>
  <si>
    <t>獲得道具：魔力小凝膠x10
雨天刷新</t>
  </si>
  <si>
    <t>開発地帯(鉱山)-2の階段沿い中央に宝箱ある</t>
  </si>
  <si>
    <t>武器「狩人の弓」を入手できる
ねこパンチと組み合わせるとマップ兵器と化す…</t>
  </si>
  <si>
    <t xml:space="preserve">Excavation Site Mines 2
There is a chest on the center of the stairs area.
</t>
  </si>
  <si>
    <t>Obtain 10 "Small Magic Gel " item
Refreshes every rainy day.</t>
  </si>
  <si>
    <t>开发中地带(矿坑)-1，沿着楼梯的中央有宝箱</t>
  </si>
  <si>
    <t>获得道具：魔力小凝胶x10 雨天刷新</t>
  </si>
  <si>
    <t>Sitio de excavacion 2 - 1, hay un cofre del tesoro en el medio de las escaleras</t>
  </si>
  <si>
    <t>Місце розкопок (шахта) – 1, у центрі сходів, знаходиться скриня.</t>
  </si>
  <si>
    <t>Отримання: Мана-гель x10 (оновлюється в дощові дні)</t>
  </si>
  <si>
    <t>Место раскопок (шахта) - 1, в центре лестницы, находится сундук.</t>
  </si>
  <si>
    <t>Получение предмета: Мана-гель x10 (освежает в дождливые дни)</t>
  </si>
  <si>
    <t>Verstecktes Item</t>
  </si>
  <si>
    <t>Excavation Site Mines 2: In der Mitte der Treppe befindet sich eine Truhe</t>
  </si>
  <si>
    <t>Gegenstand erhalten</t>
  </si>
  <si>
    <t>Vật phẩm ẩn</t>
  </si>
  <si>
    <t>Khu Khai Quật Mỏ 2
Có một cái rương ở giữa khu vực cầu thang</t>
  </si>
  <si>
    <t>Nhận 10 vật phẩm “Gel Ma Thuật Nhỏ”.
*Mỗi ngày mưa sẽ được làm mới.</t>
  </si>
  <si>
    <t>Itens Escondidos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</si>
  <si>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</si>
  <si>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</si>
  <si>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Di area pengembangan (tambang)-1, terdapat peti harta karun di tengah tangga.</t>
  </si>
  <si>
    <t>Item yang Didapatkan: Gel Ajaib x10 (Menyegarkan di hari hujan)</t>
  </si>
  <si>
    <t>RC4</t>
  </si>
  <si>
    <t>開發中區域(礦坑)-1，礦車到達最遠處，可以取得裝備</t>
  </si>
  <si>
    <t>獲得裝備-倒吊人骨戒</t>
  </si>
  <si>
    <t>開発中エリア-1ではトロッコで最遠地点まで到達することで装備を入手できます</t>
  </si>
  <si>
    <t>装備を入手できる</t>
  </si>
  <si>
    <t>Excavation Site Mines 2
When the minecart reaches the furthest point, you can obtain the equipment.</t>
  </si>
  <si>
    <t>Obtain "Hanged Man's Bone Ring" equipment.</t>
  </si>
  <si>
    <t>开发中区域(矿坑)-1，矿车到达最远处，可以取得装备</t>
  </si>
  <si>
    <t>获得装备-倒吊人骨戒</t>
  </si>
  <si>
    <t>Sitio de excavacion 2. Cuando el carrito de mina llegue al final del trayecto podras adquirir el equipamiento.</t>
  </si>
  <si>
    <t>Місце розкопок (шахта) – 1 ви можете отримати спорядження, доїхавши до найдальшої точки на вагонетці.</t>
  </si>
  <si>
    <t>Отримання екіпірування: Кістяне кільце Повішеного.</t>
  </si>
  <si>
    <t>Место раскопок (шахта) - 1 вы можете получить снаряжение, доехав до самой дальней точки на вагонетке.</t>
  </si>
  <si>
    <t>Получение экипировки: Костяное кольцо Повешенного.</t>
  </si>
  <si>
    <t>Excavation Site Mines 2:
Musst du der Lore folgen, bis du das Ende des Bergwerks erreichst und eine Truhe findest</t>
  </si>
  <si>
    <t>Erhalte die Ausrüstung ,,Knochenring des Gehängten"</t>
  </si>
  <si>
    <t>Khu Khai Quật Mỏ 2
Khi chiếc xe mỏ đến chỗ xa nhất, bạn có thể nhận được trang bị</t>
  </si>
  <si>
    <t>Nhận trang bị “Nhẫn Xương Tử Tội”.</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</si>
  <si>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</si>
  <si>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</si>
  <si>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Lorong Tersembunyi 6</t>
  </si>
  <si>
    <t>Di area pengembangan (tambang)-1, Anda dapat memperoleh peralatan dengan mencapai titik terjauh menggunakan kereta tambang.</t>
  </si>
  <si>
    <t>Dapatkan perlengkapan - Cincin Tulang Orang yang Digantung</t>
  </si>
  <si>
    <t>RC5</t>
  </si>
  <si>
    <t>開發中區域(礦坑)-2</t>
  </si>
  <si>
    <t>從開發中區域(礦坑)-1的最後方，可以通往下一張地圖</t>
  </si>
  <si>
    <t>抵達"開發中區域(礦坑)-2"</t>
  </si>
  <si>
    <t>開発中エリア（鉱坑）-2</t>
  </si>
  <si>
    <t>開発中エリア-1の最後の部分から、次のマップに進むことができる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</si>
  <si>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</si>
  <si>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</si>
  <si>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</si>
  <si>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</si>
  <si>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开发中区域(矿坑)-2</t>
  </si>
  <si>
    <t>从开发中区域(矿坑)-1的最后方，可以通往下一张地图</t>
  </si>
  <si>
    <t>抵达"开发中区域(矿坑)-2"</t>
  </si>
  <si>
    <t>Área de desarrollo (pozo minero) -2</t>
  </si>
  <si>
    <t>Місце розкопок (шахта) – 2</t>
  </si>
  <si>
    <t>З найдальшого кінця «Місце розкопок (шахта) – 1» ви можете пройти до наступної локації.</t>
  </si>
  <si>
    <t>Прибуття в «Місце розкопок (шахта) – 2»</t>
  </si>
  <si>
    <t>Место раскопок (шахта) - 2</t>
  </si>
  <si>
    <t>С самого дальнего конца «Место раскопок (шахта) - 1» вы можете пройти к следующей локации.</t>
  </si>
  <si>
    <t>Прибытие в «Место раскопок (шахта)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</si>
  <si>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</si>
  <si>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</si>
  <si>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</si>
  <si>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</si>
  <si>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</si>
  <si>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</si>
  <si>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</si>
  <si>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</si>
  <si>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</si>
  <si>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Area Pengembangan (Lubang Tambang) - 2</t>
  </si>
  <si>
    <t>Dari bagian paling belakang area pengembangan (tambang)-1, Anda dapat mengakses peta berikutnya.</t>
  </si>
  <si>
    <t>Tiba di "Area Pengembangan (Tambang)-2"</t>
  </si>
  <si>
    <t>RC6</t>
  </si>
  <si>
    <t>於"開發中區域(礦坑)-2"最下方水面的發光處</t>
  </si>
  <si>
    <t>「開発中エリア-2」の下の方、水面に光る場所があります</t>
  </si>
  <si>
    <t>護刃衆の徽章</t>
  </si>
  <si>
    <t>In Excavation Site (Mine Tunnels) - 2, there is a glowing spot on the water just to the left of the entrance.</t>
  </si>
  <si>
    <t>于"开发中区域(矿坑)-2"最下方水面的发光处</t>
  </si>
  <si>
    <t>Пляма, що світиться, розташована на дні під водою в «Місце розкопок (шахта) - 2».</t>
  </si>
  <si>
    <t>Светящееся пятно расположено на дне под водой в «Место раскопок (шахта) - 2».</t>
  </si>
  <si>
    <t>Erhaltene Ausrüstung: Abzeichen der Schutzklingen</t>
  </si>
  <si>
    <t>Ở Khu Khai Quật (Đường Hầm Mỏ) - 2, có một chấm sáng trên mặt nước ngay bên trái lối vào.</t>
  </si>
  <si>
    <t>Nhận trang bị “Huy Hiệu Thủ Hộ Kiếm”.</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</si>
  <si>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</si>
  <si>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"Insígnia dos Guardiões das Lâminas"</t>
  </si>
  <si>
    <t>Titik bercahaya tersebut terletak di dasar permukaan air di "Area Pengembangan (Tambang)-2".</t>
  </si>
  <si>
    <t>Peralatan yang Diperoleh: Medali Pedang Penjaga</t>
  </si>
  <si>
    <t>RC7</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</si>
  <si>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</si>
  <si>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</si>
  <si>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</si>
  <si>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</si>
  <si>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</si>
  <si>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</si>
  <si>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</si>
  <si>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</si>
  <si>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开发中区域(矿坑)-2，地图中间往右上方，有一个隐藏通道可以连接到"山的洞窟"(R11)</t>
  </si>
  <si>
    <t>清除岩石后可以连接到山的洞窟</t>
  </si>
  <si>
    <t>Pasaje oculto</t>
  </si>
  <si>
    <t>Місце розкопок (шахта) - 2": Від центру локації вгорі справа, знаходиться прихований прохід, що веде в "Печеру" (R11).</t>
  </si>
  <si>
    <t>Після розчищення завалу можна буде потрапити до печери.</t>
  </si>
  <si>
    <t>«Место раскопок (шахта) - 2»: От центра локации вверху справа, находится скрытый проход, ведущий в «Пещеру» (R11).</t>
  </si>
  <si>
    <t>После расчистки завала можно будет попасть в пещеру.</t>
  </si>
  <si>
    <t>Geheimer Durchgang</t>
  </si>
  <si>
    <t>Im Entwicklungsbereich (Mine-2), in der Mitte der Karte gibt es rechts oben einen geheimen Durchgang, der zur "Berghöhle" (R11) führt.</t>
  </si>
  <si>
    <t>Nach dem Entfernen des Felsens gelangt man zur Berghöhle.</t>
  </si>
  <si>
    <t>Lối đi bí mật</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</si>
  <si>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</si>
  <si>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</si>
  <si>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</si>
  <si>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</si>
  <si>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</si>
  <si>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Lorong tersembunyi</t>
  </si>
  <si>
    <t>Di area pengembangan (tambang)-2, dari tengah peta ke kanan atas, terdapat lorong tersembunyi yang terhubung ke "Gua Gunung" (R11).</t>
  </si>
  <si>
    <t>Setelah membersihkan bebatuan, jalan tersebut dapat terhubung ke gua-gua di pegunungan.</t>
  </si>
  <si>
    <t>RC8</t>
  </si>
  <si>
    <t>開發中區域(礦坑)-3</t>
  </si>
  <si>
    <t>於"開發中區域(礦坑)-2"，地圖中間往上方的巨大岩石，通過後可以抵達"開發中區域(礦坑)-3"，可以手動破壞，或者乘坐礦車衝進去</t>
  </si>
  <si>
    <t>抵達"開發中區域(礦坑)-3"</t>
  </si>
  <si>
    <t>開発中エリア-3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</si>
  <si>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</si>
  <si>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</si>
  <si>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</si>
  <si>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</si>
  <si>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</si>
  <si>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开发中区域(矿坑)-3</t>
  </si>
  <si>
    <t>于"开发中区域(矿坑)-2"，地图中间往上方的巨大岩石，通过后可以抵达"开发中区域(矿坑)-3"，可以手动破坏，或者乘坐矿车冲进去</t>
  </si>
  <si>
    <t>抵达"开发中区域(矿坑)-3"</t>
  </si>
  <si>
    <t>Área de desarrollo (pozo minero) -3</t>
  </si>
  <si>
    <t>Місце розкопок (шахта) – 3</t>
  </si>
  <si>
    <t>Місце розкопок (шахта) – 2»: Серед локації знаходиться величезний камінь, що веде вгору. Пройшовши через нього, ви потрапите в «Місце розкопок (шахта) – 3», де зможете або знищити його вручну, або протаранити на вагонетці.</t>
  </si>
  <si>
    <t>Прибуття в «Місце розкопок (шахта) – 3»</t>
  </si>
  <si>
    <t>Место раскопок (шахта) - 3</t>
  </si>
  <si>
    <t>«Место раскопок (шахта) - 2»: Посреди локации находится огромный камень, ведущий вверх. Пройдя через него, вы попадете в «Место раскопок (шахта) - 3», где сможете либо уничтожить его вручную, либо протаранить его на вагонетке.</t>
  </si>
  <si>
    <t>Прибытие в «Место раскопок (шахта) - 3»</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</si>
  <si>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</si>
  <si>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</si>
  <si>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</si>
  <si>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</si>
  <si>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</si>
  <si>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</si>
  <si>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</si>
  <si>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</si>
  <si>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</si>
  <si>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Area Pengembangan (Lubang Tambang) - 3</t>
  </si>
  <si>
    <t>Di "Area Pengembangan (Tambang)-2", terdapat batu besar di tengah peta yang mengarah ke atas. Melewatinya akan membawa Anda ke "Area Pengembangan (Tambang)-3", di mana Anda dapat menghancurkannya secara manual atau menaiki kereta tambang ke dalamnya.</t>
  </si>
  <si>
    <t>Tiba di "Area Pengembangan (Tambang)-3"</t>
  </si>
  <si>
    <t>RC9</t>
  </si>
  <si>
    <t>於"開發中區域(礦坑)-3"進入後的左方木箱發光處</t>
  </si>
  <si>
    <t>獲得裝備：安全手套</t>
  </si>
  <si>
    <t>開発中エリア-3の入り口から上っていくと左側に光る木箱があります</t>
  </si>
  <si>
    <t>セーフティグローブ</t>
  </si>
  <si>
    <t>In Excavation Site (Mine Tunnels) - 3, there is a glowing spot just to the left after going up from the entrance.</t>
  </si>
  <si>
    <t>Obtain "Safety Gloves" equipment</t>
  </si>
  <si>
    <t>于"开发中区域(矿坑)-3"进入后的左方木箱发光处</t>
  </si>
  <si>
    <t>获得装备：安全手套</t>
  </si>
  <si>
    <t>Дерев'яний ящик, що світиться, знаходиться зліва після входу в «Місце розкопок (шахта) - 3».</t>
  </si>
  <si>
    <t>Отримання екіпіровки: "Захисні рукавички".</t>
  </si>
  <si>
    <t>Светящийся деревянный ящик находится слева после входа в «Место раскопок (шахта) - 3».</t>
  </si>
  <si>
    <t>Получение экипировки: Защитные перчатки.</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</si>
  <si>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</si>
  <si>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</si>
  <si>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</si>
  <si>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</si>
  <si>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</si>
  <si>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Peti kayu bercahaya terletak di sisi kiri setelah memasuki "Area Pengembangan (Tambang)-3".</t>
  </si>
  <si>
    <t>Peralatan yang diperoleh: Sarung tangan pengaman</t>
  </si>
  <si>
    <t>RC10</t>
  </si>
  <si>
    <t xml:space="preserve">於開發中區域(礦坑)-3的懸空處，利用裝備技巧可以獲得隱藏道具
</t>
  </si>
  <si>
    <t>獲得裝備：寶石劍</t>
  </si>
  <si>
    <t>開発中エリア-3の浮いている場所で、浮遊しながら進むと隠しアイテムを獲得できます(怪鳥の羽など)</t>
  </si>
  <si>
    <t>宝石の剣</t>
  </si>
  <si>
    <t>In Excavation Site (Mine Tunnels) - 3, after you pass the first wooden bridge, there is a glowing spot below on a cave stalagmite. You can obtain it by uitilizing various equipments' abilities.</t>
  </si>
  <si>
    <t>Obtain "Jeweled Armament" equipment</t>
  </si>
  <si>
    <t xml:space="preserve">于开发中区域(矿坑)-3的悬空处，利用装备技巧可以获得隐藏道具
</t>
  </si>
  <si>
    <t>获得装备：宝石剑</t>
  </si>
  <si>
    <t>Прихований предмет можна отримати, використовуючи навичку екіпірування у підвішеному стані «Місце розкопок (шахта) – 3»</t>
  </si>
  <si>
    <t>Отримання спорядження: Зброя з дорогоцінним камінням</t>
  </si>
  <si>
    <t>Скрытый предмет можно получить, используя навык экипировки в подвешенном состоянии «Место раскопок (шахта) - 3».</t>
  </si>
  <si>
    <t>Получение экипировки: Оружие с драгоценными камнями</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</si>
  <si>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</si>
  <si>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</si>
  <si>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</si>
  <si>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</si>
  <si>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</si>
  <si>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Item tersembunyi dapat diperoleh dengan menggunakan keterampilan peralatan di area gantung dari area pengembangan (tambang)-3.</t>
  </si>
  <si>
    <t>Peralatan yang Diperoleh: Pedang Permata</t>
  </si>
  <si>
    <t>RC11</t>
  </si>
  <si>
    <t>開發中區域(礦坑)-4</t>
  </si>
  <si>
    <t>於"開發中區域(礦坑)-3"，順著地圖路徑可以抵達"開發中區域(礦坑)-4"，若不慎跌落將抵達熔岩區域</t>
  </si>
  <si>
    <t>抵達"開發中區域(礦坑)-4"</t>
  </si>
  <si>
    <t>開発中エリア-4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</si>
  <si>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</si>
  <si>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</si>
  <si>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</si>
  <si>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</si>
  <si>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</si>
  <si>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开发中区域(矿坑)-4</t>
  </si>
  <si>
    <t>于"开发中区域(矿坑)-3"，顺着地图路径可以抵达"开发中区域(矿坑)-4"，若不慎跌落将抵达熔岩区域</t>
  </si>
  <si>
    <t>抵达"开发中区域(矿坑)-4"</t>
  </si>
  <si>
    <t>Área de desarrollo (pozo minero) -4</t>
  </si>
  <si>
    <t>Місце розкопок (шахта) – 4</t>
  </si>
  <si>
    <t>З «Місце розкопок (шахта) – 3» слідуйте по дорозі, щоб дістатися «Місце розкопок (шахта) – 4». Якщо ви випадково впадете, то опинитеся в лавовій зоні.</t>
  </si>
  <si>
    <t>Прибуття в «Місце розкопок (шахта) – 4»</t>
  </si>
  <si>
    <t>Место раскопок (шахта) - 4</t>
  </si>
  <si>
    <t>Из «Место раскопок (шахта) - 3» следуйте по дороге, чтобы добраться до «Место раскопок (шахта) - 4». Если вы случайно упадете, то окажетесь в лавовой зоне.</t>
  </si>
  <si>
    <t>Прибытие в «Место раскопок (шахта) - 4»</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</si>
  <si>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</si>
  <si>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</si>
  <si>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</si>
  <si>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Thẳm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</si>
  <si>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</si>
  <si>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</si>
  <si>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</si>
  <si>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</si>
  <si>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Area Pengembangan (Lubang Tambang) - 4</t>
  </si>
  <si>
    <t>Dari "Area Pengembangan (Tambang)-3", ikuti jalur peta untuk mencapai "Area Pengembangan (Tambang)-4". Jika Anda terjatuh secara tidak sengaja, Anda akan sampai di area lava.</t>
  </si>
  <si>
    <t>Tiba di "Area Pengembangan (Tambang)-4"</t>
  </si>
  <si>
    <t>RC12</t>
  </si>
  <si>
    <t>於開發中區域(礦坑)-4，中央樓梯上方的發光處</t>
  </si>
  <si>
    <t>獲得裝備：生鏽的鐵劍</t>
  </si>
  <si>
    <t>「開発中エリア-4」の中央の階段上方にある光る木箱があります</t>
  </si>
  <si>
    <t>錆びた鉄剣</t>
  </si>
  <si>
    <t xml:space="preserve">In the Excavation Site (Mine Tunnels) - 4, find the glowing spot on the top of the stairs before you go down
</t>
  </si>
  <si>
    <t>Obtain "Rusty Iron Sword" equipment</t>
  </si>
  <si>
    <t>于开发中区域(矿坑)-4，中央楼梯上方的发光处</t>
  </si>
  <si>
    <t>获得装备：生锈的铁剑</t>
  </si>
  <si>
    <t>«Місце розкопок (шахта) - 4»: Над центральними сходами, знаходиться пляма, що світиться.</t>
  </si>
  <si>
    <t>Отримання зброї: Іржавий залізний меч</t>
  </si>
  <si>
    <t>«Место раскопок (шахта) - 4»: Над центральной лестницей, находится светящееся пятно.</t>
  </si>
  <si>
    <t>Получение оружия: Ржавый железный меч</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</si>
  <si>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</si>
  <si>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</si>
  <si>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</si>
  <si>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</si>
  <si>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</si>
  <si>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Di area pengembangan (tambang)-4, di atas tangga tengah, terdapat titik bercahaya.</t>
  </si>
  <si>
    <t>Dapatkan perlengkapan: Pedang Besi Berkarat</t>
  </si>
  <si>
    <t>RC13</t>
  </si>
  <si>
    <t>於開發中區域(礦坑)-4，中央樓梯下去後的左方</t>
  </si>
  <si>
    <t>獲得裝備：鐵覘
鐵覘的規則說明於Tips中</t>
  </si>
  <si>
    <t>「開発中エリア-4」で、中央の階段を降りた後の左側にあります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</si>
  <si>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</si>
  <si>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</si>
  <si>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</si>
  <si>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于开发中区域(矿坑)-4，中央楼梯下去后的左方</t>
  </si>
  <si>
    <t>获得装备：铁觇
铁觇的规则说明于Tips中</t>
  </si>
  <si>
    <t>«Місце розкопок (шахта) - 4»: Зліва після спуску центральними сходами.</t>
  </si>
  <si>
    <t>Отримання спрядження: "Ковальське ковадло".
Правила використання дивіться у розділі "Tips".</t>
  </si>
  <si>
    <t>«Место раскопок (шахта) - 4»: Cлева после спуска по центральной лестнице.</t>
  </si>
  <si>
    <t>Получение экипировки: Кузнечная наковальна.
Правила использования смотрите в разделе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</si>
  <si>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</si>
  <si>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</si>
  <si>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</si>
  <si>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</si>
  <si>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</si>
  <si>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Di area pengembangan (lubang tambang) -4, di sebelah kiri setelah menuruni tangga tengah.</t>
  </si>
  <si>
    <t>Cara Mendapatkan Peralatan: Golem Besi Aturan untuk Golem Besi dijelaskan di bagian Tips.</t>
  </si>
  <si>
    <t>RC14</t>
  </si>
  <si>
    <t>於開發中區域(礦坑)-4，中央樓梯下去後的右方發光處</t>
  </si>
  <si>
    <t>獲得道具：魔力小凝膠x10</t>
  </si>
  <si>
    <t>「開発中エリア-4」で、中央の階段を降りた後の右側にある発光してる樽があります</t>
  </si>
  <si>
    <t>魔力の小凝縮ジェル×10</t>
  </si>
  <si>
    <t>In the Excavation Site (Mine Tunnels) - 4, find the glowing spot on the right after going down the stairs from the center</t>
  </si>
  <si>
    <t>Obtain "Small Mana Gel" x10</t>
  </si>
  <si>
    <t>于开发中区域(矿坑)-4，中央楼梯下去后的右方发光处</t>
  </si>
  <si>
    <t>获得道具：魔力小凝胶x10</t>
  </si>
  <si>
    <t>«Місце розкопок (шахта) - 4»: пляма, що світиться, знаходиться праворуч після спуску центральними сходами.</t>
  </si>
  <si>
    <t>Отримання: Мана-гель x10</t>
  </si>
  <si>
    <t>«Место раскопок (шахта) - 4»: Светящееся пятно находится справа после спуска по центральной лестнице.</t>
  </si>
  <si>
    <t>Получение предмета: Мана-гель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</si>
  <si>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</si>
  <si>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</si>
  <si>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</si>
  <si>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</si>
  <si>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</si>
  <si>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Di area pengembangan (lubang tambang) -4, titik bercahaya berada di sebelah kanan setelah menuruni tangga tengah.</t>
  </si>
  <si>
    <t>Item yang diperoleh: Gel Ajaib x10</t>
  </si>
  <si>
    <t>RC15</t>
  </si>
  <si>
    <t>於"開發中區域(礦坑)-4"，離開樓梯區域後的右上方大片岩石，有個隱藏的通道</t>
  </si>
  <si>
    <t>抵達"被遺忘的墓穴下層"</t>
  </si>
  <si>
    <t>『開発中区域（鉱坑）-4』で、階段エリアを出た後の右上方にある大きな岩石の裏に、隠し通路があります</t>
  </si>
  <si>
    <t>『忘却のカタコンベ』に進む</t>
  </si>
  <si>
    <t xml:space="preserve">Hidden Passage </t>
  </si>
  <si>
    <t>When in Excavation Site (Mine Tunnels) - 4, there is a hidden passage that can be found on the large rock in the upper right corner after leaving the stairs.</t>
  </si>
  <si>
    <t>Will arrive at Forgotten Catacombs - Upper Level</t>
  </si>
  <si>
    <t>于"开发中区域(矿坑)-4"，离开楼梯区域后的右上方大片岩石，有个隐藏的通道</t>
  </si>
  <si>
    <t>抵达"被遗忘的墓穴-1"</t>
  </si>
  <si>
    <t>«Місце розкопок (шахта) – 4»: Після спуску сходами, у верхній правій частині знаходиться потайний прохід у великій скелястій ділянці.</t>
  </si>
  <si>
    <t>Прибуття в «Забуті катакомби – Нижній рівень»</t>
  </si>
  <si>
    <t>«Место раскопок (шахта) - 4»: После спуска по лестнице, в верхней правой части находится потайной проход в большом скалистом участке.</t>
  </si>
  <si>
    <t>Прибытие в «Забытые катакомбы - Нижний уровень»</t>
  </si>
  <si>
    <t>Im "Entwicklungsbereich (Mine-4)": Rechts oben hinter dem Treppenbereich befindet sich ein großer Felsen mit einem geheimen Durchgang.</t>
  </si>
  <si>
    <t>Ankunft im "Vergessenen Grabmal-1"</t>
  </si>
  <si>
    <t>Khi ở Khu Khai Quật (Đường Hầm Mỏ) - 4, có một lối đi bí mật nằm trên tảng đá lớn ở góc trên bên phải sau khi rời khỏi cầu thang.</t>
  </si>
  <si>
    <t>Sẽ đến được Hầm Mộ Bị Lãng Quên – 1.</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</si>
  <si>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</si>
  <si>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</si>
  <si>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Di "Area Pengembangan (Tambang)-4", setelah meninggalkan area tangga, terdapat lorong tersembunyi di area berbatu besar di sebelah kanan atas.</t>
  </si>
  <si>
    <t>Tiba di "Makam Terlupakan-1"</t>
  </si>
  <si>
    <t>淺層遺跡迷宮</t>
  </si>
  <si>
    <t>Shallow Ruins Labyrinth</t>
  </si>
  <si>
    <t>浅层遗迹迷宫</t>
  </si>
  <si>
    <t>Поверхня лабіринту</t>
  </si>
  <si>
    <t>Поверхность лабиринта</t>
  </si>
  <si>
    <t>Área inicial do Labirinto de Ruínas(Shallow Ruins Labyrinth)</t>
  </si>
  <si>
    <t>RD1</t>
  </si>
  <si>
    <t>淺層遺跡迷宮
遺跡第一層
右方機關處、左方連接外面處，各有一個白寶箱
左方有一個紅寶箱，可以從藤蔓邊緣走過去</t>
  </si>
  <si>
    <t>白寶箱獲得：漏電的不良品、火燒雲
紅寶箱獲得：霜月、戰車塔羅牌 (紅寶箱可以刷新)</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</si>
  <si>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</si>
  <si>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</si>
  <si>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</si>
  <si>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</si>
  <si>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浅层遗迹迷宫 遗迹第一层 右方机关处、左方连接外面处，各有一个白宝箱 左方有一个红宝箱，可以从藤蔓边缘走过去</t>
  </si>
  <si>
    <t>白宝箱获得：漏电的不良品、火烧云 红宝箱获得：霜月、战车塔罗牌 (红宝箱可以刷新)</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</si>
  <si>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</si>
  <si>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Перший (верхній) рівень Руїн.
У механізму праворуч і біля виходу назовні зліва знаходиться біла скриня.
Зліва знаходиться червона скриня. (До нього можна дістатися, пройшовши вздовж краю)</t>
  </si>
  <si>
    <t>Біла скриня: Протікає електро-меч.
Червона скриня: Крижаний місяць, Карта Таро «Колісниця» (Червоні скрині можна оновлювати)</t>
  </si>
  <si>
    <t>Первый (верхний) уровень Руин.
У механизма справа и у выхода наружу слева находится белый сундук.
Слева находится красный сундук. (До него можно добраться, пройдя вдоль края)</t>
  </si>
  <si>
    <t>Белый сундук: Протекающий электро-меч.
Красный сундук: Ледяная луна, Карта Таро «Колесница» (Красные сундуки можно обновлять)</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</si>
  <si>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</si>
  <si>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</si>
  <si>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</si>
  <si>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</si>
  <si>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</si>
  <si>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</si>
  <si>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Labirin Reruntuhan Dangkal
Tingkat pertama reruntuhan
Terdapat peti harta karun berwarna putih di mekanisme di sebelah kanan dan di penghubung ke luar di sebelah kiri.
Terdapat peti harta karun berwarna merah di sebelah kiri; Anda dapat mencapainya dengan berjalan di sepanjang tepi tanaman rambat.</t>
  </si>
  <si>
    <t>Peti Harta Karun Putih: Produk Cacat Bocor, Awan Berapi
Peti Harta Karun Merah: Bulan Beku, Kartu Tarot Kereta Perang (Peti Harta Karun Merah dapat diperbarui)</t>
  </si>
  <si>
    <t>忘卻的墓穴-上層</t>
  </si>
  <si>
    <t>Forgotten Catacombs</t>
  </si>
  <si>
    <t>忘却的墓穴-上层</t>
  </si>
  <si>
    <t>Забуті катакомби</t>
  </si>
  <si>
    <t>Забытые катакомбы - Верхний уровень</t>
  </si>
  <si>
    <t>Catacumbas Esquecidas (Forgotten Catacombs)</t>
  </si>
  <si>
    <t>RD2</t>
  </si>
  <si>
    <t>於被遺忘的墓穴-上層，將左側墳墓打掉，會有隱藏通道</t>
  </si>
  <si>
    <t>隱藏地圖內可獲得"魔力汲取手套"、營火地點、忍者NPC</t>
  </si>
  <si>
    <t>忘却のカタコンベ上層で左側の墓を破壊すると隠し通路を進むことができる</t>
  </si>
  <si>
    <t>隠しマップで焚き火と装備を入手できる
NPCも居るので話しかけてみよう</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</si>
  <si>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</si>
  <si>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</si>
  <si>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于被遗忘的墓穴，将左侧坟墓打掉，会有隐藏通道</t>
  </si>
  <si>
    <t>隐藏地图内可获得"魔力汲取手套"、营火地点 *0.75版本实装 忍者NPC</t>
  </si>
  <si>
    <t>Зруйнувавши могилу зліва, ви виявите потайний прохід.</t>
  </si>
  <si>
    <t>Знаходження предмета: Рукавички поглинання мани.
Знаходження вогнища.
Перебування НПС "Ніндзя"</t>
  </si>
  <si>
    <t>Разрушив могилу слева, вы обнаружите потайной проход.</t>
  </si>
  <si>
    <t>Нахождение предмета: Перчатки поглощения маны.
Нахождение Костра.
Нахождение НПС "Ниндзя"</t>
  </si>
  <si>
    <t>Forgotten Tomb: 
Zerstöre alle Gräber, um einen versteckten Gang zu finden</t>
  </si>
  <si>
    <t>Im Forgotten Tomb kannst du die ,,Magieabsorbierenden Handschuhe" und den Lagerfeuerpunkt finden. *Version 0.75 eingeführt, Ninja-NPC</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</si>
  <si>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</si>
  <si>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</si>
  <si>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</si>
  <si>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</si>
  <si>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Di Makam Terlupakan, menghancurkan makam di sebelah kiri akan mengungkap lorong tersembunyi.</t>
  </si>
  <si>
    <t>Sarung Tangan Penyerap Mana dan lokasi api unggun dapat diperoleh di dalam peta tersembunyi.
* Diimplementasikan pada versi 0.75: NPC Ninja</t>
  </si>
  <si>
    <t>RD3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</si>
  <si>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</si>
  <si>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</si>
  <si>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</si>
  <si>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</si>
  <si>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</si>
  <si>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</si>
  <si>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</si>
  <si>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</si>
  <si>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忍术-1</t>
  </si>
  <si>
    <t>于第R18项目的位置，投喂食物后，可以与忍者NPC学习技能</t>
  </si>
  <si>
    <t>习得技能：气息消除 可以减少范围内的敌人警戒范围，最大可达??格 可以减少妹妹的警戒值累积速率，最大可达??% 需要按下shift键切换为走路姿态。</t>
  </si>
  <si>
    <t>Ninja 1</t>
  </si>
  <si>
    <t>Ніндзюцу - 1</t>
  </si>
  <si>
    <t>У тому ж місці, що і R18, нагодувавши NPC-ніндзя їжею, вона запропонує вам навчити вас деяким навичкам ніндзя.</t>
  </si>
  <si>
    <t>Вивчена навичка: Усунення аури
Зменшує радіус дії тривоги ворогів в області, максимум на ?? клітин.
Зменшує швидкість накопичення значення тривоги вашої сестри, максимум на %.
Щоб перейти в режим ходьби, натисніть клавішу Shift.</t>
  </si>
  <si>
    <t>Ниндзюцу - 1</t>
  </si>
  <si>
    <t>В том же месте, что и R18, накормив NPC-ниндзя едой, она предложит вам обучить вас некоторым навыкам ниндзя.</t>
  </si>
  <si>
    <t>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</si>
  <si>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</si>
  <si>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</si>
  <si>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</si>
  <si>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</si>
  <si>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</si>
  <si>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</si>
  <si>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</si>
  <si>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</si>
  <si>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Ninjutsu-1</t>
  </si>
  <si>
    <t>Di lokasi item R18, setelah memberi makan ninja, Anda dapat mempelajari keterampilan dari NPC ninja.</t>
  </si>
  <si>
    <t>Keterampilan yang Dipelajari: Penghapusan Aura
Mengurangi jangkauan peringatan musuh dalam suatu area, hingga maksimum ?? petak.
Mengurangi laju akumulasi nilai peringatan saudara perempuan Anda, hingga maksimum ??%.
Membutuhkan penekanan tombol Shift untuk beralih ke mode berjalan.</t>
  </si>
  <si>
    <t>RD4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</si>
  <si>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</si>
  <si>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</si>
  <si>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</si>
  <si>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</si>
  <si>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</si>
  <si>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</si>
  <si>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</si>
  <si>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</si>
  <si>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忍术-2</t>
  </si>
  <si>
    <t>同上，投喂食物后，可以学习另一项技能 PS：详细内容于TIPS中</t>
  </si>
  <si>
    <t xml:space="preserve">习得技能：背后刺杀 于敌人背后进行攻击，可提升伤害。倍率会随着熟练度提升，最高可以达到300%
</t>
  </si>
  <si>
    <t>Ninja 2</t>
  </si>
  <si>
    <t>Ніндзюцу - 2</t>
  </si>
  <si>
    <t>Якщо ви нагодуєте нинздю ще трохи, то ви отримаєте ще навичку.
(Подробиці див. у розділі Tips)</t>
  </si>
  <si>
    <t>Вивчення навички: Удар у спину
Атакуючи ворога ззаду, збільшує шкоду. Множник збільшується з підвищенням рівня володіння навичкою, досягаючи максимуму 300%.</t>
  </si>
  <si>
    <t>Ниндзюцу - 2</t>
  </si>
  <si>
    <t>Если вы покормите нинздю ещё немного, то вы получите ещё навык.
(Подробности см. в разделе Tips)</t>
  </si>
  <si>
    <t>Изучение навыка: Удар в спину
Атакуя врага сзади, увеличивает урон. Множитель увеличивается с повышением уровня владения навыком, достигая максимума в 300%.</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</si>
  <si>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</si>
  <si>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</si>
  <si>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</si>
  <si>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</si>
  <si>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</si>
  <si>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</si>
  <si>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</si>
  <si>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</si>
  <si>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Seperti yang telah disebutkan, memberi makan anak akan memungkinkan mereka mempelajari keterampilan lain.
PS: Detail selengkapnya ada di bagian TIPS.</t>
  </si>
  <si>
    <t>Keterampilan yang Dipelajari: Serangan dari Belakang
Menyerang musuh dari belakang, meningkatkan kerusakan. Pengali meningkat seiring dengan kemahiran, mencapai maksimum 300%.</t>
  </si>
  <si>
    <t>RD5</t>
  </si>
  <si>
    <t>於被"遺忘的墓穴上層"，將右側石板打掉，會有隱藏通道</t>
  </si>
  <si>
    <t>隱藏地圖內可獲得寶箱與隱藏光點</t>
  </si>
  <si>
    <t>忘却のカタコンベ上層で右側の墓石を壊すと隠し通路が通れるようになる。</t>
  </si>
  <si>
    <t>隠しマップでは宝箱とアイテムを入手することが出来る</t>
  </si>
  <si>
    <t>In the first floor of the Forgotten Tomb, knock down the tombstone on the right-most side and there will be a hidden path.</t>
  </si>
  <si>
    <t>There will be a chest and item spots at the end of the path. Obtain random items.</t>
  </si>
  <si>
    <t>于被遗忘的墓穴，将右侧石板打掉，会有隐藏通道</t>
  </si>
  <si>
    <t>隐藏地图内可获得宝箱与隐藏光点</t>
  </si>
  <si>
    <t>Розбивши кам'яну плиту праворуч, ви виявите потайний прохід.</t>
  </si>
  <si>
    <t>Наприкінці шляху буде скриня та місця з предметами.
Отримання випадкових предметів.</t>
  </si>
  <si>
    <t>Разбив каменную плиту справа, вы обнаружите потайной проход.</t>
  </si>
  <si>
    <t>В конце пути будет сундук и места с предметами.
Получение случайных предметов.</t>
  </si>
  <si>
    <t>Forgotten Tomb: 
Zerstöre die Steintafel auf der rechten Seite, um einen versteckten Gang zu finden</t>
  </si>
  <si>
    <t>Im Forgotten Tomb kannst du eine Truhe und versteckte Lichtpunkte finden</t>
  </si>
  <si>
    <t>Ở tầng thứ nhất của Khu Mộ Bị Lãng Quên, bạn có thể phá đổ một bia mộ ở bên phải và sẽ có một lối đi ẩn</t>
  </si>
  <si>
    <t>Ở cuối con đường sẽ có một rương và các vật phẩm.
Nhận vật phẩm ngẫu nhiên.</t>
  </si>
  <si>
    <t>No primerio andar da Forgotten Tomb, derrube(quebre) a lápide mais à direita e encontrará um caminho secreto.</t>
  </si>
  <si>
    <t>Você encontrará um baú e locais com item no final do caminho. Obtém itens aleatórios.</t>
  </si>
  <si>
    <t>Di makam yang terlupakan, memecahkan lempengan batu di sebelah kanan akan mengungkap lorong tersembunyi.</t>
  </si>
  <si>
    <t>Peti harta karun dan titik-titik bercahaya tersembunyi dapat ditemukan di dalam peta tersembunyi.</t>
  </si>
  <si>
    <t>RD6</t>
  </si>
  <si>
    <t>被遺忘的墓穴第一層右邊洞窟出入口旁，在一排蛋的左邊有一個寶箱</t>
  </si>
  <si>
    <t>獲得武器-臭魚骨</t>
  </si>
  <si>
    <t>忘却のカタコンベ上層右側の卵が3つ並んでいる場所に宝箱があります。</t>
  </si>
  <si>
    <t>On the base floor of the Forgotten Tomb, there is a chest that you can open near the cave entrance.</t>
  </si>
  <si>
    <t>Obtain "Rotten Fishbone" equipment</t>
  </si>
  <si>
    <t xml:space="preserve">被遗忘的墓穴第一层右边洞窟出入口旁，在一排蛋的左边有一个宝箱
</t>
  </si>
  <si>
    <t>获得武器-臭鱼骨</t>
  </si>
  <si>
    <t>En el primer piso de la Tumba Olvidada, hay un cofre que puedes abrir cerca de la entrada a la cueva</t>
  </si>
  <si>
    <t>Зліва від ряду яєць, поруч із правим входом у печеру, знаходиться скриня.</t>
  </si>
  <si>
    <t>Отримання зброї: Смердюча Риб'яча Кістка</t>
  </si>
  <si>
    <t>Слева от ряда яиц, рядом с правым входом в пещеру, находится сундук.</t>
  </si>
  <si>
    <t>Получение оружия: Вонючая Рыбья Кость</t>
  </si>
  <si>
    <t>Erhalte die Waffe „Verfaulter Fischknochen"</t>
  </si>
  <si>
    <t>Tầng đầu tiên của Khu Mộ Bị Lãng Quên, có một chiếc rương mà bạn có thể mở gần cửa hang.</t>
  </si>
  <si>
    <t>Nhận trang bị “Xương Cá Thối”.</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</si>
  <si>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</si>
  <si>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</si>
  <si>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Terdapat peti harta karun di sebelah kiri deretan telur, di samping pintu masuk gua sebelah kanan di tingkat pertama Makam Terlupakan.</t>
  </si>
  <si>
    <t>Dapatkan senjata - Tulang Ikan Busuk</t>
  </si>
  <si>
    <t>忘卻的墓穴-下層</t>
  </si>
  <si>
    <t>Forgotten Catacombs - Upper Level</t>
  </si>
  <si>
    <t>忘却的墓穴-下层</t>
  </si>
  <si>
    <t xml:space="preserve">Забуті катакомби – Верхній рівень </t>
  </si>
  <si>
    <t>Забытые катакомбы - Нижний уровень</t>
  </si>
  <si>
    <t>Catacumbas Esquecidas - Nível Superior  (Forgotten Catacombs - Upper Level)</t>
  </si>
  <si>
    <t>RD7</t>
  </si>
  <si>
    <t>被遺忘的墓穴-下層，中間的蛋附近一個寶箱</t>
  </si>
  <si>
    <t>獲得武器-雪見</t>
  </si>
  <si>
    <t>忘却のカタコンベ下層の中央辺り、卵がたくさん並んでる場所に宝箱があります</t>
  </si>
  <si>
    <t>In the lower levels of the Forgotten Tomb, there is a chest nearby a row of eggs in the middle.</t>
  </si>
  <si>
    <t>Obtain "Snow Watch" weapon.</t>
  </si>
  <si>
    <t>被遗忘的墓穴-下层，中间的蛋附近一个宝箱</t>
  </si>
  <si>
    <t>获得武器-雪见</t>
  </si>
  <si>
    <t>En los niveles inferiores de la Tumba Olvidada, hay un cofre cerca de una fila de huevos en el centro.</t>
  </si>
  <si>
    <t>Скриня зі скарбами поруч із яйцем посередині.</t>
  </si>
  <si>
    <t>Отримання зброї: Снігова варта</t>
  </si>
  <si>
    <t>Сундук с сокровищами рядом с яйцом посередине.</t>
  </si>
  <si>
    <t>Получение оружия: Снежный дозор</t>
  </si>
  <si>
    <t>Hol dir die Waffe ,,Schneeschau"</t>
  </si>
  <si>
    <t>Ở các tầng thấp hơn của Khu Mộ Bị Lãng Quên, có một chiếc rương gần một hàng trứng ở giữa.</t>
  </si>
  <si>
    <t>Nhận vũ khí “Tuyết Giám”.</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</si>
  <si>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</si>
  <si>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</si>
  <si>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Makam Terlupakan-1, peti harta karun di dekat telur di tengah.</t>
  </si>
  <si>
    <t>Dapatkan senjata - Xuejian</t>
  </si>
  <si>
    <t>RD8</t>
  </si>
  <si>
    <t>被遺忘的墓穴-下層，最右下方的亮點</t>
  </si>
  <si>
    <t>獲得道具- 塔羅牌-塔 (可以刷新)</t>
  </si>
  <si>
    <t>In the lower levels of the Forgotten Tomb, there is a glowing spot on the bottom right of the map</t>
  </si>
  <si>
    <t>Obtain "Tarot Card - The Tower" item (can respawn)</t>
  </si>
  <si>
    <t>被遗忘的墓穴-下层，最右下方的亮点</t>
  </si>
  <si>
    <t>获得道具-塔罗牌-塔（可以刷新）</t>
  </si>
  <si>
    <t>На нижніх рівнях Забутої Гробниці у правому нижньому куті карти є сяюча пляма.</t>
  </si>
  <si>
    <t>Отримання предмету "Карта Таро — Вежа" (може з'являтися повторно)</t>
  </si>
  <si>
    <t>На нижних уровнях Забытой гробницы в правом нижнем углу карты есть светящееся пятно.</t>
  </si>
  <si>
    <t>Получение предмета: Карта Таро «Башня» (может появляться повторно)</t>
  </si>
  <si>
    <t>Trong những tầng thấp hơn của Khu Mộ Bị Lãng Quên, có một điểm phát sáng ở góc dưới bên phải của khu vực</t>
  </si>
  <si>
    <t xml:space="preserve">Nhận được vật phẩm "Thẻ Tarot - Tòa Tháp" (xuất hiện lại được) </t>
  </si>
  <si>
    <t xml:space="preserve">Nos níveis inferiores da Tumba Esquecida, há um ponto brilhante no canto inferior direito do mapa. </t>
  </si>
  <si>
    <t xml:space="preserve">Obtém o item "Carta de Tarô - A Torre" </t>
  </si>
  <si>
    <t>???墓穴(狂亂的紅獸)</t>
  </si>
  <si>
    <t>Forgotten Catacombs - Lower Level</t>
  </si>
  <si>
    <t>???墓穴(狂乱的红兽)</t>
  </si>
  <si>
    <t xml:space="preserve">Забуті катакомби – Нижній рівень 	</t>
  </si>
  <si>
    <t>??? Гробница (Обезумевший Багровый зверь)</t>
  </si>
  <si>
    <t>Catacumbas Esquecidas - Nível Inferior (Forgotten Catacombs - Lower Level)</t>
  </si>
  <si>
    <t>RD9</t>
  </si>
  <si>
    <t>於"???墓穴(狂亂的紅獸)"
遺跡BOSS-狂亂的紅獸，下方的懸崖利用道具過去，可以在那裏找到寶箱
或者使用復活羽毛，從上一層的左下角地洞掉落，跳過BOSS進入該地區。</t>
  </si>
  <si>
    <t>獲得"倒吊人的骨戒"裝備</t>
  </si>
  <si>
    <t>崖の下の道具を使って向こう側に渡ると、宝箱が見つかります。
または、復活の羽根を使って上層の左下の穴から落下しボスをスキップしてそのエリアに進むこともできます</t>
  </si>
  <si>
    <t>In the room of the first boss, there is a place you can get into below the map. Use items or Senpo Tachi to get to the other side. Additionally, you can use the Phoenix Feather and fall in the bottom-left hole from the previous floor.</t>
  </si>
  <si>
    <t>被遗忘的墓穴-2 遗迹BOSS-狂乱的红兽，下方的悬崖利用道具过去，可以在那里找到宝箱 或者使用复活羽毛，从上一层的左下角地洞掉落，跳过BOSS进入该地区。</t>
  </si>
  <si>
    <t>获得"倒吊人的骨戒"装备</t>
  </si>
  <si>
    <t>En la sala del primer jefe, hay un lugar al que puedes acceder por debajo del mapa. Usa objetos o Senpo Tachi para llegar al otro lado. Además, puedes usar la Pluma de Fénix y caer en el agujero de abajo a la izquierda desde el piso anterior.</t>
  </si>
  <si>
    <t>Кімната Босса.
Використовуйте предмет, щоб перетнути обрив внизу локації та знайти скриню.
В якості альтернативи, використовуйте Перо Фенікса, щоб спуститися з нижнього лівого кута попереднього рівня, минаючи боса і потрапивши до цієї області.</t>
  </si>
  <si>
    <t>Комната Босса.
Используйте предмет, чтобы пересечь обрыв внизу локации и найти сундук.
В качестве альтернативы, используйте Перо Феникса, чтобы спуститься с нижнего левого угла предыдущего уровня, минуя босса и попав в эту область.</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</si>
  <si>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</si>
  <si>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</si>
  <si>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</si>
  <si>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</si>
  <si>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</si>
  <si>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Makam Terlupakan - 2 Reruntuhan BOSS - Binatang Merah Mengamuk. Gunakan item untuk menyeberangi tebing di bawah untuk menemukan peti harta karun.
Alternatifnya, gunakan bulu kebangkitan untuk turun dari sudut kiri bawah level sebelumnya, melewati BOSS dan memasuki area tersebut.</t>
  </si>
  <si>
    <t>Dapatkan perlengkapan "Cincin Tulang Orang yang Digantung".</t>
  </si>
  <si>
    <t>RD10</t>
  </si>
  <si>
    <t>深淵BOSS
狂亂的紅獸</t>
  </si>
  <si>
    <t>於"???墓穴(狂亂的紅獸)"
攻略遺跡BOSS</t>
  </si>
  <si>
    <t>獲得道具和裝備
P.S.深淵BOSS每七天會重生，而且每次重生會更强，也可以使用"世界"塔羅牌</t>
  </si>
  <si>
    <t>深淵のBOSS</t>
  </si>
  <si>
    <t xml:space="preserve">深淵の3階層にいるBOSS
狂乱の紅獣
</t>
  </si>
  <si>
    <t>BOSSを倒すことで装備とアイテムを獲得できる！
P,S,BOSSは7日事に復活し、復活するごとに強くなる…タロットカード「ザ・ワールド」を使用する事ですぐに復活することが出来る！</t>
  </si>
  <si>
    <t>Abyss Boss: Frenzied Crimson Beast</t>
  </si>
  <si>
    <t>Fight the Frenzied Crimson Beast  on the 3rd level of the Ruins Labyrinth.</t>
  </si>
  <si>
    <t>Obtain items and equipment.
Note: The Abyss Boss will respawn every 7 days. You can forcibly respawn it using "The World" tarot card.</t>
  </si>
  <si>
    <t>深渊BOSS</t>
  </si>
  <si>
    <t>被遗忘的墓穴-2 攻略遗迹BOSS</t>
  </si>
  <si>
    <t>获得道具和装备 P.S.深渊BOSS每七天会重生，而且每次重生会更强，也可以使用"世界"塔罗牌</t>
  </si>
  <si>
    <t>JEFE del abismo</t>
  </si>
  <si>
    <t xml:space="preserve">Pelea contra el jefe del abismo en el tercer nivel del Laberinto en ruinas </t>
  </si>
  <si>
    <t>Бос Безодні</t>
  </si>
  <si>
    <t>Можете ознайомитися з посібником з перемоги над босом Руїн.</t>
  </si>
  <si>
    <t>Отримання предметів та спорядження.
P.S. Бос Безодні відроджується кожні сім днів, і кожне наступне відродження робить його сильнішим.
Ви також можете використовувати карту Таро "Світ". (Щоб скинути таймер подій)</t>
  </si>
  <si>
    <t>Босс Бездны</t>
  </si>
  <si>
    <t>Можете ознакомиться с руководством по победе над боссом Руин.</t>
  </si>
  <si>
    <t>Получение предметов и экипировки.
P.S. Босс Бездны возрождается каждые семь дней, и каждое последующее возрождение делает его сильнее.
Вы также можете использовать карту Таро «Мир». (Чтобы сбросить таймер событий)</t>
  </si>
  <si>
    <t>Ruinen-Boss</t>
  </si>
  <si>
    <t>Forgotten Catacombs- 2
Besiege dort den Ruinenboss</t>
  </si>
  <si>
    <t>Erhalte Items und Ausrüstung
P.S. Der Ruinen-Boss wird alle sieben Tage wiedergeboren und wird bei jeder Wiedergeburt stärker. Du kannst auch die "Welt"-Tarotkarte verwenden.</t>
  </si>
  <si>
    <t>Boss Vực Thẳm</t>
  </si>
  <si>
    <t>Đánh boss Vực Thẳm ở tầng 3 của Mê Cung Tàn Tích.</t>
  </si>
  <si>
    <t>Nhận vật phẩm và trang bị.
Lưu ý: Trùm Vực Thẳm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</si>
  <si>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</si>
  <si>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</si>
  <si>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</si>
  <si>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Bos Jurang</t>
  </si>
  <si>
    <t>Makam Terlupakan - 2: Panduan untuk mengalahkan Bos Reruntuhan</t>
  </si>
  <si>
    <t>Dapatkan item dan perlengkapan
P.S. Bos Abyss muncul kembali setiap tujuh hari, dan setiap kemunculan kembali akan lebih kuat. Anda juga dapat menggunakan kartu Tarot "Dunia".</t>
  </si>
  <si>
    <t>RD11</t>
  </si>
  <si>
    <t>贖罪吧</t>
  </si>
  <si>
    <t>於"???墓穴(狂亂的紅獸)"
攻略遺跡的BOSS(必須要20秒內打完)，會有一個召喚門</t>
  </si>
  <si>
    <t>新地點-墮落的聖堂
有營火
(地圖簡稱"教堂"，目前NPC無任何功能，等待日後更新)</t>
  </si>
  <si>
    <t>汝よ、自からの罪を数えよ！</t>
  </si>
  <si>
    <t>深淵3階層のBOSSを倒すと異空間に繋がる建物が出現する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</si>
  <si>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</si>
  <si>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</si>
  <si>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</si>
  <si>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</si>
  <si>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赎罪吧</t>
  </si>
  <si>
    <t>被遗忘的墓穴-2 攻略遗迹的BOSS(必须要20秒内打完)，会有一个召唤门</t>
  </si>
  <si>
    <t>新地点-堕落的圣堂 有营火 (地图简称"教堂"，目前NPC无任何功能，等待日后更新)</t>
  </si>
  <si>
    <t>Expia tus pecados</t>
  </si>
  <si>
    <t>Спокутай свої гріхи</t>
  </si>
  <si>
    <t>Переможіть боса Руїн (необхідно виконати протягом 20 секунд), після чого з'явиться брама в Занепалу церкву.</t>
  </si>
  <si>
    <t>Нова локація - Занепала церква (з багаттям)
(Ця локація просто називається "Церква"). 
В даний час NPC не виконують жодних функцій і будуть оновлені пізніше.)</t>
  </si>
  <si>
    <t>Искупи свои грехи</t>
  </si>
  <si>
    <t>Победите босса Руин (необходимо выполнить в течение 20 секунд), после чего появятся врата в Падшую церковь.</t>
  </si>
  <si>
    <t>Новая локация — Падшая церковь (с костром)
(Эта локация просто называется «Церковь». 
В настоящее время NPC не выполняют никаких функций и будут обновлены позже.)</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</si>
  <si>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</si>
  <si>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</si>
  <si>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</si>
  <si>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</si>
  <si>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</si>
  <si>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</si>
  <si>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</si>
  <si>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</si>
  <si>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</si>
  <si>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Tebuslah dosa-dosamu</t>
  </si>
  <si>
    <t>Makam Terlupakan - 2: Kalahkan bos di reruntuhan (harus diselesaikan dalam 20 detik), dan portal pemanggilan akan muncul.</t>
  </si>
  <si>
    <t>Lokasi baru - Gereja yang Runtuh. Api unggun tersedia.
(Singkatan peta: "Gereja". Saat ini, NPC belum memiliki fungsi; menunggu pembaruan di masa mendatang.)</t>
  </si>
  <si>
    <t>RD12</t>
  </si>
  <si>
    <t>大焦熱溶岩帶</t>
  </si>
  <si>
    <t>於"???墓穴(狂亂的紅獸)"
往洞口掉落(請攜帶復活羽毛)，即可抵達新地圖</t>
  </si>
  <si>
    <t>新地圖：大焦熱溶岩帶
(本地圖各功能皆尚未完成，可能遭遇錯誤BUG，未存檔前不建議前往。)</t>
  </si>
  <si>
    <t>大焦熱溶岩帯</t>
  </si>
  <si>
    <t>忘却のカタコンベ-2において、穴に落ちると新しいマップ行くことができます（火の鳥の羽を装備して落ちよう…）</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</si>
  <si>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</si>
  <si>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</si>
  <si>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or use the "Sun" item and try saving before doing so.</t>
  </si>
  <si>
    <t>New area unlocked: "Scorching Lava Zone"
(This map is not completely finished and as such, it might cause bugs or errors. Please save before going here.)</t>
  </si>
  <si>
    <t>大焦热溶岩带</t>
  </si>
  <si>
    <t>于被遗忘的墓穴-2，往洞口掉落(请携带复活羽毛)，即可抵达新地图</t>
  </si>
  <si>
    <t>新地图：大焦热溶岩带 (本地图各功能皆尚未完成，可能遭遇错误BUG，未存档前不建议前往。)</t>
  </si>
  <si>
    <t>Zona de lava</t>
  </si>
  <si>
    <t>En Catacumbas Olvidadas - 2, déjate caer desde la entrada de la cueva para llegar al nuevo mapa. Lleva una «Pluma de Pájaro de Fuego» e intenta guardar antes de hacerlo.</t>
  </si>
  <si>
    <t>Місце біля лави</t>
  </si>
  <si>
    <t>Впадіть з обриву в кімнаті з Босом (обов'язково екіпіруйте Перо Фенікса перед тим, як впасти), щоб потрапити в цю локацію.</t>
  </si>
  <si>
    <t>Нова локація: Місце біля лави
(Функціонал локації ще не доопрацьований, і в ній можуть траплятися помилки. Не рекомендується відвідувати її, не зберігши гру.)</t>
  </si>
  <si>
    <t>Место у лавы</t>
  </si>
  <si>
    <t>Упадите с обрыва в комнате с Боссом (обязательно экипируйте Перо Феникса перед тем как упасть), чтобы попасть в эту локацию.</t>
  </si>
  <si>
    <t>Новая локация: Место у лавы
(Функционал локации ещё не доработан, и в ней могут встречаться ошибки. Не рекомендуется посещать её, не сохранив игру.)</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</si>
  <si>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</si>
  <si>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</si>
  <si>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</si>
  <si>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</si>
  <si>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</si>
  <si>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</si>
  <si>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</si>
  <si>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</si>
  <si>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</si>
  <si>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Sabuk lava panas Dajiao</t>
  </si>
  <si>
    <t>Di Makam Terlupakan-2, jatuhkan tubuh ke arah pintu masuk (harap bawa bulu kebangkitan) untuk mencapai peta baru.</t>
  </si>
  <si>
    <t>Peta Baru: Zona Lava Hangus yang Luas
(Fungsi peta ini belum lengkap dan mungkin mengalami bug. Tidak disarankan untuk pergi ke sana sebelum menyimpan permainan Anda.)</t>
  </si>
  <si>
    <t>墮落的聖堂</t>
  </si>
  <si>
    <t>Fallen Sanctuary</t>
  </si>
  <si>
    <t>堕落的圣堂</t>
  </si>
  <si>
    <t>Занепала церква</t>
  </si>
  <si>
    <t>Падшая церковь</t>
  </si>
  <si>
    <t>Santuário Caído (Fallen Sanctuary)</t>
  </si>
  <si>
    <t>RD13</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</si>
  <si>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</si>
  <si>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</si>
  <si>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</si>
  <si>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</si>
  <si>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</si>
  <si>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</si>
  <si>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</si>
  <si>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</si>
  <si>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</si>
  <si>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教堂隐藏物品-1</t>
  </si>
  <si>
    <t xml:space="preserve">教堂NPC后方，石像的背后
</t>
  </si>
  <si>
    <t>装备:圣少女的怜悯</t>
  </si>
  <si>
    <t>Objeto oculto de la iglesia - 1</t>
  </si>
  <si>
    <t>Detras del NPC en la iglesia, hay una estatua. Detras de la estatua hay un objeto oculto</t>
  </si>
  <si>
    <t>За спиною NPC у церкві знаходиться статуя. За нею захований предмет.</t>
  </si>
  <si>
    <t>Отримання екіпірування: Милість Святої Діви</t>
  </si>
  <si>
    <t>За спиной NPC в церкви находится статуя. За ней спрятан предмет.</t>
  </si>
  <si>
    <t>Получение экипировки: Милость Святой Девы</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</si>
  <si>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</si>
  <si>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</si>
  <si>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</si>
  <si>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</si>
  <si>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</si>
  <si>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</si>
  <si>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</si>
  <si>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</si>
  <si>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</si>
  <si>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Barang Tersembunyi Gereja - 1</t>
  </si>
  <si>
    <t>Di belakang NPC gereja, di belakang patung batu.</t>
  </si>
  <si>
    <t>Perlengkapan: Belas Kasihan Gadis Suci</t>
  </si>
  <si>
    <t>RD14</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</si>
  <si>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</si>
  <si>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</si>
  <si>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</si>
  <si>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</si>
  <si>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</si>
  <si>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</si>
  <si>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</si>
  <si>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</si>
  <si>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</si>
  <si>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</si>
  <si>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与教堂中的修女忏悔，兴奋值需要高于50%
不足的话会没有选项</t>
  </si>
  <si>
    <t xml:space="preserve">触发第一段剧情
*选择伤害她会触发必死。 </t>
  </si>
  <si>
    <t>Arrepentirse</t>
  </si>
  <si>
    <t>Визнання</t>
  </si>
  <si>
    <t>Сповідайтеся черниці.
Якщо ваш рівень збудження нижчий за 50%, можливість сповідатися не з'явиться.</t>
  </si>
  <si>
    <t>апускає подію "Визнання" з "монахинею".
*Якщо ви нападете на неї, то це приведе до битви.
(У ній у Курохи не буде ні шансу на перемогу)</t>
  </si>
  <si>
    <t>Признание</t>
  </si>
  <si>
    <t>Исповедуйтесь "монахине".
Если ваш уровень возбуждения ниже 50%, возможность исповедаться не появится.</t>
  </si>
  <si>
    <t>Запускает событие «Признание» с «монахиней».
*Если вы нападёте на неё, то это преведет к битве
(в ней у Курохи не будет ни шанса на победу).</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</si>
  <si>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</si>
  <si>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</si>
  <si>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</si>
  <si>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</si>
  <si>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</si>
  <si>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</si>
  <si>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</si>
  <si>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</si>
  <si>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Menyesali</t>
  </si>
  <si>
    <t>Untuk mengaku dosa kepada para biarawati di gereja, tingkat antusiasme Anda harus di atas 50%. Jika terlalu rendah, tidak akan ada pilihan.</t>
  </si>
  <si>
    <t>Picu bagian pertama cerita.
*Memilih untuk menyakitinya akan mengakibatkan kematian.*</t>
  </si>
  <si>
    <t>RD15</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</si>
  <si>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</si>
  <si>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</si>
  <si>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</si>
  <si>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</si>
  <si>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</si>
  <si>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</si>
  <si>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</si>
  <si>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</si>
  <si>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</si>
  <si>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</si>
  <si>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</si>
  <si>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</si>
  <si>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Arrepentirse - 1</t>
  </si>
  <si>
    <t>Визнання - 1</t>
  </si>
  <si>
    <t>Коли ваш показник гріхів досягне нуля, ви можете знову сповідатися черниці.</t>
  </si>
  <si>
    <t>Запускає другу частину сюжетної лінії.
*Поки не реалізовано"</t>
  </si>
  <si>
    <t>Признание - 1</t>
  </si>
  <si>
    <t>Когда ваш показатель грехов достигнет нуля, вы можете снова исповедаться "монахине".</t>
  </si>
  <si>
    <t>Запускает вторую часть сюжетной линии.
*Пока не реализовано</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</si>
  <si>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</si>
  <si>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</si>
  <si>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</si>
  <si>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</si>
  <si>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</si>
  <si>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</si>
  <si>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</si>
  <si>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</si>
  <si>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Bertobat - 1</t>
  </si>
  <si>
    <t>Ketika nilai dosa mencapai -, tahap kedua pertobatan dapat dipicu.</t>
  </si>
  <si>
    <t>Memicu bagian kedua cerita
*Belum diimplementasikan</t>
  </si>
  <si>
    <t>Zona de Lava Escaldante (Scorching Lava Zone)</t>
  </si>
  <si>
    <t>RD16</t>
  </si>
  <si>
    <t>於"大焦熱溶岩帶"左側柱子後面，有個隱藏物品與採集處</t>
  </si>
  <si>
    <t>裝備:熔岩戒指
*此道具可以通過地圖刷新後重複取得</t>
  </si>
  <si>
    <t>大焦熱溶岩帯エリアの左側の柱の後ろに、取得できるアイテムがあります</t>
  </si>
  <si>
    <t>装備：溶岩リング
※この装備はマップを更新すると繰り返し入手できます</t>
  </si>
  <si>
    <t>Behind the pillar to the left in the Scorching Lava Zone area, there is an item that you can collect.</t>
  </si>
  <si>
    <t>Obtain "Lava Ring" equipment.
*This item can be obtained every time you enter the map.</t>
  </si>
  <si>
    <t>于"大焦热溶岩带"左侧柱子后面，有个隐藏物品与采集处</t>
  </si>
  <si>
    <t>装备:熔岩戒指 *此道具可以通过地图刷新后重复取得</t>
  </si>
  <si>
    <t>За колоною зліва від «Місця біля лави» знаходиться захований предмет.</t>
  </si>
  <si>
    <t>Отримання екіпірування: Лавове кільце
*Цю річ можна отримати повторно після оновлення картки.</t>
  </si>
  <si>
    <t>За колонной слева от «Места у лавы» находится спрятанный предмет.</t>
  </si>
  <si>
    <t>Получение экипировки: Лавовое кольцо
*Этот предмет можно получить повторно после обновления карты.</t>
  </si>
  <si>
    <t>Im ,,Scorching Lava Zone area" Ort, hinter der Säule auf der linken Seite, gibt es ein verstecktes Item und einen Sammelpunkt</t>
  </si>
  <si>
    <t xml:space="preserve">Sie benötigen den Lavaring.
*Dieses Item kann nach dem Aktualisieren der Karte erneut erhalten werden. </t>
  </si>
  <si>
    <t>Đằng sau cái cột bên trái của Khu Dung Nham Nóng Chảy, có một vật phẩm bạn có thể nhặt</t>
  </si>
  <si>
    <t>Nhận trang bị “Nhẫn Hỏa Ngục”.
*Vật phẩm này có thể được nhận mỗi lần bạn vào bản đồ.</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</si>
  <si>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</si>
  <si>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</si>
  <si>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Di balik pilar di sisi kiri "Sabuk Lava Kokas Besar", terdapat item tersembunyi dan titik pengumpulan.</t>
  </si>
  <si>
    <t>Perlengkapan: Cincin Lava
*Item ini dapat diperoleh berulang kali setelah peta diperbarui.</t>
  </si>
  <si>
    <t>X</t>
  </si>
  <si>
    <t>無特定區域</t>
  </si>
  <si>
    <t>Non-specific Area</t>
  </si>
  <si>
    <t xml:space="preserve">(Немає конкретної області) </t>
  </si>
  <si>
    <t>(Нет конкретной области)</t>
  </si>
  <si>
    <t>Áreas não específicas (Non-specific Area)</t>
  </si>
  <si>
    <t>RX1</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</si>
  <si>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</si>
  <si>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</si>
  <si>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[4, 15, 50, 150, 500, 1600, 4800, 12000, 24000, 36000]
隨著空揮次數的累積，將逐漸提升平砍攻擊力和些微的攻擊速度
攻擊倍率最高為357%(1.8*劍術修行等級)</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</si>
  <si>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</si>
  <si>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</si>
  <si>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</si>
  <si>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</si>
  <si>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</si>
  <si>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The amount is increased on intervals of
[4, 15, 50, 150, 500, 1600, 4800, 12000, 24000, 36000]
Attack speed also increases by a short amount. The maximum attack multiplier is 357% (1.8 * swordsmanship training level)."</t>
  </si>
  <si>
    <t>剑术修行</t>
  </si>
  <si>
    <t>习得「闪步太刀」后 装备「近战武器」进行挥空攻击达到第4次时，将自动进入隐藏的剑术修行状态。 若使用增大了的武器，可以提升修行效率（例如塔罗牌或武器本身附带技能）。</t>
  </si>
  <si>
    <t>在修行过程中，将逐步累积隐藏数值，最高可达空挥36000次。 随着空挥次数的累积，将逐渐提升平砍攻击力和些微的攻击速度</t>
  </si>
  <si>
    <t>Entrenamiento de esgrima</t>
  </si>
  <si>
    <t>Тренування з фехтування</t>
  </si>
  <si>
    <t>Обов'язкова умова: Семпо Таті
Змахнувши мечем вчетверте, ви отримаєте приховану навичку. Крім того, ви також можете підвищити ефективність тренувань, використовуючи велику зброю.
(наприклад, використовуючи карту Таро «Сила», навички володіння зброєю і т.д.)</t>
  </si>
  <si>
    <t>Набуття пасивної навички: «Тренування володіння мечем».
Ви можете виконувати тренувальні помахи. Під час тренування ви можете накопичити до 36000 тренувальних помахів, при цьому кожен помах збільшує базову шкоду від кожної зброї ближнього бою на певну величину.
Кількість збільшується з інтервалом [4, 15, 50, 150, 500, 1600, 4800, 12000, 24000, 36000]
Швидкість атаки також зростає на короткий час. Максимальний коефіцієнт атаки становить 357% (1,8* на рівень володіння мечем)</t>
  </si>
  <si>
    <t>Тренировки по фехтованию</t>
  </si>
  <si>
    <t>Обязательное условие: Семпо Тати
Взмахнув мечом в четвертый раз, вы получите скрытый навык. Кроме того, вы также можете повысить эффективность тренировок, используя крупное оружие.
(например используя, карту Таро «Сила», навыки владения оружием и т.д.)</t>
  </si>
  <si>
    <t>Получение пассивного навыка: «Тренировка владения мечом».
Вы можете выполнять тренировочные взмахи. Во время тренировки вы можете накопить до 36000 тренировочных взмахов, при этом каждый взмах увеличивает базовый урон от каждого оружия ближнего боя на определенную величину.
Количество увеличивается с интервалом в [4, 15, 50, 150, 500, 1600, 4800, 12000, 24000, 36000]
Скорость атаки также увеличивается на короткое время. Максимальный коэффициент атаки составляет 357% (1,8 * на уровень владения мечом).</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</si>
  <si>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</si>
  <si>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</si>
  <si>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</si>
  <si>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</si>
  <si>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vũ khí lớn (vd: lá bài Tarot Sức Mạnh, kĩ năng vũ khí, vv...)</t>
  </si>
  <si>
    <t>Trong quá trình luyện kiếm, chỉ số ẩn sẽ tăng dần, tối đa 36000 lần vung kiếm.
[4, 15, 50, 150, 500, 1600, 4800, 12000, 24000, 36000]
Khi số lần vung kiếm tăng, sát thường và tốc đánh cũng sẽ tăng dần. Hệ số sát thương tối đa là 357% (1.8 * cấp độ)</t>
  </si>
  <si>
    <t>Treinamento de espadachim</t>
  </si>
  <si>
    <t>Pré-requisito: Senpo Tachi
Depois de golpear com a sua espada pela 4ª vez no ar, Você receberá uma habilidade escondida. 
Adicionalmente, você também pode acelerar a velocidade da eficiência do seu treinamento quando usar uma arma grande(p. ex. Carta de tarô da força, habilidade com arma, etc.)</t>
  </si>
  <si>
    <t>Obtenha uma nova passiva: "Treinamento de Espadachim".
Durante o treinamento, os atributos ocultos se acumularão gradualmente, atingindo um máximo de 36.000 golpes praticados.
[4, 15, 50, 150, 500, 1600, 4800, 12000, 24000, 36000]
Com o acúmulo de golpes praticados, o poder de ataque normal e a velocidade de ataque aumentarão gradualmente. O multiplicador de ataque máximo é de 357% (1,8 * nível de treinamento de Espadachim).</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</si>
  <si>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</si>
  <si>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</si>
  <si>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</si>
  <si>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RX2</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</si>
  <si>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</si>
  <si>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</si>
  <si>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</si>
  <si>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</si>
  <si>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</si>
  <si>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</si>
  <si>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</si>
  <si>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</si>
  <si>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</si>
  <si>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炎热天气1</t>
  </si>
  <si>
    <t>晴天时，外出有机率变为炎热。 (妹妹若已经收到了T恤，炎热机率会提升)</t>
  </si>
  <si>
    <t>部分NPC会躲起来 若提前回家(不可使用星之门)，妹妹有炎热天气相关剧情</t>
  </si>
  <si>
    <t>Clima caluroso 1</t>
  </si>
  <si>
    <t>Спекотна погода 1</t>
  </si>
  <si>
    <t>У сонячні дні є ймовірність, що погода буде по-справжньому спекотною.
(Якщо сестра вже отримала футболку, ймовірність того, що це станеться, зростає)</t>
  </si>
  <si>
    <t>Деякі NPC сховаються.
Якщо ви повернетеся додому раніше (не використовуючи Зоряні двері), у вашої сестри відбудеться подія, пов'язана зі спекотною погодою.</t>
  </si>
  <si>
    <t>Жаркая погода 1</t>
  </si>
  <si>
    <t>В солнечные дни есть вероятность, что погода будет по-настоящему жаркой.
(Если сестра уже получила футболку, вероятность того, что это произойдет, возрастает)</t>
  </si>
  <si>
    <t>Некоторые NPC спрячутся.
Если вы вернетесь домой раньше (не используя Звёздную дверь), у вашей сестры произойдет событие, связанное с жаркой погодой.</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</si>
  <si>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</si>
  <si>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</si>
  <si>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</si>
  <si>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</si>
  <si>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</si>
  <si>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</si>
  <si>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</si>
  <si>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</si>
  <si>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</si>
  <si>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Cuaca panas 1</t>
  </si>
  <si>
    <t>Pada hari-hari cerah, ada kemungkinan cuaca akan panas di luar.
(Jika saudara perempuanmu sudah menerima kaus tersebut, kemungkinan cuaca akan panas meningkat.)</t>
  </si>
  <si>
    <t>Beberapa NPC akan bersembunyi.
Jika Anda pulang lebih awal (dan tidak dapat menggunakan Gerbang Bintang), akan ada peristiwa terkait cuaca panas untuk saudara perempuan Anda.</t>
  </si>
  <si>
    <t>RX3</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</si>
  <si>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</si>
  <si>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</si>
  <si>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</si>
  <si>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</si>
  <si>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</si>
  <si>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</si>
  <si>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</si>
  <si>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</si>
  <si>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</si>
  <si>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炎热天气2 特典T恤</t>
  </si>
  <si>
    <t>同上，若有T恤时，将有分支剧情</t>
  </si>
  <si>
    <t>同上 炎热天气分支剧情 (现版本不管你有没有取得T恤，都会是自动穿上这套)</t>
  </si>
  <si>
    <t>Clma caluroso 2, Camisa especial</t>
  </si>
  <si>
    <t>Igual que lo anterior, si consigues la camiseta especial, se desbloqueara un evento con tu hermana.</t>
  </si>
  <si>
    <t>Спекотна погода 2
(Бонусна футболка)</t>
  </si>
  <si>
    <t>Як і у випадку з описаним вище, якщо вам вдасться здобути футболку, то з Імоуто відбудеться ще одна подія.</t>
  </si>
  <si>
    <t>Те саме, що й вище.
Додаткова сюжетна лінія для спекотної погоди.
(В даний час у цій версії футболка використовуватиметься незалежно від того, отримали ви її чи ні)</t>
  </si>
  <si>
    <t>Жаркая погода 2
(Бонусная футболка)</t>
  </si>
  <si>
    <t>Как и в случае с описанным выше, если вам удастся получить футболку, то с Имоуто состоится ещё одно событие.</t>
  </si>
  <si>
    <t>То же самое, что и выше.
Дополнительная сюжетная линия для жаркой погоды.
(В настоящее время в этой версии футболка будет использоваться независимо от того, получили вы её или нет)</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</si>
  <si>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</si>
  <si>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</si>
  <si>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</si>
  <si>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</si>
  <si>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</si>
  <si>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</si>
  <si>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</si>
  <si>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</si>
  <si>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</si>
  <si>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Kaos Bonus Cuaca Panas 2</t>
  </si>
  <si>
    <t>Seperti yang telah disebutkan di atas, jika ada kaos, maka akan ada alur cerita bercabang.</t>
  </si>
  <si>
    <t>Sama seperti di atas. Kisah sampingan cuaca panas
(Pada versi saat ini, Anda akan otomatis mengenakan pakaian ini terlepas dari apakah Anda sudah mendapatkan kaus tersebut atau belum.)</t>
  </si>
  <si>
    <t>RX4</t>
  </si>
  <si>
    <t>炎熱天氣3
電風扇</t>
  </si>
  <si>
    <t>同上，可以透過"戰車"塔羅牌召喚的商店車中，購買電風扇</t>
  </si>
  <si>
    <t>獲得電風扇
炎熱天氣分支劇情</t>
  </si>
  <si>
    <t>猛暑-3
扇風機</t>
  </si>
  <si>
    <t xml:space="preserve">
ザ・チャリオットのタロットカードで召喚された宅配車から扇風機を購入するこ
とができます
</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</si>
  <si>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</si>
  <si>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</si>
  <si>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</si>
  <si>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</si>
  <si>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炎热天气3 电风扇</t>
  </si>
  <si>
    <t xml:space="preserve">同上，可以透过"战车"塔罗牌召唤的商店车中，购买电风扇
</t>
  </si>
  <si>
    <t xml:space="preserve">获得电风扇 炎热天气分支剧情
</t>
  </si>
  <si>
    <t>Clima caluroso 3, Ventilador electrico</t>
  </si>
  <si>
    <t>Al igual que en el caso anterior, si consigues comprar un Ventilador Eléctrico del carro de la tienda invocado por la carta del Tarot «Carro», habrá otro evento con la hermana.</t>
  </si>
  <si>
    <t>Спекотна погода 3
(Вентилятор)</t>
  </si>
  <si>
    <t>Аналогічно, ви можете придбати електричний вентилятор у магазині, яку викличе карта Таро «Колесниця».</t>
  </si>
  <si>
    <t>Отримання предмета: Вентилятор.
Додаткова сюжетна лінія для спекотної погоди.</t>
  </si>
  <si>
    <t>Жаркая погода 3
(Вентилятор)</t>
  </si>
  <si>
    <t>Аналогичным образом, вы можете приобрести электрический вентилятор в магазине, которую вызовет карта Таро «Колесница».</t>
  </si>
  <si>
    <t>Получение предмета: Вентилятор.
Дополнительная сюжетная линия для жаркой погоды.</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</si>
  <si>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</si>
  <si>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</si>
  <si>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</si>
  <si>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</si>
  <si>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</si>
  <si>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</si>
  <si>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</si>
  <si>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</si>
  <si>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</si>
  <si>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Cuaca panas 3. Kipas angin listrik</t>
  </si>
  <si>
    <t>Demikian pula, Anda dapat membeli kipas angin listrik dari troli toko yang dipanggil oleh kartu tarot "Kereta Perang".</t>
  </si>
  <si>
    <t>Belilah kipas angin listrik. Kisah sampingan tentang cuaca panas.</t>
  </si>
  <si>
    <t>RX5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</si>
  <si>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</si>
  <si>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</si>
  <si>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</si>
  <si>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</si>
  <si>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</si>
  <si>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</si>
  <si>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</si>
  <si>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</si>
  <si>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</si>
  <si>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</si>
  <si>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 xml:space="preserve">初次见到时有两个选项的对话，""请记得都要对话完成""。 否则错过之后就不会再有了，会错失之后出现的商品。
</t>
  </si>
  <si>
    <t>Tienda misteriosa - Dulceria de Aki</t>
  </si>
  <si>
    <t>Durante los dias soleados, Hay una probalidad del 60% de que aparezca una tienda misteriosa, aparecera en una locacion aleatoria del Bosque en ruinas. NOTA: ''Bosque en ruinas'' y no en ''Bosque abandonado''</t>
  </si>
  <si>
    <t>Таємний магазин</t>
  </si>
  <si>
    <t>У сонячні дні існує 60% ймовірність його появи у випадкових місцях у межах локації "Ліс у руїн".
(Не "Загублений ліс")</t>
  </si>
  <si>
    <t>Вперше вам будуть запропоновані два варіанти діалогу. Будь ласка, не забудьте завершити обидва діалоги.
В іншому випадку ви пропустите майбутні предмети.</t>
  </si>
  <si>
    <t>Тайный магазин</t>
  </si>
  <si>
    <t>В солнечные дни существует 60% вероятность его появления в случайных местах в пределах локации «Лес у руин».
(Не «Затерянный лес»)</t>
  </si>
  <si>
    <t>В первый раз вам будут предложены два варианта диалога. Пожалуйста, не забудьте завершить оба диалога.
В противном случае вы пропустите будущие предметы.</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</si>
  <si>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</si>
  <si>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</si>
  <si>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</si>
  <si>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</si>
  <si>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</si>
  <si>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</si>
  <si>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</si>
  <si>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</si>
  <si>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</si>
  <si>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Toko Misteri</t>
  </si>
  <si>
    <t>Pada hari-hari cerah, ada kemungkinan 60% ia akan muncul di lokasi acak dalam seri "Hutan Reruntuhan".
Seri "Hutan Reruntuhan" ditunjukkan pada peta; itu bukan "Hutan yang Hilang".</t>
  </si>
  <si>
    <t>Saat pertama kali Anda menemui ini, ada dua pilihan dialog; harap ingat untuk menyelesaikan kedua dialog tersebut.
Jika tidak, Anda akan kehilangan kesempatan untuk mendapatkan item selanjutnya.</t>
  </si>
  <si>
    <t>RX6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</si>
  <si>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</si>
  <si>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</si>
  <si>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</si>
  <si>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</si>
  <si>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</si>
  <si>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</si>
  <si>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</si>
  <si>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</si>
  <si>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</si>
  <si>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 xml:space="preserve">神秘商店-1
</t>
  </si>
  <si>
    <t>于神秘商店的扭蛋，花费5千元或指定道具</t>
  </si>
  <si>
    <t>随机获得蓝色、绿色、粉色的金平糖 "商店主人的好感度越高，花费越低"</t>
  </si>
  <si>
    <t>Dulceria de Aki 1</t>
  </si>
  <si>
    <t>Rueda en el gacha de la tienda misteriosa. Cuesta 5000 yenes o un objeto</t>
  </si>
  <si>
    <t>Таємний покупець - 1</t>
  </si>
  <si>
    <t>Зіграйте у гачу в Таємничому магазині (Акі).
Ціна за один предмет - 5000 єн.</t>
  </si>
  <si>
    <t>Випадково випадає сині, зелені або рожеві конпейто (японські цукерки).
«Чим вищі ваші стосунки з продавцем, тим нижча ціна».</t>
  </si>
  <si>
    <t>Тайный покупатель - 1</t>
  </si>
  <si>
    <t>Сыграйте в гачу в Таинственном магазине (Аки).
Цена за один предмет - 5000 иен.</t>
  </si>
  <si>
    <t>Случайным образом выпадает синие, зелёные или розовые конпейто (японские конфеты).
«Чем выше ваши отношения с продавцом, тем ниже цена».</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</si>
  <si>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</si>
  <si>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</si>
  <si>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</si>
  <si>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</si>
  <si>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</si>
  <si>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</si>
  <si>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</si>
  <si>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</si>
  <si>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</si>
  <si>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Toko Misteri - 1</t>
  </si>
  <si>
    <t>Dalam sistem gacha di Mystery Shop, Anda dapat menghabiskan 5.000 yen atau menggunakan item tertentu.</t>
  </si>
  <si>
    <t>Dapatkan permen Jepang (konpeito) berwarna biru, hijau, atau merah muda secara acak.
"Semakin baik hubungan Anda dengan penjaga toko, semakin rendah harganya."</t>
  </si>
  <si>
    <t>RX7</t>
  </si>
  <si>
    <t>神秘商店-2</t>
  </si>
  <si>
    <t>於神秘商店的店長對話，並給予"鮭魚"。</t>
  </si>
  <si>
    <t>糖果機降價$50
*糖果機最低價格為$500</t>
  </si>
  <si>
    <t>神秘商店—「アキの菓子店」‐2</t>
  </si>
  <si>
    <t>不思議なお店の店主と話して「鮭」をあげましょう。</t>
  </si>
  <si>
    <t>キャンディマシンの価格が50ドル値下げされました *キャンディマシンの最低価格は500ドルです</t>
  </si>
  <si>
    <t>Aki's Sweet Shop - 2</t>
  </si>
  <si>
    <t>Talk to the shopkeeper and give her a "Salmon".</t>
  </si>
  <si>
    <t>Gacha price of the candy machine is reduced by 50 yen. You can't reduce the price below 500 yen</t>
  </si>
  <si>
    <t xml:space="preserve">于神秘商店的店长对话，并给予"鲑鱼"。
</t>
  </si>
  <si>
    <t>糖果机降价$50 *糖果机最低价格为$500</t>
  </si>
  <si>
    <t>Dulceria de Aki 2</t>
  </si>
  <si>
    <t>Таємний покупець - 2</t>
  </si>
  <si>
    <t>Поговоріть із власницею Таємничого магазину та дайте їй «лосося».</t>
  </si>
  <si>
    <t>Ціна на крутку автомата з цукерками знизиться на 50 ієн.
* Найнижча ціна - 500 єн</t>
  </si>
  <si>
    <t>Тайный покупатель - 2</t>
  </si>
  <si>
    <t>Поговорите с владелицей Таинственного магазина и дайте ей «лосося».</t>
  </si>
  <si>
    <t>Цена на крутку автомата с конфетами понизиться на 50 йен.
*Самая низкая цена - 500 йен</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</si>
  <si>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</si>
  <si>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</si>
  <si>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</si>
  <si>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</si>
  <si>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</si>
  <si>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</si>
  <si>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</si>
  <si>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</si>
  <si>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</si>
  <si>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Toko Misteri - 2</t>
  </si>
  <si>
    <t>Bicaralah dengan pemilik Toko Misterius dan berikan dia seekor "Salmon".</t>
  </si>
  <si>
    <t>Harga mesin permen turun $50
*Harga terendah mesin permen adalah $500</t>
  </si>
  <si>
    <t>RX8</t>
  </si>
  <si>
    <t>神秘商店-3</t>
  </si>
  <si>
    <t>於神秘商店的店長對話，並給予"帝王鮭"。</t>
  </si>
  <si>
    <t>糖果機降價$500
獲得道具:壽司布丁
*糖果機最低價格為$500</t>
  </si>
  <si>
    <t>神秘商店—「アキの菓子店」‐3</t>
  </si>
  <si>
    <t>不思議なお店の店主と話して「キングサーモン」を渡す。</t>
  </si>
  <si>
    <t>キャンディマシンの価格が500ドル値下げされました 受け取るアイテム：寿司プリン *キャンディマシンの価格は500ドルから</t>
  </si>
  <si>
    <t>Aki's Sweet Shop - 3</t>
  </si>
  <si>
    <t>Talk to the shopkeeper and give her a "King Salmon".</t>
  </si>
  <si>
    <t>Aki's favorability increased.
One-time only:
Obtain "Sushi Pudding" item</t>
  </si>
  <si>
    <t>于神秘商店的店长对话，并给予"帝王鲑"。</t>
  </si>
  <si>
    <t>糖果机降价$500 获得道具:寿司布丁 *糖果机最低价格为$500</t>
  </si>
  <si>
    <t>Dulceria de Aki 3</t>
  </si>
  <si>
    <t>Таємний покупець - 3</t>
  </si>
  <si>
    <t>Поговоріть із власницею Таємничого магазину та дайте їй «Королівського лосося».</t>
  </si>
  <si>
    <t>Ціна на крутку автомата з цукерками знизиться на 500 ієн.
Отримання: Суші-пудинг
* Найнижча ціна на автомат для цукерок - 500 доларів.</t>
  </si>
  <si>
    <t>Тайный покупатель - 3</t>
  </si>
  <si>
    <t>Поговорите с владелицей Таинственного магазина и дайте ей «Королевского лосося».</t>
  </si>
  <si>
    <t>Цена на крутку автомата с конфетами понизиться на 500 йен.
Получение предмета: Суши-пудинг
*Самая низкая цена на автомат для конфет — 500 долларов</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</si>
  <si>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</si>
  <si>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</si>
  <si>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</si>
  <si>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</si>
  <si>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</si>
  <si>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</si>
  <si>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</si>
  <si>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</si>
  <si>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</si>
  <si>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Toko Misteri - 3</t>
  </si>
  <si>
    <t>Bicaralah dengan pemilik Toko Misterius dan berikan kepadanya "Raja Salmon".</t>
  </si>
  <si>
    <t>Harga Mesin Permen Diturunkan $500
Dapatkan Item: Puding Sushi
*Harga Mesin Permen Terendah adalah $500</t>
  </si>
  <si>
    <t>RX9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</si>
  <si>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</si>
  <si>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</si>
  <si>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</si>
  <si>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</si>
  <si>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</si>
  <si>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</si>
  <si>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</si>
  <si>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</si>
  <si>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</si>
  <si>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于神秘商店店长对话，并"不给予"鲑鱼。</t>
  </si>
  <si>
    <t>获得状态：诅咒 哥哥的下面发光。 
目前只有和妹妹共浴时，坐在一起，会有特殊剧情
（妹妹：...老哥，你喝生可乐了...?）</t>
  </si>
  <si>
    <t>Dulceria de Aki 4</t>
  </si>
  <si>
    <t>Таємний покупець - 4</t>
  </si>
  <si>
    <t>Поговоріть із власницею Таємничого магазину та «не віддавайте» лосося.</t>
  </si>
  <si>
    <t>Отримання статусу: "Проклятий".
(Геніталії Курохи світяться)
В даний час це особливе явище відбувається тільки тоді, коли він та Імоуто купаються разом, сидячи поряд.</t>
  </si>
  <si>
    <t>Тайный покупатель - 4</t>
  </si>
  <si>
    <t>Поговорите с владелицей Таинственного магазина и «не отдавайте» лосося.</t>
  </si>
  <si>
    <t>Получение статуса: «Проклятый».
(Гениталии Курохи светятся)
В настоящее время это особое явление происходит только тогда, когда он и Имоуто купаются вместе, сидя рядом.</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</si>
  <si>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</si>
  <si>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</si>
  <si>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</si>
  <si>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</si>
  <si>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</si>
  <si>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</si>
  <si>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</si>
  <si>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Toko Misteri - 4</t>
  </si>
  <si>
    <t>Bicaralah dengan pemilik Toko Misterius dan "jangan berikan" salmon itu.</t>
  </si>
  <si>
    <t>Status: Terkutuk
Alat kelamin sang saudara laki-laki bersinar.
Saat ini, peristiwa khusus hanya terjadi ketika dia dan saudara perempuannya mandi bersama dan duduk berdampingan.</t>
  </si>
  <si>
    <t>RX10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</si>
  <si>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</si>
  <si>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</si>
  <si>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</si>
  <si>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</si>
  <si>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</si>
  <si>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</si>
  <si>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</si>
  <si>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</si>
  <si>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</si>
  <si>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接续上一项目，给予帝王鲑，可以解除该诅咒状态</t>
  </si>
  <si>
    <t>解除诅咒</t>
  </si>
  <si>
    <t>Dulceria de Aki 5</t>
  </si>
  <si>
    <t>Таємний покупець - 5</t>
  </si>
  <si>
    <t>Продовжуючи попередню подію, можна сказати, що, давши їй королівського лосося, можна зняти прокляття.</t>
  </si>
  <si>
    <t>Зняття статусу: «Проклятий»</t>
  </si>
  <si>
    <t>Тайный покупатель - 5</t>
  </si>
  <si>
    <t>В продолжение предыдущего события, можно сказать, что, дав ей королевского лосося, можно снять проклятие.</t>
  </si>
  <si>
    <t>Снятие статуса: «Проклятый»</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</si>
  <si>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</si>
  <si>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</si>
  <si>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</si>
  <si>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</si>
  <si>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</si>
  <si>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</si>
  <si>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</si>
  <si>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</si>
  <si>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</si>
  <si>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Toko Misteri - 5</t>
  </si>
  <si>
    <t>Melanjutkan dari poin sebelumnya, memberikannya kepada ikan salmon raja dapat menghilangkan kutukan tersebut.</t>
  </si>
  <si>
    <t>Hilangkan kutukan</t>
  </si>
  <si>
    <t>RX11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</si>
  <si>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</si>
  <si>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</si>
  <si>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</si>
  <si>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</si>
  <si>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</si>
  <si>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</si>
  <si>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</si>
  <si>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</si>
  <si>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</si>
  <si>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 xml:space="preserve">神秘商店-6
</t>
  </si>
  <si>
    <t xml:space="preserve">完成对话后，并且第二次遇到商店时，可能就会有水馒头的商品
</t>
  </si>
  <si>
    <t>购买后获得道具"超敏软Q水馒头"</t>
  </si>
  <si>
    <t>Tienda Misteriosa - 6</t>
  </si>
  <si>
    <t>Таємний покупець - 6</t>
  </si>
  <si>
    <t>Поговоривши з нею вдруге, ви, можливо, побачите новий продукт «Пружний мізуманджу».</t>
  </si>
  <si>
    <t>Отримання предмета: Пружний мізуманджу</t>
  </si>
  <si>
    <t>Тайный покупатель - 6</t>
  </si>
  <si>
    <t>Поговорив с ней во второй раз, вы, возможно, увидите новый продукт «Упругий мизуманджу».</t>
  </si>
  <si>
    <t>Получение предмета: Упругий мизуманджу</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</si>
  <si>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</si>
  <si>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</si>
  <si>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</si>
  <si>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</si>
  <si>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</si>
  <si>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</si>
  <si>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</si>
  <si>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</si>
  <si>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</si>
  <si>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Toko Misteri - 6</t>
  </si>
  <si>
    <t>Setelah menyelesaikan dialog, dan setelah mengunjungi toko tersebut untuk kedua kalinya, Anda mungkin menemukan roti air sebagai salah satu barang yang dijual.</t>
  </si>
  <si>
    <t>Beli untuk mendapatkan item "Bakpao Kukus Super Sensitif Lembut dan Kenyal".</t>
  </si>
  <si>
    <t>RX12</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</si>
  <si>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</si>
  <si>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</si>
  <si>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</si>
  <si>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</si>
  <si>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</si>
  <si>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</si>
  <si>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</si>
  <si>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</si>
  <si>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</si>
  <si>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攻略遗迹第三层的BOSS，获得道具后，使用"星之门"回家，触发剧情</t>
  </si>
  <si>
    <t xml:space="preserve">获得道具"红髓液"
</t>
  </si>
  <si>
    <t>Fragmento de la Piedra Celestial 1</t>
  </si>
  <si>
    <t>Фрагмент Філософського каменю - 1</t>
  </si>
  <si>
    <t>Після перемоги над босом на третьому поверсі руїн та отримання каменю, використовуйте «Зоряні двері», щоб повернутися додому та запустити подію.</t>
  </si>
  <si>
    <t>Отримання предмета: Еліксир Рубрум</t>
  </si>
  <si>
    <t>Фрагмент Философского камня - 1</t>
  </si>
  <si>
    <t>После победы над боссом на третьем этаже руин и получения камня, используйте «Звёздную дверь», чтобы вернуться домой и запустить событие.</t>
  </si>
  <si>
    <t>Получение предмета: Эликсир Рубрум</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</si>
  <si>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</si>
  <si>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</si>
  <si>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</si>
  <si>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</si>
  <si>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</si>
  <si>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</si>
  <si>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</si>
  <si>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</si>
  <si>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</si>
  <si>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Fragmen Batu Surgawi 1</t>
  </si>
  <si>
    <t>Setelah mengalahkan bos di lantai tiga reruntuhan dan mendapatkan item tersebut, gunakan "Gerbang Bintang" untuk kembali ke rumah dan memicu peristiwa tersebut.</t>
  </si>
  <si>
    <t>Dapatkan item "Cairan Sumsum Merah"</t>
  </si>
  <si>
    <t>RX13</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</si>
  <si>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</si>
  <si>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</si>
  <si>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</si>
  <si>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</si>
  <si>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</si>
  <si>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</si>
  <si>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</si>
  <si>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</si>
  <si>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</si>
  <si>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哥哥可以喝下该道具，并获得状态。</t>
  </si>
  <si>
    <t>获得状态 *治愈妹妹前、后喝下，有不同剧情</t>
  </si>
  <si>
    <t>Fragmento de piedra celestial 2</t>
  </si>
  <si>
    <t>Фрагмент Філософського каменю - 2</t>
  </si>
  <si>
    <t>Курох може випити Еліксир Рубрум і отримати відповідний ефект.</t>
  </si>
  <si>
    <t>Отримання позитивного ефекту
* Випивши це до або після лікування, у Імоуто будуть різні діалоги.</t>
  </si>
  <si>
    <t>Фрагмент Философского камня - 2</t>
  </si>
  <si>
    <t>Куроха может выпить Эликсир Рубрум и получить соответствующий эффект.</t>
  </si>
  <si>
    <t>Получение положительного эффекта
*Выпив это до или после лечения, у Имоуто будут разные диалоги</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</si>
  <si>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</si>
  <si>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</si>
  <si>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</si>
  <si>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</si>
  <si>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</si>
  <si>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</si>
  <si>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</si>
  <si>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</si>
  <si>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</si>
  <si>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Fragmen Batu Surgawi 2</t>
  </si>
  <si>
    <t>Kakak laki-laki dapat meminum ramuan tersebut dan mendapatkan efek status.</t>
  </si>
  <si>
    <t>Mendapatkan Status
*Alur cerita yang berbeda terjadi tergantung pada apakah minuman diberikan sebelum atau setelah menyembuhkan saudari tersebut.</t>
  </si>
  <si>
    <t>RX14</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</si>
  <si>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</si>
  <si>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</si>
  <si>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</si>
  <si>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</si>
  <si>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</si>
  <si>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</si>
  <si>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</si>
  <si>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</si>
  <si>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</si>
  <si>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</si>
  <si>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</si>
  <si>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</si>
  <si>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Coche de tienda-1</t>
  </si>
  <si>
    <t>Торговий фургон - 1</t>
  </si>
  <si>
    <t>Ви можете випадково зустріти його на карті.
Ви можете викликати його, використовуючи карту Таро «Колесниця».
 *Ви можете викликати лише раз на день</t>
  </si>
  <si>
    <t>Поява фургона з кішками-дівчинками.
*Не забирайте речі відразу, тому що це вважається крадіжкою!!</t>
  </si>
  <si>
    <t>Торговый фургон - 1</t>
  </si>
  <si>
    <t>Вы можете случайно встретить его на карте.
Вы можете вызвать его, используя карту Таро «Колесница».
*Вы можете вызвать только раз в день</t>
  </si>
  <si>
    <r>
      <rPr>
        <rFont val="Microsoft JhengHei"/>
        <color theme="1"/>
        <sz val="12.0"/>
      </rPr>
      <t xml:space="preserve">Появления фургона с кошко-девочками.
</t>
    </r>
    <r>
      <rPr>
        <rFont val="Microsoft JhengHei"/>
        <b/>
        <color theme="1"/>
        <sz val="12.0"/>
      </rPr>
      <t>*Не забирайте вещи сразу, потому что это считается кражей!!</t>
    </r>
  </si>
  <si>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</si>
  <si>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</si>
  <si>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</si>
  <si>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</si>
  <si>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</si>
  <si>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</si>
  <si>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</si>
  <si>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</si>
  <si>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</si>
  <si>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</si>
  <si>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Anda mungkin akan menemui mereka secara acak di peta.
Anda dapat memanggil mereka menggunakan kartu Tarot "Kereta Perang".
*Anda hanya dapat memanggil mereka sekali sehari.</t>
  </si>
  <si>
    <t>Berinteraksilah dengan troli toko gadis kucing.
Jangan langsung mengambil barang! Melakukan hal itu akan dianggap sebagai pencurian!</t>
  </si>
  <si>
    <t>RX15</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</si>
  <si>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</si>
  <si>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</si>
  <si>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</si>
  <si>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</si>
  <si>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</si>
  <si>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</si>
  <si>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</si>
  <si>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</si>
  <si>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</si>
  <si>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</si>
  <si>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</si>
  <si>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</si>
  <si>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Camión de tienda-2</t>
  </si>
  <si>
    <t>Торговий фургон - 2</t>
  </si>
  <si>
    <t>Крадіжка товару</t>
  </si>
  <si>
    <t>Власниця магазину нападе на вас.
УВАГА: Вона дуже сильна і, швидше за все, ви програєте. Будь ласка, подумайте про збереження, перш ніж почати красти.
PS: Навіть якщо ви зупините час, вона все одно може напасти на вас.
Щоб успішно вкрасти предмет, гравці повинні забрати його з поточної локації. Занесення його до Зоряних дверей також вважається крадіжкою. Ви можете красти предмети кілька разів.
- Якщо Кішка-дівчинка здолає вас під час крадіжки, ви будете оштрафовані. 
- Ви можете навмисне кинути предмет на землю, щоб вона вас не оштрафувала, але вона не перестане атакувати.
- Перемога над Кішкою-дівчинкою не призведе до штрафу.
*Подробиці про штрафи див. у розділі «Tips».</t>
  </si>
  <si>
    <t>Торговый фургон - 2</t>
  </si>
  <si>
    <t>Кража товара</t>
  </si>
  <si>
    <t>Владелица магазина нападет на вас.
ВНИМАНИЕ: Она очень сильна и, скорее всего, вы проиграете. Пожалуйста, подумайте о сохранении, прежде чем начать воровать.
P.s.: Даже если вы остановите время, она все равно может напасть на вас.
Чтобы успешно украсть предмет, игроки должны унести его с текущей локации. Занос его в Звёздную дверь также считается кражей. Вы можете красть предметы несколько раз.
- Если Кошко-девочка одолеет вас во время кражи, вы будете оштрафованы. 
- Вы можете намеренно бросить предмет на землю, чтобы она вас не оштрафовала, но она не перестанет атаковать.
- Победа над Кошко-девочкой не приведет к штрафу.
*Подробности о штрафах см. в разделе «Tips».</t>
  </si>
  <si>
    <t>Einkaufswagen - 2</t>
  </si>
  <si>
    <t>Stehle Gegenstände von der Shop lady</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</si>
  <si>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</si>
  <si>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</si>
  <si>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</si>
  <si>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</si>
  <si>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</si>
  <si>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</si>
  <si>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</si>
  <si>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dari troli belanja</t>
  </si>
  <si>
    <t>Peringatan: Catgirl Asaba sangat kuat dan biasanya tak terkalahkan. Oleh karena itu, jangan menantangnya sebelum menyimpan permainan Anda.
Memilih "Menyelinap" akan mengakibatkan serangan (P.S. Bahkan menggunakan alat penghenti waktu pun akan tetap mendeteksi Anda).
Pemain harus membawa barang tersebut menjauh dari peta saat ini untuk berhasil mengambilnya. Melempar barang ke Gerbang Bintang juga dihitung sebagai pengambilan. Anda dapat mencuri beberapa barang secara bersamaan.
Jika Anda dijatuhkan oleh Asaba saat membawa barang tersebut, barang tersebut akan diambil kembali dan denda akan dikenakan.
Anda dapat sengaja menjatuhkan barang tersebut saat membawanya untuk menghindari denda, tetapi ini tidak akan menghilangkan aggro Asaba.
Mengalahkan Asaba tidak akan mengakibatkan denda.
*Lihat TIPS untuk detail tentang denda.</t>
  </si>
  <si>
    <t>RX16</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</si>
  <si>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</si>
  <si>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</si>
  <si>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</si>
  <si>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</si>
  <si>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</si>
  <si>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</si>
  <si>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</si>
  <si>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</si>
  <si>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</si>
  <si>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 xml:space="preserve">商店车-3
</t>
  </si>
  <si>
    <t>商店车的固定商品之一</t>
  </si>
  <si>
    <t>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t>
  </si>
  <si>
    <t>Camión de tienda-3</t>
  </si>
  <si>
    <t>Compra uno de los objetos fijos a la señora de la tienda</t>
  </si>
  <si>
    <t>Торговий фургон - 3</t>
  </si>
  <si>
    <t>Купуйте один із товарів</t>
  </si>
  <si>
    <t>Отримання предмета: Чарівна камера
*Реалізація: При фотографуванні Імоуто вона може прискорити смішну гримасу.
*Фотографування під час еротичних сцен змусить Імоуто соромитися.
*Коли Куроха проклятий, легше робити страшні фотографії.
*Реалізація: При використанні в Безодні звуковий ефект фотозйомки приверне увагу монстрів, що знаходяться поблизу.
(В даний час ця функція знаходиться на ранній стадії розробки, і більшість контенту ще не повністю реалізована.)</t>
  </si>
  <si>
    <t>Торговый фургон - 3</t>
  </si>
  <si>
    <t>Купите один из товаров</t>
  </si>
  <si>
    <t>Получение предмета: Волшебная камера
*Реализация: При фотографировании Имоуто она может скорчить смешную гримасу.
*Фотографирование во время эротических сцен заставит Имоуто стесняться.
*Когда Куроха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</si>
  <si>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</si>
  <si>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</si>
  <si>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</si>
  <si>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</si>
  <si>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</si>
  <si>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Thẳm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</si>
  <si>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</si>
  <si>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</si>
  <si>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</si>
  <si>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Truk Toko - 3</t>
  </si>
  <si>
    <t>Salah satu barang tetap di troli toko</t>
  </si>
  <si>
    <t>Dapatkan Item - Fotografer Ajaib (Kamera)
*Implementasi: Saat memotret adik perempuan Anda, dia mungkin akan membuat ekspresi lucu.
*Mengambil foto selama adegan H juga akan membuat adik perempuan Anda malu.
*Saat kakak laki-laki Anda dikutuk, akan lebih mudah untuk mengambil foto yang menyeramkan.
*Implementasi: Saat digunakan di Abyss, efek suara saat mengambil foto akan menarik perhatian monster di dekatnya.
(Saat ini, fitur ini masih dalam tahap awal, dan banyak konten yang belum sepenuhnya diimplementasikan.)</t>
  </si>
  <si>
    <t>RX17</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</si>
  <si>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</si>
  <si>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</si>
  <si>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</si>
  <si>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</si>
  <si>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</si>
  <si>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</si>
  <si>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</si>
  <si>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商店车-4</t>
  </si>
  <si>
    <t>获得道具:猪猪存钱罐 该道具在搜集到100万之后会进化(同时只能存在一个) 能获得利息、"玛门光辉"能力、移速加快能力、坚不可摧能力 P.S.无法将身上的钱喂给小猪</t>
  </si>
  <si>
    <t>Coche de taller-4</t>
  </si>
  <si>
    <t>Торговий фургон - 4</t>
  </si>
  <si>
    <t>Отримання екіпірування: Свинка-скарбничка
Цей предмет еволюціонує після збирання 1 мільйона ієн (одночасно може існувати лише один екземпляр). Вона дає відсотки, здатність «Сяйво Маммона», збільшену швидкість пересування та невразливість.
PS: Ви не можете годувати скарбничку своїми монетами.</t>
  </si>
  <si>
    <t>Торговый фургон - 4</t>
  </si>
  <si>
    <t>Получение экипировки: Свинка-копилка
Этот предмет эволюционирует после сбора 1 миллиона йен (одновременно может существовать только один экземпляр). Она даёт проценты, способность «Сияние Маммона», увеличенную скорость передвижения и неуязвимость.
P.s.: Вы не можете кормить копилку своими монетами.</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</si>
  <si>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</si>
  <si>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</si>
  <si>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</si>
  <si>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</si>
  <si>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</si>
  <si>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</si>
  <si>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Truk Toko - 4</t>
  </si>
  <si>
    <t>Cara Mendapatkan Item: Celengan
Item ini berevolusi setelah mengumpulkan 1 juta koin (hanya satu yang dapat ada pada satu waktu). Item ini memberikan bunga, kemampuan "Cahaya Mammon", peningkatan kecepatan gerak, dan kekebalan.
P.S. Anda tidak dapat memasukkan koin Anda sendiri ke dalam celengan.</t>
  </si>
  <si>
    <t>RX18</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</si>
  <si>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</si>
  <si>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</si>
  <si>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</si>
  <si>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</si>
  <si>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</si>
  <si>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</si>
  <si>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</si>
  <si>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商店车-5</t>
  </si>
  <si>
    <t>在商店车出现时，如果哥哥刚好被撞到并HP归零，会到新地图(未实装)</t>
  </si>
  <si>
    <t>Camión de tienda-5</t>
  </si>
  <si>
    <t>Cuando tu HP se reduzca a 0 despues de ser arrollado por el carrito de compras (Despues de invocarlo) seras teletransportado a un lugar diferente. (Todavia no ha sido implementado)</t>
  </si>
  <si>
    <t>Торговий фургон - 5</t>
  </si>
  <si>
    <t>Якщо Куроху зіб'є вантажівку та його ОЗ досягнуть нуля, його перенесе на нову локацію.</t>
  </si>
  <si>
    <t>Не реалізовано</t>
  </si>
  <si>
    <t>Торговый фургон - 5</t>
  </si>
  <si>
    <t>Если Куроху собьёт грузовик и его ОЗ достигнут нуля, его перенесёт на новую локацию.</t>
  </si>
  <si>
    <t>Не реализовано</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</si>
  <si>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</si>
  <si>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</si>
  <si>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</si>
  <si>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</si>
  <si>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</si>
  <si>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</si>
  <si>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</si>
  <si>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</si>
  <si>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Truk Toko - 5</t>
  </si>
  <si>
    <t>Jika kakak laki-laki tertabrak truk toko dan HP-nya mencapai nol, dia akan dipindahkan ke peta baru (belum diimplementasikan).</t>
  </si>
  <si>
    <t>RX19</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</si>
  <si>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</si>
  <si>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</si>
  <si>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</si>
  <si>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</si>
  <si>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</si>
  <si>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</si>
  <si>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</si>
  <si>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</si>
  <si>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商店车-6</t>
  </si>
  <si>
    <t>获得道具:百合同人本 效果：提升性欲 ※目前版本只是实验性道具，之后会有CG鉴赏的功能</t>
  </si>
  <si>
    <t>Camión de tienda-6</t>
  </si>
  <si>
    <t>Торговий фургон - 6</t>
  </si>
  <si>
    <t>Отримання предмета: Юрі Додзінсі
Ефект: Підвищує бажання
※Цей предмет в даний час знаходиться в експериментальній стадії. Функцію перегляду CG-зображень буде додано пізніше.</t>
  </si>
  <si>
    <t>Торговый фургон - 6</t>
  </si>
  <si>
    <t>Получение предмета: Юри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</si>
  <si>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</si>
  <si>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</si>
  <si>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</si>
  <si>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</si>
  <si>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</si>
  <si>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</si>
  <si>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</si>
  <si>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</si>
  <si>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</si>
  <si>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Truk Toko-6</t>
  </si>
  <si>
    <t>Item yang Didapatkan: Doujinshi Yuriko
Efek: Meningkatkan libido
※Item ini saat ini masih dalam tahap percobaan; fungsi melihat CG akan ditambahkan kemudian.</t>
  </si>
  <si>
    <t>RX20</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</si>
  <si>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</si>
  <si>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</si>
  <si>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</si>
  <si>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</si>
  <si>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</si>
  <si>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</si>
  <si>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商店车-7</t>
  </si>
  <si>
    <t>获得道具:萌萌同人本 效果：是提升性欲 ※目前版本只是实验性道具，之后会有CG鉴赏的功能</t>
  </si>
  <si>
    <t>Vehículo de tienda-7</t>
  </si>
  <si>
    <t>Торговий фургон - 7</t>
  </si>
  <si>
    <t>Отримання предмета: Мое Додзінсі
Ефект: Підвищує бажання
※Цей предмет в даний час знаходиться в експериментальній стадії. Функцію перегляду CG-зображень буде додано пізніше.</t>
  </si>
  <si>
    <t>Торговый фургон - 7</t>
  </si>
  <si>
    <t>Получение предмета: Моэ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</si>
  <si>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</si>
  <si>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</si>
  <si>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</si>
  <si>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</si>
  <si>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</si>
  <si>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</si>
  <si>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</si>
  <si>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Kendaraan bengkel-7</t>
  </si>
  <si>
    <t>Item yang Didapatkan: Doujinshi Lucu
Efek: Meningkatkan libido
※Item ini saat ini masih dalam tahap percobaan; fungsi melihat CG akan ditambahkan kemudian.</t>
  </si>
  <si>
    <t>RX21</t>
  </si>
  <si>
    <t>深夜的好選擇</t>
  </si>
  <si>
    <t>當完成治癒妹妹，解鎖深夜時段後
可以向騎士花費5000元或者於AKI商店花費一隻帝王鲑
購買恐怖錄影帶、成人錄影帶</t>
  </si>
  <si>
    <t>獲得道具:恐怖錄影帶
獲得道具:成人錄影帶</t>
  </si>
  <si>
    <t>深夜にぴったりの選択！</t>
  </si>
  <si>
    <t xml:space="preserve">
深夜の時間帯を開放すると、騎士に5000円支払い、アキの菓子店でキングサーモン1匹を渡すなどすると
恐怖のビデオテープやアダルトビデオを購入できるようになります
</t>
  </si>
  <si>
    <t xml:space="preserve">
入手
恐怖のビデオテープ
アダルトビデオ
</t>
  </si>
  <si>
    <t>Great choice for the late night!</t>
  </si>
  <si>
    <t>After you heal Imouto and unlock "Late at Night", you will be able to purchase the "Horror Video Tape" from the Weird Knight's Shop for 5000 yen or the "Adult Video Tape" from Aki by giving her a King Salmon</t>
  </si>
  <si>
    <t xml:space="preserve">Obtain "Horror Video Tape" item
Obtain "Adult Video Tape" item
</t>
  </si>
  <si>
    <t>Відмінний вибір для пізнього вечора</t>
  </si>
  <si>
    <t>Як тільки ви розблокуєте "Пізно вночі", ви зможете придбати "Відеокасету жахів" у Загадкового лицаря за 5000 ієн або "Відеокасету для дорослих" у Акі, подарувавши їй Королівського лосося.</t>
  </si>
  <si>
    <t>Отримання предмета: Відеокасета з фільмом Жахів
Отримання предмета: Відеокасета для дорослих</t>
  </si>
  <si>
    <t>Отличный выбор для позднего вечера</t>
  </si>
  <si>
    <t>Как только вы разблокируете "Поздно ночью", вы сможете приобрести "Видеокассету ужасов" у Загадочного рыцаря за 5000 иен или "Видеокассету для взрослых" у Аки, подарив ей Королевского лосося.</t>
  </si>
  <si>
    <t>Получение предмета: Видеокассета с Ужастиком
Получение предмета: Видеокассета для взрослых</t>
  </si>
  <si>
    <t>Gute Wahl zur späten Stunde</t>
  </si>
  <si>
    <t>Nach Freischaltung der späten Nacht kann man beim Ritter für 5000 Yen oder im AKI-Laden gegen einen Königslachs ein Horror- oder Erwachsenvideokassette kaufen</t>
  </si>
  <si>
    <t>Gegenstand erhalten: Horrorvideokassette
Gegenstand erhalten: Erwachsenenvideokassette</t>
  </si>
  <si>
    <t>Lựa chọn tuyệt vời cho việc thức khuya</t>
  </si>
  <si>
    <t>Sau khi mở khóa khung giờ đêm khuya, bạn có thể mua "Cuộn băng video kinh dị" từ cửa hàng của Hiệp sĩ kỳ lạ với giá 5000 yên hoặc "Cuộn băng video người lớn" từ Aki bằng cách tặng cho cô ấy một con vua cá hồi.</t>
  </si>
  <si>
    <t>Nhận được vật phẩm: Cuộn băng video kinh dị
Nhận được vật phẩm: Cuộn băng video người lớn</t>
  </si>
  <si>
    <t>Uma boa opção para noites longas.</t>
  </si>
  <si>
    <t>"Após desbloquear a sessão noturna, você pode gastar 5.000 Yen com o Cavaleiro ou um Rei Salmão na Loja AKI para comprar a Fita de Vídeo de Terror e/ou a Fita de Vídeo Adulta."</t>
  </si>
  <si>
    <t>Item obtido: Fita de Vídeo de Terror
Item obtido: Fita de Vídeo Adulta</t>
  </si>
  <si>
    <t>Pilihan Bagus Saat Tengah Malam!</t>
  </si>
  <si>
    <t>setelah kau membuka "Late at Night", kau akan bisa membeli "Kaset Video Horor" dari toko kesatria aneh seharga 5000 yen atau "Kaset Video Dewasa" dari Aki dengan memberinya Raja Salmon</t>
  </si>
  <si>
    <t xml:space="preserve">Mendapatkan "Kaset Video Horor"
Mendapatkan "Kaset Video Dewasa"
</t>
  </si>
  <si>
    <t>RX22</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</si>
  <si>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</si>
  <si>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</si>
  <si>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</si>
  <si>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</si>
  <si>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</si>
  <si>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</si>
  <si>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</si>
  <si>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</si>
  <si>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</si>
  <si>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喂食ASABA-"一般食物"</t>
  </si>
  <si>
    <t>毫无反应，次数多了还会产生厌恶</t>
  </si>
  <si>
    <t>Асаба - 1</t>
  </si>
  <si>
    <t>Нагодуйте Асабу звичайною їжею</t>
  </si>
  <si>
    <t>Жодної реакції, а повторні випадки можуть навіть призвести до огиди.</t>
  </si>
  <si>
    <t>Покормите Асабу обычной едой</t>
  </si>
  <si>
    <t>Никакой реакции, а повторные случаи могут даже привести к отвращению.</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</si>
  <si>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</si>
  <si>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</si>
  <si>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</si>
  <si>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</si>
  <si>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</si>
  <si>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Berikan ASABA - "makanan biasa"</t>
  </si>
  <si>
    <t>Tidak ada reaksi sama sekali, dan kejadian berulang bahkan dapat menyebabkan rasa jijik.</t>
  </si>
  <si>
    <t>RX23</t>
  </si>
  <si>
    <t>ASABA-2</t>
  </si>
  <si>
    <t>餵食ASABA-"妹妹的呆毛"</t>
  </si>
  <si>
    <t>讓ASABA的大腦當機</t>
  </si>
  <si>
    <t>A↗SA↘BA↗-2</t>
  </si>
  <si>
    <t>A↗SA↘BA↗にアホ毛を食べさせると…？</t>
  </si>
  <si>
    <t>A↗SA↘BA↗が壊れた…</t>
  </si>
  <si>
    <t>ASABA - 2</t>
  </si>
  <si>
    <t>Feed ASABA "Imouto's Ahoge"</t>
  </si>
  <si>
    <t>ASABA's brain will crash and glitch out</t>
  </si>
  <si>
    <t>喂食ASABA-"妹妹的呆毛"</t>
  </si>
  <si>
    <t>让ASABA的大脑当机</t>
  </si>
  <si>
    <t>Асаба - 2</t>
  </si>
  <si>
    <t>Нагодуйте Асабу Ахоге Сестри</t>
  </si>
  <si>
    <t>Асабу починає глючити</t>
  </si>
  <si>
    <t>Покормите Асабу Агохе Имоуто</t>
  </si>
  <si>
    <t>Асабу начинает глючить</t>
  </si>
  <si>
    <t>ASABAs Gehirn zum Absturz bringen</t>
  </si>
  <si>
    <t>Cho ASABA ăn “Ahoge Của Em Gái".</t>
  </si>
  <si>
    <t>Bộ não của ASABA sẽ bị rối và trở nên lỗi.</t>
  </si>
  <si>
    <t>Alimentar ASABA "Ahoge da Imouto "</t>
  </si>
  <si>
    <t>O cérebro da ASABA irá para de funcionar e dar erro</t>
  </si>
  <si>
    <t>Memberi makan ASABA - "Ahoge saudari"</t>
  </si>
  <si>
    <t>Mematikan otak ASABA</t>
  </si>
  <si>
    <t>RX24</t>
  </si>
  <si>
    <t>ASABA-3</t>
  </si>
  <si>
    <t>餵食ASABA-"草莓"，可以獲得BUFF</t>
  </si>
  <si>
    <t>獲得BUFF</t>
  </si>
  <si>
    <t>A↗SA↘BA↗-3</t>
  </si>
  <si>
    <t>イチゴを与えると、謎のバフを獲得する</t>
  </si>
  <si>
    <t>BUFFを取得する</t>
  </si>
  <si>
    <t>ASABA - 3</t>
  </si>
  <si>
    <t>Feed ASABA "Strawberry"</t>
  </si>
  <si>
    <t>Will receive a positive BUFF</t>
  </si>
  <si>
    <t>喂食ASABA-"草莓"，可以获得BUFF</t>
  </si>
  <si>
    <t>获得BUFF</t>
  </si>
  <si>
    <t>Асаба - 3</t>
  </si>
  <si>
    <t>Нагодуйте Асабу полуничкою</t>
  </si>
  <si>
    <t>Отримання позитивного бафу</t>
  </si>
  <si>
    <t>Покормите Асабу клубничкой</t>
  </si>
  <si>
    <t>Накачайся</t>
  </si>
  <si>
    <t>Erhalte einen Buff</t>
  </si>
  <si>
    <t>Cho ASABA ăn “Dâu Tây”.</t>
  </si>
  <si>
    <t>Sẽ nhận được một hiệu ứng cường hóa tích cực</t>
  </si>
  <si>
    <t>Alimentar ASABA "Morango"</t>
  </si>
  <si>
    <t>Vai receber um BUFF positivo</t>
  </si>
  <si>
    <t>Memberi makan ASABA dengan "Strawberry" akan memberimu buff.</t>
  </si>
  <si>
    <t>Dapatkan tubuh yang kekar</t>
  </si>
  <si>
    <t>RX25</t>
  </si>
  <si>
    <t>ASABA-4</t>
  </si>
  <si>
    <t>將普通的ASABA擊敗後獲得"ASABA的草莓"</t>
  </si>
  <si>
    <t>獲得ASABA的草莓</t>
  </si>
  <si>
    <t>A↗SA↘BA↗-4</t>
  </si>
  <si>
    <t>通常のASABAを倒すと報酬として「ASABAのイチゴ」がもらえます。</t>
  </si>
  <si>
    <t>A↗SA↘BA↗のイチゴを入手</t>
  </si>
  <si>
    <t>ASABA - 4</t>
  </si>
  <si>
    <t>After killing the normal ASABA, you will obtain "ASABA's Strawberry"</t>
  </si>
  <si>
    <t>Obtain "ASABA's Strawberry" food</t>
  </si>
  <si>
    <t>将普通的ASABA击败后获得"ASABA的草莓"</t>
  </si>
  <si>
    <t>获得ASABA的草莓</t>
  </si>
  <si>
    <t>Асаба - 4</t>
  </si>
  <si>
    <t>Перемога над звичайною Асабою дасть вам у нагороду «Полуниця Асаби».</t>
  </si>
  <si>
    <t>Отримання їжі: Полуниця Асаби</t>
  </si>
  <si>
    <t>Победа над обычной Асабой даст вам в награду «Клубнику Асабы».</t>
  </si>
  <si>
    <t>Получение еды: Клубника Асабы</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</si>
  <si>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</si>
  <si>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</si>
  <si>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</si>
  <si>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</si>
  <si>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</si>
  <si>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Mengalahkan ASABA biasa akan memberi Anda hadiah berupa "Strawberry ASABA".</t>
  </si>
  <si>
    <t>Stroberi dari ASABA</t>
  </si>
  <si>
    <t>RX26</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</si>
  <si>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</si>
  <si>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</si>
  <si>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</si>
  <si>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</si>
  <si>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</si>
  <si>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</si>
  <si>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</si>
  <si>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</si>
  <si>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</si>
  <si>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喂食ASABA-"ASABA的草莓"，可以进入BOSS战斗</t>
  </si>
  <si>
    <t>击败后获得"ASABA的草莓"</t>
  </si>
  <si>
    <t>Асаба - 5</t>
  </si>
  <si>
    <t>Нагодуйте Асабу «Полуниця Асаби» щоб запустити битву з босом.</t>
  </si>
  <si>
    <t>Перемога над Асабою поверне вам «Полуниця Асаби»</t>
  </si>
  <si>
    <t>Покормите Асабу «Клубникой Асабы» чтобы запустить битву с боссом.</t>
  </si>
  <si>
    <t>Победа над Асабой вернёт вам «Клубнику Асабы»</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</si>
  <si>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</si>
  <si>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</si>
  <si>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</si>
  <si>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</si>
  <si>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</si>
  <si>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Memberi makan ASABA dengan "Strawberry ASABA" akan memicu pertarungan BOSS.</t>
  </si>
  <si>
    <t>Mengalahkan musuh akan memberimu hadiah berupa "Strawberry ASABA".</t>
  </si>
  <si>
    <t>RX27</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</si>
  <si>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</si>
  <si>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</si>
  <si>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</si>
  <si>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</si>
  <si>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</si>
  <si>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装備「イチゴを取り戻せ！！」を入手 （コマンドはスキルバーで確認できます）</t>
  </si>
  <si>
    <t>ASABA - 6</t>
  </si>
  <si>
    <t>Continuing from above, the more you get hit by the ASABA's special attack, the chances of you dropping the special item increases.</t>
  </si>
  <si>
    <t>Obtain "Ichigo Wo Torimodose!!" equipment
Check the skills tab when you equip it to see the command.</t>
  </si>
  <si>
    <t>同上，期间被BOSS的必杀技命中越多次，会越来越有机会获得特殊掉落</t>
  </si>
  <si>
    <t>获得装备"把草莓夺回来！!"
(指令请看技能栏位)</t>
  </si>
  <si>
    <t>Асаба - 6</t>
  </si>
  <si>
    <t>Аналогічно, чим частіше у вас потрапляє ультимативна атака боса, тим вищі ваші шанси отримати особливий предмет.</t>
  </si>
  <si>
    <t>Аналогично, чем чаще вас поражает ультимативная атака босса, тем выше ваши шансы получить особый предмет.</t>
  </si>
  <si>
    <t>Получение экипировки: «Верни мою клубничку!»
(Команды смотрите на панели навыков)</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</si>
  <si>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</si>
  <si>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</si>
  <si>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</si>
  <si>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</si>
  <si>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Demikian pula, semakin sering Anda terkena serangan pamungkas BOSS, semakin besar peluang Anda untuk mendapatkan item spesial.</t>
  </si>
  <si>
    <t>Dapatkan perlengkapan "Ambil Kembali Stroberi!!"
(Lihat bilah keterampilan untuk perintah)</t>
  </si>
  <si>
    <t>RX28</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</si>
  <si>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</si>
  <si>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</si>
  <si>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</si>
  <si>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</si>
  <si>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</si>
  <si>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</si>
  <si>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</si>
  <si>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炸鱼时，可能会出现该小怪</t>
  </si>
  <si>
    <t>萨卡班甲鱼(小)
击杀掉落：◉▽◉(蓝色)</t>
  </si>
  <si>
    <t>Коли ви кидаєте бомби у воду, цей монстр може з'явитися.</t>
  </si>
  <si>
    <t>Черепаха Сакабан (маленька) -
Отримання: ◉▽◉ (синя)</t>
  </si>
  <si>
    <t>Когда вы бросаете бомбы в воду, этот монстр может появиться.</t>
  </si>
  <si>
    <t>Черепаха Сакабан (маленькая) -
Получение еды: ◉▽◉ (синяя)</t>
  </si>
  <si>
    <t>Nếu ném bom vào trong nước, con quái này có thể xuất hiện</t>
  </si>
  <si>
    <t>Xuất hiện Sacambaspis Nhỏ
Rơi ra ◉▽◉ (Xanh)</t>
  </si>
  <si>
    <t>Quando você joga uma bomba na água, esse monstro pode aparecer.</t>
  </si>
  <si>
    <t>Aparece um pequeno Sacambaspis
Drops: ◉▽◉ (Azul)</t>
  </si>
  <si>
    <t>Monster kecil ini mungkin muncul saat Anda menggoreng ikan.</t>
  </si>
  <si>
    <t>Kura-kura Sakaban (Kecil) - Menjatuhkan item setelah dikalahkan: ◉▽◉ (Biru)</t>
  </si>
  <si>
    <t>RX29</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</si>
  <si>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</si>
  <si>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</si>
  <si>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</si>
  <si>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</si>
  <si>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</si>
  <si>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</si>
  <si>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</si>
  <si>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炸鱼时，较低机率可能会出现该小怪</t>
  </si>
  <si>
    <t>萨卡班甲鱼(大)
击杀掉落：◉▽◉(紫色)</t>
  </si>
  <si>
    <t>◉▽◉?!</t>
  </si>
  <si>
    <t>Коли ви кидаєте бомби у воду, цей монстр із невеликою ймовірністю може з'явитися.</t>
  </si>
  <si>
    <t>Черепаха Сакабан (велика) -
Отримання: ◉▽◉ (фіолетова)</t>
  </si>
  <si>
    <t>Когда вы бросаете бомбы в воду, этот монстр с небольшой вероятностью может появиться.</t>
  </si>
  <si>
    <t>Черепаха Сакабан (большая) -
Получение еды: ◉▽◉ (фиолетовая)</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</si>
  <si>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</si>
  <si>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</si>
  <si>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</si>
  <si>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</si>
  <si>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Monster ini mungkin muncul dengan peluang rendah saat menggoreng ikan.</t>
  </si>
  <si>
    <t>Kura-kura Sakaban (Besar) - Item yang dijatuhkan setelah dikalahkan: ◉▽◉ (Ungu)</t>
  </si>
  <si>
    <t>RX30</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</si>
  <si>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</si>
  <si>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</si>
  <si>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</si>
  <si>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</si>
  <si>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</si>
  <si>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</si>
  <si>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</si>
  <si>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当稀有机率足够，且符合地形条件时，可能召唤出BOSS
(详细说明于TIPS中)</t>
  </si>
  <si>
    <t>召唤BOSS：
应该已经灭绝的河之主!?(甲鱼王)
击杀掉落：王权之令、◉▽◉(粉色)</t>
  </si>
  <si>
    <t>♔
◉▽◉</t>
  </si>
  <si>
    <t xml:space="preserve">  ♔
◉▽◉</t>
  </si>
  <si>
    <t>Коли ймовірність появи рідкісного монстра досить висока і умови навколишнього середовища дотримані, замість нього може з'явитися Бос.
(Докладне див. в Tips)</t>
  </si>
  <si>
    <t>Заклик боса: Володар Річки, якому судилося вимерти!? (Король Черепах)
Здобуття після перемоги: Королівський указ, ◉▽◉ (Рожева)</t>
  </si>
  <si>
    <t>Когда вероятность появления редкого монстра достаточно высока и условия окружающей среды соблюдены, вместо него может появиться Босс.
(Подробное см. в Tips)</t>
  </si>
  <si>
    <t>Призыв босса: Повелитель Реки, которому суждено вымереть!? (Король Черепах)
Получение после победы: Королевский указ, ◉▽◉ (Розовая)</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</si>
  <si>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</si>
  <si>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</si>
  <si>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</si>
  <si>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</si>
  <si>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Ketika peluangnya cukup tinggi dan kondisi medan terpenuhi, BOSS dapat dipanggil.
(Penjelasan detail ada di TIPS)</t>
  </si>
  <si>
    <t>Bos yang dipanggil: Raja Sungai, yang seharusnya punah!? (Raja Kura-kura)
Hasil rampasan setelah dikalahkan: Dekrit Kerajaan, ◉▽◉ (Merah Muda)</t>
  </si>
  <si>
    <t>RX31</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</si>
  <si>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</si>
  <si>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</si>
  <si>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</si>
  <si>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</si>
  <si>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</si>
  <si>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</si>
  <si>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</si>
  <si>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</si>
  <si>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</si>
  <si>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回归水中</t>
  </si>
  <si>
    <t>当甲鱼从者、甲鱼王遇到水面，将会逃跑回水中。</t>
  </si>
  <si>
    <t>对象逃跑</t>
  </si>
  <si>
    <t>Regresar al agua</t>
  </si>
  <si>
    <t>Назад у воду</t>
  </si>
  <si>
    <t>Коли маленький/великий Сакамбапсис або Річковий Владика наблизиться до води, вони відпливуть і врятуються.</t>
  </si>
  <si>
    <t>Втеча Сакамбапсисів</t>
  </si>
  <si>
    <t>Обратно в воду</t>
  </si>
  <si>
    <t>Когда маленький/большой Сакамбапсис или Речной Владыка приблизится к воде, они уплывут и спасутся.</t>
  </si>
  <si>
    <t>Побег Сакамбапсисов</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</si>
  <si>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</si>
  <si>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</si>
  <si>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</si>
  <si>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</si>
  <si>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</si>
  <si>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</si>
  <si>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</si>
  <si>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</si>
  <si>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Kembali ke air</t>
  </si>
  <si>
    <t>Ketika para pengikut kura-kura atau raja kura-kura bertemu dengan permukaan air, mereka akan berlari kembali ke dalam air.</t>
  </si>
  <si>
    <t>Objek lepas</t>
  </si>
  <si>
    <t>RX32</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</si>
  <si>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</si>
  <si>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</si>
  <si>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</si>
  <si>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</si>
  <si>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</si>
  <si>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</si>
  <si>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萝卜大剑</t>
  </si>
  <si>
    <t>于篝火中使用冻萝卜大剑解冻之后，能获得霉萝卜大剑</t>
  </si>
  <si>
    <t>Espada grande</t>
  </si>
  <si>
    <t>Заморожений морквяний меч</t>
  </si>
  <si>
    <t>Розморозивши Заморожений Морквяний меч над багаттям, ви отримаєте Зацвілий Морквяний меч.</t>
  </si>
  <si>
    <t>Замороженный Морковный меч</t>
  </si>
  <si>
    <t>Разморозив Замороженный Морковный меч над костром, вы получите Заплесневелый Морковный меч.</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</si>
  <si>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</si>
  <si>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</si>
  <si>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</si>
  <si>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</si>
  <si>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</si>
  <si>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Pedang Besar</t>
  </si>
  <si>
    <t>Setelah mencairkan Pedang Besar Wortel Beku di atas api unggun, Anda bisa mendapatkan Pedang Besar Wortel Berjamur.</t>
  </si>
  <si>
    <t>RX33</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</si>
  <si>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</si>
  <si>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</si>
  <si>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</si>
  <si>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</si>
  <si>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</si>
  <si>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</si>
  <si>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萝卜大剑-1</t>
  </si>
  <si>
    <t>于篝火中使用胡萝卜大剑，可以召唤友好的女仆兔，帮助你进行地图传送</t>
  </si>
  <si>
    <t>Espada larga de zanahoria - 1</t>
  </si>
  <si>
    <t>Морквяний меч</t>
  </si>
  <si>
    <t>Використання морквяного меча біля багаття прикличе доброзичливу кролицю, яка допоможе вам телепортуватися по карті.</t>
  </si>
  <si>
    <t>Морковный меч</t>
  </si>
  <si>
    <t>Использование морковного меча у костра призовёт дружелюбную крольчиху, которая поможет вам телепортироваться по карте.</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</si>
  <si>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</si>
  <si>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</si>
  <si>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</si>
  <si>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</si>
  <si>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</si>
  <si>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Pedang Besar Wortel - 1</t>
  </si>
  <si>
    <t>Menggunakan pedang besar wortel di sekitar api unggun akan memanggil kelinci pelayan yang ramah untuk membantu Anda berteleportasi di sekitar peta.</t>
  </si>
  <si>
    <t>RX34</t>
  </si>
  <si>
    <t>封印之柱</t>
  </si>
  <si>
    <t xml:space="preserve">"深淵氣息濃度"超過某數值時，會使"封印之柱"出現在深淵的隨機地點
【塔羅牌-塔】可以直接召喚出來，並且標示出位置(人物必須在深淵)
</t>
  </si>
  <si>
    <t>領域範圍內玩家無法自由離開，且領域內會出現強力怪物
最後階段會出現【淫奔的惡魔】
需要擊殺完所有的怪物才會解除領域牆
不論在領域內外，只要是地圖上的怪物也會受到領域牆壁的傷害
可以用傳送手段逃跑，但逃跑後，封印之柱會消失</t>
  </si>
  <si>
    <t>封印されし柱</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</si>
  <si>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</si>
  <si>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領域内ではお兄ちゃんは自由に離脱できず、内部には強力なモンスターが出現する。
最終段階では【淫乱の悪魔】が出現する。
すべてのモンスターを撃破しなければ領域の壁は解除されない。
領域の内外を問わずマップ上のモンスターは領域の壁からダメージを受ける。
テレポートで逃走することは可能だが逃走後は封印の柱が消失する。
</t>
  </si>
  <si>
    <t>Sealed Pillars</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</si>
  <si>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</si>
  <si>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"Gladiators"will spawn inside it. The last monster will be "Lewd Demon"
The seal can only be lifted once all the monsters have been defeated. Monsters inside and outside the ""arena"" will be damaged by the walls on contact.
Escape is possible such as by teleporation, but the arena itself will disappear</t>
  </si>
  <si>
    <t>"深渊气息浓度"超过某数值时，会使"封印之柱"出现在深渊的随机地点
【塔罗牌-塔】可以直接召唤出来，并且标示出位置(人物必须在深渊)</t>
  </si>
  <si>
    <t>Запечатані стовпи</t>
  </si>
  <si>
    <t>Коли "Концентрація Аури Безодні" досягає певного рівня, "Колонна Безодня" з'являється у випадковому місці всередині Безодні.
Використовуючи карту Таро «Вежа», гравець може безпосередньо закликати її на своє місцезнаходження (має перебувати в Безодні)</t>
  </si>
  <si>
    <t>Гравець не зможе покинути це місце, і там з'являтимуться могутні монстри.
На заключному етапі з'явиться "Хтивий Демон".
Друк можна буде зняти лише після того, як усі монстри будуть переможені. Монстри всередині та за межами "арени" будуть отримувати шкоду від стін при зіткненні.
Втекти можна, наприклад, за допомогою телепортації, але сама арена зникне.</t>
  </si>
  <si>
    <t>Столп печати</t>
  </si>
  <si>
    <t>Когда «Концентрация Ауры Бездны» достигает определённого уровня, «Колонна Бездны» появляется в случайном месте внутри Бездны.
Используя карту Таро «Башня», игрок может напрямую призвать её на своё местоположение (должен находиться в Бездне).</t>
  </si>
  <si>
    <t>Игрок не сможет покинуть это место, и там будут появляться могущественные монстры.
На заключительном этапе появится "Похотливый Демон".
Печать можно будет снять только после того, как все монстры будут побеждены. Монстры внутри и за пределами "арены" будут получать урон от стен при соприкосновении.
Сбежать можно, например, с помощью телепортации, но сама арена исчезнет.</t>
  </si>
  <si>
    <t>Säule der Versiegelung</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</si>
  <si>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</si>
  <si>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frei verlassen, und starke Monster erscheinen darin.
Im letzten Abschnitt erscheint der „Laufende Dämon“.
Alle Monster müssen besiegt werden, damit die Barriere verschwindet.
Egal ob innerhalb oder außerhalb des Bereichs, alle Monster auf der Karte erleiden Schaden durch die Barriere.
Man kann mit Teleportation entkommen, aber danach verschwindet die Säule der Versiegelung.**</t>
  </si>
  <si>
    <t>Trụ Bị Phong Ấn</t>
  </si>
  <si>
    <t>"Khi "Mức độ Hào quang Vực Thẳm" đạt đến một mức nhất định, "Tháp Vực Thẳm" sẽ xuất hiện tại một vị trí ngẫu nhiên bên trong Vực Thẳm
Sử dụng lá bài tarot "The Tower - Tòa Tháp", người chơi có thể trực tiếp triệu hồi nó tại vị trí của mình (phải ở trong Vực Thẳm)."</t>
  </si>
  <si>
    <t>Người chơi không thể tự rời khỏi khu vực, và nhiều quái vật mạnh sẽ xuất hiện
Màn cuối sẽ xuất hiện "Quỷ Dục Vọng"
Tất cả quái phải bị đánh bại để làm bức tường chắn biến mất. Quái trong khu vực, cả bên trong và ngoài bức tường, đều chịu sát thương khi chạm vào nó
Bạn có thể dịch chuyển ra ngoài, nhưng Tòa Tháp sẽ biến mất sau khi bạn thoát ra.</t>
  </si>
  <si>
    <t>Pilar do Selo</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</si>
  <si>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</si>
  <si>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aparecerão dentro dela.
A fase final apresentará o [Demônio Lascivo].
Todos os monstros devem ser derrotados para remover a parede da área.
Os monstros no mapa, tanto dentro quanto fora da área, também sofrerão dano pela parede.
Você pode escapar usando teletransporte, mas o pilar de selamento desaparecerá após a sua fuga.</t>
  </si>
  <si>
    <t>Pilar teraegel</t>
  </si>
  <si>
    <t>saat "Konsentrasi Aura Abyss" melebihi nilai tertentu, "Pilar Penyegel" akan muncul di lokasi acak di Abyss.
[Kartu Tarot - Menara] dapat memanggilnya secara langsung dan menandai lokasinya (pemain harus berada di Abyss).</t>
  </si>
  <si>
    <t>Pemain tidakakan bisa pergi dari area dan monster kuat dipanggil "Gladiator"akan muncul didalam nya. monster terakhir akan menjadi "Iblis Mesum"
Segel hanya bisa di cabut sekali seluruh monster telah dijalankan. Monster didalam dan diluar ""arena"" akan terluka oleh tembok  saat bersentuhan.
kabur masih bisa dilakukan menggunakan teleportasi, tapi arena akan hilang</t>
  </si>
  <si>
    <t>RX35</t>
  </si>
  <si>
    <t>滿滿的鮭魚</t>
  </si>
  <si>
    <t>1.
觸發購買成人錄影帶流程條件：
深夜在客廳試圖看電視結果沒有錄影帶時，會獲得支線標記，之後向騎士或aki對話時可以觸發購買的流程
2.
和aki觸發購買成人錄影帶流程時，如果你沒有可以交換的帝王鮭，aki會贈送裝備</t>
  </si>
  <si>
    <t>獲得裝備：少女的祈禱
*在目前版本下，如果已經擁有對應的錄影帶，將無法觸發此流程</t>
  </si>
  <si>
    <t>サーモンたっぷり</t>
  </si>
  <si>
    <t xml:space="preserve">"
1.
アダルトビデオ購入する条件：
深夜にリビングでテレビを見ようとしたがビデオがなかった場合、イベントがトリガーされ、騎士やakiとの会話で購入することができるようになる
2.
akiからアダルトビデオを購入する際、交換可能なキングサーモンを持っていない場合、akiは装備品を提供してくれます
"
</t>
  </si>
  <si>
    <t xml:space="preserve">
装備獲得：少女の祈り
*現在のバージョンでは、対応するビデオテープをすでに所有している場合、このイベントは発生しません</t>
  </si>
  <si>
    <t>So much salmons</t>
  </si>
  <si>
    <t>1. If you try to watch the TV in the living room late at night without any tapes, it will trigger the appropriate side quest marker. Talking to Aki or the Weird Knight then triggers the purchase event.
2. When you trigger the adult video tape purchasing event with Aki. you can exchange a King Salmon for it. If you don't have a King Salmon, she will give you an equipment instead called "A Maiden's Prayer"</t>
  </si>
  <si>
    <t>Obtain "A Maiden's Prayer" equipment.
*Currently in this version, this cannot be triggered if you already own the adult video tape.</t>
  </si>
  <si>
    <t>Так багато лосося</t>
  </si>
  <si>
    <t>1. Якщо ви спробуєте подивитися телевізор у вітальні пізно ввечері без касет, це викличе відповідний додатковий квестовий маркер. Розмова з Акі або Загадковим лицарем запустить подію покупки".
2. Коли ви запустите подію купівлі відеокасети для дорослих з Акі, ви зможете обміняти її на королівського лосося. Якщо у вас немає Королівського лосося, вона дасть вам замість спорядження під назвою "Молитва діви".</t>
  </si>
  <si>
    <t>Отримання екіпірування: Молитва діви
*В даний час у цій версії це не може бути активовано, якщо у вас вже є відеокасета для дорослих.</t>
  </si>
  <si>
    <t>Так много лосося</t>
  </si>
  <si>
    <t>1. Если вы попытаетесь посмотреть телевизор в гостиной поздно вечером без кассет, это вызовет соответствующий дополнительный квестовый маркер. Разговор с Аки или Загадочным рыцарем запустит событие покупки.
2. Когда вы запустите событие покупки видеокассеты для взрослых с Аки, вы сможете обменять её на Королевского лосося. Если у вас нет Королевского лосося, она даст вам взамен снаряжение под названием "Молитва девы".</t>
  </si>
  <si>
    <t>Получение экипировки: Молитва девы
*В настоящее время в этой версии это не может быть активировано, если у вас уже есть видеокассета для взрослых.</t>
  </si>
  <si>
    <t>So viele Lachse</t>
  </si>
  <si>
    <t>1. Wenn du versuchst, nachts im Wohnzimmer ohne Kassetten fernzusehen, wird der entsprechende Nebenquest Marker ausgelöst. Wenn du dann mit Aki oder dem Seltsamen Ritter sprichst, wird das Kauf Ereignis ausgelöst.
Wenn du mit Aki das Kauf Ereignis für Erwachsenen Videokassetten auslöst, kannst du dafür einen Königslachs eintauschen. Wenn du keinen Königslachs hast, gibt sie dir stattdessen eine Ausrüstung namens "Das Gebet einer Jungfrau"</t>
  </si>
  <si>
    <t>Erhalte die Ausrüstung "Das Gebet einer Jungfrau".
Derzeit kann dies in dieser Version nicht ausgelöst werden, wenn du bereits die Erwachsenen Videokassette besitzt."</t>
  </si>
  <si>
    <t>Quá nhiều cá hồi</t>
  </si>
  <si>
    <t>1. Nếu bạn thử xem TV trong phòng khách vào đêm khuya mà không có băng video nào, sẽ kích hoạt đánh dấu nhiệm vụ phụ. Nói chuyện với Aki hoặc Hiệp Sĩ Kỳ Lạ sau đó sẽ kích hoạt sự kiện.
2. Khi bạn kích hoạt sự kiện mua băng video người lớn với Aki, bạn có thể đổi một Cá hồi Vua để lấy nó. Nếu bạn không có Cá Hồi Vua, cô ấy sẽ tặng bạn một trang bị có tên là "Thiếu Nữ Cầu Nguyện"</t>
  </si>
  <si>
    <t>Nhận được vật phẩm " Thiếu Nữ Cầu Nguyện"
*Trong phiên bản hiện tại, không thể kích hoạt nếu bạn đã có băng video người lớn</t>
  </si>
  <si>
    <t>Cheio de salmão</t>
  </si>
  <si>
    <t>"1. Missão Compra do Vídeo Adulto: Se você tentar assistir TV na sala de estar tarde da noite, mas não encontrar nenhuma fita de vídeo, você receberá um marcador de missão secundária. Conversar com o Cavaleiro ou com Aki acionará o processo de compra.
2. Ao acionar o processo de compra de vídeo adulto com Aki, se você não tiver nenhum Salmão Rei para trocar, Aki lhe dará um equipamento." "Equipamento Obtido: Oração da Donzela"</t>
  </si>
  <si>
    <t>*Na versão atual, este processo não pode ser acionado se você já possuir a fita de vídeo correspondente."</t>
  </si>
  <si>
    <t>RX36</t>
  </si>
  <si>
    <t>叭叭!! 哇啊?</t>
  </si>
  <si>
    <t>將星之門開啟後，使用塔羅牌-戰車，誘使商店車開入星之門中
判定是依照"停下來的位置"，而開車非經過星之門。
*建議於門的右上方進行召喚，使商店車剛好</t>
  </si>
  <si>
    <t>獲得道具-奇怪的髮飾
*該道具目前暫無功能設計
*目前可以重複獲取</t>
  </si>
  <si>
    <t>ピーピー!! うわっ？</t>
  </si>
  <si>
    <t>星の門を開いた後、タロットカード『ザ・チャリオット』を使用して、ショップカーを星の門の中へ誘導する。
判定は『停止した位置』に基づき、通過したかどうかではない。
※門の右上で召喚すると、ショップカーがちょうどいい位置に来る…かもしれない</t>
  </si>
  <si>
    <t>アイテム『奇妙な髪飾り』を入手
※このアイテムは現在、機能が実装されていません
※現時点では重複して入手可能です</t>
  </si>
  <si>
    <t>Beep beep! Huh?</t>
  </si>
  <si>
    <t>After summoning the Star Gate (hotkey B in PC) use the Chariot tarot card to summon the shopping van to have it collide with the Star Gate. The "stopping point" when you're about to summon the shopping van is the one that is checked by the triggers
*It's recommended to summon the shopping van around the top right corner of the gate so the shopping van will completely collide with it.</t>
  </si>
  <si>
    <t>Бип-бип!!! А???</t>
  </si>
  <si>
    <t>Після відкриття Зоряних Дверей, використовуйте карту Таро — Колісниця, щоб заманити Фургончик до Зоряних Дверей. Залежить від "позиції зупинки", а не на тому, що проїжджає через Зоряні Двері.
*Рекомендується викликати з верхнього правого кута дверей, щоб Фургончик був точно посеред дверей...</t>
  </si>
  <si>
    <t>Отримання екіпірування: Дивний аксесуар для волосся</t>
  </si>
  <si>
    <t>*Бип-бип*! А?</t>
  </si>
  <si>
    <t>После открытия Звездной двери (горячая клавиша "B" на ПК), используйте карту Таро "Колесница", чтобы вызвать грузовик, нужно чтобы он столкнулся с Звездной дверью.
"Точка остановки", когда вы собираетесь вызвать грузовик, - это та, которая отмечена триггерами.
*Рекомендуется вызывать из верхнего правого угла двери, чтобы Фургончик был точно посреди двери...</t>
  </si>
  <si>
    <t>Получение экипировки: Странный аксессуар для волос</t>
  </si>
  <si>
    <t>Piep piep! Huh?</t>
  </si>
  <si>
    <t>Nachdem du das Sternentor beschworen hast (Hotkey B am PC), benutze die Wagen Tarotkarte, um den Einkaufswagen zu rufen, sodass er gegen das Sternentor fährt. Der "Haltepunkt", kurz bevor du den Einkaufswagen beschwörst, ist der Punkt, der von den Triggern überprüft wird
Es wird empfohlen, den Einkaufswagen nahe der oberen rechten Ecke des Tores zu beschwören, damit er vollständig dagegen fährt.</t>
  </si>
  <si>
    <t>Bíp Bíp! Hả?</t>
  </si>
  <si>
    <t>Sau khi triệu hồi Cửa Thiên Tinh (phím tắt B trên PC), hãy sử dụng lá bài Tarot Chiến Xa để triệu hồi xe chở hàng sao cho nó va chạm với Cửa Thiên Tinh. Điểm dừng khi bạn chuẩn bị triệu hồi xe chở hàng chính là điểm được kiểm tra bởi kích hoạt.
*Nên triệu hồi xe tải ở góc trên bên phải của cánh cửa để xe tải va chạm hoàn toàn với nó.</t>
  </si>
  <si>
    <t>Bip bip! Hein?</t>
  </si>
  <si>
    <t>Após invocar o Portal Estelar (tecla de atalho B no PC), use a carta de tarô do Carro para invocar a van de compras e fazê-la colidir com o Portal Estelar. O "ponto de parada" ao invocar a van de compras é aquele verificado pelos gatilhos.
*Recomenda-se invocar a van de compras no canto superior direito do portal para que ela colida completamente com ele.</t>
  </si>
  <si>
    <t>"Item obtido - Acessório de cabelo peculiar
*Este item atualmente não possui um design funcional.
*Pode ser obtido repetidamente."</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</si>
  <si>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</si>
  <si>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</si>
  <si>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</si>
  <si>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</si>
  <si>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 xml:space="preserve">This page currently does not have translations in other languages; it is based solely on the official settings and will not be updated regularly. We apologize for the inconvenience. Map creator: Mio                        
                        </t>
  </si>
  <si>
    <t>本頁面"暫時"無其他語系的翻譯，仅依據官方设定，并不会随时更新，请见谅
地图制作者：mio</t>
  </si>
  <si>
    <t>野外區域</t>
  </si>
  <si>
    <t>Outdoors Area</t>
  </si>
  <si>
    <t>野外区域</t>
  </si>
  <si>
    <t>迷失之森(終點)
R16
▼</t>
  </si>
  <si>
    <t>捨てられた森(ターミナル) 
R16 
▼</t>
  </si>
  <si>
    <t>Abandoned Forest(End) 
R16 
▼</t>
  </si>
  <si>
    <r>
      <rPr>
        <rFont val="Microsoft JhengHei"/>
        <color rgb="FF000000"/>
        <sz val="10.0"/>
      </rPr>
      <t>迷失之森（终点）</t>
    </r>
    <r>
      <rPr>
        <rFont val="Microsoft JhengHei"/>
        <color theme="1"/>
        <sz val="10.0"/>
      </rPr>
      <t xml:space="preserve">
 R16
▼</t>
    </r>
  </si>
  <si>
    <t>遺跡區域</t>
  </si>
  <si>
    <t>發中區域(礦坑)-2</t>
  </si>
  <si>
    <t>▲
迷失之森(終點入口)
▼</t>
  </si>
  <si>
    <t>遺跡地域</t>
  </si>
  <si>
    <t>▲ 
捨てられた森
 (ゴールラインの入り口で)
▼</t>
  </si>
  <si>
    <t>Ruins</t>
  </si>
  <si>
    <t>Development Zone (Mine Pit) -2</t>
  </si>
  <si>
    <t>▲
Abandoned Forest
(Pathway)
▼</t>
  </si>
  <si>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</si>
  <si>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</si>
  <si>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</si>
  <si>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t>▲
◀ 冒險者小道:深淵之門 ▶
R11
▼</t>
  </si>
  <si>
    <t>▲
◀ 山之洞窟
R11</t>
  </si>
  <si>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</si>
  <si>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</si>
  <si>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</si>
  <si>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</si>
  <si>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t>Forest of Ruins-4 ▶ 
R10.R15
▼</t>
  </si>
  <si>
    <t>▲ 
◀ In front of the ruins gate
R11 
▼</t>
  </si>
  <si>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</si>
  <si>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</si>
  <si>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</si>
  <si>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</si>
  <si>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</si>
  <si>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t>▲
遺跡之森-2 ▶
▼</t>
  </si>
  <si>
    <t>▲
◀ 遺跡之森 ▶
▼</t>
  </si>
  <si>
    <t>▲
◀ 遺跡之森-1</t>
  </si>
  <si>
    <t>▲ 
遺跡の森-2 ▶
▼</t>
  </si>
  <si>
    <r>
      <rPr>
        <rFont val="Microsoft JhengHei"/>
        <color theme="1"/>
      </rPr>
      <t xml:space="preserve">▲ 
◀ </t>
    </r>
    <r>
      <rPr>
        <rFont val="Microsoft JhengHei"/>
        <color rgb="FF000000"/>
      </rPr>
      <t>遺跡の森</t>
    </r>
    <r>
      <rPr>
        <rFont val="Microsoft JhengHei"/>
        <color theme="1"/>
      </rPr>
      <t xml:space="preserve"> ▶ 
▼</t>
    </r>
  </si>
  <si>
    <t xml:space="preserve">▲ 
遺跡の森-1
</t>
  </si>
  <si>
    <t>▲ 
Forest of Ruins-2 ▶
▼</t>
  </si>
  <si>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</si>
  <si>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</si>
  <si>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t>▲
遗迹之森-2 ▶
▼</t>
  </si>
  <si>
    <t>▲ 
◀ 遗迹之森 ▶
▼</t>
  </si>
  <si>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</si>
  <si>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</si>
  <si>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t>▲
冒險者小道:集結地▶
R2.R5.R6.R8.R13.R27.R29.R50
▼</t>
  </si>
  <si>
    <t>◀ 沉眠之所...(尼伯龍根)
R21</t>
  </si>
  <si>
    <t>廢墟森林
(箱庭的白兔)
R65、R66、R67
▼</t>
  </si>
  <si>
    <t>▲ 
遺跡の森-3 
▼</t>
  </si>
  <si>
    <t>▲ 
冒険の遊歩道:集結地 ▶ 
R2.R5.R6.R8.R13.R27.R29.R50
▼</t>
  </si>
  <si>
    <t xml:space="preserve">◀ 眠りの地...（ニーベルンゲ）
R21 </t>
  </si>
  <si>
    <t>▲ 
Forest of Ruins-3 
▼</t>
  </si>
  <si>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</si>
  <si>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</si>
  <si>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</si>
  <si>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</si>
  <si>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t>▲
冒险者小道:集結地 ▶ 
R2.R5.R6.R8.R13.R27.R29.R50
▼</t>
  </si>
  <si>
    <t>◀ 沉眠之所…(尼伯龙根)
R21</t>
  </si>
  <si>
    <r>
      <rPr>
        <rFont val="Microsoft JhengHei"/>
        <color rgb="FF000000"/>
        <sz val="10.0"/>
      </rPr>
      <t>废墟森林</t>
    </r>
    <r>
      <rPr>
        <rFont val="Microsoft JhengHei"/>
        <color rgb="FF000000"/>
        <sz val="10.0"/>
      </rPr>
      <t xml:space="preserve">
(箱庭的白兔)
R65.R66.R67
▼</t>
    </r>
  </si>
  <si>
    <t>▲
開發中區域(礦坑)
R22
▼</t>
  </si>
  <si>
    <t>◀ 冒險者小道:林間-1 ▶
R7.R12
▼</t>
  </si>
  <si>
    <t>▲
◀ 冒險者小道:林間-2
▼
R64</t>
  </si>
  <si>
    <t>▲ 
開発中エリア（鉱山トンネル）
 R22 
▼</t>
  </si>
  <si>
    <t>◀ 冒険の遊歩道:林間 ▶ 
R7.R12</t>
  </si>
  <si>
    <r>
      <rPr>
        <rFont val="Microsoft JhengHei"/>
        <color theme="1"/>
      </rPr>
      <t xml:space="preserve">◀ </t>
    </r>
    <r>
      <rPr>
        <rFont val="Microsoft JhengHei"/>
        <color rgb="FF000000"/>
      </rPr>
      <t>冒険の遊歩道:記念碑</t>
    </r>
    <r>
      <rPr>
        <rFont val="Microsoft JhengHei"/>
        <color theme="1"/>
      </rPr>
      <t xml:space="preserve"> 
R9.R14</t>
    </r>
  </si>
  <si>
    <t>▲
Excavation Site (Mine Tunnels)
R22 
▼</t>
  </si>
  <si>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</si>
  <si>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</si>
  <si>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t>▲ 
开发中区域(矿坑) 
R22
▼</t>
  </si>
  <si>
    <t>◀ 冒险者小道 :林间-1 ▶
 R7.R12</t>
  </si>
  <si>
    <r>
      <rPr>
        <rFont val="Microsoft JhengHei"/>
        <color theme="1"/>
        <sz val="10.0"/>
      </rPr>
      <t xml:space="preserve">▲
◀ </t>
    </r>
    <r>
      <rPr>
        <rFont val="Microsoft JhengHei"/>
        <color rgb="FF000000"/>
        <sz val="10.0"/>
      </rPr>
      <t>冒险者小道:林间-2</t>
    </r>
    <r>
      <rPr>
        <rFont val="Microsoft JhengHei"/>
        <color theme="1"/>
        <sz val="10.0"/>
      </rPr>
      <t xml:space="preserve">
R64
▼</t>
    </r>
  </si>
  <si>
    <t>▲
開發中區域(礦坑)-1
R17.R23.R24
R59</t>
  </si>
  <si>
    <t>提前回家
R1</t>
  </si>
  <si>
    <t>▲
獵人小屋
R69
▼</t>
  </si>
  <si>
    <t>▲
冒險者小道:紀念碑
R9.R14</t>
  </si>
  <si>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</si>
  <si>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</si>
  <si>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t>▲ 
Excavation Site (Mine Tunnels)-1 
R17.R22.R23</t>
  </si>
  <si>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</si>
  <si>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</si>
  <si>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</si>
  <si>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</si>
  <si>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t>▲
猎人小屋
R69
▼</t>
  </si>
  <si>
    <t>▲
冒险者小道:纪念碑
R9.R14</t>
  </si>
  <si>
    <r>
      <rPr>
        <rFont val="Microsoft JhengHei"/>
        <color theme="1"/>
      </rPr>
      <t xml:space="preserve">▲
</t>
    </r>
    <r>
      <rPr>
        <rFont val="Microsoft JhengHei"/>
        <color rgb="FF000000"/>
      </rPr>
      <t>開發中區域(礦坑)-2</t>
    </r>
    <r>
      <rPr>
        <rFont val="Microsoft JhengHei"/>
        <color theme="1"/>
      </rPr>
      <t xml:space="preserve"> ▶
▼
R11.R60.R61</t>
    </r>
  </si>
  <si>
    <t>山的洞窟</t>
  </si>
  <si>
    <t>▲
獵人小屋:地下室
R70</t>
  </si>
  <si>
    <t xml:space="preserve">▲ 
Excavation Site (Mine Tunnels)-2 ▶
R11.R60.R61
▼
</t>
  </si>
  <si>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</si>
  <si>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</si>
  <si>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</si>
  <si>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
猎人小屋:地下室
R70</t>
  </si>
  <si>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</si>
  <si>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</si>
  <si>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</si>
  <si>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</si>
  <si>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</si>
  <si>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</si>
  <si>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</si>
  <si>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</si>
  <si>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</si>
  <si>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</si>
  <si>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</si>
  <si>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</si>
  <si>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t>淺層遺跡迷宮  R24
▼</t>
  </si>
  <si>
    <t>淺層遺跡迷宮  
R24
▼</t>
  </si>
  <si>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</si>
  <si>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</si>
  <si>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</si>
  <si>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</si>
  <si>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theme="1"/>
      </rPr>
      <t>忘却のカタコンベ:隠れ家</t>
    </r>
    <r>
      <rPr>
        <rFont val="Microsoft JhengHei"/>
        <color rgb="FF777777"/>
      </rPr>
      <t xml:space="preserve">  ▶
</t>
    </r>
    <r>
      <rPr>
        <rFont val="Microsoft JhengHei"/>
        <color theme="1"/>
      </rPr>
      <t>R18</t>
    </r>
  </si>
  <si>
    <t>▲
◀ 忘却のカタコンベ  R18.R19.R25
▼</t>
  </si>
  <si>
    <r>
      <rPr>
        <rFont val="Microsoft JhengHei"/>
        <color rgb="FF000000"/>
        <sz val="8.0"/>
      </rPr>
      <t>Forgotten Catacombe:Hideout</t>
    </r>
    <r>
      <rPr>
        <rFont val="Microsoft JhengHei"/>
        <color rgb="FF777777"/>
        <sz val="8.0"/>
      </rPr>
      <t xml:space="preserve">  ▶
</t>
    </r>
    <r>
      <rPr>
        <rFont val="Microsoft JhengHei"/>
        <color theme="1"/>
        <sz val="8.0"/>
      </rPr>
      <t>R18</t>
    </r>
  </si>
  <si>
    <t>▲
◀ Forgotten Catacombs
R18.R19.R25
▼</t>
  </si>
  <si>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</si>
  <si>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</si>
  <si>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t>▲
被遺忘的墓穴-1 ▶
R26.R63
▼</t>
  </si>
  <si>
    <t xml:space="preserve">發中區域(礦坑)-4 </t>
  </si>
  <si>
    <t>▲
忘却のカタコンベ-1
R26
▼</t>
  </si>
  <si>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</si>
  <si>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</si>
  <si>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
被遺忘的墓穴-2 
（狂亂的紅獸）▶
R20.R40.R43
▼</t>
  </si>
  <si>
    <t>墮落的聖堂
（限定時間擊殺狂亂的紅獸）
R45</t>
  </si>
  <si>
    <t>▲
忘却のカタコンベ-2 
（狂乱の紅獣）▶
R20.R40.R43
 ▼</t>
  </si>
  <si>
    <t>堕落の聖堂
（狂乱の紅獣を倒すための制限時間）
R45</t>
  </si>
  <si>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</si>
  <si>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t>The Fallen Sanctuary 
(Kill Frenzied Crimson Beast in a limited time)
R45</t>
  </si>
  <si>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</si>
  <si>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</si>
  <si>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</si>
  <si>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t>大焦熱溶岩帯
R22</t>
  </si>
  <si>
    <t>Scorching Lava Zone
R22</t>
  </si>
  <si>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</si>
  <si>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</si>
  <si>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</si>
  <si>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До списку не включені звичайні предмети, що випадають із монстрів.
(Загальне спорядження та витратні предмети білої та синьої якості)
Враховуються лише золоті монети вартістю 500 єн та більше.
(Число) = Максимальна кількість предметів, які можуть багаторазово випадати з одного монстра.
Імовірність повторного випадання зменшуватиметься і не залишиться на початковому рівні.</t>
  </si>
  <si>
    <t>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йен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</si>
  <si>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</si>
  <si>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</si>
  <si>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Item umum yang jatuhtidak termasuk
(Item berkualitas Putih dan Biru)
Hanya uang senilai lebih dari 500 yen yang tercantum. Angka di dalam tanda kurung adalah jumlah maksimum item yang dapat diberikan oleh monster tertentu. Jika item yang SAMA jatuh dua kali dalam satu kali membunuh monster, item pertama akan memiliki tingkat jatuh normal sedangkan item berikutnya akan memiliki tingkat yang lebih rendah.</t>
  </si>
  <si>
    <t>項目</t>
  </si>
  <si>
    <t>特殊掉落</t>
  </si>
  <si>
    <t>機率(%)</t>
  </si>
  <si>
    <t>備註</t>
  </si>
  <si>
    <t>Source</t>
  </si>
  <si>
    <t>Unique Drops</t>
  </si>
  <si>
    <t>Drop Rate (%)</t>
  </si>
  <si>
    <t>Origen</t>
  </si>
  <si>
    <t>Artículo</t>
  </si>
  <si>
    <t>Probabilidad (%)</t>
  </si>
  <si>
    <t>Notas</t>
  </si>
  <si>
    <t>Отримання</t>
  </si>
  <si>
    <t>Особливий лут</t>
  </si>
  <si>
    <t>Імовірність 
випадання
(%)</t>
  </si>
  <si>
    <t>Примітки</t>
  </si>
  <si>
    <t>Получение</t>
  </si>
  <si>
    <t>Особый лут</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</si>
  <si>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</si>
  <si>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</si>
  <si>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</si>
  <si>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</si>
  <si>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</si>
  <si>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</si>
  <si>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</si>
  <si>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</si>
  <si>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</si>
  <si>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</si>
  <si>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</si>
  <si>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</si>
  <si>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</si>
  <si>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Sumber</t>
  </si>
  <si>
    <t>Drop Unik</t>
  </si>
  <si>
    <t>Persentasi (%)</t>
  </si>
  <si>
    <t>Komentar</t>
  </si>
  <si>
    <t>一般小型怪物</t>
  </si>
  <si>
    <t>Normal Monsters</t>
  </si>
  <si>
    <t>Monstruos Normales</t>
  </si>
  <si>
    <t>Маленькі монстри</t>
  </si>
  <si>
    <t>Маленькие монстры</t>
  </si>
  <si>
    <t>Quái thường</t>
  </si>
  <si>
    <t>Monstros Pequenos Normais</t>
  </si>
  <si>
    <t>Monster Normal</t>
  </si>
  <si>
    <t>香蕉妖精</t>
  </si>
  <si>
    <t>香蕉妖精
香蕉?</t>
  </si>
  <si>
    <t>35
35</t>
  </si>
  <si>
    <t>バナナ妖精</t>
  </si>
  <si>
    <t>バナナの妖精 
バナナ?</t>
  </si>
  <si>
    <t>Banana Fairy</t>
  </si>
  <si>
    <t>Banana Fairy
Banana?</t>
  </si>
  <si>
    <t>Бананова фея</t>
  </si>
  <si>
    <t>Бананова Фея
Банан?</t>
  </si>
  <si>
    <t>Банановая фея</t>
  </si>
  <si>
    <t>Банановая Фея
Банан?</t>
  </si>
  <si>
    <t>Bananenfee</t>
  </si>
  <si>
    <t>Bananenfee
Banane?</t>
  </si>
  <si>
    <t>Tiên Chuối</t>
  </si>
  <si>
    <t>Tiên Chuối
Chuối?</t>
  </si>
  <si>
    <t>Fada Banana</t>
  </si>
  <si>
    <t>Fada Banana
Banana?</t>
  </si>
  <si>
    <t>Peri Pisang</t>
  </si>
  <si>
    <t>Peri Pisang Pisang?</t>
  </si>
  <si>
    <t>蘋果妖精</t>
  </si>
  <si>
    <t>蘋果妖精
蘋果頭套</t>
  </si>
  <si>
    <t>20
20</t>
  </si>
  <si>
    <t>リンゴ妖精</t>
  </si>
  <si>
    <t>リンゴの妖精
リンゴヘルメット</t>
  </si>
  <si>
    <t>Apple Fairy</t>
  </si>
  <si>
    <t>Apple Fairy
Apple Headband</t>
  </si>
  <si>
    <t>Яблучна
 Фея</t>
  </si>
  <si>
    <t>Яблучна фея
Яблучний головний убір</t>
  </si>
  <si>
    <t>Яблочная
 Фея</t>
  </si>
  <si>
    <t>Яблочная фея
Яблочный головной убор</t>
  </si>
  <si>
    <t>Apfelfee</t>
  </si>
  <si>
    <t>Apfelfee
Apfelkopfbedeckung</t>
  </si>
  <si>
    <t>Tiên Táo</t>
  </si>
  <si>
    <t>Tiên Chuối
Mũ Quả Táo</t>
  </si>
  <si>
    <t>Fada Maçã</t>
  </si>
  <si>
    <t>Fada Maçã
Capacete de Maçã</t>
  </si>
  <si>
    <t>Peri Apel</t>
  </si>
  <si>
    <t>Peri Apel
Bando Apel</t>
  </si>
  <si>
    <t>20 20</t>
  </si>
  <si>
    <t>貓咪史萊姆</t>
  </si>
  <si>
    <t>史萊姆的黏液
借來的貓爪
貓貓玩偶服
招財貓</t>
  </si>
  <si>
    <t>27
24
24
10</t>
  </si>
  <si>
    <t>猫スライム</t>
  </si>
  <si>
    <t>スライムの粘液
借りネコの手
貓貓玩偶服
招き猫</t>
  </si>
  <si>
    <t>Cat Slime</t>
  </si>
  <si>
    <t>Slime Mucus
Borrowed Neko Claws
Neko Plush Suit
Maneki Neko</t>
  </si>
  <si>
    <t>Кото-слайм</t>
  </si>
  <si>
    <t>Слиз
Позичені лапки Неко
Костюм плюшевого кота
Кіт удачі</t>
  </si>
  <si>
    <t>Слайм
Одолжённые лапки Неко
Костюм плюшевого кота
Кот удачи</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</si>
  <si>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</si>
  <si>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</si>
  <si>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</si>
  <si>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</si>
  <si>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</si>
  <si>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</si>
  <si>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Lendir Kucing</t>
  </si>
  <si>
    <t>Lendir Lendir
Cakar Neko yang dipinjam
Setelan Mewah Neko
Maneki Neko</t>
  </si>
  <si>
    <t>草食史萊姆</t>
  </si>
  <si>
    <t>史萊姆的黏液
芳草心
硬木棒
硬木劍
斬裂劍提爾鋒</t>
  </si>
  <si>
    <t>28 (2)
23 (2)
8 (2)
8 (2)
0.8</t>
  </si>
  <si>
    <t>草食スライム</t>
  </si>
  <si>
    <t>スライムの粘液
芳草心
硬木の棒
堅木の剣
斬裂剣ティルファング</t>
  </si>
  <si>
    <t>Herbivorous Slime</t>
  </si>
  <si>
    <t>Slime Mucus
Fragrant Grass Ring
Hardwood Stick
Hardwood Sword
Tyrfing</t>
  </si>
  <si>
    <t xml:space="preserve">28 (2)
23 (2)
8 (2)
8 (2)
0.8 </t>
  </si>
  <si>
    <t>Травоїдний слайм</t>
  </si>
  <si>
    <t>Слиз
Кільце з запашної трави
Міцна палиця
Дерев'яний меч
Тірфінг</t>
  </si>
  <si>
    <t>Травоядный слайм</t>
  </si>
  <si>
    <t>Слайм
Кольцо из душистой травы
Прочная палка
Деревянный меч
Тирфинг</t>
  </si>
  <si>
    <t>Pflanzenfressender Schleim</t>
  </si>
  <si>
    <t>Schleimige Substanz
Duftender Grasring
Hartholzstock
Hartholzschwert
"Tyrfing"</t>
  </si>
  <si>
    <t>"Tyrfing" - Schwert</t>
  </si>
  <si>
    <t>Slime Ăn Cỏ</t>
  </si>
  <si>
    <t>Chất Nhầy Slime
Nhẫn Cỏ Thảo Hương
Gậy Gỗ
Kiếm Gỗ
Tyrfing</t>
  </si>
  <si>
    <t>Slime Herbívoro</t>
  </si>
  <si>
    <t>Muco de Slime
Anel da Relva Fragrante
Bastão de Madeira Nobre
Espada de Madeira Nobre
Tyrfing</t>
  </si>
  <si>
    <t>Lendir Herbivora</t>
  </si>
  <si>
    <t>Lendir Lendir
Cincin Rumput Wangi
Tongkat Kayu Keras
Pedang Kayu Keras
Tyrfing</t>
  </si>
  <si>
    <t>急凍史萊姆</t>
  </si>
  <si>
    <t>史萊姆的黏液
魔力晶簇
雪見
霜月
寒冰杖
永凍結晶</t>
  </si>
  <si>
    <t>21 (2)
15 (2)
8 (2)
8 (2)
8 (2)
*</t>
  </si>
  <si>
    <t>* 永凍結晶 是特殊掉落，需要擊殺12隻以上，有8%機率掉落。</t>
  </si>
  <si>
    <t>急凍スライム</t>
  </si>
  <si>
    <t>スライムの粘液
魔晶石クラスター
雪見
タロットカード
寒冰の杖
永凍結晶</t>
  </si>
  <si>
    <t>Frost Slime</t>
  </si>
  <si>
    <t>Slime Mucus
Mana Crystal Cluster
Snow Watch
Frostmoon
Ice Staff
Permafrost Crystal</t>
  </si>
  <si>
    <t>*Permafrost Crystals are unique drops. They can only be obtained after defeating 12 or more monsters, with an 8% chance of getting them.</t>
  </si>
  <si>
    <t>21 (2)
15 (2)
8 (2)
8 (2)
8 (2)</t>
  </si>
  <si>
    <t>Морозний слайм</t>
  </si>
  <si>
    <t>Слиз
Кластер мана-кристалів
Снігова варта
Крижаний місяць
Крижаний посох
Кристал вічної мерзлоти</t>
  </si>
  <si>
    <t>Кристал вічної мерзлоти — це особливий дроп, який вимагає перемоги над 12 або більше монстрами, з 8% імовірности його випадіння.</t>
  </si>
  <si>
    <t>Морозный слайм</t>
  </si>
  <si>
    <t>Слайм
Кластер мана-кристаллов
Снежный дозор
Ледяная луна
Ледяной посох
Кристалл Вечной мерзлоты</t>
  </si>
  <si>
    <t>*Кристаллы вечной мерзлоты - это уникальный дроп. Его можно получить только после победы над 12 или более монстрами с вероятностью 8%.</t>
  </si>
  <si>
    <t>Frostschleim</t>
  </si>
  <si>
    <t>Schleimige Substanz
Manakristallbündel
"Schneewächter" (Bogen)
"Eiskalter Mund" (Schwert)
Eisstab</t>
  </si>
  <si>
    <t>"Schneewächter" - Bogen
"Eiskalter Mund"- Schwert</t>
  </si>
  <si>
    <t>Slime Đông Đá</t>
  </si>
  <si>
    <t xml:space="preserve">Chất Nhầy Slime
Cụm Tinh Thạch Mana
Tuyết Giám
Hàn Nguyệt
Trượng Băng
</t>
  </si>
  <si>
    <t>*   là vật phẩm độc nhất. Nó chỉ rơi ra sau khi đánh bại ít nhất 12 quái vật, với khả năng 8% nhận được</t>
  </si>
  <si>
    <t>Slime Gélido</t>
  </si>
  <si>
    <t>Muco de Slime
Aglomerado de Cristais de Mana
Vigia da Neve (arco)
Lua Gélida (espada)
Cajado de Gelo
Cristal Permafrost</t>
  </si>
  <si>
    <t>21 (2)
15 (2)
8 (2)
8 (2)
8 (2)
(*)</t>
  </si>
  <si>
    <t>*Os Cristais Permafrost são itens únicos que podem ser obtidos. Eles só podem ser obtidos após derrotar 12 ou mais monstros, com uma chance de 8% de consegui-los.</t>
  </si>
  <si>
    <t>Lendir Beku</t>
  </si>
  <si>
    <t>Lendir Lendir
Kluster Kristal Mana
Pengawas Salju
Bulan Es
Tongkat Es</t>
  </si>
  <si>
    <t>嗶哩嗶哩史萊姆</t>
  </si>
  <si>
    <t>史萊姆的黏液
會漏電的不良品
千鳥</t>
  </si>
  <si>
    <t>28 (2)
30 (2)
10 (2)</t>
  </si>
  <si>
    <t>ビリビリスライム</t>
  </si>
  <si>
    <t>スライムの粘液
タロットカード
千鳥</t>
  </si>
  <si>
    <t>Crackling Slime</t>
  </si>
  <si>
    <t>Slime Mucus
Leaky Electric Sword
Chidori</t>
  </si>
  <si>
    <t>Електро-слайм</t>
  </si>
  <si>
    <t>Слиз
Протікаючий електромеч
Чидорі</t>
  </si>
  <si>
    <t>Электро-слайм</t>
  </si>
  <si>
    <t>Слайм
Протекающий электро-меч
Чидори</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</si>
  <si>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</si>
  <si>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</si>
  <si>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</si>
  <si>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</si>
  <si>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</si>
  <si>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</si>
  <si>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</si>
  <si>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Lendir yang berderak</t>
  </si>
  <si>
    <t>Lendir Lendir
Pedang Listrik Bocor
Chidori</t>
  </si>
  <si>
    <t>角兔</t>
  </si>
  <si>
    <t>小塊獸肉</t>
  </si>
  <si>
    <t>44 (2)</t>
  </si>
  <si>
    <t>ボーンラビット</t>
  </si>
  <si>
    <t>小さいお肉</t>
  </si>
  <si>
    <t>Horned Rabbit</t>
  </si>
  <si>
    <t>Small Beast Meat</t>
  </si>
  <si>
    <t>Рогатий кролик</t>
  </si>
  <si>
    <t>М'ясо маленького звіра</t>
  </si>
  <si>
    <t>Рогатый кролик</t>
  </si>
  <si>
    <t>Мясо маленького зверя</t>
  </si>
  <si>
    <t>Gehörnter Hase</t>
  </si>
  <si>
    <t>Kleines stück Wildfleisch</t>
  </si>
  <si>
    <t>Thỏ Sừng</t>
  </si>
  <si>
    <t>Thịt Quái Vật Nhỏ</t>
  </si>
  <si>
    <t>Coelho Chifrudo</t>
  </si>
  <si>
    <t>Carne de Pequena Fera</t>
  </si>
  <si>
    <t>Kelinci Bertanduk</t>
  </si>
  <si>
    <t>Daging Hewan Kecil</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</si>
  <si>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</si>
  <si>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</si>
  <si>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</si>
  <si>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</si>
  <si>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</si>
  <si>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</si>
  <si>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 xml:space="preserve">
ボーンラビットを10体撃破すると解放される可能性がある／紅獣を撃破する
ジャッカロープを解放した後は、出現した角ウサギが40%の確率でジャッカロープに変化する
</t>
  </si>
  <si>
    <t>Horned Jackalope</t>
  </si>
  <si>
    <t>Small Beast Meat
Red Horn</t>
  </si>
  <si>
    <t xml:space="preserve">Kill 10 Horned Rabbits / Kill the Frenzied Crimson Beast to unlock
Once you meet this requirement, there's a 40% chance for a Horned Rabbit to spawn as a Horned Jackalope
</t>
  </si>
  <si>
    <t>Шакалоп</t>
  </si>
  <si>
    <t>М'ясо маленького звіра
Червоний Ріг</t>
  </si>
  <si>
    <t>Вбивство 10 рогатих кроликів/вбивство червоного звіра відкриває цю функцію.
Після відкриття рогатого кролика у кожного рогатого кролика є 40% шанс перетворитися на рогатого кролика.</t>
  </si>
  <si>
    <t>Мясо маленького зверя
Красный Рог</t>
  </si>
  <si>
    <t>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рогатого кролика.</t>
  </si>
  <si>
    <t>Jackalope</t>
  </si>
  <si>
    <t>Giết 10 con Thỏ Sừng / Giết Cuồng Huyết Xích Liệt để mở khóa 
Khi bạn đáp ứng yêu cầu này, sẽ có 40% cơ hội Thỏ Sừng xuất hiện dưới dạng Jackalope.</t>
  </si>
  <si>
    <t>Carne de Pequena Besta
Chifre Vermelho</t>
  </si>
  <si>
    <t>Mate 10 Coelhos Chifrudos/Mate a Besta Carmesin em Frenesi para o desbloquear. Após desbloqueado, cada Coelho Chifrudo gerado terá 40% de chance de se transformar em um Jackalope.</t>
  </si>
  <si>
    <t>Jackalope Bertanduk</t>
  </si>
  <si>
    <t>Daging Hewan Kecil
Tanduk Merah</t>
  </si>
  <si>
    <t>Bunuh 10 Kelinci Bertanduk / Bunuh Binatang Merah Mengamuk untuk membuka kunci
Setelah Anda memenuhi persyaratan ini, ada peluang 40% bagi Kelinci Bertanduk untuk muncul sebagai Jackalope Bertanduk</t>
  </si>
  <si>
    <t>"Z"
(蟑螂)</t>
  </si>
  <si>
    <t>垃圾
陰暗爬行者的餽贈</t>
  </si>
  <si>
    <t>36
14</t>
  </si>
  <si>
    <t>"G"
(ゴキブリ)</t>
  </si>
  <si>
    <t xml:space="preserve">
ゴミ
陰鬱な爬行者の贈り物
</t>
  </si>
  <si>
    <t xml:space="preserve">
36
14</t>
  </si>
  <si>
    <t>The Unnameable "C"</t>
  </si>
  <si>
    <t>Junk
Shadowcrawler Gift</t>
  </si>
  <si>
    <t>Таракан</t>
  </si>
  <si>
    <t>Сміття / Подарунок Тіней</t>
  </si>
  <si>
    <t>Мусор / Подарок Теней</t>
  </si>
  <si>
    <t>Müll
ein Geschenk der schattenhaften Kriecher</t>
  </si>
  <si>
    <t xml:space="preserve">Vô danh
"C" </t>
  </si>
  <si>
    <t>Rác
Quà tặng Shadowcrawler</t>
  </si>
  <si>
    <t>"B"
(Barata)</t>
  </si>
  <si>
    <t>Sucata
Presente do Rastejador Sombrio</t>
  </si>
  <si>
    <t>Huruf "C" yang Tak Tersebutkan</t>
  </si>
  <si>
    <t>Hadiah Sampah Shadowcrawler</t>
  </si>
  <si>
    <t>水中相關</t>
  </si>
  <si>
    <t>Water-related</t>
  </si>
  <si>
    <t>Пов'язані з водою</t>
  </si>
  <si>
    <t>Связанные с водой</t>
  </si>
  <si>
    <t>Liên quan đến nước</t>
  </si>
  <si>
    <t>Relativos à água</t>
  </si>
  <si>
    <t>Berkaitan dengan Air</t>
  </si>
  <si>
    <t>神秘的小氣泡
(水面)</t>
  </si>
  <si>
    <t>金槍魚
條石鯛
秋刀魚
石斑魚
鯛魚
章魚觸手
甜蝦
大龍蝦
毛蟹
鮭魚
帝王鮭
巨大蟹鉗
綠龜殼
◉▽◉(藍色)
X△X</t>
  </si>
  <si>
    <t>7 (2)
7 (2)
7 (2)
7 (2)
12 (2)
12 (2)
5 (2)
5 (2)
2 (2)
17 (2)
2 (2)
7 (2)
7 (2)
1 (2)
-</t>
  </si>
  <si>
    <t>使用炸彈炸水面
(最多三組掉落物)
(有機率出現敵方生物、河之主BOSS)</t>
  </si>
  <si>
    <t>神秘的な小さな泡（水面）</t>
  </si>
  <si>
    <t>マグロ
シマアジ
サンマ
ハタ
タイ
タコの足
甘エビ
イセエビ
毛ガニ
サケ
キングサーモン
タラバガニの爪
アオウミガメの甲羅
◉▽◉（青）
X△X</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</si>
  <si>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</si>
  <si>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</si>
  <si>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</si>
  <si>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7 (2)
7 (2)
7 (2)
7 (2)
12 (2)
12 (2)
5 (2)
5 (2)
2 (2)
17 (2)
2 (2)
7 (2)
7 (2)
1 (2)</t>
  </si>
  <si>
    <t xml:space="preserve">Throw bombs to water.
Can be bombed up to 3 times for loot
May potentially spawn monsters or the River Lord Boss
</t>
  </si>
  <si>
    <t>Маленькі бульбашки
(На поверхні води)</t>
  </si>
  <si>
    <t>Тунець
Смугастий морський окунь
Сайра
Групер
Дорада
Щупальця восьминога
Солодка креветка
Лобстер
Волосатий краб
Лосось
Королівський лосось
Клішня гігантського краба
Панцир черепахи
◉▽◉(Синій)
X△X</t>
  </si>
  <si>
    <t>Використовуйте бомби, щоб підірвати поверхню води.
(Максимум три комплекти видобутку)
(У режимі Мудреця є шанс призвати ворожих істот чи боса «Річкового Владика»)</t>
  </si>
  <si>
    <t>Маленькие пузыри
(На поверхности воды)</t>
  </si>
  <si>
    <t>Тунец
Полосатый морской окунь
Сайра
Групер
Дорада
Щупальца осьминога
Сладкая креветка
Лобстер
Волосатый краб
Лосось
Королевский лосось
Клешня гигантского краба
Панцирь черепахи
◉▽◉(Синий)
X△X</t>
  </si>
  <si>
    <t>Используйте бомбы, чтобы взорвать поверхность воды.
(Максимум три комплекта добычи)
(В режиме Мудреца есть шанс призвать вражеских существ или босса «Речного Владыку»)</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</si>
  <si>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</si>
  <si>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</si>
  <si>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</si>
  <si>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</si>
  <si>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</si>
  <si>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</si>
  <si>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</si>
  <si>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</si>
  <si>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</si>
  <si>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Gelembung-gelembung Kecil Misterius
(Di permukaan air)</t>
  </si>
  <si>
    <t>Tuna
Ikan Paruh Bergaris
Ikan Saury Pasifik
Kerapuh
Ikan Kakap Laut
Tentakel Gurita
Udang Manis
Lobster Berduri
Kepiting Berbulu
Salmon
Salmon Raja
Cakar Kepiting Raksasa
Cangkang Penyu Hijau
◉▽◉(Biru)
X△X</t>
  </si>
  <si>
    <t>7 (2)
7 (2)
7 (2)
12 (2)
12 (2)
5 (2)
5 (2)
2 (2)
17 (2)
2 (2)
7 (2)
7 (2)
1 (2)</t>
  </si>
  <si>
    <t>Lemparkan bom ke air.
Dapat dibom hingga 3 kali untuk mendapatkan jarahan.
Berpotensi memunculkan monster atau Bos Penguasa Sungai.</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</si>
  <si>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</si>
  <si>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</si>
  <si>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</si>
  <si>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</si>
  <si>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</si>
  <si>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</si>
  <si>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</si>
  <si>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</si>
  <si>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</si>
  <si>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</si>
  <si>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Великі бульбашки
(На поверхні води)</t>
  </si>
  <si>
    <t>Випадкова риба
Хлам
Випадкові руни
Панцир черепахи
Клішня гігантського краба
◉▽◉(Синій)
X△X</t>
  </si>
  <si>
    <t>Використовуйте бомби, щоб підірвати поверхню води.
(Максимум один набір видобутку)
(Нині немає ворожих істот, немає боса)</t>
  </si>
  <si>
    <t>Большие пузыри
(На поверхности воды)</t>
  </si>
  <si>
    <t>Случайная рыба
Хлам
Случайные руны
Панцирь черепахи
Клешня гигантского краба
◉▽◉(Синий)
X△X</t>
  </si>
  <si>
    <t>Используйте бомбы, чтобы взорвать поверхность воды.
(Максимум один набор добычи)
(В настоящее время нет вражеских существ, нет босса)</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</si>
  <si>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</si>
  <si>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</si>
  <si>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</si>
  <si>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</si>
  <si>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</si>
  <si>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</si>
  <si>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</si>
  <si>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</si>
  <si>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</si>
  <si>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(Di permukaan air)</t>
  </si>
  <si>
    <t>Ikan Acak
Sampah
Rune Acak
Cakar Kepiting Raksasa
Cangkang Kura-kura Hijau
◉▽◉(Biru)
X△X</t>
  </si>
  <si>
    <t>Lemparkan bom ke air.
Dapat dibom hingga 1 kali untuk mendapatkan jarahan.
Tidak akan ada monster atau bos yang muncul.</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</si>
  <si>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</si>
  <si>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</si>
  <si>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</si>
  <si>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</si>
  <si>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</si>
  <si>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</si>
  <si>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</si>
  <si>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</si>
  <si>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</si>
  <si>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Риби
(На поверхні води)</t>
  </si>
  <si>
    <t>Тунець
Дорада
Сайра
Групер
Лосось
Королівський лосось</t>
  </si>
  <si>
    <t>Використовуйте атаки або торкання для захоплення (випадуть лише інгредієнти).</t>
  </si>
  <si>
    <t>Рыбы
(На поверхности воды)</t>
  </si>
  <si>
    <t>Тунец
Дорада
Сайра
Групер
Лосось
Королевский лосось</t>
  </si>
  <si>
    <t>Используйте атаки или касание для захвата (выпадут только ингредиенты).</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</si>
  <si>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</si>
  <si>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</si>
  <si>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</si>
  <si>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</si>
  <si>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</si>
  <si>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</si>
  <si>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</si>
  <si>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</si>
  <si>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</si>
  <si>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Siluet Ikan
(Permukaan air)</t>
  </si>
  <si>
    <t>"Tuna
Ikan Paruh Bergaris
Sauri Pasifik
Ikan Kakap Laut
Salmon
Salmon Raja</t>
  </si>
  <si>
    <t>Lemparkan bom ke ikan di air atau sentuh siluet ikan.
Hanya barang-barang makanan yang akan dijatuhkan.</t>
  </si>
  <si>
    <t>水怪</t>
  </si>
  <si>
    <t>水怪黏液
魔力晶簇
潮汐之詩</t>
  </si>
  <si>
    <t>50
13
7</t>
  </si>
  <si>
    <t>WaterWeird</t>
  </si>
  <si>
    <t>WaterWeird Mucus
Mana Crystal Cluster
Tidewyrm's Song</t>
  </si>
  <si>
    <t>Водний вірд</t>
  </si>
  <si>
    <t>Слиз водяного духу
Кластер мана-кристалів
Пісня Приливного змія</t>
  </si>
  <si>
    <t>Водный вирд</t>
  </si>
  <si>
    <t>Слизь водяного духа
Кластер мана-кристаллов
Песнь Приливного змея</t>
  </si>
  <si>
    <t>Wassergeist</t>
  </si>
  <si>
    <t>Wässriges Schleimsekret/Manakristallbündel/Fokusreif</t>
  </si>
  <si>
    <t>Töte um Loot zu erhalten</t>
  </si>
  <si>
    <t>Thủy Quái</t>
  </si>
  <si>
    <t>Chất Nhầy Thủy Quái
Cụm Tinh Thạch Mana
Khúc Ca Của Tydewyrm</t>
  </si>
  <si>
    <t>Muco de WaterWeird
Aglomerado de Cristais de Mana
Poem of the Tides</t>
  </si>
  <si>
    <t>Lendir WaterWeird
Gugusan Kristal Mana
Lagu Tidewyrm</t>
  </si>
  <si>
    <t>薩卡班甲魚(小)</t>
  </si>
  <si>
    <t>◉▽◉(藍色)</t>
  </si>
  <si>
    <t>使用炸彈炸水面</t>
  </si>
  <si>
    <t>サカバンバスピス(小)</t>
  </si>
  <si>
    <t>◉▽◉(青)</t>
  </si>
  <si>
    <t>爆弾を使って水面を爆破する</t>
  </si>
  <si>
    <t>Sacambaspis (Small)</t>
  </si>
  <si>
    <t>◉▽◉ (Blue)</t>
  </si>
  <si>
    <t>Throw bombs in water</t>
  </si>
  <si>
    <t>Сакабамбаспіс
(маленький)</t>
  </si>
  <si>
    <t>◉▽◉ (Синій)</t>
  </si>
  <si>
    <t>Використовуйте бомби, щоб підірвати поверхню води.</t>
  </si>
  <si>
    <t>Сакабамбаспис
(маленький)</t>
  </si>
  <si>
    <t>◉▽◉ (Синий)</t>
  </si>
  <si>
    <t>Используйте бомбы, чтобы взорвать поверхность воды.</t>
  </si>
  <si>
    <t>Saccabania Schildkröte (klein)</t>
  </si>
  <si>
    <t>◉▽◉(blau)</t>
  </si>
  <si>
    <t>Mit Bomben die Wasseroberfläche sprengen.</t>
  </si>
  <si>
    <t>Sacambaspis (Nhỏ)</t>
  </si>
  <si>
    <t>◉▽◉ (Xanh)</t>
  </si>
  <si>
    <t>Ném bom vào nước</t>
  </si>
  <si>
    <t>Sacambaspis (Pequeno)</t>
  </si>
  <si>
    <t>◉▽◉ (Azul)</t>
  </si>
  <si>
    <t>Arremesse bombas na água</t>
  </si>
  <si>
    <t>Sacambaspis (Kecil)</t>
  </si>
  <si>
    <t>◉▽◉ (Biru)</t>
  </si>
  <si>
    <t>100</t>
  </si>
  <si>
    <t>Lemparkan bom ke dalam air</t>
  </si>
  <si>
    <t>薩卡班甲魚(大)</t>
  </si>
  <si>
    <t>◉▽◉(紫色)</t>
  </si>
  <si>
    <t>サカバンバスピス(大)</t>
  </si>
  <si>
    <t>◉▽◉(紫)</t>
  </si>
  <si>
    <t>Sacambaspis (Large)</t>
  </si>
  <si>
    <t>◉▽◉ (Purple)</t>
  </si>
  <si>
    <t>Сакабамбаспіс
(великий)</t>
  </si>
  <si>
    <t>◉▽◉ (Фіолетовий)</t>
  </si>
  <si>
    <t>Сакабамбаспис
(крупный)</t>
  </si>
  <si>
    <t>◉▽◉ (Фиолетовый)</t>
  </si>
  <si>
    <t>Saccabania Schildkröte (groß)</t>
  </si>
  <si>
    <t>◉▽◉(lila)</t>
  </si>
  <si>
    <t>Sacambaspis (Lớn)</t>
  </si>
  <si>
    <t>◉▽◉ (Tím)</t>
  </si>
  <si>
    <t>Sacambaspis (Grande)</t>
  </si>
  <si>
    <t>◉▽◉ (Roxo)</t>
  </si>
  <si>
    <t>Sacambaspis (Besar)</t>
  </si>
  <si>
    <t>◉▽◉ (Ungu)</t>
  </si>
  <si>
    <t>礦坑相關</t>
  </si>
  <si>
    <t>Mine Tunnels</t>
  </si>
  <si>
    <t>Пов'язані з шахтами</t>
  </si>
  <si>
    <t>Связанные с шахтами</t>
  </si>
  <si>
    <t>Đường Hầm Mỏ</t>
  </si>
  <si>
    <t>Terowongan Tambang</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</si>
  <si>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</si>
  <si>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</si>
  <si>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</si>
  <si>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</si>
  <si>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</si>
  <si>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</si>
  <si>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</si>
  <si>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Злий слайм</t>
  </si>
  <si>
    <t>Слиз
З Пекла
Кластер мана-кристалів
Рукавички занепалого магу
Пов'язка рішучості</t>
  </si>
  <si>
    <t>Злая слизь</t>
  </si>
  <si>
    <t>Слизь
Из Ада
Кластер мана-кристаллов
Перчатки падшего мага
Повязка решимости</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</si>
  <si>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</si>
  <si>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</si>
  <si>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</si>
  <si>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</si>
  <si>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</si>
  <si>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</si>
  <si>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Lendir Spektral</t>
  </si>
  <si>
    <t>Lendir Lendir
Dari Neraka
Kluster Kristal Mana
Sarung Tangan Penyihir Jatuh
Ikat Kepala Tekad</t>
  </si>
  <si>
    <t>24 (2)
5 (2)
8 (2)
5 (2)
0,8 (2)</t>
  </si>
  <si>
    <t>礦石史萊姆</t>
  </si>
  <si>
    <t>史萊姆的黏液
魔力晶簇
深邃魔力晶簇</t>
  </si>
  <si>
    <t>50
39 (2)
6 (2)</t>
  </si>
  <si>
    <t>Ore Slime</t>
  </si>
  <si>
    <t xml:space="preserve">Slime Mucus
Mana Crystal Cluster
Abyssal Mana Cluster
</t>
  </si>
  <si>
    <t>Рудний слизень</t>
  </si>
  <si>
    <t>Слиз
Кластер мана-кристалів
Кластер мани безодні</t>
  </si>
  <si>
    <t>Рудный слизень</t>
  </si>
  <si>
    <t>Слайм
Кластер мана-кристаллов
Кластер маны бездны</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</si>
  <si>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</si>
  <si>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</si>
  <si>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</si>
  <si>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</si>
  <si>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</si>
  <si>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</si>
  <si>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Lendir Bijih</t>
  </si>
  <si>
    <t>Lendir Lendir
Kluster Kristal Mana
Kluster Mana Jurang</t>
  </si>
  <si>
    <t>邪惡斗篷</t>
  </si>
  <si>
    <t>500元
1000元
受詛胎體
調皮的杰克
夜霧幻影
來自地獄
紫色品質物品
粉色品質物品</t>
  </si>
  <si>
    <t>18
6
16 (2)
6 (2)
3 (2)
6 (2)
1.6 (2)
0.6 (2)</t>
  </si>
  <si>
    <t>邪悪なマント</t>
  </si>
  <si>
    <t>500円
1000円
呪われた胎児
いたずらジャック
夜霧の幻影
地獄から
紫品質アイテム
ピンク品質アイテム</t>
  </si>
  <si>
    <t>Evil Cloak</t>
  </si>
  <si>
    <t xml:space="preserve">500 yen
1000 yen
Cursed Fetus
Saucy Jacky
Misty Night Phantom
From Hell
Purple Quality Item
Pink Quality Item
</t>
  </si>
  <si>
    <t>18
6
16 (2)
6 (2)
3 (2)
6 (2)</t>
  </si>
  <si>
    <t>Злий плащ</t>
  </si>
  <si>
    <t>500 єн
1000 єн
Проклятий зародок
Пустотливої ​​Джекі
Примара туманної ночі
З Пекла
Предмет фіолетової якості
Предмет рожевої якості</t>
  </si>
  <si>
    <t>Злой плащ</t>
  </si>
  <si>
    <t>500 йен
1000 йен
Проклятый зародыш
Озорной Джекки
Призрак туманной ночи
Из Ада
Предмет фиолетового качества
Предмет розового качества</t>
  </si>
  <si>
    <t>Böser Umhang</t>
  </si>
  <si>
    <t>Aus der Hölle / Nachtnebelphantom / Frecher Jack</t>
  </si>
  <si>
    <t>Áo Choàng Ác</t>
  </si>
  <si>
    <t>500 Yên
1000 Yên
Bào Thai Bị Nguyền Rủa
Saucy Jacky
Vũ Dạ Huyễn Ảnh
Địa Ngục Khởi Nguyên
Vật phẩm chất lượng tím
Vật phẩm chất lượng hồng</t>
  </si>
  <si>
    <t>500 yen
1.000yen
Fetu amaldiçoado
Jack Atrevido
Fantasma da Noite Nebulosa
Do Inferno (espada)
Equipamento de Qualidade Roxa
Equipamento de Qualidade Rosa</t>
  </si>
  <si>
    <t>18
6
16 (2)
6 (2)
3 (2)
6 (2)
1.6(2)
0.6(2)</t>
  </si>
  <si>
    <t>Jubah Jahat</t>
  </si>
  <si>
    <t>500 yen
1000 yen
Janin Terkutuk
Jacky Genit
Hantu Malam Berkabut
Dari Neraka</t>
  </si>
  <si>
    <t>18
6
16 (2)
6 (2)
3 (2)
6 (2)</t>
  </si>
  <si>
    <t>遺跡相關</t>
  </si>
  <si>
    <t>Abyss Ruins</t>
  </si>
  <si>
    <t>Руины</t>
  </si>
  <si>
    <t>Tàn TÍch Vực Sâu</t>
  </si>
  <si>
    <t>Reruntuhan Jurang</t>
  </si>
  <si>
    <t>初級獸人</t>
  </si>
  <si>
    <t>小獸肉
大獸肉
500元
獸人的骨釜</t>
  </si>
  <si>
    <t>19 (2)
19 (2)
8 (2)
30 (2)</t>
  </si>
  <si>
    <t>初級オーク</t>
  </si>
  <si>
    <t>小さい獣肉
大きい獣肉
500金
オークの背斧</t>
  </si>
  <si>
    <t>Low Orc</t>
  </si>
  <si>
    <t>Small Beast Meat
Large Beast Meat
500 yen
Orc's Boneaxe</t>
  </si>
  <si>
    <t>Орки</t>
  </si>
  <si>
    <t>М'ясо маленького звіра
М'ясо великого звіра
 500 єн
Костяна сокира орка</t>
  </si>
  <si>
    <t>Мясо маленького зверя
Мясо крупного зверя
 500 йен
Костяной топор орка</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</si>
  <si>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</si>
  <si>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</si>
  <si>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</si>
  <si>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</si>
  <si>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</si>
  <si>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</si>
  <si>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Orc Rendah</t>
  </si>
  <si>
    <t>Daging Binatang Kecil
Daging Binatang Besar
500 yen
Kapak Tulang Orc</t>
  </si>
  <si>
    <t>怪鳥</t>
  </si>
  <si>
    <t>雞腿肉
怪鳥的羽毛</t>
  </si>
  <si>
    <t>39
12</t>
  </si>
  <si>
    <t>鳥足肉
怪鳥の羽</t>
  </si>
  <si>
    <t>Weird Bird</t>
  </si>
  <si>
    <t>Bird Leg Meat
Weird Bird Feather</t>
  </si>
  <si>
    <t>Дивний птах</t>
  </si>
  <si>
    <t>Пташина ніжка
Дивне перо</t>
  </si>
  <si>
    <t>Странная птица</t>
  </si>
  <si>
    <t>Птичья ножка
Странное перо</t>
  </si>
  <si>
    <t>Seltsamer Vogel</t>
  </si>
  <si>
    <t>Vogelschenkelfleisch/Feder des seltsamen Vogels</t>
  </si>
  <si>
    <t>Chim Kỳ Lạ</t>
  </si>
  <si>
    <t>Đùi Chim
Lông Vũ Kì Lạ</t>
  </si>
  <si>
    <t>Pássaro Estranho</t>
  </si>
  <si>
    <t>Coxa de Ave
Pena Estranha (espada)</t>
  </si>
  <si>
    <t>Burung Aneh</t>
  </si>
  <si>
    <t>Daging Kaki Burung
Bulu Burung Aneh</t>
  </si>
  <si>
    <t>39 12</t>
  </si>
  <si>
    <t>走路菇</t>
  </si>
  <si>
    <t>走路菇
毒孢針</t>
  </si>
  <si>
    <t>25 (2)
30 (2)</t>
  </si>
  <si>
    <t>歩き茸</t>
  </si>
  <si>
    <t>歩きキノコ
毒胞の針</t>
  </si>
  <si>
    <t>Walking Mushroom</t>
  </si>
  <si>
    <t>Walking Mushroom
Toxic Spore Blade</t>
  </si>
  <si>
    <t>Ходячий гриб</t>
  </si>
  <si>
    <t>Ходячий гриб
Лезо з токсичних спор</t>
  </si>
  <si>
    <t>Ходячий гриб
Лезвие из токсичных спор</t>
  </si>
  <si>
    <t>Wandernder Pilz</t>
  </si>
  <si>
    <t>Laufender Pilz/Giftsporenklinge</t>
  </si>
  <si>
    <t>Nấm Di Động</t>
  </si>
  <si>
    <t>Nấm Biết ĐI
KIếm Bào Tử Độc</t>
  </si>
  <si>
    <t>Cogumelos Andantes
Lâmina de Esporos Tóxicos (espada)</t>
  </si>
  <si>
    <t>Jamur Berjalan</t>
  </si>
  <si>
    <t>Jamur Berjalan
Pisau Spora Beracun</t>
  </si>
  <si>
    <t>25 (2) 30 (2)</t>
  </si>
  <si>
    <t>杰克史萊姆</t>
  </si>
  <si>
    <t>史萊姆的黏液
杰克爆彈
炸彈魔之魂</t>
  </si>
  <si>
    <t>20 (2)
70 (2)
7</t>
  </si>
  <si>
    <t>スライムの粘液
ジャックボム
爆弾魔の魂</t>
  </si>
  <si>
    <t>Jack Slime</t>
  </si>
  <si>
    <t xml:space="preserve">Slime Mucus
Jack Bomb
Bomb Fiend's Soul
</t>
  </si>
  <si>
    <t>Джек-Слайм</t>
  </si>
  <si>
    <t>Слайм
Бомба Джека
Душа вибухового маніяка</t>
  </si>
  <si>
    <t>Слайм
Бомба Джека
Душа взрывного маньяка</t>
  </si>
  <si>
    <t>Jackschleim</t>
  </si>
  <si>
    <t>Jack Bombe/Schleimsekret/Seele des Bombenteufels</t>
  </si>
  <si>
    <t>Slime Jack</t>
  </si>
  <si>
    <t>Chầy Nhầy Slime
Jack Bomb
Linh Hồn Ma Hỏa</t>
  </si>
  <si>
    <t xml:space="preserve">Slime Jack </t>
  </si>
  <si>
    <t>Muco de Slime
Bomba Jack
Alma do Demônio das Bombas</t>
  </si>
  <si>
    <t>Lendir Lendir
Jack Bomb
Jiwa Iblis Bom</t>
  </si>
  <si>
    <t>女僕兔</t>
  </si>
  <si>
    <t>胡蘿蔔
500元
1000元
萌萌兔耳
女僕制服</t>
  </si>
  <si>
    <t>30 (2)
30
10
10
10</t>
  </si>
  <si>
    <t>メイドバニー</t>
  </si>
  <si>
    <t>ニンジン
500元
1000元
モエモエバニーイヤー
メイド服</t>
  </si>
  <si>
    <t>Carrot
500 yen
1000 yen
Moe Bunny Ears
Maid Uniform</t>
  </si>
  <si>
    <t>Кролик Покоївка</t>
  </si>
  <si>
    <t>Морква
500 єн
1000 єн
Милі кролячі вушка
Форма покоївки</t>
  </si>
  <si>
    <t>Кролик Горничная</t>
  </si>
  <si>
    <t>Морковь
500 йен
1000 йен
Милые кроличьи ушки
Форма горничной</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</si>
  <si>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</si>
  <si>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</si>
  <si>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</si>
  <si>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</si>
  <si>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</si>
  <si>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</si>
  <si>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Pelayan Kelinci</t>
  </si>
  <si>
    <t>Wortel
500 yen
1000 yen
Telinga Kelinci Moe
Seragam Pelayan</t>
  </si>
  <si>
    <t>小紅怪</t>
  </si>
  <si>
    <t>來自地獄
受詛胎體</t>
  </si>
  <si>
    <t>20 (2)
20 (2)</t>
  </si>
  <si>
    <t>赤き幼獣</t>
  </si>
  <si>
    <t>地獄より
呪われた胎児</t>
  </si>
  <si>
    <t>Red Cub</t>
  </si>
  <si>
    <t>From Hell
Cursed Fetus</t>
  </si>
  <si>
    <t>Маленький Червоний Монстр</t>
  </si>
  <si>
    <t>З Ада
Проклятий зародок</t>
  </si>
  <si>
    <t>Маленький Красный Монстр</t>
  </si>
  <si>
    <t>Из Ада
Проклятый зародыш</t>
  </si>
  <si>
    <t>Rotes junges Biest</t>
  </si>
  <si>
    <t>Aus der Hölle/ Verfluchter Fötus/Tarotkarten</t>
  </si>
  <si>
    <t>Gấu Đỏ</t>
  </si>
  <si>
    <t>Địa Ngục Khởi Nguyên
Bào Thai Bị Nguyền Rủa</t>
  </si>
  <si>
    <t>Filhote Vermelho</t>
  </si>
  <si>
    <t>Do Inferno (espada)
Feto Amaldiçoado</t>
  </si>
  <si>
    <t>Anak Singa Merah</t>
  </si>
  <si>
    <t>Janin Terkutuk dari Neraka</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</si>
  <si>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</si>
  <si>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</si>
  <si>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</si>
  <si>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</si>
  <si>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</si>
  <si>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</si>
  <si>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</si>
  <si>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Диявольський Кіт</t>
  </si>
  <si>
    <t>Випадкові карти Таро
Випадкові руни
Руна R
Руна E
Рукавички насичені маною
Зоряна ніч
Кіт удачі</t>
  </si>
  <si>
    <t>Дьявольский Кот</t>
  </si>
  <si>
    <t>Случайные карты Таро
Случайные руны
Руна R
Руна E
Перчатки напитанные маной
Звёздная ночь
Кот удачи</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</si>
  <si>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</si>
  <si>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</si>
  <si>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</si>
  <si>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</si>
  <si>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</si>
  <si>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</si>
  <si>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Kucing Iblis</t>
  </si>
  <si>
    <t>Kartu Tarot Acak
Rune Acak
Sarung Tangan Penguras Mana
Malam Berbintang
Maneki Neko</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</si>
  <si>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</si>
  <si>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</si>
  <si>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</si>
  <si>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</si>
  <si>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Vengeful Spirit</t>
  </si>
  <si>
    <t>Random Tarot Cards
Random Runes
Mana Crystal Cluster
Fallen Mage's Gloves
Focus Circlet</t>
  </si>
  <si>
    <t>Мстиві духи</t>
  </si>
  <si>
    <t>Випадкові карти Таро
Випадкові руни
Кластер мана-кристалів
Рукавички занепалого магу
Пов'язка зосередження</t>
  </si>
  <si>
    <t>Мстительные духи</t>
  </si>
  <si>
    <t>Случайные карты Таро
Случайные руны
Кластер мана-кристаллов
Перчатки падшего мага
Повязка сосредоточения</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</si>
  <si>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</si>
  <si>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</si>
  <si>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</si>
  <si>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</si>
  <si>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</si>
  <si>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</si>
  <si>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Semangat Dendam</t>
  </si>
  <si>
    <t>Kartu Tarot Acak
Rune Acak
Kluster Kristal Mana
Sarung Tangan Penyihir Jatuh
Lingkaran Fokus</t>
  </si>
  <si>
    <t>喪屍</t>
  </si>
  <si>
    <t>垃圾
毒蛇之擁
毅力頭巾
臭魚骨</t>
  </si>
  <si>
    <t>11
10 (2)
10 (2)
20 (2)</t>
  </si>
  <si>
    <t>ゴミ
蛇の抱擁
忍耐のヘッドバンド
臭い魚の骨</t>
  </si>
  <si>
    <t>Zombie</t>
  </si>
  <si>
    <t>Junk
Venomous Embrace
Determination Headband
Rotten Fishbone</t>
  </si>
  <si>
    <t>Зомбі</t>
  </si>
  <si>
    <t>Сміття
Отруйні обійми
Пов'язка рішучості
Смердюча рибина кістка</t>
  </si>
  <si>
    <t>Зомби</t>
  </si>
  <si>
    <t>Хлам
Ядовитые объятия
Повязка решимости
Вонючая рыбья кость</t>
  </si>
  <si>
    <t>Zombies</t>
  </si>
  <si>
    <t>Abfall/Verfaulter Fischknochen/Giftige Umarmung</t>
  </si>
  <si>
    <t>Rác
Vòng Tay Độc Tử
Băng Đô Kiên Định
Xương Cá Thối</t>
  </si>
  <si>
    <t>Zumbi</t>
  </si>
  <si>
    <t>Sucata
Abraço Venenoso
Bandana da Determinação
Espinha de Peixe Podre (espada)</t>
  </si>
  <si>
    <t>Sampah
Pelukan Beracun
Ikat Kepala Tekad
Tulang Ikan Busuk</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</si>
  <si>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</si>
  <si>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</si>
  <si>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</si>
  <si>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</si>
  <si>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</si>
  <si>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</si>
  <si>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</si>
  <si>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</si>
  <si>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Відрубана рука занепалого мага</t>
  </si>
  <si>
    <t>Кулаки люті
Кляса рука Ксеріса
Кулон Рубрум*</t>
  </si>
  <si>
    <t>Кулон Рубрум – це особливий предмет, який випадає після вбивства понад 10 монстрів.</t>
  </si>
  <si>
    <t>Отрубленная рука падшего мага</t>
  </si>
  <si>
    <t>Кулаки ярости
Проклятая рука Ксериса
Кулон Рубрум*</t>
  </si>
  <si>
    <t>* Кулон Рубрум — это особый предмет, который выпадает после убийства более 10 монстров.</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</si>
  <si>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</si>
  <si>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</si>
  <si>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</si>
  <si>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</si>
  <si>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</si>
  <si>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</si>
  <si>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</si>
  <si>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</si>
  <si>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Tangan Terputus dari Penyihir yang Jatuh</t>
  </si>
  <si>
    <t>Tinju Amarah
Tangan Terkutuk Xerise
Liontin Rubrum*</t>
  </si>
  <si>
    <t>*Rubrum Pendant adalah item khusus yang hanya akan muncul setelah Anda membunuh lebih dari 10 Severed Hands.</t>
  </si>
  <si>
    <t>精靈龍</t>
  </si>
  <si>
    <t>隨機塔羅牌
隨機符文
幻想的晶翼</t>
  </si>
  <si>
    <t>25
25
25</t>
  </si>
  <si>
    <t>フェアリードラゴン</t>
  </si>
  <si>
    <t>幻想の晶翼</t>
  </si>
  <si>
    <t>Fairy Dragon</t>
  </si>
  <si>
    <t>Phantom Crystal Wings</t>
  </si>
  <si>
    <t>Чарівний дракон</t>
  </si>
  <si>
    <t>Фантомні кришталеві крила</t>
  </si>
  <si>
    <t>Волшебный дракон</t>
  </si>
  <si>
    <t>Призрачные хрустальные крылья</t>
  </si>
  <si>
    <t>Rồng tiên</t>
  </si>
  <si>
    <t>Đôi Cánh Pha Lê Huyễn Ảnh</t>
  </si>
  <si>
    <t>Dragão Fada</t>
  </si>
  <si>
    <t>Cartas de Tarô Aleatórias
Runas Aleatórias
Asas de Cristal Fantasma</t>
  </si>
  <si>
    <t>BOSS/特殊生物</t>
  </si>
  <si>
    <t>BOSS/Special Mobs</t>
  </si>
  <si>
    <t>Бос/Особлива істота</t>
  </si>
  <si>
    <t>Босс/Особое существо</t>
  </si>
  <si>
    <t>BOSS/Quái đặc biệt</t>
  </si>
  <si>
    <t>BOS / Monster Spesial</t>
  </si>
  <si>
    <t>狂亂的紅獸</t>
  </si>
  <si>
    <t>天上之石碎片
不幸的誕生
寄壞劍
血狩</t>
  </si>
  <si>
    <t>100
18 (2)
36 (2)
36 (2)</t>
  </si>
  <si>
    <t>遺跡BOSS 
弱點：毒</t>
  </si>
  <si>
    <t>狂乱の紅獣</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</si>
  <si>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</si>
  <si>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</si>
  <si>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</si>
  <si>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</si>
  <si>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</si>
  <si>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</si>
  <si>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</si>
  <si>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Збожеволілий Багряний Звір</t>
  </si>
  <si>
    <t>Фрагмент Філософського каменю
Народження нещастя
Заражений клинок
Криваве полювання</t>
  </si>
  <si>
    <t>Бос Руїн
Слабкість: Отрута</t>
  </si>
  <si>
    <t>Обезумевший Багровый Зверь</t>
  </si>
  <si>
    <t>Фрагмент Философского камня
Рождение несчастья
Зараженный клинок
Кровавая охота</t>
  </si>
  <si>
    <t>Босс Руин
Слабость: Яд</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</si>
  <si>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</si>
  <si>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</si>
  <si>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</si>
  <si>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</si>
  <si>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</si>
  <si>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</si>
  <si>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</si>
  <si>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</si>
  <si>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</si>
  <si>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Binatang Merah Mengamuk</t>
  </si>
  <si>
    <t>Fragmen Batu Filsuf
Kelahiran Kemalangan
Pedang yang Terinfeksi
Perburuan Darah</t>
  </si>
  <si>
    <t>Bos Abyss Lemah terhadap Racun</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</si>
  <si>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</si>
  <si>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</si>
  <si>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</si>
  <si>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</si>
  <si>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</si>
  <si>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</si>
  <si>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</si>
  <si>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Білий кролик із маленького саду</t>
  </si>
  <si>
    <t>Фрагмент Філософського каменю
Морква
Уніформа покоївки
Милі кролячі вушка
Морквяний меч
Заморожений морквяний меч
Плісневий морквяний меч</t>
  </si>
  <si>
    <t>Бос</t>
  </si>
  <si>
    <t>Белый кролик из маленького сада</t>
  </si>
  <si>
    <t>Фрагмент Философского камня
Морковь
Униформа горничной
Милые кроличьи ушки
Морковный меч
Замороженный морковный меч
Плесневый морковный меч</t>
  </si>
  <si>
    <t>Босс</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</si>
  <si>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</si>
  <si>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</si>
  <si>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</si>
  <si>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</si>
  <si>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</si>
  <si>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</si>
  <si>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</si>
  <si>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</si>
  <si>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Kelinci Putih di Balik Negeri Ajaib</t>
  </si>
  <si>
    <t>Fragmen Batu Filsuf
Wortel
Seragam Pelayan
Telinga Kelinci Moe
Pedang Besar Wortel
Pedang Besar Wortel Beku
Pedang Besar Wortel Berjamur</t>
  </si>
  <si>
    <t>BOS</t>
  </si>
  <si>
    <t>稻草人的心</t>
  </si>
  <si>
    <t>傷害測試</t>
  </si>
  <si>
    <t>カカシの心</t>
  </si>
  <si>
    <t>DPSチェックできる</t>
  </si>
  <si>
    <t>Scarecrow's Heart</t>
  </si>
  <si>
    <t>Test Dummy</t>
  </si>
  <si>
    <t>허수아비의 마음</t>
  </si>
  <si>
    <t>데미지 체크 가능</t>
  </si>
  <si>
    <t>Сердце Опудала</t>
  </si>
  <si>
    <t>Перевірка шкоди зброї</t>
  </si>
  <si>
    <t>Сердце Пугала</t>
  </si>
  <si>
    <t>Проверка урона оружия</t>
  </si>
  <si>
    <t>Vogelscheuchenherz</t>
  </si>
  <si>
    <t>Testpuppe</t>
  </si>
  <si>
    <t>Trái Tim Bù Nhìn</t>
  </si>
  <si>
    <t>Hình nộm thử nghiệm</t>
  </si>
  <si>
    <t>Coração do Espantalho</t>
  </si>
  <si>
    <t>Boneco de teste</t>
  </si>
  <si>
    <t>Jantung Orang-orangan Sawah</t>
  </si>
  <si>
    <t>Boneka Uji Coba</t>
  </si>
  <si>
    <t>ASABA</t>
  </si>
  <si>
    <t>ASAB的草莓</t>
  </si>
  <si>
    <t>淺羽Doro，會吃掉路邊的草莓</t>
  </si>
  <si>
    <t>ASABのいちご</t>
  </si>
  <si>
    <t>浅羽ドロは道端のイチゴを食べる</t>
  </si>
  <si>
    <t>Asaba's Strawberry</t>
  </si>
  <si>
    <t>Asaba Doro will occassionally eat strawberries around the sidewalks.</t>
  </si>
  <si>
    <t>Асаба</t>
  </si>
  <si>
    <t>Полуниця Асаби</t>
  </si>
  <si>
    <t>Асаба їстиме полуницю, що росте вздовж дороги.</t>
  </si>
  <si>
    <t>Клубника Асабы</t>
  </si>
  <si>
    <t>Асаба будет есть клубнику, растущую вдоль дороги.</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</si>
  <si>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</si>
  <si>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</si>
  <si>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</si>
  <si>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</si>
  <si>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</si>
  <si>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</si>
  <si>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</si>
  <si>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Stroberi Asaba</t>
  </si>
  <si>
    <t>Asaba Doro terkadang memakan stroberi di sekitar trotoar.</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</si>
  <si>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</si>
  <si>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</si>
  <si>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</si>
  <si>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</si>
  <si>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</si>
  <si>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</si>
  <si>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</si>
  <si>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</si>
  <si>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</si>
  <si>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Берсерк Асаба</t>
  </si>
  <si>
    <t>Полуниця Асаби
Поверни мені мою полуничку!</t>
  </si>
  <si>
    <t>Клубника Асабы
Верни мне мою клубничку!</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</si>
  <si>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</si>
  <si>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</si>
  <si>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</si>
  <si>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</si>
  <si>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ASABA yang mengamuk</t>
  </si>
  <si>
    <t>Stroberi Asaba
Ichigo Wo Torimodose!!*</t>
  </si>
  <si>
    <t>100
*</t>
  </si>
  <si>
    <t>BOS
*Ichigo Wo Torimodose!! adalah item spesial yang bisa didapatkan. Setiap kali ASABA menggunakan teknik spesialnya, tingkat perolehannya meningkat sebesar 10%, hingga dijamin 100%.</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</si>
  <si>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</si>
  <si>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</si>
  <si>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</si>
  <si>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</si>
  <si>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</si>
  <si>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</si>
  <si>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</si>
  <si>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</si>
  <si>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</si>
  <si>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Кішка-дівчинка</t>
  </si>
  <si>
    <t>Позичені лапки Неко</t>
  </si>
  <si>
    <t>Покликана картою Таро - Колесниця
Торговий Фургон з Кішками-дівчинками
Слабкість: Електрика</t>
  </si>
  <si>
    <t>Кошко-девочка</t>
  </si>
  <si>
    <t>Одолжённые лапки Неко</t>
  </si>
  <si>
    <t>Призвана картой Таро - Колесница
Торговый Фургон с Кошко-девочками
Слабость: Электричество</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</si>
  <si>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</si>
  <si>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</si>
  <si>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</si>
  <si>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</si>
  <si>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</si>
  <si>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</si>
  <si>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Dipanggil oleh kartu tarot Kereta Perang
pemilik toko gadis kucing
Lemah terhadap Petir</t>
  </si>
  <si>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</si>
  <si>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</si>
  <si>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</si>
  <si>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</si>
  <si>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</si>
  <si>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</si>
  <si>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</si>
  <si>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</si>
  <si>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</si>
  <si>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Річковий Владика</t>
  </si>
  <si>
    <t>◉▽◉ (Рожевий)
Королівський указ</t>
  </si>
  <si>
    <t>Слабкість: Електрика
Якщо поруч із ним у момент перемоги опиниться вода, він втече.
Рідкість предметів у разі випадання може залежати від погодних та інших умов.</t>
  </si>
  <si>
    <t>Речной Владыка</t>
  </si>
  <si>
    <t>◉▽◉ (Розовый)
Королевский Указ</t>
  </si>
  <si>
    <t>Слабость: Электричество
Если рядом с ним в момент победы окажется вода, он сбежит.
Редкость предметов при выпадении может зависеть от погодных и других условий.</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</si>
  <si>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</si>
  <si>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</si>
  <si>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</si>
  <si>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</si>
  <si>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</si>
  <si>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</si>
  <si>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</si>
  <si>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</si>
  <si>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</si>
  <si>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Penguasa Sungai - Bukankah ia sudah punah!?</t>
  </si>
  <si>
    <t>◉▽◉ (Merah Muda) Dekrit Kerajaan</t>
  </si>
  <si>
    <t>100 0~?</t>
  </si>
  <si>
    <t>BOS
Lemah terhadap Petir
Tingkat jatuhnya item dapat dipengaruhi oleh cuaca dan kondisi lainnya</t>
  </si>
  <si>
    <t>白色品質物品
藍色品質物品
紫色品質物品
粉色品質物品
金色品質物品</t>
  </si>
  <si>
    <t>43
43
31 (5)
62 (5)
8 (5)</t>
  </si>
  <si>
    <t>深淵氣息濃度達到一定值時，於地牢內刷新
於"塔羅牌-塔"進行召喚</t>
  </si>
  <si>
    <t>封印の柱</t>
  </si>
  <si>
    <t>白色品質アイテム
青色品質アイテム
紫色品質アイテム
ピンク品質アイテム
金色品質アイテム</t>
  </si>
  <si>
    <t>43
43
31 (5)
62 (5)
8 (5)</t>
  </si>
  <si>
    <t>深淵の気配の濃度が一定値に達すると、ダンジョン内でランダムに出現する
「ザ・タワー」でも召喚することができる</t>
  </si>
  <si>
    <t>Sealed Pillar</t>
  </si>
  <si>
    <t>White Quality Items
Blue Quality Items
Purple Quality Items
Pink Quality Items
Gold Quality Items</t>
  </si>
  <si>
    <t xml:space="preserve">43
43
31 (5)
62 (5)
8 (5)
</t>
  </si>
  <si>
    <t>When the "Abyssal Aura" concentration reaches a certain value, the Sealed Pillars will spawn. Summoning them can also be done via Tarot Card - Tower in the item menu.</t>
  </si>
  <si>
    <t>白色品质物品
蓝色品质物品
紫色品质物品
粉色品质物品
金色品质物品</t>
  </si>
  <si>
    <t>深渊气息浓度达到一定值时，在地牢内刷新
或者用"塔罗牌-塔"进行召唤</t>
  </si>
  <si>
    <t>Запечатаний стовп</t>
  </si>
  <si>
    <t>Предмет білого/синього/фіолетового/рожевого/золотого якості</t>
  </si>
  <si>
    <t>Коли концентрація "Аури Безодні" досягне певного значення, з'являться Запечатані стовпи. Їх також можна викликати за допомогою карти Таро Башта в меню предметів.</t>
  </si>
  <si>
    <t>Запечатанный столб</t>
  </si>
  <si>
    <t>Предмет белого / синего / фиолетового / розового / золотого качества</t>
  </si>
  <si>
    <t>Когда концентрация "Ауры Бездны" достигнет определенного значения, появятся Запечатанные столбы. Их также можно вызвать с помощью карты Таро "Башня" в меню предметов.</t>
  </si>
  <si>
    <t>Tháp Phong Ấn</t>
  </si>
  <si>
    <t>Vật phẩm chất lượng trắng
Vật phẩm chất lượng xanh
Vật phẩm chất lượng tím
Vật phẩm chất lượng hồng
Vật phẩm chất lượng vàng</t>
  </si>
  <si>
    <t>Khi "Hào Quang Vực Thẳm" đạt đến một số lượng nhất định, Tháp Phong Ấn sẽ xuất hiện. Cũng có thể triệu hồi nó bằng Bài Tarot - Tòa Tháp ở mục vật phẩm</t>
  </si>
  <si>
    <t>Equipamento de Qualidade Branco
Equipamento de Qualidade Azul
Equipamento de Qualidade Roxa
Equipamento de Qualidade Rosa
Equipamento de Qualidade Dourada</t>
  </si>
  <si>
    <t>Quando a concentração da Aura do Abismo atingir um certo valor, ela será recarregada na masmorra.
Invoque-a usando "Cartas de Tarô - Torre"</t>
  </si>
  <si>
    <t>淫奔的惡魔
(真名：阿薩謝爾)</t>
  </si>
  <si>
    <t xml:space="preserve">儀式的御柱
惡魔眼球
粉色品質物品
金色品質物品
</t>
  </si>
  <si>
    <t>24
48
16
1.6</t>
  </si>
  <si>
    <t>於"封印之柱"中進行召喚</t>
  </si>
  <si>
    <t xml:space="preserve">
淫乱な悪魔
（真名：アザゼル）
</t>
  </si>
  <si>
    <t xml:space="preserve">
儀式の御柱
悪魔の眼球
ピンク品質アイテム
金色品質アイテム</t>
  </si>
  <si>
    <t>「封印の柱」で召喚することができる</t>
  </si>
  <si>
    <t>Lewd Demon
(Real name: Azazel)</t>
  </si>
  <si>
    <t>Pillar of Ritual
Demon Eyeball
Pink Quality Items
Gold Quality Items</t>
  </si>
  <si>
    <t xml:space="preserve">24
48
16
1.6
</t>
  </si>
  <si>
    <t>Appears inside the sealed pillar</t>
  </si>
  <si>
    <t>Хтивий Демон
(Справжнє ім'я: Азазель)</t>
  </si>
  <si>
    <t>Ритуальний стовп
Диявольське око
Предмет рожевої якості
Предмет золотої якості</t>
  </si>
  <si>
    <t>Заклик у "Запечатаний стовп"</t>
  </si>
  <si>
    <t>Похотливый Демон
(Настоящее имя: Азазель)</t>
  </si>
  <si>
    <t>Ритуальный столб
Дьявольский глаз
Предмет розового качества
Предмет золотого качества</t>
  </si>
  <si>
    <t>Призыв в "Столбе печати"</t>
  </si>
  <si>
    <t>Laufender Dämon (Wahrer Name: Asasel)</t>
  </si>
  <si>
    <t>Ritualsäule
Dämonenauge</t>
  </si>
  <si>
    <t>Im "Säule der Versiegelung“ beschwören</t>
  </si>
  <si>
    <t>Quỷ Dục Vọng (Tên thật: Azazel)</t>
  </si>
  <si>
    <t xml:space="preserve">Cột Lễ Vật
Ma Nhãn
Vật phẩm chất lượng hồng
Vật phẩm chất lượng vàng
</t>
  </si>
  <si>
    <t>Triệu hồi từ "Trụ Phong Ấn"</t>
  </si>
  <si>
    <t>O demônio lascivo (Nome verdadeiro: Azazel)</t>
  </si>
  <si>
    <t>Pilar do Ritual
Olho Demoníaco
Equipamento de Qualidade Rosa
Equipamento de Qualidade Dourada</t>
  </si>
  <si>
    <t>24
48
16
1,6</t>
  </si>
  <si>
    <t>Invocação do "Pilar do Selo"</t>
  </si>
  <si>
    <t>死之惡魔
(真名：未知)</t>
  </si>
  <si>
    <t>於"塔羅牌-死神"進行召喚
無法擊殺此單位</t>
  </si>
  <si>
    <t>死の悪魔
(真名：不明)</t>
  </si>
  <si>
    <t xml:space="preserve">
『ザ・タワー』のタロットカードで召喚する
この悪魔は撃破できません
</t>
  </si>
  <si>
    <t>Death Demon
(Real name: Unknown)</t>
  </si>
  <si>
    <t>This is the demon that appears when you use "Death" tarot card. It cannot be killed.</t>
  </si>
  <si>
    <t>Демон Смерті
(Справжнє ім'я: невідомо)</t>
  </si>
  <si>
    <t>Закликається картою Таро "Смерть"".
Неможливо вбити.</t>
  </si>
  <si>
    <t>Демон Смерти
(Настоящее имя: неизвестно)</t>
  </si>
  <si>
    <t>Призывается картой Таро "Смерть".
Невозможно убить.</t>
  </si>
  <si>
    <t>Todesdämon (Wahrer Name: Unbekannt)</t>
  </si>
  <si>
    <t>Dies ist der Dämon, der erscheint, wenn du die Tarotkarte "Tod" benutzt. Er kann nicht getötet werden.</t>
  </si>
  <si>
    <t>Ác quỷ Tử thần
(Tên thật: Không rõ)</t>
  </si>
  <si>
    <t>Triệu hồi bằng lá bài Tarot "Death - Tử Thần" không thể tiêu diệt quái này.</t>
  </si>
  <si>
    <t>O Demônio da Morte
(Nome verdadeiro: Desconhecido)</t>
  </si>
  <si>
    <t>Invocar através de "Tarô - Morte" não pode matar esta unidade.</t>
  </si>
  <si>
    <t>場景物件</t>
  </si>
  <si>
    <t>Environment Objects</t>
  </si>
  <si>
    <t>Об'єкти сцени</t>
  </si>
  <si>
    <t>Объекты сцены</t>
  </si>
  <si>
    <t>Vật phẩm làm cảnh</t>
  </si>
  <si>
    <t>Objek Sekitar</t>
  </si>
  <si>
    <t>堵路巨石</t>
  </si>
  <si>
    <t>Huge Boulder on the Road</t>
  </si>
  <si>
    <t>Завал</t>
  </si>
  <si>
    <t>Tảng Đá Lớn Bên Đường</t>
  </si>
  <si>
    <t>Pedra Enorme Bloqueando a Estrada</t>
  </si>
  <si>
    <t>Batu Besar di Jalan</t>
  </si>
  <si>
    <t>石中劍</t>
  </si>
  <si>
    <t>騎士之劍</t>
  </si>
  <si>
    <t>突き立てられた剣</t>
  </si>
  <si>
    <t>Sword in the Stone</t>
  </si>
  <si>
    <t>Knight's Sword</t>
  </si>
  <si>
    <t>땅속에 박힌 검</t>
  </si>
  <si>
    <t>기사의 검</t>
  </si>
  <si>
    <t>Меч у камені</t>
  </si>
  <si>
    <t>Лицарський меч</t>
  </si>
  <si>
    <t>Меч в камне</t>
  </si>
  <si>
    <t>Рыцарский меч</t>
  </si>
  <si>
    <t>Schwert im Stein</t>
  </si>
  <si>
    <t>Ritterschwert</t>
  </si>
  <si>
    <t>Zerstöre um Loot zu erhalten</t>
  </si>
  <si>
    <t>Kiếm Trong Đá</t>
  </si>
  <si>
    <t>Kiếm Hiệp Sĩ</t>
  </si>
  <si>
    <t>Espada na Pedra</t>
  </si>
  <si>
    <t>Espada de Cavaleiro</t>
  </si>
  <si>
    <t>Pedang di Batu</t>
  </si>
  <si>
    <t>Pedang Ksatria</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</si>
  <si>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</si>
  <si>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</si>
  <si>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</si>
  <si>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</si>
  <si>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</si>
  <si>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</si>
  <si>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</si>
  <si>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</si>
  <si>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</si>
  <si>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Велике яйце</t>
  </si>
  <si>
    <t>Велике яйце
Маленький Червоний Монстр*</t>
  </si>
  <si>
    <t>Підберіть його внизу руїн (не розбивайте). Є 50% ймовірність, що піднявши/розбивши його, з'явиться Маленький Червоний монстр.</t>
  </si>
  <si>
    <t>Большое яйцо</t>
  </si>
  <si>
    <t>Большое яйцо
Маленький Красный Монстр*</t>
  </si>
  <si>
    <t>Подберите его внизу руин (не разбивайте). Есть 50% вероятность, что, подняв/разбив его, появится Маленький Красный монстр.</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</si>
  <si>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</si>
  <si>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</si>
  <si>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</si>
  <si>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</si>
  <si>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</si>
  <si>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</si>
  <si>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</si>
  <si>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</si>
  <si>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</si>
  <si>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Telur Besar</t>
  </si>
  <si>
    <t>Anak Beruang Merah Bertelur Besar*</t>
  </si>
  <si>
    <t>-*</t>
  </si>
  <si>
    <t>Harus diambil di tingkat ketiga reruntuhan untuk mendapatkan telur
*Monster Anak Beruang Merah berpotensi muncul saat dihancurkan/diambil</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</si>
  <si>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</si>
  <si>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</si>
  <si>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</si>
  <si>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</si>
  <si>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</si>
  <si>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</si>
  <si>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</si>
  <si>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</si>
  <si>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</si>
  <si>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</si>
  <si>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</si>
  <si>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</si>
  <si>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</si>
  <si>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Гриби</t>
  </si>
  <si>
    <t>Гриби шиїтаке, гливи, крабові гриби, місячні гриби та бузкові гриби</t>
  </si>
  <si>
    <t>Гриби на землі біля руїн.</t>
  </si>
  <si>
    <t>Грибы</t>
  </si>
  <si>
    <t>Грибы шиитаке, вешенки, крабовые грибы, лунные грибы и сиреневые грибы</t>
  </si>
  <si>
    <t>Грибы на земле у руин.</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</si>
  <si>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</si>
  <si>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</si>
  <si>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</si>
  <si>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</si>
  <si>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</si>
  <si>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</si>
  <si>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</si>
  <si>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</si>
  <si>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</si>
  <si>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Jamur Jurang</t>
  </si>
  <si>
    <t>Jamur Shiitake
Jamur Tiram
Jamur Beech
Jamur Cahaya Bulan
Jamur Lilac</t>
  </si>
  <si>
    <t>Pukul jamur-jamur yang ada di tanah di reruntuhan.</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</si>
  <si>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</si>
  <si>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</si>
  <si>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</si>
  <si>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</si>
  <si>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</si>
  <si>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</si>
  <si>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</si>
  <si>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</si>
  <si>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</si>
  <si>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</si>
  <si>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</si>
  <si>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</si>
  <si>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</si>
  <si>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Сафлор</t>
  </si>
  <si>
    <t>Перо Фенікса
500 єн
1000 єн</t>
  </si>
  <si>
    <t>Червоні квіти на землі біля руїн.</t>
  </si>
  <si>
    <t>Перо Феникса
500 йен
1000 йен</t>
  </si>
  <si>
    <t>Красные цветы на земле у руин.</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</si>
  <si>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</si>
  <si>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</si>
  <si>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</si>
  <si>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</si>
  <si>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</si>
  <si>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</si>
  <si>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</si>
  <si>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</si>
  <si>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Bunga safflower</t>
  </si>
  <si>
    <t>Bulu Burung Api
500 yen
1000 yen</t>
  </si>
  <si>
    <t>Pukul bunga-bunga merah yang berserakan di tanah di reruntuhan.</t>
  </si>
  <si>
    <t>墓碑/石板</t>
  </si>
  <si>
    <t>銀坷拉
杰克爆彈
隨機塔羅牌(「節制」除外)
隨機符文
1000元
白色品質物品
藍色品質物品
喪屍</t>
  </si>
  <si>
    <t>6 (2)
6 (2)
2 (2)
2 (2)
1
2 (2)
2 (2)
*</t>
  </si>
  <si>
    <t>*打破有30%機率出現喪屍</t>
  </si>
  <si>
    <t>墓石/石板</t>
  </si>
  <si>
    <t xml:space="preserve">
銀の土塊
ジャック爆弾
ランダムタロットカード
ランダムルーン
1000円
白品質装備
青品質装備
</t>
  </si>
  <si>
    <t>6 (2)
6 (2)
2 (2)
2 (2)
1
2 (2)
2 (2)</t>
  </si>
  <si>
    <t>Tombstone/Slabs</t>
  </si>
  <si>
    <t>Ginkela
Jack Bomb
Random Tarot Cards (excluding Temperance)
Random Runes
1000 yen
White Quality Equipment
Blue Quality Equipment</t>
  </si>
  <si>
    <t>银坷拉
杰克爆弹
随机塔罗牌
随机符文
1000元
白色品质物品
蓝色品质物品
丧尸</t>
  </si>
  <si>
    <t>Надгробний камінь/кам'яна плита</t>
  </si>
  <si>
    <t>Гінкела
Бомба Джека
Випадкові карти Таро (крім «Помірності»)
Випадкові руни
1000 єн
Спорядження білої якості
Спорядження синьої якості</t>
  </si>
  <si>
    <t>Надгробный камень/каменная плита</t>
  </si>
  <si>
    <t>Гинкела
Бомба Джека
Случайные карты Таро (кроме «Умеренности»)
Случайные руны
1000 йен
Снаряжение белого качества
Снаряжение синего качества</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</si>
  <si>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</si>
  <si>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</si>
  <si>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</si>
  <si>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</si>
  <si>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</si>
  <si>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</si>
  <si>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Batu Nisan/Lempengan</t>
  </si>
  <si>
    <t>Ginkela
Bom Jack
Kartu Tarot Acak (tidak termasuk Temperance)
Rune Acak
1000 yen
Peralatan Kualitas Putih
Peralatan Kualitas Biru</t>
  </si>
  <si>
    <t>遺跡陶瓶</t>
  </si>
  <si>
    <t>銀坷拉
杰克爆彈
隨機塔羅牌(「節制」除外)
隨機符文
1000元
白色品質物品
藍色品質物品</t>
  </si>
  <si>
    <t>遺跡の陶器の壺</t>
  </si>
  <si>
    <t>Abyss Pots</t>
  </si>
  <si>
    <t>遗迹陶瓶</t>
  </si>
  <si>
    <t>银坷拉
杰克爆弹
随机塔罗牌
随机符文
1000元
白色品质物品
蓝色品质物品</t>
  </si>
  <si>
    <t>Ваза глиняна з руїн</t>
  </si>
  <si>
    <t>Глиняная ваза из руин</t>
  </si>
  <si>
    <t>Ruinen-Keramikgefäß</t>
  </si>
  <si>
    <t>Bình Vực Sâu</t>
  </si>
  <si>
    <t>Pot Jurang</t>
  </si>
  <si>
    <t>木桶</t>
  </si>
  <si>
    <t>Wooden Barrels</t>
  </si>
  <si>
    <t>Дерев'яна бочка</t>
  </si>
  <si>
    <t>Деревянная бочка</t>
  </si>
  <si>
    <t>Holzfass</t>
  </si>
  <si>
    <t>Thùng Gỗ</t>
  </si>
  <si>
    <t>Barril de Madeira</t>
  </si>
  <si>
    <t>Tong Kayu</t>
  </si>
  <si>
    <t>破碎的蛋</t>
  </si>
  <si>
    <t>割れた卵</t>
  </si>
  <si>
    <t>Cracked Egg</t>
  </si>
  <si>
    <t>Розбите яйце</t>
  </si>
  <si>
    <t>Разбитое яйцо</t>
  </si>
  <si>
    <t>Zerbrochenes Ei</t>
  </si>
  <si>
    <t>Quả Trứng Vỡ</t>
  </si>
  <si>
    <t>Ovo Quebrado</t>
  </si>
  <si>
    <t>Telur Retak</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</si>
  <si>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</si>
  <si>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</si>
  <si>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</si>
  <si>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</si>
  <si>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</si>
  <si>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</si>
  <si>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Руда</t>
  </si>
  <si>
    <t>Синій сапфір
Червоний сапфір
Мана-гель
Випадкова руна
Кластер мана-кристалів
Кластер мани Безодні.</t>
  </si>
  <si>
    <t>Синий сапфир
Красный сапфир
Мана-гель
Случайная руна
Кластер мана-кристаллов
Кластер маны Бездны</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</si>
  <si>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</si>
  <si>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</si>
  <si>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</si>
  <si>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</si>
  <si>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</si>
  <si>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</si>
  <si>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</si>
  <si>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Bijih</t>
  </si>
  <si>
    <t>Batu Biru Bercahaya
Batu Belah Ketupat Merah
Gel Mana Kecil
Rune Acak
Kluster Kristal Mana
Kluster Mana Jurang</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</si>
  <si>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</si>
  <si>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</si>
  <si>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</si>
  <si>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</si>
  <si>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</si>
  <si>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</si>
  <si>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Фруктові дерева</t>
  </si>
  <si>
    <t>Кільце з запашної трави
Міцна палиця
Дерев'яний меч
Великий молот
Паразитичний меч
Івовий меч
Залишки древнього дерева.</t>
  </si>
  <si>
    <t>Фруктовые деревья</t>
  </si>
  <si>
    <t>Кольцо из душистой травы
Прочная палка
Деревянный меч
Большой молот
Паразитический клинок
Ивовый меч
Остатки древнего дерева</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</si>
  <si>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</si>
  <si>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</si>
  <si>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</si>
  <si>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</si>
  <si>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</si>
  <si>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</si>
  <si>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</si>
  <si>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Pohon Buah</t>
  </si>
  <si>
    <t>Cincin Rumput Wangi
Tongkat Kayu Keras
Pedang Kayu Keras
Palu Berat
Pisau Parasit
Daun Willow
Sisa-sisa Pohon Kuno</t>
  </si>
  <si>
    <t>蘋果</t>
  </si>
  <si>
    <t>リンゴ</t>
  </si>
  <si>
    <t>Apple</t>
  </si>
  <si>
    <t>Яблуко</t>
  </si>
  <si>
    <t>Яблоко</t>
  </si>
  <si>
    <t>Apfel</t>
  </si>
  <si>
    <t>Táo</t>
  </si>
  <si>
    <t>Maçã</t>
  </si>
  <si>
    <t>Apel</t>
  </si>
  <si>
    <t>草莓苗</t>
  </si>
  <si>
    <t>草莓</t>
  </si>
  <si>
    <t>100 (3)</t>
  </si>
  <si>
    <t>有40%機率掉落2個，8%機率掉落3個</t>
  </si>
  <si>
    <t>Strawberry Seeds</t>
  </si>
  <si>
    <t>Strawberry</t>
  </si>
  <si>
    <t>딸기 모종</t>
  </si>
  <si>
    <t>Розсада полуниці</t>
  </si>
  <si>
    <t>Полуниця</t>
  </si>
  <si>
    <t>Імовірність випадання 2 предметів становить 40%, а ймовірність випадання 3 предметів – 8%.</t>
  </si>
  <si>
    <t>Рассада клубники</t>
  </si>
  <si>
    <t>Клубника</t>
  </si>
  <si>
    <t>Вероятность выпадения 2 предметов составляет 40%, а вероятность выпадения 3 предметов — 8%.</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</si>
  <si>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</si>
  <si>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</si>
  <si>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</si>
  <si>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</si>
  <si>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</si>
  <si>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</si>
  <si>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</si>
  <si>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</si>
  <si>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</si>
  <si>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Biji Stroberi</t>
  </si>
  <si>
    <t>Stroberi</t>
  </si>
  <si>
    <t>Ada peluang 40% untuk mendapatkan 2 item, dan peluang 8% untuk mendapatkan 3 item.</t>
  </si>
  <si>
    <t>土豆苗</t>
  </si>
  <si>
    <t>土豆</t>
  </si>
  <si>
    <t>Potato Seeds</t>
  </si>
  <si>
    <t>Potato</t>
  </si>
  <si>
    <t>감자 모종</t>
  </si>
  <si>
    <t>Паростки картоплі</t>
  </si>
  <si>
    <t>Картопля</t>
  </si>
  <si>
    <t>Ростки картофеля</t>
  </si>
  <si>
    <t>Картофель</t>
  </si>
  <si>
    <t>Katoffelpflanze</t>
  </si>
  <si>
    <t>Kartoffel</t>
  </si>
  <si>
    <t>Hạt Khoai Tây</t>
  </si>
  <si>
    <t>Khoai Tây</t>
  </si>
  <si>
    <t>Pé de Batata</t>
  </si>
  <si>
    <t>Batata</t>
  </si>
  <si>
    <t>Bibit Kentang</t>
  </si>
  <si>
    <t>Kentang</t>
  </si>
  <si>
    <t>番茄苗</t>
  </si>
  <si>
    <t>番茄</t>
  </si>
  <si>
    <t>Tomato Seeds</t>
  </si>
  <si>
    <t>Tomato</t>
  </si>
  <si>
    <t>Розсада томатів</t>
  </si>
  <si>
    <t>Помідор</t>
  </si>
  <si>
    <t>Рассада томатов</t>
  </si>
  <si>
    <t>Помидор</t>
  </si>
  <si>
    <t>Tomatenpflanze</t>
  </si>
  <si>
    <t>Tomaten</t>
  </si>
  <si>
    <t>Hạt Cà Chua</t>
  </si>
  <si>
    <t>Cà Chua</t>
  </si>
  <si>
    <t>Tomateiro</t>
  </si>
  <si>
    <t>Tomate</t>
  </si>
  <si>
    <t>Benih Tomat</t>
  </si>
  <si>
    <t>Tomat</t>
  </si>
  <si>
    <t>辣椒苗</t>
  </si>
  <si>
    <t>辣椒</t>
  </si>
  <si>
    <t>Chili Seeds</t>
  </si>
  <si>
    <t>Chili</t>
  </si>
  <si>
    <t>Паростки перцю чилі</t>
  </si>
  <si>
    <t>Чилі</t>
  </si>
  <si>
    <t>Ростки перца чили</t>
  </si>
  <si>
    <t>Чили</t>
  </si>
  <si>
    <t>Chilischotenpflanze</t>
  </si>
  <si>
    <t>Chilischoten</t>
  </si>
  <si>
    <t>Hạt Ớt</t>
  </si>
  <si>
    <t>Ớt</t>
  </si>
  <si>
    <t>Pimenteira</t>
  </si>
  <si>
    <t>Pimenta</t>
  </si>
  <si>
    <t>Biji Cabai</t>
  </si>
  <si>
    <t>Cabai</t>
  </si>
  <si>
    <t>火山熔岩相關</t>
  </si>
  <si>
    <t>Vùng Dung Nham Nóng Cháy</t>
  </si>
  <si>
    <t>Zona Lava Panas</t>
  </si>
  <si>
    <t>火焰妖精</t>
  </si>
  <si>
    <t>熔岩杖
紫色品質物品</t>
  </si>
  <si>
    <t>35
3.3</t>
  </si>
  <si>
    <t>フレイムピクシー</t>
  </si>
  <si>
    <t>溶岩の杖</t>
  </si>
  <si>
    <t>Flame Fairy</t>
  </si>
  <si>
    <t>Lava Staff
Purple Quality Item</t>
  </si>
  <si>
    <t>용암 지팡이</t>
  </si>
  <si>
    <t>Вогняна Фея</t>
  </si>
  <si>
    <t>Лавовий посох
Предмет фіолетової якості</t>
  </si>
  <si>
    <t>Огненная Фея</t>
  </si>
  <si>
    <t>Лавовый посох
Предмет фиолетового качества</t>
  </si>
  <si>
    <t>Flammenfee</t>
  </si>
  <si>
    <t>Lavastab</t>
  </si>
  <si>
    <t>Loot beim Töten</t>
  </si>
  <si>
    <t>Tiên Lửa</t>
  </si>
  <si>
    <t>Trượng Dung Nham 
Vật phẩm chất lượng tím</t>
  </si>
  <si>
    <t>Fada das Chamas</t>
  </si>
  <si>
    <t>Cajado de Lava
Equipamento de Qualidade Roxa</t>
  </si>
  <si>
    <t>Peri Api</t>
  </si>
  <si>
    <t>Staf Lava</t>
  </si>
  <si>
    <t>35</t>
  </si>
  <si>
    <t>燃燒史萊姆</t>
  </si>
  <si>
    <t>熔岩戒指
紫色品質物品</t>
  </si>
  <si>
    <t>42
6</t>
  </si>
  <si>
    <t>バーニングスライム</t>
  </si>
  <si>
    <t>Burning Slime</t>
  </si>
  <si>
    <t>Lava Ring
Purple Quality Equipment</t>
  </si>
  <si>
    <t>용암 반지</t>
  </si>
  <si>
    <t>Слайм, що горить</t>
  </si>
  <si>
    <t>Лавове кільце
Екіпірування фіолетової якості</t>
  </si>
  <si>
    <t>Горящая слизь</t>
  </si>
  <si>
    <t>Лавовое кольцо
Экипировка фиолетового качества</t>
  </si>
  <si>
    <t>Brennender Schleim</t>
  </si>
  <si>
    <t>Lavaring</t>
  </si>
  <si>
    <t>Slime Cháy</t>
  </si>
  <si>
    <t>Nhẫn Dung Nham
Trang bị chất lượng Tím</t>
  </si>
  <si>
    <t>Slime Flamejante</t>
  </si>
  <si>
    <t>Anel de Lava
Equipamento de Qualidade Roxa</t>
  </si>
  <si>
    <t>Lendir yang Terbakar</t>
  </si>
  <si>
    <t>Cincin Lava
Peralatan Berkualitas Ungu</t>
  </si>
  <si>
    <t>炎魔</t>
  </si>
  <si>
    <t>熔岩杖
陽炎
日輪
紫色品質物品
粉色品質物品</t>
  </si>
  <si>
    <t>24
24
8
2
2</t>
  </si>
  <si>
    <t>溶岩の杖
陽炎
日輪
紫色品質アイテム
ピンク品質アイテム</t>
  </si>
  <si>
    <t>Balrog</t>
  </si>
  <si>
    <t>Lava Staff
Sunflare
Nichirin
Purple Quality Item
Pink Quality Item</t>
  </si>
  <si>
    <t xml:space="preserve">24
24
8
2
2
</t>
  </si>
  <si>
    <t>24
24
8</t>
  </si>
  <si>
    <t>Вогняний Демон</t>
  </si>
  <si>
    <t>Лавовий посох
Сонячний відблиск
Нічірін
Предмет фіолетової якості
Предмет рожевої якості</t>
  </si>
  <si>
    <t>Огненный Демон</t>
  </si>
  <si>
    <t>Лавовый посох
Солнечный блик
Ничирин
Предмет фиолетового качества
Предмет розового качества</t>
  </si>
  <si>
    <t>Lavastab/Sonnenflamme</t>
  </si>
  <si>
    <t>Trượng Dung Nham
Ngọn Lửa Thái Dương
Nhật Luân
Vật phẩm chất lượng tím
Vật phẩm chất lượng hồng</t>
  </si>
  <si>
    <t>Cajado de Lava
Clarão Solar (espada)
Nichirin (espada)
Equipamento de Qualidade Roxa
Equipamento de Qualidade Rosa</t>
  </si>
  <si>
    <t>Tongkat Lava
Sunflare Nichirin</t>
  </si>
  <si>
    <t>販賣相關</t>
  </si>
  <si>
    <t>贩卖相关</t>
  </si>
  <si>
    <t>Пов'язані з продажем</t>
  </si>
  <si>
    <t>aki的糖果機</t>
  </si>
  <si>
    <t>粉色金平糖
藍色金平糖
綠色金平糖</t>
  </si>
  <si>
    <t>40
40
20</t>
  </si>
  <si>
    <t>位於貓娘aki的商店右側
(聽說給aki送鮭魚，買糖會打折)</t>
  </si>
  <si>
    <t>Aki's Candy Machine</t>
  </si>
  <si>
    <t>Pink Konpeito
Blue Konpeito
Green Konpeito</t>
  </si>
  <si>
    <t>Located on the right side of Aki
(Giving her salmon reduces the price)</t>
  </si>
  <si>
    <t>akiの糖果机</t>
  </si>
  <si>
    <t>粉色金平糖
蓝色金平糖
绿色金平糖</t>
  </si>
  <si>
    <t>位于猫娘aki的商店右侧
(听说给aki送鲑鱼，买糖会打折哦~)</t>
  </si>
  <si>
    <t>Машина для цукерок Акі</t>
  </si>
  <si>
    <t>Рожевий Конпейто
Синій Конпейто
Зелений конпейто</t>
  </si>
  <si>
    <t>Розташований праворуч від Акі
(Якщо дати їй лосося, ціна знизиться)</t>
  </si>
  <si>
    <t>Машина с конфетами Аки</t>
  </si>
  <si>
    <t>Розовый конпейто
Синий конпейто
Зеленый конпейто</t>
  </si>
  <si>
    <t>Расположен справа от Аки
(Если дать ей лосося, цена снизится)</t>
  </si>
  <si>
    <t>Akis Süßigkeitenautomat</t>
  </si>
  <si>
    <t>Rosa Konpeitō
Blauer Konpeitō
Grüner Konpeitō</t>
  </si>
  <si>
    <t>Befindet sich auf der rechten Seite von Aki (Wenn du ihr Lachs gibst, senkt sich der Preis)</t>
  </si>
  <si>
    <t>Máy bán kẹo của Aki</t>
  </si>
  <si>
    <t>Kẹo Konpeito Hồng
Kẹo Konpeito Xanh
Kẹo Konpeito Xanh Lá</t>
  </si>
  <si>
    <t>Ở bên phải của Aki
(Đưa cá hồi cho cô ấy được giảm giá)</t>
  </si>
  <si>
    <t>Máquina de Doces da Aki</t>
  </si>
  <si>
    <t>Konpeito Rosa
Konpeito Azul
Konpeito Verde</t>
  </si>
  <si>
    <t>Localizada ao lado direito de Aki
(Dar-lhe salmão reduz o preço)</t>
  </si>
  <si>
    <t>奇怪的騎士</t>
  </si>
  <si>
    <t>傑克爆彈
冰霜傑克爆彈
毒液傑克爆彈
銀坷垃
隨機塔羅牌
隨機符文
封存的時針
封術捲軸
JoyStation V
妹妹的T恤
暗影之魂-DLC</t>
  </si>
  <si>
    <t>30
10
10
30
10
5
2
2
*
*
*</t>
  </si>
  <si>
    <t>位於"冒險者小道:集結地"
*花費5000金幣購買;                 
*分享見聞≥5,解鎖 妹妹的T恤;
       *分享見聞≥6,解鎖 暗影之魂-DLC;
(尋找全部見聞 請前往SLG欄)</t>
  </si>
  <si>
    <t>Weird Knight</t>
  </si>
  <si>
    <t>Jack Bomb
Frost Jack Bomb
Venom Jack Bomb
Ginkela
Random Tarot Cads
Random Runes
Sealed Timepiece
Sealing Scroll
Joystation V
T-Shirt
Shadow Souls - DLC</t>
  </si>
  <si>
    <t xml:space="preserve">30
10
10
30
10
5
2
2
*
*
*
</t>
  </si>
  <si>
    <t>Located in Adventurer's Path: Gathering Point
*Joystation V purchased for 5000 yen
*T-Shirt is unlocked by sharing 5 or more tales
*Shadow Souls DLC is unlocked by sharing 6 or more tales
(To find out how to share tales, check the SLG tab of this document)</t>
  </si>
  <si>
    <t>奇怪的骑士</t>
  </si>
  <si>
    <t>杰克爆弹
冰霜杰克爆弹
猛毒杰克爆弹
银坷垃
随机塔罗牌
随机符文
封存的时针
封术卷轴
JoyStation V
妹妹的T恤
暗影之魂-DLC</t>
  </si>
  <si>
    <t xml:space="preserve">位于"冒险者小道:集结地"
*花费5000金币购买;                 
*分享见闻≥5,解锁 妹妹的T恤;
       *分享见闻≥6,解锁 暗影之魂-DLC;
(查找全部见闻 请前往SLG栏)
</t>
  </si>
  <si>
    <t>Загадковий Лицар</t>
  </si>
  <si>
    <t>Бомба Джека
Крижана бомба Джека
Отруйна бомба Джека
Гінкела
Випадкові карти Таро
Випадкові руни
Запечатаний годинник
Запечатаний сувій
Joystation V
Футболка
Shadow Souls - DLC</t>
  </si>
  <si>
    <t>Розташоване в Шлях Мандрівників: Місце Збору
*Joystation V за 5000 єн
*Футболка розблоковується за 5 або більше інсайтів
*DLC Shadow Souls розблоковується після 6 або більше інсайтів
(Щоб дізнатися про інсайти, перегляньте вкладку SLG цього документа)</t>
  </si>
  <si>
    <t>Загадочный Рыцарь</t>
  </si>
  <si>
    <t>Бомба Джека
Ледяная бомба Джека
Ядовитая бомба Джека
Гинкела
Случайные карты Таро
Случайные Руны
Запечатанные часы
Запечатывающий свиток
Joystation V
Футболка
"Тени Душ" - DLC</t>
  </si>
  <si>
    <t>Расположен на Пути авантюристов: Место сбора
*Joystation V за 5000 иен
*Футболка разблокируется за 5 или более историй
*DLC - "Тени Душ" открывается после 6 или более историй
(Чтобы узнать об "историях", перейдите на вкладку SLG)</t>
  </si>
  <si>
    <t>Seltsamer Ritter</t>
  </si>
  <si>
    <t>Jack Bombe
Frost Jack Bombe
Gift Jack Bombe
Ginkela
Zufällige Tarotkarten
Zufällige Runen
Versiegelte Taschenuhr
Versiegelte Schriftrolle
Joystation V
T Shirt
Shadow Souls DLC</t>
  </si>
  <si>
    <t>Ort in Adventurer's Path: Gathering Point
Joystation V wird für 5000 Yen gekauft
T Shirt wird freigeschaltet, wenn du 5 oder mehr Geschichten geteilt hast
Shadow Souls DLC wird freigeschaltet, wenn du 6 oder mehr Geschichten geteilt hast
Um herauszufinden, wie man Geschichten teilt, siehe den SLG Tab dieses Dokuments</t>
  </si>
  <si>
    <t>Hiệp Sĩ Kì Lạ</t>
  </si>
  <si>
    <t>Jack Bomb
Frost Jack Bomb
Venom Jack Bomb
Bạch quả
Thẻ Tarot ngẫu nhiên
Phù văn ngẫu nhiên
Đồng Hồ Phong Ấn
Cuộn Phép Phong Ấn
Joystation V
T-shirt
Shadow Souls - DLC</t>
  </si>
  <si>
    <t>Ở Con Đường Mạo Hiểm Giá: Điểm Tập Hợp
*Joystation V mua với giá 5000 yên
*T-shirt được mở khóa bằng cách chia sẻ từ 5 câu chuyện trờ lên
*Shadow Souls DLC được mở khóa bằng cách chia sẻ từ 6 câu chuyện trở lên
(Để biết cách chia sẻ câu chuyện, xem tab SLG của bản hướng dẫn)</t>
  </si>
  <si>
    <t>Cavaleiro Estranho</t>
  </si>
  <si>
    <t>Bomba Jack
Bomba Jack Congelante
Bomba Jack Venenosa
Ginkela
Cartas de Tarô Aleatórias
Runas Aleatórias
Relógio Selado
Pergaminho de Selamento
Joystation V
Camiseta
Shadow Souls - DLC</t>
  </si>
  <si>
    <r>
      <rPr>
        <rFont val="Microsoft JhengHei"/>
        <color theme="1"/>
      </rPr>
      <t>Localizado em Caminho do Aventureiro: Ponto de Encontro(</t>
    </r>
    <r>
      <rPr>
        <rFont val="Microsoft JhengHei"/>
        <i/>
        <color theme="1"/>
      </rPr>
      <t>Adventurer's Path: Gathering Point</t>
    </r>
    <r>
      <rPr>
        <rFont val="Microsoft JhengHei"/>
        <color theme="1"/>
      </rPr>
      <t>)
*Joystation V comprado por 5000 ienes
*Camiseta desbloqueada ao compartilhar 5 ou mais histórias
*DLC Shadow Souls desbloqueado ao compartilhar 6 ou mais histórias
(Para saber como compartilhar histórias, consulte a aba SLG deste documento)</t>
    </r>
  </si>
  <si>
    <t>逆流茶會商店車</t>
  </si>
  <si>
    <t xml:space="preserve">
白米飯
小麥粉
咖哩塊
義大利麵
番茄醬
西瓜
隨機魚類
傑克爆彈
隨機塔羅牌
電風扇
魔導映寫器
恐怖錄影帶
成人錄影帶
百合約人本
萌萌同人本
貓娘同人本
2號機
滅蟲杖
豬豬存錢罐
白色隨機物品
藍色隨機物品
紫色隨機物品
粉色隨機物品
金色隨機物品</t>
  </si>
  <si>
    <t>4
4
4
4
4
4
6
13
4
8
1
6
6
1
1
1
6
5
6
6
3
1
1
0.6</t>
  </si>
  <si>
    <t>用"塔羅牌-戰車"召喚/在地圖中隨機刷新</t>
  </si>
  <si>
    <t>NLCH Truck</t>
  </si>
  <si>
    <t xml:space="preserve">White Rice
Wheat Flour
Curry Block
Pasta
Ketchup
Watermelon
Random Fish
Jack Bomb
Random Tarot Cards
Electric Fan
Magic Camera
Horror Video Tape
Adult Video Tape
Yuri Doujinshi
Moe Doujinshi
Catgirl Doujinshi
Unit 2
Pest Bane Staff
Piggy Bank
White Random Item
Blue Random Item
Purple Random Item
Pink Random Item
Gold Random Item
</t>
  </si>
  <si>
    <t xml:space="preserve">4
4
4
4
4
4
6
13
4
8
1
6
6
1
1
1
6
5
6
6
3
1
1
0.6
</t>
  </si>
  <si>
    <t>Can be summoned by using the tarot card "Chariot"
Can also be found on the map as a random spawn</t>
  </si>
  <si>
    <t>逆流茶会商店车</t>
  </si>
  <si>
    <t xml:space="preserve">
白米饭
小麦粉
咖喱块
意大利面
番茄酱
西瓜
随机鱼类
杰克爆弹
随机塔罗牌
电风扇
魔导映写器
恐怖录像带
成人录像带
百合同人本
萌萌同人本
猫娘同人本
2号机
灭虫杖
猪猪存钱罐
白色随机物品
蓝色随机物品
紫色随机物品
粉色随机物品
金色随机物品
</t>
  </si>
  <si>
    <t>用"塔罗牌-战车"召唤/在地图中随机刷新
(打爆猫车可以"零元购",当然,前提是你打得过w)</t>
  </si>
  <si>
    <t>Фургончик NLCH</t>
  </si>
  <si>
    <t>Білий рис
Пшеничне борошно
Блок каррі
Макаронні вироби
Кетчуп
Кавун
Випадкова риба
Бомба Джек 
Випадкові карти Таро
Електричний вентилятор
Магічна камера
Відеокасета з фільмом Жахів
Відеокасета для дорослих
Юрі Додзінсі
Мое Додзінсі
Додзінсі про кішкодівчат
Модуль 2
Спрей від шкідників
Свинка-копилка
Білий випадковий предмет
Синій випадковий предмет
Фіолетовий випадковий предмет
Рожевий випадковий предмет
Золотий випадковий предмет</t>
  </si>
  <si>
    <t>Можна викликати за допомогою карти Таро "Колісниця""
Також може бути знайдена на карті як випадковий спавн</t>
  </si>
  <si>
    <t>Белый рис
Пшеничная мука
Блок Карри
Макаронные изделия
Кетчуп
Арбуз
Случайная рыба
Бомба Джек 
Случайные карты Таро
Электрический вентилятор
Волшебная камера
Видеокассета с Ужастиком
Видеокассета для взрослых
Юри Додзинси
Милое Додзинси
Додзинси о кошкодевчатах
Модуль 2
Спрей от вредителей
Свинка-копилка
Белый случайный предмет
Синий случайный предмет
Фиолетовый случайный предмет
Розовый случайный предмет
Золотой случайный предмет</t>
  </si>
  <si>
    <t>Можно вызвать с помощью карты Таро "Колесница"
Также может случайно появиться на карте</t>
  </si>
  <si>
    <t>NLCH Laster</t>
  </si>
  <si>
    <t>Weißer Reis
Weizenmehl
Curryblock
Pasta
Ketchup
Wassermelone
Zufälliger Fisch
Jack Bombe
Zufällige Tarotkarten
Elektrischer Ventilator
Magische Kamera
Horror Videokassette
Erwachsenen Videokassette
Yuri Doujinshi
Moe Doujinshi
Katzenmädchen Doujinshi
Einheit 2
Stab der Pestbannung
Sparschwein
Weißer Zufallsgegenstand
Blauer Zufallsgegenstand
Violetter Zufallsgegenstand
Rosa Zufallsgegenstand
Goldener Zufallsgegenstand</t>
  </si>
  <si>
    <t>Kann durch die Verwendung der Tarotkarte "Wagen" beschworen werden
Kann außerdem auf der Karte als zufälliger Spawn gefunden werden</t>
  </si>
  <si>
    <t>Xe Tải NLCH</t>
  </si>
  <si>
    <t>Cơm Trắng
Bột Mì
Khối Cà Ri
Pasta
Tương Cà
Dưa Hấu
Cá ngẫu nhiên
Jack Bomb
Thẻ Tarot ngẫu nhiên
Quạt ĐIện
Máy Ảnh Ma Thuật
Băng Video Kinh Dị
Văng Video Người Lớn
Doujinshi Yuri
Doujinshi Moe
Doujinshi Gái Mèo
Đơn Vị Số 2
Trượng Diệt Côn Trùng
Heo Đất
Vật phẩm trắng ngẫu nhiên
Vật phẩm xanh ngẫu nhiên
Vật phẩm tím ngẫu nhiên
Vật phẩm hồng ngẫu nhiên
Vật phẩm vàng ngẫu nhiên</t>
  </si>
  <si>
    <t>Có thể được triệu hồi bằng bài tarot "Chiến Xa"
Cũng có thể xuất hiện một cách ngẫu nhiên</t>
  </si>
  <si>
    <t xml:space="preserve">
Caminhão NLCH</t>
  </si>
  <si>
    <t>Arroz Branco
Farinha de Trigo
Bloco de Curry
Massa
Ketchup
Melancia
Peixe Aleatório
Bomba Jack
Cartas de Tarô Aleatórias
Ventilador Elétrico
Câmera Mágica
Fita de Vídeo de Terror
Fita de Vídeo Adulto
Doujinshi Yuri
Doujinshi Moe
Doujinshi de Garota-Gato
Unidade 2
Cajado Exterminador de Pragas
Cofrinho
Item Aleatório Branco
Item Aleatório Azul
Item Aleatório Roxo
Item Aleatório Rosa
Item Aleatório Dourado</t>
  </si>
  <si>
    <t>Pode ser invocado usando a carta de tarô "Carro".
Também pode ser encontrado aleatóriamente no mapa.</t>
  </si>
  <si>
    <t>武器項目</t>
  </si>
  <si>
    <t>武器屬性</t>
  </si>
  <si>
    <t>Weapon</t>
  </si>
  <si>
    <t>Effects</t>
  </si>
  <si>
    <t>Зброя</t>
  </si>
  <si>
    <t>Характеристики</t>
  </si>
  <si>
    <t>Оружие</t>
  </si>
  <si>
    <t>Waffen</t>
  </si>
  <si>
    <t>Effekte</t>
  </si>
  <si>
    <t>Vũ khí</t>
  </si>
  <si>
    <t>Hiệu ứng</t>
  </si>
  <si>
    <t>Armas</t>
  </si>
  <si>
    <t>Efeitos</t>
  </si>
  <si>
    <t>白色品質</t>
  </si>
  <si>
    <t>白品質</t>
  </si>
  <si>
    <t>Common</t>
  </si>
  <si>
    <t>白色品质</t>
  </si>
  <si>
    <t>Звичайний</t>
  </si>
  <si>
    <t>Обычный</t>
  </si>
  <si>
    <t>Thông thường</t>
  </si>
  <si>
    <t>Comum</t>
  </si>
  <si>
    <t>握緊的拳頭</t>
  </si>
  <si>
    <t>物攻：2
攻擊依照最大體力增加</t>
  </si>
  <si>
    <t>握り拳</t>
  </si>
  <si>
    <t>物理攻撃力2
最大体力に応じてダメージアップ</t>
  </si>
  <si>
    <t>Clenched Fist</t>
  </si>
  <si>
    <t>Physical Attack: 2
Attack increases based on your max HP</t>
  </si>
  <si>
    <t>Puño limpio</t>
  </si>
  <si>
    <t>단단히 쥔 주먹</t>
  </si>
  <si>
    <t>물리 공격력 : 2
최대 체력이 높을수록 공격력 증가</t>
  </si>
  <si>
    <t>Кулаки</t>
  </si>
  <si>
    <t>Фізична шкода: 2
(Шкода збільшується залежно від макс. ОЗ)</t>
  </si>
  <si>
    <t>Физический урон: 2
(Урон увеличивается в зависимости от макс. ОЗ)</t>
  </si>
  <si>
    <t>Geballte Faust</t>
  </si>
  <si>
    <t>Physischer Angriff: 2
Angriff steigt basierend auf deinem maximalen HP</t>
  </si>
  <si>
    <t>Nắm Đấm Siết Chặt</t>
  </si>
  <si>
    <t>Sát thương vật lý: 2
Sát thương đấm tỷ lệ với HP tối đa!</t>
  </si>
  <si>
    <t>Punho Cerrado</t>
  </si>
  <si>
    <t>Ataque físico: 2
Ataque aumenta dependendo da base do seu PV máximo</t>
  </si>
  <si>
    <t>硬木劍</t>
  </si>
  <si>
    <t>物攻：15</t>
  </si>
  <si>
    <t>堅木の剣</t>
  </si>
  <si>
    <t>物理攻撃力: 15</t>
  </si>
  <si>
    <t>Hardwood Sword</t>
  </si>
  <si>
    <t>Physical attack 15</t>
  </si>
  <si>
    <t>Espada de madera robusta</t>
  </si>
  <si>
    <t>목검</t>
  </si>
  <si>
    <t>물리 공격력 : 15</t>
  </si>
  <si>
    <t>Дерев'яний меч</t>
  </si>
  <si>
    <t>Фізична шкода: 15</t>
  </si>
  <si>
    <t>Деревянный меч</t>
  </si>
  <si>
    <t>Физический урон: 15</t>
  </si>
  <si>
    <t>Hartholzschwert</t>
  </si>
  <si>
    <t>Physischer Angriff: 15</t>
  </si>
  <si>
    <t>Kiếm Gỗ</t>
  </si>
  <si>
    <t>Sát thương vật lý: 15</t>
  </si>
  <si>
    <t>Espada de Madeira Nobre</t>
  </si>
  <si>
    <t>Ataque físico 15</t>
  </si>
  <si>
    <t>硬木棒</t>
  </si>
  <si>
    <t>物攻：14</t>
  </si>
  <si>
    <t>硬木の棒</t>
  </si>
  <si>
    <t>物理攻撃力: 14</t>
  </si>
  <si>
    <t>Hardwood Stick</t>
  </si>
  <si>
    <t>Physical attack 14</t>
  </si>
  <si>
    <t>Palo de madera robusta</t>
  </si>
  <si>
    <t>물리 공격력 : 14</t>
  </si>
  <si>
    <t>Міцна палиця</t>
  </si>
  <si>
    <t>Фізична шкода: 14</t>
  </si>
  <si>
    <t>Прочная палка</t>
  </si>
  <si>
    <t>Физический урон: 14</t>
  </si>
  <si>
    <t>Hartholzstab</t>
  </si>
  <si>
    <t>Physischer Angriff: 14</t>
  </si>
  <si>
    <t>Gậy Gỗ</t>
  </si>
  <si>
    <t>Sát thương vật lý: 14</t>
  </si>
  <si>
    <t>Bastão de Madeira Nobre</t>
  </si>
  <si>
    <t>Ataque físico 14</t>
  </si>
  <si>
    <t>伐木斧</t>
  </si>
  <si>
    <t>物攻：24</t>
  </si>
  <si>
    <t>伐採斧</t>
  </si>
  <si>
    <t>物理攻撃力: 24</t>
  </si>
  <si>
    <t>Axe</t>
  </si>
  <si>
    <t>Physical attack 24</t>
  </si>
  <si>
    <t>Hacha</t>
  </si>
  <si>
    <t>벌목용 도끼</t>
  </si>
  <si>
    <t>물리 공격력 : 24</t>
  </si>
  <si>
    <t>Сокира</t>
  </si>
  <si>
    <t>Фізична шкода: 24</t>
  </si>
  <si>
    <t>Топор</t>
  </si>
  <si>
    <t>Физический урон: 24</t>
  </si>
  <si>
    <t>Axt</t>
  </si>
  <si>
    <t>Physischer Angriff: 24</t>
  </si>
  <si>
    <t>Rìu Gỗ</t>
  </si>
  <si>
    <t>Sát thương vật lý: 24</t>
  </si>
  <si>
    <t>Machado de Lenhador</t>
  </si>
  <si>
    <t>Ataque físico 24</t>
  </si>
  <si>
    <t>大木槌</t>
  </si>
  <si>
    <t>物攻：36
機率暈眩</t>
  </si>
  <si>
    <t>物理攻撃力：36
攻撃時33％で気絶させる
体力400未満ではうまく扱えない</t>
  </si>
  <si>
    <t>Heavy Mallet</t>
  </si>
  <si>
    <t>Physical attack: 36
Has a chance to stun targets
Weapon stats are conditional
*Gachapon Item</t>
  </si>
  <si>
    <t>Mazo de madera pesado</t>
  </si>
  <si>
    <t>Великий молот</t>
  </si>
  <si>
    <t>Фізична шкода: 36
(Шанс оглушити ціль. Шкода збільшується при виконанні певних умов)
*Предмет з Гачі</t>
  </si>
  <si>
    <t>Большой молот</t>
  </si>
  <si>
    <t>Физический урон: 36
(Шанс оглушить цель. Урон увеличивается при выполнении определенных условий)
*Предмет из Гачи</t>
  </si>
  <si>
    <t>Schwerer Holzhammer</t>
  </si>
  <si>
    <t>Physischer Angriff: 36
Chance, Gegner zu betäuben
Waffenwerte sind bedingt</t>
  </si>
  <si>
    <t>Búa Gỗ Lớn</t>
  </si>
  <si>
    <t>Sát thương vật lý: 36
Có khả năng làm choáng mục tiêu
Chỉ số vũ khí có điều kiện
*Vật phẩm gacha</t>
  </si>
  <si>
    <t>Malho Pesado</t>
  </si>
  <si>
    <t>Ataque físico: 36
Tem uma chance de atordoar alvos
Status são condicionais
*Item de Gachapon</t>
  </si>
  <si>
    <t>獸人的骨釜</t>
  </si>
  <si>
    <t>物攻：42</t>
  </si>
  <si>
    <t>オークの背斧</t>
  </si>
  <si>
    <t>物理攻撃力: 42</t>
  </si>
  <si>
    <t>Orc Bone Axe</t>
  </si>
  <si>
    <t>Physical attack: 42</t>
  </si>
  <si>
    <t>Hacha de huesos de Orco</t>
  </si>
  <si>
    <t>오크의 도끼</t>
  </si>
  <si>
    <t>물리 공격력 : 42</t>
  </si>
  <si>
    <t>Костяна сокира орка</t>
  </si>
  <si>
    <t>Фізична шкода: 42</t>
  </si>
  <si>
    <t>Костяной топор орка</t>
  </si>
  <si>
    <t>Физический урон: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</si>
  <si>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</si>
  <si>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</si>
  <si>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</si>
  <si>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</si>
  <si>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</si>
  <si>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</si>
  <si>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</si>
  <si>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</si>
  <si>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</si>
  <si>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</si>
  <si>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</si>
  <si>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</si>
  <si>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</si>
  <si>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</si>
  <si>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Дивне перо</t>
  </si>
  <si>
    <t>Фізична шкода: 18
(Вихровий розріз збільшує швидкість пересування і переходить у стан ширяння.)</t>
  </si>
  <si>
    <t>Странное перо</t>
  </si>
  <si>
    <t>Физический урон: 18
(Вихревой разрез увеличивает скорость передвижения и переходит в состояние парения.)</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</si>
  <si>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</si>
  <si>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</si>
  <si>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</si>
  <si>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</si>
  <si>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</si>
  <si>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</si>
  <si>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巨大蟹鉗</t>
  </si>
  <si>
    <t>物攻：15
夾住目標</t>
  </si>
  <si>
    <t>巨大ガニのハサミ</t>
  </si>
  <si>
    <t>物理攻撃力：15
投げると相手を挟み続ける</t>
  </si>
  <si>
    <t>Crab Claw</t>
  </si>
  <si>
    <t>Physical attack: 15
Clamps to targets when thrown
*Gachapon Item</t>
  </si>
  <si>
    <t>Pinzas de cangrejo enormes</t>
  </si>
  <si>
    <t>Клішня Гігантського краба</t>
  </si>
  <si>
    <t>Фізична шкода: 15
(Вчепляється в ціль, завдаючи постійної шкоди)</t>
  </si>
  <si>
    <t>Клешня Гигантского краба</t>
  </si>
  <si>
    <t>Физический урон: 15
(Вцепляется в цель, нанося постоянный урон)</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</si>
  <si>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</si>
  <si>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</si>
  <si>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</si>
  <si>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</si>
  <si>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</si>
  <si>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</si>
  <si>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香蕉?</t>
  </si>
  <si>
    <t>物攻：10
爆炸</t>
  </si>
  <si>
    <t>バナナ？</t>
  </si>
  <si>
    <t>物理攻撃力: 10
高速で回ると飛んでいきやすく...</t>
  </si>
  <si>
    <t>Banana?</t>
  </si>
  <si>
    <t>Physical attack: 10
Explodes</t>
  </si>
  <si>
    <t>¿Banana?</t>
  </si>
  <si>
    <t>Банан?</t>
  </si>
  <si>
    <t>Фізична шкода: 10
("Вибух")</t>
  </si>
  <si>
    <t>Физический урон: 10
("Взрыв")</t>
  </si>
  <si>
    <t>Banane?</t>
  </si>
  <si>
    <t>Physischer Angriff: 10
Explodiert</t>
  </si>
  <si>
    <t>Chuối??</t>
  </si>
  <si>
    <t>Sát thương vật lý: 10
Bùm!!!</t>
  </si>
  <si>
    <t>Ataque físico: 10
Explode</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</si>
  <si>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</si>
  <si>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</si>
  <si>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</si>
  <si>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</si>
  <si>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</si>
  <si>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Фізична шкода: 1
(Може бути з'їдено при атаці. Ефект Пробиття)
*Особливий спосіб телепортації у Костра (див. Tips)</t>
  </si>
  <si>
    <t>Физический урон: 1
(Может быть съедено при атаке. Эффект Пробития)
*Особый способ телепортации у Костра (см. Tips)</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</si>
  <si>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</si>
  <si>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</si>
  <si>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</si>
  <si>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棒球棍</t>
  </si>
  <si>
    <t>物攻：20
反彈拋射物</t>
  </si>
  <si>
    <t>野球バット</t>
  </si>
  <si>
    <t xml:space="preserve">
物理攻撃: 20
弾や飛翔物を撃ち返すことが出来る！
</t>
  </si>
  <si>
    <t>Baseball Bat</t>
  </si>
  <si>
    <t>Physical attack 20
Deflect Projectile
*Gachapon Item</t>
  </si>
  <si>
    <t>Bate de béisbol</t>
  </si>
  <si>
    <t>야구 방망이</t>
  </si>
  <si>
    <t>물리 공격력 : 20
투사체 굴절</t>
  </si>
  <si>
    <t>Бейсбольна біта</t>
  </si>
  <si>
    <t>Фізична шкода: 20
(Відбиває снаряди)</t>
  </si>
  <si>
    <t>Бейсбольная бита</t>
  </si>
  <si>
    <t>Физический урон: 20
(Отбивает снаряды)</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</si>
  <si>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</si>
  <si>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</si>
  <si>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</si>
  <si>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</si>
  <si>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</si>
  <si>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</si>
  <si>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生鏽的鐵劍</t>
  </si>
  <si>
    <t>物攻：15
機率附加中毒、出血必定中毒</t>
  </si>
  <si>
    <t>物理攻撃力：15
15％で出血付与
出血状態だと毒を付与する</t>
  </si>
  <si>
    <t>Rusty Iron Sword</t>
  </si>
  <si>
    <t>Physical attack: 15
15% chance to inflict poison with each attack
Becomes guaranteed when attacking bleeding enemies</t>
  </si>
  <si>
    <t>Espada de hierro oxidada</t>
  </si>
  <si>
    <t>Іржавий меч</t>
  </si>
  <si>
    <t>Фізична шкода: 15
(Шанс накласти Яд. Завжди накладає Яд при Кровотечі цілі)</t>
  </si>
  <si>
    <t>Заржавевший меч</t>
  </si>
  <si>
    <t>Физический урон: 15
(Шанс наложить Яд. Всегда накладывает Яд при Кровотечении цели)</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</si>
  <si>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</si>
  <si>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</si>
  <si>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</si>
  <si>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</si>
  <si>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</si>
  <si>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</si>
  <si>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</si>
  <si>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</si>
  <si>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鍛造ハンマー</t>
  </si>
  <si>
    <t>物理攻撃力：6
鍛造の使用については、詳細はTIPSを参照してください</t>
  </si>
  <si>
    <t>Forging Hammer</t>
  </si>
  <si>
    <t>Physical attack: 6
Mainly used for Forging, see TIPS for more info</t>
  </si>
  <si>
    <t>Martillo de forja</t>
  </si>
  <si>
    <t>Ковальський молот</t>
  </si>
  <si>
    <t>Фізична шкода: 6
(В основному використовується для кування, додаткову інформацію дивіться у Tips)</t>
  </si>
  <si>
    <t>Кузнечный молот</t>
  </si>
  <si>
    <t>Физический урон: 6
(В основном используется для ковки, дополнительную информацию смотрите в Tips)</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</si>
  <si>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</si>
  <si>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</si>
  <si>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</si>
  <si>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</si>
  <si>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</si>
  <si>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</si>
  <si>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木弓</t>
  </si>
  <si>
    <t>物攻：20
穿透(傷害遞減)</t>
  </si>
  <si>
    <t>木の弓</t>
  </si>
  <si>
    <t xml:space="preserve">
物理攻撃：20
貫通する度にダメージ減少する
</t>
  </si>
  <si>
    <t>Bow</t>
  </si>
  <si>
    <t xml:space="preserve">Physical attack: 20
Passes through units (Damage lowers on each enemy it passes through)
</t>
  </si>
  <si>
    <t>Arco de madera</t>
  </si>
  <si>
    <t>Лук</t>
  </si>
  <si>
    <t>Фізична шкода: 20
Проходить крізь юніти (Зниження шкоди для кожного наступного ворога, крізь якого проходить)</t>
  </si>
  <si>
    <t>Физический урон: 20
(Каждая пробитая цель снижает урон выпущенной стрелы)</t>
  </si>
  <si>
    <t>Bogen</t>
  </si>
  <si>
    <t>Physischer Angriff: 20</t>
  </si>
  <si>
    <t>Cung Gỗ</t>
  </si>
  <si>
    <t>Sát thương vật lý: 20</t>
  </si>
  <si>
    <t>Arco de Madeira Nobre</t>
  </si>
  <si>
    <t xml:space="preserve">Ataque físico: 20
Atravessa unidades (Danos reduz para cada inimigo que trespassa)
</t>
  </si>
  <si>
    <t>藍色品質</t>
  </si>
  <si>
    <t>青品質</t>
  </si>
  <si>
    <t>Uncommon</t>
  </si>
  <si>
    <t>蓝色品质</t>
  </si>
  <si>
    <t>Незвичайний</t>
  </si>
  <si>
    <t>Необычный</t>
  </si>
  <si>
    <t>Không thông thường</t>
  </si>
  <si>
    <t>Incomum</t>
  </si>
  <si>
    <t>村里最好的木劍</t>
  </si>
  <si>
    <t>物攻：25
損壞前傷害增加
*初始時自動獲得
*唯一一把</t>
  </si>
  <si>
    <t>The Village's Finest Wooden Sword</t>
  </si>
  <si>
    <t>Physical attack: 25
Deals extra damage when the weapon is about to break
*Automatically obtained at the start
*Unique weapon</t>
  </si>
  <si>
    <t>Найкращий дерев'яний меч у селі</t>
  </si>
  <si>
    <t>Thanh Kiếm Gỗ Tuyệt Nhất Của Làng</t>
  </si>
  <si>
    <t>Sát thương vật lý: 25
Sát thương tăng trước khi gây sát thương
* Tự động nhận được khi bắt đầu
* Vũ khí độc nhất</t>
  </si>
  <si>
    <t>A melhor espada de madeira da vila</t>
  </si>
  <si>
    <t>Ataque Físico: 25.
Dano aumentado antes de quebrar.
*Obtida automaticamente no início.
*Única.</t>
  </si>
  <si>
    <t>物攻：30
滿足條件後翻倍</t>
  </si>
  <si>
    <t>騎士の剣</t>
  </si>
  <si>
    <t xml:space="preserve">
物理攻撃力：30
特定条件を満たすと2倍</t>
  </si>
  <si>
    <t>Physical attack: 30
Attack is doubled when conditions are met</t>
  </si>
  <si>
    <t>Espada de caballero</t>
  </si>
  <si>
    <t>물리 공격력 : 30
조건 충족 시 공격력 2배 증가</t>
  </si>
  <si>
    <t>Фізична шкода: 30
(Шкода подвоюється при виконанні певних умов)</t>
  </si>
  <si>
    <t>Физический урон: 30
(Урон удваивается при выполнении определенных условий)</t>
  </si>
  <si>
    <t>Physischer Angriff: 30
Angriff wird bei erfüllten Bedingungen verdoppelt</t>
  </si>
  <si>
    <t>Sát thương vật lý: 30
Tấn công tăng gấp đôi khi điều kiện
 được đáp ứng</t>
  </si>
  <si>
    <t>Ataque físico: 30
Ataque dobra quando as condições são atendidas</t>
  </si>
  <si>
    <t>臭魚骨</t>
  </si>
  <si>
    <t>物攻：14
散發惡臭</t>
  </si>
  <si>
    <t>くさい魚の骨</t>
  </si>
  <si>
    <t xml:space="preserve">
物理攻撃力: 14 
悪臭を放つ
</t>
  </si>
  <si>
    <t>Rotten Fishbone</t>
  </si>
  <si>
    <t>Physical attack 14
"Smelly"
Chance to inflict Poison on each attack</t>
  </si>
  <si>
    <t>Huesos podridos de Pez</t>
  </si>
  <si>
    <t>물리 공격력 : 14
악취를 내뿜음</t>
  </si>
  <si>
    <t>Гнила риб'яча кістка</t>
  </si>
  <si>
    <t>Фізична шкода: 14
(Видає огидний запах. Накладає отруєння)</t>
  </si>
  <si>
    <t>Гнилая рыбья кость</t>
  </si>
  <si>
    <t>Физический урон: 14
(Издает отвратительный запах. Накладывает Отравление)</t>
  </si>
  <si>
    <t>Verfaulter Fischknochen</t>
  </si>
  <si>
    <t>Physischer Angriff: 14
„Stinkt"</t>
  </si>
  <si>
    <t>Xương Cá Thối</t>
  </si>
  <si>
    <t>Sát thương vật lý: 14
Hôi thối</t>
  </si>
  <si>
    <t>Espinha de Peixe Podre</t>
  </si>
  <si>
    <t>Ataque físico 14
"Fedido"</t>
  </si>
  <si>
    <t>陽炎</t>
  </si>
  <si>
    <t>物攻：24
魔攻：16
炎屬性</t>
  </si>
  <si>
    <t xml:space="preserve">
物理攻撃力：24
魔法攻撃力：16
火属性
</t>
  </si>
  <si>
    <t>Sunflare</t>
  </si>
  <si>
    <t>Physical attack: 24
Magic attack: 16
Fire Attribute</t>
  </si>
  <si>
    <t>Llamarada Solar</t>
  </si>
  <si>
    <t>카게로우</t>
  </si>
  <si>
    <t>물리 공격력 : 24
마법 공격력 : 16
화염 속성</t>
  </si>
  <si>
    <t>Спалах</t>
  </si>
  <si>
    <t>Фізична шкода: 24
Магічна шкода: 16
(Накладає Підпал)</t>
  </si>
  <si>
    <t>Вспышка</t>
  </si>
  <si>
    <t>Физический урон: 24
Магический урон: 16
(Накладывает Поджог)</t>
  </si>
  <si>
    <t>Sonnenflamme</t>
  </si>
  <si>
    <t>Physischer Angriff: 24
Magischer Angriff: 16
Feuer-Attribut</t>
  </si>
  <si>
    <t>Hoả Ảnh Nhiệt Lưu</t>
  </si>
  <si>
    <t>Sát thương vật lý: 24
Sát thương ma thuật : 16
Thuộc tính Lửa</t>
  </si>
  <si>
    <t>Clarão Solar</t>
  </si>
  <si>
    <t>Ataque físico: 24
Ataque Mágico: 16
Atributo de fogo</t>
  </si>
  <si>
    <t>霜月</t>
  </si>
  <si>
    <t>物攻：20
魔攻：14
冰屬性</t>
  </si>
  <si>
    <t xml:space="preserve">
物理攻撃力：20
魔法攻撃力：14
氷属性
</t>
  </si>
  <si>
    <t>Frostmoon</t>
  </si>
  <si>
    <t>Physical attack: 20
Magic attack: 14
Ice Attribute</t>
  </si>
  <si>
    <t>Luna helada</t>
  </si>
  <si>
    <t>서리달</t>
  </si>
  <si>
    <t>물리 공격력 : 20
마법 공격력 : 14
얼음 속성</t>
  </si>
  <si>
    <t>Крижаний Місяць</t>
  </si>
  <si>
    <t>Фізична шкода: 20
Магічна шкода: 14
(Накладає Заморозку)</t>
  </si>
  <si>
    <t>Ледяная Луна</t>
  </si>
  <si>
    <t>Физический урон: 20
Магический урон: 14
(Накладывает Заморозку)</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</si>
  <si>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</si>
  <si>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</si>
  <si>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</si>
  <si>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</si>
  <si>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</si>
  <si>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</si>
  <si>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</si>
  <si>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</si>
  <si>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</si>
  <si>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 xml:space="preserve">
物理攻撃力：28
魔法攻撃力：12
電撃属性
</t>
  </si>
  <si>
    <t>Leaky Electric Sword</t>
  </si>
  <si>
    <t>Physical attack: 28
Magic attack: 12
Electric Attribute</t>
  </si>
  <si>
    <t>Espada con fugas electricas</t>
  </si>
  <si>
    <t>누전되는 불량품</t>
  </si>
  <si>
    <t>Протікаючий електро-меч</t>
  </si>
  <si>
    <t>Фізична шкода: 28
Магічна шкода: 12
(Накладає Шок)</t>
  </si>
  <si>
    <t>Протекающий Электро-меч</t>
  </si>
  <si>
    <t>Физический урон: 28
Магический урон: 12
(Накладывает Шок)</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</si>
  <si>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</si>
  <si>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</si>
  <si>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</si>
  <si>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</si>
  <si>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</si>
  <si>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</si>
  <si>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</si>
  <si>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</si>
  <si>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</si>
  <si>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 xml:space="preserve">
物理攻撃：14
毒属性
</t>
  </si>
  <si>
    <t>Toxic Spore Blade</t>
  </si>
  <si>
    <t>Physical attack: 32
Poison Attribute</t>
  </si>
  <si>
    <t>Hoja de esporas tóxicas</t>
  </si>
  <si>
    <t>독성 포자 바늘</t>
  </si>
  <si>
    <t>Лезо з токсичних спор</t>
  </si>
  <si>
    <t>Фізична шкода: 14
(Накладає Отруєння)</t>
  </si>
  <si>
    <t>Лезвие из токсичных спор</t>
  </si>
  <si>
    <t>Физический урон: 14
(Накладывает Яд)</t>
  </si>
  <si>
    <t>Toxische Sporenklinge</t>
  </si>
  <si>
    <t>Physischer Angriff: 32
Gift-Attribut</t>
  </si>
  <si>
    <t>Kim Bào Tử Độc</t>
  </si>
  <si>
    <t>Sát thương vật lý: 32
Thuộc tính Độc</t>
  </si>
  <si>
    <t>Lâmina de Esporos Tóxicos</t>
  </si>
  <si>
    <t>Ataque físico: 32
Atributo venenoso</t>
  </si>
  <si>
    <t>銀輝大劍</t>
  </si>
  <si>
    <t>物攻：48
魔抗：20
滿足條件類型武器</t>
  </si>
  <si>
    <t>銀輝の大剣</t>
  </si>
  <si>
    <t xml:space="preserve">
物理攻撃力：48
魔法耐性：20
体力が400以上で真価を発揮する
</t>
  </si>
  <si>
    <t>Silver Greatsword</t>
  </si>
  <si>
    <t>Physical attack: 48
Magic defense: 20
Weapon stats are conditional</t>
  </si>
  <si>
    <t>Espada larga de plata</t>
  </si>
  <si>
    <t>은빛 대검</t>
  </si>
  <si>
    <t>Срібний меч</t>
  </si>
  <si>
    <t>Фізична шкода: 48
Опір магії: 20
(Шкода збільшується при виконанні певних умов)</t>
  </si>
  <si>
    <t>Серебряный меч</t>
  </si>
  <si>
    <t>Физический урон: 48
Сопротивление магии: 20
(Урон увеличивается при выполнении определенных условий)</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</si>
  <si>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</si>
  <si>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</si>
  <si>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</si>
  <si>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</si>
  <si>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</si>
  <si>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</si>
  <si>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</si>
  <si>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</si>
  <si>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</si>
  <si>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 xml:space="preserve">
物理攻撃力：1
攻撃すると食べられる可能性がある
装備中は時間経過で溶けてしまう
</t>
  </si>
  <si>
    <t>Cone Greatsword</t>
  </si>
  <si>
    <t>Physical attack: 1
Common Grade Stack Weapon
*Gachapon Item</t>
  </si>
  <si>
    <t>Espada larga de cono</t>
  </si>
  <si>
    <t>Меч з ріжка з морозивом</t>
  </si>
  <si>
    <t>Фізична шкода: 1
(Може бути з'їдено під час атаки)</t>
  </si>
  <si>
    <t>Меч из рожка с мороженым</t>
  </si>
  <si>
    <t>Физический урон: 1
(Может быть съедено при атаке)</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</si>
  <si>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</si>
  <si>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</si>
  <si>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</si>
  <si>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</si>
  <si>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</si>
  <si>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</si>
  <si>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混合口味冰棒</t>
  </si>
  <si>
    <t>ミックス味アイスバー</t>
  </si>
  <si>
    <t>物理攻撃力：1
攻撃すると食べられる可能性がある
装備中は時間経過で溶けてしまう</t>
  </si>
  <si>
    <t>Mixed Flavor Popsicle</t>
  </si>
  <si>
    <t>Physical attack: 1
Food stacking weapon</t>
  </si>
  <si>
    <t>物攻：1
累计伤害型武器</t>
  </si>
  <si>
    <t>혼합맛 아이스크림</t>
  </si>
  <si>
    <t>물리 공격력: 1
누적 데미지 무기</t>
  </si>
  <si>
    <t>Фруктове морозиво зі змішаним смаком</t>
  </si>
  <si>
    <t>Фруктовое мороженое со смешанным вкусом</t>
  </si>
  <si>
    <t>Kem Que Vị Tổng Hợp</t>
  </si>
  <si>
    <t>Sát thương vật lí: 1
Vũ khí chồng đồ ăn</t>
  </si>
  <si>
    <t>Picolé de sabores diversos</t>
  </si>
  <si>
    <t>Ataque físico: 1
Arma que acumula dano</t>
  </si>
  <si>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</si>
  <si>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</si>
  <si>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</si>
  <si>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</si>
  <si>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</si>
  <si>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</si>
  <si>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Фізична шкода: 26
Магічна шкода: 2
(Накладає Заморозку).
Ефект Пробиття)</t>
  </si>
  <si>
    <t>Физический урон: 26
Магический урон: 2
(Накладывает Заморозку.
Эффект Пробития)</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</si>
  <si>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</si>
  <si>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</si>
  <si>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</si>
  <si>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</si>
  <si>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</si>
  <si>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</si>
  <si>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</si>
  <si>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</si>
  <si>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</si>
  <si>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</si>
  <si>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</si>
  <si>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</si>
  <si>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Зацвілий Морквяний меч</t>
  </si>
  <si>
    <t>Фізична шкода: 10
Магічна шкода: 10
(Накладає Отруєння. Ефект Пробиття)</t>
  </si>
  <si>
    <t>Заплесневелый Морковный меч</t>
  </si>
  <si>
    <t>Физический урон: 10
Магический урон: 10
(Накладывает Отравление. Эффект Пробития)</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</si>
  <si>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</si>
  <si>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</si>
  <si>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</si>
  <si>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</si>
  <si>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</si>
  <si>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</si>
  <si>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巨蝸吸塵器</t>
  </si>
  <si>
    <t>物攻：1
魔攻：1
吸取物品</t>
  </si>
  <si>
    <t>巨カタ掃除機</t>
  </si>
  <si>
    <t>物理攻撃力：1
魔法攻撃力：1
アイテムに向けて使用すると引き寄せる</t>
  </si>
  <si>
    <t>Giant Snail Vacuum</t>
  </si>
  <si>
    <t>Physical attack: 1
Magic attack: 1
Pulls objects closer
*Gachapon Item</t>
  </si>
  <si>
    <t>Aspiradora gigante de caracol</t>
  </si>
  <si>
    <t>Гігантський равлик-пилосос</t>
  </si>
  <si>
    <t>Фізична шкода: 1
Магічна шкода: 1
(Притягує предмети)</t>
  </si>
  <si>
    <t>Гигантская улитка-пылесос</t>
  </si>
  <si>
    <t>Физический урон: 1
Магический урон: 1
(Притягивает предметы)</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</si>
  <si>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</si>
  <si>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</si>
  <si>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</si>
  <si>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</si>
  <si>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</si>
  <si>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</si>
  <si>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熔岩杖</t>
  </si>
  <si>
    <t>物攻：1
魔攻：66
炎屬性</t>
  </si>
  <si>
    <t xml:space="preserve">物理攻撃力：1
魔法攻撃力：66
火属性        </t>
  </si>
  <si>
    <t>Lava Staff</t>
  </si>
  <si>
    <t>Physical attack: 1
Magic attack: 66
Fire Attribute</t>
  </si>
  <si>
    <t>Bastón de Lava</t>
  </si>
  <si>
    <t>Лавовий посох</t>
  </si>
  <si>
    <t>Фізична шкода: 1
Магічна шкода: 66
(Накладає Підпал)</t>
  </si>
  <si>
    <t>Лавовый посох</t>
  </si>
  <si>
    <t>Физический урон: 1
Магический урон: 66
(Накладывает Поджог)</t>
  </si>
  <si>
    <t>Physischer Angriff: 1
Magischer Angriff: 66
Feuer-Attribut</t>
  </si>
  <si>
    <t>Trượng Nham Hoả</t>
  </si>
  <si>
    <t>Sát hương vật lý: 1
Sát thương ma thuật: 66
Thuộc tính Lửa</t>
  </si>
  <si>
    <t>Cajado de Lava</t>
  </si>
  <si>
    <t>Ataque físico: 1
Ataque Mágico: 66
Atributo de fogo</t>
  </si>
  <si>
    <t>寒冰杖</t>
  </si>
  <si>
    <t>物攻：1
魔攻：55
冰屬性</t>
  </si>
  <si>
    <t>寒氷の杖</t>
  </si>
  <si>
    <t>物理攻撃力: 1 
魔法攻撃力: 55 
氷属性</t>
  </si>
  <si>
    <t>Ice Staff</t>
  </si>
  <si>
    <t>Physical attack: 1
Magic attack: 55
Ice Attribute</t>
  </si>
  <si>
    <t>Bastón de Hielo</t>
  </si>
  <si>
    <t>Льодяний посох</t>
  </si>
  <si>
    <t>Фізична шкода: 1
Магічна шкода: 55
(Накладає Заморозку)</t>
  </si>
  <si>
    <t>Ледяной посох</t>
  </si>
  <si>
    <t>Физический урон: 1
Магический урон: 55
(Накладывает Заморозку)</t>
  </si>
  <si>
    <t>Eisstab</t>
  </si>
  <si>
    <t>Physischer Angriff: 1
Magischer Angriff: 55
Eis-Attribut</t>
  </si>
  <si>
    <t>Trượng Hàn Băng</t>
  </si>
  <si>
    <t>Sát thương vật lý: 1
Sát thương ma thuật: 55
Thuộc tính băng</t>
  </si>
  <si>
    <t>Cajado de Gelo</t>
  </si>
  <si>
    <t>Ataque físico: 1
Ataque Mágico: 55
Atributo de gelo</t>
  </si>
  <si>
    <t>滅蟲杖</t>
  </si>
  <si>
    <t>魔攻：40
滅蟲</t>
  </si>
  <si>
    <t>ヴァーミンロッド</t>
  </si>
  <si>
    <t xml:space="preserve">
魔法攻撃力：40
蟲殺しを発動できる(魔法)
</t>
  </si>
  <si>
    <t>Pest Bane Staff</t>
  </si>
  <si>
    <t xml:space="preserve">Magic attack: 40
Allows usage of Insect Extermination Magic
</t>
  </si>
  <si>
    <t>灭虫杖</t>
  </si>
  <si>
    <t>魔攻：40
灭虫</t>
  </si>
  <si>
    <t>Bastón pesticida</t>
  </si>
  <si>
    <t>Спрей від шкідників</t>
  </si>
  <si>
    <t>Магічна шкода: 40
(Знищує комах)</t>
  </si>
  <si>
    <t>Спрей от вредителей</t>
  </si>
  <si>
    <t>Магический урон: 40
(Уничтожает насекомых)</t>
  </si>
  <si>
    <t xml:space="preserve">
Schädlingsverfluchungsstab</t>
  </si>
  <si>
    <t>Magischer Angriff: 40
Erlaubt die Nutzung von Insektenvernichtungszaubern</t>
  </si>
  <si>
    <t>Trượng Diệt Côn Trùng</t>
  </si>
  <si>
    <t>Sát thương ma thuật: 40
Cho phép sử dụng Phép Diệt Côn Trùng</t>
  </si>
  <si>
    <t>Cajado Exterminador de Insetos</t>
  </si>
  <si>
    <t>Ataque mágico：40
Permite o uso da magia Controle de Pragas</t>
  </si>
  <si>
    <t>獵人之弓</t>
  </si>
  <si>
    <t>物攻：24
穿透</t>
  </si>
  <si>
    <t>狩人の弓</t>
  </si>
  <si>
    <t xml:space="preserve">
物理攻撃：24
攻速上昇、威力耐久－20％
</t>
  </si>
  <si>
    <t>Hunter's Bow</t>
  </si>
  <si>
    <t>Physical attack: 24
Passes through targets</t>
  </si>
  <si>
    <t>Arco de Cazador</t>
  </si>
  <si>
    <t>Лук мисливця</t>
  </si>
  <si>
    <t>Фізична шкода: 24
(Ефект Пробиття)</t>
  </si>
  <si>
    <t>Лук охотника</t>
  </si>
  <si>
    <t>Физический урон: 24
(Эффект Пробития)</t>
  </si>
  <si>
    <t>Jägerbogen</t>
  </si>
  <si>
    <t>Physischer Angriff: 24
Durchschlägt Ziele</t>
  </si>
  <si>
    <t>Cung Thợ Săn</t>
  </si>
  <si>
    <t>Sát thương vật lý: 24
Đi xuyên qua mục tiêu</t>
  </si>
  <si>
    <t>Arco do Caçador</t>
  </si>
  <si>
    <t>Ataque físico: 24
Atravessa unidades</t>
  </si>
  <si>
    <t>紫色品質</t>
  </si>
  <si>
    <t>紫品質</t>
  </si>
  <si>
    <t>Rare</t>
  </si>
  <si>
    <t>紫色品质</t>
  </si>
  <si>
    <t>Рідкісний</t>
  </si>
  <si>
    <t>Редкий</t>
  </si>
  <si>
    <t>Hiếm</t>
  </si>
  <si>
    <t>Raro</t>
  </si>
  <si>
    <t>古樹殘骸</t>
  </si>
  <si>
    <t>物攻：20
物抗：2
累計素質型武器</t>
  </si>
  <si>
    <t>古木の残骸</t>
  </si>
  <si>
    <t xml:space="preserve">
物理攻撃力：20
物理耐性：2
敵を倒すと耐久値が回復する
最大値を超過した場合は威力アップ
</t>
  </si>
  <si>
    <t>Ancient Tree Remnant</t>
  </si>
  <si>
    <t>Physical attack: 20
Physical resistance: 2
Epic Grade Stack Weapon</t>
  </si>
  <si>
    <t>Restos de árbol antiguo</t>
  </si>
  <si>
    <t>Залишки стародавніх дерев</t>
  </si>
  <si>
    <t>Фізична шкода 20
Фізичний опір: 2
(Накопичувальна зброя)</t>
  </si>
  <si>
    <t>Остатки древних деревьев</t>
  </si>
  <si>
    <t>Физический урон 20
Физическое сопротивление: 2
(Накопительное оружие)</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</si>
  <si>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</si>
  <si>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</si>
  <si>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</si>
  <si>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</si>
  <si>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</si>
  <si>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</si>
  <si>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來自地獄</t>
  </si>
  <si>
    <t>物攻：30
出血</t>
  </si>
  <si>
    <t>地獄より</t>
  </si>
  <si>
    <t xml:space="preserve">
物理攻撃力：30
出血を付与しダメージアップ
</t>
  </si>
  <si>
    <t>From Hell</t>
  </si>
  <si>
    <t>Physical attack 30
Applies Bleed</t>
  </si>
  <si>
    <t>Del infierno</t>
  </si>
  <si>
    <t>지옥으로부터</t>
  </si>
  <si>
    <t>З Пекла</t>
  </si>
  <si>
    <t>Фізична шкода: 30
(Накладає Кровотечу)</t>
  </si>
  <si>
    <t>Из Ада</t>
  </si>
  <si>
    <t>Физический урон: 30
(Накладывает Кровотечение)</t>
  </si>
  <si>
    <t>Aus der Hölle</t>
  </si>
  <si>
    <t>Physischer Angriff: 30
Verursacht Blutung</t>
  </si>
  <si>
    <t>Sứ Giả Địa Ngục</t>
  </si>
  <si>
    <t>Sát thương vật lý: 30
Gây trạng thái Chảy Máu</t>
  </si>
  <si>
    <t>Do Inferno</t>
  </si>
  <si>
    <t>Ataque físico 30
Aplica sangramento</t>
  </si>
  <si>
    <t>寄生刃</t>
  </si>
  <si>
    <t>物攻：32
擊倒回復</t>
  </si>
  <si>
    <t>寄生剣</t>
  </si>
  <si>
    <t xml:space="preserve">
物理攻撃力：32
敵を倒すと回復する
</t>
  </si>
  <si>
    <t>Parasitic Blade</t>
  </si>
  <si>
    <t>Physical attack: 32
Recover HP on kill</t>
  </si>
  <si>
    <t>Hoja parasita</t>
  </si>
  <si>
    <t>기생 칼날</t>
  </si>
  <si>
    <t>물리 공격력 : 32
적 처치시 HP 회복</t>
  </si>
  <si>
    <t>Паразитичний меч</t>
  </si>
  <si>
    <t>Фізична шкода: 32
(Відновлює ОЗ під час добивання ворога)</t>
  </si>
  <si>
    <t>Паразитический клинок</t>
  </si>
  <si>
    <t>Физический урон: 32
(Восстанавливает ОЗ при добивании врага)</t>
  </si>
  <si>
    <t>Parasitäre Klinge</t>
  </si>
  <si>
    <t>Physischer Angriff: 32
Stellt HP bei Kills wieder her</t>
  </si>
  <si>
    <t>Kiếm Ký Sinh</t>
  </si>
  <si>
    <t>Sát thương vật lý: 32
Hồi phục HP khi giết mục tiêu</t>
  </si>
  <si>
    <t>Lâmina Parasítica</t>
  </si>
  <si>
    <t>Ataque físico: 32
Recupera PV com morte</t>
  </si>
  <si>
    <t>日輪</t>
  </si>
  <si>
    <t>物攻：12
魔攻：30
魔防：30
召喚隕石</t>
  </si>
  <si>
    <t>物理攻撃力：36
魔法攻撃力：30
魔法防御：30
隕石を降らせることがある</t>
  </si>
  <si>
    <t>Nichirin</t>
  </si>
  <si>
    <t>Physical attack: 12
Magic attack: 30
Magic defense: 30
May summon a meteor when attacking</t>
  </si>
  <si>
    <t>Нічірін</t>
  </si>
  <si>
    <t>Фізична шкода: 12
Магічна шкода: 30
Опір магії: 30
(Шанс накласти Підпал. Закликає Метеор)</t>
  </si>
  <si>
    <t>Ничирин</t>
  </si>
  <si>
    <t>Физический урон: 12
Магический урон: 30
Сопротивление магии: 30
(Шанс наложить Поджог. Призывает Метеор)</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</si>
  <si>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</si>
  <si>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</si>
  <si>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</si>
  <si>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</si>
  <si>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</si>
  <si>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</si>
  <si>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</si>
  <si>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</si>
  <si>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</si>
  <si>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</si>
  <si>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</si>
  <si>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</si>
  <si>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Ручна коса Дена</t>
  </si>
  <si>
    <t>Фізична шкода: 18
Магічна шкода: 9
(Зброя типу бумеранг)</t>
  </si>
  <si>
    <t>Ручная коса Дена</t>
  </si>
  <si>
    <t>Физический урон: 18
Магический урон: 9
(Оружие типа бумеранг)</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</si>
  <si>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</si>
  <si>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</si>
  <si>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</si>
  <si>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</si>
  <si>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</si>
  <si>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</si>
  <si>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星月夜</t>
  </si>
  <si>
    <t>物攻：1
魔攻：68
黑洞</t>
  </si>
  <si>
    <t>星空の夜</t>
  </si>
  <si>
    <t>物理攻撃力: 1
魔法攻撃力: 68
ブラックホールを生成する…</t>
  </si>
  <si>
    <t>Starlit Night</t>
  </si>
  <si>
    <t>Physical attack: 1
Magic attack: 68
Can conjure Black Holes</t>
  </si>
  <si>
    <t>Noche estrellada</t>
  </si>
  <si>
    <t>Зоряна ніч</t>
  </si>
  <si>
    <t>Фізична шкода: 1
Магічна шкода: 68
(Здатність: Створення Чорної діри)</t>
  </si>
  <si>
    <t>Звёздная ночь</t>
  </si>
  <si>
    <t>Физический урон: 1
Магический урон: 68
(Способность: Создание Чёрной дыры)</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</si>
  <si>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</si>
  <si>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</si>
  <si>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</si>
  <si>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</si>
  <si>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</si>
  <si>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</si>
  <si>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</si>
  <si>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</si>
  <si>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</si>
  <si>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</si>
  <si>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</si>
  <si>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</si>
  <si>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</si>
  <si>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Пісня Приливного змія</t>
  </si>
  <si>
    <t>Фізична шкода: 1
Магічна шкода: 45
Опір магії: 20
(Заклинання поряд із водою посилюються.
Водяний удар: Може використовуватися для лову риби)</t>
  </si>
  <si>
    <t>Песнь Приливного змея</t>
  </si>
  <si>
    <t>Физический урон: 1
Магический урон: 45
Сопротивление магии: 20
(Заклинания рядом с водой усиливаются.
Водяной удар: Может использоваться для ловли рыбы)</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</si>
  <si>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</si>
  <si>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</si>
  <si>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</si>
  <si>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tấn công bề mặt nước)</t>
  </si>
  <si>
    <t>Poem of the Tides</t>
  </si>
  <si>
    <t xml:space="preserve">Ataque físico: 1
Ataque Mágico: 45
Defesa Mágica: 20
Providencia melhoria de poder de ataque de baixo da água
(???: Pode ser usado para explodir superfícies da água)
</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</si>
  <si>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</si>
  <si>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</si>
  <si>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</si>
  <si>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</si>
  <si>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</si>
  <si>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</si>
  <si>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Криваве полювання</t>
  </si>
  <si>
    <t>Фізична шкода: 20
1. Може використовувати "Проникаючу стрілу" після заряджання.
2. Витрачає власні ОЗ для збільшення шкоди, відновлює ОЗ після перемоги над ворогом.
(Відновлення ОЗ може бути надмірним, перевищуючи максимальне значення, і ви отримуєте невразливість)</t>
  </si>
  <si>
    <t>Кровавая охота</t>
  </si>
  <si>
    <t>Физический урон: 20
1. Может использовать «Проникающую стрелу» после зарядки.
2. Расходует собственные ОЗ для увеличения атаки, восстанавливает ОЗ после победы над целью.
(Восстановление ОЗ может быть чрезмерным, превышая максимальное значение, и вы получаете неуязвимость)</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</si>
  <si>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</si>
  <si>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</si>
  <si>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</si>
  <si>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</si>
  <si>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</si>
  <si>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</si>
  <si>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千鳥</t>
  </si>
  <si>
    <t>物攻：16
魔攻：16
雷屬性</t>
  </si>
  <si>
    <t>物理攻撃力：16
魔法攻撃力：16
雷属性</t>
  </si>
  <si>
    <t>Chidori</t>
  </si>
  <si>
    <t>Physical attack: 16
Magic attack: 16
Electric Attribute</t>
  </si>
  <si>
    <t>Чідорі</t>
  </si>
  <si>
    <t>Фізична шкода: 16
Магічна шкода: 16
(Накладає Шок)</t>
  </si>
  <si>
    <t>Чидори</t>
  </si>
  <si>
    <t>Физический урон: 16
Магический урон: 16
(Накладывает Шок)</t>
  </si>
  <si>
    <t>Tausend Vögel</t>
  </si>
  <si>
    <t>Physischer Angriff: 16
Magischer Angriff: 16
Elektro-Attribut</t>
  </si>
  <si>
    <t>Thiên Điểu</t>
  </si>
  <si>
    <t>Sát thương vật lý: 16
Sát thương ma thuật: 16
Thuộc tính Lôi</t>
  </si>
  <si>
    <t>Ataque físico: 16
Ataque Mágico: 16
Atributo elétrico</t>
  </si>
  <si>
    <t>火燒雲</t>
  </si>
  <si>
    <t>物攻：18
魔攻：18
炎屬性</t>
  </si>
  <si>
    <t>夕焼雲</t>
  </si>
  <si>
    <t xml:space="preserve">
物理攻撃力：18
魔法攻撃力：18
火属性
</t>
  </si>
  <si>
    <t>Sunset Cloud</t>
  </si>
  <si>
    <t>Physical attack: 18
Magic attack: 18
Fire Attribute</t>
  </si>
  <si>
    <t>Nubes del atardecer</t>
  </si>
  <si>
    <t>Хмара на заході сонця</t>
  </si>
  <si>
    <t>Фізична шкода: 18
Магічна шкода: 18
(Накладає Підпал)</t>
  </si>
  <si>
    <t>Облако на закате</t>
  </si>
  <si>
    <t>Физический урон: 18
Магический урон: 18
(Накладывает Поджог)</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</si>
  <si>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</si>
  <si>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</si>
  <si>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</si>
  <si>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</si>
  <si>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</si>
  <si>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</si>
  <si>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</si>
  <si>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</si>
  <si>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物理攻撃力：16
魔法攻撃力：16
氷属性</t>
  </si>
  <si>
    <t>Snow Watch</t>
  </si>
  <si>
    <t>Physical attack: 16
Magic attack: 16
Ice Attribute</t>
  </si>
  <si>
    <t>Reloj de nieve</t>
  </si>
  <si>
    <t>Сніжний дозор</t>
  </si>
  <si>
    <t>Фізична шкода: 16
Магічна шкода: 16
(Накладає Заморозку)</t>
  </si>
  <si>
    <t>Снежный дозор</t>
  </si>
  <si>
    <t>Физический урон: 16
Магический урон: 16
(Накладывает Заморозку)</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</si>
  <si>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</si>
  <si>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</si>
  <si>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</si>
  <si>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</si>
  <si>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</si>
  <si>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</si>
  <si>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粉色品質</t>
  </si>
  <si>
    <t xml:space="preserve">ピンク品質        </t>
  </si>
  <si>
    <t>Epic</t>
  </si>
  <si>
    <t>粉色品质</t>
  </si>
  <si>
    <t>Епічний</t>
  </si>
  <si>
    <t>Эпический</t>
  </si>
  <si>
    <t>Sử thi</t>
  </si>
  <si>
    <t>Épico</t>
  </si>
  <si>
    <t>柳葉長劍</t>
  </si>
  <si>
    <t>物攻：32
分裂攻擊</t>
  </si>
  <si>
    <t>柳葉の剣</t>
  </si>
  <si>
    <t xml:space="preserve">
物理攻撃：32 
攻撃すると葉っぱが飛んで跳ねまわる
</t>
  </si>
  <si>
    <t>Willow Leaf</t>
  </si>
  <si>
    <t>Physical attack: 32
Chance to generate leaf shuriken when attacking</t>
  </si>
  <si>
    <t>Івовий меч</t>
  </si>
  <si>
    <t>Фізична шкода: 32
(Випускає сюрикени-листя)</t>
  </si>
  <si>
    <t>Ивовый меч</t>
  </si>
  <si>
    <t>Физический урон: 32
(Выпускает сюрикены-листья)</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</si>
  <si>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</si>
  <si>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</si>
  <si>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</si>
  <si>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</si>
  <si>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</si>
  <si>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</si>
  <si>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斬裂劍提爾鋒</t>
  </si>
  <si>
    <t>物攻：40
發射劍波</t>
  </si>
  <si>
    <t>斬裂剣ティルフィング</t>
  </si>
  <si>
    <t xml:space="preserve">
物理攻撃力：40 
剣撃を飛ばすことが出来る
</t>
  </si>
  <si>
    <t>Tyrfing</t>
  </si>
  <si>
    <t>Physical attack: 40
Can Generate Sword Waves</t>
  </si>
  <si>
    <t>Tyrifing</t>
  </si>
  <si>
    <t>Тірфінг</t>
  </si>
  <si>
    <t>Фізична шкода 40
(Випускає Хвильові розрізи)</t>
  </si>
  <si>
    <t>Тирфинг</t>
  </si>
  <si>
    <t>Физический урон 40
(Выпускает Волновые разрезы)</t>
  </si>
  <si>
    <t>Tyrs Schwert 
(Nordischer Kriegsgott)</t>
  </si>
  <si>
    <t>Physischer Angriff: 40
Kann Schwertwellen erzeugen</t>
  </si>
  <si>
    <t>Kiếm Tyrfing</t>
  </si>
  <si>
    <t>Sát thương vật lý: 40
Có thể thi triển kiếm khí</t>
  </si>
  <si>
    <t>Ataque físico: 40
Pode gerar ondas de espada</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</si>
  <si>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</si>
  <si>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</si>
  <si>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</si>
  <si>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</si>
  <si>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</si>
  <si>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</si>
  <si>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</si>
  <si>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</si>
  <si>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Заражений клинок</t>
  </si>
  <si>
    <t>Фізична шкода: 36
1. Збільшує шкоду за цілями з кровотечею.
2. Відновлює здоров'я після ліквідації ворога з кровотечею.
(Здоров'я може бути накладено поверх основного)</t>
  </si>
  <si>
    <t>Зараженный клинок</t>
  </si>
  <si>
    <t>Физический урон: 36
1. Увеличивает урон по целям с Кровотечением.
2. Восстанавливает здоровье после ликвидации цели с Кровотечением.
(Здоровье может быть наложено поверх основного)</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</si>
  <si>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</si>
  <si>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</si>
  <si>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</si>
  <si>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</si>
  <si>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</si>
  <si>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</si>
  <si>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2號機</t>
  </si>
  <si>
    <t>消耗金幣進行攻擊
物攻：2
魔防：20
幸運：20
*可消耗此物品使初號核心升級
(可於商店車購買)</t>
  </si>
  <si>
    <t>弍号機</t>
  </si>
  <si>
    <t>物理攻撃力：2
魔法防御力：20
幸運：20
お金を使用して依頼することが出来る
※このアイテムは初号機コアのアップグレードに使用できます
(宅配車から購入可能）</t>
  </si>
  <si>
    <t>Unit 2</t>
  </si>
  <si>
    <t>Physical attack: 2
Spend money to snipe enemies
*Gachapon Item
*This item can be used to upgrade Unit 1</t>
  </si>
  <si>
    <t>Unidad 2</t>
  </si>
  <si>
    <t>Модуль 2</t>
  </si>
  <si>
    <t>Фізична шкода: 2
Опір магії: 20
Удача: 20
(Атака витрачає гроші)
*Можна використовувати для покращення Модуля 1 ""Nexus""
*Можна купити в магазині</t>
  </si>
  <si>
    <t>Физический урон: 2
Сопротивление магии: 20
Удача: 20
(Атака расходует деньги)
*Можно использовать для улучшения Модуля 1 "Nexus"
*Можно купить в магазине</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</si>
  <si>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</si>
  <si>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</si>
  <si>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</si>
  <si>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</si>
  <si>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</si>
  <si>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</si>
  <si>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三頭連弓地獄犬</t>
  </si>
  <si>
    <t>物攻：32
連發</t>
  </si>
  <si>
    <t>三頭連弓ケルベロス</t>
  </si>
  <si>
    <t xml:space="preserve">
物理攻撃力：32
3本まとめて射る！        
</t>
  </si>
  <si>
    <t>Hellhound Cursed Bow</t>
  </si>
  <si>
    <t>Physical attack: 32
Splits into multiple projectiles</t>
  </si>
  <si>
    <t>Arco maldito del perro infernal</t>
  </si>
  <si>
    <t>Пекельна Гонча</t>
  </si>
  <si>
    <t>Фізична шкода: 32
(Швидко стріляє)</t>
  </si>
  <si>
    <t>Адская Гончая</t>
  </si>
  <si>
    <t>Физический урон: 32
(Быстрая стрельба)</t>
  </si>
  <si>
    <t>Verfluchter Höllenhundbogen</t>
  </si>
  <si>
    <t>Physischer Angriff: 32
Schießt eine Kette aus Projektilen</t>
  </si>
  <si>
    <t>Huyết Khuyển</t>
  </si>
  <si>
    <t>Sát thương vật lý: 32
Bắn liên hoàn</t>
  </si>
  <si>
    <t>Arco Amaldiçoado Cão-do-Inferno</t>
  </si>
  <si>
    <t>Ataque físico: 32
Separa em muitos projéties</t>
  </si>
  <si>
    <t>金色品質</t>
  </si>
  <si>
    <t>金品質</t>
  </si>
  <si>
    <t>Legendary</t>
  </si>
  <si>
    <t>金色品质</t>
  </si>
  <si>
    <t>Легендарний</t>
  </si>
  <si>
    <t>Легендарный</t>
  </si>
  <si>
    <t>Huyền thoại</t>
  </si>
  <si>
    <t>Lendário</t>
  </si>
  <si>
    <t>克里烏之光</t>
  </si>
  <si>
    <t>物攻：32
魔攻：36
無視防禦、隱形刀刃
*稀有品扭蛋品</t>
  </si>
  <si>
    <t>クラウ・ソラス</t>
  </si>
  <si>
    <t xml:space="preserve">
物理攻撃力：32
魔法攻撃力：36
防御力無視、不可視の刃
*ガチャのレアアイテム
</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</si>
  <si>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</si>
  <si>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</si>
  <si>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</si>
  <si>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Світловий меч</t>
  </si>
  <si>
    <t>Фізична шкода: 32
Магічна шкода: 36
(Ігнорує захист. Невидимий клинок)
*Рідкісний предмет з Гачі</t>
  </si>
  <si>
    <t>Световой меч</t>
  </si>
  <si>
    <t>Физический урон: 32
Магический урон: 36
(Игнорирует защиту. Невидимый клинок)
*Редкий предмет из Гачи</t>
  </si>
  <si>
    <t>Schwert des Lichts</t>
  </si>
  <si>
    <t xml:space="preserve">Physischer Angriff: 32
Magischer Angriff: 36
Ignoriert Verteidigung, durchsichtig
Seltenes Gachapon-Item
</t>
  </si>
  <si>
    <t>Claíomh Solais</t>
  </si>
  <si>
    <t>Sát thương vật lý: 32
Sát thương ma thuật: 36
Bỏ qua phòng thủ, trong suốt
*Vật phẩm Gacha hiếm</t>
  </si>
  <si>
    <t>Ataque físico: 32
Ataque Mágico: 36
Ignora defesa, Transparente
*Item do Gachapon Raro</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</si>
  <si>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</si>
  <si>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</si>
  <si>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</si>
  <si>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</si>
  <si>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</si>
  <si>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</si>
  <si>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Стародавня слава</t>
  </si>
  <si>
    <t>Фізична шкода: 36
(Посилюється після введення спеціальної команди)
*Рідкісний предмет з Гачі</t>
  </si>
  <si>
    <t>Древняя слава</t>
  </si>
  <si>
    <t>Физический урон: 36
(Усиляет после ввода специальной команды)
*Редкий предмет из Гачи</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</si>
  <si>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</si>
  <si>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</si>
  <si>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</si>
  <si>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</si>
  <si>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</si>
  <si>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</si>
  <si>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儀式的御柱</t>
  </si>
  <si>
    <t>物攻：66
物防：6
魔防：66
高耐久度
遊戲時間整點時，可提升大量屬性增益</t>
  </si>
  <si>
    <t>儀式の御柱</t>
  </si>
  <si>
    <t>物理攻撃力：66
物理防御力：6
魔法防御力：66
高い耐久性
ゲーム時間の整数倍時に多数の属性バフが付与されます</t>
  </si>
  <si>
    <t>Ritual Pillar</t>
  </si>
  <si>
    <t>Physical attack: 66
Physical defense: 6
Magic defense: 66
High durability
All attributes are increased depending on the time (by hour)</t>
  </si>
  <si>
    <t>Ритуальний стовп</t>
  </si>
  <si>
    <t>Фізична шкода: 66
Захист: 6
Опір магії: 66
(Висока міцність.
Наприкінці кожної години ви отримуєте благословення, що підвищує ваші характеристики)</t>
  </si>
  <si>
    <t>Ритуальный столб</t>
  </si>
  <si>
    <t>Физический урон: 66
Защита: 6
Сопротивление магии: 66
(Высокая прочность.
В конце каждого часа вы получаете благословение, повышающее ваши характеристики)</t>
  </si>
  <si>
    <t>Ritualsäule</t>
  </si>
  <si>
    <t>Physischer Angriff: 66
Physische Verteidigung: 6
Magische Verteidigung: 66
Hohe Haltbarkeit
Zur vollen Stunde der Spielzeit können große Statusboni aktiviert werden</t>
  </si>
  <si>
    <t>Nghi Thức Ngự Trụ</t>
  </si>
  <si>
    <t xml:space="preserve">Sát thương vật lí: 66
Phòng thủ vật lí: 6
Kháng ma thuật: 66
</t>
  </si>
  <si>
    <t>Pilar do Ritual</t>
  </si>
  <si>
    <t xml:space="preserve">Ataque Físico: 66
Defesa Física: 6
Defesa mágica: 66
Alta durabilidade
No início de cada hora durante o jogo, proporcionará um aumento significativo nos atributos.
</t>
  </si>
  <si>
    <t>裝備項目</t>
  </si>
  <si>
    <t>裝備屬性</t>
  </si>
  <si>
    <t>Equipment</t>
  </si>
  <si>
    <t>Спорядження</t>
  </si>
  <si>
    <t>Экипировка</t>
  </si>
  <si>
    <t>Ausrüstung</t>
  </si>
  <si>
    <t>Ausrüstungseffekte</t>
  </si>
  <si>
    <t>Trang bị</t>
  </si>
  <si>
    <t>Equipamentos</t>
  </si>
  <si>
    <t>雨天娃娃</t>
  </si>
  <si>
    <t>魔抗：10
幸運：10
第二天雨天(消耗品)</t>
  </si>
  <si>
    <t>あめあめ坊主</t>
  </si>
  <si>
    <t>魔法耐性：10
幸運：10
装備して寝ると雨になる(消耗品)</t>
  </si>
  <si>
    <t>Ame Bozu</t>
  </si>
  <si>
    <t>Magic defense: 10
Luck: 10
Next day will be Rainy (Will be consumed)</t>
  </si>
  <si>
    <t>아메아메보즈</t>
  </si>
  <si>
    <t>마법 방어력 : 10
행운 : 10
다음 날 비</t>
  </si>
  <si>
    <t>Дощова лялька</t>
  </si>
  <si>
    <t>Опір магії: 10
Удача: 10
(Наступний день буде Дощовим, а цей предмет витрачено)</t>
  </si>
  <si>
    <t>Дождливая кукла</t>
  </si>
  <si>
    <t>Сопротивление магии: 10
Удача: 10
(Следующий день будет Дождливым, а этот предмет израсходуется)</t>
  </si>
  <si>
    <t>Puppe des Regens</t>
  </si>
  <si>
    <t>Magieabwehr: 10
Glück: 10
Der nächste Tag wird regnerisch</t>
  </si>
  <si>
    <t>Búp Bê Cầu Mưa</t>
  </si>
  <si>
    <t xml:space="preserve">Kháng ma thuật: 10
May mắn: 10
Trời mưa vào ngày mai </t>
  </si>
  <si>
    <t>Ame Ame Bouzu</t>
  </si>
  <si>
    <t>Defesa Mágica: 10
Sorte: 10
Próximo dia será chuvoso.</t>
  </si>
  <si>
    <t>炎天娃娃</t>
  </si>
  <si>
    <t>魔抗：10
幸運：10
第二天炎熱(消耗品)</t>
  </si>
  <si>
    <t>あつあつ坊主</t>
  </si>
  <si>
    <t>魔法耐性：10
幸運：10
これを持って寝ると翌日は猛暑になる…(消耗品)</t>
  </si>
  <si>
    <t>Atsu Bozu</t>
  </si>
  <si>
    <t>Magic defense: 10
Luck: 10
Next day will be Extremely Hot (Will be consumed)</t>
  </si>
  <si>
    <t>Опікаюча лялька</t>
  </si>
  <si>
    <t>Опір магії: 10
Удача: 10
(Наступний день буде Жирким, а цей предмет витрачено)</t>
  </si>
  <si>
    <t>Обжигающая кукла</t>
  </si>
  <si>
    <t>Сопротивление магии: 10
Удача: 10
(Следующий день будет Жирким, а этот предмет израсходуется)</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</si>
  <si>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</si>
  <si>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</si>
  <si>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</si>
  <si>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</si>
  <si>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</si>
  <si>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</si>
  <si>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陰天娃娃</t>
  </si>
  <si>
    <t>魔抗：10
幸運：10
第二天陰天(消耗品)</t>
  </si>
  <si>
    <t>くもくも坊主</t>
  </si>
  <si>
    <t>魔法耐性：10
幸運：10
装備して寝ると曇りになる(消耗品)</t>
  </si>
  <si>
    <t>Kumo Bozu</t>
  </si>
  <si>
    <t>Magic defense: 10
Luck: 10
Next day will be Cloudy (Will be consumed)</t>
  </si>
  <si>
    <t>쿠모쿠모보즈</t>
  </si>
  <si>
    <t>마법 방어력 : 10
행운 : 10
다음 날 흐림</t>
  </si>
  <si>
    <t>Хмарна лялька</t>
  </si>
  <si>
    <t>"Опір магії: 10
Удача: 10
(Наступний день буде Хмарним, а цей предмет витрачено)"</t>
  </si>
  <si>
    <t>Облачная кукла</t>
  </si>
  <si>
    <t>Сопротивление магии: 10
Удача: 10
(Следующий день будет Облачным, а этот предмет израсходуется)</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</si>
  <si>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</si>
  <si>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</si>
  <si>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</si>
  <si>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</si>
  <si>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</si>
  <si>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</si>
  <si>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晴天娃娃</t>
  </si>
  <si>
    <t>魔抗：10
幸運：10
第二天晴天(消耗品)</t>
  </si>
  <si>
    <t>てるてる坊主</t>
  </si>
  <si>
    <t>魔法耐性：10
幸運：10
装備して寝ると晴れになる(消耗品)</t>
  </si>
  <si>
    <t>Teru Bozu</t>
  </si>
  <si>
    <t>Magic defense: 10
Luck: 10
Next day will be Sunny (Will be consumed)</t>
  </si>
  <si>
    <t>테루테루보즈</t>
  </si>
  <si>
    <t>마법 방어력 : 10
행운 : 10
다음 날 맑음</t>
  </si>
  <si>
    <t>Сонячна Лялька</t>
  </si>
  <si>
    <t>"Опір магії: 10
Удача: 10
(Наступний день буде Сонячним, а цей предмет витрачено)"</t>
  </si>
  <si>
    <t>Солнечная Кукла</t>
  </si>
  <si>
    <t>Сопротивление магии: 10
Удача: 10
(Следующий день будет Солнечным, а этот предмет израсходуется)</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</si>
  <si>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</si>
  <si>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</si>
  <si>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</si>
  <si>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</si>
  <si>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</si>
  <si>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</si>
  <si>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廁紙</t>
  </si>
  <si>
    <t>物防：1
降低出血傷害</t>
  </si>
  <si>
    <t>トイレットペーパー</t>
  </si>
  <si>
    <t>物理防御：1
出血ダメージを軽減します</t>
  </si>
  <si>
    <t>Toilet Paper</t>
  </si>
  <si>
    <t>Physical defense: 1
Reduces damage from bleeding</t>
  </si>
  <si>
    <t>물리 방어력 : 1
출혈 방어</t>
  </si>
  <si>
    <t>Туалетна бумага</t>
  </si>
  <si>
    <t>Захист: 1
(Знижує ризик кровотечі)</t>
  </si>
  <si>
    <t>Туалетная бумага</t>
  </si>
  <si>
    <t>Защита: 1
(Снижает риск кровотечения)</t>
  </si>
  <si>
    <t>Toilettenpapier</t>
  </si>
  <si>
    <t>Physische Verteidigung: 1
Schützt vor Blutungseffekten</t>
  </si>
  <si>
    <t>Giấy Vệ Sinh</t>
  </si>
  <si>
    <t>Phòng thủ vật lý: 1
Giảm sát thương Chảy Máu</t>
  </si>
  <si>
    <t>Papel Higiênico</t>
  </si>
  <si>
    <t>Defesa física: 1
Reduz o dano quando sangrando</t>
  </si>
  <si>
    <t>芳草心</t>
  </si>
  <si>
    <t>物防：1
魔抗：10
幸運：5
提升最大體力
裝備3件額外獲得魔法防禦
裝備5件額外獲得自動回復</t>
  </si>
  <si>
    <t>物理防御力：1
魔法耐性：10
幸運：5
最大HPを増加</t>
  </si>
  <si>
    <t>Fragrant Grass Ring</t>
  </si>
  <si>
    <t>Physical defense: 1
Magic defense: 10
Luck: 5
Increases maximum HP
Wearing 3 of this increases magic defense
Wearing 5 of this grants HP regeneration</t>
  </si>
  <si>
    <t>향기로운 풀의 마음</t>
  </si>
  <si>
    <t>물리 방어력 : 1
마법 방어력 : 10
행운 : 5
최대 체력 증가</t>
  </si>
  <si>
    <t>Кільце з запашної трави</t>
  </si>
  <si>
    <t>Захист: 1
Опір магії: 10
Удача: 5
(Збільшує максимальну кількість ОЗ)</t>
  </si>
  <si>
    <t>Кольцо из душистой травы</t>
  </si>
  <si>
    <t>Защита: 1
Сопротивление магии: 10
Удача: 5
(Увеличивает максимальное количество ОЗ)</t>
  </si>
  <si>
    <t>Duftgrasring</t>
  </si>
  <si>
    <t>Physische Verteidigung: 1
Magieabwehr: 10
Glück: 5
Erhöht das maximale HP</t>
  </si>
  <si>
    <t>Nhẫn Cỏ Thảo Hương</t>
  </si>
  <si>
    <t>Phòng thủ vật lý: 1
Kháng ma thuật: 10
May mắn: 5
Tăng HP tối đa
Trang bị 3 món sẽ tăng thêm kháng ma thuật
Trang bị 5 món sẽ tăng thêm khả năng tự hồi phục.</t>
  </si>
  <si>
    <t>Anel da Relva Fragrante</t>
  </si>
  <si>
    <t>Defesa física: 1
Defesa Mágica: 10
Sorte: 5
Aumenta PV máximo
Quanto mais equipados mais forte fica</t>
  </si>
  <si>
    <t>綠龜殼</t>
  </si>
  <si>
    <t>物防：20
魔抗：60
增加游泳移速、降低陸地移速</t>
  </si>
  <si>
    <t>緑の甲羅</t>
  </si>
  <si>
    <t>物理防御力：20
魔法耐性：60
水泳速度が上昇し、陸上移動速度が低下</t>
  </si>
  <si>
    <t>Green Turtle Shell</t>
  </si>
  <si>
    <t>Physical defense: 20
Magic defense: 60
Increases swim speed, decreases land movement speed</t>
  </si>
  <si>
    <t>Черепаший панцир</t>
  </si>
  <si>
    <t>Захист: 20
Опір магії: 60
(Збільшує швидкість плавання, знижує швидкість пересування суходолом)</t>
  </si>
  <si>
    <t>Черепаший панцирь</t>
  </si>
  <si>
    <t>Защита: 20
Сопротивление магии: 60
(Увеличивает скорость плавания, снижает скорость передвижения по суше)</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</si>
  <si>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</si>
  <si>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</si>
  <si>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</si>
  <si>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</si>
  <si>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獵人服</t>
  </si>
  <si>
    <t>物防：3
魔抗：10
站在草地上回復體力</t>
  </si>
  <si>
    <t>ハンター服</t>
  </si>
  <si>
    <t>物理防御力：3
魔法耐性：10
草の上にいる間、スタミナが回復する</t>
  </si>
  <si>
    <t>Hunter's Garb</t>
  </si>
  <si>
    <t>Physical defense: 3
Luck: 10
Standing still on grass regenerates health over time</t>
  </si>
  <si>
    <t>Одяг мисливця</t>
  </si>
  <si>
    <t>Захист: 3
Удача: 10
(Відновлює ОЗ, стоячи на траві)</t>
  </si>
  <si>
    <t>Одежда охотника</t>
  </si>
  <si>
    <t>Защита: 3
Сопротивление магии: 10
(Восстанавливает ОЗ, стоя на траве)</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</si>
  <si>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</si>
  <si>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</si>
  <si>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</si>
  <si>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</si>
  <si>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</si>
  <si>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</si>
  <si>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</si>
  <si>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物理防御力: 1
体力+20、移動速度強化
武器の所持数+5、携行できる装備+5</t>
  </si>
  <si>
    <t>Hunter's Belt</t>
  </si>
  <si>
    <t>Physical Defense: 1
Max HP +20, movement speed increased
Extra weapon and gear slot +5</t>
  </si>
  <si>
    <t>Пояс мисливця</t>
  </si>
  <si>
    <t>Захист: 1
(+20 Макс. ОЗ, Швидкість пересування збільшено, Місткість спорядження +5)</t>
  </si>
  <si>
    <t>Пояс охотника</t>
  </si>
  <si>
    <t>Защита: 1
(Незначительные усиления: Макс. ОЗ, Скорость передвижения, Вместимость снаряжения)</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</si>
  <si>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</si>
  <si>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</si>
  <si>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</si>
  <si>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</si>
  <si>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</si>
  <si>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</si>
  <si>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</si>
  <si>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物理攻撃力: 6
幸運: 20
肉のドロップ率が上がる</t>
  </si>
  <si>
    <t>Hunter's Dagger</t>
  </si>
  <si>
    <t xml:space="preserve">Physical attack 6:
Luck: 20
Doubles the chance of dropping meat (including fish)
</t>
  </si>
  <si>
    <t>Кинжал мисливця</t>
  </si>
  <si>
    <t>Фізична шкода: 6
Успіх: 20
(Шанс випадання м'яса подвоєний (включаючи смажену рибу))</t>
  </si>
  <si>
    <t>Кинжал охотника</t>
  </si>
  <si>
    <t>Физический урон: 6
Удача: 20
(Шанс выпадения мяса удвоен (включая жареную рыбу))</t>
  </si>
  <si>
    <t>Dao Găm Thợ Săn</t>
  </si>
  <si>
    <t>Sát thương vật lý 6:
May mắn: 20
Tăng gấp đôi cơ hội rơi ra thịt (bao gồm cả cá)</t>
  </si>
  <si>
    <t>Adaga do Caçador</t>
  </si>
  <si>
    <t xml:space="preserve">Ataque físico 6:
Sorte: 20
Dobra a chance de cair carne(inclui peixe)
</t>
  </si>
  <si>
    <t>安全手套</t>
  </si>
  <si>
    <t>物攻：1
物防：2
魔抗：45
防禦雷電</t>
  </si>
  <si>
    <t>安全手袋</t>
  </si>
  <si>
    <t>物理攻撃力: 1
物理防御力: 2
魔法耐性: 45
感電を防ぐ</t>
  </si>
  <si>
    <t>Safety Gloves</t>
  </si>
  <si>
    <t>Physical attack: 1
Physical defense: 2
Magic defense: 45
Greatly reduces damage taken from lightning</t>
  </si>
  <si>
    <t>Захисні рукавички</t>
  </si>
  <si>
    <t>Фізична шкода: 1
Захист: 2
Опір магії: 45
(Захист від електрики)</t>
  </si>
  <si>
    <t>Защитные перчатки</t>
  </si>
  <si>
    <t>Физический урон: 1
Защита: 2
Сопротивление магии: 45
(Защита от электричества)</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</si>
  <si>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</si>
  <si>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</si>
  <si>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</si>
  <si>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</si>
  <si>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豬豬存錢罐</t>
  </si>
  <si>
    <t>幸運：40
撿錢(100萬進化)、易碎</t>
  </si>
  <si>
    <t>豚の貯金箱</t>
  </si>
  <si>
    <t>幸運: 40 
お金を見つけると勝手に貯金する(100万で進化)
すぐ壊れる</t>
  </si>
  <si>
    <t>Piggy Bank</t>
  </si>
  <si>
    <t>Luck: 40
Collects money (up to 1 million)
Fragile</t>
  </si>
  <si>
    <t>행운 : 40
돈을 자동으로 주움(최대 100만까지) 내구성이 약함(잘 부서짐)</t>
  </si>
  <si>
    <t>Свинка-копилка</t>
  </si>
  <si>
    <t>Удача: 40
(Зберігає гроші
(Покращується з 1 мільйоном).
Крихка)</t>
  </si>
  <si>
    <t>Удача: 40
(Хранит деньги
(Улучшается с 1 миллионом).
Хрупкая)</t>
  </si>
  <si>
    <t>Sparschwein</t>
  </si>
  <si>
    <t>Glück: 40
Sammelt Geld (bis zu 1 Million).
Zerbrechlich</t>
  </si>
  <si>
    <t>Heo Đất</t>
  </si>
  <si>
    <t>May mắn: 40
Thu thập tiền (tối đa 1 triệu)
Dễ vỡ</t>
  </si>
  <si>
    <t xml:space="preserve"> Cofrinho</t>
  </si>
  <si>
    <t>Sorte: 40
Coleta dinheiro (Até 1 milhão)
Frágil</t>
  </si>
  <si>
    <t>炸薯條</t>
  </si>
  <si>
    <t>フライドポテト</t>
  </si>
  <si>
    <t>Potato Chips</t>
  </si>
  <si>
    <t>Картопля Фрі</t>
  </si>
  <si>
    <t>Картофель Фри</t>
  </si>
  <si>
    <t>Pommes Frites</t>
  </si>
  <si>
    <t>Hunger im reallife</t>
  </si>
  <si>
    <t>Khoai Tây Chiên</t>
  </si>
  <si>
    <t>Batata Frita</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</si>
  <si>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</si>
  <si>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</si>
  <si>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</si>
  <si>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</si>
  <si>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</si>
  <si>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</si>
  <si>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</si>
  <si>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</si>
  <si>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Подарунок Тіней</t>
  </si>
  <si>
    <t>Збільшена швидкість пересування.
Накладає особливий ефект статусу.</t>
  </si>
  <si>
    <t>Подарок Теней</t>
  </si>
  <si>
    <t>Увеличенная скорость передвижения.
Накладывает особый эффект статуса</t>
  </si>
  <si>
    <t>Quà tặng của Shadowcrawler</t>
  </si>
  <si>
    <t>Tăng tốc độ di chuyển
Chắc chắn nhận được trạng thái đặc biệt</t>
  </si>
  <si>
    <t>Presente do Rastejador Sombrio</t>
  </si>
  <si>
    <t>Aumento da velocidade de movimento.
Coloca você sob um status especial por um certo inimigo (B).</t>
  </si>
  <si>
    <t>鐵覘</t>
  </si>
  <si>
    <t>物防：15
魔抗：10
詳細說明於Tips</t>
  </si>
  <si>
    <t>金床</t>
  </si>
  <si>
    <t>物理防御力：15
魔法耐性：10
詳細はヒントをご覧ください</t>
  </si>
  <si>
    <t>Anvil</t>
  </si>
  <si>
    <t>Physical defense: 15
Magic defense: 10
Forging system. Refer to TIPS for more info.</t>
  </si>
  <si>
    <t>Ковальське ковадло</t>
  </si>
  <si>
    <t>Захист: 15
Опір магії: 10
(Детальне пояснення у розділі "Tips")</t>
  </si>
  <si>
    <t>Кузнечная наковальня</t>
  </si>
  <si>
    <t>Защита: 15
Сопротивление магии: 10
(Подробное объяснение в разделе «Tips»)</t>
  </si>
  <si>
    <t>Cái Đe</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</si>
  <si>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</si>
  <si>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</si>
  <si>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</si>
  <si>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</si>
  <si>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</si>
  <si>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</si>
  <si>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</si>
  <si>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</si>
  <si>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</si>
  <si>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Модуль 1 "Нексус" (1-7)</t>
  </si>
  <si>
    <t>Опір магії: 20~??
Ви можете покращувати свій модуль, використовуючи певні предмети у слотах навичок, отримуючи таким чином нові здібності.
*Не може бути викинуто або знищено
(Детальне пояснення у розділі "Tips")</t>
  </si>
  <si>
    <t>Сопротивление магии: 20~??
Вы можете улучшать свой модуль, используя определённые предметы в слотах навыков, получая таким образом новые способности.
*Не может быть выброшен или уничтожен
(Подробное объяснение в разделе «Tips»)</t>
  </si>
  <si>
    <t>Erster Kern</t>
  </si>
  <si>
    <t>Verbessert die Form des Mechas und verleiht Fähigkeiten
Magische Abwehr: 20~??
*Kann nicht weggeworfen oder zerstört werden
(Siehe TIPPS für weitere Informationen)</t>
  </si>
  <si>
    <t>Một phần của series "Unit". Có thể nâng cấp được
Kháng ma thuật: 20~??
*Không thể vứt đi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</si>
  <si>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</si>
  <si>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</si>
  <si>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把草莓奪回來！!</t>
  </si>
  <si>
    <t>指令類型裝備
(請見技能欄位)</t>
  </si>
  <si>
    <t>いちごをとりもどせ!!</t>
  </si>
  <si>
    <t>コマンドタイプの装備
(スキルスロット参照)</t>
  </si>
  <si>
    <t>Ichigo Wo Torimodose!!</t>
  </si>
  <si>
    <t>Command Skill Equipment. Refer to the skills tab when worn to see the command</t>
  </si>
  <si>
    <t>Поверни мою полуничку!</t>
  </si>
  <si>
    <t>Командне обладнання (Див. слоти навичок)</t>
  </si>
  <si>
    <t>Верни мою клубничку!</t>
  </si>
  <si>
    <t>Командное оборудование (См. слоты навыков)</t>
  </si>
  <si>
    <t>Giành Lại Tình Yêu!!</t>
  </si>
  <si>
    <t>Trang bị kỹ năng lệnh. 
Xem ở tab kỹ năng khi đeo để xem lệnh</t>
  </si>
  <si>
    <t>Recupere o Ichigo!!</t>
  </si>
  <si>
    <t>Equipamento com técnica usada com comando. Consulte a aba da técnica quando vestido para ver o comando</t>
  </si>
  <si>
    <t>奇怪的髮飾</t>
  </si>
  <si>
    <t>功能暫無設計
*特殊彩蛋掉落物</t>
  </si>
  <si>
    <t>Odd Hair Accessory</t>
  </si>
  <si>
    <t>*Currently serves no function
*Easter egg item</t>
  </si>
  <si>
    <t>Дивний аксесуар для волосся</t>
  </si>
  <si>
    <t>Функція невідома *Пасхальне яйце"</t>
  </si>
  <si>
    <t>*Hiện tại không có tác dụng
*Easter egg</t>
  </si>
  <si>
    <t>Acessório de cabelo peculiar</t>
  </si>
  <si>
    <t>*Atualmente sem função
*Item de easter egg"</t>
  </si>
  <si>
    <t xml:space="preserve">Незвичайний	</t>
  </si>
  <si>
    <t>Hiếm gặp</t>
  </si>
  <si>
    <t>蘋果頭套</t>
  </si>
  <si>
    <t>幸運：10
概率回復</t>
  </si>
  <si>
    <t>リンゴヘルメット</t>
  </si>
  <si>
    <t>運：10
偶に回復する</t>
  </si>
  <si>
    <t>Apple Headgear</t>
  </si>
  <si>
    <t>Luck: 10
Chance to recover HP when hit</t>
  </si>
  <si>
    <t>Diadema de manzana</t>
  </si>
  <si>
    <t>Suerte: 10 
Posibilidad de recuperar HP al recibir daño</t>
  </si>
  <si>
    <t>사과 머리띠</t>
  </si>
  <si>
    <t>행운 : 10
피격 시 일정 확률로 HP 회복</t>
  </si>
  <si>
    <t>Яблучний головний убір</t>
  </si>
  <si>
    <t>Удача: 10
(Шанс отримати лікування під час поранення)</t>
  </si>
  <si>
    <t>Яблочный головной убор</t>
  </si>
  <si>
    <t>Удача: 10
(Шанс получить лечение при ранении)</t>
  </si>
  <si>
    <t>Apfelkopfbedeckung</t>
  </si>
  <si>
    <t>Glück: 10
Chance, HP wiederherzustellen, wenn du getroffen wirst</t>
  </si>
  <si>
    <t>Mũ Táo</t>
  </si>
  <si>
    <t>May mắn: 10
Có tỷ lệ hồi phục HP khi bị tấn công</t>
  </si>
  <si>
    <t>Capacete de Maçã</t>
  </si>
  <si>
    <t>Sorte: 10
Chance to recover HP when hit</t>
  </si>
  <si>
    <t>受詛胎體</t>
  </si>
  <si>
    <t>體力上升，基礎25，額外加成2%
體力恢复效果提升20%</t>
  </si>
  <si>
    <t>呪われた胎児</t>
  </si>
  <si>
    <t>スタミナが増加（基本25、追加ボーナス2%）。スタミナ回復効果が20%増加</t>
  </si>
  <si>
    <t>Cursed Fetus</t>
  </si>
  <si>
    <t>Max health increased by 25, with an additional 2% HP bonus.
Recovery effects increased by 20%</t>
  </si>
  <si>
    <t>체력 25 증가, 추가 보너스 2%
체력 회복 효과 20% 증가</t>
  </si>
  <si>
    <t>Проклятий зародок</t>
  </si>
  <si>
    <t>Максимальне здоров'я збільшено на 25, з додатковим бонусом ОЗ на 2%.
Ефекти лікування збільшено на 20%</t>
  </si>
  <si>
    <t>Проклятый зародыш</t>
  </si>
  <si>
    <t xml:space="preserve">Выносливость увеличена с базового значения в 25, с дополнительным бонусом в 2%. Эффект восстановления выносливости увеличен на 20%.
</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</si>
  <si>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</si>
  <si>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</si>
  <si>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</si>
  <si>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</si>
  <si>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</si>
  <si>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</si>
  <si>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魔力晶簇</t>
  </si>
  <si>
    <t>魔攻：20
魔抗：10
加快吟唱、提升魔法威力上限</t>
  </si>
  <si>
    <t>魔晶クラスター</t>
  </si>
  <si>
    <t>魔法攻撃力：20
魔法耐性：10
詠唱時間を短縮し、最大魔法威力を増加</t>
  </si>
  <si>
    <t>Mana Crystal Cluster</t>
  </si>
  <si>
    <t>Magic attack: 20
Magic defense: 10
Boosts casting speed and magic power cap</t>
  </si>
  <si>
    <t>마력 수정체</t>
  </si>
  <si>
    <t>마법 공격력 : 20
마법 방어력 : 10
시전속도와 마법 관통력 상승</t>
  </si>
  <si>
    <t>Кластер мана-кристалів</t>
  </si>
  <si>
    <t>Магічна шкода: 20
Опір магії: 10
(Прискорює виголошення заклинань.
Збільшує максимальну магічну шкоду)</t>
  </si>
  <si>
    <t>Кластер мана-кристаллов</t>
  </si>
  <si>
    <t>Магический урон: 20
Сопротивление магии: 10
(Ускоряет произнесение заклинаний.
Увеличивает максимальный магический урон)</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</si>
  <si>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</si>
  <si>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</si>
  <si>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</si>
  <si>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</si>
  <si>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</si>
  <si>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</si>
  <si>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借來的貓爪</t>
  </si>
  <si>
    <t>物攻：5
攻擊力、攻速上升
降低墜落傷害</t>
  </si>
  <si>
    <t>借りネコの手</t>
  </si>
  <si>
    <t>物理攻撃力：5
攻撃力上昇、攻撃速度上昇</t>
  </si>
  <si>
    <t>Borrowed Neko Claws</t>
  </si>
  <si>
    <t>Physical attack: 5
Increases attack speed.
Increases attack
Reduces fall damage</t>
  </si>
  <si>
    <t>Garras de gato prestadas</t>
  </si>
  <si>
    <t>고양이 손</t>
  </si>
  <si>
    <t>물리 공격력 : 5
공격속도와 이동속도 증가</t>
  </si>
  <si>
    <t>Позичені кігті Неко</t>
  </si>
  <si>
    <t>Фізична шкода: 5
(Збільшує силу та швидкість атаки)</t>
  </si>
  <si>
    <t>Одолжённые когти Неко</t>
  </si>
  <si>
    <t>Физический урон: 5
(Увеличивает силу и скорость атаки)</t>
  </si>
  <si>
    <t>Geliehene Katzenkrallen</t>
  </si>
  <si>
    <t>Physische Angriffskraft: 5
Erhöht die Angriffsgeschwindigkeit und Bewegungsgeschwindigkeit</t>
  </si>
  <si>
    <t>Vuốt Mèo Vay Mượn</t>
  </si>
  <si>
    <t>Sát thương vật lý: 5
Tăng tốc độ đánh.
Tăng tốc độ di chuyển.
Giảm 30% sát thương khi rơi</t>
  </si>
  <si>
    <t>Garras de Neko Emprestadas</t>
  </si>
  <si>
    <t>Ataque físico: 5
Aumenta velocidade de ataque.
Aumenta ataque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</si>
  <si>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</si>
  <si>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</si>
  <si>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</si>
  <si>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</si>
  <si>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</si>
  <si>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</si>
  <si>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</si>
  <si>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</si>
  <si>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Костюм плюшевого кота</t>
  </si>
  <si>
    <t>Захист: 3
Опір магії: 25
(Кількість зброї +10.
Кількість спорядження +20)</t>
  </si>
  <si>
    <t>Защита: 3
Сопротивление магии: 25
(Количество оружия +10.
Количество снаряжения +20)</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</si>
  <si>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</si>
  <si>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</si>
  <si>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</si>
  <si>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</si>
  <si>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</si>
  <si>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</si>
  <si>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借來的貓足</t>
  </si>
  <si>
    <t>攻速、移速上升
閃步冷卻時間縮短
降低墜落傷害</t>
  </si>
  <si>
    <t>借りネコの足</t>
  </si>
  <si>
    <t xml:space="preserve">攻撃力上昇、移動速度上昇、閃歩CT短縮
</t>
  </si>
  <si>
    <t>Borrowed Neko Paws</t>
  </si>
  <si>
    <t>Increases attack speed.
Increases movement speed.
Reduces cooldown of Senpo
Reduces fall damage</t>
  </si>
  <si>
    <t>고양이 발</t>
  </si>
  <si>
    <t xml:space="preserve">공격속도와 이동속도 증가
플래시 스텝 쿨다운 감소
</t>
  </si>
  <si>
    <t>Збільшує швидкість атаки та пересування, скорочує перезарядку Сенпо</t>
  </si>
  <si>
    <t>Увеличивает скорость атаки и передвижения, сокращает перезарядку Сенпо</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</si>
  <si>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</si>
  <si>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</si>
  <si>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</si>
  <si>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
Giảm 30% sát thương khi rơi</t>
  </si>
  <si>
    <t>Patinhas de Neko Emprestada</t>
  </si>
  <si>
    <t>Aumenta velocidade de ataque
Aumenta a velocidade de movimento.
Reduz o tempo de recarga do Senpo</t>
  </si>
  <si>
    <t>寶石劍</t>
  </si>
  <si>
    <t>魔攻：15
魔抗：20
幸運：20
消耗寶石強化攻擊</t>
  </si>
  <si>
    <t>魔法攻撃力: 15
魔法耐性: 20
幸運: 20 宝石を消費して攻撃力を強化</t>
  </si>
  <si>
    <t>Jeweled Armament</t>
  </si>
  <si>
    <t>Magic attack: 15
Magic defense: 20
Luck: 20
Randomly consumes a gem to boost damage
The higher the quality of the game is, the more damage it deals</t>
  </si>
  <si>
    <t>Зброя з дорогоцінним камінням</t>
  </si>
  <si>
    <t>Магічна шкода: 15
Опір магії: 20
Успіх: 20
(Використовує дорогоцінне каміння для посилення шкоди)</t>
  </si>
  <si>
    <t>Оружие с драгоценными камнями</t>
  </si>
  <si>
    <t>Магический урон: 15
Сопротивление магии: 20
Удача: 20
(Использует драгоценные камни для усиления атаки)</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</si>
  <si>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</si>
  <si>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</si>
  <si>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</si>
  <si>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</si>
  <si>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</si>
  <si>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</si>
  <si>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</si>
  <si>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</si>
  <si>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</si>
  <si>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</si>
  <si>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</si>
  <si>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</si>
  <si>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Ломачь облич</t>
  </si>
  <si>
    <t>Фізична шкода: 6
Захист: 1
Зброю не можна носити, поки екіпіровано. 
Удари можуть завдавати додаткової шкоди залежно від HP
*Предмет Гачапон"</t>
  </si>
  <si>
    <t>Ломатель лиц</t>
  </si>
  <si>
    <t>Физический урон: 6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t>
  </si>
  <si>
    <t>Schädelbrecher</t>
  </si>
  <si>
    <t>Physischer Angriff: 6
Physische Verteidigung: 1
Kann keine Waffen tragen, während dieses Item ausgerüstet ist
Faustangriffe verursachen möglicherweise Bonusschaden basierend auf der aktuellen HP</t>
  </si>
  <si>
    <t>Găng Tay 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</si>
  <si>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</si>
  <si>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</si>
  <si>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</si>
  <si>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萌萌兔耳</t>
  </si>
  <si>
    <t>物防：1
幸運：60
增加物品掉落率</t>
  </si>
  <si>
    <t>モエモエバニーイヤー</t>
  </si>
  <si>
    <t xml:space="preserve">物理防御力: 1
幸運: 60
アイテムドロップ率アップ
</t>
  </si>
  <si>
    <t>Moe Bunny Ears</t>
  </si>
  <si>
    <t>Physical defense: 1
Luck: 60
Increases item drop rate</t>
  </si>
  <si>
    <t>Милі кролячі вушка</t>
  </si>
  <si>
    <t>Захист: 1
Удача: 60
(Збільшує ймовірність випадання предметів)</t>
  </si>
  <si>
    <t>Милые кроличьи ушки</t>
  </si>
  <si>
    <t>Защита: 1
Удача: 60
(Увеличивает вероятность выпадения предметов)</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</si>
  <si>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</si>
  <si>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</si>
  <si>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</si>
  <si>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</si>
  <si>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</si>
  <si>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</si>
  <si>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</si>
  <si>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</si>
  <si>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メイド服</t>
  </si>
  <si>
    <t>物理防御力: 4
魔法耐性: 4
幸運: 30
魔物に擬態するが攻撃不可になる
メイドバニーと友好関係になる</t>
  </si>
  <si>
    <t>Maid Uniform</t>
  </si>
  <si>
    <t>Physical defense: 4
Magic defense: 4
Luck: 30
Unable to attack, receive special effects</t>
  </si>
  <si>
    <t>메이드복</t>
  </si>
  <si>
    <t>물리 방어력 : 4
마법 방어력 : 4
행운 : 30
공격 불가, 특수효과</t>
  </si>
  <si>
    <t>Форма покоївки</t>
  </si>
  <si>
    <t>Захист: 4
Опір магії: 4
Удача: 30
(Не може атакувати. Особливий ефект)</t>
  </si>
  <si>
    <t>Форма горничной</t>
  </si>
  <si>
    <t>Защита: 4
Сопротивление магии: 4
Удача: 30
(Не может атаковать. Особый эффект)</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</si>
  <si>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</si>
  <si>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</si>
  <si>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</si>
  <si>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</si>
  <si>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</si>
  <si>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</si>
  <si>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毅力頭巾</t>
  </si>
  <si>
    <t>物防：2
體力上升5%、增加了15%全異常抗性、15%機率免死</t>
  </si>
  <si>
    <t>気合のハチマキ</t>
  </si>
  <si>
    <t>体質強化、状態異常に強くなり低確率で致命傷を無効化する</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</si>
  <si>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</si>
  <si>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</si>
  <si>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</si>
  <si>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</si>
  <si>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Пов'язка рішучості</t>
  </si>
  <si>
    <t>Захист 2:
Фізична шкода збільшена на 5%
15% шанс протистояти статусним недугам
15% шанс протистояти смерті</t>
  </si>
  <si>
    <t>Повязка решимости</t>
  </si>
  <si>
    <t>Защита: 2
(Увеличивает выносливость на 5%.
Снижает шанс наложения негативных статусов.
Есть небольшой шанс устоять перед смертельным уроном)</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</si>
  <si>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</si>
  <si>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</si>
  <si>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</si>
  <si>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</si>
  <si>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</si>
  <si>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</si>
  <si>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武術家護腕</t>
  </si>
  <si>
    <t>物攻：3
減少物理系武器耐久消耗、提升攻速和拳擊的傷害</t>
  </si>
  <si>
    <t>武闘家のリスト</t>
  </si>
  <si>
    <t>物理攻撃力：3
物理武器の耐久度消費を減らし、攻撃速度とパンチダメージを増加させます</t>
  </si>
  <si>
    <t>Physical attack: 3
Increases attack speed
Increases fist damaage
Reduces the durability consumption of physical weapons by 12%</t>
  </si>
  <si>
    <t>Наручи бійця</t>
  </si>
  <si>
    <t>Фізична шкода: 3
(Знижує витрати міцності фізичної зброї.
Збільшує швидкість атаки і шкоду від удару)</t>
  </si>
  <si>
    <t>Наручи бойца</t>
  </si>
  <si>
    <t>Физический урон: 3
(Снижает расход прочности физического оружия.
Увеличивает скорость атаки и урон от удара)</t>
  </si>
  <si>
    <t>Handschutz des Kampfkünstlers</t>
  </si>
  <si>
    <t>Physischer Angriff: 3
Reduziert den Verbrauch von Waffenhaltbarkeit, erhöht die Angriffsgeschwindigkeit und den Boxschaden</t>
  </si>
  <si>
    <t>Băng Tay Võ Sĩ</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</si>
  <si>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</si>
  <si>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</si>
  <si>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</si>
  <si>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</si>
  <si>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</si>
  <si>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</si>
  <si>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物理防御力：2
魔法耐性：10
移動速度強化、閃歩強化</t>
  </si>
  <si>
    <t>Martial Arists Shoes</t>
  </si>
  <si>
    <t>Physical defense: 2
Magic defense: 10
Enhances "Senpo"
*Gachapon Item</t>
  </si>
  <si>
    <t>Взуття бійця</t>
  </si>
  <si>
    <t>Захист: 2
Опір магії: 10
(Збільшує швидкість пересування).
Посилює Сенпо)</t>
  </si>
  <si>
    <t>Обувь бойца</t>
  </si>
  <si>
    <t>Защита: 2
Сопротивление магии: 10
(Увеличивает скорость передвижения.
Усиливает Сенпо)</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</si>
  <si>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</si>
  <si>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</si>
  <si>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</si>
  <si>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</si>
  <si>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</si>
  <si>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</si>
  <si>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穿刺釘盔</t>
  </si>
  <si>
    <t>物攻：4
物防：2
傷害型防具</t>
  </si>
  <si>
    <t>鋼刺の兜</t>
  </si>
  <si>
    <t>物理攻撃: 4
物理防御: 2
付近の敵にダメージを与える</t>
  </si>
  <si>
    <t>Piercing Spike Helmet</t>
  </si>
  <si>
    <t>Physical attack: 4
Physical defense: 2
Damages nearby enemies</t>
  </si>
  <si>
    <t>관통 가시 투구</t>
  </si>
  <si>
    <t>물리 공격력 : 4
물리 방어력 : 2
주변 적들에게 피해를 줌</t>
  </si>
  <si>
    <t>Шолом з шипами</t>
  </si>
  <si>
    <t>Фізична шкода: 4
Захист: 2
(Броня, що завдає шкоди)</t>
  </si>
  <si>
    <t>Шлем с шипами</t>
  </si>
  <si>
    <t>Физический урон: 4
Защита: 2
(Броня, наносящая урон)</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</si>
  <si>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</si>
  <si>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</si>
  <si>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</si>
  <si>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</si>
  <si>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</si>
  <si>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</si>
  <si>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穿刺釘甲</t>
  </si>
  <si>
    <t>物攻：2
物防：6
傷害型防具</t>
  </si>
  <si>
    <t>鋼刺の鎧</t>
  </si>
  <si>
    <t>物理攻撃: 2
物理防御: 6
付近の敵にダメージを与える</t>
  </si>
  <si>
    <t>Piercing Spike Armour</t>
  </si>
  <si>
    <t>Physical attack: 2
Physical defense: 6
Damages nearby enemies</t>
  </si>
  <si>
    <t>관통 가시 갑옷</t>
  </si>
  <si>
    <t>물리 공격력 : 2
물리 방어력 : 6
주변 적들에게 피해를 줌</t>
  </si>
  <si>
    <t>Нагрудник з шипами</t>
  </si>
  <si>
    <t>Фізична шкода: 2
Захист: 6
(Броня, що завдає шкоди)</t>
  </si>
  <si>
    <t>Нагрудник с шипами</t>
  </si>
  <si>
    <t>Физический урон: 2
Защита: 6
(Броня, наносящая урон)</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</si>
  <si>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</si>
  <si>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</si>
  <si>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</si>
  <si>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</si>
  <si>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</si>
  <si>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</si>
  <si>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穿刺臂鎧</t>
  </si>
  <si>
    <t>物攻：5
物防：1
傷害型防具</t>
  </si>
  <si>
    <t>鋼刺の篭手</t>
  </si>
  <si>
    <t>物理攻撃: 5
物理防御: 1
付近の敵にダメージを与える</t>
  </si>
  <si>
    <t>Piercing Spike Gauntlets</t>
  </si>
  <si>
    <t>Physical attack: 5
Physical defense: 1
Damages nearby enemies</t>
  </si>
  <si>
    <t>관통 가시 장갑</t>
  </si>
  <si>
    <t>물리 공격력 : 5
물리 방어력 : 1
주변 적들에게 피해를 줌</t>
  </si>
  <si>
    <t>Рукавиці з шипами</t>
  </si>
  <si>
    <t>Фізична шкода: 5
Захист: 1
(Броня, що завдає шкоди)</t>
  </si>
  <si>
    <t>Рукавицы с шипами</t>
  </si>
  <si>
    <t>Физический урон: 5
Защита: 1
(Броня, наносящая урон)</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</si>
  <si>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</si>
  <si>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</si>
  <si>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</si>
  <si>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</si>
  <si>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</si>
  <si>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</si>
  <si>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穿刺釘鞋</t>
  </si>
  <si>
    <t>物攻：2
物防：2
傷害型防具</t>
  </si>
  <si>
    <t>鋼刺の靴</t>
  </si>
  <si>
    <t>物理攻撃: 2
物理防御: 2
移動時に付近の敵にダメージを与える</t>
  </si>
  <si>
    <t>Piercing Spike Boots</t>
  </si>
  <si>
    <t>Physical attack: 2
Physical defense2
Damages nearby enemies</t>
  </si>
  <si>
    <t>Botas con pinchos perforadores</t>
  </si>
  <si>
    <t>관통 가시 부츠</t>
  </si>
  <si>
    <t>물리 공격력 : 2
물리 방어력 : 2
주변 적들에게 피해를 줌</t>
  </si>
  <si>
    <t>Черевики з шипами</t>
  </si>
  <si>
    <t>Фізична шкода: 2
Захист: 2
(Броня, що завдає шкоди)</t>
  </si>
  <si>
    <t>Сапоги с шипами</t>
  </si>
  <si>
    <t>Физический урон: 2
Защита: 2
(Броня, наносящая урон)</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</si>
  <si>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</si>
  <si>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</si>
  <si>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</si>
  <si>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</si>
  <si>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</si>
  <si>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騎士頭盔</t>
  </si>
  <si>
    <t>物防：5
魔抗：2
低體力加防禦</t>
  </si>
  <si>
    <t>騎士の兜</t>
  </si>
  <si>
    <t>物理防御力：5
魔法耐性：2
HPが低いと防御力が上昇</t>
  </si>
  <si>
    <t>Knight's Helmet</t>
  </si>
  <si>
    <t>Physical defense: 5
Magic defense: 2
Gain bonus physical defense when HP is low</t>
  </si>
  <si>
    <t>기사의 투구</t>
  </si>
  <si>
    <t>물리 방어력 : 5
마법 방어력 : 2
체력이 적을 때 추가 효과를 얻음</t>
  </si>
  <si>
    <t>Лицарський шолом</t>
  </si>
  <si>
    <t>Захист: 5
Опір магії: 2
(Низький рівень здоров'я підвищує захист)</t>
  </si>
  <si>
    <t>Рыцарский шлем</t>
  </si>
  <si>
    <t>Защита: 5
Сопротивление магии: 2
(Низкий уровень здоровья повышает защиту)</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</si>
  <si>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</si>
  <si>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</si>
  <si>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</si>
  <si>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</si>
  <si>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</si>
  <si>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</si>
  <si>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騎士鎧甲</t>
  </si>
  <si>
    <t>物防：10
魔抗：4
低體力加防禦</t>
  </si>
  <si>
    <t>騎士の鎧</t>
  </si>
  <si>
    <t>物理防御力: 10
魔法耐性: 4
スタミナが低いと防御力が上昇</t>
  </si>
  <si>
    <t>Knight's Armor</t>
  </si>
  <si>
    <t>Physical defense: 10
Magic defense: 4
Gain bonus physical defense when HP is low</t>
  </si>
  <si>
    <t>기사의 갑옷</t>
  </si>
  <si>
    <t>물리 방어력 : 10
마법 방어력 : 4
체력이 적을 때 추가 효과를 얻음</t>
  </si>
  <si>
    <t>Лицарський нагрудник</t>
  </si>
  <si>
    <t>Захист: 10
Опір магії: 4
(Низький рівень здоров'я підвищує захист)</t>
  </si>
  <si>
    <t>Рыцарский нагрудник</t>
  </si>
  <si>
    <t>Защита: 10
Сопротивление магии: 4
(Низкий уровень здоровья повышает защиту)</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</si>
  <si>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</si>
  <si>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</si>
  <si>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</si>
  <si>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</si>
  <si>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</si>
  <si>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</si>
  <si>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騎士護臂</t>
  </si>
  <si>
    <t>物攻：3
物防：3
低體力加攻擊、防禦</t>
  </si>
  <si>
    <t>騎士の篭手</t>
  </si>
  <si>
    <t>物理攻撃：3
物理防御：3
HPが少ないときに攻撃力と防御力が上昇します</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</si>
  <si>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</si>
  <si>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</si>
  <si>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</si>
  <si>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</si>
  <si>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</si>
  <si>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Лицарські рукавиці</t>
  </si>
  <si>
    <t>Фізична шкода: 3
Захист: 3
(Збільшує атаку та захист при низькому ОЗ)</t>
  </si>
  <si>
    <t>Рыцарские рукавицы</t>
  </si>
  <si>
    <t>Физический урон: 3
Защита: 3
(Увеличивает атаку и защиту при низком ОЗ)</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</si>
  <si>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</si>
  <si>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</si>
  <si>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</si>
  <si>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</si>
  <si>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</si>
  <si>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</si>
  <si>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</si>
  <si>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</si>
  <si>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</si>
  <si>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物理防御力：2
魔法耐性：2
スタミナ低下、移動速度上昇</t>
  </si>
  <si>
    <t>Knight's Greaves</t>
  </si>
  <si>
    <t>Physical defense: 2
Magic defense: 2
Gain bonus movement speed when HP is low</t>
  </si>
  <si>
    <t>기사의 경갑</t>
  </si>
  <si>
    <t>물리 방어력 : 2
마법 방어력 : 2
체력이 적을 때 추가 효과를 얻음</t>
  </si>
  <si>
    <t>Лицарські поножі</t>
  </si>
  <si>
    <t>Захист: 2
Опір магії: 2
(Низька витривалість, підвищена швидкість пересування)</t>
  </si>
  <si>
    <t>Рыцарские поножи</t>
  </si>
  <si>
    <t>Защита: 2
Сопротивление магии: 2
(Низкая выносливость, повышенная скорость передвижения)</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</si>
  <si>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</si>
  <si>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</si>
  <si>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</si>
  <si>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</si>
  <si>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</si>
  <si>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</si>
  <si>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倒吊人的骨戒</t>
  </si>
  <si>
    <t>物防：2
魔抗：15
墜落時受到的傷害減免
增加墜落時，造成的範圍傷害</t>
  </si>
  <si>
    <t>ハングドマンの骨戒</t>
  </si>
  <si>
    <t>物理防御力: 2
魔法耐性: 15
落下ダメージ軽減</t>
  </si>
  <si>
    <t>Hanged Man's Bone Ring</t>
  </si>
  <si>
    <t>Physical defense: 2
Magic defense: 15
Reduce damage from falling
Area of effect damage from falling increases</t>
  </si>
  <si>
    <t>매달린 남자의 뼈 반지</t>
  </si>
  <si>
    <t>물리 방어력 : 2
마법 방어력 : 15
낙하 피해 감소</t>
  </si>
  <si>
    <t>Кістяне кільце Повішеного</t>
  </si>
  <si>
    <t>Захист: 2
Опір магії: 15
(Знижує шкоду від падіння)</t>
  </si>
  <si>
    <t>Костяное кольцо Повешенного</t>
  </si>
  <si>
    <t>Защита: 2
Сопротивление магии: 15
(Снижает урон от падения)</t>
  </si>
  <si>
    <t>Knochenring des Gehängten</t>
  </si>
  <si>
    <t>Physische Verteidigung: 2
Magieabwehr: 15
Reduziert den Fallschaden</t>
  </si>
  <si>
    <t>Nhẫn Xương Tử Tội</t>
  </si>
  <si>
    <t>Phòng thủ vật lý: 2
Kháng ma thuật: 15
Giảm sát thương khi rơi
Tăng sát thương diện rộng gây ra khi rơi</t>
  </si>
  <si>
    <t>Anel de Osso do Homem Enforcado</t>
  </si>
  <si>
    <t>Defesa física: 2
Defesa Mágica: 15
Reduz o dano quando caindo</t>
  </si>
  <si>
    <t>熔岩戒指</t>
  </si>
  <si>
    <t>物防：2
魔功：15
魔抗：60
降低結冰、炎上的機率</t>
  </si>
  <si>
    <t>溶岩リング</t>
  </si>
  <si>
    <t>物理防御：2
魔法攻撃：15
魔法耐性：60
凍結と燃焼の可能性を軽減します</t>
  </si>
  <si>
    <t>Lava Ring</t>
  </si>
  <si>
    <t>Physical defense: 2
Magic attack: 15
Magic defense: 60
Reduces chances of being Frozen or Burned</t>
  </si>
  <si>
    <t>물리 방어력 : 2
마법 공격력 : 15
마법 방어력 : 60
빙결이나 화상에 걸릴 확률 감소</t>
  </si>
  <si>
    <t>Кільце лави</t>
  </si>
  <si>
    <t>Захист: 2
Магічна шкода: 15
Опір магії: 60
(Знижує ймовірність заморожування та опіку)</t>
  </si>
  <si>
    <t>Кольцо лавы</t>
  </si>
  <si>
    <t>Защита: 2
Магический урон: 15
Сопротивление магии: 60
(Снижает вероятность заморозки и ожога)</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</si>
  <si>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</si>
  <si>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</si>
  <si>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</si>
  <si>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</si>
  <si>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</si>
  <si>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</si>
  <si>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</si>
  <si>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</si>
  <si>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</si>
  <si>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</si>
  <si>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</si>
  <si>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Гримуар Саламандри</t>
  </si>
  <si>
    <t>Магічна шкода: 25
Опір магії: 15
(Посилена стихія вогню)</t>
  </si>
  <si>
    <t>Гримуар Саламандры</t>
  </si>
  <si>
    <t xml:space="preserve">Магический урон: 25
Сопротивление магии: 15
(Усиленная стихия огня)
</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</si>
  <si>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</si>
  <si>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</si>
  <si>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</si>
  <si>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</si>
  <si>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</si>
  <si>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縱火狂的防燙手套</t>
  </si>
  <si>
    <t>物攻：4
魔抗：8
幸運：4
增強炸彈效果
(丟炸彈概率連環爆炸)</t>
  </si>
  <si>
    <t>放火狂のグローブ</t>
  </si>
  <si>
    <t>物理攻撃力: 4
魔法耐性: 8
幸運: 4
爆弾効果強化
(爆弾投下時に連鎖爆発の確率)</t>
  </si>
  <si>
    <t>Arsonist's Gloves</t>
  </si>
  <si>
    <t>Physical attack 4:
Magic defense: 8
Luck: 4
Bombs detonated by self is enhanced
(Thrown bombs have a chance to explode multiple times)</t>
  </si>
  <si>
    <t>방화범의 장갑</t>
  </si>
  <si>
    <t>물리 공격력 : 4
폭탄 피해 강화</t>
  </si>
  <si>
    <t>Рукавички Підпалювача</t>
  </si>
  <si>
    <t>Фізична шкода: 4
Опір магії: 8
Удача: 4
(Посилений ефект бомби
(Вірогідність ланцюгового вибуху при кидку бомби))</t>
  </si>
  <si>
    <t>Перчатки Поджигателя</t>
  </si>
  <si>
    <t>Физический урон: 4
Сопротивление магии: 8
Удача: 4
(Усиленный эффект бомбы
(Вероятность цепного взрыва при броске бомбы))</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</si>
  <si>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</si>
  <si>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</si>
  <si>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</si>
  <si>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</si>
  <si>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</si>
  <si>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</si>
  <si>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護刃眾的徽章</t>
  </si>
  <si>
    <t>減少攻擊力、攻擊上限降低至200
降低武器耐久度消耗</t>
  </si>
  <si>
    <t>攻撃力が20％下がり攻撃力上限が200まで下がる
武器の耐久の減少が20％軽減される</t>
  </si>
  <si>
    <t>Bladekeeper's Badge</t>
  </si>
  <si>
    <t>Reduces attack power and imposes an attack limit cap to 200
Weapons now consume 20% less durability</t>
  </si>
  <si>
    <t>Значок Хранителя Клінків</t>
  </si>
  <si>
    <t>Знижена сила шкоди, максимальна шкода зменшена до 200.
Знижена витрата міцності зброї.</t>
  </si>
  <si>
    <t>Значок Хранителя Клинков</t>
  </si>
  <si>
    <t>Снижена сила атаки, максимальный урон уменьшен до 200.
Снижен расход прочности оружия.</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</si>
  <si>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</si>
  <si>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</si>
  <si>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</si>
  <si>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</si>
  <si>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少女的祈禱</t>
  </si>
  <si>
    <t>幸運：60
增加獲得特定物品的機率</t>
  </si>
  <si>
    <t>少女の祈り</t>
  </si>
  <si>
    <t>幸運：60
特定のアイテムを獲得する確率が上昇します</t>
  </si>
  <si>
    <t>A Maiden's Prayer</t>
  </si>
  <si>
    <t>Luck: 40
Increases chance of obtaining Salmon and King Salmon when fishing</t>
  </si>
  <si>
    <t>少女的祈祷</t>
  </si>
  <si>
    <t>幸运：60
增加钓鱼时获得鲑鱼/帝王鲑的概率</t>
  </si>
  <si>
    <t>Молитва діви</t>
  </si>
  <si>
    <t>Удача: 40
Збільшує шанс зловити Лосося та Королівського Лосося на риболовлі.</t>
  </si>
  <si>
    <t>Молитва девы</t>
  </si>
  <si>
    <t>Удача: 40
Увеличивает шанс поймать Лосося и Королевского Лосося на рыбалке.</t>
  </si>
  <si>
    <t>Thiếu Nữ Cầu Nguyện</t>
  </si>
  <si>
    <t xml:space="preserve">Vận may: 40
Tăng xác suất nhận được Cá Hồi và Cá Hồi Vua </t>
  </si>
  <si>
    <t>Oração da Donzela</t>
  </si>
  <si>
    <t>"Sorte: 60. Aumenta a chance de obter itens específicos.(Rei Salmão)"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</si>
  <si>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</si>
  <si>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</si>
  <si>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</si>
  <si>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</si>
  <si>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</si>
  <si>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</si>
  <si>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Пакт хозяїна та слуги</t>
  </si>
  <si>
    <t>Отримання шкоди замість Слуг.
Збільшення відновлення ОЗ залежно від кількості Слуг.</t>
  </si>
  <si>
    <t>Пакт хозяина и слуги</t>
  </si>
  <si>
    <t>Получение урона вместо Слуг.
Увеличение восстановления ОЗ в зависимости от количества Слуг.</t>
  </si>
  <si>
    <t>Umgekehrter Fluchbannpakt</t>
  </si>
  <si>
    <t>Erleidet Schaden anstelle der Gefährten
Erhöht die Lebensregeneration des Helden je nach Anzahl der Gefährten</t>
  </si>
  <si>
    <t>Khế Ước Xiềng Xích</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</si>
  <si>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</si>
  <si>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</si>
  <si>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</si>
  <si>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憤怒的拳頭</t>
  </si>
  <si>
    <t>物攻：1
魔攻：8
自動環繞攻擊</t>
  </si>
  <si>
    <t>怒りの拳</t>
  </si>
  <si>
    <t>物理攻撃力：1
魔法攻撃力：8
自分の周りで回り攻撃する</t>
  </si>
  <si>
    <t>Fists of Fury</t>
  </si>
  <si>
    <t>Physical attack: 1
Magic attack: 8
A flying fist automatically pushes nearby enemies away
*Gachapon Item</t>
  </si>
  <si>
    <t>물리 공격력 : 1
마법 공격력 : 8
자동공격 기능</t>
  </si>
  <si>
    <t>Кулаки люті</t>
  </si>
  <si>
    <t>Фізична шкода: 1
Магічна шкода: 8
(Автоматична кругова атака)</t>
  </si>
  <si>
    <t>Кулаки ярости</t>
  </si>
  <si>
    <t>Физический урон: 1
Магический урон: 8
(Автоматическая круговая атака)</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</si>
  <si>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</si>
  <si>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</si>
  <si>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</si>
  <si>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</si>
  <si>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</si>
  <si>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</si>
  <si>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投擲攻擊
遇水消失、會被擊殺
幸運：10</t>
  </si>
  <si>
    <t>◉▽◉（青）</t>
  </si>
  <si>
    <t xml:space="preserve">
投擲攻撃
水に当たると消滅し、撃破される
幸運：10</t>
  </si>
  <si>
    <t>Throwable weapon
Disappears upon contact with water
Luck: 10</t>
  </si>
  <si>
    <t>Удача: 10
Мітальна атака.
Зникає при контакті з водою і може бути убитий.</t>
  </si>
  <si>
    <t>Удача: 10
Метательная атака.
Исчезает при контакте с водой и может быть убит.</t>
  </si>
  <si>
    <t>Wurfangriff
Verschwindet im Wasser, kann getötet werden
Glück: 10</t>
  </si>
  <si>
    <t>Vũ khí ném được
Biến mất khi tiếp xúc với nước
Vận may: 10</t>
  </si>
  <si>
    <t>Arma arremessável
Desaparece em contato com a água
Sorte: 10</t>
  </si>
  <si>
    <t xml:space="preserve">Рідкісний	</t>
  </si>
  <si>
    <t>Rất hiếm</t>
  </si>
  <si>
    <t>增加攻擊速度、攻擊數目+1</t>
  </si>
  <si>
    <t>攻撃力上昇、攻撃回数+1
特殊効果半減</t>
  </si>
  <si>
    <t>Increases attack speed.
Number of projectiles +1</t>
  </si>
  <si>
    <t>공격속도 증가, 공격 횟수 + 1</t>
  </si>
  <si>
    <t>Котячий удар</t>
  </si>
  <si>
    <t>Збільшення швидкості атаки та кількість атак на 1.</t>
  </si>
  <si>
    <t>Кошачий удар</t>
  </si>
  <si>
    <t xml:space="preserve">Увеличение скорости атаки и количество атак на 1.
</t>
  </si>
  <si>
    <t>Erhöht die Angriffsgeschwindigkeit.
Anzahl der Projektile +1.</t>
  </si>
  <si>
    <t>Găng Tay Vuốt Mèo</t>
  </si>
  <si>
    <t>Tăng tốc độ tấn công.
Đòn tấn công thêm +1</t>
  </si>
  <si>
    <t>Aumenta velocidade de ataque.
Número de projéteis +1</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</si>
  <si>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</si>
  <si>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</si>
  <si>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</si>
  <si>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</si>
  <si>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</si>
  <si>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Вакідзасі</t>
  </si>
  <si>
    <t>Кількість звичайних атак ближнього бою +1.
Шанс на кровотечу.
Невелика зона ураження не змінюється в залежності від розміру зброї.
Фіксована шкода, але може поєднуватися з тренуванням фехтування для отримання бонусів до шкоди.</t>
  </si>
  <si>
    <t>Вакидзаси</t>
  </si>
  <si>
    <t xml:space="preserve"> Количество обычных атак ближнего боя +1.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</si>
  <si>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</si>
  <si>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</si>
  <si>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銳刃指環</t>
  </si>
  <si>
    <t xml:space="preserve">物攻：4
物防：1
物攻+15%
</t>
  </si>
  <si>
    <t>鋭刃の指輪</t>
  </si>
  <si>
    <t>物理攻撃力：4
物理防御力：1
物理攻撃力 +15%</t>
  </si>
  <si>
    <t>Sharpblade Ring</t>
  </si>
  <si>
    <t xml:space="preserve">Physical attack: 4
Physical defense: 1
Physical attack power +15%
</t>
  </si>
  <si>
    <t>Кільце з клинком</t>
  </si>
  <si>
    <t>Фізична шкода: 4
Захист: 1
Фізична атака: +15%</t>
  </si>
  <si>
    <t>Кольцо с клинком</t>
  </si>
  <si>
    <t>Физический урон: 4
Защита: 1
Физическая атака: +15%</t>
  </si>
  <si>
    <t>Nhẫn Lưỡi Sắc</t>
  </si>
  <si>
    <t>Sát thương vật lý: 4
Phòng thủ vật lý: 1
Sức mạnh tấn công vật lý +15%</t>
  </si>
  <si>
    <t>Anel da Lâmina Afiada</t>
  </si>
  <si>
    <t xml:space="preserve">Ataque físico: 4
Defesa física: 1
Poder de ataque físico +15%
</t>
  </si>
  <si>
    <t>炸彈魔之魂</t>
  </si>
  <si>
    <t>小概率附帶爆炸效果、爆炸減免</t>
  </si>
  <si>
    <t>爆弾魔の魂</t>
  </si>
  <si>
    <t>爆発効果または爆発軽減を発動する確率が低い</t>
  </si>
  <si>
    <t>Bomb Fiend's Soul</t>
  </si>
  <si>
    <t>Reduces damage from explosions
Has a chance to trigger explosions when attacking</t>
  </si>
  <si>
    <t>폭탄마의 영혼</t>
  </si>
  <si>
    <t>공격 시 일정 확률로 폭발을 일으키고 폭발로 인한 피해 감소</t>
  </si>
  <si>
    <t>Душа вибухового маніяка</t>
  </si>
  <si>
    <t>Зменшує шкоду від вибухів
Має шанс спровокувати вибухи під час атаки</t>
  </si>
  <si>
    <t>Душа взрывного маньяка</t>
  </si>
  <si>
    <t>Низкая вероятность возникновения эффекта взрыва или снижения его интенсивности.</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</si>
  <si>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</si>
  <si>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</si>
  <si>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</si>
  <si>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</si>
  <si>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</si>
  <si>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</si>
  <si>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墮落法師的頭環</t>
  </si>
  <si>
    <t>魔攻：10
魔抗：25
提升魔攻100%
降低體力上限50%</t>
  </si>
  <si>
    <t>堕落魔術師の頭環</t>
  </si>
  <si>
    <t>魔法攻撃力：10
魔法耐性：25
魔法攻撃力が上昇し、最大スタミナが減少します</t>
  </si>
  <si>
    <t xml:space="preserve">Fallen Mage's Circlet
</t>
  </si>
  <si>
    <t xml:space="preserve">Magic attack: 10
Magic defense: 25
Magic attack power +100%
Max HP -50%
</t>
  </si>
  <si>
    <t>타락한 마법사의 머리띠 (미구현)</t>
  </si>
  <si>
    <t>마법 공격력 : 30
마법 방어력 : 35
자동 조준</t>
  </si>
  <si>
    <t>Пов'язка палого мага 
(Ще не реалізована)</t>
  </si>
  <si>
    <t>Магічна атака: 30
Опір магії: 35
Снаряди відстежують ворогів</t>
  </si>
  <si>
    <t>Повязка павшего мага (Ещё не реализована)</t>
  </si>
  <si>
    <t>Магический урон: 10
Сопротивление магии: 25
(Увеличивает магическую атаку и снижает максимальную выносливость)</t>
  </si>
  <si>
    <t>Reif des gefallenen Magiers (Noch nicht implementiert</t>
  </si>
  <si>
    <t>Magieangriff: 30
Magieabwehr: 35
Projektile verfolgen Feinde</t>
  </si>
  <si>
    <t>Vòng Nguyền Rủa Của 
Pháp Sư Sa Ngã</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</si>
  <si>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</si>
  <si>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</si>
  <si>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</si>
  <si>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</si>
  <si>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</si>
  <si>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堕落魔術師のマント</t>
  </si>
  <si>
    <t>魔法攻撃力：10
物理防御：1
魔法耐性:35
閃歩の残像が長く残る
残像に触れた敵は停止状態になる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</si>
  <si>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</si>
  <si>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</si>
  <si>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</si>
  <si>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</si>
  <si>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Плащ палого мага</t>
  </si>
  <si>
    <t>Магічна шкода: 10
Захист: 1
Опыр магії: 35
Залишкові зображення, що генеруються Сенпо, тривають довше
Предмети, що торкаються залишкових зображень, заморожуються</t>
  </si>
  <si>
    <t>Плащ павшего мага</t>
  </si>
  <si>
    <t>Магический урон: 10
Защита: 1
Сопротивление магии: 35
(Послесветы от Сенпо, остаются дольше.
Объекты, которых они касаются, замирают на месте)</t>
  </si>
  <si>
    <t>Robe des gefallenen Magiers (Noch nicht implementiert)</t>
  </si>
  <si>
    <t>Magieangriff: 10
Physische Verteidigung: 1
Magieabwehr: 35
Projektile verfolgen Feinde</t>
  </si>
  <si>
    <t>Áo Choàng của Pháp Sư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</si>
  <si>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</si>
  <si>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</si>
  <si>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</si>
  <si>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</si>
  <si>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</si>
  <si>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</si>
  <si>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</si>
  <si>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</si>
  <si>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</si>
  <si>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</si>
  <si>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Рукавички палого мага</t>
  </si>
  <si>
    <t>Фізична шкода: 2
Магічна шкода: 10
Опір магії: 20
(Автоматичне прицілювання)</t>
  </si>
  <si>
    <t>Перчатки павшего мага</t>
  </si>
  <si>
    <t>Физический урон: 2
Магический урон: 10
Сопротивление магии: 20
(Автоматическое прицеливание)</t>
  </si>
  <si>
    <t>Handschuhe des gefallenen Magiers</t>
  </si>
  <si>
    <t>Magieangriff: 10
Projektile verfolgen Feinde</t>
  </si>
  <si>
    <t>Găng Tay Của Pháp Sư
Sa Ngã</t>
  </si>
  <si>
    <t>Sát thương ma thuật: 10
Đạn bay theo kẻ địch</t>
  </si>
  <si>
    <t>Luvas do Mago Caído</t>
  </si>
  <si>
    <t>Ataque Mágico: 10
Projéteis perseguem inimigos</t>
  </si>
  <si>
    <t>墮落法師的輕履</t>
  </si>
  <si>
    <t>物攻：2
魔攻：10
魔抗：20
虛無：無視一切阻礙、包括敵人子彈</t>
  </si>
  <si>
    <t>堕落魔術師の軽靴</t>
  </si>
  <si>
    <t xml:space="preserve">物理攻撃力：2
魔法攻撃力：10
魔法耐性：20
移動速度が上がり、閃歩使用時に虚無状態になる
</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</si>
  <si>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</si>
  <si>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</si>
  <si>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</si>
  <si>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</si>
  <si>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Взуття палого мага</t>
  </si>
  <si>
    <t>Фізична шкода: 2
Магічна шкода: 10
Опір магії: 20
(Пустота: Ігнорує всі перешкоди, включаючи ворожі постріли)</t>
  </si>
  <si>
    <t>Обувь павшего мага</t>
  </si>
  <si>
    <t>Физический урон: 2
Магический урон: 10
Сопротивление магии: 20
(Пустота: Игнорирует все препятствия, включая вражеские выстрелы)</t>
  </si>
  <si>
    <t>Schuhe des gefallenen Magiers</t>
  </si>
  <si>
    <t>Magieangriff: 10
Magieabwehr: 20
Ignoriert alle Gelände- und Gegnerprojektile bei Verwendung von Senpo</t>
  </si>
  <si>
    <t>Giày Của Pháp Sư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</si>
  <si>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</si>
  <si>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</si>
  <si>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</si>
  <si>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調皮的杰克</t>
  </si>
  <si>
    <t>魔攻：8
魔防：8
增強殘血傷害
(最大額外附加30%傷害)</t>
  </si>
  <si>
    <t>生意気なジャッキー</t>
  </si>
  <si>
    <t>魔法攻撃力：8
魔法耐性:8
低HPの敵に特攻
最大30％の追加ダメージを付与</t>
  </si>
  <si>
    <t>Saucy Jacky</t>
  </si>
  <si>
    <t>Magic attack: 8
Magic defense: 8
Extra damage to enemies with low hp (up to 30%)
*Gachapon Item</t>
  </si>
  <si>
    <t>마법 공격력 : 8
마법 방어력 : 8
체력이 낮은 적에게 추가 피해</t>
  </si>
  <si>
    <t>Пустотливий ​​Джекі</t>
  </si>
  <si>
    <t>Магічна шкода: 8
Опір магії: 8
(Збільшує шкоду, яку завдають вороги з малим здоров'ям.
(Макс. дод. Збільшення шкоди на 30%))</t>
  </si>
  <si>
    <t>Озорной Джекки</t>
  </si>
  <si>
    <t>Магический урон: 8
Сопротивление магии: 8
(Увеличивает урон, наносимый врагам с малым здоровьем.
(Макс. доп. увеличение урона на 30%))</t>
  </si>
  <si>
    <t>Ungezogener Jacky</t>
  </si>
  <si>
    <t>Magieangriff und Magieabwehr: 8
Zusätzlicher Schaden gegen Feinde mit niedrigem HP</t>
  </si>
  <si>
    <t>Jacky Nghịch Ngợm</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</si>
  <si>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</si>
  <si>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</si>
  <si>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</si>
  <si>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夜霧幻影</t>
  </si>
  <si>
    <t>物防:2
魔防:2
每隔一段時間會透明化、透明時進行背刺傷害加倍</t>
  </si>
  <si>
    <t>夜霧の幻影</t>
  </si>
  <si>
    <t>物理防御力: 2
魔法防御力: 2
定期的に透明になり、透明状態の間は背後からの攻撃ダメージが2倍になる</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</si>
  <si>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</si>
  <si>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</si>
  <si>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</si>
  <si>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</si>
  <si>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Привид туманної ночі</t>
  </si>
  <si>
    <t>Захист: 2
Опір магії: 2
(Періодично стає невидимим).
Втрата від удару в спину подвоюється)</t>
  </si>
  <si>
    <t>Призрак туманной ночи</t>
  </si>
  <si>
    <t>Защита: 2
Сопротивление магии: 2
(Периодически становится невидимым.
Урон от удара в спину удваивается)</t>
  </si>
  <si>
    <t>Nebelgeist der Nacht</t>
  </si>
  <si>
    <t>Physische Verteidigung: 2
Magieabwehr: 2
Ignoriert alle Gelände- und Gegnerprojektile bei Verwendung von Senpo</t>
  </si>
  <si>
    <t>Huyễn Ảnh Sương Đêm</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</si>
  <si>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</si>
  <si>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</si>
  <si>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</si>
  <si>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鬼手</t>
  </si>
  <si>
    <t>物攻：10
魔防：10
物攻翻倍，攻速降低，耐久消耗增加</t>
  </si>
  <si>
    <t>鬼の手</t>
  </si>
  <si>
    <t>物理攻撃力：10
魔法防御10
攻撃力100％アップ
攻撃速度が低下し壊れやすくなる…</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</si>
  <si>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</si>
  <si>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</si>
  <si>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</si>
  <si>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</si>
  <si>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Рука Оні</t>
  </si>
  <si>
    <t>Фізична шкода: 10
Опір магії: 10
(Фізична шкода подвоєна, але швидкість атаки зменшена вдвічі, а витрата міцності збільшена)</t>
  </si>
  <si>
    <t>Рука Они</t>
  </si>
  <si>
    <t>Физический урон: 10
Сопротивление магии: 10
(Физический урон удвоен, но скорость атаки уменьшена вдвое, а расход прочности увеличен)</t>
  </si>
  <si>
    <t>Bàn 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</si>
  <si>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</si>
  <si>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</si>
  <si>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</si>
  <si>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</si>
  <si>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</si>
  <si>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</si>
  <si>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</si>
  <si>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</si>
  <si>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</si>
  <si>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Проклята рука Ксеріса</t>
  </si>
  <si>
    <t>Опір магії: 18
(Автоматично обертається навколо Слуги. Завдає шкоди ворогу. Накладає дебаффи: Провокація, Лють (Знижує захист противника, збільшує його атаку))
(Дебафф поки що не реалізований)</t>
  </si>
  <si>
    <t>Проклятая рука Ксериса</t>
  </si>
  <si>
    <t>Сопротивление магии: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</si>
  <si>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</si>
  <si>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</si>
  <si>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</si>
  <si>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</si>
  <si>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</si>
  <si>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</si>
  <si>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毒蛇之擁</t>
  </si>
  <si>
    <t>毒蛇の抱擁</t>
  </si>
  <si>
    <t>Venomous Embrace</t>
  </si>
  <si>
    <t>Physical attack: 1
Magic attack: 8
Floating knife will hit nearby enemies</t>
  </si>
  <si>
    <t>독사의 포옹</t>
  </si>
  <si>
    <t>Ядовиті обійми</t>
  </si>
  <si>
    <t>Фізична шкода: 1
Магічна шкода: 8
Літаючий ніж вражатиме ворогів поблизу</t>
  </si>
  <si>
    <t>Ядовитые объятия</t>
  </si>
  <si>
    <t>Физический урон: 1
Магический урон: 8
(Автоматически вращающийся слуга)</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</si>
  <si>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</si>
  <si>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</si>
  <si>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</si>
  <si>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</si>
  <si>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</si>
  <si>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</si>
  <si>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招財貓</t>
  </si>
  <si>
    <t>魔抗：10
幸運：50
吸取物品</t>
  </si>
  <si>
    <t>招き猫</t>
  </si>
  <si>
    <t>魔法耐性：10
運：50
アイテムを自身に吸い寄せる</t>
  </si>
  <si>
    <t>Maneki Neko</t>
  </si>
  <si>
    <t>Magic defense: 10
Luck: 50
Absorbs dropped items</t>
  </si>
  <si>
    <t>복고양이</t>
  </si>
  <si>
    <t>마법 방어력 : 10
행운 : 50
아이템을 끌어당김</t>
  </si>
  <si>
    <t>Кіт удачі</t>
  </si>
  <si>
    <t>Опір магії: 10
Удача: 50
(Притягує предмети)</t>
  </si>
  <si>
    <t>Кот удачи</t>
  </si>
  <si>
    <t>Сопротивление магии: 10
Удача: 50
(Притягивает выпавшие предметы)</t>
  </si>
  <si>
    <t>Glückskatze</t>
  </si>
  <si>
    <t>Magieabwehr: 10
Glück: 50
Absorbiert fallengelassene Items</t>
  </si>
  <si>
    <t>Mèo Thần Tài</t>
  </si>
  <si>
    <t>Kháng ma thuật: 10
May mắn: 50
Hấp thụ vật phẩm rơi ra</t>
  </si>
  <si>
    <t>Neko da Sorte</t>
  </si>
  <si>
    <t>Defesa Mágica: 10
Sorte: 50
Pega os itens que cairem</t>
  </si>
  <si>
    <t>投擲攻擊
遇水消失、會被擊殺
幸運：20</t>
  </si>
  <si>
    <t xml:space="preserve">
投擲攻撃
水に当たると消滅し、撃破される
幸運：20</t>
  </si>
  <si>
    <t>Throwable weapon
Disappears upon contact with water
Luck: 20</t>
  </si>
  <si>
    <t>◉▽◉(фіолетовий)</t>
  </si>
  <si>
    <t>Удача: 20
Мітальна атака.
Зникає при контакті з водою і може бути убитий.</t>
  </si>
  <si>
    <t>◉▽◉(фиолетовый)</t>
  </si>
  <si>
    <t>Удача: 20
Метательная атака.
Исчезает при контакте с водой и может быть убит.</t>
  </si>
  <si>
    <t>Wurfangriff
Verschwindet im Wasser, kann getötet werden
Glück: 20</t>
  </si>
  <si>
    <t>Vũ khí ném được
Biến mất khi tiếp xúc với nước
Vận may: 20</t>
  </si>
  <si>
    <t>Arma arremessável
Desaparece em contato com a água
Sorte: 20</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</si>
  <si>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</si>
  <si>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</si>
  <si>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</si>
  <si>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</si>
  <si>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</si>
  <si>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</si>
  <si>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</si>
  <si>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</si>
  <si>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Червоний Ріг</t>
  </si>
  <si>
    <t>Фізична шкода: 4
Захист: 2
Опір магії: 25
(Необмежене прискорення після заряджання)</t>
  </si>
  <si>
    <t>Красный Рог</t>
  </si>
  <si>
    <t>Физический урон: 4
Защита: 2
Сопротивление магии: 25
(Неограниченное ускорение после зарядки)</t>
  </si>
  <si>
    <t>Sừng Đỏ</t>
  </si>
  <si>
    <t>Sát thương: 4
Phòng thủ vật lý: 2
Kháng ma thuật: 25
Nạp 3 lần. Hồi lại từ từ khi dùng hết
Khi nạp đầy, Thiểm Bộ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</si>
  <si>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</si>
  <si>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</si>
  <si>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幻想的晶翼</t>
  </si>
  <si>
    <t>魔攻: 27+額外7%
魔防: 77+額外7%
幸運: 77
降低墜落受到的傷害
提升魔法威力上限</t>
  </si>
  <si>
    <t>魔法攻撃: 27+7%
魔法防御: 77+7%
幸運: 77
重力を軽減し落下ダメージを40％軽減する
装備すると魔法の詠唱速度が上がり魔法威力の上限が向上する！</t>
  </si>
  <si>
    <t>Magic attack: 27 + 7% 
Magic resist: 77 + 7% 
Luck: 77
Reduces fall damage
Increases casting speed ang magic power</t>
  </si>
  <si>
    <t>Магічна шкода: 27 + 7% 
Опір магії: 77 + 7% 
Удача: 77
Зменшує шкоду при падінні
Збільшує швидкість заклинання та магічну силу</t>
  </si>
  <si>
    <t>Магический урон: 27 + 7% 
Сопротивление магии: 77 + 7% 
Удача: 77
Уменьшает урон при падении
Увеличивает скорость произнесения заклинания и магическую силу</t>
  </si>
  <si>
    <t>Sát thương ma thuật: 27 + 7% 
Kháng ma thuật: 77 + 7% 
May mắn: 77
Giảm sát thương khi rơi
Tăng tốc độ niệm phép và sức mạnh phép thuật</t>
  </si>
  <si>
    <t>Asas de Cristal Fantasma</t>
  </si>
  <si>
    <t>Ataque mágico: 27 + 7%
Resistência mágica: 77 + 7%
Sorte: 77
Reduz o dano de queda
Aumenta a velocidade de conjuração e o poder mágico"</t>
  </si>
  <si>
    <t xml:space="preserve">Епічний	</t>
  </si>
  <si>
    <t>火鳥的羽毛</t>
  </si>
  <si>
    <t>復活並恢復全部體力(消耗品)</t>
  </si>
  <si>
    <t>火の鳥の羽</t>
  </si>
  <si>
    <t>復活し、体力を完全に回復します（消耗品）</t>
  </si>
  <si>
    <t>Feather of Firebird</t>
  </si>
  <si>
    <t>Gets consumed to revive self to full health upon death.</t>
  </si>
  <si>
    <t>죽었을 때 한 번 부활 가능</t>
  </si>
  <si>
    <t>Перо Фенікса</t>
  </si>
  <si>
    <t>Поглинається, щоб відродити себе з повним здоров'ям після смерті.</t>
  </si>
  <si>
    <t>Перо Феникса</t>
  </si>
  <si>
    <t>Восстанавливает и полностью восстанавливает здоровье (расходный материал).</t>
  </si>
  <si>
    <t>Auferstehung, Item geht kaputt</t>
  </si>
  <si>
    <t>Lông Vũ Hỏa Điểu</t>
  </si>
  <si>
    <t>Tiêu thụ để tự hồi sinh và hồi toàn bộ máu khi chết</t>
  </si>
  <si>
    <t>Pena da Ave de Fogo</t>
  </si>
  <si>
    <t>È consumida para se reviver com PV completo quando for derrotado.</t>
  </si>
  <si>
    <t>魔抗：30
無法回復、免死7秒</t>
  </si>
  <si>
    <t>魔法耐性: 30
回復できなくなる
瀕死のダメージを受けると7秒間無敵になる</t>
  </si>
  <si>
    <t>Magic Resistance: 30
Unable to recover HP
Immune to death for 7 seconds when HP reaches 0</t>
  </si>
  <si>
    <t>마법 방어력 : 30
회복 불가, 7초간 사망 면역</t>
  </si>
  <si>
    <t>Серце Опудала</t>
  </si>
  <si>
    <t>Опір магії: 30
(Неможливо лікуватись.
Невразливість на 7 секунд при 0 ОЗ)</t>
  </si>
  <si>
    <t>Сопротивление магии: 30
(Невозможно вылечиться.
Неуязвимость на 7 секунд)</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</si>
  <si>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</si>
  <si>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</si>
  <si>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</si>
  <si>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不幸的誕生</t>
  </si>
  <si>
    <t>體力上升，基礎30，額外加成10%
獲得自動回復效果，體力恢复效果提升25%</t>
  </si>
  <si>
    <t>不幸の誕生</t>
  </si>
  <si>
    <t xml:space="preserve">        スタミナが増加。基本値は30、追加で10%のボーナス。スタミナ自動回復効果を獲得し、スタミナ回復速度が25%増加</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</si>
  <si>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</si>
  <si>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</si>
  <si>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</si>
  <si>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Народження нещастя</t>
  </si>
  <si>
    <t>Максимальне здоров'я збільшено на 30, з додатковим бонусом HP на 10%.
Ефекти лікування збільшено на 25%.
Ефект пасивної регенерації здоров'я</t>
  </si>
  <si>
    <t>Рождение несчастья</t>
  </si>
  <si>
    <t>Выносливость увеличена, базовое значение 30, дополнительный бонус 10%. Автоматическое восстановление выносливости; эффект восстановления выносливости увеличен на 25%.</t>
  </si>
  <si>
    <t>Geburt des Unheils</t>
  </si>
  <si>
    <t>Physische Stärke erhöht, Basis 30, zusätzlicher Bonus 10%.
Erhält automatischen Heilungseffekt, und erhöht den Effekt der physischen Stärke-Wiederherstellung um 25%</t>
  </si>
  <si>
    <t>Khởi Nguồn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</si>
  <si>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</si>
  <si>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</si>
  <si>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</si>
  <si>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</si>
  <si>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</si>
  <si>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</si>
  <si>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</si>
  <si>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</si>
  <si>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</si>
  <si>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</si>
  <si>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</si>
  <si>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</si>
  <si>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</si>
  <si>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Зняті трусики Сестри</t>
  </si>
  <si>
    <t>Відновлення ОЗ, коли воно нижче половини</t>
  </si>
  <si>
    <t>Снятые трусики Имоуто</t>
  </si>
  <si>
    <t xml:space="preserve">При ОЗ &lt; 50% включается авто-восстановление
</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</si>
  <si>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</si>
  <si>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</si>
  <si>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</si>
  <si>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</si>
  <si>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</si>
  <si>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</si>
  <si>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</si>
  <si>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</si>
  <si>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</si>
  <si>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性欲が増し、全属性が10%増加します</t>
  </si>
  <si>
    <t>Girl's smile</t>
  </si>
  <si>
    <t>All attributes are increased by 10%
Sexual desire is increased</t>
  </si>
  <si>
    <t>Sonrisa de chica</t>
  </si>
  <si>
    <t>성적 욕구가 증가하고 모든 속성 10% 상승</t>
  </si>
  <si>
    <t>Дівчача посмішка</t>
  </si>
  <si>
    <t>Бажання збільшено, всі характеристики підвищено</t>
  </si>
  <si>
    <t>Девичья улыбка</t>
  </si>
  <si>
    <t>Желание увеличено, все характеристики повышены</t>
  </si>
  <si>
    <t>Lächeln des Mädchens</t>
  </si>
  <si>
    <t>Alle Attribute werden um 10 % gesteigert und das sexuelle Verlangen wird erhöht.</t>
  </si>
  <si>
    <t>Nụ cười của em gái</t>
  </si>
  <si>
    <t>Tất cả các thuộc tính đều tăng 10%
Ham muốn tình dục tăng lên</t>
  </si>
  <si>
    <t>O sorriso de uma garota</t>
  </si>
  <si>
    <t>Todos os atributos são aumentados por 10%
Desejo sexual é aumentado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</si>
  <si>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</si>
  <si>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</si>
  <si>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</si>
  <si>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</si>
  <si>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</si>
  <si>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</si>
  <si>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</si>
  <si>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</si>
  <si>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Милість Святої Діви</t>
  </si>
  <si>
    <t>Магічна шкода: 20
Фізичний захист: 2
Опір магії: 40
Входить у "Режим мудреця"
Збільшується прихильність від погладжування по голові</t>
  </si>
  <si>
    <t>Милость Святой Девы</t>
  </si>
  <si>
    <t>Магический урон: 20
Защита: 2
Сопротивление магии: 40
(Мудрец. Особая привязанность)</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</si>
  <si>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</si>
  <si>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</si>
  <si>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</si>
  <si>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</si>
  <si>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</si>
  <si>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</si>
  <si>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深邃魔力晶簇</t>
  </si>
  <si>
    <t>魔攻：35
魔抗：20
加快吟唱、提升魔法威力上限</t>
  </si>
  <si>
    <t>深層魔晶クラスター</t>
  </si>
  <si>
    <t>魔法攻撃力：35
魔法耐性：20
詠唱速度が上昇し、最大魔法威力が上昇</t>
  </si>
  <si>
    <t>Abyssal Mana Cluster</t>
  </si>
  <si>
    <t>Magic attack: 35
Magic defense: 20
Boosts casting speed and magic power cap</t>
  </si>
  <si>
    <t>심연의 마력 수정체</t>
  </si>
  <si>
    <t>마법 공격력 : 35
마법 방어력 : 20
시전속도와 마법 관통력 상승</t>
  </si>
  <si>
    <t>Кластер мани безодні</t>
  </si>
  <si>
    <t>Магічна шкода: 35
Опір магії: 20
(Прискорює виголошення заклинань.
Збільшує максимальну магічну шкоду)</t>
  </si>
  <si>
    <t>Кластер маны бездны</t>
  </si>
  <si>
    <t>Магический урон: 35
Сопротивление магии: 20
(Ускоряет произнесение заклинаний.
Увеличивает максимальный магический урон)</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</si>
  <si>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</si>
  <si>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</si>
  <si>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</si>
  <si>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</si>
  <si>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</si>
  <si>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</si>
  <si>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精神凝聚頭環</t>
  </si>
  <si>
    <t>魔攻：1
魔抗：20
免疫暈眩、增強魔法輸出和魔法範圍</t>
  </si>
  <si>
    <t>精神凝縮の髪飾り</t>
  </si>
  <si>
    <t>魔法攻撃力: 1
魔法耐性: 20
スタン耐性、魔法ダメージ出力と魔法射程が増加</t>
  </si>
  <si>
    <t>Focus Circlet</t>
  </si>
  <si>
    <t>Magic attack: 1
Magic defense: 20
Grants immunity to stun
Enhances magic power and casting range</t>
  </si>
  <si>
    <t>정신 집중 머리띠</t>
  </si>
  <si>
    <t>마법 공격력 : 1
기절 면역, 마법 관통력 상승, 시전 범위 증가</t>
  </si>
  <si>
    <t>Пов'язка зосередження</t>
  </si>
  <si>
    <t>Магічна шкода: 1
Опір магії: 20
(Імунітет до оглушення.
Збільшує завдану магічну шкоду і дальність дії магії)</t>
  </si>
  <si>
    <t>Повязка сосредоточения</t>
  </si>
  <si>
    <t>Магический урон: 1
Сопротивление магии: 20
(Иммунитет к оглушению.
Увеличивает наносимый магический урон и дальность действия магии)</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</si>
  <si>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</si>
  <si>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</si>
  <si>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</si>
  <si>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</si>
  <si>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</si>
  <si>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</si>
  <si>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魔力汲取手套</t>
  </si>
  <si>
    <t>物攻：3
魔攻：10
物防：1
魔抗：20
武器附帶魔法傷害</t>
  </si>
  <si>
    <t>魔力吸収の手袋</t>
  </si>
  <si>
    <t>物理攻撃力: 3
魔法攻撃力: 10
物理防御力: 1
魔法耐性: 20
武器が追加の魔法ダメージを与えます</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</si>
  <si>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</si>
  <si>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</si>
  <si>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</si>
  <si>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</si>
  <si>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Рукавички насичені маною</t>
  </si>
  <si>
    <t>Фізична шкода: 3
Магічна шкода: 10
Захист: 1
Опір магії: 20
(Зброя завдає додаткової магічної шкоди)</t>
  </si>
  <si>
    <t>Перчатки напитанные маной</t>
  </si>
  <si>
    <t>Физический урон: 3
Магический урон: 10
Защита: 1
Сопротивление магии: 20
(Оружие наносит доп. магический урон)</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</si>
  <si>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</si>
  <si>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</si>
  <si>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</si>
  <si>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</si>
  <si>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</si>
  <si>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</si>
  <si>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 xml:space="preserve">
永凍結晶</t>
  </si>
  <si>
    <t>物防：5
魔抗：75
免疫炎上和中暑狀態、打破敵人的凍結狀態時增傷</t>
  </si>
  <si>
    <t>永凍結晶</t>
  </si>
  <si>
    <t>物理防御力: 5
魔法耐性: 75</t>
  </si>
  <si>
    <t>Permafrost Crystal</t>
  </si>
  <si>
    <t xml:space="preserve">Physical defense: 5
Magic defense: 75
Grants immunity to Burning and Heatstroke status ailments
Increases Shatter damage when hitting enemies on Frozen state
</t>
  </si>
  <si>
    <t>永冻结晶</t>
  </si>
  <si>
    <t>物防：5
魔抗：75
免疫炎上和中暑状态、打破敌人的冻结状态时增伤</t>
  </si>
  <si>
    <t>Кристал вічної мерзлоти</t>
  </si>
  <si>
    <t>Захист: 5
Опір магії: 75</t>
  </si>
  <si>
    <t>Кристалл вечной мерзлоты</t>
  </si>
  <si>
    <t>Защита: 5
Сопротивление магии: 75</t>
  </si>
  <si>
    <t>Tinh Thể Băng Vĩnh Cửu</t>
  </si>
  <si>
    <t xml:space="preserve">Phòng thủ vật lý: 5
Kháng ma thuật: 75
Miễn nhiễm trạng thái Thiêu Đốt và Sốc Nhiệt
Tăng sát thương phá băng khi phá vỡ trạng thái Đóng Băng của kẻ địch
</t>
  </si>
  <si>
    <t>Cristal Permafrost</t>
  </si>
  <si>
    <t>Defesa física: 5
Defesa mágica: 75
Concede imunidade aos efeitos de Queimadura e Insolação
Aumenta o dano de Estilhaçar ao atingir inimigos congelados</t>
  </si>
  <si>
    <t>紅髓玉吊墜</t>
  </si>
  <si>
    <t>魔攻：20
魔防：45
1.降低魔法武器的耐久消耗(可疊加)
2.依照"天上石碎片"的數量，每個碎片提升10魔法攻擊數值(多件裝備無法疊加效果)</t>
  </si>
  <si>
    <t>紅髄玉のペンダント</t>
  </si>
  <si>
    <t xml:space="preserve">魔法攻撃：20
魔法防御：45
1.魔法武器の耐久消耗を減少させる（重複可能）
2.「天上石の欠片」の数に応じて、欠片1つにつき魔法攻撃力が10上昇する（複数装備しても効果は重複しない）
</t>
  </si>
  <si>
    <t>Rubrum Pendant</t>
  </si>
  <si>
    <t>Magic attack: 20
Magic defense: 45
1. Reduces the durability consumption of magic weapons by 24% (stackable)
2. Increases magic attack by 10 based on how much Philosopher's Fragment you have
Effects are unique. Non-stackable.</t>
  </si>
  <si>
    <t>Кулон Рубрум</t>
  </si>
  <si>
    <t>Магічна шкода: 20
Опір магії: 45
1. Зменшує витрати міцності магічної зброї на 24%. (можна нарощувати)
2. Збільшує значення магічної шкоди в залежності від кількості "Фрагментів Філософського каменю" (кожен фрагмент збільшує значення на 10).
Ефекти є унікальними. Не накопичуються.</t>
  </si>
  <si>
    <t>Магический урон: 20
Сопротивление магии: 45
1. Уменьшает расход прочности магического оружия на 24%. (можно наращивать)
2. Увеличивает значение магической атаки в зависимости от количества «Фрагментов Философского камня» (каждый фрагмент увеличивает значение на 10).
Эффекты уникальны. Не накапливаются.</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</si>
  <si>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</si>
  <si>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</si>
  <si>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Kháng ma thuật: 45
1. Giảm 24% độ bền tiêu hao của vũ khí ma thuật (cộng dồn được)
2. Tăng 10 sát thương ma thuật dựa trên số Mảnh Hiền Triết bạn có
Chức năng của vũ khí này là "Độc nhất" và 
không cộng dồn với các hiệu ứng cùng loại</t>
  </si>
  <si>
    <t>Pingente Rubrum</t>
  </si>
  <si>
    <t>Ataque Mágico: 20
Defesa Mágica: 45
1. Reduz o consumo da durabilidade das armas mágicas (acumulável)
2. Aumenta o ataque mágico baseado em quantos fragmentos da Pedra do Filósofo você tiver (Cada fragmento dá +10 de ataque mágico)</t>
  </si>
  <si>
    <t>惡魔眼球</t>
  </si>
  <si>
    <t>魔攻:6
魔防:40
裝備時可以解除部分怪物資訊的馬賽克
可以於部分SLG事件中，觀看動畫的X光透視效果</t>
  </si>
  <si>
    <t>悪魔の眼球</t>
  </si>
  <si>
    <t xml:space="preserve">
魔法攻撃力:6
魔法防御力:40
装備すると、一部のモンスターの情報のモザイクを解除できます。
一部のSLGイベントでは、アニメーションの透視図を見ることができる
</t>
  </si>
  <si>
    <t>Demon Eyeball</t>
  </si>
  <si>
    <t xml:space="preserve">Magic attack: 6
Magic defense: 40
High durability
When equipped, some mosaic/censored monster information is removed.
Allows the cross-section/x-ray function in certain SLG sex events.
</t>
  </si>
  <si>
    <t>Демонічне око</t>
  </si>
  <si>
    <t>Магічна шкода: 6
Опір магії: 40
Коли екіпіровано, деяка мозаїчна/цензурована інформація про монстрів стає видимою.
Ви можете спостерігати ефект "рентгена" у анімацій у деяких подіях SLG)</t>
  </si>
  <si>
    <t>Демонический глаз</t>
  </si>
  <si>
    <t>Магический урон: 6
Сопротивление магии: 40
(Когда экипировано, вы сможете разблокировать некоторую информацию о монстрах.
Вы можете наблюдать эффект "рентгена" у анимаций в некоторых событиях SLG)</t>
  </si>
  <si>
    <t>Dämonenauge</t>
  </si>
  <si>
    <t>Magischer Angriff: 6
Magische Verteidigung: 40
Beim Ausrüsten können Teile der Monsterinformationen freigegeben werden
In bestimmten SLG-Ereignissen kann der Röntgen-Durchsicht-Effekt der Animation angesehen werden</t>
  </si>
  <si>
    <t>Ma Nhãn</t>
  </si>
  <si>
    <t>Sát thương ma thuật: 6
Kháng ma thuật: 40
Đeo trang bị này sẽ loại bỏ một số hiệu ứng pixel ở quái.
Nó cũng cho bạn xem hiệu ứng X-ray của animation trong một số sự kiện SLG</t>
  </si>
  <si>
    <t>Olho Demoníaco</t>
  </si>
  <si>
    <t xml:space="preserve">Ataque Mágico: 6
Defesa Mágica: 40
Equipar este item remove parte da pixelização das informações dos monstros.
Também permite visualizar o efeito de raio-X das animações em certos eventos de SLG.
</t>
  </si>
  <si>
    <t>◉▽◉(粉色)</t>
  </si>
  <si>
    <t>投擲攻擊
遇水消失、會被擊殺
幸運：40</t>
  </si>
  <si>
    <t>◉▽◉(ピンク)</t>
  </si>
  <si>
    <t xml:space="preserve">
投擲攻撃
水に当たると消滅し、撃破される
幸運：40</t>
  </si>
  <si>
    <t>◉▽◉ (Pink)</t>
  </si>
  <si>
    <t>Throwable weapon
Disappears upon contact with water
Luck: 40</t>
  </si>
  <si>
    <t>◉▽◉(Рожевий)</t>
  </si>
  <si>
    <t>Удача: 40
Мітальна атака.
Зникає при контакті з водою і може бути убитий.</t>
  </si>
  <si>
    <t>◉▽◉(Розовый)</t>
  </si>
  <si>
    <t>Удача: 40
Метательная атака.
Исчезает при контакте с водой и может быть убит.</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</si>
  <si>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</si>
  <si>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</si>
  <si>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</si>
  <si>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</si>
  <si>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</si>
  <si>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</si>
  <si>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 xml:space="preserve">Легендарний	</t>
  </si>
  <si>
    <t>未滿的黃金聖杯</t>
  </si>
  <si>
    <t>幸運:100
掉落拾取的金錢數量翻倍
(不可以和存錢罐連動)</t>
  </si>
  <si>
    <t>未満の黄金聖杯</t>
  </si>
  <si>
    <t>幸運: 100 
ドロップで拾えるお金の量が2倍になります。
(貯金箱との併用はできません)</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</si>
  <si>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</si>
  <si>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</si>
  <si>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</si>
  <si>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</si>
  <si>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</si>
  <si>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Незавершений Святий Грааль</t>
  </si>
  <si>
    <t>Удача: 100
(Подвоює кількість грошей, які ви отримуєте з предметів, що випадають.
(Не може бути поєднано зі свинкою-скарбничкою))</t>
  </si>
  <si>
    <t>Незавершенный Святой Грааль</t>
  </si>
  <si>
    <t>Удача: 100
(Удваивает количество денег, которые вы получаете из выпадающих предметов.
(Не может быть объединено с свинкой-копилкой))</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</si>
  <si>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</si>
  <si>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</si>
  <si>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</si>
  <si>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</si>
  <si>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</si>
  <si>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</si>
  <si>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</si>
  <si>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</si>
  <si>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 xml:space="preserve">        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</si>
  <si>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</si>
  <si>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</si>
  <si>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</si>
  <si>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Королівський указ</t>
  </si>
  <si>
    <t>Збільшує розмір та можливості Слуги, покращує всі характеристики.
Лютий Кулак - збільшує шкоду і дальність відкидання.
Отруйний Ніж збільшує шанс отруєння.
Копійка — міцніша.
Жадібна Скарбничка — збільшує дальність виявлення та дальність дії аури.
Проклята Рука Ксеріса покращує ефекти дебаффів і робить пальці пікселізованими (поки не реалізовано).
◉▽◉ — збільшує розмір та шкоду, додає ефект відкидання (ефект відкидання не підсумовується).
(Чайка в даний час не підтримується)
*Предмет з Гачі</t>
  </si>
  <si>
    <t>Королевский указ</t>
  </si>
  <si>
    <t>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Ксериса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
*Предмет из Гачи</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</si>
  <si>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</si>
  <si>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</si>
  <si>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</si>
  <si>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</si>
  <si>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</si>
  <si>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</si>
  <si>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貪欲存錢罐</t>
  </si>
  <si>
    <t xml:space="preserve">幸運：100
撿錢、瑪門光環、堅不可摧、移動加快
</t>
  </si>
  <si>
    <t>貪欲な貯金箱</t>
  </si>
  <si>
    <t>幸運：100（幸運ステータスには、金策、マモンオーラ、無敵、移動速度上昇などが含まれます）</t>
  </si>
  <si>
    <t>Greedy Piggy Bank</t>
  </si>
  <si>
    <t xml:space="preserve">행운 : 100
돈 자동 습득, 마몬 아우라, 파괴 불가(부서지지 않음), 이동속도 증가
</t>
  </si>
  <si>
    <t>Жадібна свинка-скарбничка</t>
  </si>
  <si>
    <t>Удача: 100
(До характеристик, що підвищують удачу, відносяться: знаходження грошей, аура Маммона, невразливість, підвищена швидкість пересування)</t>
  </si>
  <si>
    <t>Жадная свинка-копилка</t>
  </si>
  <si>
    <t>Удача: 100
(К характеристикам, повышающим удачу, относятся: нахождение денег, аура Маммона, неуязвимость, повышенная скорость передвижения)</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</si>
  <si>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</si>
  <si>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</si>
  <si>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</si>
  <si>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</si>
  <si>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</si>
  <si>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</si>
  <si>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</si>
  <si>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</si>
  <si>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</si>
  <si>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</si>
  <si>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</si>
  <si>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</si>
  <si>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Каталізатор Аматорія</t>
  </si>
  <si>
    <t>Значно збільшує прихильність, що отримується від дотиків.
(Один дотик збільшує прихильність на одне очко).
※ Читерський предмет.
(Будь ласка, ознайомтеся з Tips)</t>
  </si>
  <si>
    <t>Катализатор Аматория</t>
  </si>
  <si>
    <t>Значительно увеличивает привязанность, получаемую от прикосновений.
(Одно касание увеличивает привязанность на одно очко).
※ Читерский предмет.
(Пожалуйста, ознакомьтесь с Tips)</t>
  </si>
  <si>
    <t>Katalysator der Liebe</t>
  </si>
  <si>
    <t>Cheat Ausrüstung
Erhöht beim Tragen die max Herzanzahl um 1 (rotes Herz), wenn der Imouto (kleinen Schwester) Kopfstreicheln gegeben wird</t>
  </si>
  <si>
    <t>Ái Thần Dâng Trào</t>
  </si>
  <si>
    <t>Thêm 1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</si>
  <si>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</si>
  <si>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</si>
  <si>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</si>
  <si>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</si>
  <si>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</si>
  <si>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</si>
  <si>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</si>
  <si>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</si>
  <si>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Абсолютна територія</t>
  </si>
  <si>
    <t>Опір магії: 169
Удача: 69
(Місткість зброї та екіпірування +99)
※ Читерський предмет.
(Будь ласка, ознайомтеся з Tips)</t>
  </si>
  <si>
    <t>Абсолютная территория</t>
  </si>
  <si>
    <t>Сопротивление магии: 169
Удача: 69
(Вместимость оружия и экипировки +99)
※ Читерский предмет.
(Пожалуйста, ознакомьтесь с Tips)</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</si>
  <si>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</si>
  <si>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</si>
  <si>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</si>
  <si>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</si>
  <si>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</si>
  <si>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</si>
  <si>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</si>
  <si>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</si>
  <si>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</si>
  <si>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</si>
  <si>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</si>
  <si>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</si>
  <si>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Аптечка Міо</t>
  </si>
  <si>
    <t>Відновлює здоров'я за секунду.
※ Читерський предмет.
(Будь ласка, ознайомтеся з Tips)</t>
  </si>
  <si>
    <t>Аптечка Мио</t>
  </si>
  <si>
    <t xml:space="preserve">Восстанавливает всё здоровье за секунду.
※ Читерский предмет.
(Пожалуйста, ознакомьтесь с Tips)
</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</si>
  <si>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</si>
  <si>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</si>
  <si>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</si>
  <si>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</si>
  <si>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</si>
  <si>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</si>
  <si>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</si>
  <si>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</si>
  <si>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</si>
  <si>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</si>
  <si>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Чарівний молоточок Руїки</t>
  </si>
  <si>
    <t>Збільшує кількість грошей та шанс випадання предметів.
※ Читерський предмет.
(Будь ласка, ознайомтеся з Tips)</t>
  </si>
  <si>
    <t>Волшебный молоточек Руики</t>
  </si>
  <si>
    <t>Увеличивает количество денег и шанс выпадения предметов.
※ Читерский предмет.
(Пожалуйста, ознакомьтесь с Tips)</t>
  </si>
  <si>
    <t>Búa May Mắn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</si>
  <si>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</si>
  <si>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</si>
  <si>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</si>
  <si>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</si>
  <si>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</si>
  <si>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</si>
  <si>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</si>
  <si>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</si>
  <si>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</si>
  <si>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Золотий палець Широїна</t>
  </si>
  <si>
    <t>Зброя більше не ламається під час атак.
※ Читерський предмет.
(Будь ласка, ознайомтеся з Tips)</t>
  </si>
  <si>
    <t>Золотой палец Широина</t>
  </si>
  <si>
    <t>Оружие больше не ломается при атаках.
※ Читерский предмет.
(Пожалуйста, ознакомьтесь с Tips)</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</si>
  <si>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</si>
  <si>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</si>
  <si>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</si>
  <si>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</si>
  <si>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妖精女王的晶翼</t>
  </si>
  <si>
    <t>魔攻: 52+額外33%
魔防: 120+額外50%
幸運: 77
免疫墜落傷害、最終受到的傷害降低60%
※此為作弊神器，請參考TIPS</t>
  </si>
  <si>
    <t>Fairy Queen's Crystal Wings</t>
  </si>
  <si>
    <t>Magic attack: 52 + additional 33%
Magic defense: 120 + additional 50%
Luck: 77
Grants immunity to fall damage and significantly reduces all other damage types
*This item is a cheat item. Please refer to TIPS on how to obtain it</t>
  </si>
  <si>
    <t>Кришталеві крила Королеви фей</t>
  </si>
  <si>
    <t>Магічна шкода: 52 + 33%
Опір магії: 120 + 50%
Удача: 77
Даёт иммунитет к урону при падении и значительно снижает все другие виды урона
※ Читерский предмет.
(Пожалуйста, ознакомьтесь с Tips)</t>
  </si>
  <si>
    <t>Хрустальные крылья Королевы фей</t>
  </si>
  <si>
    <t>Магический урон: 52 + 33%
Сопротивление магии: 120 + 50%
Удача: 77
Даёт иммунитет к урону при падении и значительно снижает все другие виды урона
※ Читерский предмет.
(Пожалуйста, ознакомьтесь с Tips)</t>
  </si>
  <si>
    <t>Đôi Cánh Pha Lê Của Nữ Hoàng Tiên</t>
  </si>
  <si>
    <t>Sát thương na thuật: 52 + thêm 33%
Kháng ma thuật: 120 + thêm 50%
May mắn: 77
Nhận miễn nhiễm sát thương rơi và giảm đáng kể tất cả các loại sát thương khác
※ Vật phẩm này là vật phẩm gian lận. Vui lòng tham khảo phần TIPS để biết cách nhận được</t>
  </si>
  <si>
    <t>Asas de Cristal da Rainha das Fadas</t>
  </si>
  <si>
    <t>Ataque mágico: 52 + 33% adicionais
Defesa mágica: 120 + 50% adicionais
Sorte: 77
Concede imunidade a dano de queda e reduz significativamente todos os outros tipos de dano
*Este item é um item de trapaça. Consulte as TIPs para saber como obtê-lo</t>
  </si>
  <si>
    <t>道具名稱</t>
  </si>
  <si>
    <t>效果</t>
  </si>
  <si>
    <t>Efectos</t>
  </si>
  <si>
    <t>Предмет</t>
  </si>
  <si>
    <t>Ефект</t>
  </si>
  <si>
    <t>Эффект</t>
  </si>
  <si>
    <t>Itemname</t>
  </si>
  <si>
    <t>Auswirkungen</t>
  </si>
  <si>
    <t>Vật phẩm</t>
  </si>
  <si>
    <t>Tác dụng</t>
  </si>
  <si>
    <t>Nome</t>
  </si>
  <si>
    <t>Efeito</t>
  </si>
  <si>
    <t>Nama Item</t>
  </si>
  <si>
    <t>Efek</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</si>
  <si>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</si>
  <si>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</si>
  <si>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</si>
  <si>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</si>
  <si>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</si>
  <si>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</si>
  <si>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</si>
  <si>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</si>
  <si>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Смачне молоко</t>
  </si>
  <si>
    <t>Відновлює 120 ОЗ.
Ефект автоматичного відновлення ОЗ.</t>
  </si>
  <si>
    <t>Вкусное молоко</t>
  </si>
  <si>
    <t>Восстанавливает 120 ОЗ.
Эффект автоматического восстановления ОЗ.</t>
  </si>
  <si>
    <t>Köstliche Milch</t>
  </si>
  <si>
    <t>Stellt 120 HP wieder her
Kontinuierliche HP-Regeneration</t>
  </si>
  <si>
    <t>Sữa Ngon Cực Kì</t>
  </si>
  <si>
    <t>Hồi phục 120 HP
Hồi phục HP liên tục</t>
  </si>
  <si>
    <t>Leite Delicioso</t>
  </si>
  <si>
    <t>Recupera 120 PV=HP
Continuamente recupera PV</t>
  </si>
  <si>
    <t>Susu Lezat</t>
  </si>
  <si>
    <t>Memulihkan 120 HP
Regenerasi HP berkelanjutan</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</si>
  <si>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</si>
  <si>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</si>
  <si>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</si>
  <si>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</si>
  <si>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</si>
  <si>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</si>
  <si>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</si>
  <si>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</si>
  <si>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Морквяне молоко</t>
  </si>
  <si>
    <t>Відновлює 75 ОЗ.
Знімає дебаффи.</t>
  </si>
  <si>
    <t>Морковное молоко</t>
  </si>
  <si>
    <t>Восстанавливает 75 ОЗ.
Снимает дебаффы.</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</si>
  <si>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</si>
  <si>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</si>
  <si>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</si>
  <si>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</si>
  <si>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</si>
  <si>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</si>
  <si>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Susu Wortel</t>
  </si>
  <si>
    <t>Memulihkan 75 HP
Secara acak menyembuhkan 1 kegagalan status</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</si>
  <si>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</si>
  <si>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</si>
  <si>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</si>
  <si>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</si>
  <si>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</si>
  <si>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</si>
  <si>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</si>
  <si>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</si>
  <si>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Полуничне молоко</t>
  </si>
  <si>
    <t>Відновлює 75 ОЗ.
Збільшує атаку на 50%.</t>
  </si>
  <si>
    <t>Клубничное молоко</t>
  </si>
  <si>
    <t>Восстанавливает 75 ОЗ.
Увеличивает атаку на 50%.</t>
  </si>
  <si>
    <t>Erdbeermilch</t>
  </si>
  <si>
    <t>Stellt 75 HP wieder her
Physischer Angriff um 50 % erhöht</t>
  </si>
  <si>
    <t>Sữa Dâu</t>
  </si>
  <si>
    <t>Hồi phục 75 HP
Sát thương vật lý tăng 50%</t>
  </si>
  <si>
    <t>Leite de Morango</t>
  </si>
  <si>
    <t>Recupera 75 PV
Ataque físico aumenta em 50%</t>
  </si>
  <si>
    <t>Susu Stroberi</t>
  </si>
  <si>
    <t>Memulihkan 75 HP
Serangan fisik meningkat sebesar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</si>
  <si>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</si>
  <si>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</si>
  <si>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</si>
  <si>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</si>
  <si>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</si>
  <si>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</si>
  <si>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</si>
  <si>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</si>
  <si>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</si>
  <si>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Динне молоко</t>
  </si>
  <si>
    <t>Відновлює 75 ОЗ.
Збільшує магічну шкоду на 50%.</t>
  </si>
  <si>
    <t>Дынное молоко</t>
  </si>
  <si>
    <t>Восстанавливает 75 ОЗ.
Увеличивает магический урон на 50%.</t>
  </si>
  <si>
    <t>Melonenmilch</t>
  </si>
  <si>
    <t>Stellt 75 HP wieder her
Magischer Angriff um 50 % erhöht</t>
  </si>
  <si>
    <t>Sữa Dưa Lưới</t>
  </si>
  <si>
    <t>Hồi phục 75 HP
Sát thương ma thuật tăng 50%</t>
  </si>
  <si>
    <t>Leite de Melão</t>
  </si>
  <si>
    <t>Recupera 75 PV
Ataque mágico aumenta em 50%</t>
  </si>
  <si>
    <t>Susu Melon</t>
  </si>
  <si>
    <t>Memulihkan 75 HP
Serangan sihir meningkat sebesar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</si>
  <si>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</si>
  <si>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</si>
  <si>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</si>
  <si>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</si>
  <si>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</si>
  <si>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</si>
  <si>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</si>
  <si>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</si>
  <si>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Бананове молоко</t>
  </si>
  <si>
    <t>Відновлює 75 ОЗ.
Збільшує швидкість пересування.</t>
  </si>
  <si>
    <t>Банановое молоко</t>
  </si>
  <si>
    <t>Восстанавливает 75 ОЗ.
Увеличивает скорость передвижения.</t>
  </si>
  <si>
    <t>Bananenmilch</t>
  </si>
  <si>
    <t>Stellt 75 HP wieder her
Erhöht Bewegungsgeschwindigkeit</t>
  </si>
  <si>
    <t>Sữa Chuối</t>
  </si>
  <si>
    <t>Hồi phục 75 HP
Tăng tốc độ di chuyển</t>
  </si>
  <si>
    <t>Leite de Banana</t>
  </si>
  <si>
    <t>Recupera 75 PV
Aumenta a velocidade de movimento</t>
  </si>
  <si>
    <t>Susu Pisang</t>
  </si>
  <si>
    <t>Memulihkan 75 HP
Meningkatkan kecepatan gerakan</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</si>
  <si>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</si>
  <si>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</si>
  <si>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</si>
  <si>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</si>
  <si>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</si>
  <si>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</si>
  <si>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</si>
  <si>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</si>
  <si>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Шоколадне молоко</t>
  </si>
  <si>
    <t>Відновлює 78 ОЗ.
Дає ефект невразливості. (Поки що не реалізовано)</t>
  </si>
  <si>
    <t>Шоколадное молоко</t>
  </si>
  <si>
    <t>Восстанавливает 78 ОЗ.
Даёт эффект неуязвимости. (Пока не реализовано)</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</si>
  <si>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</si>
  <si>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</si>
  <si>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</si>
  <si>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</si>
  <si>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</si>
  <si>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Susu Cokelat</t>
  </si>
  <si>
    <t>Memulihkan 78 HP
Memberikan Super Armor
(belum diimplementasikan)</t>
  </si>
  <si>
    <t>杰克爆彈</t>
  </si>
  <si>
    <t>炸彈(無視防禦)</t>
  </si>
  <si>
    <t>爆発する</t>
  </si>
  <si>
    <t>Jack Bomb</t>
  </si>
  <si>
    <t>Explosive Bomb (Ignores defense)</t>
  </si>
  <si>
    <t>Una Bomba (Ignora la defensa)</t>
  </si>
  <si>
    <t>잭 폭탄</t>
  </si>
  <si>
    <t>Бомба Джека</t>
  </si>
  <si>
    <t>Бомба (ігнорує захист)</t>
  </si>
  <si>
    <t>Бомба (игнорирует защиту).</t>
  </si>
  <si>
    <t>Jacks Bombe</t>
  </si>
  <si>
    <t>Explosionsbombe (Ignoriert Verteidigung)</t>
  </si>
  <si>
    <t>Bom nổ (Bỏ qua phòng thủ)</t>
  </si>
  <si>
    <t>Bomba Jack</t>
  </si>
  <si>
    <t>Bomba explosiva(ignora defesa)</t>
  </si>
  <si>
    <t>Bom Jack</t>
  </si>
  <si>
    <t>Bom Peledak (Mengabaikan pertahanan)</t>
  </si>
  <si>
    <t>橡膠鴨</t>
  </si>
  <si>
    <t>回家洗澡時可放入</t>
  </si>
  <si>
    <t>ゴム製アヒル</t>
  </si>
  <si>
    <t>家に帰ってお風呂に入るときに入れることができる</t>
  </si>
  <si>
    <t>Rubber Ducky</t>
  </si>
  <si>
    <t>Shows up in the bath tub once you get home</t>
  </si>
  <si>
    <t>橡胶鸭</t>
  </si>
  <si>
    <t>回家洗澡时可放入</t>
  </si>
  <si>
    <t>Aparece en la hora del baño cuando llegas a casa</t>
  </si>
  <si>
    <t>Гумова качечка</t>
  </si>
  <si>
    <t>Гумова качечка з'явиться у ванні при поверненні додому.</t>
  </si>
  <si>
    <t>Резиновая уточка</t>
  </si>
  <si>
    <t>Резиновая уточка появится в ванне при возвращении домой.</t>
  </si>
  <si>
    <t>Kann beim Baden ins Wasser gelegt werden</t>
  </si>
  <si>
    <t>Vịt Cao Su</t>
  </si>
  <si>
    <t>Xuất hiện ở trong bồn tắm khi bạn về đến nhà</t>
  </si>
  <si>
    <t>Pato de Borracha</t>
  </si>
  <si>
    <t>Ele pode ser colocado na banheira quando você toma banho</t>
  </si>
  <si>
    <t>Bebek Karet</t>
  </si>
  <si>
    <t>bisa ditaruh di bathtub</t>
  </si>
  <si>
    <t>拍立得1~8</t>
  </si>
  <si>
    <t>查看優質照片</t>
  </si>
  <si>
    <t>エッチな写真を見る事が出来る</t>
  </si>
  <si>
    <t>Polaroid 1~8</t>
  </si>
  <si>
    <t>Lets you view quality illustrations</t>
  </si>
  <si>
    <t>Te permite ver ilustraciones de calidad</t>
  </si>
  <si>
    <t>Полароїди NLCH (1-8)</t>
  </si>
  <si>
    <t>Еротичні фотографії високої якості</t>
  </si>
  <si>
    <t>Полароиды NLCH (1-8)</t>
  </si>
  <si>
    <t>Эротические фотографии высокого качества.</t>
  </si>
  <si>
    <t>Polaroid-Fotos 1–8</t>
  </si>
  <si>
    <t>Erlaubt das Anschauen hochwertiger Illustrationen</t>
  </si>
  <si>
    <t>Cho phép bạn xem hình ảnh minh họa chất lượng</t>
  </si>
  <si>
    <t>Deixa você ver ilustrações de qualidade</t>
  </si>
  <si>
    <t>Memungkinkan Anda melihat ilustrasi berkualitas.</t>
  </si>
  <si>
    <t>茶會拍立得收藏集</t>
  </si>
  <si>
    <t>完成後提升幸運值</t>
  </si>
  <si>
    <t>ポラロイドコレクション</t>
  </si>
  <si>
    <t>完成すると、幸運値が上昇する！</t>
  </si>
  <si>
    <t>NLCH Polaroid Album</t>
  </si>
  <si>
    <t>Luck increases after completing it</t>
  </si>
  <si>
    <t>Aumenta la suerte al completarlo</t>
  </si>
  <si>
    <t>Альбом полароїдів</t>
  </si>
  <si>
    <t>Удача назавжди підвищується.</t>
  </si>
  <si>
    <t>Альбом полароидов</t>
  </si>
  <si>
    <t>Удача навсегда повышается.</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</si>
  <si>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</si>
  <si>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</si>
  <si>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</si>
  <si>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</si>
  <si>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</si>
  <si>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</si>
  <si>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Album Polaroid NLCH</t>
  </si>
  <si>
    <t>Keberuntungan meningkat setelah menyelesaikannya</t>
  </si>
  <si>
    <t>貓的罰單</t>
  </si>
  <si>
    <t>沒收金幣並且累積罪惡值</t>
  </si>
  <si>
    <t>浅羽の請求書</t>
  </si>
  <si>
    <t>お金を没収し、罪悪値を蓄積する...</t>
  </si>
  <si>
    <t>Neko's Fine Slip</t>
  </si>
  <si>
    <t>Confiscates money and increases sin value</t>
  </si>
  <si>
    <t>猫的罚单</t>
  </si>
  <si>
    <t>没收金币并累积罪恶值</t>
  </si>
  <si>
    <t>Te confisca la plata y aumenta el valor del pescado</t>
  </si>
  <si>
    <t>Підсунутий штраф від Неко</t>
  </si>
  <si>
    <t>Конфіскує гроші та підвищує ваш гріх</t>
  </si>
  <si>
    <t>Подсунутый штраф от Нэко</t>
  </si>
  <si>
    <t>Конфискует деньги и повышает ваш грех.</t>
  </si>
  <si>
    <t>Catgirl-Ticket</t>
  </si>
  <si>
    <t>Beschlagnahmt Geld und erhöht den Sündenwert</t>
  </si>
  <si>
    <t>Biên Lai Phạt Của Neko</t>
  </si>
  <si>
    <t>Tịch thu tiền và tăng giá trị tội lỗi</t>
  </si>
  <si>
    <t>Multa da Gata</t>
  </si>
  <si>
    <t>Confiscar yens e acumular pontos de pecado.</t>
  </si>
  <si>
    <t>Tiket Kucing</t>
  </si>
  <si>
    <t>Koin emas dan poin dosa yang terkumpul disita.</t>
  </si>
  <si>
    <t>逆流可樂</t>
  </si>
  <si>
    <t>(戰鬥效果未實裝)</t>
  </si>
  <si>
    <t>逆流コーラ</t>
  </si>
  <si>
    <t>(効果は未実装です)</t>
  </si>
  <si>
    <t>NLCH's Cola (L)</t>
  </si>
  <si>
    <t>(Combat effects not yet implemented)</t>
  </si>
  <si>
    <t>NLCH Cola</t>
  </si>
  <si>
    <t>(Efectos de combate sin implementarse)</t>
  </si>
  <si>
    <t>NLCH 콜라</t>
  </si>
  <si>
    <t>Кола NLCH (L)</t>
  </si>
  <si>
    <t>(Бойові ефекти поки що не реалізовані)</t>
  </si>
  <si>
    <t>(Боевые эффекты пока не реализованы).</t>
  </si>
  <si>
    <t>(Kampfeffekte noch nicht implementiert)</t>
  </si>
  <si>
    <t>Cola(L) NLCH</t>
  </si>
  <si>
    <t>(Hiệu ứng chiến đấu chưa được triển khai)</t>
  </si>
  <si>
    <t>Cola da NLCH</t>
  </si>
  <si>
    <t>(Efeitos de combate ainda não foram implementados)</t>
  </si>
  <si>
    <t>Cola NLCH</t>
  </si>
  <si>
    <t>(Efek pertempuran belum diimplementasikan)</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</si>
  <si>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</si>
  <si>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</si>
  <si>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</si>
  <si>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</si>
  <si>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</si>
  <si>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</si>
  <si>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</si>
  <si>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</si>
  <si>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Крижана бомба Джека</t>
  </si>
  <si>
    <t>Крижана бомба</t>
  </si>
  <si>
    <t>Ледяная бомба Джека</t>
  </si>
  <si>
    <t>Ледяная бомба.</t>
  </si>
  <si>
    <t>Jacks Frostbombe</t>
  </si>
  <si>
    <t>Eisbombe (Friert Gegner ein)</t>
  </si>
  <si>
    <t>Bom Băng
Đóng băng kẻ địch</t>
  </si>
  <si>
    <t>Bomba Jack Gélida</t>
  </si>
  <si>
    <t>Bomba gélida
Congela inimigos</t>
  </si>
  <si>
    <t>Bom Frost Jack</t>
  </si>
  <si>
    <t>Bom Es Membekukan Musuh</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</si>
  <si>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</si>
  <si>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</si>
  <si>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</si>
  <si>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</si>
  <si>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</si>
  <si>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</si>
  <si>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</si>
  <si>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</si>
  <si>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</si>
  <si>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Отруйна бомба Джека</t>
  </si>
  <si>
    <t>Отруйна бомба</t>
  </si>
  <si>
    <t>Ядовитая бомба Джека</t>
  </si>
  <si>
    <t>Отравленная бомба.</t>
  </si>
  <si>
    <t>Jacks Giftbombe</t>
  </si>
  <si>
    <t>Giftbombe (Vergiftet Gegner)</t>
  </si>
  <si>
    <t>Bom độc
Đầu độc mục tiêu</t>
  </si>
  <si>
    <t>Bomba Jack Venenosa</t>
  </si>
  <si>
    <t>Bomba venenosa
Envenena inimigos</t>
  </si>
  <si>
    <t>Bom Racun
Meracuni musuh</t>
  </si>
  <si>
    <t>藍輝石</t>
  </si>
  <si>
    <t>目前沒有兌換方式
(寶石)</t>
  </si>
  <si>
    <t>青輝石</t>
  </si>
  <si>
    <t>Blue Pyroxene</t>
  </si>
  <si>
    <t>This item currently has no way of being exchanged (gem)</t>
  </si>
  <si>
    <t>Piroxeno Azul</t>
  </si>
  <si>
    <t>Este item todavia no se puede conseguir (Gema)</t>
  </si>
  <si>
    <t>Синій сапфір</t>
  </si>
  <si>
    <t>Нині немає можливості обміняти (самоцвіти).</t>
  </si>
  <si>
    <t>Синий сапфир</t>
  </si>
  <si>
    <t>В настоящее время нет возможности обменять (самоцветы).</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</si>
  <si>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</si>
  <si>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</si>
  <si>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</si>
  <si>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</si>
  <si>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</si>
  <si>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Piroksen Biru</t>
  </si>
  <si>
    <t>Item ini saat ini tidak dapat ditukar (permata).</t>
  </si>
  <si>
    <t>銀坷拉</t>
  </si>
  <si>
    <t>誘餌/粉塵爆炸</t>
  </si>
  <si>
    <t>ギンケラ</t>
  </si>
  <si>
    <t>肥料/魔物をおびき寄せる</t>
  </si>
  <si>
    <t>Ginkela</t>
  </si>
  <si>
    <t>Fertilizer/Lures monsters</t>
  </si>
  <si>
    <t>Señuelo/Fertilizante de mounstros</t>
  </si>
  <si>
    <t>Гінкела</t>
  </si>
  <si>
    <t>Приманка для монстрів</t>
  </si>
  <si>
    <t>Гинкела</t>
  </si>
  <si>
    <t>Приманка для монстров.</t>
  </si>
  <si>
    <t>Dünger / Lockt Monster an</t>
  </si>
  <si>
    <t>Bạch quả</t>
  </si>
  <si>
    <t>Mồi nhử/Dụ quái vật</t>
  </si>
  <si>
    <t>Fertilizante/Atrae monstros</t>
  </si>
  <si>
    <t>Pupuk/Pancingan monster</t>
  </si>
  <si>
    <t>拍立得9~15</t>
  </si>
  <si>
    <t>Polaroid 9~15</t>
  </si>
  <si>
    <t>Полароїди NLCH (9-15)</t>
  </si>
  <si>
    <t>Полароиды NLCH (9-15)</t>
  </si>
  <si>
    <t>Polaroid-Fotos 9–15</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</si>
  <si>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</si>
  <si>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</si>
  <si>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</si>
  <si>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</si>
  <si>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</si>
  <si>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</si>
  <si>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</si>
  <si>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</si>
  <si>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Мана-гель</t>
  </si>
  <si>
    <t>Витратник для магії</t>
  </si>
  <si>
    <t>Расходник для магии.</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</si>
  <si>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</si>
  <si>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</si>
  <si>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</si>
  <si>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</si>
  <si>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</si>
  <si>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</si>
  <si>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Gel Ajaib Kecil</t>
  </si>
  <si>
    <t>Memperluas slot senjata dan perlengkapan
(Jumlah yang dibutuhkan meningkat setiap kali digunakan)</t>
  </si>
  <si>
    <t>壽司布丁</t>
  </si>
  <si>
    <t>飛向惡魔商店的位置</t>
  </si>
  <si>
    <t>アキの菓子店に向かって飛んでく</t>
  </si>
  <si>
    <t>Sushi Pudding</t>
  </si>
  <si>
    <t>Flies to mysterious shop's location</t>
  </si>
  <si>
    <t>Vuelves a la ubicacion de la tienda misteriosa</t>
  </si>
  <si>
    <t>Суші-пудинг</t>
  </si>
  <si>
    <t>Пошук магазину з Демоницею</t>
  </si>
  <si>
    <t>Суши-пудинг</t>
  </si>
  <si>
    <t>Поиск магазина с Демоницей.</t>
  </si>
  <si>
    <t>Fliegt zum Ort des geheimnisvollen Ladens</t>
  </si>
  <si>
    <t>Bay đến địa điểm cửa hàng bí ẩn</t>
  </si>
  <si>
    <t>Pudim de Sushi</t>
  </si>
  <si>
    <t>Voa para o local da loja misteriosa</t>
  </si>
  <si>
    <t>Puding Sushi</t>
  </si>
  <si>
    <t>Terbang menuju lokasi toko misterius</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</si>
  <si>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</si>
  <si>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</si>
  <si>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</si>
  <si>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</si>
  <si>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</si>
  <si>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</si>
  <si>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</si>
  <si>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</si>
  <si>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현재 사용하지 않음</t>
  </si>
  <si>
    <t>Вентилятор</t>
  </si>
  <si>
    <t>Предмет для події "Спека"
(Купується у Вантажівці NLCH)</t>
  </si>
  <si>
    <t>Предмет для события "Жара"
(Покупается в Грузовике NLCH).</t>
  </si>
  <si>
    <t>Blauer Strahlender Stein</t>
  </si>
  <si>
    <t>Aktuell ohne Funktion</t>
  </si>
  <si>
    <t>Quạt điện</t>
  </si>
  <si>
    <t>Một vật phẩm được yêu cầu cho sự kiện Trời Nóng
(Có thể được mua từ xe van bán đồ)</t>
  </si>
  <si>
    <t>Ventilador Elétrico</t>
  </si>
  <si>
    <t>Um item necessário para o evento Tempo Quente
(Pode ser comprado na loja van )</t>
  </si>
  <si>
    <t>Kipas Angin Listrik</t>
  </si>
  <si>
    <t>Barang yang dibutuhkan untuk acara Cuaca Panas
(Dapat dibeli dari mobil penjual otomatis)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</si>
  <si>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</si>
  <si>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</si>
  <si>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</si>
  <si>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</si>
  <si>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</si>
  <si>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</si>
  <si>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</si>
  <si>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</si>
  <si>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</si>
  <si>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Рожеве конпейто</t>
  </si>
  <si>
    <t>Доведення Імоуто до стану тічки; спричинить збудження у Курохи.
(Подія поки не додана)</t>
  </si>
  <si>
    <t>Розовое конпэйто</t>
  </si>
  <si>
    <t>Доведение Имоуто до состояния течки вызовет возбуждение у Курохи.
(Событие пока не добавлено)</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</si>
  <si>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</si>
  <si>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</si>
  <si>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</si>
  <si>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</si>
  <si>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</si>
  <si>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</si>
  <si>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Konpeito Merah Muda</t>
  </si>
  <si>
    <t>Membuat adik perempuan terangsang
Kakak laki-laki akan terangsang.
(Belum diimplementasikan untuk kakak laki-laki)</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</si>
  <si>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</si>
  <si>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</si>
  <si>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</si>
  <si>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</si>
  <si>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</si>
  <si>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</si>
  <si>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</si>
  <si>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</si>
  <si>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</si>
  <si>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Синє конпейто</t>
  </si>
  <si>
    <t>Викликає сонливість у Імоуто (можна поєднувати з м'ясними стравами).
Знижує рівень збудження у Курохи.
Дві штуки, прийняті Імоуто, миттєво викличуть у неї сонливість, і вона чудово виспиться вночі.</t>
  </si>
  <si>
    <t>Синее конпэйто</t>
  </si>
  <si>
    <t>Вызывает сонливость у Имоуто (можно сочетать с мясными блюдами).
Снижает уровень возбуждения у Курохи.
Две штуки, принятые Имоуто, мгновенно вызовут у неё сонливость, и она отлично выспится ночью.</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</si>
  <si>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</si>
  <si>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</si>
  <si>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</si>
  <si>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</si>
  <si>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</si>
  <si>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</si>
  <si>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Konpeito Biru</t>
  </si>
  <si>
    <t>Membuat adik perempuan mengantuk (Campur dengan hidangan daging)
Tingkat kegembiraan Onii-chan menurun
Memberikan ini kepada adik perempuanmu dua kali akan langsung membuatnya tertidur.
22:00 akan secara paksa memicu peristiwa tidur, dan kualitas tidurnya akan sangat baik.</t>
  </si>
  <si>
    <t>綠色金平糖</t>
  </si>
  <si>
    <t>效果未實裝</t>
  </si>
  <si>
    <t>グリーンの金平糖</t>
  </si>
  <si>
    <t>Green Konpeito</t>
  </si>
  <si>
    <t>Unimplemented</t>
  </si>
  <si>
    <t>Sin implementar</t>
  </si>
  <si>
    <t>녹색 별사탕</t>
  </si>
  <si>
    <t>Зелене конпейто</t>
  </si>
  <si>
    <t>(Цей ефект не було реалізовано)</t>
  </si>
  <si>
    <t>Зелёное конпэйто</t>
  </si>
  <si>
    <t>(Данный эффект не был реализован)</t>
  </si>
  <si>
    <t>Grüner Konpeitō</t>
  </si>
  <si>
    <t>Kẹo Konpeito Xanh Lá</t>
  </si>
  <si>
    <t>(Chưa triển khai)</t>
  </si>
  <si>
    <t>Konpeitō Verde</t>
  </si>
  <si>
    <t>Não implementado</t>
  </si>
  <si>
    <t>Konpeito Hijau</t>
  </si>
  <si>
    <t>超敏軟Q水饅頭</t>
  </si>
  <si>
    <t>於AKI商店購買
提升敏感度(效果未實裝)</t>
  </si>
  <si>
    <t>ビンカンぷにゅ饅</t>
  </si>
  <si>
    <t>アキの商店で購入
敏感度をアップ</t>
  </si>
  <si>
    <t>Springy Mizumanju</t>
  </si>
  <si>
    <t>Can be purchased from Aki's Sweet Shop.
When thrown to monsters, they will become enraged.
When fed to imouto, the effects are similar to the pink konpeito.
*The last effect is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</si>
  <si>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</si>
  <si>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</si>
  <si>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Пружинний мідзуман'ю</t>
  </si>
  <si>
    <t>Можна придбати в магазині солодощів Акі.
Якщо кинути монстрам, вони розлютяться.
Якщо згодувати Імото, ефекти схожі на рожевий конфейто.
*Ефекти ще не реалізовані</t>
  </si>
  <si>
    <t>Пружинистый мидзуманъю</t>
  </si>
  <si>
    <t>Приобретается у Аки.
(Повышает чувствительность)</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</si>
  <si>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</si>
  <si>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</si>
  <si>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</si>
  <si>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</si>
  <si>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</si>
  <si>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</si>
  <si>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Mizumanju yang lentur</t>
  </si>
  <si>
    <t>Dapat dibeli dari Toko Manisan Aki.
Saat dilempar ke monster, mereka akan menjadi marah.
Saat diberikan kepada imouto, efeknya mirip dengan konpeito merah muda.
*Efek belum diimplementasikan</t>
  </si>
  <si>
    <t>火菱石</t>
  </si>
  <si>
    <t>赤菱石</t>
  </si>
  <si>
    <t xml:space="preserve">
現在のところ、交換方法はありません。
（宝石）
</t>
  </si>
  <si>
    <t>Red Rhomboid Stone</t>
  </si>
  <si>
    <t>Piedra Roja Romboica</t>
  </si>
  <si>
    <t>Todavia no implementado</t>
  </si>
  <si>
    <t>Червоний сапфір</t>
  </si>
  <si>
    <t>В даний час немає можливості обміняти (самоцвіти).</t>
  </si>
  <si>
    <t>Красный сапфир</t>
  </si>
  <si>
    <t>Feuerdiamant</t>
  </si>
  <si>
    <t>Derzeit keine Einlöseoption
(Juwel)</t>
  </si>
  <si>
    <t>Hỏa Linh Thạch</t>
  </si>
  <si>
    <t>AInda não implementado</t>
  </si>
  <si>
    <t>Batu Belah Ketupat Merah</t>
  </si>
  <si>
    <t>拍立得16~23</t>
  </si>
  <si>
    <t>Polaroid 16~23</t>
  </si>
  <si>
    <t>Полароїди NLCH (16-23)</t>
  </si>
  <si>
    <t>Полароиды NLCH (16-23)</t>
  </si>
  <si>
    <t>Polaroid-Fotos 16–23</t>
  </si>
  <si>
    <t>Polaroid 16–23</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</si>
  <si>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</si>
  <si>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</si>
  <si>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</si>
  <si>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</si>
  <si>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</si>
  <si>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</si>
  <si>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</si>
  <si>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</si>
  <si>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</si>
  <si>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Відеокасета з фільмом Жахів</t>
  </si>
  <si>
    <t>Відеокасета для Нічних подій з Імоуто</t>
  </si>
  <si>
    <t>Видеокассета с Ужастиком</t>
  </si>
  <si>
    <t>Видеокассета для Ночных событий с Имоуто.</t>
  </si>
  <si>
    <t>Horrorvideokassette</t>
  </si>
  <si>
    <t>Wird für das spätabendliche Fernsehen verwendet.</t>
  </si>
  <si>
    <t>Cuộn Băng Video Kinh Dị</t>
  </si>
  <si>
    <t>Dùng để xem TV lúc tối muộn</t>
  </si>
  <si>
    <t>Fita de Vídeo de Terror</t>
  </si>
  <si>
    <t>Usado na televisão tarde da noite.</t>
  </si>
  <si>
    <t>Rekaman Video Horor</t>
  </si>
  <si>
    <t>Digunakan untuk acara televisi larut malam.</t>
  </si>
  <si>
    <t>成人錄影帶</t>
  </si>
  <si>
    <t>アダルトビデオ</t>
  </si>
  <si>
    <t>Adult Video Tape</t>
  </si>
  <si>
    <t>成人录像带</t>
  </si>
  <si>
    <t>Cinta de vídeo para adultos</t>
  </si>
  <si>
    <t>Відеокасета для дорослих</t>
  </si>
  <si>
    <t>Видеокассета для взрослых</t>
  </si>
  <si>
    <t>Erwachsenenvideokassette</t>
  </si>
  <si>
    <t>Cuộn Băng Video Người Lớn</t>
  </si>
  <si>
    <t>Fita de Vídeo Adulta</t>
  </si>
  <si>
    <t>Rekaman Video Dewasa</t>
  </si>
  <si>
    <t>暗影之魂-DLC</t>
  </si>
  <si>
    <t>讓妹妹玩遊戲更專注，解鎖額外選項</t>
  </si>
  <si>
    <t>Shadow Souls-DLC</t>
  </si>
  <si>
    <t>让妹妹玩游戏更专注，解锁额外选项</t>
  </si>
  <si>
    <t>Тіні Душ - DLC</t>
  </si>
  <si>
    <t>Тени Душ - DLC</t>
  </si>
  <si>
    <t>Имоуто будет играть в игры более сосредоточенно (открывает доп. возможности).</t>
  </si>
  <si>
    <t>ajuda sua irmã a se concentrar mais no jogo e desbloqueia opções adicionais.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</si>
  <si>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</si>
  <si>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</si>
  <si>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</si>
  <si>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</si>
  <si>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</si>
  <si>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</si>
  <si>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</si>
  <si>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</si>
  <si>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</si>
  <si>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</si>
  <si>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Запечатаний годинник</t>
  </si>
  <si>
    <t>Зупиняє час на 7 секунд
(діє у певному радіусі)</t>
  </si>
  <si>
    <t>Запечатанные часы</t>
  </si>
  <si>
    <t>Останавливает время на 7 секунд
(действует в определённом радиусе).</t>
  </si>
  <si>
    <t>Versiegelte Uhr</t>
  </si>
  <si>
    <t>Wurfobjekt, das Zeit im Gebiet einfriert</t>
  </si>
  <si>
    <t>Đồng Hồ Phong Ấn</t>
  </si>
  <si>
    <t>Ném để đóng băng thời gian trên một khu vực</t>
  </si>
  <si>
    <t>Relógio Selado</t>
  </si>
  <si>
    <t>Arremesse para congelar o tempo na área</t>
  </si>
  <si>
    <t>Jam Tangan Tersegel</t>
  </si>
  <si>
    <t>Lempar untuk membekukan waktu di suatu area</t>
  </si>
  <si>
    <t xml:space="preserve">魔導映寫器
</t>
  </si>
  <si>
    <t>F7可快速截圖</t>
  </si>
  <si>
    <t>魔導映写器</t>
  </si>
  <si>
    <t>F7 ですぐにスクリーンショットを撮ることができます</t>
  </si>
  <si>
    <t>Magic Camera</t>
  </si>
  <si>
    <t>Press F7 to take photos</t>
  </si>
  <si>
    <t>魔导映写器</t>
  </si>
  <si>
    <t>F7可快速截图</t>
  </si>
  <si>
    <t>Camara magica</t>
  </si>
  <si>
    <t>Apreta F7 para sacar fotos</t>
  </si>
  <si>
    <t>Чарівна камера</t>
  </si>
  <si>
    <t>F7 може швидко зробити знімок екрану</t>
  </si>
  <si>
    <t>Волшебная камера</t>
  </si>
  <si>
    <t>F7 может быстро сделать снимок экрана.</t>
  </si>
  <si>
    <t>Magie Kamera</t>
  </si>
  <si>
    <t>Drück F7 für ein Foto</t>
  </si>
  <si>
    <t>Máy Ảnh Ma Thuật</t>
  </si>
  <si>
    <t>nhấm F7 để chụp ảnh</t>
  </si>
  <si>
    <t>Câmera mágica</t>
  </si>
  <si>
    <t>pressione o F7 para tirar fotos</t>
  </si>
  <si>
    <t>tekan F7 untuk mengambil foto.</t>
  </si>
  <si>
    <t>封術卷軸</t>
  </si>
  <si>
    <t>封印/召喚 裝備
*具體細節在TIPS中說明
*忍者支線裝備之一(支線未實裝)</t>
  </si>
  <si>
    <t>封術の巻物</t>
  </si>
  <si>
    <t>装備を封印／召喚する
※詳細はTIPSで説明
※忍者サブクエスト用装備の一つ（サブクエストは未実装）</t>
  </si>
  <si>
    <t>Sealing Scroll</t>
  </si>
  <si>
    <t>Sealing/Unsealing Equipment
*Refer to TIPS for detailed explanation
*One of the ninja side quest equipment (not yet implemented)</t>
  </si>
  <si>
    <t xml:space="preserve">封术卷轴
</t>
  </si>
  <si>
    <t>封印/召唤 装备
*具体细节在TIPS中说明
*忍者支线装备之一(支线未实装)</t>
  </si>
  <si>
    <t>Pergamino Sellado</t>
  </si>
  <si>
    <t>Un equipo de sellado/desellado.
*Consulta Tips para un explicacion mejor
*Una de los equipos de la mision secundaria del ninja (todavia no implementado)</t>
  </si>
  <si>
    <t>Запечатувальний сувій</t>
  </si>
  <si>
    <t>Запечатування/Заклик екіпірування
*Детальніша інформація в "TIPS"
*Одне зі споряджень побічної лінії ніндзя (не реалізовано)</t>
  </si>
  <si>
    <t>Запечатывающий свиток</t>
  </si>
  <si>
    <t>Запечатывание/Призыв экипировки.
*Более подробная информация в "TIPS"
*Одно из снаряжений побочной линии ниндзя (не реализовано)</t>
  </si>
  <si>
    <t>Versiegelte Schriftrolle</t>
  </si>
  <si>
    <t>Versiegeln Entsiegeln Ausrüstung
Siehe TIPS für eine detaillierte Erklärung
Eine der Ninja Nebenquest Ausrüstungen (noch nicht implementiert)</t>
  </si>
  <si>
    <t xml:space="preserve">Cuộn Phép Phong Ấn </t>
  </si>
  <si>
    <t>Phong ấn/Bỏ phong ấn trang bị
*Xem TIPS cho giải thích kĩ lưỡng
*Một trong những trang bị của nhiệm vụ ninja bên lề (chưa được triển khai)</t>
  </si>
  <si>
    <t xml:space="preserve">Pergaminho de Selamento </t>
  </si>
  <si>
    <t>"Equipamento de Selamento/Invocação"
*Detalhes explicados nas TIPS
*equipamento da missão secundária ninja (ainda não implementada)</t>
  </si>
  <si>
    <t>塔羅牌-愚者</t>
  </si>
  <si>
    <t xml:space="preserve">傳送至隨機地圖
</t>
  </si>
  <si>
    <t>ザ・フール</t>
  </si>
  <si>
    <t>ランダムなマップへワープする</t>
  </si>
  <si>
    <t>The Fool</t>
  </si>
  <si>
    <t>Teleports you to a random map</t>
  </si>
  <si>
    <t>El tonto</t>
  </si>
  <si>
    <t>Te teletrasporta a cualquier zona del mapa</t>
  </si>
  <si>
    <t>Карта Таро "Блазень"</t>
  </si>
  <si>
    <t>Телепортує гравця у випадкову локацію</t>
  </si>
  <si>
    <t>Карта Таро "Дурак"</t>
  </si>
  <si>
    <t>Телепортирует игрока в случайную локацию.</t>
  </si>
  <si>
    <t>Der Narr</t>
  </si>
  <si>
    <t>Teleport dich zufällig irgendwo auf der Karte hin.</t>
  </si>
  <si>
    <t>Gã Khờ</t>
  </si>
  <si>
    <t>Dịch chuyển bạn đến một khu vực bất ki</t>
  </si>
  <si>
    <t>O Louco</t>
  </si>
  <si>
    <t>Teletransporte-se para um mapa aleatório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</si>
  <si>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</si>
  <si>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</si>
  <si>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</si>
  <si>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</si>
  <si>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</si>
  <si>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</si>
  <si>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</si>
  <si>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</si>
  <si>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</si>
  <si>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Карта Таро "Верховна жриця"</t>
  </si>
  <si>
    <t>Заклик Занепалої Церкви</t>
  </si>
  <si>
    <t>Карта Таро "Верховная жрица"</t>
  </si>
  <si>
    <t>Призыв Падшей Церкви.</t>
  </si>
  <si>
    <t>Die Hohepriesterin</t>
  </si>
  <si>
    <t>Beschwört ein Tor zur „Gefallenen Kathedrale“</t>
  </si>
  <si>
    <t>Nữ Tư Tế Tối Cao</t>
  </si>
  <si>
    <t>Triệu hồi một cánh cổng đến "Nhà Thờ Sa Ngã"</t>
  </si>
  <si>
    <t>A Sacerdotisa</t>
  </si>
  <si>
    <t>Invoca um portão para "A Igreja Caída"</t>
  </si>
  <si>
    <t>Imam Besar Wanita</t>
  </si>
  <si>
    <t>Memanggil gerbang menuju "Gereja yang Runtuh"</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</si>
  <si>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</si>
  <si>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</si>
  <si>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</si>
  <si>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</si>
  <si>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</si>
  <si>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</si>
  <si>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</si>
  <si>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</si>
  <si>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Карта Таро "Імператор"</t>
  </si>
  <si>
    <t>Рев дракона</t>
  </si>
  <si>
    <t>Карта Таро "Император"</t>
  </si>
  <si>
    <t>Рёв дракона.</t>
  </si>
  <si>
    <t>Der Kaiser</t>
  </si>
  <si>
    <t>Verwendet „Drachenschrei“
Betäubt alle Feinde auf dem Bildschirm</t>
  </si>
  <si>
    <t>Hoàng Đế</t>
  </si>
  <si>
    <t>Sử dụng Tiếng Gầm của Rồng để làm
choáng tất cả kẻ địch trên một khu vực</t>
  </si>
  <si>
    <t>O Imperador</t>
  </si>
  <si>
    <t>Usa "Rugido do Dragão"
Atordoa todos os inimigos na tela</t>
  </si>
  <si>
    <t>Kaisar</t>
  </si>
  <si>
    <t>Menggunakan "Raungan Naga"
Melumpuhkan semua musuh di layar</t>
  </si>
  <si>
    <t>塔羅牌-戰車</t>
  </si>
  <si>
    <t>召喚貓娘商店車</t>
  </si>
  <si>
    <t>ザ・チャリオット</t>
  </si>
  <si>
    <t>茶会の宅配車を手配する</t>
  </si>
  <si>
    <t>The Chariot</t>
  </si>
  <si>
    <t>Summons the cat girl shopping van</t>
  </si>
  <si>
    <t>Invoca a la chica gato que vende en la van</t>
  </si>
  <si>
    <t>전차</t>
  </si>
  <si>
    <t>Карта Таро "Колісниця"</t>
  </si>
  <si>
    <t>Закликати вантажівку NLCH з Кішками-дівчатами</t>
  </si>
  <si>
    <t>Карта Таро "Колесница"</t>
  </si>
  <si>
    <t>Призвать грузовик NLCH с Кошко-девушками.</t>
  </si>
  <si>
    <t>Der Wagen</t>
  </si>
  <si>
    <t>Beschwört den Einkaufswagen der Katzenmädchen</t>
  </si>
  <si>
    <t>Chiến Xa</t>
  </si>
  <si>
    <t>Triệu hồi xe chở hàng của cô gái mèo</t>
  </si>
  <si>
    <t>O Carro(Deveria ser carruagem)</t>
  </si>
  <si>
    <t>Invoca a loja van da garota gato</t>
  </si>
  <si>
    <t>Kereta Perang</t>
  </si>
  <si>
    <t>Memanggil mobil van belanja gadis kucing</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</si>
  <si>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</si>
  <si>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</si>
  <si>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</si>
  <si>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</si>
  <si>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</si>
  <si>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</si>
  <si>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</si>
  <si>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</si>
  <si>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Карта Таро "Сила"</t>
  </si>
  <si>
    <t>Збільшення розмірів зброї</t>
  </si>
  <si>
    <t>Увеличение размеров оружия.</t>
  </si>
  <si>
    <t>Stärke</t>
  </si>
  <si>
    <t>Vergrößert die Waffe und erhöht den Schaden</t>
  </si>
  <si>
    <t>Sức Mạnh</t>
  </si>
  <si>
    <t>Phóng to vũ khí và tăng sát thương</t>
  </si>
  <si>
    <t>A Força</t>
  </si>
  <si>
    <t>Aumenta o tamanho da arma e o dano</t>
  </si>
  <si>
    <t>Kekuatan</t>
  </si>
  <si>
    <t>Perbesar senjata dan tingkatkan kerusakan.</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</si>
  <si>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</si>
  <si>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</si>
  <si>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</si>
  <si>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</si>
  <si>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</si>
  <si>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</si>
  <si>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</si>
  <si>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</si>
  <si>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</si>
  <si>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Карта Таро "Фортуна"</t>
  </si>
  <si>
    <t>Випадкові ефекти посилення</t>
  </si>
  <si>
    <t>Случайные эффекты усиления.</t>
  </si>
  <si>
    <t>Das Rad des Schicksals</t>
  </si>
  <si>
    <t>Verleiht einen zufälligen Buff Effekt</t>
  </si>
  <si>
    <t>Bánh Xe Vận Mệnh</t>
  </si>
  <si>
    <t>Nhận được hiệu ứng tăng sức mạnh ngẫu nhiên</t>
  </si>
  <si>
    <t>A Roda da Fortuna</t>
  </si>
  <si>
    <t>Ganha efeitos de buff aleatórios</t>
  </si>
  <si>
    <t>Roda peruntungan</t>
  </si>
  <si>
    <t>Mendapatkan efek buff acak.</t>
  </si>
  <si>
    <t>塔羅牌-正義</t>
  </si>
  <si>
    <t>消除狀態</t>
  </si>
  <si>
    <t>ジャスティス</t>
  </si>
  <si>
    <t>全てのバフ、デバフを取り除く</t>
  </si>
  <si>
    <t>Justice</t>
  </si>
  <si>
    <t>Removes status ailments</t>
  </si>
  <si>
    <t>Elimina estados negativos</t>
  </si>
  <si>
    <t>정의</t>
  </si>
  <si>
    <t>상태이상 제거</t>
  </si>
  <si>
    <t>Карта Таро "Справедливість"</t>
  </si>
  <si>
    <t>При використанні знімає з гравця усі статуси</t>
  </si>
  <si>
    <t>Карта Таро "Справедливость"</t>
  </si>
  <si>
    <t>При использовании снимает с игрока все статусы.</t>
  </si>
  <si>
    <t>Gerechtigkeit</t>
  </si>
  <si>
    <t>Entfernt alle Statuseffekte</t>
  </si>
  <si>
    <t>Công Lý</t>
  </si>
  <si>
    <t>Loại bỏ tất cả trạng thái bất lợi</t>
  </si>
  <si>
    <t>A Justiça</t>
  </si>
  <si>
    <t>Remove efeitos negativos</t>
  </si>
  <si>
    <t>Keadilan</t>
  </si>
  <si>
    <t>Menghilangkan status negatif</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</si>
  <si>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</si>
  <si>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</si>
  <si>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</si>
  <si>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</si>
  <si>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</si>
  <si>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</si>
  <si>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</si>
  <si>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Карта Таро "Смерть"</t>
  </si>
  <si>
    <t>Прикличе Демона Смерті.
Знищує всіх істот.
(Неефективно проти NPC, об'єктів на карті та об'єктів, що руйнуються)
(Ефективно проти Пугала та візка Асаби з двома одиницями здоров'я)
В даний час NPC не мають інтерактивних ефектів.</t>
  </si>
  <si>
    <t>Призовёт Демона Смерти.
Уничтожает всех существ.
(Неэффективно против NPC, объектов на карте и разрушаемых объектов)
(Эффективно против Пугала и тележки Асабы с двумя единицами здоровья)
В настоящее время NPC не имеют интерактивных эффектов.</t>
  </si>
  <si>
    <t>Tod</t>
  </si>
  <si>
    <t>Beschwört einen Todesdämon, der alles auf dem Bildschirm tötet.
(Es betrifft keine NPCs, Kartenobjekte oder zerstörbaren Objekte.
Es betrifft Vogelscheuchen und Asabas Einkaufswagen.)
Derzeit kann mit diesem NPC nicht interagiert werden.</t>
  </si>
  <si>
    <t>Tử Thần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</si>
  <si>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</si>
  <si>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</si>
  <si>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</si>
  <si>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Kematian</t>
  </si>
  <si>
    <t>Memanggil Iblis Kematian untuk membunuh semua yang ada di layar.
(Tidak memengaruhi NPC, objek peta, dan objek yang dapat dihancurkan)
(Memengaruhi Orang-orangan Sawah dan Mobil Belanja Asaba)
*Saat ini tidak dapat berinteraksi dengan NPC ini</t>
  </si>
  <si>
    <t>塔羅牌-節制</t>
  </si>
  <si>
    <t>召喚扭蛋機</t>
  </si>
  <si>
    <t>テンパランス</t>
  </si>
  <si>
    <t>ガチャポンを召喚する</t>
  </si>
  <si>
    <t>Temperance</t>
  </si>
  <si>
    <t>Summons a Gacha Machine</t>
  </si>
  <si>
    <t>Invoca una maquina Gacha</t>
  </si>
  <si>
    <t>절제</t>
  </si>
  <si>
    <t>Карта Таро "Помірність"</t>
  </si>
  <si>
    <t>Автомат закликає Автомат з гачею</t>
  </si>
  <si>
    <t>Карта Таро "Умеренность"</t>
  </si>
  <si>
    <t>Автомат призыва Автомата с гачей.</t>
  </si>
  <si>
    <t>Mäßigkeit</t>
  </si>
  <si>
    <t>Beschwört einen Gacha-Automaten</t>
  </si>
  <si>
    <t>Hòa Hợp</t>
  </si>
  <si>
    <t>Triệu hồi máy Gacha</t>
  </si>
  <si>
    <t>A Temperança</t>
  </si>
  <si>
    <t>Invoca a máquina Gacha</t>
  </si>
  <si>
    <t>Kesederhanaan</t>
  </si>
  <si>
    <t>Memanggil Mesin Gacha</t>
  </si>
  <si>
    <t>塔羅牌-塔</t>
  </si>
  <si>
    <t>於深淵中使用
召喚封印之柱
不可同時使用多張</t>
  </si>
  <si>
    <t>ザ・タワー</t>
  </si>
  <si>
    <t xml:space="preserve">
深淵で使用する
封印の柱を召喚することが出来る
同時に複数使用不可です
</t>
  </si>
  <si>
    <t>The Tower</t>
  </si>
  <si>
    <t>Can be used in the abyss to summon the Sealed Pillar. Only one can be active at a time.</t>
  </si>
  <si>
    <t>塔罗牌-塔</t>
  </si>
  <si>
    <t>在深渊中使用
召唤封印之柱
不可同时使用多张</t>
  </si>
  <si>
    <t>Se puede usar en el abismo para invocar el Pilar Sellado. Solo se puede activar uno a la vez</t>
  </si>
  <si>
    <t>Карта Таро "Вежа"</t>
  </si>
  <si>
    <t>Може бути використана у прірві для виклику Запечатаного стовпа.
Тільки один з них може бути активним одночасно.</t>
  </si>
  <si>
    <t>Карта Таро "Башня"</t>
  </si>
  <si>
    <t>Может быть использована в бездне для вызова Запечатанного столба.
Только один из них может быть активен одновременно.</t>
  </si>
  <si>
    <t>Der Turm</t>
  </si>
  <si>
    <t>Kann im Abyss verwendet werden, um die versiegelte Säule zu beschwören. Es kann jeweils nur eine aktiv sein.</t>
  </si>
  <si>
    <t>Tòa Tháp</t>
  </si>
  <si>
    <t>Chỉ có thể sử dụng trong Vực sâu để tạo ra Trụ Bị Phong Ấn. Chỉ có một được xuất hiện tại một thời điểm</t>
  </si>
  <si>
    <t>Tarô - A Torre</t>
  </si>
  <si>
    <t xml:space="preserve">Use no Abismo para invocar o Pilar Selador.
Vários Pilares não podem ser usados ​​simultaneamente.
</t>
  </si>
  <si>
    <t>Kartu Tarot - Menara</t>
  </si>
  <si>
    <t>Digunakan di Abyss: Memanggil Pilar Segel. Beberapa Pilar tidak dapat digunakan secara bersamaan.</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</si>
  <si>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</si>
  <si>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</si>
  <si>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</si>
  <si>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</si>
  <si>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</si>
  <si>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</si>
  <si>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</si>
  <si>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Карта Таро "Зірка"</t>
  </si>
  <si>
    <t>Зоряні двері</t>
  </si>
  <si>
    <t>Карта Таро "Звезда"</t>
  </si>
  <si>
    <t>Звёздная дверь.</t>
  </si>
  <si>
    <t>Der Stern</t>
  </si>
  <si>
    <t>Beschwört eine rote Tür, die zurück zum Lagerfeuer im Startgebiet teleportiert</t>
  </si>
  <si>
    <t>Ngôi Sao</t>
  </si>
  <si>
    <t>Triệu hồi một cánh cửa màu đỏ dịch chuyển bạn
 trở lại đống lửa trại ở khu vực bắt đầu</t>
  </si>
  <si>
    <t>A Estrela</t>
  </si>
  <si>
    <t>Invoca uma porta vermelha que te teleporta de volta para a fogueira na área inicial</t>
  </si>
  <si>
    <t>Bintang</t>
  </si>
  <si>
    <t>Memanggil pintu merah yang memindahkanmu kembali ke api unggun di area awal.</t>
  </si>
  <si>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</si>
  <si>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</si>
  <si>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</si>
  <si>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</si>
  <si>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</si>
  <si>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</si>
  <si>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</si>
  <si>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</si>
  <si>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Карта Таро "Сонце"</t>
  </si>
  <si>
    <t>Накладає Благословення Фенікса</t>
  </si>
  <si>
    <t>Карта Таро "Солнце"</t>
  </si>
  <si>
    <t>Накладывает Благословение Феникса.</t>
  </si>
  <si>
    <t>Die Sonne</t>
  </si>
  <si>
    <t>Erlaubt einmalige Wiederbelebung innerhalb eines Zeitfensters nach Gebrauch</t>
  </si>
  <si>
    <t>Mặt Trời</t>
  </si>
  <si>
    <t>Cho phép hồi sinh một lần khi chết trong
một khoảng thời gian sau khi sử dụng</t>
  </si>
  <si>
    <t>O Sol</t>
  </si>
  <si>
    <t>Permite uma única ressureição quando morrer dentro de uma duração depois de o usar</t>
  </si>
  <si>
    <t>Matahari</t>
  </si>
  <si>
    <t>Memungkinkan kebangkitan satu kali saat sekarat dalam jangka waktu tertentu setelah digunakan.</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</si>
  <si>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</si>
  <si>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</si>
  <si>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</si>
  <si>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</si>
  <si>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</si>
  <si>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</si>
  <si>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</si>
  <si>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</si>
  <si>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Карта Таро "Світ"</t>
  </si>
  <si>
    <t>При використанні скидає таймер подій, пов'язаних з дропом</t>
  </si>
  <si>
    <t>Карта Таро "Мир"</t>
  </si>
  <si>
    <t>При использовании сбрасывает таймер событий, связанных с дропом.</t>
  </si>
  <si>
    <t>Die Welt</t>
  </si>
  <si>
    <t>Setzt alles zurück
(z. B. Beute, Monster, Wetter, Läden)</t>
  </si>
  <si>
    <t>Thế Giới</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</si>
  <si>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</si>
  <si>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</si>
  <si>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</si>
  <si>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Dunia</t>
  </si>
  <si>
    <t>Mengatur ulang semuanya
(Misalnya, jarahan, monster, cuaca, toko)</t>
  </si>
  <si>
    <t>盧恩符文Ansuz</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</si>
  <si>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</si>
  <si>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</si>
  <si>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</si>
  <si>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</si>
  <si>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</si>
  <si>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</si>
  <si>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</si>
  <si>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</si>
  <si>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</si>
  <si>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Ансуз</t>
  </si>
  <si>
    <t>Залишає замітку іншим гравцям.</t>
  </si>
  <si>
    <t>Оставить заметку другим игрокам.</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</si>
  <si>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</si>
  <si>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</si>
  <si>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</si>
  <si>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</si>
  <si>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</si>
  <si>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</si>
  <si>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Bisa meninggalkan pesan di lantai agar dibaca pemain lain.</t>
  </si>
  <si>
    <t>盧恩符文Raido</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</si>
  <si>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</si>
  <si>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</si>
  <si>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</si>
  <si>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</si>
  <si>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</si>
  <si>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</si>
  <si>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</si>
  <si>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</si>
  <si>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Райдо</t>
  </si>
  <si>
    <t>Після кидка натисніть R, щоб змінити їх місцями.</t>
  </si>
  <si>
    <t>После броска нажмите R, чтобы поменять их местами.</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</si>
  <si>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</si>
  <si>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</si>
  <si>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</si>
  <si>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</si>
  <si>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</si>
  <si>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</si>
  <si>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Rune yang dapat dilempar
Dapat bertukar posisi dengan rune dengan mengkliknya di tanah</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</si>
  <si>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</si>
  <si>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</si>
  <si>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</si>
  <si>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</si>
  <si>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</si>
  <si>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</si>
  <si>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Una runa arrojable
Se puede cambiar el lugar con la runa clickeandolo en el piso</t>
  </si>
  <si>
    <t>Кеназ</t>
  </si>
  <si>
    <t>Перетворіть ціль на бомбу.
Радіус вибуху залежить від розміру цілі.</t>
  </si>
  <si>
    <t>Превратите цель в бомбу.
Радиус взрыва в зависимости от размера цели.</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</si>
  <si>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</si>
  <si>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</si>
  <si>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</si>
  <si>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</si>
  <si>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Lempar untuk mengubah target menjadi bom. Meledak setelah 5 detik.
Radius ledakan didasarkan pada ukuran target.</t>
  </si>
  <si>
    <t>盧恩符文Ehwaz</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</si>
  <si>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</si>
  <si>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</si>
  <si>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</si>
  <si>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</si>
  <si>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</si>
  <si>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</si>
  <si>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</si>
  <si>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</si>
  <si>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Еваз</t>
  </si>
  <si>
    <t>Після кидка поміняйтеся місцями з цілю.</t>
  </si>
  <si>
    <t>Эваз</t>
  </si>
  <si>
    <t>После броска поменяйтесь местами с мишенью.</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</si>
  <si>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</si>
  <si>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</si>
  <si>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</si>
  <si>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</si>
  <si>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</si>
  <si>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</si>
  <si>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Rune yang dapat dilempar
Bertukar posisi dengan target yang terkena</t>
  </si>
  <si>
    <t>盧恩符文Fehu</t>
  </si>
  <si>
    <t>投擲後將目標變為黃金狀態，擊碎時會掉落大量金幣</t>
  </si>
  <si>
    <t>フェイヒュー</t>
  </si>
  <si>
    <t>投げつけた相手を一時的に黄金に変える！黄金の状態で撃破すると大量の金銭が得られる…</t>
  </si>
  <si>
    <t>Fehu</t>
  </si>
  <si>
    <t xml:space="preserve">Throw it to turn the target into gold.
Targets who have been turned into gold and shattered drop a vast amount of money
</t>
  </si>
  <si>
    <t>Феху</t>
  </si>
  <si>
    <t>Киньте його, щоб перетворити ціль на золото.
Цілі, які були перетворені на золото і розбиті, приносять багато грошей.</t>
  </si>
  <si>
    <t>Бросьте его, чтобы превратить цель в золото.
Цели, которые были превращены в золото и разбиты, приносят много денег.</t>
  </si>
  <si>
    <t>Wirf es, um das Ziel in Gold zu verwandeln.
Ziele, die in Gold verwandelt und zerbrochen werden, lassen eine große Menge Geld fallen.</t>
  </si>
  <si>
    <t>Phù Văn Fehu</t>
  </si>
  <si>
    <t>Ném vào mục tiêu để biến thành vàng
Những mục tiêu đã được biến thành vàng sau khi tiêu diệt sẽ rơi ra một lượng tiền lớn</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</si>
  <si>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</si>
  <si>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</si>
  <si>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</si>
  <si>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</si>
  <si>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</si>
  <si>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</si>
  <si>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</si>
  <si>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</si>
  <si>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Юрі Додзінсі</t>
  </si>
  <si>
    <t>Підвищує бажання
(Купується у Вантажівці NLCH)</t>
  </si>
  <si>
    <t>Юри Додзинси</t>
  </si>
  <si>
    <t>Повышает желание
(Покупается в Грузовике NLCH)</t>
  </si>
  <si>
    <t>Doujinshi Yuri</t>
  </si>
  <si>
    <t>Tăng ham muốn sau khi đọc
(Có thể mua tại xe van mua sắm)</t>
  </si>
  <si>
    <t>Aumenta o desejo depois de ler
(Pode ser comprado na loja van)</t>
  </si>
  <si>
    <t>Meningkatkan hasrat setelah membaca
(Dapat dibeli dari mobil van)</t>
  </si>
  <si>
    <t>萌萌同人本</t>
  </si>
  <si>
    <t>萌え萌え同人誌</t>
  </si>
  <si>
    <t>性欲が高まる！(宅配車で購入できる)
「萌え萌えキュン～♡」</t>
  </si>
  <si>
    <t>Moe Doujinshi</t>
  </si>
  <si>
    <t>Moe Doujin</t>
  </si>
  <si>
    <t>Мое Додзінсі</t>
  </si>
  <si>
    <t>Моэ Додзинси</t>
  </si>
  <si>
    <t>Doujinshi Moe</t>
  </si>
  <si>
    <t>貓娘同人本</t>
  </si>
  <si>
    <t>Catgirl Doujinshi</t>
  </si>
  <si>
    <t>Додзінсі з кішко-дівчинками</t>
  </si>
  <si>
    <t>Додзинси с кошко-девочками</t>
  </si>
  <si>
    <t>Doujinshi Gái Mèo</t>
  </si>
  <si>
    <t>Doujinshi Neko</t>
  </si>
  <si>
    <t>拍立得24~29</t>
  </si>
  <si>
    <t>Polaroid 24~29</t>
  </si>
  <si>
    <t>Полароїди NLCH (24-29)</t>
  </si>
  <si>
    <t>Полароиды NLCH (24-29)</t>
  </si>
  <si>
    <t>Polaroid-Fotos 24-29</t>
  </si>
  <si>
    <t>Polaroid 24-29</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</si>
  <si>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</si>
  <si>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</si>
  <si>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</si>
  <si>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</si>
  <si>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</si>
  <si>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</si>
  <si>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</si>
  <si>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</si>
  <si>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Подарунковий купон на чай</t>
  </si>
  <si>
    <t>Виходить із автомата з гачапонами. Гарантовано ви отримаєте золотий гачапон під час використання. (Чим більше бонусних очок ви отримаєте під час вибуху автомата з гачапонами, тим легше отримати «квитки на чай та закуски»)</t>
  </si>
  <si>
    <t>Подарочный купон на чай</t>
  </si>
  <si>
    <t>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</si>
  <si>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</si>
  <si>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</si>
  <si>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</si>
  <si>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</si>
  <si>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</si>
  <si>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</si>
  <si>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Voucher Hadiah Teh</t>
  </si>
  <si>
    <t>Hadiah dari Mesin Gachapon
Memberikan 11 kali putaran saat digunakan, dengan jaminan setidaknya satu bola emas sebagai hadiah.
(Saat menggunakan Mesin Gachapon, semakin banyak yang Anda masukkan, semakin besar kemungkinan Anda mendapatkan kupon sebagai hadiah)</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</si>
  <si>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</si>
  <si>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</si>
  <si>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</si>
  <si>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</si>
  <si>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</si>
  <si>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</si>
  <si>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</si>
  <si>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Карта Кроликів</t>
  </si>
  <si>
    <t>Карта гри
(Потрібне підключення до інтернету)</t>
  </si>
  <si>
    <t>Карта Кроликов</t>
  </si>
  <si>
    <t>Карта игры.
(Требует подключение к интернету)</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</si>
  <si>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</si>
  <si>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</si>
  <si>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</si>
  <si>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</si>
  <si>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</si>
  <si>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</si>
  <si>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Peta Kelinci</t>
  </si>
  <si>
    <t>Membuka peta interaktif dalam game (membutuhkan koneksi internet)</t>
  </si>
  <si>
    <t>妹妹的任意券</t>
  </si>
  <si>
    <t>使用於SLG相關的事件</t>
  </si>
  <si>
    <t xml:space="preserve">妹のフリーパス
</t>
  </si>
  <si>
    <t>SLG関連のイベントで使用する事が出来る</t>
  </si>
  <si>
    <t>Sister's Reward Coupon</t>
  </si>
  <si>
    <t>Can be used on events related in SLG</t>
  </si>
  <si>
    <t>Cupon de regalo de Imouto</t>
  </si>
  <si>
    <t>Puede ser usado en eventos relacionados en SLG</t>
  </si>
  <si>
    <t>Вільний купон</t>
  </si>
  <si>
    <t>Можна використовувати в подіях, пов'язаних з SLG</t>
  </si>
  <si>
    <t>«Свободный купон»</t>
  </si>
  <si>
    <t>События, связанные с Simulated Life Game.
(Сценами, которые разыгрываются с Имоуто.
Например, купание или непристойные действия)</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</si>
  <si>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</si>
  <si>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</si>
  <si>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</si>
  <si>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</si>
  <si>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</si>
  <si>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</si>
  <si>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Kupon Hadiah Saudari</t>
  </si>
  <si>
    <t>Dapat digunakan pada acara yang terkait dengan SLG.</t>
  </si>
  <si>
    <t>JoyStation V</t>
  </si>
  <si>
    <t>回家後觸發和開啟與妹妹遊戲的功能</t>
  </si>
  <si>
    <t>家に帰ると妹と開封の儀を行い妹と一緒にゲームする事が出来るようになる</t>
  </si>
  <si>
    <t>A scene will trigger when you get home for the first time. Unlocks the option to play games with Imouto</t>
  </si>
  <si>
    <t>回家后触发和开启与妹妹游戏的功能</t>
  </si>
  <si>
    <t>Se activa una escena cuando llegas a casa por primera vez. Este desbloquea jugar con Imouto</t>
  </si>
  <si>
    <t>Ви зможете грати разом зі своєю сестрою після повернення додому.</t>
  </si>
  <si>
    <t>Вы сможете играть вместе со своей сестрой по возвращению домой.</t>
  </si>
  <si>
    <t>Beim ersten Zurückkehren nach Hause wird eine Szene ausgelöst.
Schaltet die Option frei: Spiele mit deiner Schwesterlein zu spielen.</t>
  </si>
  <si>
    <t>Một cảnh sẽ được kích hoạt khi bạn lần đầu tiên. Mở khóa lựa chọn chơi game với imouto</t>
  </si>
  <si>
    <t>Uma cena ocorrerá em que você vai para casa e jogará com a sua imouto.
Permite você jogar com a sua imouto</t>
  </si>
  <si>
    <t>Sebuah adegan akan muncul saat kau pulang dan bermain dengan adik.</t>
  </si>
  <si>
    <t>拍立得30~35</t>
  </si>
  <si>
    <t>Polaroid 30~35</t>
  </si>
  <si>
    <t>Полароїди NLCH (30-35)</t>
  </si>
  <si>
    <t>Полароиды NLCH (30-35)</t>
  </si>
  <si>
    <t>Polaroid-Fotos 30–35</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</si>
  <si>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</si>
  <si>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</si>
  <si>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</si>
  <si>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</si>
  <si>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</si>
  <si>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</si>
  <si>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</si>
  <si>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</si>
  <si>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Путівник авантюриста</t>
  </si>
  <si>
    <t>Гайди для авантюристів-початківців
(Потрібне підключення до інтернету)</t>
  </si>
  <si>
    <t>Путеводитель авантюриста</t>
  </si>
  <si>
    <t>Гайды для Начинающих авантюристов.
(Требует подключение к интернету)</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</si>
  <si>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</si>
  <si>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</si>
  <si>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</si>
  <si>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</si>
  <si>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</si>
  <si>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</si>
  <si>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Buku Panduan Petualang</t>
  </si>
  <si>
    <t>Membuka panduan di dalam game (membutuhkan koneksi internet)</t>
  </si>
  <si>
    <t>Personal Jesus</t>
  </si>
  <si>
    <t>Records sins as points and allows Demonic Trading
*This item is not yet implemented</t>
  </si>
  <si>
    <t>Persönlicher Jesus</t>
  </si>
  <si>
    <t>Zählt Sünden als Punkte und ermöglicht dämonischen Handel
(Noch nicht implementiert)</t>
  </si>
  <si>
    <t>Sự Cứu Rỗi Cá Nhân</t>
  </si>
  <si>
    <t>Ghi nhận tội lỗi dưới dạng điểm và cho phép giao dịch ác ma
*Vật phẩm này chưa được triển khai*</t>
  </si>
  <si>
    <t>Jesus pessoal</t>
  </si>
  <si>
    <t>Registra pecados como pontos e permite Negociação Demoníaca (ainda não implementada)</t>
  </si>
  <si>
    <t>天上之石相關</t>
  </si>
  <si>
    <t>Philosopher's Stone related</t>
  </si>
  <si>
    <t>天上之石相关</t>
  </si>
  <si>
    <t>Пов'язане з Філософським каменем</t>
  </si>
  <si>
    <t>Связанный с Философским камнем</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</si>
  <si>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</si>
  <si>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</si>
  <si>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</si>
  <si>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</si>
  <si>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</si>
  <si>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</si>
  <si>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</si>
  <si>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</si>
  <si>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</si>
  <si>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Фрагмент Філософського каменю</t>
  </si>
  <si>
    <t>Можна перетворити на рідину з філософського каменю або використовувати для постійного збільшення атаки та максимального здоров'я при самостійному використанні.</t>
  </si>
  <si>
    <t>Фрагмент Философского камня</t>
  </si>
  <si>
    <t>Можно превратить в жидкость из философского камня или использовать для постоянного увеличения урона и макс. здоровья при личном использовании.</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</si>
  <si>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</si>
  <si>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</si>
  <si>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</si>
  <si>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</si>
  <si>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</si>
  <si>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</si>
  <si>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Fragmen Batu Filsuf</t>
  </si>
  <si>
    <t>Dapat diubah menjadi Cairan Batu Filsuf atau dapat digunakan untuk meningkatkan serangan dan HP maksimal secara permanen jika digunakan sendiri.</t>
  </si>
  <si>
    <t>紅髓液</t>
  </si>
  <si>
    <t>使用於治療妹妹</t>
  </si>
  <si>
    <t>紅髄液</t>
  </si>
  <si>
    <t>使用すると妹を治療することが出来る</t>
  </si>
  <si>
    <t>Elixir Rubrum</t>
  </si>
  <si>
    <t>Used to cure Imouto</t>
  </si>
  <si>
    <t>Liquido de la Piedra Filosofal</t>
  </si>
  <si>
    <t>Usado para curar a Imouto (Hermana)</t>
  </si>
  <si>
    <t>Еліксир Рубрум</t>
  </si>
  <si>
    <t>Лікарство для Імоуто, яке шукав Куроха</t>
  </si>
  <si>
    <t>Эликсир Рубрум</t>
  </si>
  <si>
    <t>Лекарство для Имоуто, которое искал Куроха</t>
  </si>
  <si>
    <t>Flüssigkeit des Steins der Weisen</t>
  </si>
  <si>
    <t>Benutze es um deine Schwester zu heilen</t>
  </si>
  <si>
    <t>Chất Lỏng Đá Hiền Triết</t>
  </si>
  <si>
    <t>Được sử dụng để chữa cho imouto</t>
  </si>
  <si>
    <t>Fluído da Pedra do Filósofo</t>
  </si>
  <si>
    <t>Usado para curar a Imouto</t>
  </si>
  <si>
    <t>Cairan Batu Filsuf</t>
  </si>
  <si>
    <t>Digunakan untuk menyembuhkan Imouto</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</si>
  <si>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</si>
  <si>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</si>
  <si>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</si>
  <si>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</si>
  <si>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</si>
  <si>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t>Ingredients
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</si>
  <si>
    <t>Ефект від ситості (продовжує тривалість нічного набігу)</t>
  </si>
  <si>
    <t>А</t>
  </si>
  <si>
    <t>Приклади інгредієнтів: Інгредієнти мають лише певну вагу і мають певну ймовірність збігу, тому успіх не гарантований щоразу.
Наприклад, інгредієнт «морква» одночасно має мітки «морква», «овоч» та «червоний».
Крім того, той самий набір інгредієнтів може призвести до приготування різних страв.
У кожну страву можна додати перець чилі, що збільшує ймовірність отримання більш гострого ефекту.
Крім того, кожен додатковий перець чилі підвищує ймовірність гостроти.</t>
  </si>
  <si>
    <t xml:space="preserve">Эффект от сытости (продлевает продолжительность ночного набега)
</t>
  </si>
  <si>
    <t>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t>
  </si>
  <si>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</si>
  <si>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</si>
  <si>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</si>
  <si>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</si>
  <si>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</si>
  <si>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</si>
  <si>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</si>
  <si>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</si>
  <si>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</si>
  <si>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Страва була надто гострою, моя сестра одразу почала плакати...
(випадкова імовірність, з кожним перцем чилі вона збільшується на 45%)</t>
  </si>
  <si>
    <t>Б</t>
  </si>
  <si>
    <t>Моя сестра заплакала, потому что еда была очень острой (случайный триггер).</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</si>
  <si>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</si>
  <si>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</si>
  <si>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</si>
  <si>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</si>
  <si>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</si>
  <si>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</si>
  <si>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Страва</t>
  </si>
  <si>
    <t>Блюдо</t>
  </si>
  <si>
    <t>Name der Gerichte</t>
  </si>
  <si>
    <t>Wertung</t>
  </si>
  <si>
    <t>Món ăn</t>
  </si>
  <si>
    <t>Prato</t>
  </si>
  <si>
    <t>史萊姆果凍</t>
  </si>
  <si>
    <t>史萊姆黏液</t>
  </si>
  <si>
    <t>スライムゼリー</t>
  </si>
  <si>
    <t>スライムの粘液</t>
  </si>
  <si>
    <t>Slime Jelly</t>
  </si>
  <si>
    <t>Slime Mucus</t>
  </si>
  <si>
    <t>슬라임의 점액</t>
  </si>
  <si>
    <t>Желе зі слайма</t>
  </si>
  <si>
    <t>Слиз</t>
  </si>
  <si>
    <t>Желе из слайма</t>
  </si>
  <si>
    <t>Слайм</t>
  </si>
  <si>
    <t>Schleimgelee</t>
  </si>
  <si>
    <t>Schleimsekret</t>
  </si>
  <si>
    <t>Thạch Slime</t>
  </si>
  <si>
    <t>Chất Nhầy Slime</t>
  </si>
  <si>
    <t>gelatina de Slime</t>
  </si>
  <si>
    <t>Muco de Slime</t>
  </si>
  <si>
    <t>咖喱飯</t>
  </si>
  <si>
    <t>白米飯</t>
  </si>
  <si>
    <t>咖喱塊</t>
  </si>
  <si>
    <t>カレーライス</t>
  </si>
  <si>
    <t>白ご飯</t>
  </si>
  <si>
    <t>カレールー</t>
  </si>
  <si>
    <t>Curry White Rice</t>
  </si>
  <si>
    <t>White Rice</t>
  </si>
  <si>
    <t>Curry Block</t>
  </si>
  <si>
    <t>카레 블럭</t>
  </si>
  <si>
    <t>Рис з каррі</t>
  </si>
  <si>
    <t>Рис</t>
  </si>
  <si>
    <t>Спагетті</t>
  </si>
  <si>
    <t>Рис с карри</t>
  </si>
  <si>
    <t>Спагетти</t>
  </si>
  <si>
    <t>Curryreis</t>
  </si>
  <si>
    <t>Reis</t>
  </si>
  <si>
    <t>Currywürfel</t>
  </si>
  <si>
    <t>Cơm cà ri</t>
  </si>
  <si>
    <t>Cơm Trắng</t>
  </si>
  <si>
    <t>Khối Cà Ri</t>
  </si>
  <si>
    <t>Curry com Arroz Branco</t>
  </si>
  <si>
    <t>Arroz Branco</t>
  </si>
  <si>
    <t>Cubo de Curry</t>
  </si>
  <si>
    <t>蘋果派</t>
  </si>
  <si>
    <t>小麥粉</t>
  </si>
  <si>
    <t>アップルパイ</t>
  </si>
  <si>
    <t>こむぎこ</t>
  </si>
  <si>
    <t>Apple Pie</t>
  </si>
  <si>
    <t>Wheat Flour</t>
  </si>
  <si>
    <t>Яблучний пиріг</t>
  </si>
  <si>
    <t>Борошно</t>
  </si>
  <si>
    <t>Яблочный пирог</t>
  </si>
  <si>
    <t>Мука</t>
  </si>
  <si>
    <t>Apfelkuchen</t>
  </si>
  <si>
    <t>Weizenmehl</t>
  </si>
  <si>
    <t>Bánh Táo</t>
  </si>
  <si>
    <t>Bột Mì</t>
  </si>
  <si>
    <t>Torta de Maçã</t>
  </si>
  <si>
    <t>Farinha de Trigo</t>
  </si>
  <si>
    <t>烤蘋果</t>
  </si>
  <si>
    <t>焼きリンゴ</t>
  </si>
  <si>
    <t>Baked Apple</t>
  </si>
  <si>
    <t>Печене яблуко</t>
  </si>
  <si>
    <t>Печеное яблоко</t>
  </si>
  <si>
    <t>Bratapfel</t>
  </si>
  <si>
    <t>Táo Nướng</t>
  </si>
  <si>
    <t>Maçã Assada</t>
  </si>
  <si>
    <t>炒貝類</t>
  </si>
  <si>
    <t>未實裝(之後河邊炸鱼可以炸出貝殼)</t>
  </si>
  <si>
    <t>炒め貝類</t>
  </si>
  <si>
    <t>Sauteed Shellfish</t>
  </si>
  <si>
    <t>Not implemented</t>
  </si>
  <si>
    <t>조개볶음</t>
  </si>
  <si>
    <t>Смажені молюски</t>
  </si>
  <si>
    <t>Поки що не реалізовано (пізніше можна буде підривати рибу в річці та отримувати молюсків).</t>
  </si>
  <si>
    <t>Жареные моллюски</t>
  </si>
  <si>
    <t>Пока не реализовано (позже можно будет взрывать рыбу в реке и получать моллюсков).</t>
  </si>
  <si>
    <t>Gebratene Muscheln</t>
  </si>
  <si>
    <t>Noch nicht implementiert (Später kann man beim Fischen am Fluss Muscheln herausfrittieren)</t>
  </si>
  <si>
    <t xml:space="preserve">
Sò ốc xào</t>
  </si>
  <si>
    <t>Crustáceo Sauté</t>
  </si>
  <si>
    <t>煎魚</t>
  </si>
  <si>
    <t>魚類</t>
  </si>
  <si>
    <t>焼き魚</t>
  </si>
  <si>
    <t>Grilled Fish</t>
  </si>
  <si>
    <t>Fish</t>
  </si>
  <si>
    <t>생선구이</t>
  </si>
  <si>
    <t>Смажена риба</t>
  </si>
  <si>
    <t>Риба</t>
  </si>
  <si>
    <t>Жареная рыба</t>
  </si>
  <si>
    <t>Рыба</t>
  </si>
  <si>
    <t>Gebratener Fisch</t>
  </si>
  <si>
    <t>Fisch</t>
  </si>
  <si>
    <t>Cá Nướng</t>
  </si>
  <si>
    <t>Cá</t>
  </si>
  <si>
    <t>Peixe grelhado</t>
  </si>
  <si>
    <t>Peixe</t>
  </si>
  <si>
    <t>炒蘑菇</t>
  </si>
  <si>
    <t>香菇</t>
  </si>
  <si>
    <t>炒めシイタケ</t>
  </si>
  <si>
    <t>シイタケ</t>
  </si>
  <si>
    <t>Sauteed Mushrooms</t>
  </si>
  <si>
    <t>Mushroom</t>
  </si>
  <si>
    <t>버섯볶음</t>
  </si>
  <si>
    <t>Смажені гриби</t>
  </si>
  <si>
    <t>Гриб</t>
  </si>
  <si>
    <t>Обжаренные грибы</t>
  </si>
  <si>
    <t>Gebratene Pilze</t>
  </si>
  <si>
    <t>Pilz</t>
  </si>
  <si>
    <t>Nấm xào thanh đạm</t>
  </si>
  <si>
    <t>Nấm</t>
  </si>
  <si>
    <t>Cogumelos Sauté</t>
  </si>
  <si>
    <t>Cogumelo</t>
  </si>
  <si>
    <t>烤串</t>
  </si>
  <si>
    <t>大塊獸肉</t>
  </si>
  <si>
    <t>焼き串</t>
  </si>
  <si>
    <t>大きい獣肉</t>
  </si>
  <si>
    <t>ジャガイモ</t>
  </si>
  <si>
    <t>Kebab</t>
  </si>
  <si>
    <t>Large Beast Meat</t>
  </si>
  <si>
    <t>케밥</t>
  </si>
  <si>
    <t>큰 짐승고기</t>
  </si>
  <si>
    <t>Шашлики</t>
  </si>
  <si>
    <t>М'ясо великого звіра</t>
  </si>
  <si>
    <t>Шашлыки</t>
  </si>
  <si>
    <t>Мясо крупного зверя</t>
  </si>
  <si>
    <t>Grillspieße</t>
  </si>
  <si>
    <t>Großes Stück Fleisch</t>
  </si>
  <si>
    <t>Thịt xiên nướng</t>
  </si>
  <si>
    <t>Thịt Quái Vật Lớn</t>
  </si>
  <si>
    <t>Carne de Grande Fera</t>
  </si>
  <si>
    <t>飯糰</t>
  </si>
  <si>
    <t>おにぎり</t>
  </si>
  <si>
    <t>Onigiri</t>
  </si>
  <si>
    <t>Онігірі</t>
  </si>
  <si>
    <t>Онигири</t>
  </si>
  <si>
    <t>Reisbällchen</t>
  </si>
  <si>
    <t>Cơm Nắm</t>
  </si>
  <si>
    <t>肉排咖喱飯</t>
  </si>
  <si>
    <t>カツカレー</t>
  </si>
  <si>
    <t>Katsu Curry White Rice</t>
  </si>
  <si>
    <t>카츠카레</t>
  </si>
  <si>
    <t>Стейк з каррі</t>
  </si>
  <si>
    <t>Стейк с карри</t>
  </si>
  <si>
    <t>Curryreis mit Fleisch</t>
  </si>
  <si>
    <t>Cơm cà ri sườn</t>
  </si>
  <si>
    <t>Katsu Curry com Arroz Branco</t>
  </si>
  <si>
    <t>肉湯</t>
  </si>
  <si>
    <t>肉のスープ</t>
  </si>
  <si>
    <t>小さい獣肉</t>
  </si>
  <si>
    <t>Meat Broth Soup</t>
  </si>
  <si>
    <t>고기 수프</t>
  </si>
  <si>
    <t>작은 짐승고기</t>
  </si>
  <si>
    <t>М'ясний суп</t>
  </si>
  <si>
    <t>М'ясо малого звіра</t>
  </si>
  <si>
    <t>Мясной суп</t>
  </si>
  <si>
    <t>Масо малого зверя</t>
  </si>
  <si>
    <t>Fleischsuppe</t>
  </si>
  <si>
    <t xml:space="preserve">Kleines Stück Fleisch
</t>
  </si>
  <si>
    <t>Súp Nước Dùng Thịt</t>
  </si>
  <si>
    <t>Sopa de Caldo de Carne</t>
  </si>
  <si>
    <t>烤肉塊</t>
  </si>
  <si>
    <t>チーズinハンバーグ</t>
  </si>
  <si>
    <t>Grilled Meat</t>
  </si>
  <si>
    <t>Страва зі смаженого м'яса</t>
  </si>
  <si>
    <t>Блюдо из жареного мяса</t>
  </si>
  <si>
    <t>Gebratene Fleischstücke</t>
  </si>
  <si>
    <t>Thịt Nướng</t>
  </si>
  <si>
    <t>Carne grelhada</t>
  </si>
  <si>
    <t>牛排肉</t>
  </si>
  <si>
    <t>厚切りお肉のステーキ</t>
  </si>
  <si>
    <t>Steak</t>
  </si>
  <si>
    <t>스테이크</t>
  </si>
  <si>
    <t>Смажені свинячі реберця</t>
  </si>
  <si>
    <t>Жареные свиные ребрышки</t>
  </si>
  <si>
    <t>Steakfleisch</t>
  </si>
  <si>
    <t>Filé</t>
  </si>
  <si>
    <t>醬牛肉</t>
  </si>
  <si>
    <t>醤油の煮込み肉鍋</t>
  </si>
  <si>
    <t>Braised Beef in Soy Sauce</t>
  </si>
  <si>
    <t>소고기장조림</t>
  </si>
  <si>
    <t>Тушкована яловичина</t>
  </si>
  <si>
    <t>Geschmorter Fleischtopf in Sojasauce</t>
  </si>
  <si>
    <t>Thịt Bò Hầm Trong Nước Tương</t>
  </si>
  <si>
    <t>Bife refogado ao molho de soja</t>
  </si>
  <si>
    <t>牛肉飯糰</t>
  </si>
  <si>
    <t>肉巻きおにぎり</t>
  </si>
  <si>
    <t>Beef Onigiri</t>
  </si>
  <si>
    <t>White White Rice</t>
  </si>
  <si>
    <t>소고기주먹밥</t>
  </si>
  <si>
    <t>М'ясний онігірі</t>
  </si>
  <si>
    <t>Мясной онигири</t>
  </si>
  <si>
    <t>Rindfleisch mit Reisbällchen</t>
  </si>
  <si>
    <t>Cơm nắm thịt cốt lết</t>
  </si>
  <si>
    <t>Onigiri com Bife</t>
  </si>
  <si>
    <t>White Arroz Branco</t>
  </si>
  <si>
    <t>奇怪的史萊姆果凍(藍色)</t>
  </si>
  <si>
    <t>水怪黏液</t>
  </si>
  <si>
    <t>可愛いスライムゼリー（青色）</t>
  </si>
  <si>
    <t>水怪の粘液</t>
  </si>
  <si>
    <t>WaterWeird Jelly (Blue)</t>
  </si>
  <si>
    <t>WaterWeird Mucus</t>
  </si>
  <si>
    <t>수괴의 점액</t>
  </si>
  <si>
    <t>Слиз водяного духу</t>
  </si>
  <si>
    <t>Водяной слайм</t>
  </si>
  <si>
    <t>Seltsames Schleimgelee (Blau)</t>
  </si>
  <si>
    <t>Wassergeistsekret</t>
  </si>
  <si>
    <t>Thạch Thủy Quái (Xanh)</t>
  </si>
  <si>
    <t>Chất Nhầy Thủy Quái</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</si>
  <si>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</si>
  <si>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</si>
  <si>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</si>
  <si>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</si>
  <si>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</si>
  <si>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</si>
  <si>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</si>
  <si>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</si>
  <si>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Рожеве желе зі слайма</t>
  </si>
  <si>
    <t>Яблучна фея</t>
  </si>
  <si>
    <t>Розовое желе из слайма</t>
  </si>
  <si>
    <t>Яблочная фея</t>
  </si>
  <si>
    <t>Seltsames Schleimgelee (Rosa)</t>
  </si>
  <si>
    <t>Thạch Thủy Quái (Hồng)</t>
  </si>
  <si>
    <t>Tiểu Tiên Táo</t>
  </si>
  <si>
    <t>Gelatina de Slime Estranho(Rosa)</t>
  </si>
  <si>
    <t>Fada de maçã</t>
  </si>
  <si>
    <t>奇怪的史萊姆果凍(黑色)</t>
  </si>
  <si>
    <t>垃圾</t>
  </si>
  <si>
    <t>可愛いスライムゼリー（黒色）</t>
  </si>
  <si>
    <t>ゴミ</t>
  </si>
  <si>
    <t>Strange Slime Jelly (Black)</t>
  </si>
  <si>
    <t>Junk</t>
  </si>
  <si>
    <t>Темне желе зі слайма</t>
  </si>
  <si>
    <t>сміття</t>
  </si>
  <si>
    <t>Тёмное желе из слайма</t>
  </si>
  <si>
    <t>Мусор</t>
  </si>
  <si>
    <t>Seltsames Schleimgelee (Schwarz)</t>
  </si>
  <si>
    <t>Abfall</t>
  </si>
  <si>
    <t>Thạch Thủy Quái (Đen)</t>
  </si>
  <si>
    <t>Rác</t>
  </si>
  <si>
    <t>Gelatina de Slime Estranho (Preto)</t>
  </si>
  <si>
    <t>Sucata</t>
  </si>
  <si>
    <t>奇怪的史萊姆果凍(彩色)</t>
  </si>
  <si>
    <t>可愛いスライムゼリー（虹色）</t>
  </si>
  <si>
    <t>Strange Slime Jelly (Color)</t>
  </si>
  <si>
    <t>Sister's Ahoge</t>
  </si>
  <si>
    <t>Райдужний желе зі слайма</t>
  </si>
  <si>
    <t>Радужное желе из слайма</t>
  </si>
  <si>
    <t>Seltsames Schleimgelee (Bunt)</t>
  </si>
  <si>
    <t>Haar von deiner Schwester</t>
  </si>
  <si>
    <t>Thạch Thủy Quái (Màu)</t>
  </si>
  <si>
    <t>Ahoge Của Em Gái</t>
  </si>
  <si>
    <t>Gelatina de Slime Estranho (Color)</t>
  </si>
  <si>
    <t>Ahoge da Imouto</t>
  </si>
  <si>
    <t>烤香蕉</t>
  </si>
  <si>
    <t>香蕉</t>
  </si>
  <si>
    <t>チョコバナナ</t>
  </si>
  <si>
    <t>バナナ</t>
  </si>
  <si>
    <t>Choco Bananas</t>
  </si>
  <si>
    <t>Banana</t>
  </si>
  <si>
    <t>Запечені банани</t>
  </si>
  <si>
    <t>Банан</t>
  </si>
  <si>
    <t>Запеченные бананы</t>
  </si>
  <si>
    <t>Gebackene Banane</t>
  </si>
  <si>
    <t>Banane</t>
  </si>
  <si>
    <t>Chuối Sô-cô-la</t>
  </si>
  <si>
    <t>Chuối</t>
  </si>
  <si>
    <t>羅宋湯</t>
  </si>
  <si>
    <t>胡蘿蔔</t>
  </si>
  <si>
    <t>ボルシチ</t>
  </si>
  <si>
    <t>じゃがいも</t>
  </si>
  <si>
    <t>にんじん</t>
  </si>
  <si>
    <t>Borscht</t>
  </si>
  <si>
    <t>Carrot</t>
  </si>
  <si>
    <t>Борщ</t>
  </si>
  <si>
    <t>Морква</t>
  </si>
  <si>
    <t>Мясо малого зверя</t>
  </si>
  <si>
    <t>Морковь</t>
  </si>
  <si>
    <t>Borschtsch</t>
  </si>
  <si>
    <t>Súp Borsht</t>
  </si>
  <si>
    <t>Cà Rốt</t>
  </si>
  <si>
    <t>Cenoura</t>
  </si>
  <si>
    <t>烤章魚腳</t>
  </si>
  <si>
    <t>章魚腳</t>
  </si>
  <si>
    <t>焼きタコ串</t>
  </si>
  <si>
    <t>タコの触手</t>
  </si>
  <si>
    <t>Grilled Octopus Legs</t>
  </si>
  <si>
    <t>Octopus Tentacles</t>
  </si>
  <si>
    <t>문어 다리 구이</t>
  </si>
  <si>
    <t>문어 다리</t>
  </si>
  <si>
    <t>Щупальця восьминога на грилі</t>
  </si>
  <si>
    <t>Щупальця Восьминога</t>
  </si>
  <si>
    <t>Щупальца осьминога на гриле</t>
  </si>
  <si>
    <t>Щупальца Осьминога</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</si>
  <si>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</si>
  <si>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</si>
  <si>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</si>
  <si>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</si>
  <si>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</si>
  <si>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</si>
  <si>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</si>
  <si>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</si>
  <si>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</si>
  <si>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</si>
  <si>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</si>
  <si>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</si>
  <si>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Овочевий салат</t>
  </si>
  <si>
    <t>Овочі</t>
  </si>
  <si>
    <t>Овощной салат</t>
  </si>
  <si>
    <t>Овощи</t>
  </si>
  <si>
    <t>Gemüsesalat</t>
  </si>
  <si>
    <t>Gemüse</t>
  </si>
  <si>
    <t>Cà Rốt Xắt Nhỏ Trộn</t>
  </si>
  <si>
    <t>Cenouras misturada e moída</t>
  </si>
  <si>
    <t>土豆泥</t>
  </si>
  <si>
    <t>マッシュポテト</t>
  </si>
  <si>
    <t>Mashed Potatoes</t>
  </si>
  <si>
    <t>매시드 포테이토</t>
  </si>
  <si>
    <t>Картопляне пюре</t>
  </si>
  <si>
    <t>Картофельное пюре</t>
  </si>
  <si>
    <t>Kartoffelpüree</t>
  </si>
  <si>
    <t>Khoai Tây Nghiền</t>
  </si>
  <si>
    <t>Purê de batata</t>
  </si>
  <si>
    <t>蘿蔔菇片湯</t>
  </si>
  <si>
    <t>菇類</t>
  </si>
  <si>
    <t>にんじんときのこのスープ</t>
  </si>
  <si>
    <t>きのこ類</t>
  </si>
  <si>
    <t>Radish and Mushroom Soup</t>
  </si>
  <si>
    <t>당근 버섯 수프</t>
  </si>
  <si>
    <t>Суп з редьки та грибів</t>
  </si>
  <si>
    <t>Суп из редьки и грибов</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</si>
  <si>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</si>
  <si>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</si>
  <si>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</si>
  <si>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</si>
  <si>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</si>
  <si>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</si>
  <si>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</si>
  <si>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</si>
  <si>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</si>
  <si>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</si>
  <si>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</si>
  <si>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</si>
  <si>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</si>
  <si>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</si>
  <si>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</si>
  <si>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</si>
  <si>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</si>
  <si>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</si>
  <si>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</si>
  <si>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</si>
  <si>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Томатна паста</t>
  </si>
  <si>
    <t>Томатний соус</t>
  </si>
  <si>
    <t>Томатная паста</t>
  </si>
  <si>
    <t>Томатный соус</t>
  </si>
  <si>
    <t>Nudeln mit Tomatensauce</t>
  </si>
  <si>
    <t>Tomatensauce</t>
  </si>
  <si>
    <t>Mì Ý sốt cà chua</t>
  </si>
  <si>
    <t>Sốt Cà Chua</t>
  </si>
  <si>
    <t>Macarrão com molho de Tomate</t>
  </si>
  <si>
    <t>Molho de Tomate</t>
  </si>
  <si>
    <t>海鮮意麵</t>
  </si>
  <si>
    <t>甜蝦</t>
  </si>
  <si>
    <t>海鮮パスタ</t>
  </si>
  <si>
    <t>甘エビ</t>
  </si>
  <si>
    <t>Seafood Pasta</t>
  </si>
  <si>
    <t>Sweet Shrimp</t>
  </si>
  <si>
    <t>단새우</t>
  </si>
  <si>
    <t>Паста з морепродуктами</t>
  </si>
  <si>
    <t>Креветки</t>
  </si>
  <si>
    <t>Паста с морепродуктами</t>
  </si>
  <si>
    <t>Pasta mit Meeresfrüchten</t>
  </si>
  <si>
    <t>Süße Garnelen</t>
  </si>
  <si>
    <t>Mì Ý hải sản</t>
  </si>
  <si>
    <t>Tôm Ngọt</t>
  </si>
  <si>
    <t>Macarrão com frutos do mar</t>
  </si>
  <si>
    <t>Camarão-doce</t>
  </si>
  <si>
    <t>雞蛋咖哩飯</t>
  </si>
  <si>
    <t>目玉焼きカレー</t>
  </si>
  <si>
    <t>大きい卵</t>
  </si>
  <si>
    <t>Egg Curry Rice</t>
  </si>
  <si>
    <t>Рис з яйцем і каррі</t>
  </si>
  <si>
    <t>Рис с яйцом и карри</t>
  </si>
  <si>
    <t>Eier-Curryreis</t>
  </si>
  <si>
    <t>Sehr große Eier</t>
  </si>
  <si>
    <t>Cơm Cà Ri Trứng</t>
  </si>
  <si>
    <t>Arroz com Ovo e Curry</t>
  </si>
  <si>
    <t>蛋包飯</t>
  </si>
  <si>
    <t>オムライス</t>
  </si>
  <si>
    <t>Omurice</t>
  </si>
  <si>
    <t>Large Egg</t>
  </si>
  <si>
    <t>오므라이스</t>
  </si>
  <si>
    <t>Омлет із рисом</t>
  </si>
  <si>
    <t>Омлет с рисом</t>
  </si>
  <si>
    <t>Omurice (Reis mit Omelett)</t>
  </si>
  <si>
    <t>Cơm trứng cuộn</t>
  </si>
  <si>
    <t>番茄蛋包飯</t>
  </si>
  <si>
    <t>オムライスver2</t>
  </si>
  <si>
    <t>トマト</t>
  </si>
  <si>
    <t>Tomato Omurice</t>
  </si>
  <si>
    <t>토마토 소스 오므라이스</t>
  </si>
  <si>
    <t>Омлет з помідорами та рисом</t>
  </si>
  <si>
    <t>Омлет с помидорами и рисом</t>
  </si>
  <si>
    <t>Tomaten-Omurice</t>
  </si>
  <si>
    <t>Omurice Cà Chua</t>
  </si>
  <si>
    <t>Omurice com tomate</t>
  </si>
  <si>
    <t>海鮮燉飯</t>
  </si>
  <si>
    <t>大龍蝦</t>
  </si>
  <si>
    <t>シーフードリゾット</t>
  </si>
  <si>
    <t>伊勢エビ</t>
  </si>
  <si>
    <t>Seafood Risotto</t>
  </si>
  <si>
    <t>랍스터</t>
  </si>
  <si>
    <t>Різотто з морепродуктами</t>
  </si>
  <si>
    <t>Лангуст</t>
  </si>
  <si>
    <t>Ризотто с морепродуктами</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</si>
  <si>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</si>
  <si>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</si>
  <si>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</si>
  <si>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</si>
  <si>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</si>
  <si>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</si>
  <si>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</si>
  <si>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</si>
  <si>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</si>
  <si>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</si>
  <si>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</si>
  <si>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Ананасовий напій</t>
  </si>
  <si>
    <t>Ананас</t>
  </si>
  <si>
    <t>Ананасовый напиток</t>
  </si>
  <si>
    <t>Ananasgetränk</t>
  </si>
  <si>
    <t>Ananas</t>
  </si>
  <si>
    <t>Nước Ép Dứa</t>
  </si>
  <si>
    <t>Dứa</t>
  </si>
  <si>
    <t>Suco de Abacaxi</t>
  </si>
  <si>
    <t>Abacaxi</t>
  </si>
  <si>
    <t>沖繩雜炒</t>
  </si>
  <si>
    <t>沖縄風炒め</t>
  </si>
  <si>
    <t>野菜</t>
  </si>
  <si>
    <t>Okinawa Stir Fry</t>
  </si>
  <si>
    <t>Vegetables</t>
  </si>
  <si>
    <t>오키나와식 볶음 요리</t>
  </si>
  <si>
    <t>Жарке по-окінавськи з стир-фраєм</t>
  </si>
  <si>
    <t>Жаркое по-окинавски со стир-фраем</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</si>
  <si>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</si>
  <si>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</si>
  <si>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</si>
  <si>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</si>
  <si>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</si>
  <si>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</si>
  <si>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</si>
  <si>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</si>
  <si>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</si>
  <si>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</si>
  <si>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</si>
  <si>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</si>
  <si>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</si>
  <si>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Відерце зі смаженою куркою</t>
  </si>
  <si>
    <t>Куряча ніжка</t>
  </si>
  <si>
    <t>Ведёрко с жареной курицей</t>
  </si>
  <si>
    <t>Куриная ножка</t>
  </si>
  <si>
    <t>Eimer frittierter Hähnchenstücke</t>
  </si>
  <si>
    <t>Hähnchenschenkel</t>
  </si>
  <si>
    <t>Xô Gà Chiên Ken Taki</t>
  </si>
  <si>
    <t>Đùi Chim</t>
  </si>
  <si>
    <t>Balde de Galinha Frita do Ken Taki</t>
  </si>
  <si>
    <t>Coxa de Ave</t>
  </si>
  <si>
    <t>炸雞腿</t>
  </si>
  <si>
    <t>フライドチキン(ｘ)</t>
  </si>
  <si>
    <t>Fried Chicken Legs</t>
  </si>
  <si>
    <t>Смажені курячі ніжки</t>
  </si>
  <si>
    <t>Жареные куриные ножки</t>
  </si>
  <si>
    <t>Frittierte Hähnchenschenkel</t>
  </si>
  <si>
    <t>Chân Gà Rán</t>
  </si>
  <si>
    <t>Coxa de Frango Frito</t>
  </si>
  <si>
    <t>天婦羅飯糰</t>
  </si>
  <si>
    <t>天ぷらのおにぎり</t>
  </si>
  <si>
    <t>Tenmusu</t>
  </si>
  <si>
    <t>덴푸라 주먹밥</t>
  </si>
  <si>
    <t>Онігірі з темпуро</t>
  </si>
  <si>
    <t>Онигири с темпурой</t>
  </si>
  <si>
    <t>Hummer mit Reisbällchen</t>
  </si>
  <si>
    <t>焗龍蝦</t>
  </si>
  <si>
    <t>龍蝦</t>
  </si>
  <si>
    <t>エビグラタン</t>
  </si>
  <si>
    <t>Baked Lobster</t>
  </si>
  <si>
    <t>Spiny Lobster</t>
  </si>
  <si>
    <t>랍스터 구이</t>
  </si>
  <si>
    <t>Запечений омар</t>
  </si>
  <si>
    <t>Запеченный омар</t>
  </si>
  <si>
    <t>Überbackener Hummer</t>
  </si>
  <si>
    <t>Tôm Hùm Nấu Chín</t>
  </si>
  <si>
    <t>Tôm Hùm Gai</t>
  </si>
  <si>
    <t>Lagos Assada</t>
  </si>
  <si>
    <t>Lagosta-espinhosa</t>
  </si>
  <si>
    <t>煮螃蟹</t>
  </si>
  <si>
    <t>毛蟹</t>
  </si>
  <si>
    <t>カニのスープ</t>
  </si>
  <si>
    <t>毛ガニ</t>
  </si>
  <si>
    <t>Boiled Crabs</t>
  </si>
  <si>
    <t>Hairy Crab</t>
  </si>
  <si>
    <t>게찜</t>
  </si>
  <si>
    <t>Варений краб</t>
  </si>
  <si>
    <t>Краб волохатий</t>
  </si>
  <si>
    <t>Вареный краб</t>
  </si>
  <si>
    <t>Волосатый Краб</t>
  </si>
  <si>
    <t>Gekochter Krebs</t>
  </si>
  <si>
    <t>haarige Krabbe</t>
  </si>
  <si>
    <t>Cua Luộc</t>
  </si>
  <si>
    <t>Cua Lông</t>
  </si>
  <si>
    <t>Carangueijo Cozido</t>
  </si>
  <si>
    <t>Caranguejo-peludo</t>
  </si>
  <si>
    <t>金槍魚頭</t>
  </si>
  <si>
    <t>金槍魚</t>
  </si>
  <si>
    <t>マグロヘッド(ｘ)</t>
  </si>
  <si>
    <t>マグロ</t>
  </si>
  <si>
    <t>Tuna Head</t>
  </si>
  <si>
    <t>Tuna</t>
  </si>
  <si>
    <t>Голова тунця</t>
  </si>
  <si>
    <t>Тунець</t>
  </si>
  <si>
    <t>Голова тунца</t>
  </si>
  <si>
    <t>Тунец</t>
  </si>
  <si>
    <t>Thunfischkopf</t>
  </si>
  <si>
    <t>Thunfisch</t>
  </si>
  <si>
    <t>Đầu Cá Ngừ</t>
  </si>
  <si>
    <t>Cá Ngừ</t>
  </si>
  <si>
    <t>Cabeça de Atum</t>
  </si>
  <si>
    <t>Atum</t>
  </si>
  <si>
    <t>章魚丸子</t>
  </si>
  <si>
    <t>たこ焼き</t>
  </si>
  <si>
    <t>Takoyaki</t>
  </si>
  <si>
    <t>타코야키</t>
  </si>
  <si>
    <t>Такоякі з восьминога</t>
  </si>
  <si>
    <t>Такояки из осьминога</t>
  </si>
  <si>
    <t>Takoyaki (Oktopusbällchen)</t>
  </si>
  <si>
    <t>漢堡肉</t>
  </si>
  <si>
    <t>Hamburg Steak</t>
  </si>
  <si>
    <t>햄버그 스테이크</t>
  </si>
  <si>
    <t>М'ясо для гамбургера</t>
  </si>
  <si>
    <t>Мясо для гамбургера</t>
  </si>
  <si>
    <t>Hamburgerfleisch</t>
  </si>
  <si>
    <t>Bít Tết Hamburg</t>
  </si>
  <si>
    <t>Hámburguer de Carne</t>
  </si>
  <si>
    <t>辣味土豆泥</t>
  </si>
  <si>
    <t>スパイシーマッシュポテト</t>
  </si>
  <si>
    <t>トウガラシ</t>
  </si>
  <si>
    <t>Spicy Mashed Potatoes</t>
  </si>
  <si>
    <t>매콤한 매시드 포테이토</t>
  </si>
  <si>
    <t>고추</t>
  </si>
  <si>
    <t>Гостро картопляне пюре</t>
  </si>
  <si>
    <t>Перець Чилі</t>
  </si>
  <si>
    <t>Острое картофельное пюре</t>
  </si>
  <si>
    <t>Перец Чили</t>
  </si>
  <si>
    <t>Scharfer Kartoffelbrei</t>
  </si>
  <si>
    <t>Chilischote</t>
  </si>
  <si>
    <t>Khoai Tây Nghiền Cay</t>
  </si>
  <si>
    <t>Purê de Batata Apimentado</t>
  </si>
  <si>
    <t>辣椒水</t>
  </si>
  <si>
    <t>激辛スープ</t>
  </si>
  <si>
    <t>Chili Sauce</t>
  </si>
  <si>
    <t>고추기름</t>
  </si>
  <si>
    <t>Суп з перцем чилі</t>
  </si>
  <si>
    <t>Суп с перцем чили</t>
  </si>
  <si>
    <t>Chilisauce</t>
  </si>
  <si>
    <t>Sốt Cay</t>
  </si>
  <si>
    <t>Molho de Chili</t>
  </si>
  <si>
    <t>水怪軟糖</t>
  </si>
  <si>
    <t>グミ(ｘ)</t>
  </si>
  <si>
    <t>WaterWeird Gooey Gummy</t>
  </si>
  <si>
    <t>수괴 젤리</t>
  </si>
  <si>
    <t>Вершкова помадка "Водяний монстр"</t>
  </si>
  <si>
    <t>Сливочная помадка "Водяной монстр"</t>
  </si>
  <si>
    <t>Wassermonster-Gummibonbon</t>
  </si>
  <si>
    <t>Thủy Quái Dính Dính</t>
  </si>
  <si>
    <t>Goma grudenta de WaterWeird</t>
  </si>
  <si>
    <t xml:space="preserve">Muco de WaterWeird </t>
  </si>
  <si>
    <t>水怪刨冰</t>
  </si>
  <si>
    <t>かき氷！</t>
  </si>
  <si>
    <t>WaterWeird Sticky Shaved Ice</t>
  </si>
  <si>
    <t>수괴 빙수</t>
  </si>
  <si>
    <t>Слизький стружковий лід</t>
  </si>
  <si>
    <t>"Скользкий стружечный лед"</t>
  </si>
  <si>
    <t>Wassermonster Eis</t>
  </si>
  <si>
    <t>Chè Thủy Quái</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</si>
  <si>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</si>
  <si>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</si>
  <si>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</si>
  <si>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</si>
  <si>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</si>
  <si>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</si>
  <si>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</si>
  <si>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</si>
  <si>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</si>
  <si>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</si>
  <si>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</si>
  <si>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</si>
  <si>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Червона вершкова помадка "Водяний монстр"</t>
  </si>
  <si>
    <r>
      <rPr>
        <rFont val="Microsoft JhengHei"/>
        <color theme="1"/>
        <sz val="16.0"/>
      </rPr>
      <t xml:space="preserve">Б
</t>
    </r>
    <r>
      <rPr>
        <rFont val="Microsoft JhengHei"/>
        <color theme="1"/>
        <sz val="12.0"/>
      </rPr>
      <t>(З Перцем Чили)</t>
    </r>
  </si>
  <si>
    <t>Помідор/
Перець Чилі</t>
  </si>
  <si>
    <t>Красная сливочная помадка "Водяной монстр"</t>
  </si>
  <si>
    <r>
      <rPr>
        <rFont val="Microsoft JhengHei"/>
        <color theme="1"/>
        <sz val="16.0"/>
      </rPr>
      <t xml:space="preserve">Б
</t>
    </r>
    <r>
      <rPr>
        <rFont val="Microsoft JhengHei"/>
        <color theme="1"/>
        <sz val="12.0"/>
      </rPr>
      <t>(С Перцем Чили)</t>
    </r>
  </si>
  <si>
    <t>Помидоры / Перец Чили</t>
  </si>
  <si>
    <t>Wassermonster-Gummibonbon (Rot)</t>
  </si>
  <si>
    <t>Thủy Quái Dính Dính (Đỏ)</t>
  </si>
  <si>
    <t>B
(với Ớt)</t>
  </si>
  <si>
    <t>Cà Chua hoặc Ớt</t>
  </si>
  <si>
    <t>Goma grudenta de WaterWeird (Vermelho)</t>
  </si>
  <si>
    <t>B
(Com Chili)</t>
  </si>
  <si>
    <t>Tomate ou Chili</t>
  </si>
  <si>
    <t>煎薄餅</t>
  </si>
  <si>
    <t>パァンケーキ！</t>
  </si>
  <si>
    <t>Pancakes</t>
  </si>
  <si>
    <t>Млинці</t>
  </si>
  <si>
    <t>Блинчики</t>
  </si>
  <si>
    <t>Pfannkuchen(ES HEIßT Pfannkuchen PUNKT!!!)</t>
  </si>
  <si>
    <t>Bánh Kếp</t>
  </si>
  <si>
    <t>Panqueca</t>
  </si>
  <si>
    <t>草莓煎薄餅</t>
  </si>
  <si>
    <t>イチゴのパァンケーキ！</t>
  </si>
  <si>
    <t>イチゴ</t>
  </si>
  <si>
    <t>Strawberry Pancakes</t>
  </si>
  <si>
    <t>Млинці з полуницею</t>
  </si>
  <si>
    <t>Блинчики с клубникой</t>
  </si>
  <si>
    <t>Erdbeerpfannkuchen</t>
  </si>
  <si>
    <t>Erdbeere</t>
  </si>
  <si>
    <t>Bánh Kếp Dâu Tây</t>
  </si>
  <si>
    <t>Panqueca de Morango</t>
  </si>
  <si>
    <t>番茄湯</t>
  </si>
  <si>
    <t>トマトスープ</t>
  </si>
  <si>
    <t>Tomato Soup</t>
  </si>
  <si>
    <t>Томатний суп</t>
  </si>
  <si>
    <t>Томатный суп</t>
  </si>
  <si>
    <t>Tomatensuppe</t>
  </si>
  <si>
    <t>Súp Cà Chua</t>
  </si>
  <si>
    <t>Sopa de Tomate</t>
  </si>
  <si>
    <t>いちご</t>
  </si>
  <si>
    <t>Скляна полуниця</t>
  </si>
  <si>
    <t>Стеклянная клубника</t>
  </si>
  <si>
    <t>煙燻雞飯糰</t>
  </si>
  <si>
    <t>雞腿肉/白飯</t>
  </si>
  <si>
    <t>白飯</t>
  </si>
  <si>
    <t>Smoked Chicken Rice Balls</t>
  </si>
  <si>
    <t>Bird Leg Meat / White Rice</t>
  </si>
  <si>
    <t>훈제 치킨 주먹밥</t>
  </si>
  <si>
    <t>Онігірі з копченою куркою</t>
  </si>
  <si>
    <t>Курячі ніжки</t>
  </si>
  <si>
    <t>Курячі ніжки / Рис</t>
  </si>
  <si>
    <t>Онигири с копченой курицей</t>
  </si>
  <si>
    <t>Куриные ножки</t>
  </si>
  <si>
    <t>Куриные ножки / Рис</t>
  </si>
  <si>
    <t>Cơm Gà Nắm Hun Khói</t>
  </si>
  <si>
    <t>Đùi Chim / Cơm Trắng</t>
  </si>
  <si>
    <t>Bolinhos de Arroz com Frango Defumado</t>
  </si>
  <si>
    <t>Coxa de Ave/ Arroz Branco</t>
  </si>
  <si>
    <t>雞肉咖哩飯</t>
  </si>
  <si>
    <t>咖哩塊</t>
  </si>
  <si>
    <t>Chicken Curry Rice</t>
  </si>
  <si>
    <t>Каррі з куркою та рисом</t>
  </si>
  <si>
    <t>Кирри с курицей и рисом</t>
  </si>
  <si>
    <t>Cà Ri Gà</t>
  </si>
  <si>
    <t>Arroz com Frango ao Curry</t>
  </si>
  <si>
    <t>烤胡蘿蔔串</t>
  </si>
  <si>
    <t>Grilled Carrot Skewers</t>
  </si>
  <si>
    <t>Шашлик із запеченої моркви</t>
  </si>
  <si>
    <t>Шашлык из запеченной моркови</t>
  </si>
  <si>
    <t>Cà Rốt Xiên Nướng</t>
  </si>
  <si>
    <t>Espetinhos de cenoura grelhados</t>
  </si>
  <si>
    <t>薩卡班甲魚壽司</t>
  </si>
  <si>
    <t>米飯</t>
  </si>
  <si>
    <t>X△X</t>
  </si>
  <si>
    <t>サカバンガメの寿司</t>
  </si>
  <si>
    <t>Sacambapsis Sushi</t>
  </si>
  <si>
    <t>Rice</t>
  </si>
  <si>
    <t>萨卡班甲鱼寿司</t>
  </si>
  <si>
    <t>米饭</t>
  </si>
  <si>
    <t>Сакамбапсис-суші</t>
  </si>
  <si>
    <t>Сакамбапсис-суши</t>
  </si>
  <si>
    <t>Reiß</t>
  </si>
  <si>
    <t>Sushi Sacambapsis</t>
  </si>
  <si>
    <t xml:space="preserve">Gạo </t>
  </si>
  <si>
    <t>Sushi de tartaruga Sakaban</t>
  </si>
  <si>
    <t>蝦子刺身押壽司</t>
  </si>
  <si>
    <t>蝦</t>
  </si>
  <si>
    <t>エビの刺身寿司</t>
  </si>
  <si>
    <t>エビ</t>
  </si>
  <si>
    <t>Shrimp Sashimi Pressed Sushi</t>
  </si>
  <si>
    <t>Shrimp</t>
  </si>
  <si>
    <t>虾子刺身押寿司</t>
  </si>
  <si>
    <t>虾</t>
  </si>
  <si>
    <t>Сакамбапсис-суші з креветкою</t>
  </si>
  <si>
    <t>Креветка</t>
  </si>
  <si>
    <t>Сакамбапсис-суши с креветкой</t>
  </si>
  <si>
    <t>Garnelensashimi gepresstes Sushi</t>
  </si>
  <si>
    <t>Garnelen</t>
  </si>
  <si>
    <t>Sushi Sashimi Tôm Ép</t>
  </si>
  <si>
    <t>Gạo</t>
  </si>
  <si>
    <t>Tôm</t>
  </si>
  <si>
    <t>Sushi de camarão</t>
  </si>
  <si>
    <t>Camarão</t>
  </si>
  <si>
    <t>肉排押壽司</t>
  </si>
  <si>
    <t>肉</t>
  </si>
  <si>
    <t>ステーキの寿司</t>
  </si>
  <si>
    <t>Meat Cutlet Pressed Sushi</t>
  </si>
  <si>
    <t>Meat</t>
  </si>
  <si>
    <t>肉排押寿司</t>
  </si>
  <si>
    <t>Сакамбапсис-суші з м'ясом</t>
  </si>
  <si>
    <t>М'ясо</t>
  </si>
  <si>
    <t>Сакамбапсис-суши с мясом</t>
  </si>
  <si>
    <t>Мясо</t>
  </si>
  <si>
    <t>Fleischschnitzel gepresstes Sushi</t>
  </si>
  <si>
    <t>Fleisch</t>
  </si>
  <si>
    <t>Sushi Thịt Cốt Lết Ép</t>
  </si>
  <si>
    <t>Thịt</t>
  </si>
  <si>
    <t>Sushi de costeleta de porco</t>
  </si>
  <si>
    <t>Carne</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</si>
  <si>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使用『get40rfree』， 取得所有日常必需品和材料 (限1次)
使用『hard2k1ll』，可以立即獲得"妖精女王的晶翼"道具(免疫墜落傷害、降低最終受到的傷害)
請注意：
一旦使用作弊代碼，會獲得"雜魚"的稱號，此效果無法移除且永久存在，擁有此稱號將在後續版本更新中，出現其他的影響。
例如開場的妹妹嘲諷語音、來自NPC的嘲諷等等，建議使用不同的存檔。
可以於遊戲設定中開關"雜魚模式"選項
於外出的RPG模式時，長按頭像，會出現輸入框。</t>
  </si>
  <si>
    <t xml:space="preserve">『6a1n60ld』のチートコードを使用すると『10万ゴールド』および『ルイカのラッキーハンマー』（ドロップ率増加）を即座に入手可能
『healmeplz』のチートコードを使用すると『ミオの救急箱』（毎秒HP回復）を即座に入手可能
『unshatter』のチートコードを使用すると『シロインの黄金指』（武器消耗なし）を即座に入手可能
『60dpat』のチートコードを使用すると『カタリスト・アマトリア』アイテム（頭を1回撫でるとハートが1つ増加）を即座に入手可能
『muestacz』のチートコードを使用すると『絶対領域』アイテム（武器／防具の所持数＋99）を即座に入手可能
『1f0g0ty0u』を使用すると妹の名前を再設定可能（この操作はチートコードの使用には含まれない）
『get40rfree』
『hard2k1ll』
ご注意：一度でもチートコードを使用すると、『雑魚』の称号が付与されます。この効果は削除できず永久に残ります。この称号を所持していると、今後のアップデートで追加の影響が発生します。
例：ゲーム開始時の妹による煽りボイスや、NPCからの嘲笑など。別のセーブデータの使用を推奨します。
外出時のRPGモードでは、アイコンを長押しすると入力欄が表示されます。
</t>
  </si>
  <si>
    <t xml:space="preserve">Want to cheat? You can do so by holding the avatar frame during adventure mode and typing it in the input box
Some cheat codes are one-time use only.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『get40rfree』- obtains all daily necessary items and materials (one-time only)
『hard2k1ll』- Gives you the "Fairy Queen's Crystal Wings" equipment which grants immunity to fall damage and significantly reduces all other damage types.
NOTE: Once you cheat in the game (except 1f0g0ty0u), you will have a title called "zako" (meaning noob/trash) which cannot be removed and will exist permanently. Having this title will have subsequent effects related to it in the future such as taunting remarks from imouto, NPCs, etc.
If you feel that the easter egg ruins the experience, it can be turned off in the options menu under ZAKO MODE.
</t>
  </si>
  <si>
    <t>Хочете схитрувати? Ви можете зробити це, утримуючи рамку аватара в режимі "Пригода" та ввівши у поле введення:
『6a1n60ld』 - Негайно дає 100 000 єн та "Чарівний молот Руїки" (чіт-предмет, який збільшує імовірність випадіння).
『healmeplz』 - Дає "Аптечку першої допомоги Міо" (чіт-предмет, який значно відновлює здоров'я за секунду.)
『unshatter』 - Дає "Золотий палець Широїна" (чіт-предмет, який надає зброї нескінченну міцність).
『60dpat』 - Дає вам спорядження "Каталізатор Аматорії" (чіт-предмет, яке змушує погладжування голови давати 1 червоне серце негайно при носінні).
『muestacz』 - Дає вам спорядження "Абсолютна територія" (чіт-предмет, яке дає +99 місця в інвентарі зброї/обладнання при носінні).
『1f0g0ty0u』- Ім'я сестри буде забуте, і гравець зможе перейменувати її. (не рахується як чіт-код)
『get40rfree』 - отримання всіх необхідних щоденних речей та матеріалів (тільки один раз).
『hard2k1ll』- видає спорядження "Кришталеві крила Королеви фей" (чіт-предмет, який надає імунітет до шкоди при падінні і значно знижує всі інші види шкоди).
Зверніть увагу: використання чит-кодів призведе до присвоєння звання «Zako» ("нуб" / "сміття"), яке є постійним і не може бути видалено. Наявність цього звання спричинить інші наслідки в майбутніх оновленнях. Наприклад, саркастична репліка сестри на початку гри, глузування NPC і т. д.
Якщо ви відчуваєте, що це "пасхальне яйце" псує враження, його можна відключити в меню налаштувань в режимі "ZAKO".</t>
  </si>
  <si>
    <t>Хотите считерить? Вы можете сделать это, удерживая рамку с аватаром в режиме "приключение" и введя в поле ввода:
『6a1n60ld』- выдаёт "100 000 йен" и "Волшебный молот Руики" (читерский предмет, увеличивающий вероятность выпадения).
『healmeplz』- выдаёт "Аптечку Мио" (читерский предмет, восстановление здоровья в секунду).
『unshatter』- выдаёт предмет "Золотой палец Широина" (читерский предмет, оружие не ломается).
『60dpat』- выдаёт предмет "Любовная рябь" (читерский предмет, каждый похлопывание по голове добавляет сердечко).
『muestacz』- выдаёт предмет "Абсолютная территория" (читерский предмет, количество оружия/экипировки в инвентаре +99).
『1f0g0ty0u』- имя Имоуто будет забыто, и игрок сможет переименовать её (не считается чит-кодом).
『get40rfree』- позволяет получить все предметы и материалы (только один раз).
『hard2k1ll』- выдаёт экипировку "Хрустальные крылья Королевы фей" (читерский предмет, иммунитет к урону при падении и значительно снижает все другие виды урона).
Обратите внимание: использование чит-кодов приведет к присвоению звания «Zako» ("нуб" / "мусор"),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т.д.
Если вы чувствуете, что это "пасхальное яйцо" портит впечатление, его можно отключить в меню настроек в режиме "ZAKO".</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</si>
  <si>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</si>
  <si>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May Mắn Của Ruika" (vật phẩm gian luận), tăng tỉ lệ rơi đồ
{healmeplz} - cho vật phẩm "Bộ Sơ Cứu Của Mio" (vật phẩm gian lận) giúp hồi 100% máu mỗi giây
{unshatter} - cho vật phẩm "Kim Thủ Chỉ Của Shiroin" (vật phẩm gian lận) giúp vũ khí có vô tận độ bền
{60dpat} - cho bạn trang bị “Ái Thần Dâng Trào", làm cho xoa đầu tăng 1 tim đỏ ngay lập tức khi đang đeo
{muestacz} - cho bạn trang bị “Lãnh Địa Tuyệt Đối”, làm tăng 99 vũ khí/trang bị không gian trong túi khi đeo
{1f0g0ty0u} - tên của em gái sẽ biến mất và cho người chơi đặt lại tên em gái
{get40rfree} - nhận được tất cả các vật phẩm và nguyên liệu cần thiết (dùng một lần)
{hard2k1ll} - nhận được trang bị "Đôi Cánh Pha Lê Của Nữ Hoàng Tiên" cho bạn miễn nhiễm với sát thương rơi và giảm đáng kể tất cả các loại sát thương khác
Lưu ý: Một khi bạn ăn gian trong trò chơi (trừ 1f0g0ty0u), bạn sẽ bị gọi là "ZAKO" (nghĩ là yếu kém/gà), không thể loại bỏ nó và sẽ tồn tại vĩnh viễn. Dòng chữ này tạo ra các hiệu ứng đi kèm liên quan đến nó trong tương lai, như hiệu ứng chọc ghẹo từ em gái, NPC, vv... 
Khi ở chế độ RPG bên ngoài, nhấn và giữ hình đại diện bên cạnh thanh máu và hộp nhập văn bản sẽ xuất hiện</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</si>
  <si>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『get40rfree』 - Obtém todos os itens e materiais necessários diariamente (uso único)
『hard2k1ll』 - Concede o equipamento "Asas de Cristal da Rainha das Fadas", que garante imunidade a dano de queda e reduz significativamente todos os outros tipos de dano.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</si>
  <si>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 xml:space="preserve">Butuh Cheat ? Ketik ini pada keyboardmu:
『6a1n60ld』 - Langsung memberikan 100.000 yen dan "Palu Ajaib Ruika" (item curang), yang meningkatkan tingkat jatuhnya item
『healmeplz』 - Memberikan "Kotak Pertolongan Pertama Mio" (item curang) yang memulihkan kesehatan secara besar-besaran per detik
『unshatter』 - Memberikan "Jari Emas Shiroin" (item curang) yang memberikan daya tahan senjata tak terbatas
『60dpat』 - Memberikan perlengkapan "Catalyst Amatoria" yang membuat elusan kepala memberikan 1 hati merah secara langsung saat dikenakan
『muestacz』 - Memberikan perlengkapan "Absolute Territory", yang memberikan +99 ruang inventaris senjata/perlengkapan saat dikenakan
『1f0g0ty0u』 - Nama adik akan dilupakan dan pemain dapat mengganti namanya. (Tidak dihitung sebagai kode cheat)
CATATAN: Setelah Anda menggunakan cheat dalam game (kecuali 1f0g0ty0u), Anda akan memiliki gelar "zako" (artinya noob/sampah) yang tidak dapat dihapus dan akan ada secara permanen. Memiliki gelar ini akan memiliki efek selanjutnya yang terkait dengannya di masa mendatang seperti ejekan dari imouto, NPC, dll.
Selama Mode RPG/Petualangan, tidak ada kotak input. Cukup ketik kode di keyboard Anda dan ingat untuk tidak menyalin dan menempel.
</t>
  </si>
  <si>
    <t>存檔想跨越不同版本，將www-&gt;save的檔案搬運至新版本同樣位置即可</t>
  </si>
  <si>
    <t>異なるバージョン間でゲームを保存するには、ファイルを www-&gt;save から新しいバージョンの同じ場所に移動するだけです。</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</si>
  <si>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</si>
  <si>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</si>
  <si>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Щоб перенести збереження гри на різні версії, просто перемістіть файл збереження з папки www\save на те саме місце в новій версії.</t>
  </si>
  <si>
    <t>Чтобы перенести сохранение игры на разные версии, просто переместите файл сохранения из папки www\save в то же место в новой версии.</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</si>
  <si>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</si>
  <si>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</si>
  <si>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</si>
  <si>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Jika Anda ingin memindahkan data simpanan dari versi lama ke versi yang lebih baru, cukup salin folder simpanan dari www/save ke lokasi yang sama di versi baru.</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</si>
  <si>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</si>
  <si>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</si>
  <si>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</si>
  <si>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може прискорити виконання анімації та музичних варіацій.</t>
  </si>
  <si>
    <t>ALT может ускорить выполнение анимации и музыкальных вариаций.</t>
  </si>
  <si>
    <t>ALT drücken um die Animation zu beschleunigen.</t>
  </si>
  <si>
    <t>Giữ phím ALT để tăng tốc độ hiển thị animation và cả nhạc nền</t>
  </si>
  <si>
    <t>Ficar pressionando o ALT acelera a renderização das animações e até a música de fundo</t>
  </si>
  <si>
    <t>Menekan tombol ALT mempercepat rendering animasi dan bahkan musik latar.</t>
  </si>
  <si>
    <t>CTRL可加速對話</t>
  </si>
  <si>
    <t>CTRL キーを押すと会話が速くなります</t>
  </si>
  <si>
    <t>Holding CTRL speeds up dialog</t>
  </si>
  <si>
    <t>Натискання CTRL може прискорити діалоги.</t>
  </si>
  <si>
    <t>Нажатие клавиши CTRL может ускорить диалоги.</t>
  </si>
  <si>
    <t>STRG drücken um den Text zu beschleunigen.</t>
  </si>
  <si>
    <t>Giữ phím CTRL để tăng tốc độ nói chuyện</t>
  </si>
  <si>
    <t>Ficar pressionando o CTRL acelera o diálogo</t>
  </si>
  <si>
    <t>Menekan CTRL mempercepat dialog.</t>
  </si>
  <si>
    <t>Z鍵可以推進對話</t>
  </si>
  <si>
    <t>Z キーを押すと、会話が進みます</t>
  </si>
  <si>
    <t>Pressing the Z key also lets you move to the next dialog</t>
  </si>
  <si>
    <t>Кнопка Z перемикає діалог.</t>
  </si>
  <si>
    <t>Клавиша Z переключает диалог.</t>
  </si>
  <si>
    <t>Z drücken um zum Dialogabschnitt hinzuspringen.</t>
  </si>
  <si>
    <t>Có thể nhấn nút Z để chuyển tới lời thoại tiếp theo</t>
  </si>
  <si>
    <t>Pressione a tecla Z também deixa você passar para o próximo diálogo</t>
  </si>
  <si>
    <t>Menekan tombol Z juga memungkinkan Anda untuk berpindah ke dialog berikutnya.</t>
  </si>
  <si>
    <t>在取得相機後，F7可快速截圖</t>
  </si>
  <si>
    <t>カメラを入手したら、F7 ですぐにスクリーンショットを撮ることができます</t>
  </si>
  <si>
    <t>Once you get the camera, press F7 to take photos.</t>
  </si>
  <si>
    <t>Як тільки ви отримаєте камеру, натисніть F7, щоб зробити фотографії.</t>
  </si>
  <si>
    <t>После подключения камеры F7 может быстро сделать снимок экрана.</t>
  </si>
  <si>
    <t>Sobald du die Kamera hast kannst du mit "F7" Fotos machen</t>
  </si>
  <si>
    <t>Khi bạn đã có vật phẩm camera, nhấm F7 để chụp ảnh</t>
  </si>
  <si>
    <t>Uma vez que você pegue a câmera, pressione o F7 para tirar fotos.</t>
  </si>
  <si>
    <t>Setelah Anda mendapatkan kamera, tekan F7 untuk mengambil foto.</t>
  </si>
  <si>
    <t>F12可顯示控制台</t>
  </si>
  <si>
    <t>F12 キーを押してコンソールを表示します</t>
  </si>
  <si>
    <t>Pressing F12 brings out the command console</t>
  </si>
  <si>
    <t>Натисніть F12, щоб відобразити консоль.</t>
  </si>
  <si>
    <t>Нажмите F12, чтобы отобразить консоль.</t>
  </si>
  <si>
    <t>Mit "F12" öffnest du die Konsolenbefehle</t>
  </si>
  <si>
    <t>Nhấn nút F12 để hiển thị bảng lệnh điều khiển</t>
  </si>
  <si>
    <t>Pressione o F12 para mostrar o console de comandos</t>
  </si>
  <si>
    <t>Menekan F12 akan memunculkan konsol perintah.</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</si>
  <si>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</si>
  <si>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</si>
  <si>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</si>
  <si>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Шкала над її головою вказує на її прихильність. Заповнення до максимуму дає вам 1 червоне серце ❤️
% над її головою вказує на бажання або збудженість Імото. Заповнення до 100% дає вам фіолетове серце 💜.
Ви не отримаєте фіолетове серце 💜, якщо у вас немає червоного серця ❤️
Бувають випадки, коли шкала над її головою буде синього кольору. Це вказує на те, що Сестра усвідомлює ваші дії, наприклад, коли ви підглядаєте за нею в туалеті або торкаєтеся її вночі.
У випадку нічних рейдів, чим нижче значення синьої шкали, тим менша ймовірність того, що Імото прокинеться.
Після того, як ви погодуєте її синім конпейто, синя шкала зникне, коли ви гратимете з нею у відеоігри, що свідчить про те, що вона втратила концентрацію в грі, що призводить до її програшу.</t>
  </si>
  <si>
    <t xml:space="preserve">
Красная полоса прогресса отображает уровень привязанности. Сердце (❤️) начисляется, когда полоса полностью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</si>
  <si>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</si>
  <si>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</si>
  <si>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</si>
  <si>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Indikator di atas kepala menunjukkan tingkat kesukaan. Mengisi indikator ini hingga maksimal akan memberi Anda 1 hati merah ❤️
Persentase di atas kepalanya menunjukkan keinginan atau gairah seksual adik. Mengisi indikator ini hingga 100% akan memberi Anda hati ungu 💜.
Anda tidak bisa mendapatkan hati ungu 💜 jika Anda tidak memiliki hati merah ❤️
Terkadang indikator di atas kepalanya akan berwarna biru. Ini menunjukkan kewaspadaan adik terhadap tindakanmu, seperti saat mengintipnya di kamar mandi atau menyentuhnya di malam hari.
Dalam kasus Night Raids, semakin rendah nilai bar biru, semakin kecil kemungkinan adik akan bangun.
Setelah memberinya konpeito biru, bar biru akan menghilang saat Anda bermain video game dengannya, menunjukkan bahwa dia telah kehilangan konsentrasi dalam bermain game yang mengakibatkan kekalahannya.</t>
  </si>
  <si>
    <t>好感度7顆的數值是：100-200-300-400-500-600-700
0.6版本只要4星就可以完整體驗完遊戲，不用到達7顆</t>
  </si>
  <si>
    <t>必要な好感度の量は100から開始され、ハート1つごとに必要量が増加します
100→200→300→400→500→600→700
バージョン0.6では4つのハートで全てのコンテンツを体験できるため、7つのハートまで上げる必要はありません</t>
  </si>
  <si>
    <t>The amount of favorability needed to level up starts from 100, with the amount needed increasing per heart
100-&gt;200-&gt;300-&gt;400-&gt;500-&gt;600-&gt;700
Version 0.6 only requires 4 hearts to experience everything, so there's no need to reach 7 hearts</t>
  </si>
  <si>
    <t>Рівень прихильності, необхідний для підвищення рівня, починається зі 100, причому необхідна кількість збільшується з кожним серцем.
100-&gt;200-&gt;300-&gt;400-&gt;500-&gt;600-&gt;700
Версія 0.6 вимагає лише 4 серця, щоб випробувати все, тому немає потреби досягати 7 сердець.</t>
  </si>
  <si>
    <t>Количество благоприятности, необходимое для повышения уровня, начинается со 100, при этом количество, необходимое для каждого сердца, увеличивается: 100-200-300-400-500-600-700. В версии 0.6 полноценный игровой процесс достигается всего лишь с 4-мя сердцами, так что нет необходимости доставать до 7 сердец.</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</si>
  <si>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</si>
  <si>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</si>
  <si>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</si>
  <si>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Jumlah poin kesukaan yang dibutuhkan untuk naik level dimulai dari 100, dengan jumlah yang dibutuhkan meningkat per hati
100-&gt;200-&gt;300-&gt;400-&gt;500-&gt;600-&gt;700
Versi 0.6 hanya membutuhkan 4 hati untuk mengalami semuanya, jadi tidak perlu mencapai 7 hati</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</si>
  <si>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</si>
  <si>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</si>
  <si>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</si>
  <si>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У поточній версії найшвидший спосіб отримати червоні серця — це грати у відеоігри з сестрою, а щоб отримати фіолетові серця — нічні рейди</t>
  </si>
  <si>
    <t>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</si>
  <si>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</si>
  <si>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</si>
  <si>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</si>
  <si>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Dalam versi saat ini, cara tercepat untuk mendapatkan hati merah adalah dengan bermain video game bersama adik, dan hati ungu dengan melakukan serangan malam.</t>
  </si>
  <si>
    <t>想和妹妹共浴嗎? 請先到達2愛心</t>
  </si>
  <si>
    <t>妹とお風呂に入りたいなら♡を2まで増やしましょう</t>
  </si>
  <si>
    <t>You need 2 purple hearts in order to bathe with your sister</t>
  </si>
  <si>
    <t>Тобі потрібно 2 фіолетових серця, щоб купатися зі своєю сестрою.</t>
  </si>
  <si>
    <t>Хотите искупаться вместе с сестрой? Пожалуйста, сначала наберите 2 сердечка.</t>
  </si>
  <si>
    <t>Um mit der Schwester zu baden, benötigt man 2 lila Herzen.</t>
  </si>
  <si>
    <t>Bạn cần 2 tim tím để tắm với Imouto</t>
  </si>
  <si>
    <t>Você precisa de dois corações roxos para se banhar com sua imouto.</t>
  </si>
  <si>
    <t>Kamu membutuhkan 2 hati ungu agar bisa mandi bersama adikmu.</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</si>
  <si>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</si>
  <si>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</si>
  <si>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</si>
  <si>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Якщо ви раптом застрягнете на чомусь, ви можете просто почекати до 17:00, щоб автоматично повернутися додому.</t>
  </si>
  <si>
    <t>Если вы случайно на чем-то застряли, вам остается только дождаться 17:00, чтобы автоматически вернуться домой.</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</si>
  <si>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</si>
  <si>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</si>
  <si>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</si>
  <si>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Jika Anda kebetulan terjebak dalam suatu hal, Anda hanya dapat menunggu hingga pukul 5 sore untuk otomatis pulang.</t>
  </si>
  <si>
    <t>當哥哥性慾值高於一定數值才會觸發夜襲</t>
  </si>
  <si>
    <t>夜襲は兄の性欲が一定値を超えた場合にのみ発動します</t>
  </si>
  <si>
    <t>To do night raids, Onii-chan must have a certain amount of excitement and he'll wake up at night for night raids.</t>
  </si>
  <si>
    <t>Щоб здійснювати нічні рейди, потрібно мати певний рівень збудження, для прокидання вночі для нічних рейдів.</t>
  </si>
  <si>
    <t>Ночной рейд будет запущен только тогда, когда сексуальное влечение Курохи превысит определённое значение.</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</si>
  <si>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</si>
  <si>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</si>
  <si>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</si>
  <si>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Untuk melakukan penyerbuan malam, Onii-chan harus memiliki tingkat antusiasme tertentu dan dia akan bangun di malam hari untuk melakukan penyerbuan malam.</t>
  </si>
  <si>
    <t>若打爆了扭蛋機別擔心，使用塔羅牌能隨時再召喚</t>
  </si>
  <si>
    <t>ガシャポンマシンを壊してしまっても心配ありません、タロットカードを使えばいつでも再召喚できます</t>
  </si>
  <si>
    <t>Don't worry. If you accidentally destroy the gacha Machine, you can summon it again using "Temperance" tarot card</t>
  </si>
  <si>
    <t>Не хвилюйтеся. Якщо ви випадково знищите гача-машину, ви зможете викликати її знову за допомогою карти Таро "Помірність".</t>
  </si>
  <si>
    <t>Не волнуйся. Если вы случайно уничтожите гача-автомат, вы можете призвать его снова, используя карту Таро "Умеренность".</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</si>
  <si>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</si>
  <si>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</si>
  <si>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</si>
  <si>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Jangan khawatir. Jika kamu secara tidak sengaja menghancurkan Mesin Gacha, kamu dapat memanggilnya lagi menggunakan kartu tarot "Temperance".</t>
  </si>
  <si>
    <t>從後方接近扭蛋機，扭蛋機會跳起</t>
  </si>
  <si>
    <t>ガシャポンマシンの後ろから近づくと飛び跳ねます</t>
  </si>
  <si>
    <t>When you approach the gacha machine from behind, it will get startled and jump up</t>
  </si>
  <si>
    <t>Коли ви підійдете до гача-машини ззаду, вона злякається та підстрибне.</t>
  </si>
  <si>
    <t>Когда вы подойдете к гача-автомату сзади, он вздрогнет и подпрыгнет.</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</si>
  <si>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</si>
  <si>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</si>
  <si>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</si>
  <si>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Saat Anda mendekati mesin gacha dari belakang, mesin itu akan terkejut dan melompat.</t>
  </si>
  <si>
    <t>扭蛋獎品可以使用遠距離武器攻擊，快速開啟</t>
  </si>
  <si>
    <t>ガチャの景品は遠距離武器で獲得でき、簡単に回収することが出来ます</t>
  </si>
  <si>
    <t>Gachapon balls that drop on the floor can be attacked by ranged weapons to open them easily</t>
  </si>
  <si>
    <t>Кулі гачапон, що падають на підлогу, можна атакувати зброєю дальнього бою, щоб легко їх відкрити.</t>
  </si>
  <si>
    <t>Шарики Гачапона, которые падают на землю, можно атаковать дальнобойным оружием, чтобы их было легко открыть.</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</si>
  <si>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</si>
  <si>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</si>
  <si>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</si>
  <si>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Bola Gachapon yang jatuh ke lantai dapat diserang dengan senjata jarak jauh untuk membukanya dengan mudah.</t>
  </si>
  <si>
    <t>扭蛋機的金蛋只有2%概率出現</t>
  </si>
  <si>
    <t>ガシャポンの金玉の確率は2％で出現します</t>
  </si>
  <si>
    <t>The golden balls have roughly 2% chance to come out from the gacha machine</t>
  </si>
  <si>
    <t>Золоті кулі мають приблизно 2% імовірність випадіння</t>
  </si>
  <si>
    <t>В гача-автомате золотой шарик появляется лишь с 2% вероятностью.</t>
  </si>
  <si>
    <t>Goldene Kugeln haben eine ungefähre 2 % Chance, aus dem Spieleautomaten zu erscheinen</t>
  </si>
  <si>
    <t>Quả gacha vàng có khoảng 2% để được rơi ra từ máy gacha</t>
  </si>
  <si>
    <t>A bola dourada tem de grosso modo 2% de chance de sair na máquina gacha.</t>
  </si>
  <si>
    <t>Bola emas memiliki peluang sekitar 2% untuk keluar dari mesin gacha.</t>
  </si>
  <si>
    <t>扭蛋機的愛好與妹妹差不多</t>
  </si>
  <si>
    <t>ガシャポンの好物は妹と似ています</t>
  </si>
  <si>
    <t>The expression of the gacha machine looks similar to the sister</t>
  </si>
  <si>
    <t>Вираз обличчя гача-машини схожий на вираз обличчя сестри.</t>
  </si>
  <si>
    <t>Выражение лица гача-автомата похоже на лицо Имоуто.</t>
  </si>
  <si>
    <t>Der Gesichtsausdruck des Spieleautomaten erinnert stark an den deiner Schwester</t>
  </si>
  <si>
    <t>Biểu cảm của máy gacha nhìn giống với Imouto</t>
  </si>
  <si>
    <t>A expressão da máquina gacha parece com a dá imouto.</t>
  </si>
  <si>
    <t>Ekspresi mesin gacha terlihat mirip dengan adiknya.</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</si>
  <si>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</si>
  <si>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</si>
  <si>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</si>
  <si>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Перш ніж класти гроші в ігровий автомат, переконайтеся, що він у відмінному стані. Якщо ігровий автомат пошкоджений, кількість винагород, які він може видавати, зменшується.</t>
  </si>
  <si>
    <t>Перед тем как вставлять деньги в гача-автомат, лучше убедиться, что автомат исправен, так как его текущее состояние влияет на количество шариков, которые вы сможете получить.</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</si>
  <si>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</si>
  <si>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</si>
  <si>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</si>
  <si>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Sebelum memasukkan uang ke mesin gacha, Anda perlu memastikan mesin tersebut dalam kondisi prima. Jika mesin gacha rusak, jumlah hadiah yang akan diberikan akan berkurang.</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</si>
  <si>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</si>
  <si>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</si>
  <si>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</si>
  <si>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Якщо Зоряні Двері (Червоні Двері) викликаються в поганому положенні, ви можете знищити їх і викликати знову.</t>
  </si>
  <si>
    <t>Если Звёздная дверь (Красная дверь) вызваны в неудачном положении, вы можете уничтожить её и призвать снова.</t>
  </si>
  <si>
    <t>Wenn das Sternentor (rote Tür) an einer ungünstigen Position beschworen wurde, kannst du es zerstören und erneut beschwören</t>
  </si>
  <si>
    <t>Nếu Cửa Thiên Tinh (Hồng Môn) được triệu hồi ở vị trí xấu, bạn có thể phá nó đi và triệu hồi lại</t>
  </si>
  <si>
    <t>Se o Portão Estelar (Porta Vermelha) é invoca em uma posição ruim, você pode destruí-la e invocar novamente.</t>
  </si>
  <si>
    <t>Jika Gerbang Bintang (Pintu Merah) dipanggil di posisi yang buruk, Anda dapat menghancurkannya dan memanggilnya lagi.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</si>
  <si>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</si>
  <si>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</si>
  <si>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</si>
  <si>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Коли ти підглядаєш у ванну кімнату, щойно сестра зайде, вона помітить тебе залежно від того, наскільки сильно ти відчинив двері.</t>
  </si>
  <si>
    <t>Когда вы подглядываете в ванной, как только туда заходит Имоуто, шанс что Вас обнаружат зависит от того, насколько сильно вы открыли дверь.</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</si>
  <si>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</si>
  <si>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</si>
  <si>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</si>
  <si>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Saat kamu mengintip ke kamar mandi ketika adik masuk, dia akan melihatmu tergantung seberapa lebar kamu membuka pintu.</t>
  </si>
  <si>
    <t>機甲消失後，該地圖名稱會改變</t>
  </si>
  <si>
    <t>メカが消えるとマップ名が変わります</t>
  </si>
  <si>
    <t>Once the mecha disappears, the map's name will change</t>
  </si>
  <si>
    <t>Як тільки мех зникне, назва карти зміниться.</t>
  </si>
  <si>
    <t>Название карты изменится после исчезновения Меха (робота).</t>
  </si>
  <si>
    <t>Sobald das Mecha verschwindet, ändert sich der Name der Karte</t>
  </si>
  <si>
    <t>Một khi mecha đã biến mất, tên của khu vực sẽ thay đổi</t>
  </si>
  <si>
    <t>Uma vez que o mecha desapareça, o nome do mapa irá mudar.</t>
  </si>
  <si>
    <t>Setelah mecha menghilang, nama peta akan berubah.</t>
  </si>
  <si>
    <t>礦車行進中，可使用遠距離武器攻擊方向舵</t>
  </si>
  <si>
    <t>トロッコに乗車中でも遠距離攻撃でレバーを作動させることが出来ます</t>
  </si>
  <si>
    <t>You can shoot switches in the mine using long-ranged weapons while you're riding the minecart</t>
  </si>
  <si>
    <t>Ви можете стріляти в перемикачі в шахті, використовуючи далекобійну зброю, поки їдете на вагонетці.</t>
  </si>
  <si>
    <t>Вы можете стрелять по переключателям в шахте из дальнобойного оружия, пока едете на вагонетке.</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</si>
  <si>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</si>
  <si>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</si>
  <si>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</si>
  <si>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Anda dapat menembak saklar di tambang menggunakan senjata jarak jauh saat Anda menaiki kereta tambang.</t>
  </si>
  <si>
    <t>電擊類武器碰到水...你懂的~ 包含下雨天</t>
  </si>
  <si>
    <t>電撃系の装備で水に触れると…(雨の時も同様です)</t>
  </si>
  <si>
    <t>Electric attribute weapons conduct electricity when it comes to contact with water... such as when it's raining...</t>
  </si>
  <si>
    <t>Електрична атрибутна зброя проводить електрику, коли контактує з водою... наприклад, коли йде дощ...</t>
  </si>
  <si>
    <t>Оружие с электрическими свойствами проводит электрический ток при контакте с водой... например, во время дождя...</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</si>
  <si>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</si>
  <si>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</si>
  <si>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</si>
  <si>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Senjata dengan atribut listrik menghantarkan listrik saat bersentuhan dengan air... misalnya saat hujan...</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</si>
  <si>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</si>
  <si>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</si>
  <si>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</si>
  <si>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Окрім ігнорування ворожої оборони, підривання каміння або лову риби, бомба також може завдати гравцеві шкоди.</t>
  </si>
  <si>
    <t>Помимо игнорирования вражеской защиты, взрыва камней или ловли рыбы, бомба также может причинить вред игроку.</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</si>
  <si>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</si>
  <si>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</si>
  <si>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</si>
  <si>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Selain mengabaikan pertahanan musuh, meledakkan bebatuan, atau menangkap ikan, bom tersebut juga dapat melukaimu.</t>
  </si>
  <si>
    <t>聽說...騎士大人很香，或許可以期待未來</t>
  </si>
  <si>
    <t>黒騎士はいい匂いがするらしいので、今後に期待してもいいかもしれません。</t>
  </si>
  <si>
    <t>I heard that the knight is popular. We'll have to see what happens next.</t>
  </si>
  <si>
    <t>听说...骑士大人很香，或许可以期待未来
（据现有的情报来推断...骑士可能是位妹纸哟）</t>
  </si>
  <si>
    <t>Я чув, що лицар популярний. Побачимо, що буде далі.</t>
  </si>
  <si>
    <t>Я слышал... от Рыцаря очень приятно пахнет, может быть, нам стоит с оптимизмом смотреть в будущее.</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</si>
  <si>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</si>
  <si>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</si>
  <si>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</si>
  <si>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Aku dengar ksatria itu populer. Kita lihat saja apa yang akan terjadi selanjutnya.</t>
  </si>
  <si>
    <t>妹妹的罩杯是多大呢? 聽說是G~H</t>
  </si>
  <si>
    <t>妹のおっぱいのサイズはG〜H…らしい</t>
  </si>
  <si>
    <t>The sister's breast size is said to be G~H</t>
  </si>
  <si>
    <t>妹妹的罩杯是多大呢? 听说是G~H
（山就在那啊.JPG）</t>
  </si>
  <si>
    <t>Кажуть, що розмір грудей сестри G~H.</t>
  </si>
  <si>
    <t>Говорят, что размер груди Имоуто где-то G-H.</t>
  </si>
  <si>
    <t>Es heißt, dass die Schwester eine BH-Größe von G bis H hat</t>
  </si>
  <si>
    <t>Vòng ngực của Imouto được cho là khoảng G~H</t>
  </si>
  <si>
    <t>O tamanho dos seios da imouto são dito serem entre G~H</t>
  </si>
  <si>
    <t>Konon katanya ukuran payudara adik adalah G~H.</t>
  </si>
  <si>
    <t>當成為賢者的哥哥在胡思亂想時...</t>
  </si>
  <si>
    <t>賢者タイムになったお兄ちゃんがぼんやり考えている時…</t>
  </si>
  <si>
    <t>When Onii-chan is in his "Sage Mode", he is lost deep in thought.</t>
  </si>
  <si>
    <t>Коли Куроха перебуває в своєму «Режимі мудреця», він глибоко занурений у свої думки.</t>
  </si>
  <si>
    <t>КогдаКуроха находится в "Режиме мудреца", он глубоко погружен в свои мысли.</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</si>
  <si>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</si>
  <si>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</si>
  <si>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</si>
  <si>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Saat Onii-chan berada dalam "Mode Bijak", dia tenggelam dalam pikirannya.</t>
  </si>
  <si>
    <t>當裝備"少女的笑容"時，會無視賢者狀態副作用</t>
  </si>
  <si>
    <t>「少女の笑顔」を装備している場合、賢者状態の副作用は無視されます。</t>
  </si>
  <si>
    <t>При використанні "Дівчачої посмішки" побічні ефекти стану Мудреця будуть ігноруватися.</t>
  </si>
  <si>
    <t>При экипировке «Улыбка девочки» побочные эффекты состояния Мудреца будут игнорироваться.</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</si>
  <si>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</si>
  <si>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</si>
  <si>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</si>
  <si>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Saat dilengkapi dengan "Senyum Gadis", efek samping dari keadaan Bijak akan diabaikan.</t>
  </si>
  <si>
    <t>在廁所的不可名狀生物，在各語系版本中有不同的稱呼</t>
  </si>
  <si>
    <t>トイレにいる名前を出すのも恐ろしい生き物は、言語バージョンによって名前が異なります。</t>
  </si>
  <si>
    <t>The creature in the toilet had different names across different versions</t>
  </si>
  <si>
    <t>在厕所的不可名状生物，在各语言版本中有不同的称呼</t>
  </si>
  <si>
    <t>Істота в туалеті мала різні назви в різних версіях</t>
  </si>
  <si>
    <t>Существо в туалете называлось по разному в разных версиях игры.</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</si>
  <si>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</si>
  <si>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</si>
  <si>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</si>
  <si>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Makhluk di dalam toilet itu memiliki nama yang berbeda di berbagai versi.</t>
  </si>
  <si>
    <t>在廁所的不可名狀生物，其實是哥哥從深淵帶回來的</t>
  </si>
  <si>
    <t>トイレにいたあのなんとも言えない生き物は、実は私のお兄ちゃんが外から連れてきたものらしい…</t>
  </si>
  <si>
    <t>The creature in the toilet was actually brought back by Onii-chan from the Abyss</t>
  </si>
  <si>
    <t>Істоту в туалеті насправді принес Куроха з Безодні.</t>
  </si>
  <si>
    <t>Существо в туалете на самом деле следовало за Курохой из самой Бездны.</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</si>
  <si>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</si>
  <si>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</si>
  <si>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</si>
  <si>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Makhluk di dalam toilet itu sebenarnya dibawa kembali oleh Onii-chan dari Abyss.</t>
  </si>
  <si>
    <t>在雨天修理飲料販賣機的人是誰呢?目前仍是個謎</t>
  </si>
  <si>
    <t>雨の日に自動販売機を修理した人は誰なんだろう・・・？</t>
  </si>
  <si>
    <t>Who is the one repairing the vending machine during rainy days? It's still a mystery</t>
  </si>
  <si>
    <t>Хто ремонтує торговий автомат у дощові дні? Це досі залишається загадкою.</t>
  </si>
  <si>
    <t>Кто ремонтирует торговый автомат под дождем? Это остается загадкой.</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</si>
  <si>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</si>
  <si>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</si>
  <si>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</si>
  <si>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Siapa yang memperbaiki mesin penjual otomatis saat hari hujan? Itu masih menjadi misteri.</t>
  </si>
  <si>
    <t>早上可透過窗外狀況，得知外出時的天氣</t>
  </si>
  <si>
    <t>朝起きたと時、窓を見る事によって天気をある程度判別できます</t>
  </si>
  <si>
    <t>When you wake up in the morning, you can see the current weather before going out by looking at the window.</t>
  </si>
  <si>
    <t>Коли ви прокидаєтеся вранці, ви можете побачити поточну погоду, перш ніж вийти на вулицю, дивлячись у вікно.</t>
  </si>
  <si>
    <t>Утром вы можете посмотреть в окно, чтобы узнать, какая погода будет, когда вы выйдете на улицу.</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</si>
  <si>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</si>
  <si>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</si>
  <si>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</si>
  <si>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Saat bangun tidur di pagi hari, Anda dapat melihat cuaca terkini sebelum keluar rumah dengan melihat ke jendela.</t>
  </si>
  <si>
    <t>越可愛的生物，通常攻擊力也越高</t>
  </si>
  <si>
    <t>可愛ければ可愛いほど、生物の攻撃力も高くなります</t>
  </si>
  <si>
    <t>Typically, the cuter it is, the higher is its attack power</t>
  </si>
  <si>
    <t>越可爱的生物，通常攻击力也越高
（各水果妖精：泥头车警告.jpg）</t>
  </si>
  <si>
    <t>Як правило, чим воно миліше, тим вища його сила атаки.</t>
  </si>
  <si>
    <t>Как правило, чем он милее, тем выше его сила атаки.</t>
  </si>
  <si>
    <t>Je niedlicher es ist, desto höher ist seine Angriffskraft</t>
  </si>
  <si>
    <t>Bình thường, nó càng dễ thương, sức tấn công của nó càng cao</t>
  </si>
  <si>
    <t>Tipicamente, quanto mais fofa, maior o poder de ataque</t>
  </si>
  <si>
    <t>Biasanya, semakin imut penampilannya, semakin tinggi kekuatan serangannya.</t>
  </si>
  <si>
    <t>廁所沉思中的&lt;42&gt;
出自道格拉斯·亞當斯所作的小說《銀河系漫遊指南》中「生命、宇宙以及任何事物的終極答案」的答案</t>
  </si>
  <si>
    <t>&lt;42&gt;、トイレでの考えは、ダグラス・アダムスの小説『銀河ヒッチハイク・ガイド』に出てくる「人生、宇宙、そして万物に対する究極の答え」という問いに対する答えです。</t>
  </si>
  <si>
    <t xml:space="preserve">Meditating in the toilet &lt;42&gt;
This answer is based from "The Ultimate Question about Life, the Universe, and Everything" from the novel "The Hitchhiker's Guide to the Galaxy" by Douglas Adams </t>
  </si>
  <si>
    <t>«Медитація в туалеті &lt;42&gt;
Ця відповідь ґрунтується на статті «Кінцеве питання про життя, Всесвіт і все інше» з роману «Автостопом по Галактиці» Дугласа Адамса.</t>
  </si>
  <si>
    <t>&lt;42&gt;,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</si>
  <si>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</si>
  <si>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</si>
  <si>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</si>
  <si>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Bermeditasi di toilet &lt;42&gt;
Jawaban ini berdasarkan "Pertanyaan Utama tentang Kehidupan, Alam Semesta, dan Segalanya" dari novel "The Hitchhiker's Guide to the Galaxy" karya Douglas Adams</t>
  </si>
  <si>
    <t>一個水怪黏液大約等於兩個史萊姆黏液</t>
  </si>
  <si>
    <t>奇妙な粘液はスライム粘液2つ分に相当します</t>
  </si>
  <si>
    <t>One WaterWeird Mucus is equivalent to two Slime Mucus</t>
  </si>
  <si>
    <t>Одна Водяна слиз еквівалентна двом звичайним.</t>
  </si>
  <si>
    <t>Одна Водянистая слизь эквивалентна двум слизи.</t>
  </si>
  <si>
    <t>Ein Wasser-Monster-Schleim ist ungefähr so stark wie zwei normale Schleime</t>
  </si>
  <si>
    <t>Hai Chất Nhầy Thủy Linh bằng với một Chất Nhầy Slime</t>
  </si>
  <si>
    <t>Um Muco de WaterWeird e equivalente a dois Mucos de Slime.</t>
  </si>
  <si>
    <t>Satu WaterWeird Mucus setara dengan dua Slime Mucus.</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</si>
  <si>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</si>
  <si>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</si>
  <si>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</si>
  <si>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Бос у Безодні відроджується кожні 7 днів, і з кожним разом він стає сильнішим. Ви також можете примусово відродити його за допомогою карти Таро "Світ".</t>
  </si>
  <si>
    <t>Босс Руин возрождается каждые семь дней, становясь с каждым возрождением сильнее. Также можно использовать карту Таро «Мир».</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</si>
  <si>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</si>
  <si>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</si>
  <si>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</si>
  <si>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Bos di Abyss muncul kembali setiap 7 hari, dan kekuatannya akan meningkat setiap kali. Anda juga dapat memunculkannya kembali secara paksa menggunakan kartu tarot "The World".</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</si>
  <si>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</si>
  <si>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</si>
  <si>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</si>
  <si>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</si>
  <si>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Бос надто складний для боротьби? Спробуйте стати біля краю скелі нижче, щоб добре подумати.</t>
  </si>
  <si>
    <t>Босса в Руинах слишком сложно победить? Можно попробовать встать на краю обрыва и поразмыслить.</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</si>
  <si>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</si>
  <si>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</si>
  <si>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</si>
  <si>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Apakah bosnya terlalu sulit untuk dilawan? Cobalah berdiri di dekat tepi tebing di bawah untuk momen berpikir cerdas.</t>
  </si>
  <si>
    <t>增加攻速的效果(例如:貓爪手套)，也會使魔法效果增強</t>
  </si>
  <si>
    <t>ねこパンチの攻撃速度アップは魔法攻撃にも乗る</t>
  </si>
  <si>
    <t>Effects that increases attack speed such as Neko Punch also enhances magic effects</t>
  </si>
  <si>
    <t>增加攻速的效果(例如:猫爪手套)，也会使魔法效
（耐久度告急.jpg）</t>
  </si>
  <si>
    <t>Ефекти, що збільшують швидкість атаки, такі як Кошачий удар, також посилюють магічні ефекти.</t>
  </si>
  <si>
    <t>Эффекты, увеличивающие скорость атаки (например, перчатки «Одолжённые лапки Неко»), также усиливают магические эффекты.</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</si>
  <si>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</si>
  <si>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</si>
  <si>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Efek yang meningkatkan kecepatan serangan seperti Neko Punch juga meningkatkan efek sihir.</t>
  </si>
  <si>
    <t>加強命中的效果(例如:墮落法師的手套)，以後也會使魔法獲得效果，多穿幾件還會增加更多</t>
  </si>
  <si>
    <t>攻撃時にダメージが増加する装備品（例：堕落法師の手袋）を着用している場合、将来的に魔法攻撃にもこの効果が反映されるようになります。また、同じ種類の装備を複数装備することも可能で、その場合効果は累積します</t>
  </si>
  <si>
    <t>When wearing gears that increases damage on hit (such as Fallen Mage's Gloves), this will also be able to affect magic in the future. You can also wear multiple gears of the same type and the effect will stack</t>
  </si>
  <si>
    <t>Якщо ви носите спорядження, яке збільшує шкоду від удару (наприклад, Рукавички палого мага), це також зможе впливати на магію в майбутньому. Ви також можете носити кілька споряджень одного типу, і ефект буде сумуватися.</t>
  </si>
  <si>
    <t>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</si>
  <si>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</si>
  <si>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</si>
  <si>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Saat mengenakan perlengkapan yang meningkatkan damage per serangan (seperti Sarung Tangan Fallen Mage), ini juga akan memengaruhi sihir di masa mendatang. Anda juga dapat mengenakan beberapa perlengkapan dengan tipe yang sama dan efeknya akan bertumpuk.</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</si>
  <si>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</si>
  <si>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</si>
  <si>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</si>
  <si>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У кімнаті боса Безодні є секретна зона внизу. Спробуйте знайти спосіб туди дістатися! Порада: Ви можете дістатися туди, використовуючи певні предмети та навички.</t>
  </si>
  <si>
    <t>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</si>
  <si>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</si>
  <si>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</si>
  <si>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Di ruang bos Abyss, terdapat area rahasia di bawahnya. Cobalah temukan cara untuk sampai ke sana!
Tip: Anda dapat mencapainya dengan menggunakan item dan keterampilan tertentu.</t>
  </si>
  <si>
    <t>利用道具，不只能和怪物，也能使NPC交換位置</t>
  </si>
  <si>
    <t>アイテムを使うとモンスターやNPCと場所を入れ替わることが出来る！</t>
  </si>
  <si>
    <t>Using items, not only you can swap positions with monsters, you can also swap positions with NPCs</t>
  </si>
  <si>
    <t>Використовуючи предмети, ви можете мінятися позиціями не лише з монстрами, але й з NPC.</t>
  </si>
  <si>
    <t>Используя предметы, вы можете меняться местами не только с монстрами, но и с NPC.</t>
  </si>
  <si>
    <t>Bằng cách dùng các vật phẩm, bạn không chỉ có thể đổi chỗ với quái, mà còn có thể đổi chỗ với các NPC nữa</t>
  </si>
  <si>
    <t>Usando itens, não só você pode trocar de lugar com um monstro, você também pode trocar de lugar com NPCs</t>
  </si>
  <si>
    <t>Dengan menggunakan item, kamu tidak hanya bisa bertukar posisi dengan monster, tetapi juga bisa bertukar posisi dengan NPC.</t>
  </si>
  <si>
    <t>怪物也有嗅覺，而有些怪物也會懼怕臭味而逃離</t>
  </si>
  <si>
    <t>モンスターにも嗅覚があり、臭い匂いからは逃げたくもなる…</t>
  </si>
  <si>
    <t>Monsters can smell too.. and some of them will run away if they smell something bad</t>
  </si>
  <si>
    <t xml:space="preserve">怪物也有嗅觉，而有些怪物也会惧怕臭味而逃离
（可见老哥是多么的臭） </t>
  </si>
  <si>
    <t>Монстри також можуть відчувати запах... і деякі з них втечуть, якщо відчують неприємний запах.</t>
  </si>
  <si>
    <t>Монстры также обладают обонянием, и некоторые из них убегают от неприятного запаха.</t>
  </si>
  <si>
    <t>Các con quái cũng có thể ngửi nữa… vài con sẽ chạy đi nếu chũng ngửi thấy gì đó tệ.</t>
  </si>
  <si>
    <t>Monstros conseguem sentir cheiro também.. e alguns deles vão fugir se eles sentirem algum cheiro ruim</t>
  </si>
  <si>
    <t>Monster juga bisa mencium bau... dan beberapa di antaranya akan lari jika mencium bau yang tidak sedap.</t>
  </si>
  <si>
    <t>當妹妹玩遊戲時，可以對妹妹惡作劇。
若要觸發特殊的開腿選項，需要先完成DLC的任務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</si>
  <si>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</si>
  <si>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</si>
  <si>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Ти можеш розігрувати свою сестру, поки вона грає в ігри.
Щоб мати змогу розсунути їй ноги, тобі потрібно отримати DLC.</t>
  </si>
  <si>
    <t>Вы можете разыгрывать свою младшую сестру, пока она играет в игры.
Чтобы активировать специальную опцию раздвигания ног, сначала нужно выполнить миссию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</si>
  <si>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</si>
  <si>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</si>
  <si>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Kamu bisa mengerjai adikmu saat dia sedang bermain game.
Untuk bisa merenggangkan kakinya, kamu perlu mendapatkan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</si>
  <si>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</si>
  <si>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</si>
  <si>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</si>
  <si>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Після того, як ти вилікував свою сестру, вона не тільки зможе прокидатися вранці, але й не спати допізна.</t>
  </si>
  <si>
    <t>После выздоровления моя сестра смогла просыпаться по утрам, и время отхода ко сну тоже стало позже.</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</si>
  <si>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</si>
  <si>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</si>
  <si>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Setelah memberikan obat penawar kepada adikmu, dia tidak hanya bisa bangun di pagi hari, tetapi juga bisa begadang hingga larut malam.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</si>
  <si>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</si>
  <si>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</si>
  <si>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</si>
  <si>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Удача може впливати на імовірність отримання призів від Gacha (Реалізовано)
Удача також може впливати на події, пов'язані з імовірністю, з вашою сестрою (Не реалізовано)</t>
  </si>
  <si>
    <t>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</si>
  <si>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</si>
  <si>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</si>
  <si>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Keberuntungan dapat memengaruhi tingkat perolehan hadiah dari Gacha (Telah Diimplementasikan)
Keberuntungan juga dapat memengaruhi peristiwa yang melibatkan peluang dengan saudara perempuan Anda (Belum diimplementasikan)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</si>
  <si>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</si>
  <si>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</si>
  <si>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</si>
  <si>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Таємничого власника магазину звати Акі, а актора озвучування молодшої сестри також звати Акі.</t>
  </si>
  <si>
    <t>Владелицу магазина зовут Аки, и актрису, озвучивающую младшую сестру, тоже зовут Аки.</t>
  </si>
  <si>
    <t>Chủ cửa hàng bí ẩn có tên là Aki và người lồng tiếng cho Imouto cũng tên là Aki</t>
  </si>
  <si>
    <t>A misteriosa dona da loja se chama Aki e a atriz que dá a voz à imouto também se chama Aki.</t>
  </si>
  <si>
    <t>Pemilik toko misterius bernama Aki dan pengisi suara adik juga bernama Aki.</t>
  </si>
  <si>
    <t>Ehwaz符文會在扔出去后和觸碰到的敵人交換位置</t>
  </si>
  <si>
    <t>エワズは投げた後に敵に当たると場所が入れ替わるよ！</t>
  </si>
  <si>
    <t>The Ehwaz rune will swap places with the enemy it touches after being thrown.</t>
  </si>
  <si>
    <t>Руна Ехваз поміняється місцями з ворогом, якого вона торкнеться після кидка.</t>
  </si>
  <si>
    <t>Руна Эхваз после броска поменяется местами с любым врагом, которого коснется.</t>
  </si>
  <si>
    <t>Ehwaz sẽ đổi chỗ với kẻ thù nó chạm vào sau khi bị ném</t>
  </si>
  <si>
    <t>A Runa Ehwaz irá trocar você de lugar com o inimigo se tocada depois que for arremessada</t>
  </si>
  <si>
    <t>Rune Ehwaz akan bertukar tempat dengan musuh yang disentuhnya setelah dilempar.</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</si>
  <si>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</si>
  <si>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</si>
  <si>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</si>
  <si>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</si>
  <si>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Коли кинута руна Райдо, вона створить позначку на цьому місці. Клацання мишею на цю позначку телепортує вас безпосередньо в це місце.</t>
  </si>
  <si>
    <t>Руны Райдо бросаются в воздух и оставляют метку при приземлении. Нажатие на эту метку мгновенно телепортирует вас в указанное место.</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</si>
  <si>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</si>
  <si>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</si>
  <si>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Saat Rune Raido dilemparkan, akan tercipta tanda di tempat tersebut. Mengklik tanda ini dengan mouse akan memindahkan Anda langsung ke lokasi tersebut.</t>
  </si>
  <si>
    <t>Jera符文，丟出去可以變換接觸到的敵人或掉落物，也就是複製的作用(未實裝)</t>
  </si>
  <si>
    <t>jeraルーンを投げる際、接触した敵やドロップアイテムに変化をもたらすことができる（未実装）</t>
  </si>
  <si>
    <t>When throwing the Jera Rune, it can transform enemies or dropped objects it comes into contact with (not yet implemented)</t>
  </si>
  <si>
    <t>Кидаючи руну Джера, вона може трансформувати ворогів або об'єкти, з якими стикається (ще не реалізовано)</t>
  </si>
  <si>
    <t>Руна Джера, будучи брошенной, может трансформировать любого врага или предмет, которого коснется, по сути, создавая его копию (пока не реализовано).</t>
  </si>
  <si>
    <t>Khi Jera, nó sẽ chuyển đổi kẻ thù hoặc vật phẩm bị rơi nó chạm vào (chưa được thực hiện)</t>
  </si>
  <si>
    <t>Quando arremessar a Runa Jera, ela pode transformar os enemigos e os objetos caido que entrar em contato com (ainda não implementado)</t>
  </si>
  <si>
    <t>Saat melempar Jera Rune, ia dapat mengubah musuh atau benda jatuh yang bersentuhan dengannya (belum diimplementasikan).</t>
  </si>
  <si>
    <t>Perth符文，丢出去會造成範圍影響，範圍内的敵人或掉落物會被随機替换(未實裝)</t>
  </si>
  <si>
    <t>Perthルーンは、投げると範囲効果を生み出し、そのエリア内の敵やドロップされたアイテムをランダムに置き換えます (未実装)</t>
  </si>
  <si>
    <t>When Perth Rune is thrown, it will cause various effects, and enemies or dropped items within range will be randomly replaced (not yet implemented)</t>
  </si>
  <si>
    <t>Коли кинуто Руну Перта, вона спричиняє різні ефекти, а вороги або предмети, що випали в межах досяжності, будуть випадковим чином замінені (ще не реалізовано)</t>
  </si>
  <si>
    <t>Руна Перта при броске создает эффект поражения по области, случайным образом заменяя врагов или выпавшие предметы в этой области (пока не реализовано).</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</si>
  <si>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</si>
  <si>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</si>
  <si>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Saat Perth Rune dilempar, akan menimbulkan berbagai efek, dan musuh atau item yang jatuh dalam jangkauan akan diganti secara acak (belum diimplementasikan).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</si>
  <si>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</si>
  <si>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</si>
  <si>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</si>
  <si>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Меч «Морозиво в ріжку» годує монстрів; кожна атака має шанс накопичити певну кількість їжі. Коли досягається певна кількість, монстр переїдає та вмирає. (Не тестувалося на босах)</t>
  </si>
  <si>
    <t>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</si>
  <si>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</si>
  <si>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</si>
  <si>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Tujuan dari senjata Cone Greatsword adalah untuk memberi makan monster. Senjata ini mengumpulkan nilai tumpukan dan ketika jumlah tertentu tercapai, monster akan terlalu kenyang dan mati. (Belum diuji pada bos)</t>
  </si>
  <si>
    <t>如果扭蛋掉到騎士的腳邊，他會幫你撿起</t>
  </si>
  <si>
    <t>ガシャの景品が騎士の足元に落ちた場合は、彼(？)が拾ってくれます</t>
  </si>
  <si>
    <t>If the gachapon balls drop near the Weird Knight's feet, he will pick it up for you.</t>
  </si>
  <si>
    <t>Якщо кулі гачапон впадуть біля ніг Лицаря, він підбере їх для вас.</t>
  </si>
  <si>
    <t>Если гашапон упадет к ногам рыцаря, он поднимет его для вас.</t>
  </si>
  <si>
    <t>Nếu một quả gachapon rơi gần chân Hiệp Sĩ Kì Lạ, anh ta sẽ nhặt lên cho bạn</t>
  </si>
  <si>
    <t>Se as bolas de gachapon cairem perto do pé do estranho cavaleiro, ele irá pegá-las para você.</t>
  </si>
  <si>
    <t>Jika bola gachapon jatuh di dekat kaki Weird Knight, dia akan mengambilnya untukmu.</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</si>
  <si>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</si>
  <si>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</si>
  <si>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</si>
  <si>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</si>
  <si>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Стандартна міцність кожної зброї становить 114514. Це походить з мему "Сон літньої ночі".</t>
  </si>
  <si>
    <t>Стандартная максимальная прочность всех видов оружия составляет 114514, что взято из пьесы «Сон в летнюю ночь».</t>
  </si>
  <si>
    <t>Độ bền mặc định của mỗi vũ khí là 114514. Việc này đến từ meme “A Midsummer Night’s Dream”.</t>
  </si>
  <si>
    <t>O valor padrão de durabilidade de cada arma é de 114514. Isso vem de um meme "A Midsummer Night's Dream"</t>
  </si>
  <si>
    <t>Daya tahan standar setiap senjata adalah 114514. Ini berasal dari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</si>
  <si>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</si>
  <si>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</si>
  <si>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</si>
  <si>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Фургончик для покупок Кішко-дівчат складатиметься з наступного:
1. Фіксований предмет 2. Випадкові інгредієнти 3. Випадкові предмети випадкової якості</t>
  </si>
  <si>
    <t>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</si>
  <si>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</si>
  <si>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</si>
  <si>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Mobil Belanja Gadis Kucing akan terdiri dari hal-hal berikut:
1. Satu barang tetap 2. Bahan-bahan acak 3. Barang-barang acak dengan kualitas acak</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</si>
  <si>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</si>
  <si>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</si>
  <si>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</si>
  <si>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</si>
  <si>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Кішко-дівчина Асаба має швидкість атаки, подібну до 6 Кошачіх Ударів. Вона кидає у вас випадкову зброю та надзвичайно потужна.
Якщо її спровокувати, вона переслідуватиме вас цілий день, навіть якщо ви відродитеся з Пера Жар-птиці. Вона також переслідуватиме вас, навіть якщо ви перейдете на інші карти. (Деякі речі ще не реалізовані)</t>
  </si>
  <si>
    <t>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</si>
  <si>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</si>
  <si>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</si>
  <si>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Gadis Kucing Asaba memiliki kecepatan serangan yang mirip dengan 6 Neko Punch. Dia melemparkan senjata secara acak dan sangat kuat.
Saat diprovokasi, dia akan mengejar Anda sepanjang hari, bahkan jika Anda bangkit kembali dari Bulu Burung Api. Dia juga akan mengejar Anda bahkan jika Anda pergi ke peta yang berbeda. (Beberapa di antaranya belum diimplementasikan)</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</si>
  <si>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</si>
  <si>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</si>
  <si>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</si>
  <si>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Ви можете використати Запечатаний годинник проти фургона Дівчини-кішки, що є чудовим методом атаки. (До речі: Ви не можете використати його проти магазину Акі).</t>
  </si>
  <si>
    <t>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</si>
  <si>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</si>
  <si>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</si>
  <si>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Anda dapat menggunakan Sealed Timepiece melawan Mobil Belanja Gadis Kucing, yang merupakan metode serangan yang sangat bagus. (PS: Anda tidak dapat menggunakannya di toko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</si>
  <si>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</si>
  <si>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</si>
  <si>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</si>
  <si>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</si>
  <si>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Атаки як торгового фургона, так і Асаби можуть завдавати шкоди іншим істостам. Навіть бос Безодні не може зрівнятися з Асабою... але це лише означає, що ви також ризикуєте собою.</t>
  </si>
  <si>
    <t>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</si>
  <si>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</si>
  <si>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</si>
  <si>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Serangan dari Shopping Van dan Asaba sama-sama dapat memberikan kerusakan pada entitas lain. Bahkan bos jurang pun bukan tandingan Asaba... tetapi itu hanya berarti Anda juga mempertaruhkan diri sendiri.</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</si>
  <si>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</si>
  <si>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</si>
  <si>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</si>
  <si>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"100% імовірність" не обов'язково означає гарантію, оскільки є й інші фактори, такі як опір ворога. Деяке спорядження також може бути покращене залежно від надлишкового значення.</t>
  </si>
  <si>
    <t>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</si>
  <si>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</si>
  <si>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</si>
  <si>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"Peluang 100%" tidak selalu berarti terjamin karena ada faktor lain seperti resistensi musuh. Beberapa peralatan juga dapat ditingkatkan tergantung pada nilai kelebihannya.</t>
  </si>
  <si>
    <t>不同天氣時，妹妹會塗不同顏色的指甲油。</t>
  </si>
  <si>
    <t>天気によって、妹は違う色のネイルをしてるよ</t>
  </si>
  <si>
    <t>The sister will have different colors of nail polish depending on the weather.</t>
  </si>
  <si>
    <t>У сестри будуть різні кольори лаку для нігтів залежно від погоди.</t>
  </si>
  <si>
    <t>Моя сестра красит ногти в разные цвета в зависимости от погоды.</t>
  </si>
  <si>
    <t>Imouto sẽ có màu móng khác nhau tùy vào thời tiết</t>
  </si>
  <si>
    <t>A imouto terá cores diferentes de esmalte dependendo do clima.</t>
  </si>
  <si>
    <t>Adik akan memiliki warna cat kuku yang berbeda tergantung pada cuaca.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</si>
  <si>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</si>
  <si>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</si>
  <si>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</si>
  <si>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Усередині Зоряних Дверей предмети не зникатимуть, тому ви можете використовувати її як тимчасове місце для зберігання. Однак, через обмежений простір, кидання занадто великої кількості предметів може спричинити проблеми.
Максимальна місткість має становити близько 200~600 предметів.
(Ще не повністю реалізовано)</t>
  </si>
  <si>
    <t>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t>
  </si>
  <si>
    <t>Khi ở bên trong Cửa Thiên Tinh,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</si>
  <si>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</si>
  <si>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Saat berada di dalam Gerbang Bintang, barang yang dijatuhkan tidak akan hilang sehingga Anda dapat menggunakannya sebagai area penyimpanan sementara. Namun, karena ruangnya terbatas, melempar terlalu banyak barang dapat menyebabkan masalah.
Kapasitas maksimumnya sekitar 200~600 barang.
(Belum sepenuhnya diimplementasikan)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</si>
  <si>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</si>
  <si>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</si>
  <si>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</si>
  <si>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У грі є приховане значення настрою від 0 до 100. Ви можете визначити настрій сестри за її виразом обличчя.</t>
  </si>
  <si>
    <t>Показатель настроения (от 0 до 100) скрыт, но его можно определить по обычному поведению младшей сестры.</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</si>
  <si>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</si>
  <si>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</si>
  <si>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Terdapat nilai suasana hati tersembunyi dalam game dari 0-100. Anda dapat mengetahui suasana hati sang saudari berdasarkan ekspresi wajahnya.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</si>
  <si>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</si>
  <si>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</si>
  <si>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</si>
  <si>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Після версії 0.75 гравці, які починають гру з нового файлу збереження, зможуть чути ледь помітний булькаючий звук від надгробків.</t>
  </si>
  <si>
    <t>После версии 0.75 игроки, использующие новые файлы сохранений, могут услышать очень слабый, странный булькающий звук, доносящийся из надгробного камня.</t>
  </si>
  <si>
    <t>Từ sau phiên bản 0.75, người chơi sẽ nghe thấy một tiếng ríu rít nhỏ từ các bia mộ</t>
  </si>
  <si>
    <t>Até a versão 0.75, os jogadores que começassem um novo save eram capazes de ouvir um barulho de murmúrio sutil vindo das lápides.</t>
  </si>
  <si>
    <t>Setelah versi 0.75, pemain yang memulai file penyimpanan baru akan dapat mendengar suara gemericik samar dari batu nisan.</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</si>
  <si>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</si>
  <si>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</si>
  <si>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</si>
  <si>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Сестра насправді має імунітет до отрути, тому годування її отруйною їжею не впливає на неї. На жаль, у випадку з Курохою це не так.</t>
  </si>
  <si>
    <t>Младшая сестра невосприимчива к токсинам, поэтому ядовитая пища её не отравит, а вот старший брат — нет.</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</si>
  <si>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</si>
  <si>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</si>
  <si>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Imouto sebenarnya kebal terhadap racun, jadi memberinya makanan beracun tidak akan mempengaruhinya. Sayangnya, hal ini tidak berlaku untuk onii-chan.</t>
  </si>
  <si>
    <t>shift鍵可以切換走路/奔跑姿態</t>
  </si>
  <si>
    <t>Shift キーを押すと、歩行と走行を切り替えることができます</t>
  </si>
  <si>
    <t>Pressing the Shift key toggles between walking and running.</t>
  </si>
  <si>
    <t>Натискання клавіші Shift перемикає між ходьбою та бігом.</t>
  </si>
  <si>
    <t>Клавиша Shift позволяет переключаться между положениями ходьбы и бега.</t>
  </si>
  <si>
    <t>Nhấn nút Shift chuyển đổi giữa chạy và đi bộ</t>
  </si>
  <si>
    <t>Pressionar a tecla Shift alterna entre andar e correr.</t>
  </si>
  <si>
    <t>Menekan tombol Shift akan beralih antara berjalan dan berlari.</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</si>
  <si>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</si>
  <si>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</si>
  <si>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</si>
  <si>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Деяка зброя зміниться, як тільки ви опануєте навички, пов'язані з ніндзя, такі як кинджали.
Якщо в зоні ближнього бою немає ворогів, вона негайно переключиться на зброю дальнього бою, де її буде кидати як зброю дальнього бою, залишаючи слід на ворогах при ударі.
Сенпуу Гірі тепер замінено на «Штурм», який дозволяє вам миттєво телепортуватися за ворожу ціль з слідом від кидання кинджалів, одночасно збільшуючи шкоду від удару в спину.
Сенпо Тачі тепер переводить вас у режим прихованості на дуже короткий час. Перший удар під час прихованості завдасть додаткової шкоди від удару в спину.
*Кинджальна зброя ще не реалізована</t>
  </si>
  <si>
    <t>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</si>
  <si>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</si>
  <si>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</si>
  <si>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Beberapa senjata akan berubah setelah Anda mempelajari keterampilan yang berhubungan dengan ninja, seperti belati.
Saat tidak ada musuh dalam jangkauan jarak dekat, senjata akan langsung beralih ke senjata jarak jauh yang akan dilempar sebagai senjata jarak jauh, meninggalkan tanda pada musuh saat mengenainya.
Senpuu Giri sekarang digantikan dengan "Power Assault", yang memungkinkan Anda untuk langsung berteleportasi ke belakang target musuh dengan tanda dari lemparan belati sambil meningkatkan kerusakan tusukan dari belakang.
Senpo Tachi sekarang memaksa Anda untuk masuk ke mode siluman untuk durasi yang sangat singkat. Pukulan pertama selama mode siluman akan memberikan bonus kerusakan tusukan dari belakang.
*Senjata belati belum diimplementasikan</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</si>
  <si>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</si>
  <si>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</si>
  <si>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</si>
  <si>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Погані вчинки накопичують "Гріх". До них належать сексуальні домагання до Сестри, напади на ворогів у спину, вандалізм, використання бомб для лову риби в річці тощо. (Наслідки за Гріх ще не реалізовані).</t>
  </si>
  <si>
    <t>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</si>
  <si>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</si>
  <si>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</si>
  <si>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Melakukan hal-hal buruk akan mengakumulasi "kejahatan". Ini termasuk pelecehan seksual terhadap adik, menyerang musuh dari belakang, merusak properti publik, menggunakan bom untuk memancing di sungai, dll. (Konsekuensi atas perbuatan jahat belum diimplementasikan)</t>
  </si>
  <si>
    <t>背後刺殺的各階段等級需求(次數)：
2級-&gt;5
3級-&gt;27
4級-&gt;60
5級-&gt;120
6級-&gt;256
7級-&gt;530
8級-&gt;960
9級-&gt;1587 
10級-&gt;2452 
11級-&gt;3600
背後刺殺的各階段傷害倍率(%)：
等級=1 →200
等級=2 → 241
等級=2 → 241
等級=3 → 342
等級=4 → 495
等級=5→ 696
等級=6 → 940
等級=7 → 1228
等級=8 → 1557
等級=9 → 1926
等級=10 → 2333
等級=11 → 2778</t>
  </si>
  <si>
    <t>背後刺しの各階段熟練度要求：
5, 27, 60, 120, 256, 530, 960, 1587, 2452, 3600</t>
  </si>
  <si>
    <t>Backstabbing proficiency requirements for each stage:
Level 2 &gt; 5
Level 3 &gt; 27
Level 4 &gt; 60
Level 5 &gt; 120
Level 6 &gt; 256
Level 7 &gt; 530
Level 8 &gt; 960
Level 9 &gt; 1587
Level 10 &gt; 2452
Level 11 &gt; 3600
Damage multiplier (%) based on level:
Level 1 -&gt; 200%
Level 2 -&gt; 241%
Level 3 -&gt; 342%
Level 4 -&gt; 495%
Level 5 -&gt; 696%
Level 6 -&gt; 940%
Level 7 -&gt; 1228%
Level 8 -&gt; 1557%
Level 9 -&gt; 1926%
Level 10 -&gt; 2333%
Level 11 -&gt; 2778%</t>
  </si>
  <si>
    <t>Вимоги до майстерності "Удар в спину" для кожного етапу:
Рівень 2 &gt; 5
Рівень 3 &gt; 27
Рівень 4 &gt; 60
Рівень 5 &gt; 120
Рівень 6 &gt; 256
Рівень 7 &gt; 530
Рівень 8 &gt; 960
Рівень 9 &gt; 1587
Рівень 10 &gt; 2452
Рівень 11 &gt; 3600
Множник пошкодження (%) залежно від рівня:
Рівень 1 -&gt; 200%
Рівень 2 -&gt; 241%
Рівень 3 -&gt; 342%
Рівень 4 -&gt; 495%
Рівень 5 -&gt; 696%
Рівень 6 -&gt; 940%
Рівень 7 -&gt; 1228%
Рівень 8 -&gt; 1557%
Рівень 9 -&gt; 1926%
Рівень 10 -&gt; 2333%
Рівень 11 -&gt; 2778%</t>
  </si>
  <si>
    <t>Требования к умению нанесения удара в спину на каждом этапе:
Уровень 2 → 5
Уровень 3 → 27
Уровень 4 → 60
Уровень 5 → 120
Уровень 6 → 256
Уровень 7 → 530
Уровень 8 → 960
Уровень 9 → 1587
Уровень 10 → 2452
Уровень 11 → 3600
Коэффициент урона (%) зависит от уровня:
Уровень 1 → 200%
Уровень 2 → 241%
Уровень 3 → 342%
Уровень 4 → 495%
Уровень 5 → 696%
Уровень 6 → 940%
Уровень 7 → 1228%
Уровень 8 → 1557%
Уровень 9 → 1926%
Уровень 10 → 2333%
Уровень 11 → 2778%</t>
  </si>
  <si>
    <t>Yêu cầu cấp độ (số lần thử) vủa mỗi cấp độ của Đâm Lén:
Cấp 2 -&gt; 5 
Cấp 3 -&gt; 27
Cấp 4 -&gt; 60
Cấp 5 -&gt; 120
Cấp 6 -&gt; 256 
Cấp 7 -&gt; 530
Cấp 8 -&gt; 960 
Cấp 9 -&gt; 1587 
Cấp 10 -&gt; 2452
Cấp 11 -&gt; 3600
Hệ số sát thương (%) cho mỗi cấp của Đâm Lén:
Cấp 1 → 200
Cấp 2 → 241
Cấp 3 → 342
Cấp 4 → 495
Cấp 5 → 696
Cấp 6 → 940
Cấp 7 → 1228 
Cấp 8 → 1557
Cấp 9 → 1926
Cấp 10 → 2333
Cấp 11 → 2778</t>
  </si>
  <si>
    <t>O treinamento necessário (número de tentativas) para cada nível de Apunhalar pelas costas:
Nível 2 -&gt; 5
Nível 3 -&gt; 27
Nível 4 -&gt; 60
Nível 5 -&gt; 120
Nível 6 -&gt; 256
Nível 7 -&gt; 530
Nível 8 -&gt; 960
Nível 9 -&gt; 1587
Nível 10 -&gt; 2452
Nível 11 -&gt; 3600
Multiplicadores de dano (%) para cada nível de Apunhalar pelas costas:
Nível=1 → 200
Nível=2 → 241
Nível=3 → 342
Nível=4 → 495
Nível=5 → 696
Nível=6 → 940
Nível=7 → 1228
Nível=8 → 1557
Nível=9 → 1926
Nível=10 → 2333
Nível=11 → 2778</t>
  </si>
  <si>
    <t>Persyaratan kemampuan berkhianat untuk setiap tahap:
5%/27%/60%/120%/256%/530%/960%/1587%/2452%/3600%</t>
  </si>
  <si>
    <t>背後刺殺，也可以對場景物件(例如樹木、罐子)生效，可以輕鬆的提升熟練度。
(有些物件的方位要注意，例如：花朵、蘑菇)</t>
  </si>
  <si>
    <t xml:space="preserve">背後からの暗殺は、オブジェクト（例えば、木や壺）にも効果があります。これにより、簡単に熟練度を上げることができます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</si>
  <si>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</si>
  <si>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Удар в спину також працює на неживих предметах, таких як вази, дерева тощо, тому їх можна використовувати для підвищення рівня. (Зверніть увагу на деякі предмети, куди вони спрямовані, наприклад, гриби та квіти)</t>
  </si>
  <si>
    <t>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</si>
  <si>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</si>
  <si>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</si>
  <si>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Serangan dari belakang juga berfungsi pada benda mati seperti vas, pohon, dll., sehingga dapat digunakan untuk membantu meningkatkan efisiensi keterampilan ini. (Perhatikan arah hadap beberapa objek, seperti jamur dan bunga)</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</si>
  <si>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</si>
  <si>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</si>
  <si>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</si>
  <si>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r>
      <rPr>
        <rFont val="Microsoft JhengHei"/>
        <color theme="1"/>
      </rPr>
      <t xml:space="preserve">Щодо навички "Приховування дихання""
Рівень цієї навички можна підвищити, підкрадаючись за спину ворога або танцюючи у ванній кімнаті. </t>
    </r>
    <r>
      <rPr>
        <rFont val="Microsoft JhengHei"/>
        <color theme="1"/>
        <sz val="9.0"/>
      </rPr>
      <t>Рівень не можна</t>
    </r>
    <r>
      <rPr>
        <rFont val="Microsoft JhengHei"/>
        <color theme="1"/>
      </rPr>
      <t xml:space="preserve"> </t>
    </r>
    <r>
      <rPr>
        <rFont val="Microsoft JhengHei"/>
        <color theme="1"/>
        <sz val="9.0"/>
      </rPr>
      <t>побачити</t>
    </r>
    <r>
      <rPr>
        <rFont val="Microsoft JhengHei"/>
        <color theme="1"/>
      </rPr>
      <t xml:space="preserve"> безпосередньо, окрім як на вкладці навичок у режимі пригод.</t>
    </r>
  </si>
  <si>
    <t>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</si>
  <si>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</si>
  <si>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</si>
  <si>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</si>
  <si>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Mengenai kemampuan "Penyembunyian Napas"
Kemahiran kemampuan ini dapat ditingkatkan dengan menyelinap di belakang musuh atau dengan menari di kamar mandi. Kemahiran tidak dapat dilihat secara langsung, kecuali di tab kemampuan selama mode petualangan.</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</si>
  <si>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</si>
  <si>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</si>
  <si>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</si>
  <si>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Коли монстрів буде вбито певну кількість, навколо безодні з'явиться елітна версія, чиї характеристики будуть потужнішими за характеристики оригінального монстра.
Наразі це перебуває на ранніх стадіях, тому майбутні дропи, такі як краща здобич тощо, ще не реалізовані</t>
  </si>
  <si>
    <t>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</si>
  <si>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</si>
  <si>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</si>
  <si>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</si>
  <si>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Ketika monster telah dibunuh dalam jumlah tertentu, versi elit yang memiliki statistik lebih kuat daripada monster aslinya akan muncul di sekitar jurang.
Saat ini, fitur ini masih dalam tahap awal, sehingga item yang akan didapatkan di masa mendatang seperti loot yang lebih baik, dll., belum diimplementasikan.</t>
  </si>
  <si>
    <t>同上，飲料販賣機也有可能出現菁英飲料販賣機</t>
  </si>
  <si>
    <t>上記と同様に、自販機も強化された飲料自販機として登場する場合があります…</t>
  </si>
  <si>
    <t>For the same reasons above, the vending machine may also have an elite variant!</t>
  </si>
  <si>
    <t>З тих самих причин, що згадані вище, торговий автомат може мати також елітний варіант!</t>
  </si>
  <si>
    <t>Аналогичным образом могут появиться и элитные автоматы по продаже напитков.</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</si>
  <si>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</si>
  <si>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</si>
  <si>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</si>
  <si>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Karena alasan yang sama seperti di atas, mesin penjual otomatis mungkin juga memiliki varian elit!</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</si>
  <si>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</si>
  <si>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</si>
  <si>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</si>
  <si>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Насправді, Неко-слайм не любить Куроху. Йому подобається лише залишковий запах його Сестри.</t>
  </si>
  <si>
    <t>Слизневый кот на самом деле не любит своего брата; ему просто нравится запах сестры, который к нему прилип.</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</si>
  <si>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</si>
  <si>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</si>
  <si>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</si>
  <si>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Sebenarnya, kucing slime itu tidak menyukai Onii-chan. Ia hanya menyukainya karena aroma adiknya yang masih melekat.</t>
  </si>
  <si>
    <t>打開的"星之門"可以吸收物體和子彈，阻擋的傷害有上限(被淺羽攻擊大約2秒就爆了)</t>
  </si>
  <si>
    <t>開いた「星の門」は物体や弾丸を吸収できるが、防げるダメージには限界がある（アサバの攻撃を受けると約2秒後に爆発する）。</t>
  </si>
  <si>
    <t>When the Star Gate is left open, it can absorb objects and projectiles that pass through it (this has a limit as it explodes after 2 seconds after being attacked by Asaba)
In addition to this, the door can also damage monsters passing through it</t>
  </si>
  <si>
    <t>Коли Зоряні Двері залишаються відкритими, вони можуть поглинати предмети та снаряди, що проходять крізь них (це має обмеження, оскільки вони вибухають через 2 секунди після атаки Асаби). Крім того, двері також можуть завдавати шкоди монстрам, які проходять крізь них.</t>
  </si>
  <si>
    <t>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</si>
  <si>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</si>
  <si>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Thiên Tinh được để mở, nó sẽ hấp thụ tất cả vật thể và đạn bay qua nó (nó có giới hạn khi nó phát nổ 2 giây sau khi bị Asaba tấn công)
Thêm vào đó, Cửa Thiên Tinh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</si>
  <si>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</si>
  <si>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Ketika Gerbang Bintang dibiarkan terbuka, ia dapat menyerap benda dan proyektil yang melewatinya (ini memiliki batas karena akan meledak setelah 2 detik setelah diserang oleh Asaba).
Selain itu, pintu tersebut juga dapat melukai monster yang melewatinya.</t>
  </si>
  <si>
    <t>親密接觸(洗澡後、各服裝、各心情、各甜品狀態，皆有可能有不同演出)
身體部位有以下內容：呆毛、頭部、胸部、私處、耳朵、鎖骨、乳頭、肚皮
拖拽時特殊項目：呆毛、胸部、乳頭</t>
  </si>
  <si>
    <t xml:space="preserve">
スキンシップ：
妹の服装や気分、デザートを食べた後、シャワーを浴びた後などによって、異なるアニメーションが発生します。
以下の部位に触れることができます：
アホ毛、頭、おっぱい！、股間、耳、鎖骨、乳首、お腹
ドラッグ時の特別な反応：
アホ毛、おっぱい！、乳首
</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</si>
  <si>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</si>
  <si>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Тілесний контакт:
Різні анімації відображатимуться залежно від одягу Сестри, настрою, стану після вживання десертів, після прийняття душу тощо.
Можна торкатися таких частин тіла:
Ахоге, голова, груди, промежина, вуха, ключиця, соски, живіт
Спеціальні місця для тягання: Ахоге, груди, соски</t>
  </si>
  <si>
    <t>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</si>
  <si>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</si>
  <si>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</si>
  <si>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</si>
  <si>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Sentuhan Fisik:
Animasi berbeda akan muncul tergantung pada pakaian, suasana hati, setelah makan makanan penutup, setelah mandi, dll.
Bagian tubuh berikut dapat disentuh:
Ahoge, kepala, dada, selangkangan, telinga, tulang selangka, puting, perut
Interaksi khusus saat menyeret:
Ahoge, dada, puting</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</si>
  <si>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</si>
  <si>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「装備している武器がなく、『背後攻撃』スキルを習得している場合、敵の背後から攻撃する際に隠し技『千年の死』を使用することができるようになります。
*ダメージ量は剣の熟練度ではなく、背後攻撃の熟練度に依存します
*ノックバック効果を無効化するモンスターには使用できません。敵キャラクターにのみ使用可能です
*今後、特定の敵に対して使用した場合に異なる卑猥なアクションが発生する可能性があります」</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</si>
  <si>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</si>
  <si>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Якщо у вас немає зброї, але ви вивчили навичку Удару в спину, ви можете використовувати приховану техніку «Тисяча років смерті», атакуючи ворогів ззаду. 
*Шкода залежить від вашої майстерності Удару в спину, а не від майстерності володіння мечем.
*Не можна використовувати проти монстрів, які мають імунітет до ефектів відкидання. Можна використовувати лише проти ворогів.
*У майбутньому проти певних ворогів можуть відбуватися різні непристойні дії</t>
  </si>
  <si>
    <t>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</si>
  <si>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</si>
  <si>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</si>
  <si>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Saat kamu tidak memiliki senjata yang terpasang dan telah mempelajari keterampilan tusukan dari belakang, kamu dapat menggunakan teknik tersembunyi "Seribu Tahun Kematian" saat menyerang musuh dari belakang.
*Kerusakan didasarkan pada kemahiran tusukan dari belakangmu, bukan kemahiran pedangmu.
*Tidak dapat digunakan pada monster yang kebal terhadap efek dorongan mundur. Hanya dapat digunakan pada musuh.
*Di masa mendatang, tindakan cabul yang berbeda mungkin terjadi saat digunakan pada musuh tertentu.</t>
  </si>
  <si>
    <t>牛奶是最好的解辣飲品，能大幅縮短解除辣哭了的持續時間</t>
  </si>
  <si>
    <t>牛乳は最良の辛さをやわらげ泣いている時間を大幅に短縮することができる！</t>
  </si>
  <si>
    <t>Milk is the best drink to relieve spiciness as it will significantly reduce its duration</t>
  </si>
  <si>
    <t>La leche es el mejor antídoto contra el picante.
 Reduce drásticamente la duración del estado "llorar por lo picante".</t>
  </si>
  <si>
    <t>Молоко – найкращий напій для полегшення гостроти, оскільки воно значно скорочує її тривалість.</t>
  </si>
  <si>
    <t>Молоко — лучший напиток для снятия жжения, и оно может значительно сократить продолжительность ощущения покалывания.</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</si>
  <si>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</si>
  <si>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</si>
  <si>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</si>
  <si>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Susu adalah minuman terbaik untuk meredakan rasa pedas karena akan secara signifikan mengurangi durasinya.</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</si>
  <si>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</si>
  <si>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</si>
  <si>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</si>
  <si>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</si>
  <si>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Телевізор у вітальні наразі не використовується. Очікується, що в майбутньому на ньому буде відображатися різний контент залежно від дня (наприклад, новини, анімація, рецепти, темна їжа, пасхальні яйця тощо)</t>
  </si>
  <si>
    <t>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</si>
  <si>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</si>
  <si>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</si>
  <si>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</si>
  <si>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Televisi di ruang tamu saat ini tidak digunakan. Di masa mendatang, televisi tersebut diharapkan dapat menampilkan berbagai konten tergantung harinya. (misalnya berita, animasi, resep, makanan bertema gelap, easter egg, dll.)</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</si>
  <si>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</si>
  <si>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</si>
  <si>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</si>
  <si>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</si>
  <si>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Асабу найчастіше можна побачити біля кущів полуниці на узбіччі дороги.</t>
  </si>
  <si>
    <t>Растение ASABA обычно встречается на земляничных кустах вдоль дорог.</t>
  </si>
  <si>
    <t>ASABA erscheint typischerweise in Erdbeerbüschen am Straßenrand.</t>
  </si>
  <si>
    <t>ASABA sẽ được thấy nhiều nhất gần bụi dâu tây ở ven đường</t>
  </si>
  <si>
    <t>ASABA é em sua maioria vista perto dos morangueiros na rua secundária.</t>
  </si>
  <si>
    <t>ASABA biasanya terlihat di dekat semak stroberi di pinggir jalan.</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</si>
  <si>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</si>
  <si>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</si>
  <si>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</si>
  <si>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</si>
  <si>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Наразі полуниця не має практичного застосування. Будь ласка, зачекайте на майбутні оновлення.</t>
  </si>
  <si>
    <t>В настоящее время ингредиент «клубника» не имеет практического применения; подробности будут предоставлены в будущих обновлениях.</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</si>
  <si>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</si>
  <si>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</si>
  <si>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</si>
  <si>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Saat ini, Strawberry belum memiliki kegunaan praktis. Mohon tunggu pembaruan selanjutnya.</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</si>
  <si>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</si>
  <si>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</si>
  <si>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</si>
  <si>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</si>
  <si>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У поточній версії єдині способи убити Опудала — це скористатися картою Таро «Смерть», застосувавши «Руйнівник обличчя» в парі з «Ударом Неко» та поєднавши отруту з «Отруйними обіймами»</t>
  </si>
  <si>
    <t>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</si>
  <si>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</si>
  <si>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“Găng TayHủy Dung” với “Nắm Đấm Vuốt Mèo" hoặc tích độc với Vòng Tay Độc Tử </t>
  </si>
  <si>
    <t>Na versão atual, A única forma de matar um espantalho é usar a carta de tarô Morte, usando Quebra-Faces junto com Soco de Neko e acumular veneno com Abraço Venenoso.</t>
  </si>
  <si>
    <t>Dalam versi saat ini, satu-satunya cara untuk membunuh Scarecrow adalah dengan menggunakan kartu tarot Death, menggunakan Face Breaker yang dipasangkan dengan Neko Punch dan menumpuk racun dengan Venomous Embrace.</t>
  </si>
  <si>
    <t>在"冒險者小道:紀念碑"地圖中，石碑可以查看到戰敗的次數了</t>
  </si>
  <si>
    <t>冒険者の道：記念碑」では、石柱に触れることで、死亡した回数を確認することができます</t>
  </si>
  <si>
    <t>In "Adventurer's Path: Monument", you can interact with the stone pillar to see how many times you've died in your playthrough.</t>
  </si>
  <si>
    <t>"Шлях Мандрівників: Монумент" ви можете взаємодіяти з кам'яною колоною, щоб побачити, скільки разів ви померли протягом гри.</t>
  </si>
  <si>
    <t>На карте "Тропа искателя приключений: Монумент" каменный монумент отображает количество ваших поражений.</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</si>
  <si>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</si>
  <si>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</si>
  <si>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</si>
  <si>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Di "Jalur Petualang: Monumen", Anda dapat berinteraksi dengan pilar batu untuk melihat berapa kali Anda telah mati dalam permainan Anda.</t>
  </si>
  <si>
    <t>取名補充：
取妹妹相關的名子時，遊戲標題和遊戲LOGO中的"彼女"將會變更為"妹"</t>
  </si>
  <si>
    <t>命名に関する追加情報：妹にちなんだ名前を選択した場合、ゲームタイトルおよびロゴの「彼女」が「妹」に変更されます</t>
  </si>
  <si>
    <t>Fun fact when naming imouto:
If you choose a name related to her being a sister, the game's logo will change accordingly from "A Simple Life With My Unobtrusive Girl" to "A Simple Life With My Unobtrusive Sister"</t>
  </si>
  <si>
    <t>Цікавий факт щодо імені Сестри:
Якщо ви оберете ім'я, пов'язане з тим, що вона є сестрою, логотип гри відповідно зміниться з "Просте життя з моєю ненав'язливою дівчиною" на "Просте життя з моєю ненав'язливою сестрою"(яп.).</t>
  </si>
  <si>
    <t>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</si>
  <si>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</si>
  <si>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</si>
  <si>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</si>
  <si>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Fakta menarik saat memberi nama adik perempuan:
Jika Anda memilih nama yang berhubungan dengan statusnya sebagai saudara perempuan, logo game akan berubah sesuai dari "Kehidupan Sederhana Bersama Gadisku yang Tak Mencolok" menjadi "Kehidupan Sederhana Bersama Adikku yang Tak Mencolok".</t>
  </si>
  <si>
    <t>安卓版在RPG模式下，透過點擊頭像框，可以顯示FPS；PC版本是F2按鍵。</t>
  </si>
  <si>
    <t>Android版ではRPGモードでアバター枠をクリックするとFPSが表示され、PC版ではF2キーを押すと表示されます。</t>
  </si>
  <si>
    <t>In the Android version of the game, during the RPG mode, you can press the avatar frame to display the FPS. In PC, the hotkey for this is F2.</t>
  </si>
  <si>
    <t>У версії гри для Android, під час RPG-режиму, ви можете натиснути рамку аватара, щоб відобразити FPS. На ПК для цього використовується гаряча клавіша F2.</t>
  </si>
  <si>
    <t>В версии для Android частота кадров отображается при нажатии на рамку аватара в режиме RPG; в версии для ПК — при нажатии клавиши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</si>
  <si>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</si>
  <si>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</si>
  <si>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</si>
  <si>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Pada versi Android game ini, selama mode RPG, Anda dapat menekan bingkai avatar untuk menampilkan FPS. Di PC, tombol pintas untuk ini adalah F2.</t>
  </si>
  <si>
    <t>安卓版在RPG模式下，透過長按頭像框，可以顯示作弊碼的輸入框</t>
  </si>
  <si>
    <t>Android版ゲームでは、RPGモード中にアバター枠を長押しすると、チートコード入力ボックスが表示されます</t>
  </si>
  <si>
    <t>In the Android version of the game, during the RPG mode, you can long press the avatar frame to display the cheat code input box</t>
  </si>
  <si>
    <t>У версії гри для Android, під час RPG-режиму, ви можете довго натискати на рамку аватара, щоб відобразити поле введення чіт-коду.</t>
  </si>
  <si>
    <t>В версии для Android в режиме RPG при длительном нажатии на рамку аватара появится поле для ввода чит-кода.</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</si>
  <si>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</si>
  <si>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</si>
  <si>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</si>
  <si>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Pada versi Android game ini, selama mode RPG, Anda dapat menekan lama bingkai avatar untuk menampilkan kotak input kode curang.</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</si>
  <si>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</si>
  <si>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</si>
  <si>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</si>
  <si>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</si>
  <si>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Щодо системи підкупу:
Якщо ваших червоних та фіолетових сердець недостатньо для виконання вимог події, ви можете підкупити Сестру полуничним молоком, золотими монетами або квитком, щоб повністю обійти умови.
Спеціальний статус, такий як "Сестра в тічці", все ще потрібен як передумова, оскільки вони перевіряються незалежно.</t>
  </si>
  <si>
    <t>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</si>
  <si>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</si>
  <si>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</si>
  <si>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</si>
  <si>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Mengenai sistem penyuapan:
Jika hati merah dan ungu Anda tidak cukup untuk memicu persyaratan event, Anda dapat menyuap Imouto dengan Susu Stroberi, koin emas, atau Tiket Bebas untuk sepenuhnya melewati persyaratan.
Status khusus seperti "saudari yang sedang birahi" masih diperlukan sebagai prasyarat karena diperiksa secara terpisah.</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</si>
  <si>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</si>
  <si>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</si>
  <si>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</si>
  <si>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Легенда свідчить, що під певною ділянкою закопані фрагменти філософського каменю, через що морква виростає аномально величезною... і що цю моркву охороняє бос.</t>
  </si>
  <si>
    <t>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</si>
  <si>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</si>
  <si>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</si>
  <si>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</si>
  <si>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Legenda mengatakan bahwa ada pecahan Batu Filsuf yang terkubur di bawah area tertentu, yang menyebabkan wortel tumbuh sangat besar secara tidak normal... dan ada bos yang melindungi wortel tersebut.</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</si>
  <si>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</si>
  <si>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</si>
  <si>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</si>
  <si>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Руна Кеназ: Будь-який об'єкт, який можна атакувати, буде вражений (руйнівні об'єкти, монстри, боси, кролячі нори тощо)</t>
  </si>
  <si>
    <t>Руна Кеназ может воздействовать на любую цель, которую можно атаковать (объекты на карте, монстры, боссы, кроличьи норы и т. д.).</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</si>
  <si>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</si>
  <si>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</si>
  <si>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</si>
  <si>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Rune Kenaz: Objek apa pun yang dapat diserang akan terpengaruh (benda yang dapat dihancurkan, monster, bos, lubang kelinci, dll.)</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</si>
  <si>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</si>
  <si>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</si>
  <si>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</si>
  <si>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Коли всі харчові інгредієнти будуть використані, відтвориться прихована подія, під час якої Куроха та Сестра їстимуть локшину швидкого приготування.</t>
  </si>
  <si>
    <t>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</si>
  <si>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</si>
  <si>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</si>
  <si>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Ketika semua bahan makanan telah habis, sebuah kejadian tersembunyi akan terjadi di mana pemain dan adik perempuan akan makan mi instan sebagai gantinya.</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</si>
  <si>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</si>
  <si>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</si>
  <si>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</si>
  <si>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Поки вагонетка рухається, ви можете вистрибнути заздалегідь. (В результаті деякі ефекти або події можуть змінитися)</t>
  </si>
  <si>
    <t>Вы можете спрыгнуть с вагонетки до того, как она начнет двигаться (это изменит некоторые визуальные эффекты).</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</si>
  <si>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</si>
  <si>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</si>
  <si>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</si>
  <si>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Saat kereta tambang sedang bergerak, Anda dapat langsung melompat keluar lebih dulu. (Beberapa efek atau kejadian mungkin berubah sebagai akibatnya)</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</si>
  <si>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</si>
  <si>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</si>
  <si>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</si>
  <si>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Якщо на поверхні води є водяні бульбашки, використання бомб на ній дасть більше риби, ніж зазвичай. Ці бульбашки випадковим чином з'являються на будь-яких водоймах.
Також є ймовірність появи істот (ще не реалізовано)</t>
  </si>
  <si>
    <t>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</si>
  <si>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</si>
  <si>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</si>
  <si>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</si>
  <si>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Jika terdapat gelembung air di permukaan air, menggunakan bom di area tersebut akan menghasilkan lebih banyak ikan dari biasanya. Area gelembung ini muncul secara acak di semua perairan.
Selain itu, ada kemungkinan makhluk lain akan muncul (belum diimplementasikan).</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</si>
  <si>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</si>
  <si>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</si>
  <si>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</si>
  <si>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У битві з босом Білий кролик Країни чудес, після знищення всіх кролячих нор, бос буде змушений підскочити на землю.</t>
  </si>
  <si>
    <t>Белый кролик из маленького сада — после того, как кроличья нора будет полностью разрушена, он будет вынужден отскочить на землю.</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</si>
  <si>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</si>
  <si>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</si>
  <si>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</si>
  <si>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Dalam pertarungan bos White Rabbit Beyond Wonderland Garden, setelah semua lubang kelinci dihancurkan, bos akan terpaksa terpental ke tanah.</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</si>
  <si>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</si>
  <si>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</si>
  <si>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</si>
  <si>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У битві з босом Білий кролик Країни чудес гравець прив'язаний до битви з босом і не зможе втекти, наприклад, через Зоряні Ворота. Однак використання карт Таро все ще дозволено.</t>
  </si>
  <si>
    <t>Белый Кролик в Маленьком Саду не позволит игроку сбежать (Звездные Врата также будут поглощены), но это не повлияет на карты Таро.</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</si>
  <si>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</si>
  <si>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</si>
  <si>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</si>
  <si>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Dalam pertarungan bos White Rabbit Beyond Wonderland, pemain akan terkunci pada pertarungan bos dan tidak dapat melarikan diri, misalnya dengan menggunakan Star Gate. Namun, penggunaan kartu Tarot masih diperbolehkan.</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</si>
  <si>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</si>
  <si>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</si>
  <si>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</si>
  <si>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Коли ви програєте битву з босом проти Білий кролик Країни чудес, усі моркви, що у вас є, будуть конфісковані.</t>
  </si>
  <si>
    <t>Белый кролик в миниатюрном саду — Если игрок проиграет битву, морковь, которая была у него при себе, будет конфискована.</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</si>
  <si>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</si>
  <si>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</si>
  <si>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</si>
  <si>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Saat kamu kalah dalam pertarungan bos melawan Kelinci Putih di Luar Negeri Ajaib, semua wortel yang kamu miliki akan disita.</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</si>
  <si>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</si>
  <si>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</si>
  <si>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</si>
  <si>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Морквяний меч – якщо запекти цю моркву на багатті, це призведе до появи Кролика-покоївки, яка дозволить вам телепортуватися до інших багать, з якими ви вже взаємодіяли.</t>
  </si>
  <si>
    <t>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</si>
  <si>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</si>
  <si>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</si>
  <si>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</si>
  <si>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Pedang Wortel - Memanggang wortel ini di atas api unggun akan memanggil Kelinci Pelayan yang memungkinkan Anda berteleportasi ke api unggun lain yang telah Anda interaksi sebelumnya.</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</si>
  <si>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</si>
  <si>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</si>
  <si>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</si>
  <si>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Полуниця Асаби та морква наразі не мають бонусних ефектів на Імото та гравця під час їх вживання.</t>
  </si>
  <si>
    <t>Клубника и морковь, выращенные компанией ASABA, пока не оказали никакого особого влияния на рацион младшей сестры и старшего брата.</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</si>
  <si>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</si>
  <si>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</si>
  <si>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</si>
  <si>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Stroberi dan wortel ASABA saat ini tidak memiliki efek bonus apa pun pada imouto dan pemain saat mengonsumsinya.</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</si>
  <si>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</si>
  <si>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</si>
  <si>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</si>
  <si>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Полуниця Aсаби набагато смачніша за звичайну. Однак, якщо ви погодуєте нею Aсабу, розпочнеться битва з босом.</t>
  </si>
  <si>
    <t>«Клубника Асабы» вкуснее обычной клубники. Если вы накормите Асабу этим ингредиентом, она придёт в ярость и начнётся битва с боссом.</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</si>
  <si>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</si>
  <si>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</si>
  <si>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</si>
  <si>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Stroberi ASABA jauh lebih lezat daripada stroberi biasa. Namun, jika Anda memberikan stroberi ini kepada ASABA, pertarungan bos akan terpicu.</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</si>
  <si>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</si>
  <si>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</si>
  <si>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</si>
  <si>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Щодо рухів боса «Скажена АСАБА»:
- Рух і танець боком гарантуватиме ухилення від усіх атак
- Обертання відбиває більшість снарядів
- Матиме миттєвий рух "телепортації", який майже миттєво вб'є вас (посилання на Шун Гоку Сацу з Street Fighter)
- Коли вас вкусить АСАБА, вона з'їсть будь-яку їжу, яку ви маєте з собою, і відновить своє здоров'я. Якщо вона з'їсть погану їжу, вона отруїться.</t>
  </si>
  <si>
    <t>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</si>
  <si>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</si>
  <si>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</si>
  <si>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</si>
  <si>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 xml:space="preserve">Mengenai gerakan bos "Raging ASABA":
- Bergerak dan menari ke samping akan menjamin penghindaran semua serangan
- Berputar akan menangkis sebagian besar proyektil
- Akan memiliki gerakan "teleportasi" instan yang hampir seketika akan membunuh Anda (referensi ke Shun Goku Satsu dari Street Fighter)
- Saat digigit oleh ASABA, ia akan memakan makanan apa pun yang Anda bawa dan memulihkan kesehatannya. Jika kebetulan memakan makanan yang buruk, ia akan keracunan.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</si>
  <si>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</si>
  <si>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</si>
  <si>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</si>
  <si>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Щодо "Ковальського Ковадла"
1. Це замінить ""Сенпу""(Ривок). Використання Сенпу замість цього витягне ковадло, щоб ви могли почати кувати. Ваша основна зброя автоматично буде замінена на "Кувальний молот".
2. "Кувальний молот" має нескінченну міцність і буде схован, якщо ви підберете ковадло або зміните карту.
3. Атака ковадла молотом вважається "куванням". Кожен ваш удар підвищує температуру зброї, причому вища температура призводить до більшої ймовірності та більшого відновлення міцності зброї.
4. Коли поблизу ковадла є вороги, ви отримаєте додаткові винагороди.
5. Коли зброя починає перегріватися, вам потрібно почекати, поки вона охолоне, оскільки удар по ній нічого не дасть.
6. Відремонтована міцність спорядження не може перевищувати її початковий максимальний ліміт.
7. Кування можна використовувати лише на землі.
8. Під час кування ковадло автоматично підбирається, якщо гравець гине. Коли ви змінюєте карту, вам завжди потрібно йти. поверніться на карту, де ви розмістили ковадло, щоб знову побачити його. Відродження не піднімає ковадло автоматично.
9. Наразі немає дизайнів для кількох типів ковадл.
10. Коли зброя досягає максимальної температури та перегрівається, ви можете просто прибрати її та знову розмістити, щоб обійти час перезарядки.
11. Сама зброя "Кувальний молот" також отримує бонуси, такі як "Удар Неко" або "Збільшення зброї" з карт Таро, для покращення ефективності кування.
12. Чим вища ваша сила атаки, тим сильніший ефект кування.
13. Якщо ви беззбройні (голірукі та без зброї), ковадло не можна викликати.
14. У майбутньому з'являться такі функції, як полірування, для подальшого посилення ефектів зброї або навіть розміщення предметів, що не є зброєю, на ковадлі. Слідкуйте за оновленнями!</t>
  </si>
  <si>
    <t>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t>
  </si>
  <si>
    <t>Về “Cái Đe”
1. Tính năng này sẽ thay thế “Thiểm Bộ” (Lướt). Khi dùng Thiểm Bộ,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</si>
  <si>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</si>
  <si>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Mengenai "Landasan Tempa (Anvil)"
1. Ini akan menggantikan "Senpuu" (Lari Cepat). Menggunakan Senpuu akan mengeluarkan landasan tempa sehingga Anda dapat mulai menempa. Senjata utama Anda akan secara otomatis dilepas dan diganti dengan "Palu Tempa".
2. "Palu Tempa" memiliki daya tahan tak terbatas dan akan dilepas jika Anda mengambil landasan tempa atau berganti peta.
3. Menyerang landasan tempa dengan palu dihitung sebagai "menempa". Setiap pukulan yang Anda lakukan meningkatkan suhu senjata, dengan suhu yang lebih tinggi menghasilkan peluang dan nilai yang lebih tinggi dalam memulihkan daya tahan senjata.
4. Ketika ada musuh di dekat landasan tempa, Anda akan mendapatkan hadiah tambahan.
5. Ketika senjata mulai terlalu panas, Anda perlu menunggu hingga dingin karena memukulnya tidak akan menghasilkan apa pun.
6. Daya tahan peralatan yang diperbaiki tidak dapat melebihi batas maksimum aslinya.
7. Penempaan hanya dapat digunakan di tanah.
8. Selama penempaan, landasan tempa akan secara otomatis diambil jika pemain mati. Saat Anda berganti peta, Anda selalu harus kembali ke peta tempat Anda meletakkan landasan untuk melihatnya lagi. Menghidupkan kembali tidak secara otomatis mengambil landasan.
9. Saat ini, belum ada desain untuk beberapa jenis landasan.
10. Ketika senjata mencapai suhu maksimum dan terlalu panas, Anda cukup menyimpannya dan meletakkannya kembali untuk melewati waktu pendinginan.
11. Senjata Palu Tempa itu sendiri juga mendapat manfaat dari bonus seperti Pukulan Neko atau "Pembesaran Senjata" dari kartu tarot untuk meningkatkan efektivitas penempaan.
12. Semakin tinggi kekuatan serangan Anda, semakin besar efek penempaan.
13. Jika Anda tidak bersenjata (tanpa senjata yang terpasang), landasan tidak dapat dipanggil.
14. Di masa mendatang, akan ada fitur seperti pemolesan untuk lebih meningkatkan efek senjata atau bahkan meletakkan barang-barang non-senjata di landasan. Nantikan!</t>
  </si>
  <si>
    <t>怪鳥的羽毛、法杖的懸空等等，都屬於漂浮狀態，可以抵達特殊地區
羽毛不能接觸水面或冰面</t>
  </si>
  <si>
    <t>怪鳥の羽根や杖による浮遊などは、すべて『浮遊』状態として扱われ、通常では到達できない場所にも移動できるようになります。
ただし、羽根を使って水や氷に触れることはできません</t>
  </si>
  <si>
    <t>Weird Feather, levitation from staff, etc. all count as "Floating" state which allows you to reach otherwise inaccessible areas.
The feather can't be used to touch water or ice.</t>
  </si>
  <si>
    <t>Дивне перо, левітація від посохів тощо – все це вважається станом «Ширяння», який дозволяє вам досягати недоступних місць.
Перо не можна використовувати для дотику до води чи льоду.</t>
  </si>
  <si>
    <t>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</si>
  <si>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</si>
  <si>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</si>
  <si>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Bulu Aneh, levitasi dari tongkat, dll., semuanya dihitung sebagai keadaan "Mengapung" yang memungkinkan Anda mencapai area yang sebelumnya tidak dapat diakses.
Bulu tersebut tidak dapat digunakan untuk menyentuh air atau es.</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</si>
  <si>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</si>
  <si>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</si>
  <si>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</si>
  <si>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Кролячі нори можна пошкодити лише вибухівкою. Інші атаки чи атаки слуг на них не вплинуть.</t>
  </si>
  <si>
    <t>Атака «Кроличьей норы» возможна только с помощью взрывного урона; другие атаки или атаки Слуг не оказывают никакого эффекта.</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</si>
  <si>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</si>
  <si>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</si>
  <si>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</si>
  <si>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Lubang Kelinci hanya dapat dirusak dengan bahan peledak. Serangan lain atau serangan pelayan tidak akan mempengaruhinya.</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</si>
  <si>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</si>
  <si>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</si>
  <si>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</si>
  <si>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Битися з кількома босами одночасно насправді можливо. Ви можете битися з Розлюченою Aсабою та Річковим Лордом одночасно, а також з Білим Кроликом  Країни Чудес, проте це не рекомендується та неоптимізовано.</t>
  </si>
  <si>
    <t>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</si>
  <si>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</si>
  <si>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</si>
  <si>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</si>
  <si>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Melawan beberapa bos sekaligus sebenarnya dimungkinkan. Anda dapat melawan Raging ASABA dan The River Lord secara bersamaan dengan White Rabbit Beyond Wonderland, namun ini tidak disarankan dan tidak dioptimalkan.</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</si>
  <si>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</si>
  <si>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</si>
  <si>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</si>
  <si>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Модуль 1 "Nexus" може споживати інші частини серії Модулей для покращення себе на 1 рівень до максимуму 7 рівня.
Під час живлення:
Модуль 2: Дозволяє виявляти ворогів поблизу та реліквії (можна придбати у фургоні для покупок).
Модуль 3: -
Модуль 4: -
Модуль 5: -
Модуль 6: -
Модуль 7: -
Щоб покращити, одягніть Модуль 1 "Nexus" та іншу частину Одиниці, потім натисніть вкладку навичок (значок книги) та натисніть значок Модуль 1 "Nexus", щоб злити.</t>
  </si>
  <si>
    <t>Модуль 1 "Нексус" можно использовать с помощью модулей со 2 по 7.
Каждый модуль может улучшить "Нексус" на один уровень, до максимального уровня 7.
(Улучшение можно произвести в слоте навыков)
Модуль 2: Разведка ближайших врагов и количества реликвий (можно приобрести в магазине)
Модуль 3: -
Модуль 4: -
Модуль 5: -
Модуль 6: -
Модуль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</si>
  <si>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</si>
  <si>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</si>
  <si>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</si>
  <si>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Unit 1 Nexus dapat mengonsumsi bagian lain dari seri Unit untuk meningkatkan levelnya sebanyak 1 level hingga maksimal Level 7.
Saat diberi makan oleh:
Unit 2: Memungkinkan deteksi musuh dan relik di dekatnya (dapat dibeli dari van belanja)
Unit 3: -
Unit 4: -
Unit 5: -
Unit 6: -
Unit 7: -
Untuk meningkatkan level, kenakan Unit 1 Nexus dan bagian Unit lainnya, lalu tekan tab keterampilan (ikon buku) dan tekan ikon Unit 1 Nexus di sana untuk menggabungkan.</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</si>
  <si>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</si>
  <si>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</si>
  <si>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</si>
  <si>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Детальні інструкції щодо риболовлі:
ПРИМІТКА: Все скидається, коли йде дощ
Коли бомбу кидають у воду, шанс випадання риби або предмета становить 5%. Дощ значно збільшує шанс цього на 30%-50%
1. Кількість риби або предметів, які випадають на поверхні води, обмежена. Чим більша водойма, тим більше вона може випасти, максимум до 50 одиниць.
2. Коли машина Гачапон безпосередньо з'являється у водоймі або ворог падає у воду, вона діятиме як своєрідне "добриво". Це збільшує шанс випадання на цій водоймі на 50% (зламана машина Гачапон не враховується). Кількість випадаючих предметів/риби також збільшується разом зі значенням вашої гріховності.
3. Характеристика удачі Курохи впливає на риболовлю, максимум до 75% бонусної імовірності.
4. Якщо у водоймі є тіні риби, пряма атака на них або підплив до них дасть рибу. Тільки один раз за тінь риби.
5. Бульбашки на поверхні води вказують на наявність предмета. Кидання бомб у нього або використання водного посоху дає отримати деякі предмети. Вони мають більший шанс або породити ворога, або спорядження. Риби мають меншу імовірність викидання предмети.
6. Кидання добрива на поверхню води значно збільшить шанси на отримання предмета/риби.
7. Живі істоти, які падають у водойму, стають "добривами", додаючи нові предмети тощо, включаючи Сакамбаспіса, який вилітає у воду при кидку.
8. Телешоу іноді прогнозує щось, пов'язане з риболовлею. Це змінює лише пул випадання і не обов'язково змінює імовірність випадання або кількість предметів.
9. Викинуті добрива сумуються одне з одним, поки вони знаходяться в зоні дії, сукупно збільшуючи шанси до 100%, що призводить до випадання спеціальних предметів або вилучення боса Річкового Лорда.
10. Якщо водойма дуже мала, деякі істоти не з'являться(наприклад, боси). Якщо ділянка землі, де з'являється Сакамбаспіс, дуже мала, він одразу ж втече.
TLDR
Дощова погода, удача, машини гачапон у воді – все це створює ідеальні умови для риболовлі. Обидва варіанти застосовуються на великій річці в Лісі Руїн – 1 та на річці в Лісі Руїн трохи вище початкової зони.</t>
  </si>
  <si>
    <t>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генерирует выпадающие предметы.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генерации выпадающих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</si>
  <si>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</si>
  <si>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</si>
  <si>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</si>
  <si>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Instruksi detail untuk memancing:
CATATAN: Semuanya akan diatur ulang saat hujan
Saat bom dilemparkan ke air, peluang mendapatkan ikan atau item adalah 5%. Hujan secara signifikan meningkatkan peluang ini hingga 30%-50%.
1. Jumlah ikan atau item yang dapat diperoleh dari suatu permukaan air terbatas. Semakin besar badan air, semakin banyak yang dapat diberikan, hingga maksimal 50 item.
2. Saat mesin Gachapon muncul langsung di badan air atau musuh jatuh ke air, itu akan bertindak sebagai semacam "pupuk". Ini meningkatkan tingkat perolehan item di badan air tersebut sebesar 50% (mesin Gachapon yang rusak tidak dihitung). Jumlah item/ikan yang didapatkan juga meningkat seiring dengan nilai dosa Anda.
3. Statistik keberuntungan Onii-chan memengaruhi memancing, hingga maksimal 75% peluang bonus.
4. Jika ada bayangan ikan di badan air, menyerangnya secara langsung atau berenang ke arahnya akan menghasilkan ikan. Hanya satu kali per bayangan ikan.
5. Gelembung di permukaan air menunjukkan adanya suatu item. Melempar bom ke gelembung tersebut atau menggunakan tongkat air dapat memicu munculnya item. Mereka memiliki peluang lebih tinggi untuk memunculkan musuh atau menjatuhkan peralatan. Ikan memiliki peluang lebih rendah untuk menjatuhkan item.
6. Melempar pupuk ke permukaan air akan secara signifikan meningkatkan peluang mendapatkan item/ikan.
7. Makhluk hidup yang jatuh ke dalam air akan menjadi "pupuk", menambahkan item baru, dll., termasuk Sacambaspis yang lolos ke air saat dilempar.
8. Acara TV terkadang meramalkan sesuatu yang berkaitan dengan memancing. Ini hanya mengubah kumpulan item yang jatuh dan tidak selalu mengubah tingkat jatuhnya item atau jumlah item yang jatuh.
9. Pupuk yang dilempar akan saling menumpuk selama berada dalam jangkauan, secara kumulatif meningkatkan peluang hingga 100%, menghasilkan item khusus atau menangkap bos The River Lord.
10. Jika badan air sangat kecil, makhluk tertentu tidak akan muncul sama sekali (seperti bos). Jika daratan tempat Sacambaspis muncul sangat kecil, ia akan segera melarikan diri.
TLDR
Cuaca hujan, keberuntungan, mesin gachapon di dalam air semuanya menciptakan kondisi ideal untuk memancing. Baik berlaku di sungai besar di Hutan Reruntuhan - 1 dan sungai di Hutan Reruntuhan tepat di atas area awal.</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</si>
  <si>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</si>
  <si>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サカバンバスピス王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</si>
  <si>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</si>
  <si>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Коли здоров'я Річкового Короля падає нижче 90%, є шанс, що він засне, щоб відновити своє здоров'я. Атака на нього розбудить його.
Після поразки, якщо в радіусі 8 блоків є водойма, він припинить битися та стрибне назад у воду. Коли це станеться, у нього є шанс випустити свою корону (Королівський указ). Якщо його переможено під дією негативних ефектів, що погіршують рухливість (Параліз, Замороження або Оглушення), він все одно стрибне у воду, але шанс випадання корони значно зростає.
Якщо поблизу немає води, він перетворюється на Сакамбаспіса звичайного розміру через виснаження, не маючи змоги втекти, і стане слугою, з якого випаде дроп (◉▽◉(Рожевий)). Незважаючи на це, у нього все ще є шанс випадання Королівського указу</t>
  </si>
  <si>
    <t>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</si>
  <si>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</si>
  <si>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</si>
  <si>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</si>
  <si>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Saat kesehatan Raja Sungai turun di bawah 90%, ada kemungkinan ia akan tidur untuk memulihkan kesehatannya. Menyerangnya akan membangunkannya.
Setelah dikalahkan, jika ada badan air dalam radius 8 blok, ia akan berhenti bertarung dan langsung melompat kembali ke air. Saat ini terjadi, ada kemungkinan ia menjatuhkan mahkotanya (Dekrit Kerajaan). Jika dikalahkan karena debuff yang menghambat pergerakan (Lumpuh, Beku, atau Terp stunned), ia tetap akan melompat ke air tetapi peluang menjatuhkan mahkota meningkat secara signifikan.
Jika tidak ada air di dekatnya, ia akan berubah menjadi Sacambaspis berukuran normal karena kelelahan, tidak dapat melarikan diri, dan akan menjadi drop servant (◉▽◉(Pink)). Meskipun demikian, ia masih memiliki peluang untuk menjatuhkan Dekrit Kerajaan.</t>
  </si>
  <si>
    <t>毒霧遇上火屬性攻擊時，可以產生粉塵爆炸</t>
  </si>
  <si>
    <t>毒霧が火属性攻撃を受けると、粉塵爆発が発生する</t>
  </si>
  <si>
    <t>When poison comes in contact with fire attribute, it will trigger explosions. Poison fogs included.</t>
  </si>
  <si>
    <t>Коли отрута контактує з атрибутом вогню, це викликає вибухи. Включаючи отруйний туман</t>
  </si>
  <si>
    <t>При столкновении ядовитого тумана с атакой огненной стихии может произойти взрыв пыли.</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</si>
  <si>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</si>
  <si>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</si>
  <si>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</si>
  <si>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Saat racun bersentuhan dengan elemen api, akan memicu ledakan. Termasuk kabut racun.</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</si>
  <si>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</si>
  <si>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</si>
  <si>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</si>
  <si>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Ненажерливі монстри, такі як орки, Aсаба тощо, частіше спокушаються зброєю типу "Їжа". Їх, ймовірно, легко вбити через здуття живота від переїдання.</t>
  </si>
  <si>
    <t>Некоторые прожорливые монстры легко поддаются искушению оружием, связанным с едой, например, Асаба и орки. Их чаще всего убивают силой.</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</si>
  <si>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</si>
  <si>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</si>
  <si>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</si>
  <si>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Monster-monster rakus seperti Orc, ASABA, dan lain-lain lebih cenderung tergoda oleh senjata tipe "Makanan". Mereka cenderung mudah dibunuh karena kembung akibat makan berlebihan.</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</si>
  <si>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</si>
  <si>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</si>
  <si>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</si>
  <si>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Дощова погода дає від 30% до 50% бонусного шансу на риболовлю, але лише тоді, коли ви дійсно бачите дощ на екрані. (Наприклад, у приміщенні дощ не видно, тому немає бонусу).
Хмарна погода дає від 15% до 25% бонусу та повинна впливати на весь світ, включаючи приміщення.</t>
  </si>
  <si>
    <t>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</si>
  <si>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</si>
  <si>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</si>
  <si>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</si>
  <si>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Cuaca hujan memberikan bonus peluang memancing sebesar 30% hingga 50%, tetapi hanya jika Anda benar-benar melihat hujan di layar. (Misalnya, di dalam ruangan tidak terlihat hujan sehingga tidak ada peningkatan peluang).
Cuaca berawan memberikan bonus 15% hingga 25% dan akan memengaruhi seluruh dunia, termasuk di dalam ruangan.</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</si>
  <si>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</si>
  <si>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</si>
  <si>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</si>
  <si>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Кожна полуниця на карті має 10% імовірність появи Aсаби. Чим більше полуниці у вашому інвентарі, тим більша імовірність появи ASABA. Кожна полуниця збільшує імовірність на 0,5% до максимум 50% зі 100 полуницями.</t>
  </si>
  <si>
    <t>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</si>
  <si>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</si>
  <si>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</si>
  <si>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Setiap stroberi di peta memiliki peluang 10% untuk memunculkan ASABA. Semakin banyak stroberi yang Anda miliki di inventaris, semakin besar kemungkinan munculnya ASABA. Setiap stroberi meningkatkan probabilitas sebesar 0,5% hingga maksimum 50% dengan 100 stroberi.</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</si>
  <si>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</si>
  <si>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</si>
  <si>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</si>
  <si>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</si>
  <si>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Ви можете дивитися телевізор у вітальні, коли вам заманеться, після повернення додому.
Телешоу, що транслюються зараз:
18:00-19:00: Канал Новини Безодні (Новини Кролика)
19:00-20:00 Канал прогнозу погоди
20:00-21:00: Канал їжі (у певні дні переходить на аніме "Чарівна дівчина")
21:00-22:00: Канали поки що недоступні
22:00-:23:00: Канали поки що недоступні (тут можна використовувати відеокасети)
У майбутньому планується показ різних візуальних матеріалів щодня (наприклад, новини, рецепти, дивні страви, пасхальні яйця тощо)</t>
  </si>
  <si>
    <t>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</si>
  <si>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</si>
  <si>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</si>
  <si>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</si>
  <si>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Anda dapat memilih untuk menonton TV di ruang tamu sesuai keinginan Anda setelah sampai di rumah.
Acara TV yang sedang tayang:
18:00-19:00: Saluran Berita Abyss (Berita Kelinci)
19:00-20:00 Saluran Ramalan Cuaca
20:00-21:00: Saluran Makanan (berubah menjadi Anime Gadis Ajaib di hari-hari tertentu)
21:00-22:00: Belum ada saluran yang tersedia
22:00-23:00: Belum ada saluran yang tersedia (Kaset video dapat digunakan di sini)
Di masa mendatang, visual yang berbeda direncanakan untuk ditampilkan setiap hari (misalnya berita, resep, hidangan aneh, easter egg, dll.)</t>
  </si>
  <si>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</si>
  <si>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❤️は愛情を表します
💜は欲望／淫らな感情を表します
🤍は中出し行為によって彼女の体内に残した精液の量を示します。ただし、1回の中出しで必ずしも1つの白いハートが満たされるわけではありません。現時点では特に効果はありません。
💛は妹への賄賂のレベルを表し、当然ながら賄賂を贈った際に獲得できます。このハートは毎日リセットされ、他の色のハートと重なることがあり、その場合下の参考画像のように黄色の輪郭が表示されます。現在のバージョンでは💛を❤️の代用として使用できます
🖤は不機嫌な状態を表します。これは妹を怒らせたり、彼女に対する約束を守れなかった場合に発生します。（リリース日は未定）
</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</si>
  <si>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</si>
  <si>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</si>
  <si>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</si>
  <si>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r>
      <rPr>
        <rFont val="Microsoft JhengHei"/>
        <color theme="1"/>
      </rPr>
      <t>❤️ представляє прихильність
💜 представляє бажання / розпусту
🤍 представляє кількість сперми, яку ви залишили всередині неї, накопиченої під час виконання накадаші (</t>
    </r>
    <r>
      <rPr>
        <rFont val="Microsoft JhengHei"/>
        <color theme="1"/>
        <sz val="9.0"/>
      </rPr>
      <t>creampie</t>
    </r>
    <r>
      <rPr>
        <rFont val="Microsoft JhengHei"/>
        <color theme="1"/>
      </rPr>
      <t>). Зверніть увагу, що одне накадаші не обов'язково означає одне повне біле серце. Наразі не має жодного ефекту.
💛 представляє ваш рівень хабарництва для Імото, очевидно, отриманий під час підкупу. Це серце скидається щодня і може перетинатися з іншим кольоровим серцем, в якому вони матимуть жовтий контур, як на зображенні нижче. 💛 може використовуватися як заміна ❤️ у поточній версії
🖤 представляє поганий настрій. Це трапляється, якщо ви засмучуєте Сестру або не виконуєте своїх обіцянок, даних їй. (Дата виходу невідома)</t>
    </r>
  </si>
  <si>
    <t>❤️Красное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</si>
  <si>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</si>
  <si>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mức độ hối lộ imouto, nhận được khi hối lộ em ấy.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</si>
  <si>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</si>
  <si>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 xml:space="preserve">❤️ melambangkan kasih sayang
💜 melambangkan hasrat/nafsu
🤍 melambangkan jumlah sperma yang Anda tinggalkan di dalam dirinya, yang terkumpul saat melakukan nakadashi (creampie). Perhatikan bahwa satu kali nakadashi tidak selalu berarti 1 hati putih penuh. Saat ini tidak berpengaruh.
💛 melambangkan tingkat suap Anda untuk imouto, yang jelas diperoleh saat menyuap. Hati ini diatur ulang setiap hari dan dapat tumpang tindih dengan hati berwarna lain yang akan memiliki garis luar kuning seperti pada gambar referensi di bawah ini. 💛 dapat digunakan sebagai pengganti ❤️ di versi saat ini
🖤 melambangkan suasana hati yang buruk. Ini terjadi jika Anda membuat imouto kesal atau gagal menepati janji Anda kepadanya. (Tanggal rilis tidak diketahui)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</si>
  <si>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</si>
  <si>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</si>
  <si>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</si>
  <si>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</si>
  <si>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r>
      <rPr>
        <rFont val="Microsoft JhengHei"/>
        <color theme="1"/>
      </rPr>
      <t>Квитки можна складати один на одного та не викидати, що ще більше збільшує вартість вашого гріха.
Штрафи списуються лише в момент покупки, ваші гроші не стануть від'ємними, якщо у вас їх недостатньо.
Володіння кількома квитками не накопичує штрафи.
Штрафи становлять половину звичайної ціни (</t>
    </r>
    <r>
      <rPr>
        <rFont val="Microsoft JhengHei"/>
        <color theme="1"/>
        <sz val="9.0"/>
      </rPr>
      <t>1/4 від ціни товару</t>
    </r>
    <r>
      <rPr>
        <rFont val="Microsoft JhengHei"/>
        <color theme="1"/>
      </rPr>
      <t>).
Наприклад:
Ціна товару - 500
Ціна від торгового фургона - 1000
Штраф - 250 (1/4 від 1000)</t>
    </r>
  </si>
  <si>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</si>
  <si>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</si>
  <si>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</si>
  <si>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</si>
  <si>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</si>
  <si>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
小技巧：利用怪物討厭臭味的特性，可以更有效的進行戰鬥</t>
  </si>
  <si>
    <t xml:space="preserve">
現在、お兄ちゃんは『深淵の気配の濃度』を観測する手段をまだ持っていません。
ダンジョン内でモンスターを倒し続けると深淵の気配が蓄積され、毎日一定割合で減少します。また、『封印の柱』が出現した場合、深淵の気配はリセットされます。
小ネタ：モンスターは臭いを嫌う性質があるため、それを利用するとより効率的に戦闘を進められます</t>
  </si>
  <si>
    <t>Currently, there's no way to see the "Abyssal Aura". Killing monsters in the Abyssal Aura is the way to accumulate it and it decreases by a fixed percentage each time a new day starts or it resets back to 0 when you clear a Sealed Pillar
Tip: Use the monster's hate of bad odor to fight effectively. (Rotten Fishbone)</t>
  </si>
  <si>
    <t>目前玩家还没有手段可以观测"深渊气息浓度"
在迷宫里不断杀死怪物就会累积深渊气息，每天固定下降一定比例，或是出现封印之柱时，会清空深渊气息
小技巧：利用怪物讨厌臭味的特性，可以更有效的进行战斗</t>
  </si>
  <si>
    <t>Наразі немає можливості побачити "Ауру Безодні". Вбивство монстрів в Аурі Безодні — це спосіб її накопичення, і вона зменшується на фіксований відсоток щоразу, коли починається новий день, або скидається до 0, коли ви очищаєте Запечатану колону.
Порада: Використовуйте ненависть монстра до поганого запаху для ефективного бою. (Гнила риб'яча кістка)</t>
  </si>
  <si>
    <t>Currently, there's no way to see the "Abyssal Aura". Killing monsters in the Abyssal Aura is the way to accumulate it and it decreases by a fixed percentage each time a new day starts or it resets back to 0 when you clear a Sealed Pillar</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</si>
  <si>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</si>
  <si>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Trụ Bị Phong Ấn.
Tip: lợi dụng việc quái vật ghét mùi hôi để chiến đấu hiệu quả (Xương Cá Thối)</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</si>
  <si>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</si>
  <si>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</si>
  <si>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遊戲中的一分鐘，大約是現實生活的2秒鐘，因此與整點能力相關能力皆為2秒左右(例如：儀式的御柱)
小技巧：可以透過時間暫停道具提升維持時間</t>
  </si>
  <si>
    <t>ゲーム内の1分は現実時間の約2秒に相当する
そのため毎正時に関連する能力の持続時間も約2秒程度となる（例：儀式の御柱）
小技：時間停止アイテムを使用することで持続時間を延ばすことができる</t>
  </si>
  <si>
    <t>One minute in the game is roughly equivalent to two seconds in real life so abilities that are time-related are all around two seconds long (like the Sealed Pillar). Tip: You can use time-stop items to extend the duration</t>
  </si>
  <si>
    <t>游戏中的一分钟，大约是现实生活的2秒钟，因此与整点能力相关能力皆为2秒左右(例如：仪式的御柱)
小技巧：可以透过时间暂停道具提升维持时间</t>
  </si>
  <si>
    <t>Un minuto en el juego equivale aproximadamente a dos segundos en la vida real; por lo tanto, las habilidades relacionadas con la hora duran aproximadamente dos segundos (por ejemplo, el pilar ritual).
Consejo: La duración se puede aumentar usando objetos que detienen el tiempo.</t>
  </si>
  <si>
    <t>게임 내 1분은 현실 시간으로 약 2초에 해당합니다. 따라서 시간과 관련된 능력(예: 의식 기둥)은 모두 약 2초 동안 지속됩니다.
팁: 시간 정지 아이템을 사용하면 지속 시간을 늘릴 수 있습니다.</t>
  </si>
  <si>
    <t>Одна хвилина в грі приблизно еквівалентна двом секундам у реальному житті, тому здібності, пов'язані з часом, тривають близько двох секунд (як Запечатана колона). Порада: Ви можете використовувати предмети, що зупиняють час, щоб продовжити тривалість.</t>
  </si>
  <si>
    <t>Одна минута в игре равна примерно двум секундам в реальной жизни.
Таким образом, все способности, связанные с часом, длятся около двух секунд (например, ритуальный столб).
Совет: Вы можете использовать предметы, останавливающие время, чтобы увеличить его продолжительность.</t>
  </si>
  <si>
    <t>Eine Minute im Spiel entspricht ungefähr zwei Sekunden im echten Leben, daher dauern alle zeitbezogenen Fähigkeiten etwa zwei Sekunden an wie die Versiegelte Säule. Tipp: Du kannst Zeitstopp Gegenstände verwenden, um die Dauer zu verlängern</t>
  </si>
  <si>
    <t>Một phút trong trò chơi bằng khoảng hai giây ngoài đời thật; vì thế, các kĩ năng liên quan đến thời gian đều dài khoảng 2 giây</t>
  </si>
  <si>
    <t xml:space="preserve">Um minuto no jogo equivale aproximadamente a dois segundos na vida real, então habilidades relacionadas ao tempo duram cerca de dois segundos (como o Pilar Selado). Dica: você pode usar itens de parada no tempo para estender a duração.
</t>
  </si>
  <si>
    <t>satu menit di game sama dengan dua detik didunia nyata jadi kemampuan yang berhubungan dengan waktu semuanya selama dua detik lamanya (seperti pilar tersegel). Tips: kau bisa memperpanjang durasinya menggunakan item penghenti waktu</t>
  </si>
  <si>
    <t>淫奔的惡魔具有操作時間的能力，能將時間立即重置到整點
如果目前時間是整點，它的能力會強到可以秒殺玩家
第二階段會有光砲攻擊(未實裝)</t>
  </si>
  <si>
    <t xml:space="preserve">
淫乱の悪魔は時間を操作する能力を持ち、時間を即座に時報の時刻にリセットできます。
現在の時刻が時報の時刻と一致している場合、その能力は非常に強力で、お兄ちゃんを一瞬で倒すことが可能です
第2段階では、光の砲撃攻撃があります (未実装)
</t>
  </si>
  <si>
    <t>The "Lewd Demon" monster is capable of manipulating time, instantly resetting it to an exact hour (like 1:00, 2:00, etc.). If the current time is exactly on the hour, its power is strong eonugh to instnatly kill the player.
In the second phase, there will be things such as a laser attack (not yet implemented)</t>
  </si>
  <si>
    <t>淫奔的恶魔具有操作时间的能力，能将时间立即重置到整点
如果目前时间是整点，它的能力会强到可以秒杀玩家
第二阶段会有光炮攻击(未实装)</t>
  </si>
  <si>
    <t>El demonio lascivo posee la habilidad de manipular el tiempo, restableciéndolo instantáneamente a la hora actual.
Si la hora actual es la hora, su poder es tan grande que puede matar al jugador al instante.
La segunda fase incluye un ataque de luz (aún no implementado).</t>
  </si>
  <si>
    <t>음탕한 악마는 시간을 조작하는 능력을 가지고 있으며, 순식간에 시간을 정각으로 되돌릴 수 있습니다.
현재 시간이 정각일 경우, 그 힘은 너무나 강력하여 플레이어를 즉사시킬 수 있습니다.
두 번째 단계에는 빛 속성 공격이 포함됩니다(아직 구현되지 않음).</t>
  </si>
  <si>
    <t>Монстр "Розпусний Демон" здатний маніпулювати часом, миттєво скидаючи його на точну годину (наприклад, 1:00, 2:00 тощо). Якщо поточний час точно відповідає годині, його сила достатньо сильна, щоб миттєво вбити гравця.
На другому етапі будуть такі речі, як лазерна атака (ще не реалізовано)</t>
  </si>
  <si>
    <t>"Похотливый демон" способен манипулировать временем, мгновенно переводя его на точный час (например, на 1:00, 2:00 и т.д.).
Если текущее время точно соответствует часу, его силы будет достаточно, чтобы мгновенно убить игрока.
На Второй фазе будут такие вещи, как лазерная атака (пока не реализовано).</t>
  </si>
  <si>
    <t>Der laufende Dämon hat die Fähigkeit, die Zeit zu manipulieren und sofort auf die volle Stunde zurückzusetzen
Wenn es gerade die volle Stunde ist, ist seine Fähigkeit so stark, dass sie den Spieler sofort töten kann
In der zweiten Phase gibt es Lichtkanonenangriffe (noch nicht implementiert)</t>
  </si>
  <si>
    <t>Con quỷ dục vọng có khả năng điều khiển thời gian, lập tức chỉnh lại thời gian về giờ.
_________, sức mạnh của nó đủ để hạ người chơi ngay lập tức
Giai đoạn thứ hai bai gồm một đòn tấn công bằng pháo ánh sáng (chưa được triển khai)</t>
  </si>
  <si>
    <t>O demônio lascivo possui a habilidade de manipular o tempo, reiniciando-o instantaneamente para a hora exata.
Se a hora atual for a hora exata, seu poder é tão grande que pode matar o jogador instantaneamente.
A segunda fase inclui um ataque laser (ainda não implementado).</t>
  </si>
  <si>
    <t>monster "Iblis mesum" bisa memanipulasi waktu, langsung merubah waktu langsung (sperti 1:00, 2:00, dll.). jika waktu saatini tepat satu jam, kekuatannya cukup untuk langsung membunuh pemain. 
di wujud ke dua, akan ada sesuatu seperti serangan leser (masih belum dikembangkan)</t>
  </si>
  <si>
    <t>新規則(心動值)：
❤️ = 1分
💜 = 1分
妹妹拿粉紅糖的狀態 = 2分
高心情值狀態 = 隨機的0~2分
低心情值狀態 = 隨機的扣除0~2分
性經驗等級：
同一個事件需要反覆觸發多次以上</t>
  </si>
  <si>
    <t>新ルール（ときめき値）：
❤️＝1点
💜＝1点
妹がピンクの金平糖を持っている状態＝2点
高機嫌状態＝ランダムで0～2点
低機嫌状態＝ランダムで0～2点減少
性経験レベル：
同じイベントを複数回以上繰り返し発生させる必要がある</t>
  </si>
  <si>
    <t>New rules regarding affection gain:
❤️ = 1 point
💜 = 1 point
Imouto after eating pink konpeito = 2 points
High mood value = Random 0~2 points
Low mood value = Random deduction of 0~2 points
Sexual Experience Level: The same event needs to be triggered repeatedly multiple times.</t>
  </si>
  <si>
    <t>新规则(心动值)：
❤️ = 1分
💜 = 1分
妹妹拿粉红糖的状态 = 2分
高心情值状态 = 随机的0~2分
低心情值状态 = 随机的扣除0~2分
性经验等级：
同一个事件需要反覆触发多次以上</t>
  </si>
  <si>
    <t>Nuevas reglas (Valor de latido):
❤️ = 1 punto
💜 = 1 punto
Hermana con caramelo rosa = 2 puntos
Estado de ánimo alto = Aleatorio: 0-2 puntos
Estado de ánimo bajo = Deducción aleatoria: 0-2 puntos
Nivel de experiencia sexual: El mismo evento debe activarse varias veces.</t>
  </si>
  <si>
    <t>새로운 규칙 (심장 박동 값):
❤️ = 1점
💜 = 1점
분홍색 사탕을 들고 있는 여동생 = 2점
기분 좋음 상태 = 임의 0~2점
기분 나쁨 상태 = 임의 차감 0~2점
성적 경험 레벨: 동일한 이벤트가 여러 번 발생해야 합니다.</t>
  </si>
  <si>
    <t>Нові правила щодо отримання прихильності:
❤️ = 1 бал
💜 = 1 бал
Сестра після вживання рожевого конпейто = 2 бали
Високий настрій = Випадкове значення 0~2 бали
Низький настрій = Випадкове віднімання 0~2 балів
Рівень сексуального досвіду: Одну й ту саму подію потрібно запускати кілька разів.</t>
  </si>
  <si>
    <t>Новые правила (сердечная ценность):
❤️= 1 балл.
💜= 1 балл.
Статус Имоуто с розовой конфетой = 2 балла.
Хорошего настроения = случайное значение 0 до 2 баллов
Плохого настроения = случайное вычитание от 0 до 2 баллов.
Уровень сексуального опыта:
Одно и то же событие должно запускаться многократно, более одного раза.</t>
  </si>
  <si>
    <t>Neue Regeln (Zuneigungswert):
❤️ = 1 Punkt
💜 = 1 Punkt
Wenn die Schwester rosa Bonbons nimmt = 2 Punkte
Hohe Stimmung = zufällig 0–2 Punkte
Niedrige Stimmung = zufällig 0–2 Punkte Abzug
Sexuelle Erfahrungsstufe:
Dasselbe Ereignis muss mehrmals hintereinander ausgelöst werden</t>
  </si>
  <si>
    <t>Quy luật mới (Giá trị trái tim):
❤️ = 1 điểm
💜 = 1 điểm
Em gái với kẹo hồng = 2 điểm
Giá trị tâm trạng cao = ngẫu nhiều 0 ~ 2 điểm
Giá trị tâm trạng thấp = ngẫu nhiên giảm 0 ~ 2 điểm
Mức độ trải nghiệm tình dục: Một sự kiện cần xảy ra nhiều lần</t>
  </si>
  <si>
    <t>Novas Regras (Relacionado ao ganho de afeição):
❤️ = 1 ponto
💜 = 1 ponto
Imouto depois de comer um Kopeito Rosa = 2 pontos
Estado de humor alto = pontuação aleatória de 0 a 2 pontos
Estado de humor baixo = dedução aleatória de 0 a 2 pontos
Nível de Experiência Sexual: O mesmo evento precisa ser desencadeado várias vezes.</t>
  </si>
  <si>
    <t>賄絡技巧：
妹妹喜歡的牛奶只有【好喝的牛奶】和【草莓牛奶】
解鎖零花錢事件後，妹妹對於金錢才會感到心動
拜託妹妹則是依據妹妹心情和哥哥的幸運值</t>
  </si>
  <si>
    <t xml:space="preserve">
賄賂のコツ：
妹が好きなミルクは【オイシイミルク】と【イチゴミルク】だけです。
お小遣いイベントを解除すると、妹はお金に対して初めて興味を持ちます。
お願いする場合は、妹の気分とお兄ちゃんの幸運値によって決まります
</t>
  </si>
  <si>
    <t>Bribery tips: The only milk that Imouto likes is "Delicious Milk" and "Strawberry Milk". She'll only be interested in money after you unlock the "allowance event". The success in asking her for a favor depends on her mood and your luck</t>
  </si>
  <si>
    <t>贿络技巧：
妹妹喜欢的牛奶只有【好喝的牛奶】和【草莓牛奶】
解锁零花钱事件后，妹妹对于金钱才会感到心动
拜托妹妹则是依据妹妹心情和哥哥的幸运值</t>
  </si>
  <si>
    <t>Consejos para sobornar: A la hermana menor solo le gustan "Leche Deliciosa" y "Leche de Fresa". Solo le interesará el dinero después de desbloquear el evento de la mesada. Pedirle favores a la hermana menor depende de su humor y de la suerte del hermano mayor.</t>
  </si>
  <si>
    <t>뇌물 주는 팁: 여동생은 "맛있는 우유"와 "딸기 우유"만 좋아합니다. 용돈 이벤트가 발생한 후에야 돈에 관심을 보일 거예요. 여동생에게 부탁을 하는 건 여동생의 기분과 오빠의 운에 달려있습니다.</t>
  </si>
  <si>
    <t>Поради щодо хабарництва: Імото любить лише "Смачне молоко" та "Полуничне молоко". Гроші її цікавитимуть лише після того, як ви розблокуєте "подія з кишеньковими грошима". Чи зможете ви попросити її про послугу, це залежить від її настрою та вашої удачі.</t>
  </si>
  <si>
    <t>Советы по подкупу:
Единственное молоко, которое нравится Имоуто, - это "Вкусное молоко" и "Клубничное молоко".
Деньги заинтересуют её только после того, как вы откроете "акцию на пособие". Успех вашей просьбы об одолжении зависит от её настроения и вашей удачи.</t>
  </si>
  <si>
    <t>Bestechungstechniken:
Die Milch, die deine Schwester mag, sind nur "Leckere Milch" und "Erdbeermilch"
Nach Freischaltung des Taschengeld-Ereignisses wird deine Schwester gegenüber Geld zuneigender
"Deine Schwester um etwas bitten" hängt von der Stimmung deiner Schwester und dem Glückswert von dir ab.</t>
  </si>
  <si>
    <t>Kĩ thuật hối lộ: 
Em gái chỉ thích "Sữa Dâu" và "Sữa Ngon Cực Kì". Sau khi mở khóa sự kiện tiền tiêu vặt, em gái sẽ trở nên hứng thú với tiền. Hỏi em ấy mượn tiền sẽ dựa vào tâm trạng và may mắn của onii-chan</t>
  </si>
  <si>
    <t>Dicas para subornar: A imouto só gosta de "Leite Delicioso" e "Leite de Morango". Ela só se interessará por dinheiro depois que o evento "Dinheiro da Imouto" for desbloqueado. Pedir favores à imouto depende do humor dela e da sorte do onii-chan.</t>
  </si>
  <si>
    <t>關於封術卷軸的一些小知識：
1.被封印的物品會從背包裡消失，可用來暫時儲存物品
2.解封後可立即復原裝備狀態，可用來瞬間換裝改變戰鬥風格
3.未來實施詛咒裝備時，原本不可脫下的詛咒裝備，可以靠封印的手段強行剝下
4.一個捲軸在封印時，會對應你身上所有正在裝備的物品，直到卷軸召喚完才可以再次封印
5.身上有裝備時再召喚卷軸，會將身上的裝備擠回背包裡</t>
  </si>
  <si>
    <t>封術の巻物に関するちょっとした豆知識：
1.封印されたアイテムはバッグから消えるため、一時的にアイテムを保管する用途として使える
2.解封すると装備状態が即座に復元されるため、瞬時に装備を切り替えて戦闘スタイルを変えることができる
3.呪い装備が実装された場合、本来外せない呪い装備でも、封印することで強制的に外すことが可能
4．1つのスクロールで封印する際、現在装備しているすべての装備がそのスクロールに対応する。スクロールの召喚が完了するまで、再び封印することはできない
5．装備を身につけた状態でスクロールを召喚すると、現在装備している装備はバッグへ押し戻される</t>
  </si>
  <si>
    <t>Some basic information about Sealing Scrolls:
1. Items that are sealed will disappear from your inventory, meaning the scroll can be used as a temporary storage.
2. Unsealing immediately restores the equipment back to its original state, allowing instant gear swapping and changing combat styles.
3. In the future, there will be "cursed" equipments. Some of these cursed equipments can't be discarded/removed but a sealing scroll bypasses this.
4. When a scroll seals equipment, it will affect all currently equipped gear/weapon. You cannot seal another set of equipment unless you take out the previous one.
5. If you unseal the scroll while you're currently wearing equipment, all equipped gear/weapon will be sent to your inventory.</t>
  </si>
  <si>
    <t>关于封术卷轴的一些小知识：
1.被封印的物品会从背包里消失，可用来暂时储存物品
2.解封后可立即复原装备状态，可用来瞬间换装改变战斗风格
3.未来实施诅咒装备时，原本不可脱下的诅咒装备，可以靠封印的手段强行剥下
4.一个卷轴在封印时，会对应你身上所有正在装备的物品，直到卷轴召唤完才可以再次封印
5.身上有装备时再召唤卷轴，会将身上的装备挤回背包里</t>
  </si>
  <si>
    <t>Деяка основна інформація про Сувій Запечатування:
1. Запечатані предмети зникнуть з вашого інвентарю, тобто сувій можна використовувати як тимчасове сховище.
2. Розпечатування негайно повертає спорядження до початкового стану, дозволяючи миттєво змінювати спорядження та стилі бою.
3. У майбутньому з'являтиметься "прокляте" спорядження. Деяке з цього проклятого спорядження не можна буде скинути/видалити, але сувій запечатування обходить це.
4. Коли сувій запечатує спорядження, це вплине на все спорядження/зброю, яке ви вже носите. Ви не можете запечатати інший комплект спорядження, якщо не знімете попередній.
5. Якщо ви розпечатаєте сувій, коли носите спорядження, все спорядження/зброя буде надіслано до вашого інвентарю.</t>
  </si>
  <si>
    <t>Сведения о запечатывающих свитках:
1. Запечатанные предметы исчезают из инвентаря и хранятся в самом свитке.
2. После снятия печати предметы возвращаются к изначальному расположению, что позволяет мгновенно сменить экипировку и изменить стиль боя.
3. В будущем, при наложении проклятия на экипировку, проклятые предметы, которые нельзя снять, можно будет убрать с себя с помощью запечатывающих средств.
4. Один свиток при запечатывании будет соответствовать всем предметам, которые вы носите, и повторное запечатывание возможно только после снятия нынешней печати.
5. Если при вызове свитка у вас есть экипировка, она будет вытеснена обратно в инвентарь.</t>
  </si>
  <si>
    <t>Một số thông tin cơ bản về Cuộn Phép Phong Ấn:
1. Các vật phẩm bị phong ấn sẽ biến mất khỏi túi đồ của bạn, nghĩa là cuộn giấy có thể được sử dụng như một nơi lưu trữ tạm thời.
2. Mở phong ấn sẽ ngay lập tức khôi phục trang bị về trạng thái ban đầu, cho phép thay đổi trang bị và cách tấn công tức thì.
3. Trong tương lai, sẽ có những trang bị "nguyền rủa". Một số trang bị này không thể bị xóa bỏ/gỡ bỏ nhưng Cuộn Phong Ấn sẽ không bị ảnh hưởng bởi điều này.
4. Khi một cuộn giấy phong ấn trang bị, nó sẽ ảnh hưởng đến tất cả trang bị/vũ khí đang được trang bị. Bạn không thể phong ấn một bộ trang bị khác trừ khi bạn triệu hồi bộ trước đó ra.
5. Nếu bạn mở phong ấn cuộn giấy trong khi đang mặc trang bị, tất cả trang bị/vũ khí đang được trang bị sẽ chuyển vào kho đồ của bạn.</t>
  </si>
  <si>
    <t>Algumas informações básicas sobre pergaminhos de selamento:
1. Itens selados desaparecerão do seu inventário; eles podem ser usados ​​para armazenamento temporário.
2. Desfazer o selo restaura imediatamente o estado do seu equipamento, permitindo trocas instantâneas de equipamentos e alterações no seu estilo de combate.
3. No futuro, quando equipamentos amaldiçoados forem ativados, itens que antes eram impossíveis de remover poderão ser removidos à força através do selamento.
4. Quando um pergaminho sela um item, ele afetará todos os itens equipados até que o pergaminho se esgote, antes que possa ser selado novamente.
5. Invocar um pergaminho enquanto estiver equipado fará com que os itens equipados retornem ao seu inventário.</t>
  </si>
  <si>
    <t>墜落-
具有衝擊效果，未來可能有相關技能或裝備可以進行搭配。</t>
  </si>
  <si>
    <t>落下 
衝撃効果を持つ。将来的には関連するスキルや装備との組み合わせが可能になる予定である</t>
  </si>
  <si>
    <t>Falling - This has an impact effect. In the future, items or equipments may be implemented to sync with it</t>
  </si>
  <si>
    <t>坠落-
具有冲击效果，未来可能有相关技能或装备可以进行搭配。</t>
  </si>
  <si>
    <t>Падіння – має ефект удару. У майбутньому предмети або обладнання можуть бути впроваджені для синхронізації з цим.</t>
  </si>
  <si>
    <t>Падение - приводит к удару. В будущем могут быть добавлены предметы или экипировка для синхронизации с ним.</t>
  </si>
  <si>
    <t>Rơi - Nó cơ hiệu ứng tiếp đất. Tromg tương lai sẽ triển khai những vật phẩm hoặc trang bị để đồng bộ với nó</t>
  </si>
  <si>
    <t>Queda - Tem um efeito de impacto; habilidades ou equipamentos relacionados podem estar disponíveis para serem combinados com ela no futuro.</t>
  </si>
  <si>
    <t>成就系統：
與「見聞」類似，不過見聞是騎士的專屬任務
成就則是全局覆蓋、跨存檔、完成時有特殊動態效果、與部分平台成就聯動(例如Steam)、點擊彈窗可以進入成就介面。
(大部分功能目前尚未完成)</t>
  </si>
  <si>
    <t>実績システム：
「見聞」に似ているが、見聞は騎士専用の任務。
一方、実績は全体に適用され、セーブデータをまたいで共有される。達成時には特別な動的エフェクトが表示され、一部のプラットフォームの実績（例：Steam）とも連動する。ポップアップをクリックすると実績画面に入ることができる。
（ほとんどの機能は現在まだ未完成）</t>
  </si>
  <si>
    <t>Achievement System:
This is somewhat similar to the "Insights" for the Weird Knight. Achievements are however global, is shared across save files and features special animations when obtained. They can also be linked to other platform achievements (such as Steam). Clicking the pop up will take you to the achievement page. (Most features are still not yet implemented)</t>
  </si>
  <si>
    <t>成就系统：
与「见闻」类似，不过见闻是骑士的专属任务
成就则是全局覆盖、跨存档、完成时有特殊动态效果、与部分平台成就联动(例如Steam)、点击弹窗可以进入成就页面。
(大部分功能目前尚未完成)</t>
  </si>
  <si>
    <t>Система досягнень:
Це дещо схоже на систему «Інсайти» для Загадкового Лицаря. Однак досягнення є глобальними, поширюються на файли збереження та мають спеціальну анімацію після отримання. Їх також можна пов'язати з досягненнями інших платформ (наприклад, Steam). Натискання спливаючого вікна переведе вас на сторінку досягнень. (Більшість функцій ще не реалізовано)</t>
  </si>
  <si>
    <t>Система достижений:
В чем-то похожа на "идеи" для Загадочного рыцаря.
Однако достижения являются глобальными, распределяются по файлам сохранения и при получении отображаются в специальной анимации. Их также можно привязать к достижениям на других платформах (например, Steam). Нажав на всплывающее окно, вы попадете на страницу достижений.
(Большинство функций всё ещё не реализованы)</t>
  </si>
  <si>
    <t>Hệ thống Thành tựu:
Cái này hơi giống với "Kiến thức" cho Hiệp Sĩ Kì Lạ. Nhưng thành tựu là toàn cục, được lưu trữ trên các file lưu và có các animation đặc biệt khi mở khóa. Nó cũng có thể được liên kết với các thành tựu của nền tảng (như Steam). Nhấn vào ô pop up sẽ đưa đến trang thành tựu. (Hầu hết các tính năng chưa được triển khai)</t>
  </si>
  <si>
    <t>Sistema de Conquistas: Semelhante às "Missões Heroicas", mas exclusivas para cavaleiros. As conquistas são aplicáveis ​​globalmente, podem ser salvas em diferentes pontos do jogo, possuem efeitos dinâmicos especiais ao serem concluídas e estão vinculadas a conquistas em algumas plataformas (como o Steam).
(A maioria dos recursos ainda estão em desenvolvimento.)</t>
  </si>
  <si>
    <t>成就一覽
分別對應:
官方名稱/官方描述/彈窗顯示/獲取方式
1.
妹妹在哪裡？
一定要找到心愛的少女
妹妹在哪裡…？
給女主角改名時，不是妹妹
2.
是我的妹妹啊！
心愛的少女就在眼前
是妹妹啊！
給女主角改名時，是妹妹
3.
遊戲機Get!
可以跟妹妹一起玩遊戲了！
雖然是遊戲，但可不是鬧著玩的
獲得遊戲機後跟給妹妹
4.
妹妹的靠枕
可以把妹妹抱在腿上了！
有妹妹不就好了嗎？
一起玩遊戲場景把妹妹抱在腿上時解鎖
5.
我的妹妹就是這麼可愛！
和妹妹的親密度達到頂點！
我的妹妹就是這麼可愛！
與妹妹的親密度達到最高
6.
人被殺就會死？
在深淵裡體力歸零…
人被殺就會死？
於深淵中體力歸零並且死亡
7.
倉鼠黨
向星之門放入了大量物品
得了一種不囤東西就會死的病
在星之門放入了超過?樣物品
8.
轉生異世界？
被商店車無情碾過…
異世界轉生魔法！？
使用塔羅牌召喚商店車時，被商店車撞到並且死亡
9.
鎮魂曲
被死神宣告了死亡
你已經死了
使用塔羅牌召喚商死神，並且死亡
10.
擊墜王
已經不知道墜落多少次了…
難道你不想和天空做朋友嗎?
滿足「摔落死亡8次」(可以使用復活羽毛)
11.
閃耀的死兆星星
被ASABA以特殊技擊敗
看啊,你的死兆星在天上閃耀！
餵食ASABA-"ASABA的草莓"，並且被必殺技能擊敗死亡
12.
從者和御主
同時使役五隻從者
試問。你就是我們的御主嗎？
於裝備欄中同時穿上五個從者屬性的裝備(相同的裝備可以計算)
13.
為王的誕生、慶賀吧！
第一次和BOSS發生戰鬥
為王的誕生、慶賀吧！
第一次和BOSS屬性的怪物(紅色名子的怪物)進入戰鬥
14.
無限劍塚
用壞了超過100把武器
－－武器的儲備還夠嗎？
使用耐久值達到損壞的武器超過100把
15.
你也可以變成光！
aki的詛咒發作了
你也可以變成光！
於神秘商店店長對話，並"不給予"鮭魚。獲得AKI的詛咒，並且在與妹妹共浴時觸發。</t>
  </si>
  <si>
    <t>1.
妹はどこ？
愛しい少女を必ず見つけなければならない
妹はどこ…？
ヒロインの名前変更時、「妹」にしない
2.
俺の妹だ！
愛しい少女が目の前にいる
妹だ！
ヒロインの名前変更時、「妹」にする
3.
ゲーム機ゲット！
妹と一緒にゲームが遊べる！
遊びとはいえ、本気だ
ゲーム機を入手後、妹に渡す
4.
妹のひざまくら
妹を膝の上に乗せられるようになった！
妹がいればそれでいいじゃないか？
一緒にゲームするシーンで、妹を膝に乗せると解放
5.
俺の妹がこんなに可愛いわけがない！
妹との親密度が最大に到達！
俺の妹がこんなに可愛いわけがない！
妹との親密度が最大になる
6.
人は殺されれば死ぬ？
深淵で体力がゼロに…
人は殺されれば死ぬ？
深淵で体力がゼロになり死亡する
7.
ハムスター気質
星の門に大量のアイテムを投入した
溜め込まないと死ぬ病
星の門に?種類以上のアイテムを投入する
8.
異世界転生？
ショップカーに無情に轢かれた…
異世界転生魔法！？
タロットでショップカーを召喚し、轢かれて死亡する
9.
鎮魂曲
死神に死亡を宣告された
お前はもう死んでいる
タロットで死神を召喚し、死亡する
10.
撃墜王
何度墜落したのか分からない…
空と友達になりたくないのか？
「落下死亡8回」を達成（復活の羽使用可）
11.
輝く死兆星
ASABAの特殊技で倒された
見ろ、お前の死兆星が空に輝いている！
ASABAに「ASABAのイチゴ」を与え、必殺技で倒されて死亡する
12.
従者とマスター
同時に5体の従者を使役する
問おう。あなたが私たちのマスターか？
装備欄で従者属性の装備を同時に5つ装備する（同一装備可）
13.
王の誕生、祝え！
初めてボスと戦闘する
王の誕生、祝え！
初めてボス属性（赤ネーム）の敵と戦闘に入る
14.
無限の剣塚
100本以上の武器を壊した
――武器の備蓄は足りているか？
耐久値が尽きて壊れた武器を100本以上使用する
15.
君も光になれる！
akiの呪いが発動した
君も光になれる！
謎の商店主と会話し、「サーモンを渡さない」。AKIの呪いを取得し、妹と入浴中に発動する</t>
  </si>
  <si>
    <t>Achievement list
1. Where is Imouto?
Desc: Must find the beloved girl-
Tooltip: Where is my dear Imouto...?
Req: Rename the heroine to something other than "Imouto" or "Sister"
2. It's my dear Imouto!
Desc: The beloved girl is right in front of me
Tooltip: It's my dear Imouto!
Req: Rename the heroine to "Imouto" or "Sister"
3. Got a Game Console!
Desc: Now you can play games with Imouto
Tooltip: This may be a game, but it's not something you play
Req: Obtain the JoyStation V game console and give it to Imouto
4. Imouto Body Pillow
Desc: Can now have Imouto sit on your lap while gaming!
Tooltip: Isn't having Imouto enough?
Req: Unlocked by having Imouto sit on your lap during the "Play something together" scene
5. My Little Sister Is Just That Cute!
Desc: Imouto's affection has reached its peak!
Tooltip: My Little Sister Is Just That Cute!
Req: Reach the highest intimacy level with Imouto
6. People Die If They Are Killed?
Desc: Your HP drops to zero in the Abyss...
Tooltip: People Die If They Are Killed?
Req: Your HP reaches to 0 while in the abyss...
7. Hoarding Habit
Desc: Placed a large number of items into the Star Door
Tooltip: I got a disease where I'll die if I don't hoard
Req: Put more than ? items inside the Star Door
8. Transported to Isekai?
Desc: Mercilessly Ran Over by a Shop Truck
Tooltip: Isekai Reincarnation Magic!?
Req: When summoning the Chariot Van, get hit by it and die in the process.
9. Requiem
Desc: Declared dead by Death
Tooltip: You Are Already Dead
Req: Use the tarot card "Death" and die in the process
10. Air King
Desc: You have already fallen so many times...
Tooltip: Don't you want to be friends with the sky?
Req: Die from falling 8 times (Feather of Firebird counts)
11. The Death Omen Star
Desc: Defeated by ASABA with a special move
Tooltip: You Can See It... The Death Omen Star!!
Req: Feed ASABA with ASABA's Strawberry and die from its special move
12. Servants and Master
Desc: Command five servants at the same time
Tooltip: I ask of you. Are you our Master?
Req: Equip five Servant equipment in your gear slots at the same time (Same name of equipment counts)
13. Rejoice at the birth of the king!
Desc: Battle a boss for the first time
Tooltip: Rejoice at the birth of the king!
Req: Battle with a boss for the first time (Monster's with a red name and health bar)
14. Unlimited Blade Waste
Desc: Broke over 100 weapons
Tooltip: Do you have enough weapons in stock?
Req: Break over 100 weapons
15. You too can become light!
Desc: Aki's curse flared up
Tooltip: You too can become light!
Req: Talk to Aki, the mysterious shop owner, and choose to not give her any salmon so she will curse you. Take a bath with imouto afterwards while the curse is in effect.</t>
  </si>
  <si>
    <t>成就一览
分别对应:
官方名称/官方描述/弹窗显示/获取方式
1.
妹妹在哪里？
一定要找到心爱的少女
妹妹在哪里…？
给女主角改名时，不是妹妹
2.
是我的妹妹啊！
心爱的少女就在眼前
是妹妹啊！
给女主角改名时，是妹妹
3.
游戏机Get!
可以跟妹妹一起玩游戏了！
虽然是游戏，但可不是闹着玩的
获得游戏机后送给妹妹
4.
妹妹的靠枕
可以把妹妹抱在腿上了！
有妹妹不就好了吗？
一起玩游戏场景把妹妹抱在腿上时解锁
5.
我的妹妹就是这么可爱！
和妹妹的亲密度达到顶点！
我的妹妹就是这么可爱！
与妹妹的亲密度达到最高
6.
人被杀就会死？
在深渊里体力归零…
人被杀就会死？
于深渊中体力归零并且死亡
7.
囤积癖
向星之门放入了大量物品
得了一种不囤东西就会死的病
在星之门放入了超过?样物品
8.
转生异世界？
被商店车无情碾过…
异世界转生魔法！ ？
使用塔罗牌召唤商店车时，被商店车撞到并且死亡
9.
镇魂曲
被死神宣告了死亡
你已经死了
使用塔罗牌召唤商死神，并且死亡
10.
击坠王
已经不知道坠落多少次了…
难道你不想和天空做朋友吗?
获取方式：满足「摔落死亡8次」(可以使用复活羽毛)
11.
闪耀的死兆星星
被ASABA以特殊技击败
看啊,你的死兆星在天上闪耀！
喂食ASABA-"ASABA的草莓"，并且被必杀技能击败死亡
12.
从者和御主
同时使役五只从者
试问。你就是我们的御主吗？
于装备栏中同时穿上五个从者属性的装备(相同的装备可以计算)
13.
为王的诞生、庆贺吧！
第一次和BOSS发生战斗
为王的诞生、庆贺吧！
第一次和BOSS属性的怪物(红色名字的怪物)进入战斗
14.
无限剑冢
用坏了超过100把武器
－－武器的储备还够吗？
使用耐久值达到损坏的武器超过100把
15.
你也可以变成光！
aki的诅咒发作了
你也可以变成光！
于神秘商店店长对话，并"不给予"鲑鱼。获得AKI的诅咒，并且在与妹妹共浴时触发。</t>
  </si>
  <si>
    <t>Досягнення:
1. "Де ж Імоуто?"
Опис: "Потрібно знайти Імоуто..."
Підказка: "Де ж моя дорога Імоуто?.."
Умова: перейменувати героїню (крім: "Імоуто" або "Сестра").
2. "Це моя дорога Імоуто!"
Опис: "кохана дівчина прямо переді мною."
Підказка: "Моя дорога Імоуто!"
Умова: перейменувати героїню в "Імоуто" або "Сестра".
3. "У мене є ігрова приставка!"
Опис: "Тепер Ви можете грати в ігри з Імоуто!"
Підказка: "Це може бути гра, але не та, в яку ви граєте."
Умова: отримати ігрову консоль JoyStation V і віддати її Імоуто.
4. "Подушка для Імоуто"
Опис: "Посадити Імоуто на коліна під час гри!"
Підказка: "Хіба недостатньо мати Імоуто?"
Умова: посадити Імоуто на коліна під час гри ("зіграти в щось").
5. "Моя молодша сестричка просто принадність!"
Опис: "Прихильність Імоуто досягла свого піку!"
Підказка: "Моя молодша сестричка просто принадність!"
Умова: досягти найвищого рівня близькості з Імоуто.
6. "Люди вмирають, якщо їх вбивають?"
Опис: "Будучи в безодні, ваші ОЗ опустилися до нуля..."
Підказка: "Люди вмирають, якщо їх вбивають?"
Умова: Будучи в безодні, ваші ОЗ опустилися до нуля.
7. "Звичка накопичувати"
Опис: "Помістити багато предметів в зоряну двері."
Підказка: "У мене хвороба, від якої я помру, якщо не буду економити."
Умова: помістити більш ніж [???] предметів всередину зоряної двері.
8. "Відправлений в Ісекай?"
Опис: "Безжально збитий вантажівкою..."
Підказка: "Реінкарнація через Ісекай?!"
Умова: під час призову вантажівки, потрапити під його колеса і загинути.
9. "Реквієм"
Опис: "Оголошено мертвим смертю."
Підказка: "Ти вже мертвий!"
Умова: при використанні карти Таро "Смерть" потрапити під її вплив.
10. "Повітряний король"
Опис: "Ти так багато разів впав..."
Підказка: "Хіба ти не хочеш подружитися з небом?"
Умова: померти від падіння 8 разів ("Перо Фенікса " зараховується).
11. "Зірка смертельної прикмети"
Опис: "Переможений спеціальним прийомом Асаби!"
Підказка: "Ти можеш бачити її... Зірку Ознаки!"
Умова: нагодувати Асабу "полуницею Асаби" і пащу від її спеціального прийому.
12. "Слуги і господар"
Опис: "Командувати п'ятьма слугами одночасно."
Підказка: "Я питаю вас: ви наш Господар?"
Умова: одягнути 5 спорядження зі Слугами одночасно (однакові спорядження враховуються).
13. "Радійте народженню короля!"
Опис: "Бийтеся з босом вперше!"
Підказка: "Радійте народженню короля!"
Умова: битися з босом вперше (монстри з червоним ім'ям і шкалою здоров'я).
14. "Необмежена витрата клинків"
Опис: "Зламати більше 100 одиниць зброї."
Підказка: "Достатньо зброї в запасі?"
Умова: зламати більше 100 одиниць зброї.
15. "Ви теж можете стати світлом!"
Опис: "Прокляття Аки активувалося."
Підказка: "Ви теж можете стати світлом!"
Умова: поговорити з акі, таємничою власницею магазинчика, і вирішити не давати їй лосося, щоб вона прокляла вас. Після цього прийняти ванну з Імоуто, поки діє прокляття.</t>
  </si>
  <si>
    <t>Достижения:
1. "Где же Имоуто?"
Описание: "Нужно найти Имоуто..."
Подсказка: "Где же моя дорогая Имоуто?.."
Условие: Переименовать героиню (Кроме: "Имоуто" или "Сестра").
2. "Это моя дорогая Имоуто!"
Описание: "Любимая девушка прямо передо мной."
Подсказка: "Моя дорогая Имоуто!"
Условие: Переименовать героиню в "Имоуто" или "Сестра".
3. "У меня есть игровая приставка!"
Описание: "Теперь вы можете играть в игры с Имоуто!"
Подсказка: "Это может быть игрой, но не той, в какую вы играете."
Условие: Получить игровую консоль JoyStation V и отдать её Имоуто.
4. "Подушка для Имоуто"
Описание: "Посадить Имоуто на колени во время игры!"
Подсказка: "Разве недостаточно иметь Имоуто?"
Условие: Посадить Имоуто на колени во время игры ("Сыграть во что-то").
5. "Моя младшая сестрёнка просто прелесть!"
Описание: "Привязанность Имоуто достигла своего пика!"
Подсказка: "Моя младшая сестрёнка просто прелесть!"
Условие: Достичь наивысшего уровня близости с Имоуто.
6. "Люди умирают, если их убивают?"
Описание: "Будучи в Бездне, ваши ОЗ опустились до нуля..."
Подсказка: "Люди умирают, если их убивают?"
Условие: Будучи в Бездне, ваши ОЗ опустились до нуля.
7. "Привычка накапливать"
Описание: "Поместить много предметов в Звездную дверь."
Подсказка: "У меня болезнь, от которой я умру, если не буду копить."
Условие: Поместить более чем [???] предметов внутрь Звездной Двери.
8. "Отправленный в Исекай?"
Описание: "Безжалостно сбит грузовиком..."
Подсказка: "Реинкарнация через Исекай?!"
Условие: Во время призыва грузовика, попасть под его колеса и погибнуть.
9. "Реквием"
Описание: "Объявлен мертвым Смертью."
Подсказка: "Ты уже мёртв!"
Условие: При использовании карты Таро "Смерть" попасть под её влияние.
10. "Воздушный король"
Описание: "Ты так много раз упал..."
Подсказка: "Разве ты не хочешь подружиться с небом?"
Условие: Умереть от падения 8 раз ("Перо Феникса" засчитывается).
11. "Звезда смертельного предзнаменования"
Описание: "Побеждён специальным приемом Асабы!"
Подсказка: "Ты можешь видеть её... Звезду Предзнаменования!"
Условие: Накормить Асабу "клубникой Асабы" и пасть от её специального приема.
12. "Слуги и хозяин"
Описание: "Командовать пятью слугами одновременно."
Подсказка: "Я спрашиваю Вас: Вы наш Хозяин?"
Условие: Одеть 5 снаряжений со Слугами одновременно (Одинаковые снаряжения учитываются).
13. "Возрадуйтесь рождению короля!"
Описание: "Сразитесь с боссом впервые!"
Подсказка: "Возрадуйтесь рождению короля!"
Условие: Сразиться с боссом впервые (монстры с красным именем и шкалой здоровья).
14. "Неограниченный расход клинков"
Описание: "Сломать более 100 единиц оружия."
Подсказка: "Достаточно оружия в запасе?"
Условие: Сломать более 100 единиц оружия.
15. "Вы тоже можете стать светом!"
Описание: "Проклятие Аки активировалось."
Подсказка: "Вы тоже можете стать светом!"
Условие: Поговорить с Аки, таинственной владелицей магазинчика, и решить не давать ей лосося, чтобы она прокляла вас. После этого принять ванну с Имоуто, пока действует проклятие.</t>
  </si>
  <si>
    <r>
      <t xml:space="preserve">Danh sách thành tựu:
1. Em gái đang ở đâu? 
Mô tả: Bạn phải tìm ra em gái yêu quý
Thông báo: </t>
    </r>
    <r>
      <rPr>
        <rFont val="Arial"/>
        <b/>
        <i/>
        <color theme="1"/>
      </rPr>
      <t>Em gái của mình đâu rồi...?</t>
    </r>
    <r>
      <rPr>
        <rFont val="Arial"/>
        <color theme="1"/>
      </rPr>
      <t xml:space="preserve">
Mở khóa: Khi đổi tên nhân vật nữ chính, đó không phải là em gái tôi
2. Đó là em gái của tôi!
Mô tả: Em gái tôi yêu quý đang ở ngay trước mắt
Thông báo: </t>
    </r>
    <r>
      <rPr>
        <rFont val="Arial"/>
        <b/>
        <i/>
        <color theme="1"/>
      </rPr>
      <t>Đó là em gái của tôi!</t>
    </r>
    <r>
      <rPr>
        <rFont val="Arial"/>
        <color theme="1"/>
      </rPr>
      <t xml:space="preserve">
Mở khóa: Khi đổi tên nhân vật nữ chính, đó là em gái tôi
3. Đã có máy chơi game!
Giờ bạn có thể chơi game cùng với em gái rồi!
</t>
    </r>
    <r>
      <rPr>
        <rFont val="Arial"/>
        <b/>
        <i/>
        <color theme="1"/>
      </rPr>
      <t>Đây có thể là một trò chơi. Nhưng không thể chơi theo cách đó</t>
    </r>
    <r>
      <rPr>
        <rFont val="Arial"/>
        <color theme="1"/>
      </rPr>
      <t xml:space="preserve">
Đưa máy chơi game cho em gái sau khi nhận được
4. Gối ôm em gái
Giờ có thể để em gái ngồi lên đùi khi chơi game!
</t>
    </r>
    <r>
      <rPr>
        <rFont val="Arial"/>
        <b/>
        <i/>
        <color theme="1"/>
      </rPr>
      <t>Có em gái rồi thì còn cần thêm gì nữa?</t>
    </r>
    <r>
      <rPr>
        <rFont val="Arial"/>
        <color theme="1"/>
      </rPr>
      <t xml:space="preserve">
Mở khóa khi bế em gái lên đùi trong một cảnh game
5. Em gái tôi đáng yêu đến thế đấy!
Tình cảm của em gái đã đạt đến đỉnh điểm!
</t>
    </r>
    <r>
      <rPr>
        <rFont val="Arial"/>
        <b/>
        <i/>
        <color theme="1"/>
      </rPr>
      <t>Em gái của tôi cực kỳ đáng yêu!</t>
    </r>
    <r>
      <rPr>
        <rFont val="Arial"/>
        <color theme="1"/>
      </rPr>
      <t xml:space="preserve">
Đạt đến mức độ thân mật cao nhất với em gái của bạn
6. Con người sẽ chết khi bị giết?
HP của bạn giảm về 0 trong Vực Sâu
</t>
    </r>
    <r>
      <rPr>
        <rFont val="Arial"/>
        <b/>
        <i/>
        <color theme="1"/>
      </rPr>
      <t>Con người sẽ chết khi bị giết?</t>
    </r>
    <r>
      <rPr>
        <rFont val="Arial"/>
        <color theme="1"/>
      </rPr>
      <t xml:space="preserve">
Trong Vực Sâu, máu giảm xuống bằng 0 và chết
7. Thói Quen Tích Trữ
Đã bỏ một lượng lớn vật phẩm vào Cửa Thiên Tinh
</t>
    </r>
    <r>
      <rPr>
        <rFont val="Arial"/>
        <b/>
        <i/>
        <color theme="1"/>
      </rPr>
      <t>Tôi mắc một căn bệnh không tích đồ là sẽ chết</t>
    </r>
    <r>
      <rPr>
        <rFont val="Arial"/>
        <color theme="1"/>
      </rPr>
      <t xml:space="preserve">
Đã bỏ hơn ? vật phẩm vào Cửa Thiên Tinh
8. Chuyển sinh sang thế giới khác?
Bị xe van cửa hàng cán không thương tiếc...
</t>
    </r>
    <r>
      <rPr>
        <rFont val="Arial"/>
        <b/>
        <i/>
        <color theme="1"/>
      </rPr>
      <t>Chuyển sinh sang thế giới khác!?</t>
    </r>
    <r>
      <rPr>
        <rFont val="Arial"/>
        <color theme="1"/>
      </rPr>
      <t xml:space="preserve">
Dùng lá bài Tarot Chiến Xa để triệu hồi xe van bán đồ và bị đâm.
9. Khúc Cầu Hồn
Bị Thần Chết tuyên bố đã tử vong
</t>
    </r>
    <r>
      <rPr>
        <rFont val="Arial"/>
        <b/>
        <i/>
        <color theme="1"/>
      </rPr>
      <t>Ngươi đã chết rồi</t>
    </r>
    <r>
      <rPr>
        <rFont val="Arial"/>
        <color theme="1"/>
      </rPr>
      <t xml:space="preserve">
Dùng bài Tarot Thần Chết để triệu hồi Quỷ Tử Thần và chết.
10. Vua Bầu Trời
Ngươi không muốn làm bạn với bầu trời sao!
</t>
    </r>
    <r>
      <rPr>
        <rFont val="Arial"/>
        <b/>
        <i/>
        <color theme="1"/>
      </rPr>
      <t>Ngươi không muốn trở thành bạn với bầu trời sao!</t>
    </r>
    <r>
      <rPr>
        <rFont val="Arial"/>
        <color theme="1"/>
      </rPr>
      <t xml:space="preserve">
Đáp ứng yêu cầu "ngã và chết 8 lần" (có thể dùng lông vũ hồi sinh)
11. Ngôi Sao Tử Vong
Bị ASABA hạ gục bằng tuyệt kỹ
</t>
    </r>
    <r>
      <rPr>
        <rFont val="Arial"/>
        <b/>
        <i/>
        <color theme="1"/>
      </rPr>
      <t>Ngươi thấy rồi chứ… Ngôi sao báo tử đó!</t>
    </r>
    <r>
      <rPr>
        <rFont val="Arial"/>
        <color theme="1"/>
      </rPr>
      <t xml:space="preserve">
Cho ASABA ăn "Dâu tây của ASABA" và bị đánh bại bởi chiêu thức tối thượng
12. Servants và Master
Điều khiển cùng lúc năm Servant
</t>
    </r>
    <r>
      <rPr>
        <rFont val="Arial"/>
        <b/>
        <i/>
        <color theme="1"/>
      </rPr>
      <t>Ta hỏi ngươi—Ngươi có phải là Master của chúng ta không?</t>
    </r>
    <r>
      <rPr>
        <rFont val="Arial"/>
        <color theme="1"/>
      </rPr>
      <t xml:space="preserve">
Trang bị đồng thời năm vật phẩm thuộc tính Servants vào ô trang bị của bạn (các vật phẩm giống nhau được tính)
13. Hãy hoan nghênh sự ra đời của vị vua!
Đánh boss lần đầu tiên
</t>
    </r>
    <r>
      <rPr>
        <rFont val="Arial"/>
        <b/>
        <i/>
        <color theme="1"/>
      </rPr>
      <t xml:space="preserve">Hãy hoan nghênh sự ra đời của vị vua!
</t>
    </r>
    <r>
      <rPr>
        <rFont val="Arial"/>
        <color theme="1"/>
      </rPr>
      <t xml:space="preserve">Trận chiến đầu tiên chống lại một quái vật thuộc tính BOSS (một quái vật có tên màu đỏ)
14. Lăng mộ kiếm vô tận
Phá hỏng hơn 100 vũ khí
</t>
    </r>
    <r>
      <rPr>
        <rFont val="Arial"/>
        <b/>
        <i/>
        <color theme="1"/>
      </rPr>
      <t xml:space="preserve">Ngươi có đủ vũ khí dự trữ để dùng không?
</t>
    </r>
    <r>
      <rPr>
        <rFont val="Arial"/>
        <color theme="1"/>
      </rPr>
      <t xml:space="preserve">15. Bạn cũng có thể trở thành ánh sáng!
Lời nguyền của Aki bùng phát
</t>
    </r>
    <r>
      <rPr>
        <rFont val="Arial"/>
        <b/>
        <i/>
        <color theme="1"/>
      </rPr>
      <t xml:space="preserve">Bạn cũng có thể trở thành ánh sáng!
</t>
    </r>
    <r>
      <rPr>
        <rFont val="Arial"/>
        <color theme="1"/>
      </rPr>
      <t>Nói chuyện với con bé bán hàng ở Cửa Hàng Bí Ẩn và từ chối đưa cho em ấy cá hồi. Nhận được Lời Nguyền của Aki, điều này sẽ được kích hoạt khi bạn tắm cùng em gái</t>
    </r>
  </si>
  <si>
    <t>Lista de Conquistas
1. Onde está a Imouto?
Descrição: Precisa encontrar a garota amada.
Dica: Onde está minha querida Imouto...?
Requisito: Renomeie a heroína para algo diferente de "Imouto" ou "Irmã".
2. É a minha querida Imouto!
Descrição: A garota amada está bem na minha frente.
Dica: É a minha querida Imouto!
Requisito: Renomeie a heroína para "Imouto" ou "Irmã".
3. Consegui um Console de Jogos!
Descrição: Agora você pode jogar com a Imouto.
Dica: Isso pode ser um jogo, mas não é algo que você joga.
Requisito: Obtenha o console JoyStation V e dê para a Imouto.
4. Travesseiro de Corpo da Imouto
Descrição: Agora você pode ter a Imouto sentada no seu colo enquanto joga!
Dica: Ter a Imouto não é o suficiente?
Requisito: Desbloqueado ao ter a Imouto sentada no seu colo. Durante a cena "Toquem algo juntos"
5. Minha irmãzinha é tão fofa!
Descrição: O afeto da sua irmãzinha atingiu o ápice!
Dica: Minha irmãzinha é tão fofa!
Requisito: Alcance o nível máximo de intimidade com sua irmãzinha
6. As pessoas morrem se forem mortas?
Descrição: Seu HP cai para zero no Abismo...
Dica: As pessoas morrem se forem mortas?
Requisito: Seu HP chega a 0 enquanto estiver no Abismo...
7. Hábito de acumular
Descrição: Colocou um grande número de itens na Porta Estelar
Dica: Peguei uma doença que me mata se eu não acumular
Requisito: Coloque mais de ? itens dentro da Porta Estelar
8. Transportado para outro mundo?
Descrição: Atropelado impiedosamente por um caminhão de compras
Dica: Magia de reencarnação de outro mundo!?
Requisito: Ao invocar a Carruagem, seja atingido por ela e morra no processo.
9. Réquiem
Desc: Declarado morto pela Morte
Dica: Você já está morto
Req: Use a carta de tarô "Morte" e morra no processo
10. Rei do Ar
Desc: Você já caiu tantas vezes...
Dica: Você não quer ser amigo do céu?
Req: Morra de queda 8 vezes (Pena de Pássaro de Fogo conta)
11. A Estrela Presságio da Morte
Desc: Derrotado por ASABA com um golpe especial
Dica: Você pode ver... A Estrela Presságio da Morte!!
Req: Alimente ASABA com Morango de ASABA e morra com seu golpe especial
12. Servos e Mestre
Desc: Comande cinco servos ao mesmo tempo
Dica: Eu pergunto a você. Você é o nosso Mestre?
Req: Equipe cinco equipamentos de Servo em seus espaços de equipamento ao mesmo tempo (Equipamentos com o mesmo nome contam)
13. Regozijem-se com o nascimento do rei!
Desc: Lute contra um chefe pela primeira vez Tempo
Dica: Alegrem-se com o nascimento do rei!
Requisito: Lute contra um chefe pela primeira vez (monstros com nome e barra de vida vermelhos)
14. Desperdício Ilimitado de Lâminas
Descrição: Quebrou mais de 100 armas
Dica: Você tem armas suficientes em estoque?
Requisito: Quebre mais de 100 armas
15. Você também pode se tornar luz!
Descrição: A maldição de Aki se manifestou
Dica: Você também pode se tornar luz!
Requisito: Converse com Aki, a misteriosa dona da loja, e escolha não lhe dar salmão para que ela o amaldiçoe. Tome um banho com a irmãzinha depois, enquanto a maldição estiver em vigor.</t>
  </si>
  <si>
    <t>成就一覽
16.
沒被穿過的胖次是沒有價值的！
收到了妹妹送的胖次~！
沒被穿過的胖次是沒有價值的！
請參考SLG事件- 胖次！
17.
無可救藥的妹控
在妹妹的房間用妹妹的電腦玩對妹妹色色的遊戲
玩妹妹遊戲？
"暫時"是SLG事件- 遊戲中的干擾-湊近觀察時解鎖；未來會隨著新內容修改獲取方式
18.
被榨乾了…
已經、一滴都不剩了…
已經、一滴都不剩了…
請參考SLG事件- 請妹妹幫忙洗-&gt;"洗浴中被榨乾"的相關劇情
19.
扭蛋是壞文明！
在扭蛋上浪費太多錢被妹妹訓了……
扭蛋是壞文明！
在扭蛋中花費超過50000，在回家時50%概率觸發解鎖💛 事件
20.
請給我50000元~！
給妹妹發了5萬以上的紅包！
請給我50000元~！
於發放零用錢時，給妹妹發超過50000以上的金幣
21.
十裡坡劍神
堅持每日揮劍的成果
十裡坡劍神
達成劍術修行空揮36000次以上
22.
為了檢測我的器量
掌握了忍者的技藝
 「為了檢測我的器量。」
習得忍者技能
23.
 不要停下來啊！
 用超高速持續奔跑
 不要停下來啊！
裝備"红色的角"進行高速衝刺並持續2秒不中斷
24.
通往大人的階梯♥
讓妹妹看色色的同人本
通往大人的階梯♥
送给妹妹色色的同人本
25.
通往大人的階梯♥♥
讓妹妹使用色色的玩具
通往大人的階梯♥♥
未實裝
26.
通往大人的階梯♥♥♥
讓妹妹體驗性的快樂
通往大人的階梯♥♥♥
未實裝</t>
  </si>
  <si>
    <t>成就一覧
16.
未使用のパンツに価値はない！
妹からパンツをもらった～！
未使用のパンツに価値はない！
SLGイベント「パンツ！」を参照
17.
救いようのないシスコン
妹の部屋で妹のパソコンを使い、妹に関するゲームをプレイする
妹のゲーム？
現時点ではSLGイベント「ゲーム中の干渉」―接近して観察時に解放。今後の更新で取得方法が変更予定
18.
搾り取られた…
もう、一滴も残っていない…
もう、一滴も残っていない…
SLGイベント「妹に手伝ってもらう→入浴中の関連シーン」を参照
19.
ガチャは悪い文明！
ガチャでお金を使いすぎて妹に怒られた……
ガチャは悪い文明！
ガチャで合計50000以上消費し、帰宅時に50%の確率でイベント発生
20.
50000ください～！
妹に5万以上のお小遣いをあげた！
50000ください～！
お小遣いを渡す際、妹に50000以上のゴールドを渡す
21.
十里坡の剣神
毎日の素振りの成果
十里坡の剣神
剣術修行で素振りを36000回以上行う
22.
器量を測るために
忍者の技を身につけた
「器量を測るために」
忍者スキルを習得する
23.
止まるんじゃねえぞ！
超高速で走り続ける
止まるんじゃねえぞ！
「赤い角」を装備し、高速ダッシュを2秒以上途切れずに継続
24.
大人への階段♥
妹に同人誌を見せる
大人への階段♥
妹に同人誌を渡す
25.
大人への階段♥♥
妹に特定のアイテムを使わせる
大人への階段♥♥
未実装
26.
大人への階段♥♥♥
妹に特定の体験をさせる
大人への階段♥♥♥
未実装</t>
  </si>
  <si>
    <t>16. Unworn Panties Have No Value!
Desc: Received panties from Imouto~!
Tooltip: Unworn Panties Have No Value!
Req: Refer to SLG event "Panties!" at SLG-C-14
17. Hopeless Siscon
Desc: In Imouto' room, use Imouto's computer and play erotic games about Imouto
Tooltip: Play games with Imouto?
Req: Unlocked via SLG-D-6“Look closers and observe” (may change in future updates)
18. Milked Dry...
Desc: There's... not a single drop left...
Tooltip: There's... not a single drop left..."
Req: Refer to SLG-C-33 with Imouto sucking you dry
19. Gacha is a Bad Civilization!
Desc: Spent too much money on gacha and got scolded by Imouto...
Tooltip: Gacha is a Bad Civilization!
Req: Spend 50,000 gold in the gachapon machine
20. Can You Send Me 50K~?
Desc: Gave Imouto over 50,000 in allowance at once!
Tooltip: Can You Send Me 50K~?
Req: Give imouto 50,000 gold
21. The Sword Saint of Sticks
Desc: The results of persistent daily sword training
Tooltip: The Sword Saint of Sticks
Req: Obtained by doing swordsmanship training 36000 times
23. Don't you ever stop!
Desc: Keep running at super high speed
Tooltip: Don't you ever stop!
Req: Equip the "Red Horn" equipment and continuously dash for 2 seconds without being interrupted
24. Stairway To Adulthood♥
Desc: Make Imouto read lewd doujinshi
Tooltip: Stairway To Adulthood♥
Req: Have Imouto read a lewd doujinshi in your inventory
25. Stairway To Adulthood♥♥
Desc: Get Imouto to use sexy toys
Tooltip: Stairway To Adulthood♥♥
Req: Have Imouto use sex toys
26. Stairway To Adulthood♥♥♥
Desc: Teach Imouto the joys of sex
Tooltip: Stairway To Adulthood♥♥♥
Req: TBA</t>
  </si>
  <si>
    <t>16.
没被穿过的胖次是没有价值的！
收到了妹妹送的胖次~！
没被穿过的胖次是没有价值的！
请参考SLG事件- 胖次！
17.
无可救药的妹控
在妹妹的房间用妹妹的电脑玩对妹妹色色的游戏
玩妹妹游戏？
"暂时"是SLG事件- 游戏中的干扰-凑近观察时解锁；未来会随着新内容修改获取方式
18.
被榨干了…
已经、一滴都不剩了…
已经、一滴都不剩了…
请参考SLG事件- 请妹妹帮忙洗-&gt;"洗浴中被榨干"的相关剧情</t>
  </si>
  <si>
    <t>16. "Неношені трусики не мають ніякої цінності!"
Опис: "Отримати трусики від Імоуто~!"
Підказка: "Неношені трусики не мають ніякої цінності!"
Умова: зверніться до події SLG "Трусики!" на SLG-C-14
17. "Безнадійний Сіскон"
Опис: "У кімнаті Імоуто, використовуйте ПК Імоуто, щоб робити з нею непристойні речі"
Підказка: "Грати в ігри з Імоуто?"
Умова: відкривається через SLG-D-6 "Відволікаючі фактори в грі-3" (може змінитися в майбутніх оновленнях)
18. "Видоєний насухо..."
Опис: "Там... не залишилося ні краплі..."
Підказка: "Там... не залишилося ні краплі..."
Умова: відкривається через SLG-C-33.
19. "Гача-погана культура!"
Опис: "Витратив занадто багато грошей на гачу і отримав зауваження від Імоуто..."
Підказка: "Гача-погана культура!"
Умова: витратити більше [???] єн граючи в Гача-автомат.
20. "Чи можете ви дати мені 50K?~"
Опис: "Видати Імоуто відразу більше 50.000 єн на кишенькові витрати!"
Підказка: "Ви можете дати мені 50K?~"
Умова: видати Імоуто відразу більше 50.000 єн.
21. "Святий Мечник Паличок"
Опис: "Результат наполегливих щоденних тренувань з мечем"
Підказка: "Святий Мечник Паличок"
Умова: виходить при виконанні вправ з фехтування [x] кількість разів.
22. "Перевірка своїх здібностей"
Опис: "Ннабути навичок ніндзя"
Підказка: "Це було зроблено, щоб перевірити свої здібності!"
Умова: Набути навичок ніндзя
23. "Ніколи не зупиняйся!"
Опис: "Продовжувати бігти на надвисокій швидкості"
Підказка: "Ніколи не зупиняйся!"
Умова: Використовувати "Червоний Ріг".
24. "Сходи в доросле життя♥"
Опис: "Примусь Імоуто читати непристойні додзінсі."
Підказка: "Сходи в доросле життя♥"
Умова: змусити Імоуто читати непристойні додзінсі.
25. "Сходи в доросле життя♥♥"
Опис: "Примусь Імоуто використовувати секс-іграшки."
Підказка: "Сходи в доросле життя♥♥"
Умова: змусити Імоуто використовувати секс-іграшки.
26. "Сходи в доросле життя♥♥♥"
Опис: "Навчи Імоуто принадам сексу."
Підказка: "Сходи в доросле життя♥♥♥"
Умова: -</t>
  </si>
  <si>
    <t>16. "Неношеные трусики не имеют никакой ценности!"
Описание: "Получить трусики от Имоуто~!"
Подсказка: "Неношеные трусики не имеют никакой ценности!"
Условие: Обратитесь к событию SLG "Трусики!" на SLG-C-14
17. "Безнадежный Сискон"
Описание: "В комнате Имоуто, используйте ПК Имоуто, чтобы делать с ней непристойные вещи"
Подсказка: "Играть в игры с Имоуто?"
Условие: Открывается через SLG-D-6 "Отвлекающие факторы в игре - 3" (может измениться в будущих обновлениях)
18. "Выдоенный досуха..."
Описание: "Там... не осталось ни капли..."
Подсказка: "Там... не осталось ни капли..."
Условие: Открывается через SLG-C-33.
19. "Гача - плохая культура!"
Описание: "Потратил слишком много денег на гачу и получил замечание от Имоуто..."
Подсказка: "Гача - плохая культура!"
Условие: Потратить более [???] йен играя в Гача-автомат.
20. "Можешь дать мне 50K?~"
Описание: "Выдать Имоуто сразу более 50.000 йен на карманные расходы!"
Подсказка: "Можешь дать мне 50K?~"
Условие: Выдать Имоуто сразу более 50.000 йен.
21. "Святой Мечник Палочек"
Описание: "Результат упорных ежедневных тренировок с мечом"
Подсказка: "Святой Мечник Палочек"
Условие: Получается при выполнении упражнений по фехтованию [x] количество раз.
22. "Проверка своих способностей"
Описание: "Приобрести навыки ниндзя"
Подсказка: "Это было сделано, чтобы проверить свои способности!"
Условие: "Приобрести навыки ниндзя"
23. "Никогда не останавливайся!"
Описание: "Продолжать бежать на сверхвысокой скорости"
Подсказка: "Никогда не останавливайся!"
Условие: Использовать "Красный Рог".
24. "Лестница во Взрослую жизнь♥"
Описание: "Заставь Имоуто читать непристойные додзинси."
Подсказка: "Лестница во Взрослую жизнь♥"
Условие: "Заставить Имоуто читать непристойные додзинси."
25. "Лестница во Взрослую жизнь♥♥"
Описание: "Заставь Имоуто использовать секс-игрушки."
Подсказка: "Лестница во Взрослую жизнь♥♥"
Условие: "Заставить Имоуто использовать секс-игрушки."
26. "Лестница во Взрослую жизнь♥♥♥"
Описание: "Научи Имоуто прелестям секса."
Подсказка: "Лестница во Взрослую жизнь♥♥♥"
Условие: -</t>
  </si>
  <si>
    <t>16. Quần lót chưa mặc thì vô giá trị!
Mô tả: Nhận được quần lót từ em gái~!
Thông báo: Quần lót chưa mặc thì vô giá trị!
Mở khóa: Vui lòng tham khảo sự kiện SLG - Quần Lót!
17. Siscon Vô Phương Cứu Chữa
Mô tả: Trong phòng em gái, dùng máy của em gái để làm những chuyện dâm đãng với em gái
Thông báo: Chơi game với em gái?
Mở khóa: "Tạm thời" là một sự kiện SLG - Can thiệp vào game - được mở khóa khi bạn đến gần để quan sát, phương pháp để nhận sẽ được thay đổi trong nội dung tương lai
18. Vắt cực khô...
Mô tả: Không... thật sự không còn một giọt nào sót lại nữa...
Thông báo: Không... thật sự không còn một giọt nào sót lại nữa...
Mở khóa: Vui lòng tham khảo sự kiện SLG - Nhờ em gái giúp tắm -&gt; Cốt truyện liên quan đến "Kiệt sức trong bồn tắm"
19. Gacha là một nền văn minh tồi tệ!
Mô tả: Tiêu quá nhiều tiền vào gacha rồi bị em gái mắng...
Thông báo: Gacha là một nền văn minh tồi tệ!
Mở khóa: Chi hơn 50.000 yên vào máy Gacha và có hơn 10.000 yên trong người khi về nhà, có tỷ lệ 50% kích hoạt sự kiện
20. Cho em 50K dược không~?
Mô tả: Đã cho em gái hơn 50.000 tiền tiêu vặt trong một lần!
Thông báo: Cho em 50K nha~?
Mở khóa: Cho em gái 50.000 yên trong 1 lần
21.
Mô tả:
Thông báo:
Mở khóa:
23.
Mô tả:
Thông báo:
Mở khóa:
24. 
Mô tả:
Thông báo:
Mở khóa:
25.
Mô tả:
Thông báo:
Mở khóa:
26.
Mô tả:
Thông báo:
Mở khóa</t>
  </si>
  <si>
    <t>16. Calcinhas sem uso não têm valor!
Desc: Recebi calcinhas da imouto!
Dica: Calcinhas sem uso não têm valor!
Req: Consulte o evento SLG "Calcinhas!" em SLG-C-14
17. Siscon sem esperança
Desc: No quarto da imouto, use o computador dela e jogue jogos eróticos sobre ela.
Dica: Jogar com a imouto?
Req: Desbloqueado via SLG-D-6 "Observe com atenção" (pode mudar em atualizações futuras)
18. Ordenhado até a última gota...
Desc: Não sobrou... nem uma gota...
Dica: Não sobrou... nem uma gota..."
Req: Consulte SLG-C-33 com a imouto te sugando até a última gota
19. Gacha é uma civilização ruim!
Desc: Gastei muito dinheiro em gacha e levei uma bronca da imouto...
Dica: Gacha é o início do declínio da civilização!
Requisito: Gaste ??? quantia de dinheiro na máquina de gachapon
20. Você pode me enviar 50 mil?
Descrição: Deu à sua irmã mais nova mais de 50.000 de mesada de uma vez!
Dica: Você pode me enviar 50 mil?
Requisito:
21. O Santo da Espada de Gravetos
Descrição: O resultado do treinamento diário e persistente com espadas
Dica: O Santo da Espada de Gravetos
Requisito: Obtido ao treinar esgrima x vezes
23. Nunca pare!
Descrição: Continue correndo em altíssima velocidade
Dica: Nunca pare!
Requisito: A definir
24. Escada para a Vida Adulta♥
Descrição: Faça sua irmã mais nova ler doujinshi erótico
Dica: Escada para a Vida Adulta♥
Requisito: Faça sua irmã mais nova ler um doujinshi erótico em seu inventário
25. Escada para Vida Adulta♥♥
Desc: Ensine a sua irmã mais nova a usar brinquedos sexuais
Dica: Escada para a Vida Adulta♥♥
Req: Faça a sua irmã mais nova usar brinquedos sexuais
26. Escada para a Vida Adulta♥♥♥
Desc: Ensine à sua irmã mais nova os prazeres do sexo
Dica: Escada para a Vida Adulta♥♥♥
Req: A definir</t>
  </si>
  <si>
    <t>新增妹妹吃料理的動畫：
完成和妹妹的約定-做一頓肉料理時，100%觸發妹妹「狼吞虎嚥」動畫
正常完成一頓肉料理時，30%機率觸發妹妹「狼吞虎嚥」動畫
此動畫優先級別最高(例如被辣到或其他動畫)</t>
  </si>
  <si>
    <t>妹の料理を食べる新アニメーション追加：お兄ちゃんはうれしいぞ！
妹との約束「肉料理を作る」を達成した場合、100％の確率で妹の「がつがつ食べる」アニメーションが発動する。
通常の肉料理を完成させた場合、30％の確率で妹の「がつがつ食べる」アニメーションが発動する。
このアニメーションは最優先で再生される（辛さでの反応など、他のアニメーションよりも優先される）</t>
  </si>
  <si>
    <t>Regarding the new animation of imouto eating food:
When completing the promise with imouto (cooking a meat dish), the "nomming" animation will trigger with a 100% chance
When cooking a meat dish, there is a 30% chance to trigger the same animation
This animation has the highest priority (it overrides others, such as spicy reactions or similar animations)</t>
  </si>
  <si>
    <t>新增妹妹吃料理的动画：
完成和妹妹的约定-做一顿肉料理时，100%触发妹妹「狼吞虎咽」动画
正常完成一顿肉料理时，30%机率触发妹妹「狼吞虎咽」动画
此动画优先级别最高(例如被辣到或其他动画)</t>
  </si>
  <si>
    <t>Щодо нової анімації того, як Сестриа їсть їжу:
Під час виконання обіцянки з Сестрою (приготування м'ясної страви) анімація "Смакота" спрацює зі 100% шансом.
Під час приготування м'ясної страви існує 30% шанс спрацювання такої ж анімації.
Ця анімація має найвищий пріоритет (вона переважає інші, такі як гострі реакції чи подібні анімації).</t>
  </si>
  <si>
    <t>Насчёт новой анимации с кушающей Имоуто:
При выполнении обещания (приготовить мясное блюдо) анимация "Вкуснотища" сработает со 100% вероятностью.
При приготовлении мясного блюда вероятность запуска такой же анимации составляет 30%.
Эта анимация имеет наивысший приоритет (она превосходит другие, такие как реакция на острую пищу или аналогичные анимации).</t>
  </si>
  <si>
    <t>Về animation imouto ăn:
Khi hoàn thành lời hứa với em gái – nấu một món thịt, 100% kích hoạt animation “ăn ngấu nghiến” của em gái
Khi hoàn thành bình thường một món thịt, có 30% tỉ lệ kích hoạt animation “ăn ngấu nghiến” của em gái
Animation này có độ ưu tiên cao nhất (ví dụ: cao hơn phản ứng bị cay hoặc các animation khác)</t>
  </si>
  <si>
    <t>Adicionada animação da imouto comendo: Quando você cumpre Promessa:Prato com Carne - a animação "Devorando a Comida" será acionada. Quando você prepara um prato de carne normalmente, há 30% de chance da animação "Devorando a Comida" ocorrer.
Esta animação tem a prioridade mais alta (por exemplo, ser picante ou outras animações).</t>
  </si>
  <si>
    <t>精靈龍沒有攻擊能力，只會逃跑。
3秒後會直接消失不見，只能等待下一天機率刷新。</t>
  </si>
  <si>
    <t>フェアリードラゴンには攻撃能力がなく、逃げるだけである。
3秒後にそのまま消滅し、翌日になるまで再出現を待つしかない（確率で再出現）</t>
  </si>
  <si>
    <t>The Fairy Dragon monster has no offensive attacks. It can only run away after spotting it for 3 seconds and will only show up again the next day.</t>
  </si>
  <si>
    <t>狀態圖示</t>
  </si>
  <si>
    <t>名稱</t>
  </si>
  <si>
    <t>敘述</t>
  </si>
  <si>
    <t>舉例</t>
  </si>
  <si>
    <t>Status</t>
  </si>
  <si>
    <t>Description</t>
  </si>
  <si>
    <t>Narrative</t>
  </si>
  <si>
    <t>Sources</t>
  </si>
  <si>
    <t>Статус</t>
  </si>
  <si>
    <t>Назва</t>
  </si>
  <si>
    <t>Опис</t>
  </si>
  <si>
    <t>Джерела</t>
  </si>
  <si>
    <t>Состояние</t>
  </si>
  <si>
    <t>Название</t>
  </si>
  <si>
    <t>Пример</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</si>
  <si>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</si>
  <si>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</si>
  <si>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</si>
  <si>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</si>
  <si>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</si>
  <si>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</si>
  <si>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</si>
  <si>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</si>
  <si>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</si>
  <si>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</si>
  <si>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</si>
  <si>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</si>
  <si>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</si>
  <si>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</si>
  <si>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흥분한</t>
  </si>
  <si>
    <t>나는 약간 불안한 기분이 든다.</t>
  </si>
  <si>
    <t>오빠의 성욕이 좀 있어요.</t>
  </si>
  <si>
    <t>Схвильований</t>
  </si>
  <si>
    <t>Неспокійно на душі</t>
  </si>
  <si>
    <t>Куроха має певне сексуальне бажання.</t>
  </si>
  <si>
    <t>Взволнованный</t>
  </si>
  <si>
    <t>Неспокойно на душе...</t>
  </si>
  <si>
    <t>У моего брата есть сексуальное влечение.</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</si>
  <si>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</si>
  <si>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</si>
  <si>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</si>
  <si>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</si>
  <si>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</si>
  <si>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</si>
  <si>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</si>
  <si>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</si>
  <si>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</si>
  <si>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</si>
  <si>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</si>
  <si>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 xml:space="preserve">내 몸이 어떤 자극을 갈망하고 있다.
</t>
  </si>
  <si>
    <t>오빠의 성욕이 매우 강하다.</t>
  </si>
  <si>
    <t>Тіло прагне гострих відчуттів...</t>
  </si>
  <si>
    <t>Куроха має помірне сексуальне бажання.</t>
  </si>
  <si>
    <t>Телу хочется острых ощущений...</t>
  </si>
  <si>
    <t>У моего брата сильное сексуальное влечение.</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</si>
  <si>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</si>
  <si>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</si>
  <si>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</si>
  <si>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</si>
  <si>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</si>
  <si>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</si>
  <si>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</si>
  <si>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</si>
  <si>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</si>
  <si>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더 이상 나 자신을 통제할 수 없다.</t>
  </si>
  <si>
    <t>오빠의 성욕이 더 강하다</t>
  </si>
  <si>
    <t>Я більше не можу це стримувати</t>
  </si>
  <si>
    <t>Куроха має високе сексуальне бажання.</t>
  </si>
  <si>
    <t>Теряю контроль...!</t>
  </si>
  <si>
    <t>У моего брата очень сильное сексуальное влечение.</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</si>
  <si>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</si>
  <si>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</si>
  <si>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</si>
  <si>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</si>
  <si>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</si>
  <si>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</si>
  <si>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</si>
  <si>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</si>
  <si>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</si>
  <si>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</si>
  <si>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</si>
  <si>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</si>
  <si>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</si>
  <si>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</si>
  <si>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</si>
  <si>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짐승</t>
  </si>
  <si>
    <t>으윽...</t>
  </si>
  <si>
    <t>성욕 한계! 오빠는 짐승 모드에 들어갑니다.</t>
  </si>
  <si>
    <t>오빠의 성욕이 엄청나게 강하다.</t>
  </si>
  <si>
    <t>Орк</t>
  </si>
  <si>
    <t>Угхх...</t>
  </si>
  <si>
    <t>Перетворений на божевільного Звіра бажання!</t>
  </si>
  <si>
    <t>У Курохи дуже високе сексуальне бажання.</t>
  </si>
  <si>
    <t>Поглощён своей похотью — стал Зверем!</t>
  </si>
  <si>
    <t>Он жаждит эротики</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</si>
  <si>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</si>
  <si>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</si>
  <si>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</si>
  <si>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</si>
  <si>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</si>
  <si>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</si>
  <si>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</si>
  <si>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</si>
  <si>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</si>
  <si>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</si>
  <si>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</si>
  <si>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</si>
  <si>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</si>
  <si>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</si>
  <si>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</si>
  <si>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</si>
  <si>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현자 모드</t>
  </si>
  <si>
    <t>지금은 뭐든지 할 수 있을 것 같은 기분이야.</t>
  </si>
  <si>
    <t>현자 모드에 진입하면 모든 능력치가 증가합니다.</t>
  </si>
  <si>
    <t>오빠의 성욕이 전혀 없다.</t>
  </si>
  <si>
    <t>Режим Мудреця</t>
  </si>
  <si>
    <t>Мені здається, зараз я можу все</t>
  </si>
  <si>
    <t>Режим Мудреця активовано. Усі характеристики підвищено!</t>
  </si>
  <si>
    <t>Куроха не має сексуального бажання</t>
  </si>
  <si>
    <t>Мудрец</t>
  </si>
  <si>
    <t>Мне кажется, сейчас я могу всё!</t>
  </si>
  <si>
    <t>Режим Мудреца активирован. Все характеристики повышены!</t>
  </si>
  <si>
    <t>У моего брата отсутствует половое влечение.</t>
  </si>
  <si>
    <t>Trạng Thái Tĩnh Tâm</t>
  </si>
  <si>
    <t>Cảm giác như tôi có thể làm bất cứ điều gì</t>
  </si>
  <si>
    <t>Kích hoạt chế độ Hiền giả, tăng tất cả các chỉ số</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</si>
  <si>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</si>
  <si>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</si>
  <si>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</si>
  <si>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</si>
  <si>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</si>
  <si>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</si>
  <si>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</si>
  <si>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</si>
  <si>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</si>
  <si>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</si>
  <si>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</si>
  <si>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</si>
  <si>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</si>
  <si>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집중하다</t>
  </si>
  <si>
    <t>다음 공격을 준비하는데 집중하면 이동 속도가 느려집니다.</t>
  </si>
  <si>
    <t>근접 무기 마우스 오른쪽 버튼</t>
  </si>
  <si>
    <t>У фокусі</t>
  </si>
  <si>
    <t>Концентрація перед наступним ударом, швидкість руху знижена.</t>
  </si>
  <si>
    <t>Права кнопка миші у бою</t>
  </si>
  <si>
    <t>В фокусе</t>
  </si>
  <si>
    <t>Сосредоточение перед следующим ударом, скорость движения снижена</t>
  </si>
  <si>
    <t>Правая кнопка мыши в бою</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</si>
  <si>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</si>
  <si>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</si>
  <si>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</si>
  <si>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</si>
  <si>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</si>
  <si>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</si>
  <si>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</si>
  <si>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</si>
  <si>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</si>
  <si>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</si>
  <si>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</si>
  <si>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</si>
  <si>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</si>
  <si>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</si>
  <si>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플래시 스텝 금지됨</t>
  </si>
  <si>
    <t>크림슨 트리플 스피드</t>
  </si>
  <si>
    <t>플래시 스텝 또는 맵 전환 중에 발생하는 고질적인 버그</t>
  </si>
  <si>
    <t>На всіх парах!</t>
  </si>
  <si>
    <t>Червона потрійна швидкість</t>
  </si>
  <si>
    <t>Постійна помилка під час переходу між Сенпо чи зміною локації.</t>
  </si>
  <si>
    <t>На всех парах!</t>
  </si>
  <si>
    <t>Алая тройная скорость</t>
  </si>
  <si>
    <t>Постоянная ошибка во время перехода между Сенпо или сменой локации.</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</si>
  <si>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</si>
  <si>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</si>
  <si>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</si>
  <si>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</si>
  <si>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</si>
  <si>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</si>
  <si>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</si>
  <si>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</si>
  <si>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</si>
  <si>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</si>
  <si>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</si>
  <si>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</si>
  <si>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</si>
  <si>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플래시 스텝을 사용하지 마세요</t>
  </si>
  <si>
    <t>플래시 스텝 쿨다운</t>
  </si>
  <si>
    <t>Перезаряджання Сенпо</t>
  </si>
  <si>
    <t>Сенпо на перезарядженні!</t>
  </si>
  <si>
    <t>Перезарядка Сенпо</t>
  </si>
  <si>
    <t>Сенпо на перезарядке!</t>
  </si>
  <si>
    <t>Hồi Chiêu Thiểm Bộ</t>
  </si>
  <si>
    <t>Thiểm Bộ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</si>
  <si>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</si>
  <si>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</si>
  <si>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</si>
  <si>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</si>
  <si>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</si>
  <si>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</si>
  <si>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</si>
  <si>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</si>
  <si>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</si>
  <si>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</si>
  <si>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</si>
  <si>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</si>
  <si>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현기증</t>
  </si>
  <si>
    <t>빙빙 돌아서 어지러워요.</t>
  </si>
  <si>
    <t>근접 무기를 마우스 오른쪽 버튼으로 클릭한 후 회전합니다.</t>
  </si>
  <si>
    <t>Запаморочення</t>
  </si>
  <si>
    <t>Голова паморочиться, все пливе!</t>
  </si>
  <si>
    <t>Неможливо діяти!</t>
  </si>
  <si>
    <t>Ліва кнопка миші у бою</t>
  </si>
  <si>
    <t>Головокружение</t>
  </si>
  <si>
    <t>Голова кружится, всё плывёт!</t>
  </si>
  <si>
    <t>Невозможно действовать!</t>
  </si>
  <si>
    <t>Левая кнопка мыши в бою</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</si>
  <si>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</si>
  <si>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</si>
  <si>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</si>
  <si>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</si>
  <si>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</si>
  <si>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</si>
  <si>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</si>
  <si>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</si>
  <si>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</si>
  <si>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</si>
  <si>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</si>
  <si>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</si>
  <si>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마법 시전</t>
  </si>
  <si>
    <t>마법 주문을 외우다.</t>
  </si>
  <si>
    <t>지팡이 무기를 마우스 오른쪽 버튼으로 클릭하세요.</t>
  </si>
  <si>
    <t>Магія</t>
  </si>
  <si>
    <t>Читає заклинання!</t>
  </si>
  <si>
    <t>Права кнопка миші з посохом</t>
  </si>
  <si>
    <t>Магия</t>
  </si>
  <si>
    <t>Читает заклинание!</t>
  </si>
  <si>
    <t>Правая кнопка мыши по посоху</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</si>
  <si>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</si>
  <si>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</si>
  <si>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</si>
  <si>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</si>
  <si>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</si>
  <si>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</si>
  <si>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</si>
  <si>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</si>
  <si>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</si>
  <si>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</si>
  <si>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</si>
  <si>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</si>
  <si>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</si>
  <si>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</si>
  <si>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</si>
  <si>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</si>
  <si>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</si>
  <si>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중독</t>
  </si>
  <si>
    <t>독에 감염되었습니다.</t>
  </si>
  <si>
    <t>시간이 지날수록 데미지를 입습니다.</t>
  </si>
  <si>
    <t>좀비의 공격을 받거나 물고기의 뼈를 장비하고 있으면 독에 감염된다.</t>
  </si>
  <si>
    <t>Отруєння</t>
  </si>
  <si>
    <t>Отрута вразила твоє тіло</t>
  </si>
  <si>
    <t>Втрата наростає з часом!</t>
  </si>
  <si>
    <t>Укушен Зомбі</t>
  </si>
  <si>
    <t>Отравление</t>
  </si>
  <si>
    <t>Яд поразил твоё тело</t>
  </si>
  <si>
    <t>Урон нарастает со временем!</t>
  </si>
  <si>
    <t>Укушен Зомби</t>
  </si>
  <si>
    <t>Độc</t>
  </si>
  <si>
    <t>Độc đã xâm nhập vào cơ thể bạn</t>
  </si>
  <si>
    <t>Nhận thêm sát thương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</si>
  <si>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</si>
  <si>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</si>
  <si>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</si>
  <si>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</si>
  <si>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</si>
  <si>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</si>
  <si>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</si>
  <si>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</si>
  <si>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</si>
  <si>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</si>
  <si>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</si>
  <si>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</si>
  <si>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</si>
  <si>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</si>
  <si>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출혈</t>
  </si>
  <si>
    <t>최대 체력에 비례하여 데미지를 입습니다.</t>
  </si>
  <si>
    <t>Кровотеча</t>
  </si>
  <si>
    <t>Кровотеча не зупиняється</t>
  </si>
  <si>
    <t>Отримує шкоду, що залежить від макс. ОЗ!</t>
  </si>
  <si>
    <t>Зазнав нападу маленького Червоного звіра</t>
  </si>
  <si>
    <t>Кровотечение</t>
  </si>
  <si>
    <t>Кровотечение не останавливается</t>
  </si>
  <si>
    <t>Получает урон, зависящий от макс. ОЗ!</t>
  </si>
  <si>
    <t>Подвергся нападению маленького Красного зверя</t>
  </si>
  <si>
    <t>Chảy Máu</t>
  </si>
  <si>
    <t>Máu chảy mãi không ngừng</t>
  </si>
  <si>
    <t>Nhận sát thương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</si>
  <si>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</si>
  <si>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</si>
  <si>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</si>
  <si>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</si>
  <si>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</si>
  <si>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</si>
  <si>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</si>
  <si>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</si>
  <si>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</si>
  <si>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</si>
  <si>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</si>
  <si>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</si>
  <si>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</si>
  <si>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</si>
  <si>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</si>
  <si>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</si>
  <si>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Блискавка</t>
  </si>
  <si>
    <t>Дивися, його вдарила блискавка!</t>
  </si>
  <si>
    <t>Повністю паралізований - зовсім не може рухатися!</t>
  </si>
  <si>
    <t>Несправні вироби, що пропускають електрику.
Мазь Bilibili</t>
  </si>
  <si>
    <t>Молния</t>
  </si>
  <si>
    <t>Смотри, его ударила молния!</t>
  </si>
  <si>
    <t>Полностью парализован — совсем не может двигаться!</t>
  </si>
  <si>
    <t>Неисправные изделия, пропускающие электричество.
Мазь Bilibili</t>
  </si>
  <si>
    <t>Tê Liệt</t>
  </si>
  <si>
    <t>Nhìn kìa, hắn bị sét đánh rồi!</t>
  </si>
  <si>
    <t>Bị tê liệt hoàn toàn,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</si>
  <si>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</si>
  <si>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</si>
  <si>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</si>
  <si>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</si>
  <si>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</si>
  <si>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</si>
  <si>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</si>
  <si>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</si>
  <si>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</si>
  <si>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</si>
  <si>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</si>
  <si>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</si>
  <si>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</si>
  <si>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</si>
  <si>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</si>
  <si>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Ян Шан</t>
  </si>
  <si>
    <t>Жарко, жарко, жарко...!</t>
  </si>
  <si>
    <t>Накладає безперервне горіння на всіх у радіусі!</t>
  </si>
  <si>
    <t>Підпал</t>
  </si>
  <si>
    <t>Накладывает непрерывное горение на всех в радиусе!</t>
  </si>
  <si>
    <t>Поджог</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</si>
  <si>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</si>
  <si>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</si>
  <si>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</si>
  <si>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</si>
  <si>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</si>
  <si>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</si>
  <si>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</si>
  <si>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</si>
  <si>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</si>
  <si>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</si>
  <si>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</si>
  <si>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</si>
  <si>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</si>
  <si>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</si>
  <si>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</si>
  <si>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</si>
  <si>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</si>
  <si>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Лід</t>
  </si>
  <si>
    <t>Претворюється в крижану статую!</t>
  </si>
  <si>
    <t>Повністю заморожений!</t>
  </si>
  <si>
    <t>Крижаний слайм</t>
  </si>
  <si>
    <t>Лёд</t>
  </si>
  <si>
    <t>Превращайся в ледышку!</t>
  </si>
  <si>
    <t>Полностью заморожен!</t>
  </si>
  <si>
    <t>Ледяная слизь</t>
  </si>
  <si>
    <t>Đông đá</t>
  </si>
  <si>
    <t>Biến thành que kem!</t>
  </si>
  <si>
    <t>Bị đóng băng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</si>
  <si>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</si>
  <si>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</si>
  <si>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</si>
  <si>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</si>
  <si>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</si>
  <si>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</si>
  <si>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</si>
  <si>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</si>
  <si>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</si>
  <si>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</si>
  <si>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</si>
  <si>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</si>
  <si>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</si>
  <si>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Прокляття Демониці</t>
  </si>
  <si>
    <t>Фу-фу, ось тобі за непокору мені ~ ♥</t>
  </si>
  <si>
    <t>Проклятий тією маленькою демонією...</t>
  </si>
  <si>
    <t>Таємний покупець не продає рибу</t>
  </si>
  <si>
    <t>Проклятие Демоницы</t>
  </si>
  <si>
    <t>Фу-фу, вот тебе за неповиновение мне~♥</t>
  </si>
  <si>
    <t>Проклят той маленькой демоницей...</t>
  </si>
  <si>
    <t>Тайный покупатель не продаёт рыбу</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</si>
  <si>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</si>
  <si>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</si>
  <si>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</si>
  <si>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</si>
  <si>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</si>
  <si>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</si>
  <si>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</si>
  <si>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</si>
  <si>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</si>
  <si>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</si>
  <si>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</si>
  <si>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</si>
  <si>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</si>
  <si>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</si>
  <si>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</si>
  <si>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</si>
  <si>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</si>
  <si>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Безпечна зона</t>
  </si>
  <si>
    <t>Ти на моїй території, так що тут пустувати не можна ~ ♥</t>
  </si>
  <si>
    <t>Атаки заборонені! Найближчі монстри охоплені страхом!</t>
  </si>
  <si>
    <t>Поруч із Таємним магазином</t>
  </si>
  <si>
    <t>Безопасная зона</t>
  </si>
  <si>
    <t>Ты на моей территории, так что тут шалить нельзя~♥</t>
  </si>
  <si>
    <t>Атаки запрещены! Ближайшие монстры охвачены страхом!</t>
  </si>
  <si>
    <t>Рядом с Тайным магазином</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</si>
  <si>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</si>
  <si>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</si>
  <si>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</si>
  <si>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</si>
  <si>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</si>
  <si>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</si>
  <si>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</si>
  <si>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</si>
  <si>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</si>
  <si>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</si>
  <si>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</si>
  <si>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</si>
  <si>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</si>
  <si>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</si>
  <si>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</si>
  <si>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</si>
  <si>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</si>
  <si>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</si>
  <si>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</si>
  <si>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Не постраждай</t>
  </si>
  <si>
    <t>Я дав обіцянку своїй сестрі. І я зобов'язаний її виконати!</t>
  </si>
  <si>
    <t>Не повертайтеся додому важко пораненим.</t>
  </si>
  <si>
    <t>Вона сердиться, коли я розігрую її</t>
  </si>
  <si>
    <t>Не пострадай</t>
  </si>
  <si>
    <t>Я дал обещание своей сестре. И я обязан его сдержать!</t>
  </si>
  <si>
    <t>Не возвращайтесь домой тяжело раненным...</t>
  </si>
  <si>
    <t>Она злится, когда я разыгрываю её</t>
  </si>
  <si>
    <t>Đừng bị thương</t>
  </si>
  <si>
    <t>Tôi đã hứa với em ấy, nên phải giữ lời.</t>
  </si>
  <si>
    <t>Đừng trở về nhà với thương tích đầy mình</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</si>
  <si>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</si>
  <si>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</si>
  <si>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</si>
  <si>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</si>
  <si>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</si>
  <si>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</si>
  <si>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</si>
  <si>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</si>
  <si>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</si>
  <si>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М'ясні страви</t>
  </si>
  <si>
    <t>Мясные блюда</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</si>
  <si>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</si>
  <si>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</si>
  <si>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</si>
  <si>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</si>
  <si>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</si>
  <si>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</si>
  <si>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</si>
  <si>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</si>
  <si>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</si>
  <si>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</si>
  <si>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</si>
  <si>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Що ти забув?</t>
  </si>
  <si>
    <t>...</t>
  </si>
  <si>
    <t>...Ти забув щось важливе? Може, згадається пізніше.</t>
  </si>
  <si>
    <t>Вступ
("Початок гри")</t>
  </si>
  <si>
    <t>Что именно ты забыл?</t>
  </si>
  <si>
    <t>...Ты забыл что-то важное? Может, вспомнится позже.</t>
  </si>
  <si>
    <t>Вступление
("Начало игры")</t>
  </si>
  <si>
    <t>Tôi có quên gì không?</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</si>
  <si>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</si>
  <si>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</si>
  <si>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</si>
  <si>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</si>
  <si>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</si>
  <si>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</si>
  <si>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</si>
  <si>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</si>
  <si>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</si>
  <si>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</si>
  <si>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</si>
  <si>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Від усього тіла виходив огидний запах.</t>
  </si>
  <si>
    <t>Від нього страшенно пахло.</t>
  </si>
  <si>
    <t>Відчувається стійкий запах...</t>
  </si>
  <si>
    <t>Смердючі риб'ячі кістки</t>
  </si>
  <si>
    <t>От всего тела исходил отвратительный запах.</t>
  </si>
  <si>
    <t>От него ужасно пахло.</t>
  </si>
  <si>
    <t>Исходит стойкий запах...</t>
  </si>
  <si>
    <t>Вонючие рыбьи кости</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</si>
  <si>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</si>
  <si>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</si>
  <si>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</si>
  <si>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</si>
  <si>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</si>
  <si>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</si>
  <si>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</si>
  <si>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</si>
  <si>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</si>
  <si>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</si>
  <si>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</si>
  <si>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</si>
  <si>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</si>
  <si>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</si>
  <si>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Смачно</t>
  </si>
  <si>
    <t>З'їв щось смачне — тепло і затишно всередині~</t>
  </si>
  <si>
    <t>Лікує не велику кількість здоров'я кожну секунду.</t>
  </si>
  <si>
    <t>Вишукана кухня</t>
  </si>
  <si>
    <t>Вкусно</t>
  </si>
  <si>
    <t>Съел что-то вкусное — тепло и уютно внутри~</t>
  </si>
  <si>
    <t>Выносливость восстанавливается на небольшое количество в секунду.</t>
  </si>
  <si>
    <t>Изысканная кухня</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</si>
  <si>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</si>
  <si>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</si>
  <si>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</si>
  <si>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</si>
  <si>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</si>
  <si>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</si>
  <si>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</si>
  <si>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</si>
  <si>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</si>
  <si>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</si>
  <si>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</si>
  <si>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</si>
  <si>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</si>
  <si>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</si>
  <si>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</si>
  <si>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</si>
  <si>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</si>
  <si>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</si>
  <si>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Збільшення сили</t>
  </si>
  <si>
    <t>Сила... переповнює мене!</t>
  </si>
  <si>
    <t>Сила атаки +50%</t>
  </si>
  <si>
    <t>Їжа</t>
  </si>
  <si>
    <t>Увеличение силы</t>
  </si>
  <si>
    <t>Сила... переполняет меня!</t>
  </si>
  <si>
    <t>Еда</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</si>
  <si>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</si>
  <si>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</si>
  <si>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</si>
  <si>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</si>
  <si>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</si>
  <si>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</si>
  <si>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</si>
  <si>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</si>
  <si>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</si>
  <si>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</si>
  <si>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</si>
  <si>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</si>
  <si>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</si>
  <si>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</si>
  <si>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</si>
  <si>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</si>
  <si>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Посилення магії</t>
  </si>
  <si>
    <t>Починаю розуміти все</t>
  </si>
  <si>
    <t>Сила магії +50%</t>
  </si>
  <si>
    <t>Усиление магии</t>
  </si>
  <si>
    <t>Начинаю понимать всё</t>
  </si>
  <si>
    <t>Сила магии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</si>
  <si>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</si>
  <si>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</si>
  <si>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</si>
  <si>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</si>
  <si>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</si>
  <si>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</si>
  <si>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</si>
  <si>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</si>
  <si>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</si>
  <si>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</si>
  <si>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</si>
  <si>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</si>
  <si>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Збільшення швидкості</t>
  </si>
  <si>
    <t>Чи зможеш наздогнати мене?!</t>
  </si>
  <si>
    <t>Збільшена швидкість пересування</t>
  </si>
  <si>
    <t>Увеличение скорости</t>
  </si>
  <si>
    <t>Сможешь угнаться за мной?!</t>
  </si>
  <si>
    <t>Увеличенная скорость передвижения</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</si>
  <si>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</si>
  <si>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</si>
  <si>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</si>
  <si>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</si>
  <si>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</si>
  <si>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</si>
  <si>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</si>
  <si>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</si>
  <si>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</si>
  <si>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</si>
  <si>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</si>
  <si>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</si>
  <si>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</si>
  <si>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</si>
  <si>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</si>
  <si>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</si>
  <si>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Бог Зброї</t>
  </si>
  <si>
    <t>Сходження Божественної Зброї</t>
  </si>
  <si>
    <t>Зброю посилено, шкоду збільшено!</t>
  </si>
  <si>
    <t>Карта Таро</t>
  </si>
  <si>
    <t>Бог Оружия</t>
  </si>
  <si>
    <t>Сошествие Божественного Оружия</t>
  </si>
  <si>
    <t>Оружие увеличено, урон повышен!</t>
  </si>
  <si>
    <t>Vũ Khí Thần Thánh Giáng Lâm</t>
  </si>
  <si>
    <t>Đây là vũ khí thần thánh</t>
  </si>
  <si>
    <t>Vũ khí khổng lồ, tăng sát thương</t>
  </si>
  <si>
    <t>Thẻ bài Tarot -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</si>
  <si>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</si>
  <si>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</si>
  <si>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</si>
  <si>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</si>
  <si>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</si>
  <si>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</si>
  <si>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</si>
  <si>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</si>
  <si>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</si>
  <si>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</si>
  <si>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</si>
  <si>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Колесо удачі - За годинниковою</t>
  </si>
  <si>
    <t>Потік Долі...</t>
  </si>
  <si>
    <t>Благословення долі – більше добрих подій!</t>
  </si>
  <si>
    <t>Колесо фортуны - По часовой</t>
  </si>
  <si>
    <t>Поток Судьбы...</t>
  </si>
  <si>
    <t>Благословение судьбы — больше хороших событий!</t>
  </si>
  <si>
    <t>Vòng Quay Định Mệnh - May Mắn</t>
  </si>
  <si>
    <t>Xoay Chuyển Số Phận...</t>
  </si>
  <si>
    <t>Được số phận ban phước, những điều tốt đẹp dễ xảy ra hơn!</t>
  </si>
  <si>
    <t>Thẻ bài Tarot -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</si>
  <si>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</si>
  <si>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</si>
  <si>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</si>
  <si>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</si>
  <si>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</si>
  <si>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</si>
  <si>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</si>
  <si>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</si>
  <si>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</si>
  <si>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</si>
  <si>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Колесо удачі - Зворотний хід</t>
  </si>
  <si>
    <t>Благословення долі – більше поганих подій!</t>
  </si>
  <si>
    <t>Колесо фортуны - Обратный ход</t>
  </si>
  <si>
    <t>Благословение судьбы — больше плохих событий!</t>
  </si>
  <si>
    <t>Vòng Quay Định Mệnh - Vận Rủi</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</si>
  <si>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</si>
  <si>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</si>
  <si>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</si>
  <si>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</si>
  <si>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</si>
  <si>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</si>
  <si>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</si>
  <si>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</si>
  <si>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</si>
  <si>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</si>
  <si>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</si>
  <si>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</si>
  <si>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</si>
  <si>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Життєва сила</t>
  </si>
  <si>
    <t>Але на смак просто жахливо...</t>
  </si>
  <si>
    <t>Переповнює життєва сила – макс. ОЗ збільшено!</t>
  </si>
  <si>
    <t>Фрагменти Філософського каменю</t>
  </si>
  <si>
    <t>Жизненная сила</t>
  </si>
  <si>
    <t>Но на вкус просто ужасно...</t>
  </si>
  <si>
    <t>Переполняет жизненная сила — макс. ОЗ увеличены!</t>
  </si>
  <si>
    <t>Фрагменты Философского камня</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</si>
  <si>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</si>
  <si>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</si>
  <si>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</si>
  <si>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</si>
  <si>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</si>
  <si>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</si>
  <si>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</si>
  <si>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</si>
  <si>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</si>
  <si>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</si>
  <si>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</si>
  <si>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</si>
  <si>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</si>
  <si>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</si>
  <si>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</si>
  <si>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</si>
  <si>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</si>
  <si>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Почуття безсилля</t>
  </si>
  <si>
    <t>Я... я не можу його підняти...</t>
  </si>
  <si>
    <t>Не вистачає сили, щоб повноцінно використовувати зброю!</t>
  </si>
  <si>
    <t>Для виконання умов потрібний Срібний Меч.</t>
  </si>
  <si>
    <t>Чувство бессилия</t>
  </si>
  <si>
    <t>Я... я не могу его поднять...</t>
  </si>
  <si>
    <t>Недостаточно силы, чтобы полноценно использовать оружие!</t>
  </si>
  <si>
    <t>Для выполнения условий необходим Серебряный Меч.</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</si>
  <si>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</si>
  <si>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</si>
  <si>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</si>
  <si>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</si>
  <si>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</si>
  <si>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</si>
  <si>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</si>
  <si>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</si>
  <si>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</si>
  <si>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</si>
  <si>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</si>
  <si>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</si>
  <si>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</si>
  <si>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</si>
  <si>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</si>
  <si>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</si>
  <si>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Благословення Святого Граалю</t>
  </si>
  <si>
    <t>Поділися цим благословенням!</t>
  </si>
  <si>
    <t>Подвоює одержувані гроші</t>
  </si>
  <si>
    <t>Благословение Святого Грааля</t>
  </si>
  <si>
    <t>Поделись этим благословением!</t>
  </si>
  <si>
    <t>Удваивает получаемые деньги</t>
  </si>
  <si>
    <t xml:space="preserve">Phước lành </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</si>
  <si>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</si>
  <si>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</si>
  <si>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</si>
  <si>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</si>
  <si>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</si>
  <si>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</si>
  <si>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</si>
  <si>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</si>
  <si>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</si>
  <si>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</si>
  <si>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</si>
  <si>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Крижана підлога</t>
  </si>
  <si>
    <t>Наприклад, стара версія Крижаного посоху</t>
  </si>
  <si>
    <t>Ледяной пол</t>
  </si>
  <si>
    <t>Например, старая версия Ледяного посоха</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</si>
  <si>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</si>
  <si>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</si>
  <si>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</si>
  <si>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</si>
  <si>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</si>
  <si>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</si>
  <si>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</si>
  <si>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</si>
  <si>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</si>
  <si>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</si>
  <si>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Ти випромінюєш славу!</t>
  </si>
  <si>
    <t>Усі характеристики підвищені. Тимчасова невразливість!</t>
  </si>
  <si>
    <t>Ты источаешь славу!</t>
  </si>
  <si>
    <t>Все характеристики повышены. Временная неуязвимость!</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</si>
  <si>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</si>
  <si>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</si>
  <si>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</si>
  <si>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</si>
  <si>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</si>
  <si>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</si>
  <si>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</si>
  <si>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</si>
  <si>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</si>
  <si>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</si>
  <si>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</si>
  <si>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Серце Опудала безсмертне, але тління — його доля</t>
  </si>
  <si>
    <t>Здоров'я не відновлюється!</t>
  </si>
  <si>
    <t>Сердце Пугала бессмертно, но тление — его удел</t>
  </si>
  <si>
    <t>Здоровье не восстанавливается!</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</si>
  <si>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</si>
  <si>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</si>
  <si>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</si>
  <si>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</si>
  <si>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</si>
  <si>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</si>
  <si>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</si>
  <si>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</si>
  <si>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</si>
  <si>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</si>
  <si>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Плавання</t>
  </si>
  <si>
    <t>Пливе по воді. Швидкість знижена, атакувати не можна!</t>
  </si>
  <si>
    <t>Плавание</t>
  </si>
  <si>
    <t>Плывёт по воде. Скорость снижена, атаковать нельзя!</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</si>
  <si>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</si>
  <si>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</si>
  <si>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</si>
  <si>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</si>
  <si>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</si>
  <si>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</si>
  <si>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</si>
  <si>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</si>
  <si>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</si>
  <si>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</si>
  <si>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</si>
  <si>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</si>
  <si>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Лицар</t>
  </si>
  <si>
    <t>Ми— хранителі!</t>
  </si>
  <si>
    <t>Сила атаки +30</t>
  </si>
  <si>
    <t>Рыцарь</t>
  </si>
  <si>
    <t>Мы — хранители!</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</si>
  <si>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</si>
  <si>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</si>
  <si>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</si>
  <si>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</si>
  <si>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</si>
  <si>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</si>
  <si>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</si>
  <si>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</si>
  <si>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</si>
  <si>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</si>
  <si>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</si>
  <si>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</si>
  <si>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</si>
  <si>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</si>
  <si>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</si>
  <si>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</si>
  <si>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Трусики Сестри</t>
  </si>
  <si>
    <t>Наче сестра поряд зі мною...</t>
  </si>
  <si>
    <t>Регенерація здоров'я!</t>
  </si>
  <si>
    <t>Спідня білизна Сестри</t>
  </si>
  <si>
    <t>Трусики Имоуто</t>
  </si>
  <si>
    <t>Как будто сестра рядом со мной...</t>
  </si>
  <si>
    <t>Регенерация здоровья!</t>
  </si>
  <si>
    <t>Нижнее белье Имоуто</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</si>
  <si>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</si>
  <si>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</si>
  <si>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</si>
  <si>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</si>
  <si>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</si>
  <si>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</si>
  <si>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</si>
  <si>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</si>
  <si>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</si>
  <si>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</si>
  <si>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</si>
  <si>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</si>
  <si>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</si>
  <si>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</si>
  <si>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</si>
  <si>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</si>
  <si>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</si>
  <si>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</si>
  <si>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</si>
  <si>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</si>
  <si>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Буль-буль</t>
  </si>
  <si>
    <t>З'їв щось не те...</t>
  </si>
  <si>
    <t>Живіт не відпускає!</t>
  </si>
  <si>
    <t>Отруйна кухня</t>
  </si>
  <si>
    <t>Съел что-то не то...</t>
  </si>
  <si>
    <t>Живот не отпускает!</t>
  </si>
  <si>
    <t>Ядовитая кухня</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</si>
  <si>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</si>
  <si>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</si>
  <si>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</si>
  <si>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</si>
  <si>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</si>
  <si>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</si>
  <si>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</si>
  <si>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</si>
  <si>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</si>
  <si>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</si>
  <si>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</si>
  <si>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</si>
  <si>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</si>
  <si>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</si>
  <si>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</si>
  <si>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</si>
  <si>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</si>
  <si>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</si>
  <si>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</si>
  <si>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Буль-буль-буль</t>
  </si>
  <si>
    <t>В мене зад горить...</t>
  </si>
  <si>
    <t>Не можна бігти чи прискоритися ривком через біль у попі!</t>
  </si>
  <si>
    <t>Гостра їжа</t>
  </si>
  <si>
    <t>У меня задница горит...</t>
  </si>
  <si>
    <t>Нельзя бежать или ускориться рывком из-за боли в попе!</t>
  </si>
  <si>
    <t>Острая еда</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</si>
  <si>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</si>
  <si>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</si>
  <si>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</si>
  <si>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</si>
  <si>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</si>
  <si>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</si>
  <si>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</si>
  <si>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</si>
  <si>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</si>
  <si>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</si>
  <si>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</si>
  <si>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</si>
  <si>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</si>
  <si>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</si>
  <si>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</si>
  <si>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</si>
  <si>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</si>
  <si>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</si>
  <si>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Ідіть додому раніше</t>
  </si>
  <si>
    <t>Так жарко...</t>
  </si>
  <si>
    <t>Слабшає від спеки.</t>
  </si>
  <si>
    <t>Спекотна погода</t>
  </si>
  <si>
    <t>Идите домой пораньше</t>
  </si>
  <si>
    <t>Слабеет от жары...</t>
  </si>
  <si>
    <t>Жаркая погода</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</si>
  <si>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</si>
  <si>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</si>
  <si>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</si>
  <si>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</si>
  <si>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</si>
  <si>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</si>
  <si>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</si>
  <si>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</si>
  <si>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</si>
  <si>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</si>
  <si>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</si>
  <si>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</si>
  <si>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</si>
  <si>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</si>
  <si>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</si>
  <si>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ZAKO</t>
  </si>
  <si>
    <t>Навіть таку просту гру не подужав? Що за ZAKO~</t>
  </si>
  <si>
    <t>Вам надано звання ZAKO за читерство!</t>
  </si>
  <si>
    <t>Використовуйте чит-коди</t>
  </si>
  <si>
    <t>Даже такую простую игру не осилил? Что за ZAKO~</t>
  </si>
  <si>
    <t>Вам присвоено звание ZAKO за читерство!</t>
  </si>
  <si>
    <t>Используйте чит-коды</t>
  </si>
  <si>
    <t>Onii-chan ZAKO</t>
  </si>
  <si>
    <t>Một trò chơi đơn giản thế này mà cũng không chơi được à?
Đúng là quá ZAKO~</t>
  </si>
  <si>
    <t>Bị chứng nhận là ZAKO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</si>
  <si>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</si>
  <si>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</si>
  <si>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</si>
  <si>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</si>
  <si>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</si>
  <si>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</si>
  <si>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</si>
  <si>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</si>
  <si>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Герої цього світу</t>
  </si>
  <si>
    <t>Так ти знайдеш славу світу, і вся темрява відступить!</t>
  </si>
  <si>
    <t>Герои этого мира</t>
  </si>
  <si>
    <t>Так обретёшь ты славу мира, и вся тьма отступит!</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</si>
  <si>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</si>
  <si>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</si>
  <si>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</si>
  <si>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</si>
  <si>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</si>
  <si>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</si>
  <si>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</si>
  <si>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</si>
  <si>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</si>
  <si>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</si>
  <si>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</si>
  <si>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Жадібний! Жадібний!</t>
  </si>
  <si>
    <t>Нескінченна жадібність наздогнала тебе...</t>
  </si>
  <si>
    <t>При отриманні шкоди втрачаються наявні гроші!</t>
  </si>
  <si>
    <t>Жадный! Жадный!</t>
  </si>
  <si>
    <t>Бесконечная жадность настигла тебя...</t>
  </si>
  <si>
    <t>При получении урона теряются имеющиеся деньги!</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</si>
  <si>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</si>
  <si>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</si>
  <si>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</si>
  <si>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</si>
  <si>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</si>
  <si>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</si>
  <si>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</si>
  <si>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</si>
  <si>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</si>
  <si>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</si>
  <si>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</si>
  <si>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</si>
  <si>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</si>
  <si>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</si>
  <si>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</si>
  <si>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Ти мене не бачиш</t>
  </si>
  <si>
    <t>ПОГЛЯНЬ У МОЇ ОЧІ ПОВНІ ЛЮТІ ТА ПОБАЧИШЬ, ЩО ВСЕРЕДИНІ!</t>
  </si>
  <si>
    <t>Короткочасно стає невидимим кожні 6 секунд.</t>
  </si>
  <si>
    <t>Примара туманної ночі</t>
  </si>
  <si>
    <t>Ты меня не видишь</t>
  </si>
  <si>
    <t>ВЗГЛЯНИ В МОИ ЯРОСТНЫЕ ГЛАЗА И УВИДИШЬ ЧТО ВНУТРИ!</t>
  </si>
  <si>
    <t>Кратковременно становится невидимым каждые 6 секунд.</t>
  </si>
  <si>
    <t>Bạn không thấy tôi...</t>
  </si>
  <si>
    <t>NHÌN VÀO ĐÔI MẮT QUỶ NÀY ĐI LÀ SẼ THẤY GÌ BÊN TRONG !
(Bài hát của VOODOO KINGDOM từ JJBA Phần 1)</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</si>
  <si>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</si>
  <si>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</si>
  <si>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</si>
  <si>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</si>
  <si>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</si>
  <si>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</si>
  <si>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</si>
  <si>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</si>
  <si>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</si>
  <si>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</si>
  <si>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</si>
  <si>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</si>
  <si>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</si>
  <si>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</si>
  <si>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</si>
  <si>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</si>
  <si>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</si>
  <si>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</si>
  <si>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</si>
  <si>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Мені постійно здається, що за мною хтось стежить</t>
  </si>
  <si>
    <t>*Шурх*... *шурх*...</t>
  </si>
  <si>
    <t>За вами уважно спостерігає група маленьких істот.</t>
  </si>
  <si>
    <t>Мне постоянно кажется, что за мной кто-то следит</t>
  </si>
  <si>
    <t>*Шорох*... *шорох*...</t>
  </si>
  <si>
    <t>За вами внимательно наблюдает группа маленьких существ...</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</si>
  <si>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</si>
  <si>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</si>
  <si>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</si>
  <si>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</si>
  <si>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</si>
  <si>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</si>
  <si>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G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</si>
  <si>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</si>
  <si>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</si>
  <si>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</si>
  <si>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</si>
  <si>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</si>
  <si>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This tutorial is for those who want to transfer their mobile save data before the official mobile cloud save system is complete.
※English tutorial video provided by Gabriel B※</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</si>
  <si>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</si>
  <si>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</si>
  <si>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Tutorial ini ditujukan bagi mereka yang ingin mentransfer data simpanan game seluler mereka sebelum sistem penyimpanan cloud resmi untuk game seluler selesai.
※Video tutorial berbahasa Inggris disediakan oleh Gabriel B※</t>
  </si>
  <si>
    <t>1 - 在google play上搜尋 檔案管理員 安裝。</t>
  </si>
  <si>
    <t>1 - Search for "File Manager" on Google Play and install it.</t>
  </si>
  <si>
    <t>1 - Suche die App Manager + auf Google Play und installiere diese</t>
  </si>
  <si>
    <t>1 - Tìm ứng dụng Quản lý tệp (File Manager) trên Google Play và cài đặt</t>
  </si>
  <si>
    <t>1 - Pesquise pelo "File Manager"(Gerenciador de Arquivos) no google play e instale ele.</t>
  </si>
  <si>
    <t>1 - Cari "File Manager" di Google Play dan instal.</t>
  </si>
  <si>
    <t>2 - 開啟 檔案管理員 應用程式，並且找到〔舊遊戲版本中〕的Documents/sister_save，將裡面的文件全部複製出來並保存。</t>
  </si>
  <si>
    <t>2 - Open the File Explorer application and locate Documents/sister_save (in older game versions), copy all the files inside and save it.</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</si>
  <si>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</si>
  <si>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</si>
  <si>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</si>
  <si>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2 - Buka aplikasi File Explorer dan cari Documents/sister_save (pada versi game yang lebih lama), salin semua file di dalamnya dan simpan.</t>
  </si>
  <si>
    <t>3 - 必須安裝〔新版本遊戲〕，並且在遊戲內創建一個隨意的存檔。
(請注意，這個存檔在搬運後會被覆蓋並且消失)</t>
  </si>
  <si>
    <t>"3 - You must install the latest version of the game and create an arbitrary save file within the game.
(Please note that this save file will be overwritten and deleted after the transfer.)"</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</si>
  <si>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</si>
  <si>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</si>
  <si>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</si>
  <si>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"3 - Anda harus menginstal versi terbaru game dan membuat file penyimpanan (save file) baru di dalam game.
(Harap dicatat bahwa file penyimpanan ini akan ditimpa dan dihapus setelah transfer.)"</t>
  </si>
  <si>
    <t>4 - 再次開啟 檔案管理員 應用程式，在〔新遊戲版本中〕並且找到Documents/sister_save，並將步驟2的存檔"覆蓋"於資料夾內。</t>
  </si>
  <si>
    <t xml:space="preserve">4 - Reopen the File Explorer application, find Documents/sister_save in the [New Game Version] folder, and "overwrite" the save file from step 2 in the folder.
</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</si>
  <si>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</si>
  <si>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</si>
  <si>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</si>
  <si>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 xml:space="preserve">4 - Buka kembali aplikasi File Explorer, temukan Documents/sister_save di folder [New Game Version], dan "timpa" file penyimpanan dari langkah 2 di folder tersebut.
</t>
  </si>
  <si>
    <t>參考英文版影片：youtube</t>
  </si>
  <si>
    <t>参考英文動画：YouTube</t>
  </si>
  <si>
    <t>Reference video: youtube</t>
  </si>
  <si>
    <t>参考英文影片：youtube</t>
  </si>
  <si>
    <t>Erklärungsvideo: Youtube</t>
  </si>
  <si>
    <t>Video youtube tham khảo</t>
  </si>
  <si>
    <t>Vídeo de referência: youtube</t>
  </si>
  <si>
    <t>Video referensi: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</si>
  <si>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</si>
  <si>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</si>
  <si>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</si>
  <si>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</si>
  <si>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</si>
  <si>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</si>
  <si>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</si>
  <si>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</si>
  <si>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</si>
  <si>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</si>
  <si>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</si>
  <si>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</si>
  <si>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</si>
  <si>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</si>
  <si>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</si>
  <si>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</si>
  <si>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</si>
  <si>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"※This tutorial was provided by a player※
Solution for computers that do not have ""NVIDIA programs"" built-in
For better NVIDIA graphics card performance on Windows 10/11, it is recommended to refer to this setting."</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</si>
  <si>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</si>
  <si>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</si>
  <si>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</si>
  <si>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</si>
  <si>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</si>
  <si>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</si>
  <si>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</si>
  <si>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※Tutorial ini disediakan oleh pihak resmi※
Menjalankan game dengan kartu grafis khusus akan memberikan Anda frame rate yang lebih tinggi dan pengalaman bermain game yang lebih lancar.
Untuk mengatur game Anda agar berjalan menggunakan kartu grafis khusus, ikuti langkah-langkah berikut:</t>
  </si>
  <si>
    <t>"※Tutorial ini disediakan oleh pemain※
Solusi untuk komputer yang tidak memiliki program NVIDIA bawaan
Untuk performa kartu grafis NVIDIA yang lebih baik di Windows 10/11, disarankan untuk merujuk pada pengaturan ini."</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</si>
  <si>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</si>
  <si>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</si>
  <si>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</si>
  <si>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</si>
  <si>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1 - Search for "NVIDIA APP install" on Google and launch the NVIDIA application.</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</si>
  <si>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</si>
  <si>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</si>
  <si>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</si>
  <si>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</si>
  <si>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</si>
  <si>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</si>
  <si>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</si>
  <si>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1 - Klik kanan pada desktop Anda dan pilih "Panel Kontrol NVIDIA" (atau "Pengaturan AMD Radeon" jika Anda menggunakan kartu AMD).</t>
  </si>
  <si>
    <t>1 - Cari "instal aplikasi NVIDIA" di Google dan luncurkan aplikasi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</si>
  <si>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</si>
  <si>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</si>
  <si>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</si>
  <si>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</si>
  <si>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2 - Restart the NVIDIA application after updating to the latest version.</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</si>
  <si>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</si>
  <si>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</si>
  <si>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</si>
  <si>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</si>
  <si>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</si>
  <si>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</si>
  <si>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</si>
  <si>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2 - Di Panel Kontrol NVIDIA, buka "Kelola Pengaturan 3D" (untuk AMD, cari pengaturan serupa di bawah "Grafis" atau "Performa").</t>
  </si>
  <si>
    <t>2 - Mulai ulang aplikasi NVIDIA setelah memperbarui ke versi terbaru.</t>
  </si>
  <si>
    <t>3-切換到 「程序設置」 選項卡。</t>
  </si>
  <si>
    <t>3 - 在NVIDIA應用程式中，進入圖形設置區域。</t>
  </si>
  <si>
    <t>3-「プログラム設定」タブに移動します。</t>
  </si>
  <si>
    <t>3 - Click on the "Program Settings" tab.</t>
  </si>
  <si>
    <t>3 - In the NVIDIA application, go to the graphics settings area.</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</si>
  <si>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</si>
  <si>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</si>
  <si>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</si>
  <si>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</si>
  <si>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</si>
  <si>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</si>
  <si>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</si>
  <si>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3 - Klik pada tab "Pengaturan Program".</t>
  </si>
  <si>
    <t>3 - Di aplikasi NVIDIA, masuk ke area pengaturan grafis.</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</si>
  <si>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</si>
  <si>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</si>
  <si>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</si>
  <si>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</si>
  <si>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4 - In "Program Settings", click the three dots, select "Add Program", and then find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</si>
  <si>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</si>
  <si>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</si>
  <si>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</si>
  <si>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</si>
  <si>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</si>
  <si>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</si>
  <si>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</si>
  <si>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4. Tambahkan game Anda dari daftar program yang terinstal, atau klik "Telusuri" untuk menemukan file eksekusi game tersebut.</t>
  </si>
  <si>
    <t>4 - Di "Pengaturan Program", klik tiga titik, pilih "Tambah Program", lalu cari file eksekusi gim tersebut.</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</si>
  <si>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</si>
  <si>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</si>
  <si>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</si>
  <si>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</si>
  <si>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5 - Set "Low Latency Mode" to "Ultra High" and "Power Management Mode" to "Optimal Power".</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</si>
  <si>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</si>
  <si>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</si>
  <si>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</si>
  <si>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</si>
  <si>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</si>
  <si>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</si>
  <si>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</si>
  <si>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5 - Di bawah "Pilih prosesor grafis pilihan", pilih "Prosesor NVIDIA berkinerja tinggi" (untuk AMD, pilih juga "Berkinerja tinggi").</t>
  </si>
  <si>
    <t>5 - Atur "Mode Latensi Rendah" ke "Ultra Tinggi" dan "Mode Manajemen Daya" ke "Daya Optimal".</t>
  </si>
  <si>
    <t>6-點擊 「應用」 保存更改。</t>
  </si>
  <si>
    <t>6- 將「垂直同步」設為「快速」。</t>
  </si>
  <si>
    <t>6-「適用」をクリックして設定を保存します。</t>
  </si>
  <si>
    <t>6 - Click "Apply" to save the changes.</t>
  </si>
  <si>
    <t>6- Set "Vertical Sync" to "Fast".</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</si>
  <si>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</si>
  <si>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</si>
  <si>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</si>
  <si>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</si>
  <si>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</si>
  <si>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</si>
  <si>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</si>
  <si>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6 - Klik "Terapkan" untuk menyimpan perubahan.</t>
  </si>
  <si>
    <t>6. Atur "Sinkronisasi Vertikal" ke "Cepat".</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</si>
  <si>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</si>
  <si>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</si>
  <si>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</si>
  <si>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</si>
  <si>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7 - If your computer cannot handle these options, please choose the best option.</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</si>
  <si>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</si>
  <si>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</si>
  <si>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</si>
  <si>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</si>
  <si>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</si>
  <si>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</si>
  <si>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</si>
  <si>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7 - Sekarang game Anda seharusnya dapat berjalan menggunakan kartu grafis khusus!</t>
  </si>
  <si>
    <t>7 - Jika komputer Anda tidak dapat menangani opsi-opsi ini, silakan pilih opsi terbaik.</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</si>
  <si>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</si>
  <si>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</si>
  <si>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</si>
  <si>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</si>
  <si>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Now, launch the game and you will experience its excellent stability.</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</si>
  <si>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</si>
  <si>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</si>
  <si>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</si>
  <si>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</si>
  <si>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</si>
  <si>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</si>
  <si>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8 - Perbarui driver grafis Anda, atau jika Anda mengalami masalah umum, periksa apakah pembaruan driver terbaru telah menyebabkan masalah.</t>
  </si>
  <si>
    <t>8. Sekarang, luncurkan gimnya dan Anda akan merasakan stabilitasnya yang luar biasa.</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</si>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</sst>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95">
    <font>
      <sz val="10.0"/>
      <color rgb="FF000000"/>
      <name val="Arial"/>
      <scheme val="minor"/>
    </font>
    <font>
      <b/>
      <sz val="12.0"/>
      <color theme="1"/>
      <name val="Microsoft JhengHei"/>
    </font>
    <font>
      <b/>
      <sz val="10.0"/>
      <color theme="1"/>
      <name val="Microsoft JhengHei"/>
    </font>
    <font>
      <sz val="12.0"/>
      <color theme="1"/>
      <name val="Microsoft JhengHei"/>
    </font>
    <font>
      <b/>
      <sz val="11.0"/>
      <color theme="1"/>
      <name val="Microsoft JhengHei"/>
    </font>
    <font>
      <sz val="12.0"/>
      <color theme="1"/>
      <name val="Arial"/>
    </font>
    <font>
      <color theme="1"/>
      <name val="Arial"/>
      <scheme val="minor"/>
    </font>
    <font>
      <sz val="11.0"/>
      <color theme="1"/>
      <name val="Microsoft JhengHei"/>
    </font>
    <font>
      <color theme="1"/>
      <name val="Microsoft JhengHei"/>
    </font>
    <font>
      <b/>
      <sz val="13.0"/>
      <color rgb="FFFF0000"/>
      <name val="Microsoft JhengHei"/>
    </font>
    <font>
      <b/>
      <sz val="10.0"/>
      <color rgb="FFFF0000"/>
      <name val="Microsoft JhengHei"/>
    </font>
    <font>
      <b/>
      <sz val="13.0"/>
      <color rgb="FF000000"/>
      <name val="Microsoft JhengHei"/>
    </font>
    <font>
      <sz val="10.0"/>
      <color theme="1"/>
      <name val="Microsoft JhengHei"/>
    </font>
    <font>
      <b/>
      <sz val="10.0"/>
      <color rgb="FFFF0000"/>
      <name val="Arial"/>
      <scheme val="minor"/>
    </font>
    <font>
      <b/>
      <sz val="9.0"/>
      <color rgb="FFFF0000"/>
      <name val="Microsoft JhengHei"/>
    </font>
    <font>
      <b/>
      <sz val="10.0"/>
      <color rgb="FF000000"/>
      <name val="Microsoft JhengHei"/>
    </font>
    <font>
      <b/>
      <sz val="10.0"/>
      <color rgb="FF000000"/>
      <name val="Arial"/>
      <scheme val="minor"/>
    </font>
    <font>
      <b/>
      <sz val="12.0"/>
      <color rgb="FF000000"/>
      <name val="Microsoft JhengHei"/>
    </font>
    <font>
      <b/>
      <sz val="11.0"/>
      <color rgb="FF0000FF"/>
      <name val="Microsoft JhengHei"/>
    </font>
    <font>
      <b/>
      <sz val="11.0"/>
      <color rgb="FF0000FF"/>
    </font>
    <font>
      <b/>
      <sz val="12.0"/>
      <color rgb="FF0000FF"/>
      <name val="Microsoft JhengHei"/>
    </font>
    <font>
      <b/>
      <u/>
      <sz val="12.0"/>
      <color rgb="FF0000FF"/>
      <name val="Microsoft JhengHei"/>
    </font>
    <font>
      <sz val="11.0"/>
      <color rgb="FF0000FF"/>
      <name val="Microsoft JhengHei"/>
    </font>
    <font>
      <b/>
      <u/>
      <sz val="11.0"/>
      <color rgb="FF0000FF"/>
      <name val="Microsoft JhengHei"/>
    </font>
    <font>
      <b/>
      <sz val="13.0"/>
      <color theme="1"/>
      <name val="Microsoft JhengHei"/>
    </font>
    <font>
      <b/>
      <sz val="11.0"/>
      <color theme="1"/>
      <name val="Arial"/>
    </font>
    <font>
      <b/>
      <sz val="10.0"/>
      <color theme="1"/>
      <name val="Arial"/>
      <scheme val="minor"/>
    </font>
    <font>
      <u/>
      <sz val="12.0"/>
      <color rgb="FF0000FF"/>
      <name val="Microsoft JhengHei"/>
    </font>
    <font>
      <u/>
      <sz val="12.0"/>
      <color rgb="FF0000FF"/>
    </font>
    <font>
      <u/>
      <sz val="11.0"/>
      <color rgb="FF0000FF"/>
    </font>
    <font>
      <u/>
      <sz val="11.0"/>
      <color rgb="FF0000FF"/>
      <name val="Microsoft JhengHei"/>
    </font>
    <font>
      <b/>
      <u/>
      <sz val="12.0"/>
      <color rgb="FF0000FF"/>
      <name val="Microsoft JhengHei"/>
    </font>
    <font>
      <sz val="10.0"/>
      <color rgb="FF0000FF"/>
      <name val="Microsoft JhengHei"/>
    </font>
    <font>
      <b/>
      <u/>
      <color rgb="FF0000FF"/>
      <name val="Microsoft JhengHei"/>
    </font>
    <font>
      <b/>
      <sz val="10.0"/>
      <color rgb="FF0000FF"/>
      <name val="Microsoft JhengHei"/>
    </font>
    <font>
      <u/>
      <sz val="11.0"/>
      <color rgb="FF0000FF"/>
      <name val="Arial"/>
    </font>
    <font>
      <u/>
      <sz val="12.0"/>
      <color rgb="FF0000FF"/>
      <name val="Microsoft JhengHei"/>
    </font>
    <font>
      <b/>
      <u/>
      <sz val="12.0"/>
      <color rgb="FF1155CC"/>
      <name val="Microsoft JhengHei"/>
    </font>
    <font>
      <u/>
      <sz val="12.0"/>
      <color rgb="FF0000FF"/>
      <name val="Arial"/>
    </font>
    <font>
      <b/>
      <u/>
      <color rgb="FF0000FF"/>
      <name val="Microsoft JhengHei"/>
    </font>
    <font>
      <b/>
      <u/>
      <sz val="12.0"/>
      <color rgb="FF0000FF"/>
      <name val="Microsoft JhengHei"/>
    </font>
    <font>
      <sz val="12.0"/>
      <color rgb="FF0000FF"/>
      <name val="Microsoft JhengHei"/>
    </font>
    <font>
      <b/>
      <u/>
      <sz val="11.0"/>
      <color rgb="FF0000FF"/>
      <name val="Microsoft JhengHei"/>
    </font>
    <font>
      <u/>
      <sz val="12.0"/>
      <color rgb="FF0000FF"/>
      <name val="Arial"/>
    </font>
    <font>
      <b/>
      <sz val="12.0"/>
      <color rgb="FFCC0000"/>
      <name val="Microsoft JhengHei"/>
    </font>
    <font>
      <sz val="12.0"/>
      <color theme="1"/>
      <name val="Arial"/>
      <scheme val="minor"/>
    </font>
    <font>
      <u/>
      <sz val="11.0"/>
      <color rgb="FF0000FF"/>
    </font>
    <font>
      <u/>
      <color rgb="FF0000FF"/>
      <name val="Microsoft JhengHei"/>
    </font>
    <font>
      <b/>
      <sz val="12.0"/>
      <color rgb="FFFF0000"/>
      <name val="Microsoft JhengHei"/>
    </font>
    <font>
      <b/>
      <sz val="14.0"/>
      <color theme="1"/>
      <name val="Microsoft JhengHei"/>
    </font>
    <font>
      <b/>
      <sz val="12.0"/>
      <color theme="1"/>
      <name val="Arial"/>
      <scheme val="minor"/>
    </font>
    <font>
      <color theme="1"/>
      <name val="Arial"/>
    </font>
    <font>
      <u/>
      <sz val="12.0"/>
      <color rgb="FF0000FF"/>
      <name val="Microsoft JhengHei"/>
    </font>
    <font>
      <u/>
      <sz val="10.0"/>
      <color rgb="FF0000FF"/>
      <name val="Microsoft JhengHei"/>
    </font>
    <font>
      <sz val="12.0"/>
      <color rgb="FF000000"/>
      <name val="Microsoft JhengHei"/>
    </font>
    <font>
      <u/>
      <color rgb="FF0000FF"/>
      <name val="Arial"/>
    </font>
    <font>
      <b/>
      <color theme="1"/>
      <name val="Arial"/>
      <scheme val="minor"/>
    </font>
    <font>
      <b/>
      <color theme="1"/>
      <name val="Microsoft JhengHei"/>
    </font>
    <font>
      <color rgb="FF000000"/>
      <name val="&quot;Microsoft JhengHei&quot;"/>
    </font>
    <font>
      <sz val="11.0"/>
      <color theme="1"/>
      <name val="Arial"/>
    </font>
    <font>
      <b/>
      <color theme="1"/>
      <name val="Arial"/>
    </font>
    <font>
      <sz val="9.0"/>
      <color theme="1"/>
      <name val="Google Sans Mono"/>
    </font>
    <font>
      <sz val="11.0"/>
      <color theme="1"/>
      <name val="Arial"/>
      <scheme val="minor"/>
    </font>
    <font>
      <sz val="10.0"/>
      <color theme="1"/>
      <name val="Arial"/>
      <scheme val="minor"/>
    </font>
    <font>
      <sz val="21.0"/>
      <color rgb="FF1F1F1F"/>
      <name val="Inherit"/>
    </font>
    <font>
      <b/>
      <sz val="12.0"/>
      <color theme="1"/>
      <name val="Arial"/>
    </font>
    <font>
      <sz val="10.0"/>
      <color theme="1"/>
      <name val="Arial"/>
    </font>
    <font>
      <i/>
      <color theme="1"/>
      <name val="Microsoft JhengHei"/>
    </font>
    <font>
      <color rgb="FF000000"/>
      <name val="Microsoft JhengHei"/>
    </font>
    <font>
      <b/>
      <u/>
      <sz val="14.0"/>
      <color rgb="FF0000FF"/>
      <name val="Microsoft JhengHei"/>
    </font>
    <font/>
    <font>
      <b/>
      <sz val="8.0"/>
      <color theme="1"/>
      <name val="Microsoft JhengHei"/>
    </font>
    <font>
      <sz val="10.0"/>
      <color rgb="FF000000"/>
      <name val="Microsoft JhengHei"/>
    </font>
    <font>
      <sz val="8.0"/>
      <color theme="1"/>
      <name val="Microsoft JhengHei"/>
    </font>
    <font>
      <sz val="14.0"/>
      <color theme="1"/>
      <name val="Microsoft JhengHei"/>
    </font>
    <font>
      <b/>
      <sz val="14.0"/>
      <color theme="1"/>
      <name val="Arial"/>
      <scheme val="minor"/>
    </font>
    <font>
      <strike/>
      <color theme="1"/>
      <name val="Microsoft JhengHei"/>
    </font>
    <font>
      <b/>
      <sz val="14.0"/>
      <color theme="1"/>
      <name val="Arial"/>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1155CC"/>
      <name val="Arial"/>
    </font>
    <font>
      <u/>
      <color rgb="FF0000FF"/>
      <name val="Microsoft JhengHei"/>
    </font>
    <font>
      <u/>
      <color rgb="FF0000FF"/>
      <name val="Arial"/>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color rgb="FF1155CC"/>
      <name val="Arial"/>
    </font>
    <font>
      <u/>
      <sz val="10.0"/>
      <color rgb="FF0000FF"/>
      <name val="Microsoft JhengHei"/>
    </font>
    <font>
      <b/>
      <u/>
      <color rgb="FF0000FF"/>
      <name val="Microsoft JhengHei"/>
    </font>
  </fonts>
  <fills count="22">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CFE2F3"/>
        <bgColor rgb="FFCFE2F3"/>
      </patternFill>
    </fill>
    <fill>
      <patternFill patternType="solid">
        <fgColor rgb="FFFFFFFF"/>
        <bgColor rgb="FFFFFFFF"/>
      </patternFill>
    </fill>
    <fill>
      <patternFill patternType="solid">
        <fgColor rgb="FFF8F9FA"/>
        <bgColor rgb="FFF8F9FA"/>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EA9999"/>
        <bgColor rgb="FFEA9999"/>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C9DAF8"/>
        <bgColor rgb="FFC9DAF8"/>
      </patternFill>
    </fill>
    <fill>
      <patternFill patternType="solid">
        <fgColor rgb="FF9FC5E8"/>
        <bgColor rgb="FF9FC5E8"/>
      </patternFill>
    </fill>
    <fill>
      <patternFill patternType="solid">
        <fgColor rgb="FFA2C4C9"/>
        <bgColor rgb="FFA2C4C9"/>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701">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0" fillId="2" fontId="6" numFmtId="0" xfId="0" applyAlignment="1" applyFont="1">
      <alignment readingOrder="0" shrinkToFit="0" vertical="center" wrapText="1"/>
    </xf>
    <xf borderId="0" fillId="2" fontId="7" numFmtId="0" xfId="0" applyAlignment="1" applyFont="1">
      <alignment horizontal="left" readingOrder="0" shrinkToFit="0" vertical="center" wrapText="1"/>
    </xf>
    <xf borderId="0" fillId="0" fontId="8" numFmtId="0" xfId="0" applyAlignment="1" applyFont="1">
      <alignment horizontal="center" shrinkToFit="0" vertical="center" wrapText="1"/>
    </xf>
    <xf borderId="0" fillId="2" fontId="9"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10" numFmtId="0" xfId="0" applyAlignment="1" applyFont="1">
      <alignment horizontal="left" readingOrder="0" shrinkToFit="0" vertical="center" wrapText="1"/>
    </xf>
    <xf borderId="0" fillId="2" fontId="11"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2" fontId="10" numFmtId="0" xfId="0" applyAlignment="1" applyFont="1">
      <alignment horizontal="left" readingOrder="0" shrinkToFit="0" vertical="center" wrapText="1"/>
    </xf>
    <xf borderId="0" fillId="2" fontId="13" numFmtId="0" xfId="0" applyAlignment="1" applyFont="1">
      <alignment horizontal="left" readingOrder="0" shrinkToFit="0" vertical="center" wrapText="1"/>
    </xf>
    <xf borderId="0" fillId="2" fontId="14"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3" fontId="11" numFmtId="0" xfId="0" applyAlignment="1" applyFill="1" applyFont="1">
      <alignment horizontal="left" readingOrder="0" shrinkToFit="0" vertical="center" wrapText="1"/>
    </xf>
    <xf borderId="0" fillId="3" fontId="2" numFmtId="0" xfId="0" applyAlignment="1" applyFont="1">
      <alignment horizontal="left" readingOrder="0" shrinkToFit="0" vertical="center" wrapText="1"/>
    </xf>
    <xf borderId="0" fillId="3" fontId="15"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3" fontId="12" numFmtId="0" xfId="0" applyAlignment="1" applyFont="1">
      <alignment horizontal="left" readingOrder="0" shrinkToFit="0" vertical="center" wrapText="1"/>
    </xf>
    <xf borderId="0" fillId="3" fontId="16" numFmtId="0" xfId="0" applyAlignment="1" applyFont="1">
      <alignment horizontal="left" readingOrder="0" shrinkToFit="0" vertical="center" wrapText="1"/>
    </xf>
    <xf borderId="0" fillId="4" fontId="17" numFmtId="0" xfId="0" applyAlignment="1" applyFill="1" applyFont="1">
      <alignment horizontal="left" readingOrder="0" shrinkToFit="0" vertical="center" wrapText="1"/>
    </xf>
    <xf borderId="0" fillId="4" fontId="1" numFmtId="0" xfId="0" applyAlignment="1" applyFont="1">
      <alignment horizontal="left" readingOrder="0" shrinkToFit="0" vertical="center" wrapText="1"/>
    </xf>
    <xf borderId="0" fillId="4" fontId="18" numFmtId="0" xfId="0" applyAlignment="1" applyFont="1">
      <alignment horizontal="left" readingOrder="0" shrinkToFit="0" vertical="center" wrapText="1"/>
    </xf>
    <xf borderId="0" fillId="4" fontId="1" numFmtId="0" xfId="0" applyAlignment="1" applyFont="1">
      <alignment horizontal="left" readingOrder="0" shrinkToFit="0" vertical="center" wrapText="1"/>
    </xf>
    <xf borderId="0" fillId="4" fontId="4" numFmtId="0" xfId="0" applyAlignment="1" applyFont="1">
      <alignment horizontal="left" readingOrder="0" shrinkToFit="0" vertical="center" wrapText="1"/>
    </xf>
    <xf borderId="0" fillId="4" fontId="7" numFmtId="0" xfId="0" applyAlignment="1" applyFont="1">
      <alignment horizontal="left" readingOrder="0" shrinkToFit="0" vertical="center" wrapText="1"/>
    </xf>
    <xf borderId="0" fillId="4" fontId="19" numFmtId="0" xfId="0" applyAlignment="1" applyFont="1">
      <alignment horizontal="left" readingOrder="0" shrinkToFit="0" vertical="center" wrapText="1"/>
    </xf>
    <xf borderId="0" fillId="4" fontId="20" numFmtId="0" xfId="0" applyAlignment="1" applyFont="1">
      <alignment horizontal="left" readingOrder="0" shrinkToFit="0" vertical="center" wrapText="1"/>
    </xf>
    <xf borderId="0" fillId="4" fontId="21" numFmtId="0" xfId="0" applyAlignment="1" applyFont="1">
      <alignment horizontal="left" readingOrder="0" shrinkToFit="0" vertical="center" wrapText="1"/>
    </xf>
    <xf borderId="0" fillId="4" fontId="22" numFmtId="0" xfId="0" applyAlignment="1" applyFont="1">
      <alignment horizontal="left" readingOrder="0" shrinkToFit="0" vertical="center" wrapText="1"/>
    </xf>
    <xf borderId="0" fillId="4" fontId="23" numFmtId="0" xfId="0" applyAlignment="1" applyFont="1">
      <alignment horizontal="left" readingOrder="0" shrinkToFit="0" vertical="center" wrapText="1"/>
    </xf>
    <xf borderId="0" fillId="2" fontId="24"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25" numFmtId="0" xfId="0" applyAlignment="1" applyFont="1">
      <alignment horizontal="center" readingOrder="0" shrinkToFit="0" vertical="center" wrapText="1"/>
    </xf>
    <xf borderId="0" fillId="2" fontId="26" numFmtId="0" xfId="0" applyAlignment="1" applyFont="1">
      <alignment horizontal="left" readingOrder="0" shrinkToFit="0" vertical="center" wrapText="1"/>
    </xf>
    <xf borderId="0" fillId="4" fontId="27" numFmtId="0" xfId="0" applyAlignment="1" applyFont="1">
      <alignment horizontal="left" readingOrder="0" shrinkToFit="0" vertical="center" wrapText="1"/>
    </xf>
    <xf borderId="0" fillId="4" fontId="28" numFmtId="0" xfId="0" applyAlignment="1" applyFont="1">
      <alignment horizontal="left" readingOrder="0" shrinkToFit="0" vertical="center" wrapText="1"/>
    </xf>
    <xf borderId="0" fillId="4" fontId="29" numFmtId="0" xfId="0" applyAlignment="1" applyFont="1">
      <alignment readingOrder="0" shrinkToFit="0" vertical="center" wrapText="1"/>
    </xf>
    <xf borderId="0" fillId="4" fontId="30"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2" numFmtId="0" xfId="0" applyAlignment="1" applyFont="1">
      <alignment horizontal="left" readingOrder="0" shrinkToFit="0" vertical="center" wrapText="1"/>
    </xf>
    <xf borderId="0" fillId="2" fontId="6" numFmtId="0" xfId="0" applyAlignment="1" applyFont="1">
      <alignment vertical="center"/>
    </xf>
    <xf borderId="0" fillId="5" fontId="31" numFmtId="0" xfId="0" applyAlignment="1" applyFill="1" applyFont="1">
      <alignment horizontal="left" readingOrder="0" shrinkToFit="0" vertical="center" wrapText="1"/>
    </xf>
    <xf borderId="0" fillId="5" fontId="20" numFmtId="0" xfId="0" applyAlignment="1" applyFont="1">
      <alignment horizontal="left" readingOrder="0" shrinkToFit="0" vertical="center" wrapText="1"/>
    </xf>
    <xf borderId="0" fillId="5" fontId="32" numFmtId="0" xfId="0" applyAlignment="1" applyFont="1">
      <alignment horizontal="left" readingOrder="0" shrinkToFit="0" vertical="center" wrapText="1"/>
    </xf>
    <xf borderId="0" fillId="5" fontId="33" numFmtId="0" xfId="0" applyAlignment="1" applyFont="1">
      <alignment horizontal="center" readingOrder="0" shrinkToFit="0" vertical="center" wrapText="1"/>
    </xf>
    <xf borderId="0" fillId="5" fontId="34" numFmtId="0" xfId="0" applyAlignment="1" applyFont="1">
      <alignment horizontal="left" readingOrder="0" shrinkToFit="0" vertical="center" wrapText="1"/>
    </xf>
    <xf borderId="0" fillId="5" fontId="35" numFmtId="0" xfId="0" applyAlignment="1" applyFont="1">
      <alignment horizontal="center" readingOrder="0" shrinkToFit="0" vertical="center" wrapText="1"/>
    </xf>
    <xf borderId="0" fillId="5" fontId="22" numFmtId="0" xfId="0" applyAlignment="1" applyFont="1">
      <alignment horizontal="left" readingOrder="0" shrinkToFit="0" vertical="center" wrapText="1"/>
    </xf>
    <xf borderId="0" fillId="5" fontId="36" numFmtId="0" xfId="0" applyAlignment="1" applyFont="1">
      <alignment horizontal="left" readingOrder="0" shrinkToFit="0" vertical="center" wrapText="1"/>
    </xf>
    <xf borderId="0" fillId="5" fontId="37" numFmtId="0" xfId="0" applyAlignment="1" applyFont="1">
      <alignment horizontal="center" shrinkToFit="0" wrapText="1"/>
    </xf>
    <xf borderId="0" fillId="5" fontId="38" numFmtId="0" xfId="0" applyAlignment="1" applyFont="1">
      <alignment horizontal="center" readingOrder="0" shrinkToFit="0" vertical="center" wrapText="1"/>
    </xf>
    <xf borderId="0" fillId="5" fontId="39" numFmtId="0" xfId="0" applyAlignment="1" applyFont="1">
      <alignment horizontal="left" readingOrder="0" shrinkToFit="0" vertical="center" wrapText="1"/>
    </xf>
    <xf borderId="0" fillId="6" fontId="40" numFmtId="0" xfId="0" applyAlignment="1" applyFill="1" applyFont="1">
      <alignment horizontal="left" readingOrder="0" shrinkToFit="0" vertical="center" wrapText="1"/>
    </xf>
    <xf borderId="0" fillId="5" fontId="41" numFmtId="0" xfId="0" applyAlignment="1" applyFont="1">
      <alignment horizontal="left" readingOrder="0" shrinkToFit="0" vertical="center" wrapText="1"/>
    </xf>
    <xf borderId="0" fillId="5" fontId="1" numFmtId="0" xfId="0" applyAlignment="1" applyFont="1">
      <alignment horizontal="left" shrinkToFit="0" vertical="center" wrapText="1"/>
    </xf>
    <xf borderId="0" fillId="5" fontId="22" numFmtId="0" xfId="0" applyAlignment="1" applyFont="1">
      <alignment horizontal="center" readingOrder="0" shrinkToFit="0" vertical="center" wrapText="1"/>
    </xf>
    <xf borderId="0" fillId="5" fontId="7" numFmtId="0" xfId="0" applyAlignment="1" applyFont="1">
      <alignment horizontal="left" readingOrder="0" shrinkToFit="0" vertical="center" wrapText="1"/>
    </xf>
    <xf borderId="0" fillId="5" fontId="42" numFmtId="0" xfId="0" applyAlignment="1" applyFont="1">
      <alignment horizontal="left" readingOrder="0" shrinkToFit="0" vertical="center" wrapText="1"/>
    </xf>
    <xf borderId="0" fillId="5" fontId="4" numFmtId="0" xfId="0" applyAlignment="1" applyFont="1">
      <alignment horizontal="left" readingOrder="0" shrinkToFit="0" vertical="center" wrapText="1"/>
    </xf>
    <xf borderId="0" fillId="5" fontId="43"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44" numFmtId="0" xfId="0" applyAlignment="1" applyFont="1">
      <alignment horizontal="left" readingOrder="0" shrinkToFit="0" vertical="center" wrapText="1"/>
    </xf>
    <xf borderId="0" fillId="2" fontId="6" numFmtId="0" xfId="0" applyAlignment="1" applyFont="1">
      <alignment horizontal="center" readingOrder="0" shrinkToFit="0" vertical="center" wrapText="1"/>
    </xf>
    <xf borderId="0" fillId="2" fontId="45" numFmtId="0" xfId="0" applyAlignment="1" applyFont="1">
      <alignment readingOrder="0" shrinkToFit="0" vertical="center" wrapText="1"/>
    </xf>
    <xf borderId="0" fillId="2" fontId="20"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20" numFmtId="0" xfId="0" applyAlignment="1" applyFont="1">
      <alignment horizontal="left" readingOrder="0" shrinkToFit="0" vertical="center" wrapText="1"/>
    </xf>
    <xf borderId="0" fillId="2" fontId="34" numFmtId="0" xfId="0" applyAlignment="1" applyFont="1">
      <alignment horizontal="center" readingOrder="0" shrinkToFit="0" vertical="center" wrapText="1"/>
    </xf>
    <xf borderId="0" fillId="2" fontId="46" numFmtId="0" xfId="0" applyAlignment="1" applyFont="1">
      <alignment horizontal="center" readingOrder="0" shrinkToFit="0" vertical="center" wrapText="1"/>
    </xf>
    <xf borderId="0" fillId="2" fontId="47" numFmtId="0" xfId="0" applyAlignment="1" applyFont="1">
      <alignment horizontal="center" readingOrder="0" shrinkToFit="0" vertical="center" wrapText="1"/>
    </xf>
    <xf borderId="0" fillId="2" fontId="1" numFmtId="0" xfId="0" applyAlignment="1" applyFont="1">
      <alignment horizontal="left" readingOrder="0" shrinkToFit="0" vertical="center" wrapText="1"/>
    </xf>
    <xf borderId="0" fillId="2" fontId="48" numFmtId="0" xfId="0" applyAlignment="1" applyFont="1">
      <alignment horizontal="left" readingOrder="0" shrinkToFit="0" vertical="center" wrapText="1"/>
    </xf>
    <xf borderId="0" fillId="2" fontId="6" numFmtId="0" xfId="0" applyAlignment="1" applyFont="1">
      <alignment vertical="center"/>
    </xf>
    <xf borderId="0" fillId="2" fontId="8" numFmtId="0" xfId="0" applyAlignment="1" applyFont="1">
      <alignment vertical="center"/>
    </xf>
    <xf borderId="0" fillId="7" fontId="1" numFmtId="0" xfId="0" applyAlignment="1" applyFill="1" applyFont="1">
      <alignment horizontal="center" readingOrder="0" shrinkToFit="0" vertical="center" wrapText="1"/>
    </xf>
    <xf borderId="0" fillId="7" fontId="49" numFmtId="0" xfId="0" applyAlignment="1" applyFont="1">
      <alignment horizontal="center" readingOrder="0" shrinkToFit="0" vertical="center" wrapText="1"/>
    </xf>
    <xf borderId="0" fillId="7" fontId="50" numFmtId="0" xfId="0" applyAlignment="1" applyFont="1">
      <alignment horizontal="center" shrinkToFit="0" vertical="center" wrapText="1"/>
    </xf>
    <xf borderId="0" fillId="7" fontId="1" numFmtId="0" xfId="0" applyAlignment="1" applyFont="1">
      <alignment horizontal="left" readingOrder="0" shrinkToFit="0" vertical="center" wrapText="1"/>
    </xf>
    <xf borderId="0" fillId="7" fontId="50"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0" fontId="8" numFmtId="0" xfId="0" applyAlignment="1" applyFont="1">
      <alignment horizontal="left" shrinkToFit="0" vertical="center" wrapText="1"/>
    </xf>
    <xf borderId="0" fillId="2" fontId="45" numFmtId="0" xfId="0" applyAlignment="1" applyFont="1">
      <alignment horizontal="left" readingOrder="0" shrinkToFit="0" vertical="center" wrapText="1"/>
    </xf>
    <xf borderId="0" fillId="2" fontId="51" numFmtId="0" xfId="0" applyAlignment="1" applyFont="1">
      <alignment horizontal="left" shrinkToFit="0" vertical="center" wrapText="1"/>
    </xf>
    <xf borderId="0" fillId="2" fontId="12" numFmtId="0" xfId="0" applyAlignment="1" applyFont="1">
      <alignment shrinkToFit="0" wrapText="1"/>
    </xf>
    <xf borderId="0" fillId="2" fontId="52" numFmtId="0" xfId="0" applyAlignment="1" applyFont="1">
      <alignment horizontal="left" readingOrder="0" shrinkToFit="0" vertical="center" wrapText="1"/>
    </xf>
    <xf borderId="0" fillId="2" fontId="53" numFmtId="0" xfId="0" applyAlignment="1" applyFont="1">
      <alignment shrinkToFit="0" wrapText="1"/>
    </xf>
    <xf borderId="0" fillId="2" fontId="22" numFmtId="0" xfId="0" applyAlignment="1" applyFont="1">
      <alignment horizontal="left" readingOrder="0" shrinkToFit="0" vertical="center" wrapText="1"/>
    </xf>
    <xf borderId="0" fillId="2" fontId="54" numFmtId="0" xfId="0" applyAlignment="1" applyFont="1">
      <alignment horizontal="left" readingOrder="0" shrinkToFit="0" vertical="center" wrapText="1"/>
    </xf>
    <xf borderId="0" fillId="2" fontId="55"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2" fontId="8"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54" numFmtId="0" xfId="0" applyAlignment="1" applyFont="1">
      <alignment horizontal="left" readingOrder="0" shrinkToFit="0" vertical="center" wrapText="1"/>
    </xf>
    <xf borderId="0" fillId="2" fontId="8" numFmtId="0" xfId="0" applyAlignment="1" applyFont="1">
      <alignment horizontal="left" shrinkToFit="0" vertical="center" wrapText="1"/>
    </xf>
    <xf borderId="0" fillId="2" fontId="8" numFmtId="0" xfId="0" applyAlignment="1" applyFont="1">
      <alignment vertical="center"/>
    </xf>
    <xf borderId="0" fillId="2" fontId="45" numFmtId="0" xfId="0" applyAlignment="1" applyFont="1">
      <alignment horizontal="left" shrinkToFit="0" vertical="center" wrapText="1"/>
    </xf>
    <xf borderId="0" fillId="8" fontId="49" numFmtId="0" xfId="0" applyAlignment="1" applyFill="1" applyFont="1">
      <alignment horizontal="center" shrinkToFit="0" vertical="center" wrapText="1"/>
    </xf>
    <xf borderId="0" fillId="3" fontId="49" numFmtId="0" xfId="0" applyAlignment="1" applyFont="1">
      <alignment horizontal="center" shrinkToFit="0" vertical="center" wrapText="1"/>
    </xf>
    <xf borderId="0" fillId="9" fontId="49" numFmtId="0" xfId="0" applyAlignment="1" applyFill="1" applyFont="1">
      <alignment horizontal="center" shrinkToFit="0" vertical="center" wrapText="1"/>
    </xf>
    <xf borderId="0" fillId="2" fontId="49" numFmtId="0" xfId="0" applyAlignment="1" applyFont="1">
      <alignment horizontal="center" shrinkToFit="0" vertical="center" wrapText="1"/>
    </xf>
    <xf borderId="0" fillId="3" fontId="49" numFmtId="0" xfId="0" applyAlignment="1" applyFont="1">
      <alignment horizontal="center" readingOrder="0" shrinkToFit="0" vertical="center" wrapText="1"/>
    </xf>
    <xf borderId="0" fillId="9" fontId="49" numFmtId="0" xfId="0" applyAlignment="1" applyFont="1">
      <alignment horizontal="center" readingOrder="0" shrinkToFit="0" vertical="center" wrapText="1"/>
    </xf>
    <xf borderId="0" fillId="2" fontId="49" numFmtId="0" xfId="0" applyAlignment="1" applyFont="1">
      <alignment horizontal="center" readingOrder="0" shrinkToFit="0" vertical="center" wrapText="1"/>
    </xf>
    <xf borderId="0" fillId="8" fontId="49" numFmtId="0" xfId="0" applyAlignment="1" applyFont="1">
      <alignment horizontal="center" shrinkToFit="0" vertical="center" wrapText="1"/>
    </xf>
    <xf borderId="0" fillId="3" fontId="49" numFmtId="0" xfId="0" applyAlignment="1" applyFont="1">
      <alignment horizontal="center" shrinkToFit="0" vertical="center" wrapText="1"/>
    </xf>
    <xf borderId="0" fillId="9" fontId="49" numFmtId="0" xfId="0" applyAlignment="1" applyFont="1">
      <alignment horizontal="center" shrinkToFit="0" vertical="center" wrapText="1"/>
    </xf>
    <xf borderId="0" fillId="2" fontId="49" numFmtId="0" xfId="0" applyAlignment="1" applyFont="1">
      <alignment horizontal="center" shrinkToFit="0" vertical="center" wrapText="1"/>
    </xf>
    <xf borderId="0" fillId="3" fontId="49" numFmtId="0" xfId="0" applyAlignment="1" applyFont="1">
      <alignment horizontal="left" readingOrder="0" shrinkToFit="0" vertical="center" wrapText="1"/>
    </xf>
    <xf borderId="0" fillId="8" fontId="45" numFmtId="0" xfId="0" applyAlignment="1" applyFont="1">
      <alignment horizontal="center" shrinkToFit="0" vertical="center" wrapText="1"/>
    </xf>
    <xf borderId="0" fillId="3" fontId="56" numFmtId="0" xfId="0" applyAlignment="1" applyFont="1">
      <alignment horizontal="center" shrinkToFit="0" vertical="center" wrapText="1"/>
    </xf>
    <xf borderId="0" fillId="9" fontId="56" numFmtId="0" xfId="0" applyAlignment="1" applyFont="1">
      <alignment horizontal="center" readingOrder="0" shrinkToFit="0" vertical="center" wrapText="1"/>
    </xf>
    <xf borderId="0" fillId="2" fontId="56" numFmtId="0" xfId="0" applyAlignment="1" applyFont="1">
      <alignment horizontal="center" shrinkToFit="0" vertical="center" wrapText="1"/>
    </xf>
    <xf borderId="0" fillId="8" fontId="49" numFmtId="0" xfId="0" applyAlignment="1" applyFont="1">
      <alignment horizontal="center" readingOrder="0" shrinkToFit="0" vertical="center" wrapText="1"/>
    </xf>
    <xf borderId="0" fillId="10" fontId="8" numFmtId="0" xfId="0" applyAlignment="1" applyFill="1" applyFont="1">
      <alignment horizontal="center" shrinkToFit="0" vertical="center" wrapText="1"/>
    </xf>
    <xf borderId="0" fillId="10" fontId="8" numFmtId="0" xfId="0" applyAlignment="1" applyFont="1">
      <alignment horizontal="left" shrinkToFit="0" vertical="center" wrapText="1"/>
    </xf>
    <xf borderId="0" fillId="10" fontId="8" numFmtId="0" xfId="0" applyAlignment="1" applyFont="1">
      <alignment horizontal="center" shrinkToFit="0" vertical="center" wrapText="1"/>
    </xf>
    <xf borderId="0" fillId="10" fontId="8" numFmtId="0" xfId="0" applyAlignment="1" applyFont="1">
      <alignment horizontal="left" shrinkToFit="0" vertical="center" wrapText="1"/>
    </xf>
    <xf borderId="0" fillId="10" fontId="8" numFmtId="0" xfId="0" applyAlignment="1" applyFont="1">
      <alignment shrinkToFit="0" vertical="center" wrapText="1"/>
    </xf>
    <xf borderId="0" fillId="10" fontId="51" numFmtId="0" xfId="0" applyAlignment="1" applyFont="1">
      <alignment horizontal="center" vertical="center"/>
    </xf>
    <xf borderId="0" fillId="10" fontId="51" numFmtId="0" xfId="0" applyAlignment="1" applyFont="1">
      <alignment vertical="center"/>
    </xf>
    <xf borderId="0" fillId="10" fontId="6" numFmtId="0" xfId="0" applyAlignment="1" applyFont="1">
      <alignment horizontal="left" shrinkToFit="0" vertical="center" wrapText="1"/>
    </xf>
    <xf borderId="0" fillId="10" fontId="6" numFmtId="0" xfId="0" applyAlignment="1" applyFont="1">
      <alignment horizontal="center"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center" shrinkToFit="0" vertical="center" wrapText="1"/>
    </xf>
    <xf borderId="0" fillId="6" fontId="4" numFmtId="0" xfId="0" applyAlignment="1" applyFont="1">
      <alignment horizontal="center" shrinkToFit="0" vertical="center" wrapText="1"/>
    </xf>
    <xf borderId="0" fillId="6" fontId="4" numFmtId="0" xfId="0" applyAlignment="1" applyFont="1">
      <alignment horizontal="left" shrinkToFit="0" vertical="center" wrapText="1"/>
    </xf>
    <xf borderId="0" fillId="6" fontId="6" numFmtId="0" xfId="0" applyAlignment="1" applyFont="1">
      <alignment horizontal="center" shrinkToFit="0" vertical="center" wrapText="1"/>
    </xf>
    <xf borderId="0" fillId="6" fontId="50" numFmtId="0" xfId="0" applyAlignment="1" applyFont="1">
      <alignment horizontal="center" shrinkToFit="0" vertical="center" wrapText="1"/>
    </xf>
    <xf borderId="0" fillId="8" fontId="57" numFmtId="0" xfId="0" applyAlignment="1" applyFont="1">
      <alignment horizontal="center" shrinkToFit="0" vertical="center" wrapText="1"/>
    </xf>
    <xf borderId="0" fillId="3" fontId="8" numFmtId="0" xfId="0" applyAlignment="1" applyFont="1">
      <alignment horizontal="left" shrinkToFit="0" vertical="center" wrapText="1"/>
    </xf>
    <xf borderId="0" fillId="9" fontId="8" numFmtId="0" xfId="0" applyAlignment="1" applyFont="1">
      <alignment horizontal="left" shrinkToFit="0" vertical="center" wrapText="1"/>
    </xf>
    <xf borderId="0" fillId="2" fontId="8" numFmtId="0" xfId="0" applyAlignment="1" applyFont="1">
      <alignment horizontal="left" shrinkToFit="0" vertical="center" wrapText="1"/>
    </xf>
    <xf borderId="0" fillId="9" fontId="8" numFmtId="0" xfId="0" applyAlignment="1" applyFont="1">
      <alignment horizontal="left" readingOrder="0" shrinkToFit="0" vertical="center" wrapText="1"/>
    </xf>
    <xf borderId="0" fillId="3" fontId="8" numFmtId="0" xfId="0" applyAlignment="1" applyFont="1">
      <alignment horizontal="left" readingOrder="0" shrinkToFit="0" vertical="center" wrapText="1"/>
    </xf>
    <xf borderId="0" fillId="8" fontId="4" numFmtId="0" xfId="0" applyAlignment="1" applyFont="1">
      <alignment horizontal="center" shrinkToFit="0" vertical="center" wrapText="1"/>
    </xf>
    <xf borderId="0" fillId="3" fontId="7" numFmtId="0" xfId="0" applyAlignment="1" applyFont="1">
      <alignment horizontal="left" shrinkToFit="0" vertical="center" wrapText="1"/>
    </xf>
    <xf borderId="0" fillId="9" fontId="7" numFmtId="0" xfId="0" applyAlignment="1" applyFont="1">
      <alignment horizontal="left" shrinkToFit="0" vertical="center" wrapText="1"/>
    </xf>
    <xf borderId="0" fillId="2" fontId="7" numFmtId="0" xfId="0" applyAlignment="1" applyFont="1">
      <alignment horizontal="left" shrinkToFit="0" vertical="center" wrapText="1"/>
    </xf>
    <xf borderId="0" fillId="3" fontId="3" numFmtId="0" xfId="0" applyAlignment="1" applyFont="1">
      <alignment shrinkToFit="0" vertical="center" wrapText="1"/>
    </xf>
    <xf borderId="0" fillId="9" fontId="3" numFmtId="0" xfId="0" applyAlignment="1" applyFont="1">
      <alignment shrinkToFit="0" vertical="center" wrapText="1"/>
    </xf>
    <xf borderId="0" fillId="2" fontId="3" numFmtId="0" xfId="0" applyAlignment="1" applyFont="1">
      <alignment shrinkToFit="0" vertical="center" wrapText="1"/>
    </xf>
    <xf borderId="0" fillId="8" fontId="56" numFmtId="0" xfId="0" applyAlignment="1" applyFont="1">
      <alignment horizontal="center" shrinkToFit="0" vertical="center" wrapText="1"/>
    </xf>
    <xf borderId="0" fillId="3" fontId="6" numFmtId="0" xfId="0" applyAlignment="1" applyFont="1">
      <alignment horizontal="center" shrinkToFit="0" vertical="center" wrapText="1"/>
    </xf>
    <xf borderId="0" fillId="9" fontId="51" numFmtId="0" xfId="0" applyAlignment="1" applyFont="1">
      <alignment horizontal="left" shrinkToFit="0" vertical="center" wrapText="1"/>
    </xf>
    <xf borderId="0" fillId="3" fontId="8" numFmtId="0" xfId="0" applyAlignment="1" applyFont="1">
      <alignment shrinkToFit="0" vertical="center" wrapText="1"/>
    </xf>
    <xf borderId="0" fillId="9" fontId="8" numFmtId="0" xfId="0" applyAlignment="1" applyFont="1">
      <alignment shrinkToFit="0" vertical="center" wrapText="1"/>
    </xf>
    <xf borderId="0" fillId="2" fontId="8" numFmtId="0" xfId="0" applyAlignment="1" applyFont="1">
      <alignment shrinkToFit="0" vertical="center" wrapText="1"/>
    </xf>
    <xf borderId="0" fillId="9" fontId="8" numFmtId="0" xfId="0" applyAlignment="1" applyFont="1">
      <alignment horizontal="left" shrinkToFit="0" vertical="center" wrapText="1"/>
    </xf>
    <xf quotePrefix="1" borderId="0" fillId="2" fontId="8" numFmtId="0" xfId="0" applyAlignment="1" applyFont="1">
      <alignment horizontal="left" readingOrder="0" shrinkToFit="0" vertical="center" wrapText="1"/>
    </xf>
    <xf borderId="0" fillId="3" fontId="8" numFmtId="0" xfId="0" applyAlignment="1" applyFont="1">
      <alignment horizontal="left" shrinkToFit="0" vertical="center" wrapText="1"/>
    </xf>
    <xf borderId="0" fillId="3" fontId="51" numFmtId="0" xfId="0" applyAlignment="1" applyFont="1">
      <alignment horizontal="center" shrinkToFit="0" vertical="center" wrapText="1"/>
    </xf>
    <xf borderId="0" fillId="9" fontId="51" numFmtId="0" xfId="0" applyAlignment="1" applyFont="1">
      <alignment readingOrder="0" shrinkToFit="0" vertical="center" wrapText="1"/>
    </xf>
    <xf borderId="0" fillId="2" fontId="51" numFmtId="0" xfId="0" applyAlignment="1" applyFont="1">
      <alignment shrinkToFit="0" vertical="center" wrapText="1"/>
    </xf>
    <xf borderId="0" fillId="3" fontId="58" numFmtId="0" xfId="0" applyAlignment="1" applyFont="1">
      <alignment horizontal="left" readingOrder="0" shrinkToFit="0" vertical="center" wrapText="1"/>
    </xf>
    <xf borderId="0" fillId="9" fontId="58" numFmtId="0" xfId="0" applyAlignment="1" applyFont="1">
      <alignment horizontal="left" readingOrder="0" shrinkToFit="0" vertical="center" wrapText="1"/>
    </xf>
    <xf borderId="0" fillId="2" fontId="58" numFmtId="0" xfId="0" applyAlignment="1" applyFont="1">
      <alignment horizontal="left" readingOrder="0" shrinkToFit="0" vertical="center" wrapText="1"/>
    </xf>
    <xf borderId="0" fillId="9" fontId="51" numFmtId="0" xfId="0" applyAlignment="1" applyFont="1">
      <alignment shrinkToFit="0" vertical="center" wrapText="1"/>
    </xf>
    <xf borderId="0" fillId="2" fontId="8" numFmtId="0" xfId="0" applyAlignment="1" applyFont="1">
      <alignment readingOrder="0" shrinkToFit="0" vertical="center" wrapText="1"/>
    </xf>
    <xf borderId="0" fillId="9" fontId="8" numFmtId="0" xfId="0" applyAlignment="1" applyFont="1">
      <alignment readingOrder="0" shrinkToFit="0" vertical="center" wrapText="1"/>
    </xf>
    <xf borderId="0" fillId="2" fontId="3" numFmtId="0" xfId="0" applyAlignment="1" applyFont="1">
      <alignment shrinkToFit="0" vertical="center" wrapText="1"/>
    </xf>
    <xf borderId="0" fillId="3" fontId="51" numFmtId="0" xfId="0" applyAlignment="1" applyFont="1">
      <alignment horizontal="center" readingOrder="0" shrinkToFit="0" vertical="center" wrapText="1"/>
    </xf>
    <xf borderId="0" fillId="9" fontId="51" numFmtId="0" xfId="0" applyAlignment="1" applyFont="1">
      <alignment horizontal="left" readingOrder="0" shrinkToFit="0" vertical="center" wrapText="1"/>
    </xf>
    <xf borderId="0" fillId="9" fontId="6" numFmtId="0" xfId="0" applyAlignment="1" applyFont="1">
      <alignment horizontal="left" shrinkToFit="0" vertical="center" wrapText="1"/>
    </xf>
    <xf borderId="0" fillId="2" fontId="6" numFmtId="0" xfId="0" applyAlignment="1" applyFont="1">
      <alignment horizontal="left" readingOrder="0" shrinkToFit="0" vertical="center" wrapText="1"/>
    </xf>
    <xf borderId="0" fillId="3" fontId="6" numFmtId="0" xfId="0" applyAlignment="1" applyFont="1">
      <alignment horizontal="center" readingOrder="0" shrinkToFit="0" vertical="center" wrapText="1"/>
    </xf>
    <xf borderId="0" fillId="2" fontId="6" numFmtId="0" xfId="0" applyAlignment="1" applyFont="1">
      <alignment horizontal="left" shrinkToFit="0" vertical="center" wrapText="1"/>
    </xf>
    <xf borderId="0" fillId="9" fontId="6" numFmtId="0" xfId="0" applyAlignment="1" applyFont="1">
      <alignment horizontal="left" readingOrder="0" shrinkToFit="0" vertical="center" wrapText="1"/>
    </xf>
    <xf borderId="0" fillId="9" fontId="7" numFmtId="0" xfId="0" applyAlignment="1" applyFont="1">
      <alignment horizontal="left" readingOrder="0" shrinkToFit="0" vertical="center" wrapText="1"/>
    </xf>
    <xf borderId="0" fillId="3" fontId="12" numFmtId="0" xfId="0" applyAlignment="1" applyFont="1">
      <alignment horizontal="left" readingOrder="0" shrinkToFit="0" vertical="center" wrapText="1"/>
    </xf>
    <xf borderId="0" fillId="8" fontId="57" numFmtId="0" xfId="0" applyAlignment="1" applyFont="1">
      <alignment horizontal="left" shrinkToFit="0" vertical="center" wrapText="1"/>
    </xf>
    <xf borderId="0" fillId="8" fontId="51" numFmtId="0" xfId="0" applyAlignment="1" applyFont="1">
      <alignment horizontal="left" shrinkToFit="0" vertical="center" wrapText="1"/>
    </xf>
    <xf borderId="0" fillId="8" fontId="57" numFmtId="0" xfId="0" applyAlignment="1" applyFont="1">
      <alignment horizontal="center" readingOrder="0" shrinkToFit="0" vertical="center" wrapText="1"/>
    </xf>
    <xf borderId="0" fillId="3" fontId="8" numFmtId="0" xfId="0" applyAlignment="1" applyFont="1">
      <alignment shrinkToFit="0" vertical="center" wrapText="1"/>
    </xf>
    <xf borderId="0" fillId="9" fontId="8" numFmtId="0" xfId="0" applyAlignment="1" applyFont="1">
      <alignment shrinkToFit="0" vertical="center" wrapText="1"/>
    </xf>
    <xf borderId="0" fillId="2" fontId="8" numFmtId="0" xfId="0" applyAlignment="1" applyFont="1">
      <alignment shrinkToFit="0" vertical="center" wrapText="1"/>
    </xf>
    <xf borderId="0" fillId="3" fontId="59" numFmtId="0" xfId="0" applyAlignment="1" applyFont="1">
      <alignment horizontal="left" shrinkToFit="0" vertical="center" wrapText="1"/>
    </xf>
    <xf borderId="0" fillId="9" fontId="59" numFmtId="0" xfId="0" applyAlignment="1" applyFont="1">
      <alignment horizontal="left" shrinkToFit="0" vertical="center" wrapText="1"/>
    </xf>
    <xf borderId="0" fillId="2" fontId="59" numFmtId="0" xfId="0" applyAlignment="1" applyFont="1">
      <alignment horizontal="left" shrinkToFit="0" vertical="center" wrapText="1"/>
    </xf>
    <xf borderId="0" fillId="8" fontId="60" numFmtId="0" xfId="0" applyAlignment="1" applyFont="1">
      <alignment horizontal="left" shrinkToFit="0" vertical="center" wrapText="1"/>
    </xf>
    <xf borderId="0" fillId="2" fontId="51" numFmtId="0" xfId="0" applyAlignment="1" applyFont="1">
      <alignment horizontal="left" readingOrder="0" shrinkToFit="0" vertical="center" wrapText="1"/>
    </xf>
    <xf borderId="0" fillId="3" fontId="51" numFmtId="0" xfId="0" applyAlignment="1" applyFont="1">
      <alignment horizontal="left" readingOrder="0" shrinkToFit="0" vertical="center" wrapText="1"/>
    </xf>
    <xf borderId="0" fillId="2" fontId="61" numFmtId="0" xfId="0" applyAlignment="1" applyFont="1">
      <alignment horizontal="left" readingOrder="0" shrinkToFit="0" vertical="center" wrapText="1"/>
    </xf>
    <xf borderId="0" fillId="3" fontId="3" numFmtId="0" xfId="0" applyAlignment="1" applyFont="1">
      <alignment shrinkToFit="0" vertical="center" wrapText="1"/>
    </xf>
    <xf borderId="0" fillId="9" fontId="3" numFmtId="0" xfId="0" applyAlignment="1" applyFont="1">
      <alignment shrinkToFit="0" vertical="center" wrapText="1"/>
    </xf>
    <xf borderId="0" fillId="8" fontId="56" numFmtId="0" xfId="0" applyAlignment="1" applyFont="1">
      <alignment horizontal="center" readingOrder="0" shrinkToFit="0" vertical="center" wrapText="1"/>
    </xf>
    <xf borderId="0" fillId="3" fontId="8" numFmtId="0" xfId="0" applyAlignment="1" applyFont="1">
      <alignment horizontal="center" shrinkToFit="0" vertical="center" wrapText="1"/>
    </xf>
    <xf borderId="0" fillId="9" fontId="8" numFmtId="0" xfId="0" applyAlignment="1" applyFont="1">
      <alignment horizontal="center" shrinkToFit="0" vertical="center" wrapText="1"/>
    </xf>
    <xf borderId="0" fillId="2" fontId="8" numFmtId="0" xfId="0" applyAlignment="1" applyFont="1">
      <alignment horizontal="center" shrinkToFit="0" vertical="center" wrapText="1"/>
    </xf>
    <xf borderId="0" fillId="3" fontId="61" numFmtId="0" xfId="0" applyAlignment="1" applyFont="1">
      <alignment readingOrder="0" shrinkToFit="0" vertical="center" wrapText="1"/>
    </xf>
    <xf borderId="0" fillId="3" fontId="62" numFmtId="0" xfId="0" applyAlignment="1" applyFont="1">
      <alignment horizontal="center" shrinkToFit="0" vertical="center" wrapText="1"/>
    </xf>
    <xf borderId="0" fillId="9" fontId="62" numFmtId="0" xfId="0" applyAlignment="1" applyFont="1">
      <alignment horizontal="center" shrinkToFit="0" vertical="center" wrapText="1"/>
    </xf>
    <xf borderId="0" fillId="2" fontId="62" numFmtId="0" xfId="0" applyAlignment="1" applyFont="1">
      <alignment horizontal="center" readingOrder="0" shrinkToFit="0" vertical="center" wrapText="1"/>
    </xf>
    <xf borderId="0" fillId="3" fontId="8" numFmtId="0" xfId="0" applyAlignment="1" applyFont="1">
      <alignment readingOrder="0" shrinkToFit="0" vertical="center" wrapText="1"/>
    </xf>
    <xf borderId="0" fillId="9" fontId="8" numFmtId="0" xfId="0" applyAlignment="1" applyFont="1">
      <alignment horizontal="center" readingOrder="0" shrinkToFit="0" vertical="center" wrapText="1"/>
    </xf>
    <xf borderId="0" fillId="9" fontId="12" numFmtId="0" xfId="0" applyAlignment="1" applyFont="1">
      <alignment readingOrder="0" shrinkToFit="0" vertical="center" wrapText="1"/>
    </xf>
    <xf borderId="0" fillId="2" fontId="12" numFmtId="0" xfId="0" applyAlignment="1" applyFont="1">
      <alignment readingOrder="0" shrinkToFit="0" vertical="center" wrapText="1"/>
    </xf>
    <xf borderId="0" fillId="9" fontId="6"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0" fillId="2" fontId="8" numFmtId="0" xfId="0" applyAlignment="1" applyFont="1">
      <alignment horizontal="center" readingOrder="0" shrinkToFit="0" vertical="center" wrapText="1"/>
    </xf>
    <xf borderId="0" fillId="2" fontId="12" numFmtId="0" xfId="0" applyAlignment="1" applyFont="1">
      <alignment shrinkToFit="0" vertical="center" wrapText="1"/>
    </xf>
    <xf borderId="0" fillId="9" fontId="6" numFmtId="0" xfId="0" applyAlignment="1" applyFont="1">
      <alignment readingOrder="0" shrinkToFit="0" vertical="center" wrapText="1"/>
    </xf>
    <xf borderId="0" fillId="2" fontId="12" numFmtId="0" xfId="0" applyAlignment="1" applyFont="1">
      <alignment horizontal="left" shrinkToFit="0" vertical="center" wrapText="1"/>
    </xf>
    <xf borderId="0" fillId="0" fontId="8" numFmtId="0" xfId="0" applyAlignment="1" applyFont="1">
      <alignment horizontal="center" shrinkToFit="0" vertical="center" wrapText="1"/>
    </xf>
    <xf borderId="0" fillId="0" fontId="8" numFmtId="0" xfId="0" applyAlignment="1" applyFont="1">
      <alignment horizontal="left" shrinkToFit="0" vertical="center" wrapText="1"/>
    </xf>
    <xf borderId="0" fillId="0" fontId="8" numFmtId="0" xfId="0" applyAlignment="1" applyFont="1">
      <alignment shrinkToFit="0" vertical="center" wrapText="1"/>
    </xf>
    <xf borderId="0" fillId="0" fontId="51" numFmtId="0" xfId="0" applyAlignment="1" applyFont="1">
      <alignment horizontal="center" vertical="center"/>
    </xf>
    <xf borderId="0" fillId="0" fontId="51" numFmtId="0" xfId="0" applyAlignment="1" applyFont="1">
      <alignment vertical="center"/>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6" fontId="1" numFmtId="0" xfId="0" applyAlignment="1" applyFont="1">
      <alignment horizontal="center" shrinkToFit="0" wrapText="1"/>
    </xf>
    <xf borderId="0" fillId="6" fontId="1" numFmtId="0" xfId="0" applyAlignment="1" applyFont="1">
      <alignment horizontal="left" readingOrder="0" shrinkToFit="0" vertical="center" wrapText="1"/>
    </xf>
    <xf borderId="0" fillId="6" fontId="50" numFmtId="0" xfId="0" applyAlignment="1" applyFont="1">
      <alignment horizontal="center" readingOrder="0" shrinkToFit="0" vertical="center" wrapText="1"/>
    </xf>
    <xf borderId="0" fillId="3" fontId="3" numFmtId="0" xfId="0" applyAlignment="1" applyFont="1">
      <alignment horizontal="left" shrinkToFit="0" vertical="center" wrapText="1"/>
    </xf>
    <xf borderId="0" fillId="9" fontId="3" numFmtId="0" xfId="0" applyAlignment="1" applyFont="1">
      <alignment horizontal="left" shrinkToFit="0" vertical="center" wrapText="1"/>
    </xf>
    <xf borderId="0" fillId="2" fontId="3" numFmtId="0" xfId="0" applyAlignment="1" applyFont="1">
      <alignment horizontal="left" shrinkToFit="0" vertical="center" wrapText="1"/>
    </xf>
    <xf borderId="0" fillId="0" fontId="1" numFmtId="0" xfId="0" applyAlignment="1" applyFont="1">
      <alignment horizontal="center" shrinkToFit="0" vertical="center" wrapText="1"/>
    </xf>
    <xf borderId="0" fillId="2" fontId="3" numFmtId="0" xfId="0" applyAlignment="1" applyFont="1">
      <alignment readingOrder="0" shrinkToFit="0" vertical="center" wrapText="1"/>
    </xf>
    <xf borderId="0" fillId="9" fontId="3" numFmtId="0" xfId="0" applyAlignment="1" applyFont="1">
      <alignment horizontal="left" readingOrder="0" shrinkToFit="0" vertical="center" wrapText="1"/>
    </xf>
    <xf borderId="0" fillId="2" fontId="62" numFmtId="0" xfId="0" applyAlignment="1" applyFont="1">
      <alignment horizontal="center" shrinkToFit="0" vertical="center" wrapText="1"/>
    </xf>
    <xf borderId="0" fillId="3" fontId="7" numFmtId="0" xfId="0" applyAlignment="1" applyFont="1">
      <alignment readingOrder="0" shrinkToFit="0" vertical="center" wrapText="1"/>
    </xf>
    <xf borderId="0" fillId="9" fontId="3" numFmtId="0" xfId="0" applyAlignment="1" applyFont="1">
      <alignment readingOrder="0" shrinkToFit="0" vertical="center" wrapText="1"/>
    </xf>
    <xf borderId="0" fillId="9" fontId="62" numFmtId="0" xfId="0" applyAlignment="1" applyFont="1">
      <alignment horizontal="center" readingOrder="0" shrinkToFit="0" vertical="center" wrapText="1"/>
    </xf>
    <xf borderId="0" fillId="3" fontId="62" numFmtId="0" xfId="0" applyAlignment="1" applyFont="1">
      <alignment horizontal="center" readingOrder="0" shrinkToFit="0" vertical="center" wrapText="1"/>
    </xf>
    <xf borderId="0" fillId="3" fontId="7" numFmtId="0" xfId="0" applyAlignment="1" applyFont="1">
      <alignment horizontal="left" readingOrder="0" shrinkToFit="0" vertical="center" wrapText="1"/>
    </xf>
    <xf borderId="0" fillId="3" fontId="3" numFmtId="0" xfId="0" applyAlignment="1" applyFont="1">
      <alignment readingOrder="0" shrinkToFit="0" vertical="center" wrapText="1"/>
    </xf>
    <xf borderId="0" fillId="9" fontId="3"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0" fontId="51" numFmtId="0" xfId="0" applyAlignment="1" applyFont="1">
      <alignment vertical="center"/>
    </xf>
    <xf borderId="0" fillId="8" fontId="57" numFmtId="0" xfId="0" applyAlignment="1" applyFont="1">
      <alignment horizontal="center" shrinkToFit="0" vertical="center" wrapText="1"/>
    </xf>
    <xf borderId="0" fillId="8" fontId="56" numFmtId="0" xfId="0" applyAlignment="1" applyFont="1">
      <alignment horizontal="center" shrinkToFit="0" vertical="center" wrapText="1"/>
    </xf>
    <xf borderId="0" fillId="3" fontId="6" numFmtId="0" xfId="0" applyAlignment="1" applyFont="1">
      <alignment horizontal="center" shrinkToFit="0" vertical="center" wrapText="1"/>
    </xf>
    <xf borderId="0" fillId="2" fontId="6" numFmtId="0" xfId="0" applyAlignment="1" applyFont="1">
      <alignment horizontal="left" shrinkToFit="0" vertical="center" wrapText="1"/>
    </xf>
    <xf borderId="0" fillId="8" fontId="2" numFmtId="0" xfId="0" applyAlignment="1" applyFont="1">
      <alignment horizontal="center" readingOrder="0" shrinkToFit="0" vertical="center" wrapText="1"/>
    </xf>
    <xf borderId="0" fillId="3" fontId="3" numFmtId="0" xfId="0" applyAlignment="1" applyFont="1">
      <alignment horizontal="left" readingOrder="0" shrinkToFit="0" vertical="center" wrapText="1"/>
    </xf>
    <xf borderId="0" fillId="9" fontId="3" numFmtId="0" xfId="0" applyAlignment="1" applyFont="1">
      <alignment horizontal="left" shrinkToFit="0" vertical="center" wrapText="1"/>
    </xf>
    <xf borderId="0" fillId="0" fontId="1" numFmtId="0" xfId="0" applyAlignment="1" applyFont="1">
      <alignment horizontal="center" shrinkToFit="0" vertical="center" wrapText="1"/>
    </xf>
    <xf borderId="0" fillId="0" fontId="51" numFmtId="0" xfId="0" applyAlignment="1" applyFont="1">
      <alignment horizontal="center" vertical="center"/>
    </xf>
    <xf borderId="0" fillId="0" fontId="6" numFmtId="0" xfId="0" applyAlignment="1" applyFont="1">
      <alignment horizontal="left" shrinkToFit="0" vertical="center" wrapText="1"/>
    </xf>
    <xf borderId="0" fillId="0" fontId="6" numFmtId="0" xfId="0" applyAlignment="1" applyFont="1">
      <alignment horizontal="center" shrinkToFit="0" vertical="center" wrapText="1"/>
    </xf>
    <xf borderId="0" fillId="6" fontId="1" numFmtId="0" xfId="0" applyAlignment="1" applyFont="1">
      <alignment horizontal="center" shrinkToFit="0" vertical="center" wrapText="1"/>
    </xf>
    <xf borderId="0" fillId="6" fontId="50" numFmtId="0" xfId="0" applyAlignment="1" applyFont="1">
      <alignment horizontal="center" shrinkToFit="0" vertical="center" wrapText="1"/>
    </xf>
    <xf borderId="0" fillId="9" fontId="6" numFmtId="0" xfId="0" applyAlignment="1" applyFont="1">
      <alignment horizontal="left" shrinkToFit="0" vertical="center" wrapText="1"/>
    </xf>
    <xf borderId="0" fillId="2" fontId="7" numFmtId="0" xfId="0" applyAlignment="1" applyFont="1">
      <alignment horizontal="left" readingOrder="0" shrinkToFit="0" vertical="center" wrapText="1"/>
    </xf>
    <xf borderId="0" fillId="6" fontId="8" numFmtId="0" xfId="0" applyAlignment="1" applyFont="1">
      <alignment shrinkToFit="0" vertical="center" wrapText="1"/>
    </xf>
    <xf borderId="0" fillId="8" fontId="3" numFmtId="0" xfId="0" applyAlignment="1" applyFont="1">
      <alignment horizontal="center" shrinkToFit="0" vertical="center" wrapText="1"/>
    </xf>
    <xf borderId="0" fillId="9" fontId="8" numFmtId="0" xfId="0" applyAlignment="1" applyFont="1">
      <alignment horizontal="center" shrinkToFit="0" vertical="center" wrapText="1"/>
    </xf>
    <xf borderId="0" fillId="3" fontId="8" numFmtId="0" xfId="0" applyAlignment="1" applyFont="1">
      <alignment horizontal="center" shrinkToFit="0" vertical="center" wrapText="1"/>
    </xf>
    <xf borderId="0" fillId="2" fontId="8" numFmtId="0" xfId="0" applyAlignment="1" applyFont="1">
      <alignment horizontal="center" shrinkToFit="0" vertical="center" wrapText="1"/>
    </xf>
    <xf borderId="0" fillId="3" fontId="62" numFmtId="0" xfId="0" applyAlignment="1" applyFont="1">
      <alignment horizontal="center" shrinkToFit="0" vertical="center" wrapText="1"/>
    </xf>
    <xf borderId="0" fillId="2" fontId="62" numFmtId="0" xfId="0" applyAlignment="1" applyFont="1">
      <alignment horizontal="center" shrinkToFit="0" vertical="center" wrapText="1"/>
    </xf>
    <xf borderId="0" fillId="9" fontId="3" numFmtId="0" xfId="0" applyAlignment="1" applyFont="1">
      <alignment horizontal="center" shrinkToFit="0" vertical="center" wrapText="1"/>
    </xf>
    <xf borderId="0" fillId="9" fontId="3" numFmtId="0" xfId="0" applyAlignment="1" applyFont="1">
      <alignment horizontal="center" shrinkToFit="0" vertical="center" wrapText="1"/>
    </xf>
    <xf borderId="0" fillId="2" fontId="7" numFmtId="0" xfId="0" applyAlignment="1" applyFont="1">
      <alignment shrinkToFit="0" vertical="center" wrapText="1"/>
    </xf>
    <xf borderId="0" fillId="2" fontId="12" numFmtId="0" xfId="0" applyAlignment="1" applyFont="1">
      <alignment horizontal="center" readingOrder="0" shrinkToFit="0" vertical="center" wrapText="1"/>
    </xf>
    <xf borderId="0" fillId="2" fontId="63" numFmtId="0" xfId="0" applyAlignment="1" applyFont="1">
      <alignment horizontal="center" readingOrder="0" shrinkToFit="0" vertical="center" wrapText="1"/>
    </xf>
    <xf borderId="0" fillId="3" fontId="51" numFmtId="0" xfId="0" applyAlignment="1" applyFont="1">
      <alignment shrinkToFit="0" vertical="center" wrapText="1"/>
    </xf>
    <xf borderId="0" fillId="2" fontId="3" numFmtId="0" xfId="0" applyAlignment="1" applyFont="1">
      <alignment horizontal="center" shrinkToFit="0" vertical="center" wrapText="1"/>
    </xf>
    <xf borderId="0" fillId="3" fontId="51" numFmtId="0" xfId="0" applyAlignment="1" applyFont="1">
      <alignment horizontal="center" shrinkToFit="0" vertical="center" wrapText="1"/>
    </xf>
    <xf borderId="0" fillId="9" fontId="51" numFmtId="0" xfId="0" applyAlignment="1" applyFont="1">
      <alignment shrinkToFit="0" vertical="center" wrapText="1"/>
    </xf>
    <xf borderId="0" fillId="2" fontId="51" numFmtId="0" xfId="0" applyAlignment="1" applyFont="1">
      <alignment horizontal="center" shrinkToFit="0" vertical="center" wrapText="1"/>
    </xf>
    <xf borderId="0" fillId="2" fontId="51" numFmtId="0" xfId="0" applyAlignment="1" applyFont="1">
      <alignment vertical="center"/>
    </xf>
    <xf borderId="0" fillId="2" fontId="51" numFmtId="0" xfId="0" applyAlignment="1" applyFont="1">
      <alignment horizontal="center" readingOrder="0" shrinkToFit="0" vertical="center" wrapText="1"/>
    </xf>
    <xf borderId="0" fillId="3" fontId="51" numFmtId="0" xfId="0" applyAlignment="1" applyFont="1">
      <alignment readingOrder="0" shrinkToFit="0" vertical="center" wrapText="1"/>
    </xf>
    <xf borderId="0" fillId="3" fontId="3" numFmtId="0" xfId="0" applyAlignment="1" applyFont="1">
      <alignment horizontal="left" shrinkToFit="0" vertical="center" wrapText="1"/>
    </xf>
    <xf borderId="0" fillId="2" fontId="3" numFmtId="0" xfId="0" applyAlignment="1" applyFont="1">
      <alignment horizontal="center" shrinkToFit="0" vertical="center" wrapText="1"/>
    </xf>
    <xf borderId="0" fillId="3" fontId="51" numFmtId="0" xfId="0" applyAlignment="1" applyFont="1">
      <alignment horizontal="center" readingOrder="0" vertical="center"/>
    </xf>
    <xf borderId="0" fillId="9" fontId="51" numFmtId="0" xfId="0" applyAlignment="1" applyFont="1">
      <alignment horizontal="center" readingOrder="0" shrinkToFit="0" vertical="center" wrapText="1"/>
    </xf>
    <xf borderId="0" fillId="9" fontId="12" numFmtId="0" xfId="0" applyAlignment="1" applyFont="1">
      <alignment horizontal="left" readingOrder="0" shrinkToFit="0" vertical="center" wrapText="1"/>
    </xf>
    <xf borderId="0" fillId="3" fontId="3" numFmtId="0" xfId="0" applyAlignment="1" applyFont="1">
      <alignment horizontal="center" readingOrder="0" shrinkToFit="0" vertical="center" wrapText="1"/>
    </xf>
    <xf borderId="0" fillId="11" fontId="64" numFmtId="0" xfId="0" applyAlignment="1" applyFill="1" applyFont="1">
      <alignment horizontal="left" readingOrder="0" shrinkToFit="0" wrapText="1"/>
    </xf>
    <xf borderId="0" fillId="0" fontId="8" numFmtId="0" xfId="0" applyAlignment="1" applyFont="1">
      <alignment horizontal="left" readingOrder="0" shrinkToFit="0" vertical="center" wrapText="1"/>
    </xf>
    <xf borderId="0" fillId="8" fontId="8" numFmtId="0" xfId="0" applyAlignment="1" applyFont="1">
      <alignment horizontal="left" shrinkToFit="0" vertical="center" wrapText="1"/>
    </xf>
    <xf borderId="0" fillId="12" fontId="6" numFmtId="0" xfId="0" applyAlignment="1" applyFill="1" applyFont="1">
      <alignment horizontal="left" shrinkToFit="0" vertical="center" wrapText="1"/>
    </xf>
    <xf borderId="0" fillId="13" fontId="6" numFmtId="0" xfId="0" applyAlignment="1" applyFill="1" applyFont="1">
      <alignment horizontal="center" shrinkToFit="0" vertical="center" wrapText="1"/>
    </xf>
    <xf borderId="0" fillId="14" fontId="6" numFmtId="0" xfId="0" applyAlignment="1" applyFill="1" applyFont="1">
      <alignment horizontal="left" shrinkToFit="0" vertical="center" wrapText="1"/>
    </xf>
    <xf borderId="0" fillId="12" fontId="8" numFmtId="0" xfId="0" applyAlignment="1" applyFont="1">
      <alignment horizontal="left" shrinkToFit="0" vertical="center" wrapText="1"/>
    </xf>
    <xf borderId="0" fillId="13" fontId="8" numFmtId="0" xfId="0" applyAlignment="1" applyFont="1">
      <alignment horizontal="left" shrinkToFit="0" vertical="center" wrapText="1"/>
    </xf>
    <xf borderId="0" fillId="14" fontId="8" numFmtId="0" xfId="0" applyAlignment="1" applyFont="1">
      <alignment horizontal="left" shrinkToFit="0" vertical="center" wrapText="1"/>
    </xf>
    <xf borderId="0" fillId="8" fontId="51" numFmtId="0" xfId="0" applyAlignment="1" applyFont="1">
      <alignment horizontal="center" vertical="center"/>
    </xf>
    <xf borderId="0" fillId="0" fontId="12" numFmtId="0" xfId="0" applyAlignment="1" applyFont="1">
      <alignment horizontal="left" shrinkToFit="0" vertical="center" wrapText="1"/>
    </xf>
    <xf borderId="0" fillId="3" fontId="49" numFmtId="0" xfId="0" applyAlignment="1" applyFont="1">
      <alignment horizontal="center" readingOrder="0" shrinkToFit="0" wrapText="1"/>
    </xf>
    <xf borderId="0" fillId="9" fontId="49" numFmtId="0" xfId="0" applyAlignment="1" applyFont="1">
      <alignment horizontal="center" shrinkToFit="0" wrapText="1"/>
    </xf>
    <xf borderId="0" fillId="2" fontId="49" numFmtId="0" xfId="0" applyAlignment="1" applyFont="1">
      <alignment horizontal="center" shrinkToFit="0" wrapText="1"/>
    </xf>
    <xf borderId="0" fillId="9" fontId="1" numFmtId="0" xfId="0" applyAlignment="1" applyFont="1">
      <alignment horizontal="center" readingOrder="0" shrinkToFit="0" vertical="center" wrapText="1"/>
    </xf>
    <xf borderId="0" fillId="3" fontId="50" numFmtId="0" xfId="0" applyAlignment="1" applyFont="1">
      <alignment horizontal="center" readingOrder="0" shrinkToFit="0" vertical="center" wrapText="1"/>
    </xf>
    <xf borderId="0" fillId="9" fontId="50" numFmtId="0" xfId="0" applyAlignment="1" applyFont="1">
      <alignment horizontal="center" shrinkToFit="0" vertical="center" wrapText="1"/>
    </xf>
    <xf borderId="0" fillId="2" fontId="50" numFmtId="0" xfId="0" applyAlignment="1" applyFont="1">
      <alignment horizontal="center" shrinkToFit="0" vertical="center" wrapText="1"/>
    </xf>
    <xf borderId="0" fillId="6" fontId="51" numFmtId="0" xfId="0" applyFont="1"/>
    <xf borderId="0" fillId="6" fontId="1" numFmtId="0" xfId="0" applyAlignment="1" applyFont="1">
      <alignment horizontal="center" readingOrder="0" shrinkToFit="0" wrapText="1"/>
    </xf>
    <xf borderId="0" fillId="6" fontId="51" numFmtId="0" xfId="0" applyFont="1"/>
    <xf borderId="0" fillId="6" fontId="65" numFmtId="0" xfId="0" applyAlignment="1" applyFont="1">
      <alignment horizontal="center" vertical="bottom"/>
    </xf>
    <xf borderId="0" fillId="6" fontId="1" numFmtId="0" xfId="0" applyAlignment="1" applyFont="1">
      <alignment horizontal="center" readingOrder="0"/>
    </xf>
    <xf borderId="0" fillId="6" fontId="5" numFmtId="0" xfId="0" applyAlignment="1" applyFont="1">
      <alignment horizontal="center" readingOrder="0"/>
    </xf>
    <xf borderId="0" fillId="8" fontId="57" numFmtId="0" xfId="0" applyAlignment="1" applyFont="1">
      <alignment horizontal="left" readingOrder="0" shrinkToFit="0" vertical="center" wrapText="1"/>
    </xf>
    <xf borderId="0" fillId="8" fontId="57" numFmtId="0" xfId="0" applyAlignment="1" applyFont="1">
      <alignment shrinkToFit="0" vertical="center" wrapText="1"/>
    </xf>
    <xf borderId="0" fillId="3" fontId="6" numFmtId="0" xfId="0" applyAlignment="1" applyFont="1">
      <alignment horizontal="left" shrinkToFit="0" vertical="center" wrapText="1"/>
    </xf>
    <xf borderId="0" fillId="3" fontId="6" numFmtId="0" xfId="0" applyAlignment="1" applyFont="1">
      <alignment horizontal="left" readingOrder="0" shrinkToFit="0" vertical="center" wrapText="1"/>
    </xf>
    <xf borderId="0" fillId="15" fontId="8" numFmtId="0" xfId="0" applyAlignment="1" applyFill="1" applyFont="1">
      <alignment horizontal="left" readingOrder="0" shrinkToFit="0" vertical="center" wrapText="1"/>
    </xf>
    <xf borderId="0" fillId="9" fontId="12" numFmtId="0" xfId="0" applyAlignment="1" applyFont="1">
      <alignment horizontal="left" shrinkToFit="0" vertical="center" wrapText="1"/>
    </xf>
    <xf borderId="0" fillId="6" fontId="51" numFmtId="0" xfId="0" applyAlignment="1" applyFont="1">
      <alignment vertical="bottom"/>
    </xf>
    <xf borderId="0" fillId="6" fontId="66" numFmtId="0" xfId="0" applyAlignment="1" applyFont="1">
      <alignment horizontal="center" readingOrder="0"/>
    </xf>
    <xf borderId="0" fillId="3" fontId="62" numFmtId="0" xfId="0" applyAlignment="1" applyFont="1">
      <alignment horizontal="left" readingOrder="0" shrinkToFit="0" vertical="center" wrapText="1"/>
    </xf>
    <xf borderId="0" fillId="9" fontId="62" numFmtId="0" xfId="0" applyAlignment="1" applyFont="1">
      <alignment horizontal="left" readingOrder="0" shrinkToFit="0" vertical="center" wrapText="1"/>
    </xf>
    <xf borderId="0" fillId="2" fontId="62" numFmtId="0" xfId="0" applyAlignment="1" applyFont="1">
      <alignment horizontal="left" readingOrder="0" shrinkToFit="0" vertical="center" wrapText="1"/>
    </xf>
    <xf borderId="0" fillId="8" fontId="2" numFmtId="0" xfId="0" applyAlignment="1" applyFont="1">
      <alignment horizontal="left" readingOrder="0" shrinkToFit="0" vertical="center" wrapText="1"/>
    </xf>
    <xf borderId="0" fillId="3" fontId="6" numFmtId="0" xfId="0" applyAlignment="1" applyFont="1">
      <alignment horizontal="left" shrinkToFit="0" vertical="center" wrapText="1"/>
    </xf>
    <xf borderId="0" fillId="3" fontId="67" numFmtId="0" xfId="0" applyAlignment="1" applyFont="1">
      <alignment horizontal="left" shrinkToFit="0" vertical="center" wrapText="1"/>
    </xf>
    <xf borderId="0" fillId="6" fontId="51" numFmtId="0" xfId="0" applyAlignment="1" applyFont="1">
      <alignment vertical="center"/>
    </xf>
    <xf borderId="0" fillId="8" fontId="51" numFmtId="0" xfId="0" applyAlignment="1" applyFont="1">
      <alignment vertical="center"/>
    </xf>
    <xf borderId="0" fillId="3" fontId="51" numFmtId="0" xfId="0" applyFont="1"/>
    <xf borderId="0" fillId="9" fontId="51" numFmtId="0" xfId="0" applyFont="1"/>
    <xf borderId="0" fillId="2" fontId="51" numFmtId="0" xfId="0" applyFont="1"/>
    <xf borderId="0" fillId="0" fontId="51" numFmtId="0" xfId="0" applyFont="1"/>
    <xf borderId="0" fillId="0" fontId="51" numFmtId="0" xfId="0" applyFont="1"/>
    <xf borderId="0" fillId="0" fontId="51" numFmtId="0" xfId="0" applyAlignment="1" applyFont="1">
      <alignment vertical="bottom"/>
    </xf>
    <xf borderId="0" fillId="0" fontId="51" numFmtId="0" xfId="0" applyAlignment="1" applyFont="1">
      <alignment vertical="bottom"/>
    </xf>
    <xf borderId="0" fillId="0" fontId="5" numFmtId="0" xfId="0" applyFont="1"/>
    <xf borderId="0" fillId="3" fontId="68" numFmtId="0" xfId="0" applyAlignment="1" applyFont="1">
      <alignment horizontal="left" shrinkToFit="0" vertical="center" wrapText="1"/>
    </xf>
    <xf borderId="0" fillId="9" fontId="68" numFmtId="0" xfId="0" applyAlignment="1" applyFont="1">
      <alignment horizontal="left" shrinkToFit="0" vertical="center" wrapText="1"/>
    </xf>
    <xf borderId="0" fillId="2" fontId="68" numFmtId="0" xfId="0" applyAlignment="1" applyFont="1">
      <alignment horizontal="left" shrinkToFit="0" vertical="center" wrapText="1"/>
    </xf>
    <xf borderId="0" fillId="3" fontId="62" numFmtId="0" xfId="0" applyAlignment="1" applyFont="1">
      <alignment horizontal="left" shrinkToFit="0" vertical="center" wrapText="1"/>
    </xf>
    <xf borderId="0" fillId="9" fontId="62" numFmtId="0" xfId="0" applyAlignment="1" applyFont="1">
      <alignment horizontal="left" shrinkToFit="0" vertical="center" wrapText="1"/>
    </xf>
    <xf borderId="0" fillId="2" fontId="62" numFmtId="0" xfId="0" applyAlignment="1" applyFont="1">
      <alignment horizontal="left" shrinkToFit="0" vertical="center" wrapText="1"/>
    </xf>
    <xf borderId="0" fillId="3" fontId="51" numFmtId="0" xfId="0" applyAlignment="1" applyFont="1">
      <alignment readingOrder="0" vertical="center"/>
    </xf>
    <xf borderId="0" fillId="9" fontId="51" numFmtId="0" xfId="0" applyAlignment="1" applyFont="1">
      <alignment readingOrder="0" vertical="center"/>
    </xf>
    <xf borderId="0" fillId="2" fontId="51" numFmtId="0" xfId="0" applyAlignment="1" applyFont="1">
      <alignment readingOrder="0" vertical="center"/>
    </xf>
    <xf borderId="0" fillId="3" fontId="51" numFmtId="0" xfId="0" applyAlignment="1" applyFont="1">
      <alignment vertical="center"/>
    </xf>
    <xf borderId="0" fillId="9" fontId="51" numFmtId="0" xfId="0" applyAlignment="1" applyFont="1">
      <alignment vertical="center"/>
    </xf>
    <xf borderId="0" fillId="2" fontId="51" numFmtId="0" xfId="0" applyAlignment="1" applyFont="1">
      <alignment vertical="center"/>
    </xf>
    <xf borderId="0" fillId="3" fontId="51" numFmtId="0" xfId="0" applyAlignment="1" applyFont="1">
      <alignment vertical="center"/>
    </xf>
    <xf borderId="0" fillId="9" fontId="51" numFmtId="0" xfId="0" applyAlignment="1" applyFont="1">
      <alignment vertical="center"/>
    </xf>
    <xf borderId="0" fillId="3" fontId="5" numFmtId="0" xfId="0" applyAlignment="1" applyFont="1">
      <alignment shrinkToFit="0" vertical="center" wrapText="1"/>
    </xf>
    <xf borderId="0" fillId="9" fontId="5" numFmtId="0" xfId="0" applyAlignment="1" applyFont="1">
      <alignment shrinkToFit="0" vertical="center" wrapText="1"/>
    </xf>
    <xf borderId="0" fillId="2" fontId="5" numFmtId="0" xfId="0" applyAlignment="1" applyFont="1">
      <alignment shrinkToFit="0" vertical="center" wrapText="1"/>
    </xf>
    <xf borderId="0" fillId="3" fontId="3" numFmtId="0" xfId="0" applyAlignment="1" applyFont="1">
      <alignment vertical="center"/>
    </xf>
    <xf borderId="0" fillId="2" fontId="3" numFmtId="0" xfId="0" applyAlignment="1" applyFont="1">
      <alignment vertical="center"/>
    </xf>
    <xf borderId="0" fillId="2" fontId="51" numFmtId="0" xfId="0" applyAlignment="1" applyFont="1">
      <alignment readingOrder="0" shrinkToFit="0" vertical="center" wrapText="1"/>
    </xf>
    <xf borderId="0" fillId="8" fontId="57" numFmtId="0" xfId="0" applyAlignment="1" applyFont="1">
      <alignment readingOrder="0" shrinkToFit="0" vertical="center" wrapText="1"/>
    </xf>
    <xf borderId="0" fillId="9" fontId="7" numFmtId="0" xfId="0" applyAlignment="1" applyFont="1">
      <alignment shrinkToFit="0" vertical="center" wrapText="1"/>
    </xf>
    <xf borderId="0" fillId="2" fontId="3" numFmtId="0" xfId="0" applyAlignment="1" applyFont="1">
      <alignment readingOrder="0" vertical="center"/>
    </xf>
    <xf borderId="0" fillId="2" fontId="7" numFmtId="0" xfId="0" applyAlignment="1" applyFont="1">
      <alignment shrinkToFit="0" vertical="center" wrapText="1"/>
    </xf>
    <xf borderId="0" fillId="6" fontId="1" numFmtId="0" xfId="0" applyAlignment="1" applyFont="1">
      <alignment horizontal="center" shrinkToFit="0" wrapText="1"/>
    </xf>
    <xf borderId="0" fillId="6" fontId="65" numFmtId="0" xfId="0" applyAlignment="1" applyFont="1">
      <alignment horizontal="center" readingOrder="0" vertical="bottom"/>
    </xf>
    <xf borderId="0" fillId="6" fontId="65" numFmtId="0" xfId="0" applyAlignment="1" applyFont="1">
      <alignment horizontal="center" readingOrder="0" shrinkToFit="0" vertical="center" wrapText="1"/>
    </xf>
    <xf borderId="0" fillId="6" fontId="65" numFmtId="0" xfId="0" applyAlignment="1" applyFont="1">
      <alignment horizontal="center" vertical="center"/>
    </xf>
    <xf borderId="0" fillId="10" fontId="51" numFmtId="0" xfId="0" applyFont="1"/>
    <xf borderId="0" fillId="10" fontId="51" numFmtId="0" xfId="0" applyFont="1"/>
    <xf borderId="0" fillId="10" fontId="5" numFmtId="0" xfId="0" applyFont="1"/>
    <xf borderId="0" fillId="6" fontId="1" numFmtId="0" xfId="0" applyAlignment="1" applyFont="1">
      <alignment horizontal="center" shrinkToFit="0" vertical="bottom" wrapText="1"/>
    </xf>
    <xf borderId="0" fillId="3" fontId="51" numFmtId="0" xfId="0" applyAlignment="1" applyFont="1">
      <alignment horizontal="left" shrinkToFit="0" vertical="center" wrapText="1"/>
    </xf>
    <xf borderId="0" fillId="8" fontId="57" numFmtId="0" xfId="0" applyAlignment="1" applyFont="1">
      <alignment horizontal="left" shrinkToFit="0" vertical="center" wrapText="1"/>
    </xf>
    <xf borderId="0" fillId="8" fontId="57" numFmtId="0" xfId="0" applyAlignment="1" applyFont="1">
      <alignment shrinkToFit="0" vertical="center" wrapText="1"/>
    </xf>
    <xf borderId="0" fillId="3" fontId="3" numFmtId="0" xfId="0" applyAlignment="1" applyFont="1">
      <alignment vertical="center"/>
    </xf>
    <xf borderId="0" fillId="9" fontId="7" numFmtId="0" xfId="0" applyAlignment="1" applyFont="1">
      <alignment readingOrder="0" shrinkToFit="0" vertical="center" wrapText="1"/>
    </xf>
    <xf borderId="0" fillId="3" fontId="6" numFmtId="0" xfId="0" applyAlignment="1" applyFont="1">
      <alignment horizontal="left" readingOrder="0" vertical="center"/>
    </xf>
    <xf borderId="0" fillId="3" fontId="8" numFmtId="0" xfId="0" applyAlignment="1" applyFont="1">
      <alignment horizontal="left" readingOrder="0" vertical="center"/>
    </xf>
    <xf borderId="0" fillId="3" fontId="8" numFmtId="0" xfId="0" applyAlignment="1" applyFont="1">
      <alignment horizontal="left" vertical="center"/>
    </xf>
    <xf borderId="0" fillId="9" fontId="8" numFmtId="0" xfId="0" applyAlignment="1" applyFont="1">
      <alignment horizontal="left" vertical="center"/>
    </xf>
    <xf borderId="0" fillId="9" fontId="7" numFmtId="0" xfId="0" applyAlignment="1" applyFont="1">
      <alignment shrinkToFit="0" vertical="center" wrapText="1"/>
    </xf>
    <xf borderId="0" fillId="2" fontId="12" numFmtId="0" xfId="0" applyAlignment="1" applyFont="1">
      <alignment horizontal="left" shrinkToFit="0" vertical="center" wrapText="1"/>
    </xf>
    <xf borderId="0" fillId="3" fontId="57" numFmtId="0" xfId="0" applyAlignment="1" applyFont="1">
      <alignment horizontal="left" shrinkToFit="0" vertical="center" wrapText="1"/>
    </xf>
    <xf borderId="0" fillId="9" fontId="1" numFmtId="0" xfId="0" applyAlignment="1" applyFont="1">
      <alignment horizontal="left" shrinkToFit="0" vertical="center" wrapText="1"/>
    </xf>
    <xf borderId="0" fillId="3" fontId="6" numFmtId="0" xfId="0" applyAlignment="1" applyFont="1">
      <alignment horizontal="left" vertical="center"/>
    </xf>
    <xf borderId="0" fillId="9" fontId="6" numFmtId="0" xfId="0" applyAlignment="1" applyFont="1">
      <alignment horizontal="left" vertical="center"/>
    </xf>
    <xf borderId="0" fillId="0" fontId="6" numFmtId="0" xfId="0" applyAlignment="1" applyFont="1">
      <alignment horizontal="left" vertical="center"/>
    </xf>
    <xf borderId="0" fillId="0" fontId="57" numFmtId="0" xfId="0" applyAlignment="1" applyFont="1">
      <alignment horizontal="left" shrinkToFit="0" vertical="center" wrapText="1"/>
    </xf>
    <xf borderId="0" fillId="0" fontId="3" numFmtId="0" xfId="0" applyAlignment="1" applyFont="1">
      <alignment horizontal="left" shrinkToFit="0" vertical="center" wrapText="1"/>
    </xf>
    <xf borderId="0" fillId="5" fontId="69" numFmtId="0" xfId="0" applyAlignment="1" applyFont="1">
      <alignment horizontal="center" readingOrder="0" shrinkToFit="0" vertical="center" wrapText="1"/>
    </xf>
    <xf borderId="1" fillId="0" fontId="70" numFmtId="0" xfId="0" applyBorder="1" applyFont="1"/>
    <xf borderId="2" fillId="2" fontId="4" numFmtId="0" xfId="0" applyAlignment="1" applyBorder="1" applyFont="1">
      <alignment horizontal="center" shrinkToFit="0" vertical="center" wrapText="1"/>
    </xf>
    <xf borderId="3" fillId="0" fontId="70" numFmtId="0" xfId="0" applyBorder="1" applyFont="1"/>
    <xf borderId="4" fillId="0" fontId="70" numFmtId="0" xfId="0" applyBorder="1" applyFont="1"/>
    <xf borderId="5" fillId="0" fontId="70" numFmtId="0" xfId="0" applyBorder="1" applyFont="1"/>
    <xf borderId="6" fillId="0" fontId="70" numFmtId="0" xfId="0" applyBorder="1" applyFont="1"/>
    <xf borderId="7" fillId="0" fontId="70" numFmtId="0" xfId="0" applyBorder="1" applyFont="1"/>
    <xf borderId="2" fillId="16" fontId="1" numFmtId="0" xfId="0" applyAlignment="1" applyBorder="1" applyFill="1" applyFont="1">
      <alignment horizontal="center" readingOrder="0" shrinkToFit="0" vertical="center" wrapText="1"/>
    </xf>
    <xf borderId="2" fillId="16" fontId="4" numFmtId="0" xfId="0" applyAlignment="1" applyBorder="1" applyFont="1">
      <alignment horizontal="center" shrinkToFit="0" vertical="center" wrapText="1"/>
    </xf>
    <xf borderId="0" fillId="16" fontId="1" numFmtId="0" xfId="0" applyAlignment="1" applyFont="1">
      <alignment horizontal="center" readingOrder="0" shrinkToFit="0" vertical="center" wrapText="1"/>
    </xf>
    <xf borderId="8" fillId="5" fontId="57" numFmtId="0" xfId="0" applyAlignment="1" applyBorder="1" applyFont="1">
      <alignment horizontal="center" readingOrder="0" vertical="center"/>
    </xf>
    <xf borderId="9" fillId="0" fontId="70" numFmtId="0" xfId="0" applyBorder="1" applyFont="1"/>
    <xf borderId="10" fillId="0" fontId="70" numFmtId="0" xfId="0" applyBorder="1" applyFont="1"/>
    <xf borderId="8" fillId="5" fontId="71" numFmtId="0" xfId="0" applyAlignment="1" applyBorder="1" applyFont="1">
      <alignment horizontal="center" readingOrder="0" shrinkToFit="0" vertical="center" wrapText="1"/>
    </xf>
    <xf borderId="8" fillId="5" fontId="57" numFmtId="0" xfId="0" applyAlignment="1" applyBorder="1" applyFont="1">
      <alignment horizontal="center" shrinkToFit="0" vertical="center" wrapText="1"/>
    </xf>
    <xf borderId="0" fillId="5" fontId="71" numFmtId="0" xfId="0" applyAlignment="1" applyFont="1">
      <alignment horizontal="center" readingOrder="0" shrinkToFit="0" vertical="center" wrapText="1"/>
    </xf>
    <xf borderId="11" fillId="16" fontId="8" numFmtId="0" xfId="0" applyAlignment="1" applyBorder="1" applyFont="1">
      <alignment horizontal="center" readingOrder="0" shrinkToFit="0" vertical="center" wrapText="1"/>
    </xf>
    <xf borderId="11" fillId="2" fontId="8" numFmtId="0" xfId="0" applyAlignment="1" applyBorder="1" applyFont="1">
      <alignment horizontal="center" readingOrder="0" shrinkToFit="0" vertical="center" wrapText="1"/>
    </xf>
    <xf borderId="11" fillId="4" fontId="12" numFmtId="0" xfId="0" applyAlignment="1" applyBorder="1" applyFont="1">
      <alignment horizontal="center" readingOrder="0" shrinkToFit="0" vertical="center" wrapText="1"/>
    </xf>
    <xf borderId="11" fillId="17" fontId="12" numFmtId="0" xfId="0" applyAlignment="1" applyBorder="1" applyFill="1" applyFont="1">
      <alignment horizontal="center" readingOrder="0" shrinkToFit="0" vertical="center" wrapText="1"/>
    </xf>
    <xf borderId="12" fillId="4" fontId="8" numFmtId="0" xfId="0" applyAlignment="1" applyBorder="1" applyFont="1">
      <alignment horizontal="center" shrinkToFit="0" vertical="center" wrapText="1"/>
    </xf>
    <xf borderId="6" fillId="4" fontId="8" numFmtId="0" xfId="0" applyAlignment="1" applyBorder="1" applyFont="1">
      <alignment horizontal="center" shrinkToFit="0" vertical="center" wrapText="1"/>
    </xf>
    <xf borderId="6" fillId="4" fontId="68" numFmtId="0" xfId="0" applyAlignment="1" applyBorder="1" applyFont="1">
      <alignment horizontal="center" shrinkToFit="0" vertical="center" wrapText="1"/>
    </xf>
    <xf borderId="0" fillId="17" fontId="12" numFmtId="0" xfId="0" applyAlignment="1" applyFont="1">
      <alignment horizontal="center" readingOrder="0" shrinkToFit="0" vertical="center" wrapText="1"/>
    </xf>
    <xf borderId="0" fillId="0" fontId="8" numFmtId="0" xfId="0" applyFont="1"/>
    <xf borderId="11" fillId="16" fontId="8" numFmtId="0" xfId="0" applyAlignment="1" applyBorder="1" applyFont="1">
      <alignment horizontal="center" readingOrder="0" vertical="center"/>
    </xf>
    <xf borderId="11" fillId="2" fontId="8" numFmtId="0" xfId="0" applyAlignment="1" applyBorder="1" applyFont="1">
      <alignment horizontal="center" readingOrder="0" vertical="center"/>
    </xf>
    <xf borderId="11" fillId="4" fontId="12" numFmtId="0" xfId="0" applyAlignment="1" applyBorder="1" applyFont="1">
      <alignment horizontal="center" readingOrder="0" vertical="center"/>
    </xf>
    <xf borderId="11" fillId="17" fontId="12" numFmtId="0" xfId="0" applyAlignment="1" applyBorder="1" applyFont="1">
      <alignment horizontal="center" readingOrder="0" vertical="center"/>
    </xf>
    <xf borderId="6" fillId="4" fontId="8" numFmtId="0" xfId="0" applyAlignment="1" applyBorder="1" applyFont="1">
      <alignment horizontal="center" vertical="center"/>
    </xf>
    <xf borderId="12" fillId="4" fontId="68" numFmtId="0" xfId="0" applyAlignment="1" applyBorder="1" applyFont="1">
      <alignment horizontal="center" shrinkToFit="0" vertical="center" wrapText="1"/>
    </xf>
    <xf borderId="8" fillId="16" fontId="8" numFmtId="0" xfId="0" applyAlignment="1" applyBorder="1" applyFont="1">
      <alignment horizontal="center" readingOrder="0" shrinkToFit="0" vertical="center" wrapText="1"/>
    </xf>
    <xf borderId="13" fillId="16" fontId="68" numFmtId="0" xfId="0" applyAlignment="1" applyBorder="1" applyFont="1">
      <alignment horizontal="center" readingOrder="0" shrinkToFit="0" vertical="center" wrapText="1"/>
    </xf>
    <xf borderId="13" fillId="2" fontId="8" numFmtId="0" xfId="0" applyAlignment="1" applyBorder="1" applyFont="1">
      <alignment horizontal="center" readingOrder="0" shrinkToFit="0" vertical="center" wrapText="1"/>
    </xf>
    <xf borderId="13" fillId="4" fontId="12" numFmtId="0" xfId="0" applyAlignment="1" applyBorder="1" applyFont="1">
      <alignment horizontal="center" readingOrder="0" shrinkToFit="0" vertical="center" wrapText="1"/>
    </xf>
    <xf borderId="13" fillId="17" fontId="12" numFmtId="0" xfId="0" applyAlignment="1" applyBorder="1" applyFont="1">
      <alignment horizontal="center" readingOrder="0" shrinkToFit="0" vertical="center" wrapText="1"/>
    </xf>
    <xf borderId="11" fillId="17" fontId="72" numFmtId="0" xfId="0" applyAlignment="1" applyBorder="1" applyFont="1">
      <alignment horizontal="center" readingOrder="0" shrinkToFit="0" vertical="center" wrapText="1"/>
    </xf>
    <xf borderId="0" fillId="17" fontId="72" numFmtId="0" xfId="0" applyAlignment="1" applyFont="1">
      <alignment horizontal="center" readingOrder="0" shrinkToFit="0" vertical="center" wrapText="1"/>
    </xf>
    <xf borderId="12" fillId="0" fontId="70" numFmtId="0" xfId="0" applyBorder="1" applyFont="1"/>
    <xf borderId="0" fillId="17" fontId="12" numFmtId="0" xfId="0" applyAlignment="1" applyFont="1">
      <alignment horizontal="center" readingOrder="0" shrinkToFit="0" vertical="center" wrapText="1"/>
    </xf>
    <xf borderId="6" fillId="4" fontId="8" numFmtId="0" xfId="0" applyAlignment="1" applyBorder="1" applyFont="1">
      <alignment vertical="center"/>
    </xf>
    <xf borderId="12" fillId="4" fontId="8" numFmtId="0" xfId="0" applyAlignment="1" applyBorder="1" applyFont="1">
      <alignment horizontal="center" readingOrder="0" shrinkToFit="0" vertical="center" wrapText="1"/>
    </xf>
    <xf borderId="8" fillId="5" fontId="57" numFmtId="0" xfId="0" applyAlignment="1" applyBorder="1" applyFont="1">
      <alignment horizontal="center" readingOrder="0" vertical="center"/>
    </xf>
    <xf borderId="7" fillId="5" fontId="57" numFmtId="0" xfId="0" applyAlignment="1" applyBorder="1" applyFont="1">
      <alignment horizontal="center" vertical="center"/>
    </xf>
    <xf borderId="0" fillId="5" fontId="57" numFmtId="0" xfId="0" applyAlignment="1" applyFont="1">
      <alignment horizontal="center" readingOrder="0" vertical="center"/>
    </xf>
    <xf borderId="11" fillId="2" fontId="68" numFmtId="0" xfId="0" applyAlignment="1" applyBorder="1" applyFont="1">
      <alignment horizontal="center" readingOrder="0"/>
    </xf>
    <xf borderId="11" fillId="2" fontId="8" numFmtId="0" xfId="0" applyAlignment="1" applyBorder="1" applyFont="1">
      <alignment horizontal="center" shrinkToFit="0" vertical="center" wrapText="1"/>
    </xf>
    <xf borderId="11" fillId="4" fontId="73" numFmtId="0" xfId="0" applyAlignment="1" applyBorder="1" applyFont="1">
      <alignment horizontal="center" readingOrder="0" shrinkToFit="0" vertical="center" wrapText="1"/>
    </xf>
    <xf borderId="11" fillId="4" fontId="72" numFmtId="0" xfId="0" applyAlignment="1" applyBorder="1" applyFont="1">
      <alignment horizontal="center" readingOrder="0"/>
    </xf>
    <xf borderId="11" fillId="17" fontId="8" numFmtId="0" xfId="0" applyAlignment="1" applyBorder="1" applyFont="1">
      <alignment horizontal="center" readingOrder="0" shrinkToFit="0" vertical="center" wrapText="1"/>
    </xf>
    <xf borderId="11" fillId="17" fontId="72" numFmtId="0" xfId="0" applyAlignment="1" applyBorder="1" applyFont="1">
      <alignment horizontal="center" readingOrder="0"/>
    </xf>
    <xf borderId="12" fillId="4" fontId="8" numFmtId="0" xfId="0" applyAlignment="1" applyBorder="1" applyFont="1">
      <alignment vertical="center"/>
    </xf>
    <xf borderId="6" fillId="4" fontId="68" numFmtId="0" xfId="0" applyAlignment="1" applyBorder="1" applyFont="1">
      <alignment horizontal="center" vertical="center"/>
    </xf>
    <xf borderId="0" fillId="17" fontId="8" numFmtId="0" xfId="0" applyAlignment="1" applyFont="1">
      <alignment horizontal="center" readingOrder="0" shrinkToFit="0" vertical="center" wrapText="1"/>
    </xf>
    <xf borderId="11" fillId="4" fontId="8" numFmtId="0" xfId="0" applyAlignment="1" applyBorder="1" applyFont="1">
      <alignment horizontal="center" readingOrder="0" shrinkToFit="0" vertical="center" wrapText="1"/>
    </xf>
    <xf borderId="11" fillId="4" fontId="68" numFmtId="0" xfId="0" applyAlignment="1" applyBorder="1" applyFont="1">
      <alignment horizontal="center" readingOrder="0"/>
    </xf>
    <xf borderId="11" fillId="17" fontId="68" numFmtId="0" xfId="0" applyAlignment="1" applyBorder="1" applyFont="1">
      <alignment horizontal="center" readingOrder="0"/>
    </xf>
    <xf borderId="13" fillId="16"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vertical="center"/>
    </xf>
    <xf borderId="0" fillId="0" fontId="8" numFmtId="0" xfId="0" applyAlignment="1" applyFont="1">
      <alignment horizontal="center" vertical="center"/>
    </xf>
    <xf borderId="0" fillId="0" fontId="8" numFmtId="0" xfId="0" applyAlignment="1" applyFont="1">
      <alignment vertical="center"/>
    </xf>
    <xf borderId="12" fillId="0" fontId="8"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0" fillId="5" fontId="12" numFmtId="0" xfId="0" applyAlignment="1" applyFont="1">
      <alignment horizontal="center" readingOrder="0" shrinkToFit="0" vertical="center" wrapText="1"/>
    </xf>
    <xf borderId="0" fillId="5" fontId="12" numFmtId="0" xfId="0" applyAlignment="1" applyFont="1">
      <alignment horizontal="center" shrinkToFit="0" vertical="center" wrapText="1"/>
    </xf>
    <xf borderId="0" fillId="5" fontId="8" numFmtId="0" xfId="0" applyAlignment="1" applyFont="1">
      <alignment horizontal="center" shrinkToFit="0" wrapText="1"/>
    </xf>
    <xf borderId="0" fillId="5" fontId="8" numFmtId="0" xfId="0" applyAlignment="1" applyFont="1">
      <alignment horizontal="center" shrinkToFit="0" vertical="center" wrapText="1"/>
    </xf>
    <xf borderId="0" fillId="5" fontId="63" numFmtId="0" xfId="0" applyAlignment="1" applyFont="1">
      <alignment horizontal="center" readingOrder="0" shrinkToFit="0" vertical="center" wrapText="1"/>
    </xf>
    <xf borderId="0" fillId="4" fontId="49" numFmtId="0" xfId="0" applyAlignment="1" applyFont="1">
      <alignment horizontal="center" shrinkToFit="0" vertical="center" wrapText="1"/>
    </xf>
    <xf borderId="0" fillId="4" fontId="49" numFmtId="0" xfId="0" applyAlignment="1" applyFont="1">
      <alignment horizontal="center" shrinkToFit="0" vertical="center" wrapText="1"/>
    </xf>
    <xf borderId="0" fillId="4" fontId="49" numFmtId="0" xfId="0" applyAlignment="1" applyFont="1">
      <alignment horizontal="center" readingOrder="0" shrinkToFit="0" vertical="center" wrapText="1"/>
    </xf>
    <xf borderId="0" fillId="3" fontId="24" numFmtId="0" xfId="0" applyAlignment="1" applyFont="1">
      <alignment horizontal="center" shrinkToFit="0" vertical="center" wrapText="1"/>
    </xf>
    <xf borderId="0" fillId="2" fontId="24" numFmtId="0" xfId="0" applyAlignment="1" applyFont="1">
      <alignment horizontal="center" shrinkToFit="0" vertical="center" wrapText="1"/>
    </xf>
    <xf borderId="0" fillId="2" fontId="1" numFmtId="0" xfId="0" applyAlignment="1" applyFont="1">
      <alignment horizontal="center" shrinkToFit="0" vertical="center" wrapText="1"/>
    </xf>
    <xf borderId="0" fillId="4" fontId="24" numFmtId="0" xfId="0" applyAlignment="1" applyFont="1">
      <alignment horizontal="center" shrinkToFit="0" vertical="center" wrapText="1"/>
    </xf>
    <xf borderId="0" fillId="3" fontId="74" numFmtId="0" xfId="0" applyAlignment="1" applyFont="1">
      <alignment horizontal="center" shrinkToFit="0" vertical="center" wrapText="1"/>
    </xf>
    <xf borderId="0" fillId="2" fontId="74" numFmtId="0" xfId="0" applyAlignment="1" applyFont="1">
      <alignment horizontal="center" shrinkToFit="0" vertical="center" wrapText="1"/>
    </xf>
    <xf borderId="0" fillId="3" fontId="75" numFmtId="0" xfId="0" applyAlignment="1" applyFont="1">
      <alignment horizontal="center" shrinkToFit="0" vertical="center" wrapText="1"/>
    </xf>
    <xf borderId="0" fillId="2" fontId="75" numFmtId="0" xfId="0" applyAlignment="1" applyFont="1">
      <alignment horizontal="center" readingOrder="0" shrinkToFit="0" vertical="center" wrapText="1"/>
    </xf>
    <xf borderId="0" fillId="2" fontId="75" numFmtId="0" xfId="0" applyAlignment="1" applyFont="1">
      <alignment horizontal="center" shrinkToFit="0" vertical="center" wrapText="1"/>
    </xf>
    <xf borderId="0" fillId="4" fontId="75" numFmtId="0" xfId="0" applyAlignment="1" applyFont="1">
      <alignment horizontal="center" shrinkToFit="0" vertical="center" wrapText="1"/>
    </xf>
    <xf borderId="0" fillId="2" fontId="24" numFmtId="0" xfId="0" applyAlignment="1" applyFont="1">
      <alignment horizontal="center" readingOrder="0" shrinkToFit="0" vertical="center" wrapText="1"/>
    </xf>
    <xf borderId="0" fillId="6" fontId="8" numFmtId="0" xfId="0" applyAlignment="1" applyFont="1">
      <alignment horizontal="center" shrinkToFit="0" vertical="center" wrapText="1"/>
    </xf>
    <xf borderId="0" fillId="6" fontId="8" numFmtId="0" xfId="0" applyAlignment="1" applyFont="1">
      <alignment horizontal="center" shrinkToFit="0" vertical="center" wrapText="1"/>
    </xf>
    <xf borderId="0" fillId="6" fontId="8" numFmtId="0" xfId="0" applyAlignment="1" applyFont="1">
      <alignment horizontal="center" readingOrder="0" shrinkToFit="0" vertical="center" wrapText="1"/>
    </xf>
    <xf borderId="0" fillId="6" fontId="4" numFmtId="0" xfId="0" applyAlignment="1" applyFont="1">
      <alignment horizontal="center" shrinkToFit="0" wrapText="1"/>
    </xf>
    <xf borderId="0" fillId="6" fontId="6" numFmtId="0" xfId="0" applyAlignment="1" applyFont="1">
      <alignment horizontal="center" shrinkToFit="0" vertical="center" wrapText="1"/>
    </xf>
    <xf borderId="0" fillId="4" fontId="8" numFmtId="0" xfId="0" applyAlignment="1" applyFont="1">
      <alignment horizontal="center" shrinkToFit="0" vertical="center" wrapText="1"/>
    </xf>
    <xf borderId="0" fillId="4" fontId="8" numFmtId="0" xfId="0" applyAlignment="1" applyFont="1">
      <alignment horizontal="center" shrinkToFit="0" vertical="center" wrapText="1"/>
    </xf>
    <xf borderId="0" fillId="2" fontId="6" numFmtId="0" xfId="0" applyAlignment="1" applyFont="1">
      <alignment horizontal="center" shrinkToFit="0" vertical="center" wrapText="1"/>
    </xf>
    <xf borderId="0" fillId="4" fontId="6" numFmtId="0" xfId="0" applyAlignment="1" applyFont="1">
      <alignment horizontal="center" shrinkToFit="0" vertical="center" wrapText="1"/>
    </xf>
    <xf borderId="0" fillId="3" fontId="12" numFmtId="0" xfId="0" applyAlignment="1" applyFont="1">
      <alignment horizontal="center" shrinkToFit="0" vertical="center" wrapText="1"/>
    </xf>
    <xf borderId="0" fillId="4" fontId="12" numFmtId="0" xfId="0" applyAlignment="1" applyFont="1">
      <alignment horizontal="center" shrinkToFit="0" vertical="center" wrapText="1"/>
    </xf>
    <xf borderId="0" fillId="4" fontId="8" numFmtId="0" xfId="0" applyAlignment="1" applyFont="1">
      <alignment horizontal="center" readingOrder="0" shrinkToFit="0" vertical="center" wrapText="1"/>
    </xf>
    <xf borderId="0" fillId="4" fontId="6" numFmtId="0" xfId="0" applyAlignment="1" applyFont="1">
      <alignment horizontal="center" readingOrder="0" shrinkToFit="0" vertical="center" wrapText="1"/>
    </xf>
    <xf borderId="0" fillId="3" fontId="57" numFmtId="0" xfId="0" applyAlignment="1" applyFont="1">
      <alignment horizontal="center" readingOrder="0" shrinkToFit="0" vertical="center" wrapText="1"/>
    </xf>
    <xf borderId="0" fillId="4" fontId="12" numFmtId="0" xfId="0" applyAlignment="1" applyFont="1">
      <alignment horizontal="center" readingOrder="0" shrinkToFit="0" vertical="center" wrapText="1"/>
    </xf>
    <xf borderId="0" fillId="6" fontId="8" numFmtId="0" xfId="0" applyAlignment="1" applyFont="1">
      <alignment horizontal="center" readingOrder="0" shrinkToFit="0" wrapText="1"/>
    </xf>
    <xf borderId="0" fillId="3" fontId="57" numFmtId="0" xfId="0" applyAlignment="1" applyFont="1">
      <alignment horizontal="center" shrinkToFit="0" vertical="center" wrapText="1"/>
    </xf>
    <xf borderId="0" fillId="3" fontId="60" numFmtId="0" xfId="0" applyAlignment="1" applyFont="1">
      <alignment horizontal="center" shrinkToFit="0" vertical="center" wrapText="1"/>
    </xf>
    <xf borderId="0" fillId="6" fontId="4" numFmtId="0" xfId="0" applyAlignment="1" applyFont="1">
      <alignment horizontal="center" shrinkToFit="0" vertical="center" wrapText="1"/>
    </xf>
    <xf borderId="0" fillId="6" fontId="8" numFmtId="0" xfId="0" applyAlignment="1" applyFont="1">
      <alignment horizontal="center" shrinkToFit="0" wrapText="1"/>
    </xf>
    <xf borderId="0" fillId="6" fontId="25" numFmtId="0" xfId="0" applyAlignment="1" applyFont="1">
      <alignment vertical="center"/>
    </xf>
    <xf borderId="0" fillId="4" fontId="51" numFmtId="0" xfId="0" applyAlignment="1" applyFont="1">
      <alignment vertical="center"/>
    </xf>
    <xf borderId="0" fillId="6" fontId="4" numFmtId="0" xfId="0" applyAlignment="1" applyFont="1">
      <alignment horizontal="center" readingOrder="0" shrinkToFit="0" vertical="center" wrapText="1"/>
    </xf>
    <xf borderId="0" fillId="3" fontId="12" numFmtId="0" xfId="0" applyAlignment="1" applyFont="1">
      <alignment horizontal="center" readingOrder="0" shrinkToFit="0" vertical="center" wrapText="1"/>
    </xf>
    <xf borderId="0" fillId="18" fontId="49" numFmtId="0" xfId="0" applyAlignment="1" applyFill="1" applyFont="1">
      <alignment horizontal="center" readingOrder="0" shrinkToFit="0" vertical="center" wrapText="1"/>
    </xf>
    <xf borderId="0" fillId="18" fontId="1" numFmtId="0" xfId="0" applyAlignment="1" applyFont="1">
      <alignment horizontal="center" shrinkToFit="0" vertical="center" wrapText="1"/>
    </xf>
    <xf borderId="0" fillId="18" fontId="49" numFmtId="0" xfId="0" applyAlignment="1" applyFont="1">
      <alignment horizontal="center" shrinkToFit="0" vertical="center" wrapText="1"/>
    </xf>
    <xf borderId="0" fillId="18" fontId="1" numFmtId="0" xfId="0" applyAlignment="1" applyFont="1">
      <alignment horizontal="center" readingOrder="0" shrinkToFit="0" vertical="center" wrapText="1"/>
    </xf>
    <xf borderId="0" fillId="3" fontId="75" numFmtId="0" xfId="0" applyAlignment="1" applyFont="1">
      <alignment horizontal="center" vertical="center"/>
    </xf>
    <xf borderId="0" fillId="2" fontId="75" numFmtId="0" xfId="0" applyAlignment="1" applyFont="1">
      <alignment horizontal="center" vertical="center"/>
    </xf>
    <xf borderId="0" fillId="18" fontId="8" numFmtId="0" xfId="0" applyAlignment="1" applyFont="1">
      <alignment horizontal="center" readingOrder="0" shrinkToFit="0" vertical="center" wrapText="1"/>
    </xf>
    <xf borderId="0" fillId="18" fontId="12" numFmtId="0" xfId="0" applyAlignment="1" applyFont="1">
      <alignment horizontal="center" readingOrder="0" shrinkToFit="0" vertical="center" wrapText="1"/>
    </xf>
    <xf borderId="0" fillId="3" fontId="6" numFmtId="0" xfId="0" applyAlignment="1" applyFont="1">
      <alignment horizontal="center" readingOrder="0" vertical="center"/>
    </xf>
    <xf borderId="0" fillId="2" fontId="6" numFmtId="0" xfId="0" applyAlignment="1" applyFont="1">
      <alignment horizontal="center" vertical="center"/>
    </xf>
    <xf borderId="0" fillId="18" fontId="8" numFmtId="0" xfId="0" applyAlignment="1" applyFont="1">
      <alignment horizontal="center" shrinkToFit="0" vertical="center" wrapText="1"/>
    </xf>
    <xf borderId="0" fillId="18" fontId="8" numFmtId="0" xfId="0" applyAlignment="1" applyFont="1">
      <alignment horizontal="center" shrinkToFit="0" vertical="center" wrapText="1"/>
    </xf>
    <xf borderId="0" fillId="3" fontId="6" numFmtId="0" xfId="0" applyAlignment="1" applyFont="1">
      <alignment horizontal="center" vertical="center"/>
    </xf>
    <xf borderId="0" fillId="2" fontId="6" numFmtId="0" xfId="0" applyAlignment="1" applyFont="1">
      <alignment horizontal="center" readingOrder="0" vertical="center"/>
    </xf>
    <xf borderId="0" fillId="3" fontId="66" numFmtId="0" xfId="0" applyAlignment="1" applyFont="1">
      <alignment horizontal="center" readingOrder="0" shrinkToFit="0" vertical="center" wrapText="1"/>
    </xf>
    <xf borderId="0" fillId="2" fontId="66" numFmtId="0" xfId="0" applyAlignment="1" applyFont="1">
      <alignment horizontal="center" readingOrder="0" shrinkToFit="0" vertical="center" wrapText="1"/>
    </xf>
    <xf borderId="0" fillId="2" fontId="59" numFmtId="0" xfId="0" applyAlignment="1" applyFont="1">
      <alignment horizontal="center" readingOrder="0" shrinkToFit="0" vertical="center" wrapText="1"/>
    </xf>
    <xf borderId="0" fillId="3" fontId="67" numFmtId="0" xfId="0" applyAlignment="1" applyFont="1">
      <alignment horizontal="center" shrinkToFit="0" vertical="center" wrapText="1"/>
    </xf>
    <xf borderId="0" fillId="18" fontId="8" numFmtId="0" xfId="0" applyAlignment="1" applyFont="1">
      <alignment shrinkToFit="0" vertical="center" wrapText="1"/>
    </xf>
    <xf borderId="0" fillId="3" fontId="8" numFmtId="0" xfId="0" applyAlignment="1" applyFont="1">
      <alignment vertical="center"/>
    </xf>
    <xf borderId="0" fillId="18" fontId="75" numFmtId="0" xfId="0" applyAlignment="1" applyFont="1">
      <alignment horizontal="center" vertical="center"/>
    </xf>
    <xf borderId="0" fillId="18" fontId="6" numFmtId="0" xfId="0" applyAlignment="1" applyFont="1">
      <alignment horizontal="center" readingOrder="0" vertical="center"/>
    </xf>
    <xf borderId="0" fillId="2" fontId="12" numFmtId="0" xfId="0" applyAlignment="1" applyFont="1">
      <alignment horizontal="center" shrinkToFit="0" vertical="center" wrapText="1"/>
    </xf>
    <xf borderId="0" fillId="18" fontId="6" numFmtId="0" xfId="0" applyAlignment="1" applyFont="1">
      <alignment horizontal="center" vertical="center"/>
    </xf>
    <xf borderId="0" fillId="18" fontId="12" numFmtId="0" xfId="0" applyAlignment="1" applyFont="1">
      <alignment horizontal="center" shrinkToFit="0" vertical="center" wrapText="1"/>
    </xf>
    <xf borderId="0" fillId="2" fontId="6" numFmtId="0" xfId="0" applyAlignment="1" applyFont="1">
      <alignment horizontal="center" vertical="center"/>
    </xf>
    <xf borderId="0" fillId="18" fontId="6" numFmtId="0" xfId="0" applyAlignment="1" applyFont="1">
      <alignment horizontal="center" readingOrder="0" shrinkToFit="0" vertical="center" wrapText="1"/>
    </xf>
    <xf borderId="0" fillId="18" fontId="6" numFmtId="0" xfId="0" applyAlignment="1" applyFont="1">
      <alignment horizontal="center" vertical="center"/>
    </xf>
    <xf borderId="0" fillId="18" fontId="62" numFmtId="0" xfId="0" applyAlignment="1" applyFont="1">
      <alignment horizontal="center" readingOrder="0" shrinkToFit="0" vertical="center" wrapText="1"/>
    </xf>
    <xf borderId="0" fillId="18" fontId="67" numFmtId="0" xfId="0" applyAlignment="1" applyFont="1">
      <alignment horizontal="center" shrinkToFit="0" vertical="center" wrapText="1"/>
    </xf>
    <xf borderId="0" fillId="2" fontId="76" numFmtId="0" xfId="0" applyAlignment="1" applyFont="1">
      <alignment horizontal="center" shrinkToFit="0" vertical="center" wrapText="1"/>
    </xf>
    <xf borderId="0" fillId="18" fontId="6" numFmtId="0" xfId="0" applyAlignment="1" applyFont="1">
      <alignment vertical="center"/>
    </xf>
    <xf borderId="0" fillId="0" fontId="6" numFmtId="0" xfId="0" applyAlignment="1" applyFont="1">
      <alignment vertical="center"/>
    </xf>
    <xf borderId="0" fillId="18" fontId="6" numFmtId="0" xfId="0" applyAlignment="1" applyFont="1">
      <alignment horizontal="center" shrinkToFit="0" vertical="center" wrapText="1"/>
    </xf>
    <xf borderId="0" fillId="18" fontId="49" numFmtId="0" xfId="0" applyAlignment="1" applyFont="1">
      <alignment horizontal="center" shrinkToFit="0" vertical="center" wrapText="1"/>
    </xf>
    <xf borderId="0" fillId="18" fontId="77" numFmtId="0" xfId="0" applyAlignment="1" applyFont="1">
      <alignment horizontal="center" shrinkToFit="0" vertical="center" wrapText="1"/>
    </xf>
    <xf borderId="0" fillId="2" fontId="77" numFmtId="0" xfId="0" applyAlignment="1" applyFont="1">
      <alignment horizontal="center" shrinkToFit="0" vertical="center" wrapText="1"/>
    </xf>
    <xf borderId="0" fillId="0" fontId="49" numFmtId="0" xfId="0" applyAlignment="1" applyFont="1">
      <alignment horizontal="center" shrinkToFit="0" vertical="center" wrapText="1"/>
    </xf>
    <xf borderId="0" fillId="18" fontId="51" numFmtId="0" xfId="0" applyAlignment="1" applyFont="1">
      <alignment horizontal="center" shrinkToFit="0" vertical="center" wrapText="1"/>
    </xf>
    <xf borderId="0" fillId="2" fontId="51" numFmtId="0" xfId="0" applyAlignment="1" applyFont="1">
      <alignment horizontal="center" shrinkToFit="0" vertical="center" wrapText="1"/>
    </xf>
    <xf borderId="0" fillId="18" fontId="51" numFmtId="0" xfId="0" applyAlignment="1" applyFont="1">
      <alignment horizontal="center" readingOrder="0" shrinkToFit="0" vertical="center" wrapText="1"/>
    </xf>
    <xf borderId="0" fillId="2" fontId="78" numFmtId="0" xfId="0" applyAlignment="1" applyFont="1">
      <alignment horizontal="center" shrinkToFit="0" vertical="center" wrapText="1"/>
    </xf>
    <xf borderId="0" fillId="18" fontId="59" numFmtId="0" xfId="0" applyAlignment="1" applyFont="1">
      <alignment horizontal="center" readingOrder="0" shrinkToFit="0" vertical="center" wrapText="1"/>
    </xf>
    <xf borderId="0" fillId="2" fontId="59" numFmtId="0" xfId="0" applyAlignment="1" applyFont="1">
      <alignment horizontal="center" shrinkToFit="0" vertical="center" wrapText="1"/>
    </xf>
    <xf borderId="0" fillId="18" fontId="78" numFmtId="0" xfId="0" applyAlignment="1" applyFont="1">
      <alignment horizontal="center" readingOrder="0" shrinkToFit="0" vertical="center" wrapText="1"/>
    </xf>
    <xf borderId="0" fillId="18" fontId="67" numFmtId="0" xfId="0" applyAlignment="1" applyFont="1">
      <alignment horizontal="center" readingOrder="0" shrinkToFit="0" vertical="center" wrapText="1"/>
    </xf>
    <xf borderId="0" fillId="0" fontId="8" numFmtId="0" xfId="0" applyAlignment="1" applyFont="1">
      <alignment shrinkToFit="0" vertical="center" wrapText="1"/>
    </xf>
    <xf borderId="0" fillId="18" fontId="6" numFmtId="0" xfId="0" applyFont="1"/>
    <xf borderId="0" fillId="8" fontId="3" numFmtId="0" xfId="0" applyAlignment="1" applyFont="1">
      <alignment horizontal="center" shrinkToFit="0" vertical="center" wrapText="1"/>
    </xf>
    <xf borderId="0" fillId="2" fontId="78" numFmtId="0" xfId="0" applyAlignment="1" applyFont="1">
      <alignment readingOrder="0" shrinkToFit="0" vertical="center" wrapText="1"/>
    </xf>
    <xf borderId="0" fillId="2" fontId="78" numFmtId="0" xfId="0" applyAlignment="1" applyFont="1">
      <alignment horizontal="left" shrinkToFit="0" vertical="center" wrapText="1"/>
    </xf>
    <xf borderId="0" fillId="2" fontId="78" numFmtId="0" xfId="0" applyAlignment="1" applyFont="1">
      <alignment horizontal="left" readingOrder="0" shrinkToFit="0" vertical="center" wrapText="1"/>
    </xf>
    <xf borderId="0" fillId="2" fontId="78" numFmtId="0" xfId="0" applyAlignment="1" applyFont="1">
      <alignment shrinkToFit="0" vertical="center" wrapText="1"/>
    </xf>
    <xf borderId="0" fillId="2" fontId="12" numFmtId="0" xfId="0" applyAlignment="1" applyFont="1">
      <alignment shrinkToFit="0" vertical="center" wrapText="1"/>
    </xf>
    <xf borderId="0" fillId="2" fontId="78" numFmtId="0" xfId="0" applyAlignment="1" applyFont="1">
      <alignment horizontal="center" shrinkToFit="0" vertical="center" wrapText="1"/>
    </xf>
    <xf borderId="0" fillId="19" fontId="66" numFmtId="0" xfId="0" applyAlignment="1" applyFill="1" applyFont="1">
      <alignment horizontal="center" shrinkToFit="0" vertical="center" wrapText="1"/>
    </xf>
    <xf borderId="0" fillId="8" fontId="59" numFmtId="0" xfId="0" applyAlignment="1" applyFont="1">
      <alignment horizontal="center" shrinkToFit="0" vertical="center" wrapText="1"/>
    </xf>
    <xf borderId="0" fillId="2" fontId="51" numFmtId="0" xfId="0" applyAlignment="1" applyFont="1">
      <alignment shrinkToFit="0" vertical="center" wrapText="1"/>
    </xf>
    <xf borderId="0" fillId="19" fontId="51" numFmtId="0" xfId="0" applyAlignment="1" applyFont="1">
      <alignment horizontal="center" shrinkToFit="0" vertical="center" wrapText="1"/>
    </xf>
    <xf borderId="0" fillId="8" fontId="51" numFmtId="0" xfId="0" applyAlignment="1" applyFont="1">
      <alignment horizontal="center" shrinkToFit="0" vertical="center" wrapText="1"/>
    </xf>
    <xf borderId="0" fillId="3" fontId="79" numFmtId="0" xfId="0" applyAlignment="1" applyFont="1">
      <alignment horizontal="center" shrinkToFit="0" vertical="center" wrapText="1"/>
    </xf>
    <xf borderId="0" fillId="8" fontId="79" numFmtId="0" xfId="0" applyAlignment="1" applyFont="1">
      <alignment horizontal="center" shrinkToFit="0" vertical="center" wrapText="1"/>
    </xf>
    <xf borderId="0" fillId="8" fontId="80" numFmtId="0" xfId="0" applyAlignment="1" applyFont="1">
      <alignment horizontal="center" shrinkToFit="0" vertical="center" wrapText="1"/>
    </xf>
    <xf borderId="0" fillId="8" fontId="80" numFmtId="0" xfId="0" applyAlignment="1" applyFont="1">
      <alignment horizontal="center" readingOrder="0" shrinkToFit="0" vertical="center" wrapText="1"/>
    </xf>
    <xf borderId="0" fillId="3" fontId="79" numFmtId="0" xfId="0" applyAlignment="1" applyFont="1">
      <alignment horizontal="center" readingOrder="0" shrinkToFit="0" vertical="center" wrapText="1"/>
    </xf>
    <xf borderId="0" fillId="3" fontId="77" numFmtId="0" xfId="0" applyAlignment="1" applyFont="1">
      <alignment horizontal="center" shrinkToFit="0" vertical="center" wrapText="1"/>
    </xf>
    <xf borderId="0" fillId="8" fontId="77" numFmtId="0" xfId="0" applyAlignment="1" applyFont="1">
      <alignment horizontal="center" shrinkToFit="0" vertical="center" wrapText="1"/>
    </xf>
    <xf borderId="0" fillId="8" fontId="8" numFmtId="0" xfId="0" applyAlignment="1" applyFont="1">
      <alignment shrinkToFit="0" vertical="center" wrapText="1"/>
    </xf>
    <xf borderId="0" fillId="3" fontId="3" numFmtId="0" xfId="0" applyAlignment="1" applyFont="1">
      <alignment horizontal="center" shrinkToFit="0" vertical="center" wrapText="1"/>
    </xf>
    <xf borderId="0" fillId="8" fontId="51" numFmtId="0" xfId="0" applyAlignment="1" applyFont="1">
      <alignment vertical="center"/>
    </xf>
    <xf borderId="0" fillId="2" fontId="51" numFmtId="0" xfId="0" applyAlignment="1" applyFont="1">
      <alignment horizontal="center" vertical="center"/>
    </xf>
    <xf borderId="0" fillId="8" fontId="51" numFmtId="0" xfId="0" applyAlignment="1" applyFont="1">
      <alignment shrinkToFit="0" vertical="center" wrapText="1"/>
    </xf>
    <xf borderId="0" fillId="8" fontId="8" numFmtId="0" xfId="0" applyAlignment="1" applyFont="1">
      <alignment vertical="center"/>
    </xf>
    <xf borderId="0" fillId="8" fontId="5" numFmtId="0" xfId="0" applyAlignment="1" applyFont="1">
      <alignment horizontal="center" shrinkToFit="0" vertical="center" wrapText="1"/>
    </xf>
    <xf borderId="0" fillId="2" fontId="7" numFmtId="0" xfId="0" applyAlignment="1" applyFont="1">
      <alignment horizontal="center" shrinkToFit="0" vertical="center" wrapText="1"/>
    </xf>
    <xf borderId="0" fillId="2" fontId="78" numFmtId="0" xfId="0" applyAlignment="1" applyFont="1">
      <alignment horizontal="center" readingOrder="0" shrinkToFit="0" vertical="center" wrapText="1"/>
    </xf>
    <xf borderId="0" fillId="8" fontId="3" numFmtId="0" xfId="0" applyAlignment="1" applyFont="1">
      <alignment shrinkToFit="0" vertical="center" wrapText="1"/>
    </xf>
    <xf borderId="0" fillId="8" fontId="3" numFmtId="0" xfId="0" applyAlignment="1" applyFont="1">
      <alignment horizontal="center" readingOrder="0" shrinkToFit="0" vertical="center" wrapText="1"/>
    </xf>
    <xf borderId="0" fillId="8" fontId="8" numFmtId="0" xfId="0" applyAlignment="1" applyFont="1">
      <alignment horizontal="center" readingOrder="0" shrinkToFit="0" vertical="center" wrapText="1"/>
    </xf>
    <xf borderId="0" fillId="8" fontId="5" numFmtId="0" xfId="0" applyAlignment="1" applyFont="1">
      <alignment horizontal="center" shrinkToFit="0" vertical="center" wrapText="1"/>
    </xf>
    <xf borderId="0" fillId="8" fontId="8" numFmtId="0" xfId="0" applyAlignment="1" applyFont="1">
      <alignment horizontal="center" shrinkToFit="0" vertical="center" wrapText="1"/>
    </xf>
    <xf borderId="0" fillId="2" fontId="8" numFmtId="0" xfId="0" applyAlignment="1" applyFont="1">
      <alignment readingOrder="0" vertical="center"/>
    </xf>
    <xf borderId="0" fillId="3" fontId="3" numFmtId="0" xfId="0" applyAlignment="1" applyFont="1">
      <alignment shrinkToFit="0" wrapText="1"/>
    </xf>
    <xf borderId="0" fillId="2" fontId="3" numFmtId="0" xfId="0" applyAlignment="1" applyFont="1">
      <alignment horizontal="center" shrinkToFit="0" wrapText="1"/>
    </xf>
    <xf borderId="0" fillId="2" fontId="5" numFmtId="0" xfId="0" applyAlignment="1" applyFont="1">
      <alignment horizontal="center"/>
    </xf>
    <xf borderId="0" fillId="2" fontId="5" numFmtId="0" xfId="0" applyFont="1"/>
    <xf borderId="0" fillId="3" fontId="3" numFmtId="0" xfId="0" applyAlignment="1" applyFont="1">
      <alignment horizontal="center" shrinkToFit="0" wrapText="1"/>
    </xf>
    <xf borderId="0" fillId="8" fontId="3" numFmtId="0" xfId="0" applyAlignment="1" applyFont="1">
      <alignment horizontal="center" shrinkToFit="0" wrapText="1"/>
    </xf>
    <xf borderId="0" fillId="3" fontId="3" numFmtId="0" xfId="0" applyAlignment="1" applyFont="1">
      <alignment horizontal="left" shrinkToFit="0" wrapText="1"/>
    </xf>
    <xf borderId="0" fillId="2" fontId="5" numFmtId="0" xfId="0" applyAlignment="1" applyFont="1">
      <alignment horizontal="center" shrinkToFit="0" wrapText="1"/>
    </xf>
    <xf borderId="0" fillId="2" fontId="5" numFmtId="0" xfId="0" applyAlignment="1" applyFont="1">
      <alignment horizontal="center" shrinkToFit="0" vertical="center" wrapText="1"/>
    </xf>
    <xf borderId="0" fillId="3" fontId="8" numFmtId="0" xfId="0" applyAlignment="1" applyFont="1">
      <alignment horizontal="center" shrinkToFit="0" wrapText="1"/>
    </xf>
    <xf borderId="0" fillId="2" fontId="8" numFmtId="0" xfId="0" applyAlignment="1" applyFont="1">
      <alignment horizontal="center" shrinkToFit="0" wrapText="1"/>
    </xf>
    <xf borderId="0" fillId="2" fontId="51" numFmtId="0" xfId="0" applyAlignment="1" applyFont="1">
      <alignment horizontal="center" shrinkToFit="0" wrapText="1"/>
    </xf>
    <xf borderId="0" fillId="3" fontId="51" numFmtId="0" xfId="0" applyAlignment="1" applyFont="1">
      <alignment horizontal="center" shrinkToFit="0" wrapText="1"/>
    </xf>
    <xf borderId="0" fillId="2" fontId="51" numFmtId="0" xfId="0" applyAlignment="1" applyFont="1">
      <alignment horizontal="center"/>
    </xf>
    <xf borderId="0" fillId="4" fontId="8" numFmtId="0" xfId="0" applyAlignment="1" applyFont="1">
      <alignment horizontal="left" readingOrder="0" shrinkToFit="0" vertical="center" wrapText="1"/>
    </xf>
    <xf borderId="0" fillId="4" fontId="8" numFmtId="0" xfId="0" applyAlignment="1" applyFont="1">
      <alignment horizontal="left" shrinkToFit="0" vertical="center" wrapText="1"/>
    </xf>
    <xf borderId="0" fillId="4" fontId="8" numFmtId="0" xfId="0" applyAlignment="1" applyFont="1">
      <alignment readingOrder="0" shrinkToFit="0" vertical="center" wrapText="1"/>
    </xf>
    <xf borderId="0" fillId="4" fontId="6" numFmtId="0" xfId="0" applyAlignment="1" applyFont="1">
      <alignment horizontal="left" readingOrder="0" shrinkToFit="0" vertical="center" wrapText="1"/>
    </xf>
    <xf borderId="0" fillId="4" fontId="8" numFmtId="0" xfId="0" applyAlignment="1" applyFont="1">
      <alignment shrinkToFit="0" vertical="center" wrapText="1"/>
    </xf>
    <xf borderId="0" fillId="4" fontId="6" numFmtId="0" xfId="0" applyAlignment="1" applyFont="1">
      <alignment horizontal="left" shrinkToFit="0" vertical="center" wrapText="1"/>
    </xf>
    <xf borderId="0" fillId="4" fontId="8" numFmtId="0" xfId="0" applyAlignment="1" applyFont="1">
      <alignment horizontal="left" shrinkToFit="0" vertical="center" wrapText="1"/>
    </xf>
    <xf borderId="0" fillId="4" fontId="8" numFmtId="0" xfId="0" applyAlignment="1" applyFont="1">
      <alignment shrinkToFit="0" vertical="center" wrapText="1"/>
    </xf>
    <xf borderId="0" fillId="2" fontId="68" numFmtId="0" xfId="0" applyAlignment="1" applyFont="1">
      <alignment horizontal="left" readingOrder="0" shrinkToFit="0" vertical="center" wrapText="1"/>
    </xf>
    <xf borderId="0" fillId="2" fontId="73" numFmtId="0" xfId="0" applyAlignment="1" applyFont="1">
      <alignment horizontal="left" readingOrder="0" shrinkToFit="0" vertical="center" wrapText="1"/>
    </xf>
    <xf borderId="0" fillId="4" fontId="62" numFmtId="0" xfId="0" applyAlignment="1" applyFont="1">
      <alignment horizontal="left" readingOrder="0" shrinkToFit="0" vertical="center" wrapText="1"/>
    </xf>
    <xf borderId="0" fillId="4" fontId="51" numFmtId="0" xfId="0" applyAlignment="1" applyFont="1">
      <alignment horizontal="left" shrinkToFit="0" vertical="center" wrapText="1"/>
    </xf>
    <xf borderId="0" fillId="4" fontId="51" numFmtId="0" xfId="0" applyAlignment="1" applyFont="1">
      <alignment horizontal="left" readingOrder="0" shrinkToFit="0" vertical="center" wrapText="1"/>
    </xf>
    <xf borderId="0" fillId="2" fontId="8" numFmtId="0" xfId="0" applyAlignment="1" applyFont="1">
      <alignment shrinkToFit="0" vertical="bottom" wrapText="1"/>
    </xf>
    <xf borderId="0" fillId="4" fontId="8" numFmtId="0" xfId="0" applyAlignment="1" applyFont="1">
      <alignment shrinkToFit="0" vertical="bottom" wrapText="1"/>
    </xf>
    <xf borderId="0" fillId="2" fontId="8" numFmtId="0" xfId="0" applyAlignment="1" applyFont="1">
      <alignment horizontal="left" readingOrder="0" shrinkToFit="0" vertical="top" wrapText="1"/>
    </xf>
    <xf borderId="0" fillId="4" fontId="8" numFmtId="0" xfId="0" applyAlignment="1" applyFont="1">
      <alignment horizontal="left" readingOrder="0" shrinkToFit="0" vertical="top" wrapText="1"/>
    </xf>
    <xf borderId="0" fillId="2" fontId="8" numFmtId="0" xfId="0" applyAlignment="1" applyFont="1">
      <alignment horizontal="left" shrinkToFit="0" vertical="top" wrapText="1"/>
    </xf>
    <xf borderId="0" fillId="4" fontId="8" numFmtId="0" xfId="0" applyAlignment="1" applyFont="1">
      <alignment horizontal="left" shrinkToFit="0" vertical="top" wrapText="1"/>
    </xf>
    <xf borderId="0" fillId="2" fontId="8" numFmtId="0" xfId="0" applyAlignment="1" applyFont="1">
      <alignment readingOrder="0" shrinkToFit="0" vertical="top" wrapText="1"/>
    </xf>
    <xf borderId="0" fillId="4" fontId="8" numFmtId="0" xfId="0" applyAlignment="1" applyFont="1">
      <alignment shrinkToFit="0" vertical="top" wrapText="1"/>
    </xf>
    <xf borderId="0" fillId="4" fontId="6" numFmtId="0" xfId="0" applyAlignment="1" applyFont="1">
      <alignment horizontal="left" readingOrder="0" shrinkToFit="0" vertical="top" wrapText="1"/>
    </xf>
    <xf borderId="0" fillId="0" fontId="8" numFmtId="0" xfId="0" applyAlignment="1" applyFont="1">
      <alignment horizontal="left" shrinkToFit="0" vertical="top" wrapText="1"/>
    </xf>
    <xf borderId="0" fillId="4" fontId="51" numFmtId="0" xfId="0" applyAlignment="1" applyFont="1">
      <alignment shrinkToFit="0" vertical="center" wrapText="1"/>
    </xf>
    <xf borderId="0" fillId="3"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3" fontId="1" numFmtId="0" xfId="0" applyAlignment="1" applyFont="1">
      <alignment horizontal="center" shrinkToFit="0" vertical="center" wrapText="1"/>
    </xf>
    <xf borderId="0" fillId="4" fontId="1" numFmtId="0" xfId="0" applyAlignment="1" applyFont="1">
      <alignment horizontal="center" shrinkToFit="0" vertical="center" wrapText="1"/>
    </xf>
    <xf borderId="0" fillId="9" fontId="1" numFmtId="0" xfId="0" applyAlignment="1" applyFont="1">
      <alignment horizontal="center" shrinkToFit="0" vertical="center" wrapText="1"/>
    </xf>
    <xf borderId="0" fillId="3" fontId="25" numFmtId="0" xfId="0" applyAlignment="1" applyFont="1">
      <alignment horizontal="center" shrinkToFit="0" vertical="center" wrapText="1"/>
    </xf>
    <xf borderId="0" fillId="2" fontId="25" numFmtId="0" xfId="0" applyAlignment="1" applyFont="1">
      <alignment horizontal="center" shrinkToFit="0" vertical="center" wrapText="1"/>
    </xf>
    <xf borderId="0" fillId="4" fontId="25" numFmtId="0" xfId="0" applyAlignment="1" applyFont="1">
      <alignment horizontal="center" shrinkToFit="0" vertical="center" wrapText="1"/>
    </xf>
    <xf borderId="0" fillId="9" fontId="25" numFmtId="0" xfId="0" applyAlignment="1" applyFont="1">
      <alignment horizontal="center" shrinkToFit="0" vertical="center" wrapText="1"/>
    </xf>
    <xf borderId="0" fillId="3" fontId="1" numFmtId="0" xfId="0" applyAlignment="1" applyFont="1">
      <alignment horizontal="center" shrinkToFit="0" vertical="center" wrapText="1"/>
    </xf>
    <xf borderId="0" fillId="4" fontId="1" numFmtId="0" xfId="0" applyAlignment="1" applyFont="1">
      <alignment horizontal="center" shrinkToFit="0" vertical="center" wrapText="1"/>
    </xf>
    <xf borderId="0" fillId="9"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9" fontId="12" numFmtId="0" xfId="0" applyAlignment="1" applyFont="1">
      <alignment horizontal="center" readingOrder="0" shrinkToFit="0" vertical="center" wrapText="1"/>
    </xf>
    <xf borderId="0" fillId="9" fontId="12" numFmtId="0" xfId="0" applyAlignment="1" applyFont="1">
      <alignment horizontal="center" shrinkToFit="0" vertical="center" wrapText="1"/>
    </xf>
    <xf borderId="0" fillId="3" fontId="61" numFmtId="0" xfId="0" applyAlignment="1" applyFont="1">
      <alignment horizontal="center" readingOrder="0" shrinkToFit="0" vertical="center" wrapText="1"/>
    </xf>
    <xf borderId="0" fillId="4" fontId="51" numFmtId="0" xfId="0" applyAlignment="1" applyFont="1">
      <alignment horizontal="center" shrinkToFit="0" vertical="center" wrapText="1"/>
    </xf>
    <xf borderId="0" fillId="9" fontId="51"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4" fontId="51" numFmtId="0" xfId="0" applyAlignment="1" applyFont="1">
      <alignment horizontal="center" readingOrder="0" shrinkToFit="0" vertical="center" wrapText="1"/>
    </xf>
    <xf borderId="0" fillId="3" fontId="78" numFmtId="0" xfId="0" applyAlignment="1" applyFont="1">
      <alignment horizontal="center" shrinkToFit="0" vertical="center" wrapText="1"/>
    </xf>
    <xf borderId="0" fillId="9" fontId="67" numFmtId="0" xfId="0" applyAlignment="1" applyFont="1">
      <alignment horizontal="center" shrinkToFit="0" vertical="center" wrapText="1"/>
    </xf>
    <xf borderId="0" fillId="9" fontId="51" numFmtId="0" xfId="0" applyAlignment="1" applyFont="1">
      <alignment horizontal="center" vertical="center"/>
    </xf>
    <xf borderId="0" fillId="9" fontId="8" numFmtId="0" xfId="0" applyAlignment="1" applyFont="1">
      <alignment horizontal="center" vertical="center"/>
    </xf>
    <xf borderId="0" fillId="4" fontId="51" numFmtId="0" xfId="0" applyAlignment="1" applyFont="1">
      <alignment horizontal="center" vertical="center"/>
    </xf>
    <xf borderId="0" fillId="4" fontId="8" numFmtId="0" xfId="0" applyAlignment="1" applyFont="1">
      <alignment horizontal="center" vertical="center"/>
    </xf>
    <xf borderId="0" fillId="9" fontId="51" numFmtId="0" xfId="0" applyAlignment="1" applyFont="1">
      <alignment horizontal="center" vertical="center"/>
    </xf>
    <xf borderId="0" fillId="9" fontId="8" numFmtId="0" xfId="0" applyAlignment="1" applyFont="1">
      <alignment horizontal="center" vertical="center"/>
    </xf>
    <xf borderId="0" fillId="0" fontId="12" numFmtId="0" xfId="0" applyAlignment="1" applyFont="1">
      <alignment horizontal="center" shrinkToFit="0" vertical="center" wrapText="1"/>
    </xf>
    <xf borderId="0" fillId="9" fontId="51" numFmtId="0" xfId="0" applyAlignment="1" applyFont="1">
      <alignment horizontal="center" shrinkToFit="0" vertical="center" wrapText="1"/>
    </xf>
    <xf borderId="0" fillId="2" fontId="59" numFmtId="0" xfId="0" applyAlignment="1" applyFont="1">
      <alignment horizontal="center" shrinkToFit="0" vertical="center" wrapText="1"/>
    </xf>
    <xf borderId="0" fillId="4" fontId="59" numFmtId="0" xfId="0" applyAlignment="1" applyFont="1">
      <alignment horizontal="center" shrinkToFit="0" vertical="center" wrapText="1"/>
    </xf>
    <xf borderId="0" fillId="9" fontId="59" numFmtId="0" xfId="0" applyAlignment="1" applyFont="1">
      <alignment horizontal="center" readingOrder="0" shrinkToFit="0" vertical="center" wrapText="1"/>
    </xf>
    <xf borderId="0" fillId="3" fontId="8" numFmtId="0" xfId="0" applyAlignment="1" applyFont="1">
      <alignment horizontal="center" vertical="center"/>
    </xf>
    <xf borderId="0" fillId="2" fontId="8" numFmtId="0" xfId="0" applyAlignment="1" applyFont="1">
      <alignment horizontal="center" vertical="center"/>
    </xf>
    <xf borderId="0" fillId="4" fontId="8" numFmtId="0" xfId="0" applyAlignment="1" applyFont="1">
      <alignment horizontal="center" vertical="center"/>
    </xf>
    <xf borderId="0" fillId="3" fontId="12" numFmtId="0" xfId="0" applyAlignment="1" applyFont="1">
      <alignment horizontal="center" vertical="center"/>
    </xf>
    <xf borderId="0" fillId="2" fontId="12" numFmtId="0" xfId="0" applyAlignment="1" applyFont="1">
      <alignment horizontal="center" vertical="center"/>
    </xf>
    <xf borderId="0" fillId="4" fontId="12" numFmtId="0" xfId="0" applyAlignment="1" applyFont="1">
      <alignment horizontal="center" vertical="center"/>
    </xf>
    <xf borderId="0" fillId="9" fontId="12" numFmtId="0" xfId="0" applyAlignment="1" applyFont="1">
      <alignment horizontal="center" vertical="center"/>
    </xf>
    <xf borderId="0" fillId="16"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2" fontId="60" numFmtId="0" xfId="0" applyAlignment="1" applyFont="1">
      <alignment horizontal="center" readingOrder="0" shrinkToFit="0" vertical="center" wrapText="1"/>
    </xf>
    <xf borderId="0" fillId="16" fontId="51" numFmtId="0" xfId="0" applyAlignment="1" applyFont="1">
      <alignment horizontal="center" shrinkToFit="0" wrapText="1"/>
    </xf>
    <xf borderId="0" fillId="16" fontId="4" numFmtId="0" xfId="0" applyAlignment="1" applyFont="1">
      <alignment horizontal="center" shrinkToFit="0" vertical="center" wrapText="1"/>
    </xf>
    <xf borderId="0" fillId="0" fontId="4" numFmtId="0" xfId="0" applyAlignment="1" applyFont="1">
      <alignment horizontal="center" shrinkToFit="0" vertical="center" wrapText="1"/>
    </xf>
    <xf borderId="0" fillId="16" fontId="12" numFmtId="0" xfId="0" applyAlignment="1" applyFont="1">
      <alignment horizontal="left" readingOrder="0" shrinkToFit="0" vertical="center" wrapText="1"/>
    </xf>
    <xf borderId="0" fillId="16" fontId="8" numFmtId="0" xfId="0" applyAlignment="1" applyFont="1">
      <alignment horizontal="center" shrinkToFit="0" wrapText="1"/>
    </xf>
    <xf borderId="0" fillId="2" fontId="51" numFmtId="0" xfId="0" applyAlignment="1" applyFont="1">
      <alignment horizontal="left" shrinkToFit="0" wrapText="1"/>
    </xf>
    <xf borderId="0" fillId="16" fontId="12" numFmtId="0" xfId="0" applyAlignment="1" applyFont="1">
      <alignment horizontal="left" shrinkToFit="0" vertical="center" wrapText="1"/>
    </xf>
    <xf borderId="0" fillId="16" fontId="8" numFmtId="0" xfId="0" applyAlignment="1" applyFont="1">
      <alignment horizontal="center" readingOrder="0" shrinkToFit="0" wrapText="1"/>
    </xf>
    <xf borderId="0" fillId="16" fontId="81" numFmtId="0" xfId="0" applyAlignment="1" applyFont="1">
      <alignment readingOrder="0" shrinkToFit="0" wrapText="1"/>
    </xf>
    <xf borderId="0" fillId="2" fontId="82" numFmtId="0" xfId="0" applyAlignment="1" applyFont="1">
      <alignment readingOrder="0" shrinkToFit="0" wrapText="1"/>
    </xf>
    <xf borderId="0" fillId="2" fontId="83" numFmtId="0" xfId="0" applyAlignment="1" applyFont="1">
      <alignment shrinkToFit="0" vertical="center" wrapText="1"/>
    </xf>
    <xf borderId="0" fillId="16" fontId="84" numFmtId="0" xfId="0" applyAlignment="1" applyFont="1">
      <alignment horizontal="left" readingOrder="0" shrinkToFit="0" wrapText="1"/>
    </xf>
    <xf borderId="0" fillId="2" fontId="85" numFmtId="0" xfId="0" applyAlignment="1" applyFont="1">
      <alignment horizontal="left" readingOrder="0" shrinkToFit="0" wrapText="1"/>
    </xf>
    <xf borderId="0" fillId="0" fontId="12" numFmtId="0" xfId="0" applyAlignment="1" applyFont="1">
      <alignment horizontal="left" readingOrder="0" shrinkToFit="0" vertical="center" wrapText="1"/>
    </xf>
    <xf borderId="0" fillId="3" fontId="57" numFmtId="0" xfId="0" applyAlignment="1" applyFont="1">
      <alignment horizontal="left" readingOrder="0" shrinkToFit="0" vertical="center" wrapText="1"/>
    </xf>
    <xf borderId="0" fillId="2" fontId="57" numFmtId="0" xfId="0" applyAlignment="1" applyFont="1">
      <alignment horizontal="left" shrinkToFit="0" vertical="center" wrapText="1"/>
    </xf>
    <xf borderId="0" fillId="4" fontId="57" numFmtId="0" xfId="0" applyAlignment="1" applyFont="1">
      <alignment horizontal="left" shrinkToFit="0" vertical="center" wrapText="1"/>
    </xf>
    <xf borderId="0" fillId="0" fontId="51" numFmtId="0" xfId="0" applyAlignment="1" applyFont="1">
      <alignment horizontal="left" vertical="center"/>
    </xf>
    <xf borderId="0" fillId="3" fontId="86" numFmtId="0" xfId="0" applyAlignment="1" applyFont="1">
      <alignment horizontal="left" shrinkToFit="0" vertical="center" wrapText="1"/>
    </xf>
    <xf borderId="0" fillId="4" fontId="1" numFmtId="0" xfId="0" applyAlignment="1" applyFont="1">
      <alignment horizontal="left" shrinkToFit="0" vertical="center" wrapText="1"/>
    </xf>
    <xf borderId="0" fillId="3" fontId="1" numFmtId="0" xfId="0" applyAlignment="1" applyFont="1">
      <alignment horizontal="left" shrinkToFit="0" vertical="center" wrapText="1"/>
    </xf>
    <xf borderId="0" fillId="5" fontId="51" numFmtId="0" xfId="0" applyAlignment="1" applyFont="1">
      <alignment horizontal="left" vertical="center"/>
    </xf>
    <xf borderId="0" fillId="3" fontId="1" numFmtId="0" xfId="0" applyAlignment="1" applyFont="1">
      <alignment horizontal="left" vertical="center"/>
    </xf>
    <xf borderId="0" fillId="20" fontId="1" numFmtId="0" xfId="0" applyAlignment="1" applyFill="1" applyFont="1">
      <alignment horizontal="center" shrinkToFit="0" vertical="center" wrapText="1"/>
    </xf>
    <xf borderId="0" fillId="3" fontId="51" numFmtId="0" xfId="0" applyAlignment="1" applyFont="1">
      <alignment horizontal="left" vertical="center"/>
    </xf>
    <xf borderId="0" fillId="2" fontId="51" numFmtId="0" xfId="0" applyAlignment="1" applyFont="1">
      <alignment horizontal="left" vertical="center"/>
    </xf>
    <xf borderId="0" fillId="4" fontId="51" numFmtId="0" xfId="0" applyAlignment="1" applyFont="1">
      <alignment horizontal="left" vertical="center"/>
    </xf>
    <xf borderId="0" fillId="20" fontId="51" numFmtId="0" xfId="0" applyAlignment="1" applyFont="1">
      <alignment horizontal="center" vertical="center"/>
    </xf>
    <xf borderId="0" fillId="4" fontId="57"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17" fontId="2" numFmtId="0" xfId="0" applyAlignment="1" applyFont="1">
      <alignment horizontal="center" readingOrder="0" shrinkToFit="0" vertical="center" wrapText="1"/>
    </xf>
    <xf borderId="0" fillId="17" fontId="2" numFmtId="0" xfId="0" applyAlignment="1" applyFont="1">
      <alignment horizontal="center" shrinkToFit="0" vertical="center" wrapText="1"/>
    </xf>
    <xf borderId="0" fillId="19" fontId="2" numFmtId="0" xfId="0" applyAlignment="1" applyFont="1">
      <alignment horizontal="center" readingOrder="0" shrinkToFit="0" vertical="center" wrapText="1"/>
    </xf>
    <xf borderId="0" fillId="8" fontId="60" numFmtId="0" xfId="0" applyAlignment="1" applyFont="1">
      <alignment horizontal="center" shrinkToFit="0" vertical="center" wrapText="1"/>
    </xf>
    <xf borderId="0" fillId="7" fontId="57" numFmtId="0" xfId="0" applyAlignment="1" applyFont="1">
      <alignment horizontal="center" shrinkToFit="0" vertical="bottom" wrapText="1"/>
    </xf>
    <xf borderId="0" fillId="21" fontId="57" numFmtId="0" xfId="0" applyAlignment="1" applyFill="1" applyFont="1">
      <alignment horizontal="center" shrinkToFit="0" vertical="bottom" wrapText="1"/>
    </xf>
    <xf borderId="0" fillId="21" fontId="57" numFmtId="0" xfId="0" applyAlignment="1" applyFont="1">
      <alignment horizontal="center" readingOrder="0" shrinkToFit="0" vertical="bottom" wrapText="1"/>
    </xf>
    <xf borderId="0" fillId="4" fontId="12" numFmtId="0" xfId="0" applyAlignment="1" applyFont="1">
      <alignment horizontal="left" readingOrder="0" shrinkToFit="0" vertical="center" wrapText="1"/>
    </xf>
    <xf borderId="0" fillId="17" fontId="12" numFmtId="0" xfId="0" applyAlignment="1" applyFont="1">
      <alignment horizontal="left" readingOrder="0" shrinkToFit="0" vertical="center" wrapText="1"/>
    </xf>
    <xf borderId="0" fillId="17" fontId="12" numFmtId="0" xfId="0" applyAlignment="1" applyFont="1">
      <alignment horizontal="left" shrinkToFit="0" vertical="center" wrapText="1"/>
    </xf>
    <xf borderId="0" fillId="19" fontId="12" numFmtId="0" xfId="0" applyAlignment="1" applyFont="1">
      <alignment horizontal="left" readingOrder="0" shrinkToFit="0" vertical="center" wrapText="1"/>
    </xf>
    <xf borderId="0" fillId="7" fontId="8" numFmtId="0" xfId="0" applyAlignment="1" applyFont="1">
      <alignment shrinkToFit="0" vertical="bottom" wrapText="1"/>
    </xf>
    <xf borderId="0" fillId="21" fontId="57" numFmtId="0" xfId="0" applyAlignment="1" applyFont="1">
      <alignment horizontal="left" shrinkToFit="0" vertical="bottom" wrapText="1"/>
    </xf>
    <xf borderId="0" fillId="16" fontId="87" numFmtId="0" xfId="0" applyAlignment="1" applyFont="1">
      <alignment horizontal="left" readingOrder="0" shrinkToFit="0" vertical="center" wrapText="1"/>
    </xf>
    <xf borderId="0" fillId="2" fontId="88" numFmtId="0" xfId="0" applyAlignment="1" applyFont="1">
      <alignment horizontal="left" readingOrder="0" shrinkToFit="0" vertical="center" wrapText="1"/>
    </xf>
    <xf borderId="0" fillId="4" fontId="12" numFmtId="0" xfId="0" applyAlignment="1" applyFont="1">
      <alignment horizontal="left" shrinkToFit="0" vertical="center" wrapText="1"/>
    </xf>
    <xf borderId="0" fillId="4" fontId="89" numFmtId="0" xfId="0" applyAlignment="1" applyFont="1">
      <alignment horizontal="left" readingOrder="0" shrinkToFit="0" vertical="center" wrapText="1"/>
    </xf>
    <xf borderId="0" fillId="17" fontId="90" numFmtId="0" xfId="0" applyAlignment="1" applyFont="1">
      <alignment horizontal="left" readingOrder="0" shrinkToFit="0" vertical="center" wrapText="1"/>
    </xf>
    <xf borderId="0" fillId="19" fontId="12" numFmtId="0" xfId="0" applyAlignment="1" applyFont="1">
      <alignment horizontal="left" shrinkToFit="0" vertical="center" wrapText="1"/>
    </xf>
    <xf borderId="0" fillId="19" fontId="91" numFmtId="0" xfId="0" applyAlignment="1" applyFont="1">
      <alignment horizontal="left" readingOrder="0" shrinkToFit="0" vertical="center" wrapText="1"/>
    </xf>
    <xf borderId="0" fillId="8" fontId="92" numFmtId="0" xfId="0" applyAlignment="1" applyFont="1">
      <alignment shrinkToFit="0" vertical="center" wrapText="1"/>
    </xf>
    <xf borderId="0" fillId="7" fontId="51" numFmtId="0" xfId="0" applyAlignment="1" applyFont="1">
      <alignment vertical="bottom"/>
    </xf>
    <xf borderId="0" fillId="7" fontId="93" numFmtId="0" xfId="0" applyAlignment="1" applyFont="1">
      <alignment horizontal="left" readingOrder="0" shrinkToFit="0" vertical="center" wrapText="1"/>
    </xf>
    <xf borderId="0" fillId="21" fontId="94" numFmtId="0" xfId="0" applyAlignment="1" applyFont="1">
      <alignment horizontal="left" readingOrder="0" shrinkToFit="0" vertical="bottom" wrapText="1"/>
    </xf>
    <xf borderId="0" fillId="0" fontId="7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42</xdr:col>
      <xdr:colOff>2343150</xdr:colOff>
      <xdr:row>31</xdr:row>
      <xdr:rowOff>381000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iscord.gg/2Bt7RWknyH" TargetMode="External"/><Relationship Id="rId42" Type="http://schemas.openxmlformats.org/officeDocument/2006/relationships/hyperlink" Target="https://discord.gg/2Bt7RWknyH" TargetMode="External"/><Relationship Id="rId41" Type="http://schemas.openxmlformats.org/officeDocument/2006/relationships/hyperlink" Target="https://discord.gg/2Bt7RWknyH" TargetMode="External"/><Relationship Id="rId44" Type="http://schemas.openxmlformats.org/officeDocument/2006/relationships/hyperlink" Target="https://store.steampowered.com/app/3238940/_/" TargetMode="External"/><Relationship Id="rId43" Type="http://schemas.openxmlformats.org/officeDocument/2006/relationships/hyperlink" Target="https://discord.gg/2Bt7RWknyH" TargetMode="External"/><Relationship Id="rId46" Type="http://schemas.openxmlformats.org/officeDocument/2006/relationships/hyperlink" Target="https://store.steampowered.com/app/3238940/_/" TargetMode="External"/><Relationship Id="rId45" Type="http://schemas.openxmlformats.org/officeDocument/2006/relationships/hyperlink" Target="https://store.steampowered.com/app/3238940/_/" TargetMode="External"/><Relationship Id="rId107" Type="http://schemas.openxmlformats.org/officeDocument/2006/relationships/hyperlink" Target="https://store.steampowered.com/app/3238940/_/" TargetMode="External"/><Relationship Id="rId106" Type="http://schemas.openxmlformats.org/officeDocument/2006/relationships/hyperlink" Target="https://store.steampowered.com/app/3238940/_/" TargetMode="External"/><Relationship Id="rId105" Type="http://schemas.openxmlformats.org/officeDocument/2006/relationships/hyperlink" Target="https://store.steampowered.com/app/3238940/_/" TargetMode="External"/><Relationship Id="rId104" Type="http://schemas.openxmlformats.org/officeDocument/2006/relationships/hyperlink" Target="https://perohub.com/posts/6773ed3e7e0707642a5c7882" TargetMode="External"/><Relationship Id="rId109" Type="http://schemas.openxmlformats.org/officeDocument/2006/relationships/hyperlink" Target="https://store.steampowered.com/app/3238940/_/" TargetMode="External"/><Relationship Id="rId108" Type="http://schemas.openxmlformats.org/officeDocument/2006/relationships/hyperlink" Target="https://store.steampowered.com/app/3238940/_/" TargetMode="External"/><Relationship Id="rId48" Type="http://schemas.openxmlformats.org/officeDocument/2006/relationships/hyperlink" Target="https://store.steampowered.com/app/3238940/_/" TargetMode="External"/><Relationship Id="rId47" Type="http://schemas.openxmlformats.org/officeDocument/2006/relationships/hyperlink" Target="https://store.steampowered.com/app/3238940/_/" TargetMode="External"/><Relationship Id="rId49" Type="http://schemas.openxmlformats.org/officeDocument/2006/relationships/hyperlink" Target="https://store.steampowered.com/app/3238940/_/" TargetMode="External"/><Relationship Id="rId103" Type="http://schemas.openxmlformats.org/officeDocument/2006/relationships/hyperlink" Target="https://store.steampowered.com/app/3238940/_/" TargetMode="External"/><Relationship Id="rId102" Type="http://schemas.openxmlformats.org/officeDocument/2006/relationships/hyperlink" Target="https://perohub.com/posts/6773ed3e7e0707642a5c7882" TargetMode="External"/><Relationship Id="rId101" Type="http://schemas.openxmlformats.org/officeDocument/2006/relationships/hyperlink" Target="https://store.steampowered.com/app/3238940/_/" TargetMode="External"/><Relationship Id="rId100" Type="http://schemas.openxmlformats.org/officeDocument/2006/relationships/hyperlink" Target="https://ci-en.dlsite.com/creator/24375/plan" TargetMode="External"/><Relationship Id="rId31" Type="http://schemas.openxmlformats.org/officeDocument/2006/relationships/hyperlink" Target="https://maidbunnycorp.github.io/UsadventureMap/" TargetMode="External"/><Relationship Id="rId30" Type="http://schemas.openxmlformats.org/officeDocument/2006/relationships/hyperlink" Target="https://maidbunnycorp.github.io/UsadventureMap/" TargetMode="External"/><Relationship Id="rId33" Type="http://schemas.openxmlformats.org/officeDocument/2006/relationships/hyperlink" Target="https://discord.gg/2Bt7RWknyH" TargetMode="External"/><Relationship Id="rId32" Type="http://schemas.openxmlformats.org/officeDocument/2006/relationships/hyperlink" Target="https://discord.gg/2Bt7RWknyH" TargetMode="External"/><Relationship Id="rId35" Type="http://schemas.openxmlformats.org/officeDocument/2006/relationships/hyperlink" Target="https://discord.gg/2Bt7RWknyH" TargetMode="External"/><Relationship Id="rId34" Type="http://schemas.openxmlformats.org/officeDocument/2006/relationships/hyperlink" Target="https://discord.gg/2Bt7RWknyH" TargetMode="External"/><Relationship Id="rId37" Type="http://schemas.openxmlformats.org/officeDocument/2006/relationships/hyperlink" Target="https://discord.gg/2Bt7RWknyH" TargetMode="External"/><Relationship Id="rId36" Type="http://schemas.openxmlformats.org/officeDocument/2006/relationships/hyperlink" Target="https://discord.gg/2Bt7RWknyH" TargetMode="External"/><Relationship Id="rId39" Type="http://schemas.openxmlformats.org/officeDocument/2006/relationships/hyperlink" Target="https://discord.gg/2Bt7RWknyH" TargetMode="External"/><Relationship Id="rId38" Type="http://schemas.openxmlformats.org/officeDocument/2006/relationships/hyperlink" Target="https://discord.gg/2Bt7RWknyH" TargetMode="External"/><Relationship Id="rId20" Type="http://schemas.openxmlformats.org/officeDocument/2006/relationships/hyperlink" Target="https://maidbunnycorp.github.io/UsadventureMap/" TargetMode="External"/><Relationship Id="rId22" Type="http://schemas.openxmlformats.org/officeDocument/2006/relationships/hyperlink" Target="https://maidbunnycorp.github.io/UsadventureMap/" TargetMode="External"/><Relationship Id="rId21" Type="http://schemas.openxmlformats.org/officeDocument/2006/relationships/hyperlink" Target="https://maidbunnycorp.github.io/UsadventureMap/" TargetMode="External"/><Relationship Id="rId24" Type="http://schemas.openxmlformats.org/officeDocument/2006/relationships/hyperlink" Target="https://maidbunnycorp.github.io/UsadventureMap/" TargetMode="External"/><Relationship Id="rId23" Type="http://schemas.openxmlformats.org/officeDocument/2006/relationships/hyperlink" Target="https://maidbunnycorp.github.io/UsadventureMap/" TargetMode="External"/><Relationship Id="rId26" Type="http://schemas.openxmlformats.org/officeDocument/2006/relationships/hyperlink" Target="https://maidbunnycorp.github.io/UsadventureMap/" TargetMode="External"/><Relationship Id="rId121" Type="http://schemas.openxmlformats.org/officeDocument/2006/relationships/hyperlink" Target="https://www.bilibili.com/opus/985591575966908440?spm_id_from=333.999.0.0" TargetMode="External"/><Relationship Id="rId25" Type="http://schemas.openxmlformats.org/officeDocument/2006/relationships/hyperlink" Target="https://maidbunnycorp.github.io/UsadventureMap/" TargetMode="External"/><Relationship Id="rId120" Type="http://schemas.openxmlformats.org/officeDocument/2006/relationships/hyperlink" Target="https://home.gamer.com.tw/artwork.php?sn=6032493" TargetMode="External"/><Relationship Id="rId28" Type="http://schemas.openxmlformats.org/officeDocument/2006/relationships/hyperlink" Target="https://maidbunnycorp.github.io/UsadventureMap/" TargetMode="External"/><Relationship Id="rId27" Type="http://schemas.openxmlformats.org/officeDocument/2006/relationships/hyperlink" Target="https://maidbunnycorp.github.io/UsadventureMap/" TargetMode="External"/><Relationship Id="rId29" Type="http://schemas.openxmlformats.org/officeDocument/2006/relationships/hyperlink" Target="https://maidbunnycorp.github.io/UsadventureMap/" TargetMode="External"/><Relationship Id="rId123" Type="http://schemas.openxmlformats.org/officeDocument/2006/relationships/drawing" Target="../drawings/drawing1.xml"/><Relationship Id="rId122" Type="http://schemas.openxmlformats.org/officeDocument/2006/relationships/hyperlink" Target="https://www.bilibili.com/opus/985591575966908440?spm_id_from=333.999.0.0" TargetMode="External"/><Relationship Id="rId95" Type="http://schemas.openxmlformats.org/officeDocument/2006/relationships/hyperlink" Target="https://ci-en.dlsite.com/creator/24375/plan" TargetMode="External"/><Relationship Id="rId94" Type="http://schemas.openxmlformats.org/officeDocument/2006/relationships/hyperlink" Target="https://ci-en.dlsite.com/creator/24375/plan" TargetMode="External"/><Relationship Id="rId97" Type="http://schemas.openxmlformats.org/officeDocument/2006/relationships/hyperlink" Target="https://ci-en.dlsite.com/creator/24375/plan" TargetMode="External"/><Relationship Id="rId96" Type="http://schemas.openxmlformats.org/officeDocument/2006/relationships/hyperlink" Target="https://ci-en.dlsite.com/creator/24375/plan" TargetMode="External"/><Relationship Id="rId11" Type="http://schemas.openxmlformats.org/officeDocument/2006/relationships/hyperlink" Target="https://docs.google.com/spreadsheets/d/e/2PACX-1vSc9bl2zSdkbhz_EeRndV7lSRBVSBtMRUk_rY0O1FQWWw4W0XVm9_ja__2ClO2BMfCJrN-YnlMAd-OL/pubhtml" TargetMode="External"/><Relationship Id="rId99" Type="http://schemas.openxmlformats.org/officeDocument/2006/relationships/hyperlink" Target="https://ci-en.dlsite.com/creator/24375/plan" TargetMode="External"/><Relationship Id="rId10" Type="http://schemas.openxmlformats.org/officeDocument/2006/relationships/hyperlink" Target="https://docs.google.com/spreadsheets/d/e/2PACX-1vSc9bl2zSdkbhz_EeRndV7lSRBVSBtMRUk_rY0O1FQWWw4W0XVm9_ja__2ClO2BMfCJrN-YnlMAd-OL/pubhtml" TargetMode="External"/><Relationship Id="rId98" Type="http://schemas.openxmlformats.org/officeDocument/2006/relationships/hyperlink" Target="https://ci-en.dlsite.com/creator/24375/plan" TargetMode="External"/><Relationship Id="rId13" Type="http://schemas.openxmlformats.org/officeDocument/2006/relationships/hyperlink" Target="https://docs.google.com/spreadsheets/d/e/2PACX-1vSc9bl2zSdkbhz_EeRndV7lSRBVSBtMRUk_rY0O1FQWWw4W0XVm9_ja__2ClO2BMfCJrN-YnlMAd-OL/pubhtml" TargetMode="External"/><Relationship Id="rId12" Type="http://schemas.openxmlformats.org/officeDocument/2006/relationships/hyperlink" Target="https://docs.google.com/spreadsheets/d/e/2PACX-1vSc9bl2zSdkbhz_EeRndV7lSRBVSBtMRUk_rY0O1FQWWw4W0XVm9_ja__2ClO2BMfCJrN-YnlMAd-OL/pubhtml" TargetMode="External"/><Relationship Id="rId91" Type="http://schemas.openxmlformats.org/officeDocument/2006/relationships/hyperlink" Target="https://ci-en.dlsite.com/creator/24375/plan" TargetMode="External"/><Relationship Id="rId90" Type="http://schemas.openxmlformats.org/officeDocument/2006/relationships/hyperlink" Target="https://ci-en.dlsite.com/creator/24375/plan" TargetMode="External"/><Relationship Id="rId93" Type="http://schemas.openxmlformats.org/officeDocument/2006/relationships/hyperlink" Target="https://ci-en.dlsite.com/creator/24375/plan" TargetMode="External"/><Relationship Id="rId92" Type="http://schemas.openxmlformats.org/officeDocument/2006/relationships/hyperlink" Target="https://ci-en.dlsite.com/creator/24375/plan" TargetMode="External"/><Relationship Id="rId118" Type="http://schemas.openxmlformats.org/officeDocument/2006/relationships/hyperlink" Target="https://home.gamer.com.tw/artwork.php?sn=6032493" TargetMode="External"/><Relationship Id="rId117" Type="http://schemas.openxmlformats.org/officeDocument/2006/relationships/hyperlink" Target="https://home.gamer.com.tw/artwork.php?sn=6032493" TargetMode="External"/><Relationship Id="rId116" Type="http://schemas.openxmlformats.org/officeDocument/2006/relationships/hyperlink" Target="https://home.gamer.com.tw/artwork.php?sn=6032493" TargetMode="External"/><Relationship Id="rId115" Type="http://schemas.openxmlformats.org/officeDocument/2006/relationships/hyperlink" Target="https://home.gamer.com.tw/artwork.php?sn=6032493" TargetMode="External"/><Relationship Id="rId119" Type="http://schemas.openxmlformats.org/officeDocument/2006/relationships/hyperlink" Target="https://home.gamer.com.tw/artwork.php?sn=6032493" TargetMode="External"/><Relationship Id="rId15" Type="http://schemas.openxmlformats.org/officeDocument/2006/relationships/hyperlink" Target="https://docs.google.com/spreadsheets/d/e/2PACX-1vSc9bl2zSdkbhz_EeRndV7lSRBVSBtMRUk_rY0O1FQWWw4W0XVm9_ja__2ClO2BMfCJrN-YnlMAd-OL/pubhtml" TargetMode="External"/><Relationship Id="rId110" Type="http://schemas.openxmlformats.org/officeDocument/2006/relationships/hyperlink" Target="https://store.steampowered.com/app/3238940/_/" TargetMode="External"/><Relationship Id="rId14" Type="http://schemas.openxmlformats.org/officeDocument/2006/relationships/hyperlink" Target="https://docs.google.com/spreadsheets/d/e/2PACX-1vSc9bl2zSdkbhz_EeRndV7lSRBVSBtMRUk_rY0O1FQWWw4W0XVm9_ja__2ClO2BMfCJrN-YnlMAd-OL/pubhtml" TargetMode="External"/><Relationship Id="rId17" Type="http://schemas.openxmlformats.org/officeDocument/2006/relationships/hyperlink" Target="https://docs.google.com/spreadsheets/d/e/2PACX-1vSc9bl2zSdkbhz_EeRndV7lSRBVSBtMRUk_rY0O1FQWWw4W0XVm9_ja__2ClO2BMfCJrN-YnlMAd-OL/pubhtml" TargetMode="External"/><Relationship Id="rId16" Type="http://schemas.openxmlformats.org/officeDocument/2006/relationships/hyperlink" Target="https://docs.google.com/spreadsheets/d/e/2PACX-1vSc9bl2zSdkbhz_EeRndV7lSRBVSBtMRUk_rY0O1FQWWw4W0XVm9_ja__2ClO2BMfCJrN-YnlMAd-OL/pubhtml" TargetMode="External"/><Relationship Id="rId19" Type="http://schemas.openxmlformats.org/officeDocument/2006/relationships/hyperlink" Target="https://docs.google.com/spreadsheets/d/e/2PACX-1vSc9bl2zSdkbhz_EeRndV7lSRBVSBtMRUk_rY0O1FQWWw4W0XVm9_ja__2ClO2BMfCJrN-YnlMAd-OL/pubhtml" TargetMode="External"/><Relationship Id="rId114" Type="http://schemas.openxmlformats.org/officeDocument/2006/relationships/hyperlink" Target="https://home.gamer.com.tw/artwork.php?sn=6032493" TargetMode="External"/><Relationship Id="rId18" Type="http://schemas.openxmlformats.org/officeDocument/2006/relationships/hyperlink" Target="https://docs.google.com/spreadsheets/d/e/2PACX-1vSc9bl2zSdkbhz_EeRndV7lSRBVSBtMRUk_rY0O1FQWWw4W0XVm9_ja__2ClO2BMfCJrN-YnlMAd-OL/pubhtml" TargetMode="External"/><Relationship Id="rId113" Type="http://schemas.openxmlformats.org/officeDocument/2006/relationships/hyperlink" Target="https://home.gamer.com.tw/artwork.php?sn=6032493" TargetMode="External"/><Relationship Id="rId112" Type="http://schemas.openxmlformats.org/officeDocument/2006/relationships/hyperlink" Target="https://home.gamer.com.tw/artwork.php?sn=6032493" TargetMode="External"/><Relationship Id="rId111" Type="http://schemas.openxmlformats.org/officeDocument/2006/relationships/hyperlink" Target="https://store.steampowered.com/app/3238940/_/" TargetMode="External"/><Relationship Id="rId84" Type="http://schemas.openxmlformats.org/officeDocument/2006/relationships/hyperlink" Target="https://nlch.fanbox.cc/posts/9317203" TargetMode="External"/><Relationship Id="rId83" Type="http://schemas.openxmlformats.org/officeDocument/2006/relationships/hyperlink" Target="https://nlch.fanbox.cc/posts/9317203" TargetMode="External"/><Relationship Id="rId86" Type="http://schemas.openxmlformats.org/officeDocument/2006/relationships/hyperlink" Target="https://nlch.fanbox.cc/posts/9317203" TargetMode="External"/><Relationship Id="rId85" Type="http://schemas.openxmlformats.org/officeDocument/2006/relationships/hyperlink" Target="https://nlch.fanbox.cc/posts/9317203" TargetMode="External"/><Relationship Id="rId88" Type="http://schemas.openxmlformats.org/officeDocument/2006/relationships/hyperlink" Target="https://nlch.fanbox.cc/posts/9317203" TargetMode="External"/><Relationship Id="rId87" Type="http://schemas.openxmlformats.org/officeDocument/2006/relationships/hyperlink" Target="https://nlch.fanbox.cc/posts/9317203" TargetMode="External"/><Relationship Id="rId89" Type="http://schemas.openxmlformats.org/officeDocument/2006/relationships/hyperlink" Target="https://nlch.fanbox.cc/posts/9317203" TargetMode="External"/><Relationship Id="rId80" Type="http://schemas.openxmlformats.org/officeDocument/2006/relationships/hyperlink" Target="https://ci-en.dlsite.com/creator/24375/plan" TargetMode="External"/><Relationship Id="rId82" Type="http://schemas.openxmlformats.org/officeDocument/2006/relationships/hyperlink" Target="https://ci-en.dlsite.com/creator/24375/plan" TargetMode="External"/><Relationship Id="rId81" Type="http://schemas.openxmlformats.org/officeDocument/2006/relationships/hyperlink" Target="https://ci-en.dlsite.com/creator/24375/plan" TargetMode="External"/><Relationship Id="rId1" Type="http://schemas.openxmlformats.org/officeDocument/2006/relationships/hyperlink" Target="https://guide.nlch.io/" TargetMode="External"/><Relationship Id="rId2" Type="http://schemas.openxmlformats.org/officeDocument/2006/relationships/hyperlink" Target="https://guide.nlch.io/" TargetMode="External"/><Relationship Id="rId3" Type="http://schemas.openxmlformats.org/officeDocument/2006/relationships/hyperlink" Target="https://guide.nlch.io/" TargetMode="External"/><Relationship Id="rId4" Type="http://schemas.openxmlformats.org/officeDocument/2006/relationships/hyperlink" Target="https://guide.nlch.io/" TargetMode="External"/><Relationship Id="rId9" Type="http://schemas.openxmlformats.org/officeDocument/2006/relationships/hyperlink" Target="https://docs.google.com/spreadsheets/d/e/2PACX-1vSc9bl2zSdkbhz_EeRndV7lSRBVSBtMRUk_rY0O1FQWWw4W0XVm9_ja__2ClO2BMfCJrN-YnlMAd-OL/pubhtml" TargetMode="External"/><Relationship Id="rId5" Type="http://schemas.openxmlformats.org/officeDocument/2006/relationships/hyperlink" Target="https://guide.nlch.io/" TargetMode="External"/><Relationship Id="rId6" Type="http://schemas.openxmlformats.org/officeDocument/2006/relationships/hyperlink" Target="https://guide.nlch.io/" TargetMode="External"/><Relationship Id="rId7" Type="http://schemas.openxmlformats.org/officeDocument/2006/relationships/hyperlink" Target="https://guide.nlch.io/"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perohub.com/posts/6773ed3e7e0707642a5c7882" TargetMode="External"/><Relationship Id="rId72" Type="http://schemas.openxmlformats.org/officeDocument/2006/relationships/hyperlink" Target="https://perohub.com/posts/6773ed3e7e0707642a5c7882" TargetMode="External"/><Relationship Id="rId75" Type="http://schemas.openxmlformats.org/officeDocument/2006/relationships/hyperlink" Target="https://perohub.com/posts/6773ed3e7e0707642a5c7882" TargetMode="External"/><Relationship Id="rId74" Type="http://schemas.openxmlformats.org/officeDocument/2006/relationships/hyperlink" Target="https://perohub.com/posts/6773ed3e7e0707642a5c7882" TargetMode="External"/><Relationship Id="rId77" Type="http://schemas.openxmlformats.org/officeDocument/2006/relationships/hyperlink" Target="https://perohub.com/posts/6773ed3e7e0707642a5c7882" TargetMode="External"/><Relationship Id="rId76" Type="http://schemas.openxmlformats.org/officeDocument/2006/relationships/hyperlink" Target="https://perohub.com/posts/6773ed3e7e0707642a5c7882" TargetMode="External"/><Relationship Id="rId79" Type="http://schemas.openxmlformats.org/officeDocument/2006/relationships/hyperlink" Target="https://nlch.fanbox.cc/posts/9317203" TargetMode="External"/><Relationship Id="rId78" Type="http://schemas.openxmlformats.org/officeDocument/2006/relationships/hyperlink" Target="https://perohub.com/posts/6773ed3e7e0707642a5c7882" TargetMode="External"/><Relationship Id="rId71" Type="http://schemas.openxmlformats.org/officeDocument/2006/relationships/hyperlink" Target="https://perohub.com/posts/6773ed3e7e0707642a5c7882" TargetMode="External"/><Relationship Id="rId70" Type="http://schemas.openxmlformats.org/officeDocument/2006/relationships/hyperlink" Target="https://perohub.com/posts/6773ed3e7e0707642a5c7882" TargetMode="External"/><Relationship Id="rId62" Type="http://schemas.openxmlformats.org/officeDocument/2006/relationships/hyperlink" Target="https://nlch.itch.io/sister/devlog/879085/demo-v065a-release" TargetMode="External"/><Relationship Id="rId61" Type="http://schemas.openxmlformats.org/officeDocument/2006/relationships/hyperlink" Target="https://nlch.itch.io/sister/devlog/879085/demo-v065a-release" TargetMode="External"/><Relationship Id="rId64" Type="http://schemas.openxmlformats.org/officeDocument/2006/relationships/hyperlink" Target="https://nlch.itch.io/sister/devlog/879085/demo-v065a-release" TargetMode="External"/><Relationship Id="rId63" Type="http://schemas.openxmlformats.org/officeDocument/2006/relationships/hyperlink" Target="https://nlch.itch.io/sister/devlog/879085/demo-v065a-release" TargetMode="External"/><Relationship Id="rId66" Type="http://schemas.openxmlformats.org/officeDocument/2006/relationships/hyperlink" Target="https://nlch.itch.io/sister/devlog/879085/demo-v065a-release" TargetMode="External"/><Relationship Id="rId65" Type="http://schemas.openxmlformats.org/officeDocument/2006/relationships/hyperlink" Target="https://nlch.itch.io/sister/" TargetMode="External"/><Relationship Id="rId68" Type="http://schemas.openxmlformats.org/officeDocument/2006/relationships/hyperlink" Target="https://perohub.com/posts/6773ed3e7e0707642a5c7882" TargetMode="External"/><Relationship Id="rId67" Type="http://schemas.openxmlformats.org/officeDocument/2006/relationships/hyperlink" Target="https://nlch.itch.io/sister/devlog/879085/demo-v065a-release" TargetMode="External"/><Relationship Id="rId60" Type="http://schemas.openxmlformats.org/officeDocument/2006/relationships/hyperlink" Target="https://nlch.itch.io/sister/devlog/879085/demo-v065a-release" TargetMode="External"/><Relationship Id="rId69" Type="http://schemas.openxmlformats.org/officeDocument/2006/relationships/hyperlink" Target="https://perohub.com/posts/6773ed3e7e0707642a5c7882" TargetMode="External"/><Relationship Id="rId51" Type="http://schemas.openxmlformats.org/officeDocument/2006/relationships/hyperlink" Target="https://store.steampowered.com/app/3238940/_/" TargetMode="External"/><Relationship Id="rId50" Type="http://schemas.openxmlformats.org/officeDocument/2006/relationships/hyperlink" Target="https://store.steampowered.com/app/3238940/_/" TargetMode="External"/><Relationship Id="rId53" Type="http://schemas.openxmlformats.org/officeDocument/2006/relationships/hyperlink" Target="https://store.steampowered.com/app/3238940/_/" TargetMode="External"/><Relationship Id="rId52" Type="http://schemas.openxmlformats.org/officeDocument/2006/relationships/hyperlink" Target="https://store.steampowered.com/app/3238940/_/" TargetMode="External"/><Relationship Id="rId55" Type="http://schemas.openxmlformats.org/officeDocument/2006/relationships/hyperlink" Target="https://store.steampowered.com/app/3238940/_/" TargetMode="External"/><Relationship Id="rId54" Type="http://schemas.openxmlformats.org/officeDocument/2006/relationships/hyperlink" Target="https://store.steampowered.com/app/3238940/_/" TargetMode="External"/><Relationship Id="rId57" Type="http://schemas.openxmlformats.org/officeDocument/2006/relationships/hyperlink" Target="https://nlch.itch.io/sister/devlog/879085/demo-v065a-release" TargetMode="External"/><Relationship Id="rId56" Type="http://schemas.openxmlformats.org/officeDocument/2006/relationships/hyperlink" Target="https://nlch.itch.io/sister/devlog/879085/demo-v065a-release" TargetMode="External"/><Relationship Id="rId59" Type="http://schemas.openxmlformats.org/officeDocument/2006/relationships/hyperlink" Target="https://nlch.itch.io/sister/devlog/879085/demo-v065a-release" TargetMode="External"/><Relationship Id="rId58" Type="http://schemas.openxmlformats.org/officeDocument/2006/relationships/hyperlink" Target="https://nlch.itch.io/sister/devlog/879085/demo-v065a-release"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9" Type="http://schemas.openxmlformats.org/officeDocument/2006/relationships/drawing" Target="../drawings/drawing12.xm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hyperlink" Target="https://www.youtube.com/shorts/xnpRC9QNi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hyperlink" Target="https://www.youtube.com/watch?v=9NSNcMB5M2o&amp;ab_channel=gabrielb" TargetMode="External"/><Relationship Id="rId8"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2" width="47.63"/>
    <col customWidth="1" min="13" max="26" width="44.38"/>
  </cols>
  <sheetData>
    <row r="1" ht="334.5" customHeight="1">
      <c r="A1" s="1" t="s">
        <v>0</v>
      </c>
      <c r="B1" s="1" t="s">
        <v>1</v>
      </c>
      <c r="C1" s="1" t="s">
        <v>2</v>
      </c>
      <c r="D1" s="2" t="str">
        <f>IFERROR(__xludf.DUMMYFUNCTION("GOOGLETRANSLATE(A1,""zh-tw"",""zh"")"),"主编辑Discord:RORO#3330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印尼语翻译人员：Nekonin、Raf"&amp;"iq8K、ZERO
乌克兰翻译人员：Gof_de_Prush、Henk
协助资料汇整人员：南山、落染
过往协助翻译者：maltesey、zNagato
互动地图网站制作：Ruika
地图Map图档制作:mioakatukaze")</f>
        <v>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印尼语翻译人员：Nekonin、Rafiq8K、ZERO
乌克兰翻译人员：Gof_de_Prush、Henk
协助资料汇整人员：南山、落染
过往协助翻译者：maltesey、zNagato
互动地图网站制作：Ruika
地图Map图档制作:mioakatukaze</v>
      </c>
      <c r="E1" s="3" t="str">
        <f>IFERROR(__xludf.DUMMYFUNCTION("GOOGLETRANSLATE(A1,""zh-tw"",""es-MX"")"),"Discord del editor jefe: RORO#3330
Correo electrónico del editor jefe: gameconlch@gmail.com
Traductor japonés: 눈_눈
Traductor inglés: Ruika
Traductor chino simplificado: ShigeLuna
Traductor español: AndyJango, maxi3002GD, samstagkaiser
Traductor alemán: G"&amp;"abriel
Traductor ruso: Libeti, Huntero
Traductor coreano: 몽블랑맛르블랑
Traductor vietnamita: IntenseLag, Nian Sprout
Traductor portugués brasileño: Hyphot
Traductor indonesio: Nekonin, Rafiq8K, ZERO
Traductor ucraniano: Gof_de_Prush, Henk
Asistencia en la comp"&amp;"ilación de datos: Nanshan, Luoran
Traductores anteriores: maltsey, zNagato
Creación del sitio web del mapa interactivo: Ruika
Creación del archivo del mapa: mioakatukaze")</f>
        <v>Discord del editor jefe: RORO#3330
Correo electrónico del editor jefe: gameconlch@gmail.com
Traductor japonés: 눈_눈
Traductor inglés: Ruika
Traductor chino simplificado: ShigeLuna
Traductor español: AndyJango, maxi3002GD, samstagkaiser
Traductor alemán: Gabriel
Traductor ruso: Libeti, Huntero
Traductor coreano: 몽블랑맛르블랑
Traductor vietnamita: IntenseLag, Nian Sprout
Traductor portugués brasileño: Hyphot
Traductor indonesio: Nekonin, Rafiq8K, ZERO
Traductor ucraniano: Gof_de_Prush, Henk
Asistencia en la compilación de datos: Nanshan, Luoran
Traductores anteriores: maltsey, zNagato
Creación del sitio web del mapa interactivo: Ruika
Creación del archivo del mapa: mioakatukaze</v>
      </c>
      <c r="F1" s="4" t="str">
        <f>IFERROR(__xludf.DUMMYFUNCTION("GOOGLETRANSLATE(A1,""zh-tw"",""KO"")"),"편집장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인"&amp;"도네시아어 번역: Nekonin, Rafiq8K, ZERO
우크라이나어 번역: Gof_de_Prush, Henk
데이터 편집 지원: Nanshan, Luoran
이전 번역: maltsey, zNagato
인터랙티브 지도 웹사이트 제작: Ruika
지도 파일 제작: mioakatukaze")</f>
        <v>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인도네시아어 번역: Nekonin, Rafiq8K, ZERO
우크라이나어 번역: Gof_de_Prush, Henk
데이터 편집 지원: Nanshan, Luoran
이전 번역: maltsey, zNagato
인터랙티브 지도 웹사이트 제작: Ruika
지도 파일 제작: mioakatukaze</v>
      </c>
      <c r="G1" s="5" t="s">
        <v>3</v>
      </c>
      <c r="H1" s="3" t="s">
        <v>4</v>
      </c>
      <c r="I1" s="3" t="str">
        <f>IFERROR(__xludf.DUMMYFUNCTION("GOOGLETRANSLATE(A1,""zh-tw"",""DE"")"),"Discord-Server des Chefredakteurs: RORO#3330
E-Mail-Adresse des Chefredakteurs: gameconlch@gmail.com
Japanischer Übersetzer: 눈_눈
Englischer Übersetzer: Ruika
Vereinfachter Chinesischer Übersetzer: ShigeLuna
Spanischer Übersetzer: AndyJango, maxi3002GD, s"&amp;"amstagkaiser
Deutscher Übersetzer: Gabriel
Russischer Übersetzer: Libeti, Huntero
Koreanischer Übersetzer: 몽블랑맛르블랑
Vietnamesischer Übersetzer: IntenseLag, Nian Sprout
Brasilianischer Portugiesisch-Übersetzer: Hyphot
Indonesischer Übersetzer: Nekonin, Rafi"&amp;"q8K, ZERO
Ukrainischer Übersetzer: Gof_de_Prush, Henk
Unterstützung bei der Datenerfassung: Nanshan, Luoran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ShigeLuna
Spanischer Übersetzer: AndyJango, maxi3002GD, samstagkaiser
Deutscher Übersetzer: Gabriel
Russischer Übersetzer: Libeti, Huntero
Koreanischer Übersetzer: 몽블랑맛르블랑
Vietnamesischer Übersetzer: IntenseLag, Nian Sprout
Brasilianischer Portugiesisch-Übersetzer: Hyphot
Indonesischer Übersetzer: Nekonin, Rafiq8K, ZERO
Ukrainischer Übersetzer: Gof_de_Prush, Henk
Unterstützung bei der Datenerfassung: Nanshan, Luoran
Frühere Übersetzer: maltsey, zNagato
Erstellung der interaktiven Karten-Website: Ruika
Erstellung der Kartendatei: mioakatukaze</v>
      </c>
      <c r="J1" s="6" t="s">
        <v>5</v>
      </c>
      <c r="K1" s="7" t="s">
        <v>6</v>
      </c>
      <c r="L1" s="8" t="str">
        <f>IFERROR(__xludf.DUMMYFUNCTION("GOOGLETRANSLATE(A1,""zh-tw"",""ID"")"),"Discord Editor Utama: RORO#3330
Email Editor Utama: gameconlch@gmail.com
Penerjemah Bahasa Jepang: 눈_눈
Penerjemah Bahasa Inggris: Ruika
Penerjemah Bahasa Mandarin Sederhana: ShigeLuna
Penerjemah Bahasa Spanyol: AndyJango, maxi3002GD, samstagkaiser
Penerj"&amp;"emah Bahasa Jerman: Gabriel
Penerjemah Bahasa Rusia: Libeti, Huntero
Penerjemah Bahasa Korea: 몽블랑맛르블랑
Penerjemah Bahasa Vietnam: IntenseLag, Nian Sprout
Penerjemah Bahasa Portugis Brasil: Hyphot
Penerjemah Bahasa Indonesia: Nekonin, Rafiq8K, ZERO
Penerjem"&amp;"ah Bahasa Ukraina: Gof_de_Prush, Henk
Bantuan Kompilasi Data: Nanshan, Luoran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ShigeLuna
Penerjemah Bahasa Spanyol: AndyJango, maxi3002GD, samstagkaiser
Penerjemah Bahasa Jerman: Gabriel
Penerjemah Bahasa Rusia: Libeti, Huntero
Penerjemah Bahasa Korea: 몽블랑맛르블랑
Penerjemah Bahasa Vietnam: IntenseLag, Nian Sprout
Penerjemah Bahasa Portugis Brasil: Hyphot
Penerjemah Bahasa Indonesia: Nekonin, Rafiq8K, ZERO
Penerjemah Bahasa Ukraina: Gof_de_Prush, Henk
Bantuan Kompilasi Data: Nanshan, Luoran
Penerjemah Sebelumnya: maltsey, zNagato
Pembuatan Situs Web Peta Interaktif: Ruika
Pembuatan File Peta: mioakatukaze</v>
      </c>
      <c r="M1" s="9"/>
      <c r="N1" s="9"/>
      <c r="O1" s="9"/>
      <c r="P1" s="9"/>
      <c r="Q1" s="9"/>
      <c r="R1" s="9"/>
      <c r="S1" s="9"/>
      <c r="T1" s="9"/>
      <c r="U1" s="9"/>
      <c r="V1" s="9"/>
      <c r="W1" s="9"/>
      <c r="X1" s="9"/>
      <c r="Y1" s="9"/>
      <c r="Z1" s="9"/>
    </row>
    <row r="2" ht="131.25" customHeight="1">
      <c r="A2" s="10" t="s">
        <v>7</v>
      </c>
      <c r="B2" s="11" t="s">
        <v>8</v>
      </c>
      <c r="C2" s="12" t="s">
        <v>9</v>
      </c>
      <c r="D2" s="13" t="s">
        <v>10</v>
      </c>
      <c r="E2" s="3"/>
      <c r="F2" s="14"/>
      <c r="G2" s="15" t="s">
        <v>11</v>
      </c>
      <c r="H2" s="15" t="s">
        <v>12</v>
      </c>
      <c r="I2" s="11"/>
      <c r="J2" s="16" t="s">
        <v>13</v>
      </c>
      <c r="K2" s="11" t="s">
        <v>14</v>
      </c>
      <c r="L2" s="17" t="s">
        <v>15</v>
      </c>
      <c r="M2" s="18"/>
      <c r="N2" s="18"/>
      <c r="O2" s="18"/>
      <c r="P2" s="18"/>
      <c r="Q2" s="18"/>
      <c r="R2" s="18"/>
      <c r="S2" s="18"/>
      <c r="T2" s="18"/>
      <c r="U2" s="18"/>
      <c r="V2" s="18"/>
      <c r="W2" s="18"/>
      <c r="X2" s="18"/>
      <c r="Y2" s="18"/>
      <c r="Z2" s="18"/>
    </row>
    <row r="3" ht="60.0" customHeight="1">
      <c r="A3" s="19" t="s">
        <v>16</v>
      </c>
      <c r="B3" s="20" t="s">
        <v>17</v>
      </c>
      <c r="C3" s="21" t="s">
        <v>18</v>
      </c>
      <c r="D3" s="19"/>
      <c r="E3" s="22"/>
      <c r="F3" s="23"/>
      <c r="G3" s="21" t="s">
        <v>19</v>
      </c>
      <c r="H3" s="21" t="s">
        <v>20</v>
      </c>
      <c r="I3" s="20"/>
      <c r="J3" s="24" t="s">
        <v>21</v>
      </c>
      <c r="K3" s="20" t="s">
        <v>22</v>
      </c>
      <c r="L3" s="21" t="s">
        <v>23</v>
      </c>
      <c r="M3" s="18"/>
      <c r="N3" s="18"/>
      <c r="O3" s="18"/>
      <c r="P3" s="18"/>
      <c r="Q3" s="18"/>
      <c r="R3" s="18"/>
      <c r="S3" s="18"/>
      <c r="T3" s="18"/>
      <c r="U3" s="18"/>
      <c r="V3" s="18"/>
      <c r="W3" s="18"/>
      <c r="X3" s="18"/>
      <c r="Y3" s="18"/>
      <c r="Z3" s="18"/>
    </row>
    <row r="4" ht="43.5" customHeight="1">
      <c r="A4" s="25" t="s">
        <v>24</v>
      </c>
      <c r="B4" s="26"/>
      <c r="C4" s="27" t="s">
        <v>25</v>
      </c>
      <c r="D4" s="28"/>
      <c r="E4" s="29"/>
      <c r="F4" s="30"/>
      <c r="G4" s="27" t="s">
        <v>26</v>
      </c>
      <c r="H4" s="27" t="s">
        <v>27</v>
      </c>
      <c r="I4" s="29"/>
      <c r="J4" s="31" t="s">
        <v>28</v>
      </c>
      <c r="K4" s="27" t="s">
        <v>29</v>
      </c>
      <c r="L4" s="27" t="s">
        <v>30</v>
      </c>
      <c r="M4" s="18"/>
      <c r="N4" s="18"/>
      <c r="O4" s="18"/>
      <c r="P4" s="18"/>
      <c r="Q4" s="18"/>
      <c r="R4" s="18"/>
      <c r="S4" s="18"/>
      <c r="T4" s="18"/>
      <c r="U4" s="18"/>
      <c r="V4" s="18"/>
      <c r="W4" s="18"/>
      <c r="X4" s="18"/>
      <c r="Y4" s="18"/>
      <c r="Z4" s="18"/>
    </row>
    <row r="5" ht="110.25" customHeight="1">
      <c r="A5" s="25" t="s">
        <v>31</v>
      </c>
      <c r="B5" s="32" t="s">
        <v>32</v>
      </c>
      <c r="C5" s="27" t="s">
        <v>33</v>
      </c>
      <c r="D5" s="33" t="s">
        <v>34</v>
      </c>
      <c r="E5" s="27" t="s">
        <v>35</v>
      </c>
      <c r="F5" s="34" t="s">
        <v>36</v>
      </c>
      <c r="G5" s="27" t="s">
        <v>37</v>
      </c>
      <c r="H5" s="27" t="s">
        <v>38</v>
      </c>
      <c r="I5" s="27" t="s">
        <v>39</v>
      </c>
      <c r="J5" s="31" t="s">
        <v>40</v>
      </c>
      <c r="K5" s="27" t="s">
        <v>41</v>
      </c>
      <c r="L5" s="35" t="s">
        <v>42</v>
      </c>
      <c r="M5" s="18"/>
      <c r="N5" s="18"/>
      <c r="O5" s="18"/>
      <c r="P5" s="18"/>
      <c r="Q5" s="18"/>
      <c r="R5" s="18"/>
      <c r="S5" s="18"/>
      <c r="T5" s="18"/>
      <c r="U5" s="18"/>
      <c r="V5" s="18"/>
      <c r="W5" s="18"/>
      <c r="X5" s="18"/>
      <c r="Y5" s="18"/>
      <c r="Z5" s="18"/>
    </row>
    <row r="6" ht="457.5" customHeight="1">
      <c r="A6" s="36" t="s">
        <v>43</v>
      </c>
      <c r="B6" s="11" t="s">
        <v>44</v>
      </c>
      <c r="C6" s="11" t="s">
        <v>45</v>
      </c>
      <c r="D6" s="13" t="s">
        <v>46</v>
      </c>
      <c r="E6" s="3" t="str">
        <f>IFERROR(__xludf.DUMMYFUNCTION("GOOGLETRANSLATE(A6,""zh-tw"",""es-MX"")"),"※※※
1. Las imágenes en los materiales promocionales oficiales o tráileres, así como algunos elementos ya implementados, no garantizan su completa implementación. Por lo tanto, no pregunten cómo hacer cosas imposibles; la respuesta siempre es ""aún no est"&amp;"á listo"", ¡no que la guía esté incompleta!
2. Recientemente, algunos piratas informáticos sin escrúpulos han descargado y empaquetado materiales de este sitio web para venderlos. Esto constituye una infracción grave. El acceso gratuito a los archivos no"&amp;" implica que puedan ser robados. Si necesitan permiso, contáctenos para obtener los derechos de reproducción. Piratas, por favor, respeten esto. Los desarrolladores de juegos también tienen derecho a emprender acciones legales contra los juegos pirateados"&amp;"; por favor, no infrinjan la ley.
3. El equipo oficial no está considerando desarrollar una versión para iOS en este momento.
4. Este archivo no requiere permiso; cualquiera puede verlo directamente desde las pestañas inferiores.")</f>
        <v>※※※
1. Las imágenes en los materiales promocionales oficiales o tráileres, así como algunos elementos ya implementados, no garantizan su completa implementación. Por lo tanto, no pregunten cómo hacer cosas imposibles; la respuesta siempre es "aún no está listo", ¡no que la guía esté incompleta!
2. Recientemente, algunos piratas informáticos sin escrúpulos han descargado y empaquetado materiales de este sitio web para venderlos. Esto constituye una infracción grave. El acceso gratuito a los archivos no implica que puedan ser robados. Si necesitan permiso, contáctenos para obtener los derechos de reproducción. Piratas, por favor, respeten esto. Los desarrolladores de juegos también tienen derecho a emprender acciones legales contra los juegos pirateados; por favor, no infrinjan la ley.
3. El equipo oficial no está considerando desarrollar una versión para iOS en este momento.
4. Este archivo no requiere permiso; cualquiera puede verlo directamente desde las pestañas inferiores.</v>
      </c>
      <c r="F6" s="14" t="s">
        <v>47</v>
      </c>
      <c r="G6" s="37" t="s">
        <v>48</v>
      </c>
      <c r="H6" s="3" t="s">
        <v>49</v>
      </c>
      <c r="I6" s="11" t="s">
        <v>50</v>
      </c>
      <c r="J6" s="38" t="s">
        <v>51</v>
      </c>
      <c r="K6" s="11" t="s">
        <v>52</v>
      </c>
      <c r="L6" s="11" t="s">
        <v>53</v>
      </c>
      <c r="M6" s="18"/>
      <c r="N6" s="18"/>
      <c r="O6" s="18"/>
      <c r="P6" s="18"/>
      <c r="Q6" s="18"/>
      <c r="R6" s="18"/>
      <c r="S6" s="18"/>
      <c r="T6" s="18"/>
      <c r="U6" s="18"/>
      <c r="V6" s="18"/>
      <c r="W6" s="18"/>
      <c r="X6" s="18"/>
      <c r="Y6" s="18"/>
      <c r="Z6" s="18"/>
    </row>
    <row r="7" ht="517.5" customHeight="1">
      <c r="A7" s="36" t="s">
        <v>54</v>
      </c>
      <c r="B7" s="11" t="s">
        <v>55</v>
      </c>
      <c r="C7" s="11" t="s">
        <v>56</v>
      </c>
      <c r="D7" s="13" t="s">
        <v>57</v>
      </c>
      <c r="E7" s="3" t="s">
        <v>58</v>
      </c>
      <c r="F7" s="14"/>
      <c r="G7" s="11" t="s">
        <v>59</v>
      </c>
      <c r="H7" s="11" t="s">
        <v>60</v>
      </c>
      <c r="I7" s="11"/>
      <c r="J7" s="39" t="s">
        <v>61</v>
      </c>
      <c r="K7" s="11" t="s">
        <v>62</v>
      </c>
      <c r="L7" s="11" t="s">
        <v>63</v>
      </c>
      <c r="M7" s="18"/>
      <c r="N7" s="18"/>
      <c r="O7" s="18"/>
      <c r="P7" s="18"/>
      <c r="Q7" s="18"/>
      <c r="R7" s="18"/>
      <c r="S7" s="18"/>
      <c r="T7" s="18"/>
      <c r="U7" s="18"/>
      <c r="V7" s="18"/>
      <c r="W7" s="18"/>
      <c r="X7" s="18"/>
      <c r="Y7" s="18"/>
      <c r="Z7" s="18"/>
    </row>
    <row r="8">
      <c r="A8" s="33" t="s">
        <v>64</v>
      </c>
      <c r="B8" s="33" t="s">
        <v>65</v>
      </c>
      <c r="C8" s="33" t="s">
        <v>66</v>
      </c>
      <c r="D8" s="33" t="s">
        <v>67</v>
      </c>
      <c r="E8" s="33" t="s">
        <v>68</v>
      </c>
      <c r="F8" s="40" t="s">
        <v>69</v>
      </c>
      <c r="G8" s="33" t="s">
        <v>70</v>
      </c>
      <c r="H8" s="33" t="s">
        <v>71</v>
      </c>
      <c r="I8" s="33" t="s">
        <v>72</v>
      </c>
      <c r="J8" s="41" t="s">
        <v>73</v>
      </c>
      <c r="K8" s="42" t="s">
        <v>74</v>
      </c>
      <c r="L8" s="43" t="s">
        <v>75</v>
      </c>
      <c r="M8" s="9"/>
      <c r="N8" s="9"/>
      <c r="O8" s="9"/>
      <c r="P8" s="9"/>
      <c r="Q8" s="9"/>
      <c r="R8" s="9"/>
      <c r="S8" s="9"/>
      <c r="T8" s="9"/>
      <c r="U8" s="9"/>
      <c r="V8" s="9"/>
      <c r="W8" s="9"/>
      <c r="X8" s="9"/>
      <c r="Y8" s="9"/>
      <c r="Z8" s="9"/>
    </row>
    <row r="9">
      <c r="A9" s="44"/>
      <c r="B9" s="44"/>
      <c r="C9" s="44"/>
      <c r="D9" s="44"/>
      <c r="E9" s="3"/>
      <c r="F9" s="45"/>
      <c r="G9" s="5"/>
      <c r="H9" s="3"/>
      <c r="I9" s="3"/>
      <c r="J9" s="46"/>
      <c r="K9" s="8"/>
      <c r="L9" s="8"/>
      <c r="M9" s="9"/>
      <c r="N9" s="9"/>
      <c r="O9" s="9"/>
      <c r="P9" s="9"/>
      <c r="Q9" s="9"/>
      <c r="R9" s="9"/>
      <c r="S9" s="9"/>
      <c r="T9" s="9"/>
      <c r="U9" s="9"/>
      <c r="V9" s="9"/>
      <c r="W9" s="9"/>
      <c r="X9" s="9"/>
      <c r="Y9" s="9"/>
      <c r="Z9" s="9"/>
    </row>
    <row r="10">
      <c r="A10" s="47" t="s">
        <v>76</v>
      </c>
      <c r="B10" s="48" t="s">
        <v>77</v>
      </c>
      <c r="C10" s="48" t="s">
        <v>78</v>
      </c>
      <c r="D10" s="48" t="s">
        <v>79</v>
      </c>
      <c r="E10" s="48" t="s">
        <v>80</v>
      </c>
      <c r="F10" s="49" t="s">
        <v>81</v>
      </c>
      <c r="G10" s="50" t="s">
        <v>82</v>
      </c>
      <c r="H10" s="51" t="s">
        <v>83</v>
      </c>
      <c r="I10" s="51" t="s">
        <v>84</v>
      </c>
      <c r="J10" s="52" t="s">
        <v>85</v>
      </c>
      <c r="K10" s="53" t="s">
        <v>86</v>
      </c>
      <c r="L10" s="53" t="s">
        <v>87</v>
      </c>
      <c r="M10" s="9"/>
      <c r="N10" s="9"/>
      <c r="O10" s="9"/>
      <c r="P10" s="9"/>
      <c r="Q10" s="9"/>
      <c r="R10" s="9"/>
      <c r="S10" s="9"/>
      <c r="T10" s="9"/>
      <c r="U10" s="9"/>
      <c r="V10" s="9"/>
      <c r="W10" s="9"/>
      <c r="X10" s="9"/>
      <c r="Y10" s="9"/>
      <c r="Z10" s="9"/>
    </row>
    <row r="11">
      <c r="A11" s="47" t="s">
        <v>88</v>
      </c>
      <c r="B11" s="47" t="s">
        <v>89</v>
      </c>
      <c r="C11" s="47" t="s">
        <v>89</v>
      </c>
      <c r="D11" s="47" t="s">
        <v>89</v>
      </c>
      <c r="E11" s="47" t="s">
        <v>89</v>
      </c>
      <c r="F11" s="54" t="s">
        <v>89</v>
      </c>
      <c r="G11" s="55" t="s">
        <v>89</v>
      </c>
      <c r="H11" s="47" t="s">
        <v>89</v>
      </c>
      <c r="I11" s="47" t="s">
        <v>89</v>
      </c>
      <c r="J11" s="56" t="s">
        <v>89</v>
      </c>
      <c r="K11" s="54" t="s">
        <v>89</v>
      </c>
      <c r="L11" s="54" t="s">
        <v>89</v>
      </c>
      <c r="M11" s="9"/>
      <c r="N11" s="9"/>
      <c r="O11" s="9"/>
      <c r="P11" s="9"/>
      <c r="Q11" s="9"/>
      <c r="R11" s="9"/>
      <c r="S11" s="9"/>
      <c r="T11" s="9"/>
      <c r="U11" s="9"/>
      <c r="V11" s="9"/>
      <c r="W11" s="9"/>
      <c r="X11" s="9"/>
      <c r="Y11" s="9"/>
      <c r="Z11" s="9"/>
    </row>
    <row r="12">
      <c r="A12" s="47" t="s">
        <v>90</v>
      </c>
      <c r="B12" s="47" t="s">
        <v>91</v>
      </c>
      <c r="C12" s="47" t="s">
        <v>92</v>
      </c>
      <c r="D12" s="47" t="s">
        <v>93</v>
      </c>
      <c r="E12" s="51" t="s">
        <v>94</v>
      </c>
      <c r="F12" s="49" t="s">
        <v>95</v>
      </c>
      <c r="G12" s="57" t="s">
        <v>96</v>
      </c>
      <c r="H12" s="51" t="s">
        <v>97</v>
      </c>
      <c r="I12" s="51" t="s">
        <v>98</v>
      </c>
      <c r="J12" s="52" t="s">
        <v>99</v>
      </c>
      <c r="K12" s="53" t="s">
        <v>100</v>
      </c>
      <c r="L12" s="53" t="s">
        <v>101</v>
      </c>
      <c r="M12" s="9"/>
      <c r="N12" s="9"/>
      <c r="O12" s="9"/>
      <c r="P12" s="9"/>
      <c r="Q12" s="9"/>
      <c r="R12" s="9"/>
      <c r="S12" s="9"/>
      <c r="T12" s="9"/>
      <c r="U12" s="9"/>
      <c r="V12" s="9"/>
      <c r="W12" s="9"/>
      <c r="X12" s="9"/>
      <c r="Y12" s="9"/>
      <c r="Z12" s="9"/>
    </row>
    <row r="13">
      <c r="A13" s="47" t="s">
        <v>102</v>
      </c>
      <c r="B13" s="48" t="s">
        <v>103</v>
      </c>
      <c r="C13" s="48" t="s">
        <v>104</v>
      </c>
      <c r="D13" s="58" t="s">
        <v>105</v>
      </c>
      <c r="E13" s="48" t="s">
        <v>106</v>
      </c>
      <c r="F13" s="59" t="s">
        <v>107</v>
      </c>
      <c r="G13" s="57" t="s">
        <v>108</v>
      </c>
      <c r="H13" s="48" t="s">
        <v>109</v>
      </c>
      <c r="I13" s="60" t="str">
        <f>IFERROR(__xludf.DUMMYFUNCTION("GOOGLETRANSLATE(F13,""zh-tw"",""en"")"),"Perohub (알리페이 지원) https://perohub.com/posts/6773ed3e7e0707642a5c7882")</f>
        <v>Perohub (알리페이 지원) https://perohub.com/posts/6773ed3e7e0707642a5c7882</v>
      </c>
      <c r="J13" s="56" t="s">
        <v>110</v>
      </c>
      <c r="K13" s="61" t="s">
        <v>111</v>
      </c>
      <c r="L13" s="53" t="s">
        <v>112</v>
      </c>
      <c r="M13" s="9"/>
      <c r="N13" s="9"/>
      <c r="O13" s="9"/>
      <c r="P13" s="9"/>
      <c r="Q13" s="9"/>
      <c r="R13" s="9"/>
      <c r="S13" s="9"/>
      <c r="T13" s="9"/>
      <c r="U13" s="9"/>
      <c r="V13" s="9"/>
      <c r="W13" s="9"/>
      <c r="X13" s="9"/>
      <c r="Y13" s="9"/>
      <c r="Z13" s="9"/>
    </row>
    <row r="14">
      <c r="A14" s="47" t="s">
        <v>113</v>
      </c>
      <c r="B14" s="48" t="s">
        <v>114</v>
      </c>
      <c r="C14" s="48" t="s">
        <v>115</v>
      </c>
      <c r="D14" s="48" t="s">
        <v>116</v>
      </c>
      <c r="E14" s="51" t="s">
        <v>117</v>
      </c>
      <c r="F14" s="49" t="s">
        <v>118</v>
      </c>
      <c r="G14" s="57" t="s">
        <v>119</v>
      </c>
      <c r="H14" s="51" t="s">
        <v>120</v>
      </c>
      <c r="I14" s="51" t="s">
        <v>121</v>
      </c>
      <c r="J14" s="52" t="s">
        <v>122</v>
      </c>
      <c r="K14" s="62" t="s">
        <v>123</v>
      </c>
      <c r="L14" s="53" t="s">
        <v>124</v>
      </c>
      <c r="M14" s="9"/>
      <c r="N14" s="9"/>
      <c r="O14" s="9"/>
      <c r="P14" s="9"/>
      <c r="Q14" s="9"/>
      <c r="R14" s="9"/>
      <c r="S14" s="9"/>
      <c r="T14" s="9"/>
      <c r="U14" s="9"/>
      <c r="V14" s="9"/>
      <c r="W14" s="9"/>
      <c r="X14" s="9"/>
      <c r="Y14" s="9"/>
      <c r="Z14" s="9"/>
    </row>
    <row r="15">
      <c r="A15" s="48" t="s">
        <v>125</v>
      </c>
      <c r="B15" s="48" t="s">
        <v>126</v>
      </c>
      <c r="C15" s="48" t="s">
        <v>127</v>
      </c>
      <c r="D15" s="48" t="s">
        <v>128</v>
      </c>
      <c r="E15" s="51" t="s">
        <v>129</v>
      </c>
      <c r="F15" s="49" t="s">
        <v>130</v>
      </c>
      <c r="G15" s="57" t="s">
        <v>131</v>
      </c>
      <c r="H15" s="51" t="s">
        <v>132</v>
      </c>
      <c r="I15" s="51" t="s">
        <v>133</v>
      </c>
      <c r="J15" s="52" t="s">
        <v>134</v>
      </c>
      <c r="K15" s="62" t="s">
        <v>135</v>
      </c>
      <c r="L15" s="53" t="s">
        <v>136</v>
      </c>
      <c r="M15" s="9"/>
      <c r="N15" s="9"/>
      <c r="O15" s="9"/>
      <c r="P15" s="9"/>
      <c r="Q15" s="9"/>
      <c r="R15" s="9"/>
      <c r="S15" s="9"/>
      <c r="T15" s="9"/>
      <c r="U15" s="9"/>
      <c r="V15" s="9"/>
      <c r="W15" s="9"/>
      <c r="X15" s="9"/>
      <c r="Y15" s="9"/>
      <c r="Z15" s="9"/>
    </row>
    <row r="16" ht="72.0" customHeight="1">
      <c r="A16" s="47" t="s">
        <v>137</v>
      </c>
      <c r="B16" s="47" t="s">
        <v>138</v>
      </c>
      <c r="C16" s="63" t="s">
        <v>139</v>
      </c>
      <c r="D16" s="47" t="s">
        <v>140</v>
      </c>
      <c r="E16" s="64" t="s">
        <v>141</v>
      </c>
      <c r="F16" s="63" t="s">
        <v>142</v>
      </c>
      <c r="G16" s="57" t="s">
        <v>143</v>
      </c>
      <c r="H16" s="63" t="s">
        <v>144</v>
      </c>
      <c r="I16" s="63" t="s">
        <v>145</v>
      </c>
      <c r="J16" s="65" t="s">
        <v>146</v>
      </c>
      <c r="K16" s="63" t="s">
        <v>147</v>
      </c>
      <c r="L16" s="63" t="s">
        <v>148</v>
      </c>
      <c r="M16" s="18"/>
      <c r="N16" s="18"/>
      <c r="O16" s="18"/>
      <c r="P16" s="18"/>
      <c r="Q16" s="18"/>
      <c r="R16" s="18"/>
      <c r="S16" s="18"/>
      <c r="T16" s="18"/>
      <c r="U16" s="18"/>
      <c r="V16" s="18"/>
      <c r="W16" s="18"/>
      <c r="X16" s="18"/>
      <c r="Y16" s="18"/>
      <c r="Z16" s="18"/>
    </row>
    <row r="17">
      <c r="A17" s="66" t="s">
        <v>149</v>
      </c>
      <c r="B17" s="66" t="s">
        <v>150</v>
      </c>
      <c r="C17" s="66" t="s">
        <v>151</v>
      </c>
      <c r="D17" s="67" t="s">
        <v>152</v>
      </c>
      <c r="E17" s="3" t="str">
        <f>IFERROR(__xludf.DUMMYFUNCTION("GOOGLETRANSLATE(A17,""zh-tw"",""es-MX"")"),"El juego se encuentra actualmente en fase beta. Las imágenes mostradas en los tráileres no indican que el juego esté implementado. Por lo tanto, no pregunten cómo hacer cosas que aún no son posibles; la respuesta siempre será ""aún no está listo"".
Actua"&amp;"lmente, esta sección solo acepta preguntas relacionadas con contenido faltante en los archivos. No aceptamos preguntas sobre el contenido del juego ni informes de errores. No envíen consultas por correo electrónico.
Para problemas relacionados, por favor"&amp;", comenten con otros jugadores en el foro oficial de Discord. ¡Gracias por su colaboración!")</f>
        <v>El juego se encuentra actualmente en fase beta. Las imágenes mostradas en los tráileres no indican que el juego esté implementado. Por lo tanto, no pregunten cómo hacer cosas que aún no son posibles; la respuesta siempre será "aún no está listo".
Actualmente, esta sección solo acepta preguntas relacionadas con contenido faltante en los archivos. No aceptamos preguntas sobre el contenido del juego ni informes de errores. No envíen consultas por correo electrónico.
Para problemas relacionados, por favor, comenten con otros jugadores en el foro oficial de Discord. ¡Gracias por su colaboración!</v>
      </c>
      <c r="F17" s="45" t="s">
        <v>153</v>
      </c>
      <c r="G17" s="3" t="s">
        <v>154</v>
      </c>
      <c r="H17" s="3" t="s">
        <v>155</v>
      </c>
      <c r="I17" s="3" t="str">
        <f>IFERROR(__xludf.DUMMYFUNCTION("GOOGLETRANSLATE(A17,""zh-tw"",""DE"")"),"Das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bearbeitet. Bitte sendet keine Anfragen per E-Mail.
Bei ähnlichen Problemen wendet euch bitte a"&amp;"n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bearbeitet. Bitte sendet keine Anfragen per E-Mail.
Bei ähnlichen Problemen wendet euch bitte an andere Spieler im offiziellen Discord-Forum. Vielen Dank für eure Mitarbeit!</v>
      </c>
      <c r="J17" s="68" t="s">
        <v>156</v>
      </c>
      <c r="K17" s="8" t="s">
        <v>157</v>
      </c>
      <c r="L17" s="8" t="s">
        <v>158</v>
      </c>
      <c r="M17" s="9"/>
      <c r="N17" s="9"/>
      <c r="O17" s="9"/>
      <c r="P17" s="9"/>
      <c r="Q17" s="9"/>
      <c r="R17" s="9"/>
      <c r="S17" s="9"/>
      <c r="T17" s="9"/>
      <c r="U17" s="9"/>
      <c r="V17" s="9"/>
      <c r="W17" s="9"/>
      <c r="X17" s="9"/>
      <c r="Y17" s="9"/>
      <c r="Z17" s="9"/>
    </row>
    <row r="18" ht="524.25" customHeight="1">
      <c r="A18" s="1" t="s">
        <v>159</v>
      </c>
      <c r="B18" s="1" t="s">
        <v>160</v>
      </c>
      <c r="C18" s="1" t="s">
        <v>161</v>
      </c>
      <c r="D18" s="2" t="str">
        <f>IFERROR(__xludf.DUMMYFUNCTION("GOOGLETRANSLATE(A18,""zh-tw"",""zh"")"),"本文件旨在协助玩家解决疑惑，不用于商业或广告用途！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8" s="1" t="str">
        <f>IFERROR(__xludf.DUMMYFUNCTION("GOOGLETRANSLATE(A18,""zh-tw"",""es-MX"")"),"Este documento tiene como objetivo ayudar a los jugadores a resolver sus dudas y no tiene fines comerciales ni publicitarios.
Si necesitas pagar o usar una versión pirata del juego para ver esto, significa que has sido víctima de una estafa.
Esta guía f"&amp;"ue creada por un jugador taiwanés, por lo que está principalmente en chino tradicional. Disculpen cualquier traducción deficiente a otros idiomas.
El editor es un jugador, y la mayor parte de la información no publicada se obtuvo consultando fuentes ofic"&amp;"iales. Por lo tanto, puede haber mecanismos desconocidos. Si encuentras algún mecanismo desconocido, omisión o anomalía en el documento, no dudes en contactar al editor principal.
Puedes reproducir contenido de otros sitios web (gratuitamente) o agregar "&amp;"contenido a este formulario. Contáctanos.
Discord del editor principal: RORO#3330
O contáctame en gameconlch@gmail.com. Gracias por tu colaboración.
")</f>
        <v>Este documento tiene como objetivo ayudar a los jugadores a resolver sus dudas y no tiene fines comerciales ni publicitarios.
Si necesitas pagar o usar una versión pirata del juego para ver esto, significa que has sido víctima de una estafa.
Esta guía fue creada por un jugador taiwanés, por lo que está principalmente en chino tradicional. Disculpen cualquier traducción deficiente a otros idiomas.
El editor es un jugador, y la mayor parte de la información no publicada se obtuvo consultando fuentes oficiales. Por lo tanto, puede haber mecanismos desconocidos. Si encuentras algún mecanismo desconocido, omisión o anomalía en el documento, no dudes en contactar al editor principal.
Puedes reproducir contenido de otros sitios web (gratuitamente) o agregar contenido a este formulario. Contáctanos.
Discord del editor principal: RORO#3330
O contáctame en gameconlch@gmail.com. Gracias por tu colaboración.
</v>
      </c>
      <c r="F18" s="4" t="s">
        <v>162</v>
      </c>
      <c r="G18" s="5" t="s">
        <v>163</v>
      </c>
      <c r="H18" s="5" t="s">
        <v>164</v>
      </c>
      <c r="I18" s="5" t="str">
        <f>IFERROR(__xludf.DUMMYFUNCTION("GOOGLETRANSLATE(A18,""zh-tw"",""DE"")"),"Dieses Dokument soll Spielern bei der Klärung ihrer Fragen helfen und dient nicht kommerziellen oder Werbezwecken!
Wenn Sie für den Zugriff auf dieses Dokument bezahlen oder eine Raubkopie des Spiels verwenden müssen, wurden Sie von Raubkopierern betroge"&amp;"n!
Dieser Leitfaden wurde von einem taiwanesischen Spieler erstellt und ist daher hauptsächlich in traditionellem Chinesisch verfasst. Wir bitten um Entschuldigung für eventuelle holprige Übersetzungen in anderen Sprachversionen.
Der Bearbeiter ist eben"&amp;"falls Spieler, und die meisten unveröffentlichten Informationen stammen aus Rücksprache mit offiziellen Quellen. Daher können unentdeckte Mechanismen fehlen. Sollten Sie unentdeckte Mechanismen, Auslassungen oder Anomalien im Dokument finden, kontaktieren"&amp;" Sie bitte den Hauptbearbeiter.
Sie können Inhalte von anderen Webseiten (kostenlos) übernehmen oder diesem Formular weitere Inhalte hinzufügen. Kontaktieren Sie uns gerne.
Hauptbearbeiter auf Discord: RORO#3330
Oder kontaktieren Sie mich unter gamecon"&amp;"lch@gmail.com. Vielen Dank für Ihre Mitarbeit.
Der Bearbeiter ist ebenfalls ein Spieler.")</f>
        <v>Dieses Dokument soll Spielern bei der Klärung ihrer Fragen helfen und dient nicht kommerziellen oder Werbezwecken!
Wenn Sie für den Zugriff auf dieses Dokument bezahlen oder eine Raubkopie des Spiels verwenden müssen,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J18" s="69" t="s">
        <v>165</v>
      </c>
      <c r="K18" s="8" t="s">
        <v>166</v>
      </c>
      <c r="L18" s="8" t="s">
        <v>167</v>
      </c>
      <c r="M18" s="9"/>
      <c r="N18" s="9"/>
      <c r="O18" s="9"/>
      <c r="P18" s="9"/>
      <c r="Q18" s="9"/>
      <c r="R18" s="9"/>
      <c r="S18" s="9"/>
      <c r="T18" s="9"/>
      <c r="U18" s="9"/>
      <c r="V18" s="9"/>
      <c r="W18" s="9"/>
      <c r="X18" s="9"/>
      <c r="Y18" s="9"/>
      <c r="Z18" s="9"/>
    </row>
    <row r="19">
      <c r="A19" s="70" t="s">
        <v>168</v>
      </c>
      <c r="B19" s="44"/>
      <c r="C19" s="71"/>
      <c r="D19" s="72" t="s">
        <v>169</v>
      </c>
      <c r="E19" s="3"/>
      <c r="F19" s="45"/>
      <c r="G19" s="73" t="s">
        <v>170</v>
      </c>
      <c r="H19" s="73" t="s">
        <v>171</v>
      </c>
      <c r="I19" s="3"/>
      <c r="J19" s="74" t="s">
        <v>172</v>
      </c>
      <c r="K19" s="75" t="s">
        <v>173</v>
      </c>
      <c r="L19" s="70" t="s">
        <v>174</v>
      </c>
      <c r="M19" s="9"/>
      <c r="N19" s="9"/>
      <c r="O19" s="9"/>
      <c r="P19" s="9"/>
      <c r="Q19" s="9"/>
      <c r="R19" s="9"/>
      <c r="S19" s="9"/>
      <c r="T19" s="9"/>
      <c r="U19" s="9"/>
      <c r="V19" s="9"/>
      <c r="W19" s="9"/>
      <c r="X19" s="9"/>
      <c r="Y19" s="9"/>
      <c r="Z19" s="9"/>
    </row>
    <row r="20">
      <c r="A20" s="76"/>
      <c r="B20" s="76"/>
      <c r="C20" s="76"/>
      <c r="D20" s="77"/>
      <c r="E20" s="3"/>
      <c r="F20" s="45"/>
      <c r="G20" s="5"/>
      <c r="H20" s="3"/>
      <c r="I20" s="3"/>
      <c r="J20" s="78"/>
      <c r="K20" s="79"/>
      <c r="L20" s="79"/>
      <c r="M20" s="9"/>
      <c r="N20" s="9"/>
      <c r="O20" s="9"/>
      <c r="P20" s="9"/>
      <c r="Q20" s="9"/>
      <c r="R20" s="9"/>
      <c r="S20" s="9"/>
      <c r="T20" s="9"/>
      <c r="U20" s="9"/>
      <c r="V20" s="9"/>
      <c r="W20" s="9"/>
      <c r="X20" s="9"/>
      <c r="Y20" s="9"/>
      <c r="Z20" s="9"/>
    </row>
    <row r="21">
      <c r="A21" s="44"/>
      <c r="B21" s="44"/>
      <c r="C21" s="44"/>
      <c r="D21" s="44"/>
      <c r="E21" s="3"/>
      <c r="F21" s="45"/>
      <c r="G21" s="5"/>
      <c r="H21" s="3"/>
      <c r="I21" s="3"/>
      <c r="J21" s="78"/>
      <c r="K21" s="79"/>
      <c r="L21" s="79"/>
      <c r="M21" s="9"/>
      <c r="N21" s="9"/>
      <c r="O21" s="9"/>
      <c r="P21" s="9"/>
      <c r="Q21" s="9"/>
      <c r="R21" s="9"/>
      <c r="S21" s="9"/>
      <c r="T21" s="9"/>
      <c r="U21" s="9"/>
      <c r="V21" s="9"/>
      <c r="W21" s="9"/>
      <c r="X21" s="9"/>
      <c r="Y21" s="9"/>
      <c r="Z21" s="9"/>
    </row>
    <row r="22">
      <c r="A22" s="80" t="s">
        <v>175</v>
      </c>
      <c r="B22" s="80" t="str">
        <f>IFERROR(__xludf.DUMMYFUNCTION("GOOGLETRANSLATE(A22,""zh-tw"",""ja"")"),"作業ログを編集する")</f>
        <v>作業ログを編集する</v>
      </c>
      <c r="C22" s="80" t="s">
        <v>176</v>
      </c>
      <c r="D22" s="80" t="str">
        <f>IFERROR(__xludf.DUMMYFUNCTION("GOOGLETRANSLATE(A22,""zh-tw"",""zh"")"),"编辑工作日志")</f>
        <v>编辑工作日志</v>
      </c>
      <c r="E22" s="81" t="s">
        <v>177</v>
      </c>
      <c r="F22" s="81" t="str">
        <f>IFERROR(__xludf.DUMMYFUNCTION("GOOGLETRANSLATE(A22,""zh-tw"",""KO"")"),"작업 로그 편집")</f>
        <v>작업 로그 편집</v>
      </c>
      <c r="G22" s="81" t="s">
        <v>178</v>
      </c>
      <c r="H22" s="81" t="s">
        <v>179</v>
      </c>
      <c r="I22" s="81" t="str">
        <f>IFERROR(__xludf.DUMMYFUNCTION("GOOGLETRANSLATE(A22,""zh-tw"",""DE"")"),"Arbeitszeitprotokoll bearbeiten")</f>
        <v>Arbeitszeitprotokoll bearbeiten</v>
      </c>
      <c r="J22" s="82" t="s">
        <v>180</v>
      </c>
      <c r="K22" s="83" t="s">
        <v>181</v>
      </c>
      <c r="L22" s="84" t="s">
        <v>182</v>
      </c>
      <c r="M22" s="9"/>
      <c r="N22" s="9"/>
      <c r="O22" s="9"/>
      <c r="P22" s="9"/>
      <c r="Q22" s="9"/>
      <c r="R22" s="9"/>
      <c r="S22" s="9"/>
      <c r="T22" s="9"/>
      <c r="U22" s="9"/>
      <c r="V22" s="9"/>
      <c r="W22" s="9"/>
      <c r="X22" s="9"/>
      <c r="Y22" s="9"/>
      <c r="Z22" s="9"/>
    </row>
    <row r="23">
      <c r="A23" s="85"/>
      <c r="B23" s="85"/>
      <c r="C23" s="85"/>
      <c r="D23" s="85"/>
      <c r="E23" s="85"/>
      <c r="F23" s="85"/>
      <c r="G23" s="86"/>
      <c r="H23" s="86"/>
      <c r="I23" s="85"/>
      <c r="J23" s="85"/>
      <c r="K23" s="85"/>
      <c r="L23" s="85"/>
      <c r="M23" s="87"/>
      <c r="N23" s="87"/>
      <c r="O23" s="87"/>
      <c r="P23" s="87"/>
      <c r="Q23" s="87"/>
      <c r="R23" s="87"/>
      <c r="S23" s="87"/>
      <c r="T23" s="87"/>
      <c r="U23" s="87"/>
      <c r="V23" s="87"/>
      <c r="W23" s="87"/>
      <c r="X23" s="87"/>
      <c r="Y23" s="87"/>
      <c r="Z23" s="87"/>
    </row>
    <row r="24">
      <c r="A24" s="85" t="s">
        <v>183</v>
      </c>
      <c r="B24" s="85" t="s">
        <v>183</v>
      </c>
      <c r="C24" s="85" t="s">
        <v>183</v>
      </c>
      <c r="D24" s="85" t="s">
        <v>183</v>
      </c>
      <c r="E24" s="85" t="s">
        <v>183</v>
      </c>
      <c r="F24" s="85" t="s">
        <v>183</v>
      </c>
      <c r="G24" s="85" t="s">
        <v>183</v>
      </c>
      <c r="H24" s="85" t="s">
        <v>183</v>
      </c>
      <c r="I24" s="85" t="s">
        <v>183</v>
      </c>
      <c r="J24" s="85" t="s">
        <v>183</v>
      </c>
      <c r="K24" s="85" t="s">
        <v>183</v>
      </c>
      <c r="L24" s="85" t="s">
        <v>183</v>
      </c>
      <c r="M24" s="87"/>
      <c r="N24" s="87"/>
      <c r="O24" s="87"/>
      <c r="P24" s="87"/>
      <c r="Q24" s="87"/>
      <c r="R24" s="87"/>
      <c r="S24" s="87"/>
      <c r="T24" s="87"/>
      <c r="U24" s="87"/>
      <c r="V24" s="87"/>
      <c r="W24" s="87"/>
      <c r="X24" s="87"/>
      <c r="Y24" s="87"/>
      <c r="Z24" s="87"/>
    </row>
    <row r="25">
      <c r="A25" s="85" t="s">
        <v>184</v>
      </c>
      <c r="B25" s="85" t="s">
        <v>184</v>
      </c>
      <c r="C25" s="85" t="s">
        <v>184</v>
      </c>
      <c r="D25" s="85" t="s">
        <v>184</v>
      </c>
      <c r="E25" s="85" t="s">
        <v>184</v>
      </c>
      <c r="F25" s="85" t="s">
        <v>184</v>
      </c>
      <c r="G25" s="86" t="s">
        <v>185</v>
      </c>
      <c r="H25" s="86" t="s">
        <v>186</v>
      </c>
      <c r="I25" s="85" t="s">
        <v>184</v>
      </c>
      <c r="J25" s="85" t="s">
        <v>184</v>
      </c>
      <c r="K25" s="85" t="s">
        <v>184</v>
      </c>
      <c r="L25" s="85" t="s">
        <v>184</v>
      </c>
      <c r="M25" s="87"/>
      <c r="N25" s="87"/>
      <c r="O25" s="87"/>
      <c r="P25" s="87"/>
      <c r="Q25" s="87"/>
      <c r="R25" s="87"/>
      <c r="S25" s="87"/>
      <c r="T25" s="87"/>
      <c r="U25" s="87"/>
      <c r="V25" s="87"/>
      <c r="W25" s="87"/>
      <c r="X25" s="87"/>
      <c r="Y25" s="87"/>
      <c r="Z25" s="87"/>
    </row>
    <row r="26">
      <c r="A26" s="85" t="s">
        <v>187</v>
      </c>
      <c r="B26" s="85" t="s">
        <v>187</v>
      </c>
      <c r="C26" s="85" t="s">
        <v>188</v>
      </c>
      <c r="D26" s="85" t="s">
        <v>188</v>
      </c>
      <c r="E26" s="85" t="s">
        <v>188</v>
      </c>
      <c r="F26" s="85" t="s">
        <v>188</v>
      </c>
      <c r="G26" s="86" t="s">
        <v>189</v>
      </c>
      <c r="H26" s="86" t="s">
        <v>190</v>
      </c>
      <c r="I26" s="85" t="s">
        <v>188</v>
      </c>
      <c r="J26" s="85" t="s">
        <v>188</v>
      </c>
      <c r="K26" s="85" t="s">
        <v>188</v>
      </c>
      <c r="L26" s="85" t="s">
        <v>188</v>
      </c>
      <c r="M26" s="87"/>
      <c r="N26" s="87"/>
      <c r="O26" s="87"/>
      <c r="P26" s="87"/>
      <c r="Q26" s="87"/>
      <c r="R26" s="87"/>
      <c r="S26" s="87"/>
      <c r="T26" s="87"/>
      <c r="U26" s="87"/>
      <c r="V26" s="87"/>
      <c r="W26" s="87"/>
      <c r="X26" s="87"/>
      <c r="Y26" s="87"/>
      <c r="Z26" s="87"/>
    </row>
    <row r="27">
      <c r="A27" s="85" t="s">
        <v>191</v>
      </c>
      <c r="B27" s="85" t="s">
        <v>192</v>
      </c>
      <c r="C27" s="85" t="s">
        <v>192</v>
      </c>
      <c r="D27" s="85" t="s">
        <v>192</v>
      </c>
      <c r="E27" s="85" t="s">
        <v>192</v>
      </c>
      <c r="F27" s="85" t="s">
        <v>192</v>
      </c>
      <c r="G27" s="45" t="s">
        <v>193</v>
      </c>
      <c r="H27" s="86" t="s">
        <v>194</v>
      </c>
      <c r="I27" s="85" t="s">
        <v>192</v>
      </c>
      <c r="J27" s="85" t="s">
        <v>192</v>
      </c>
      <c r="K27" s="85" t="s">
        <v>192</v>
      </c>
      <c r="L27" s="85" t="s">
        <v>192</v>
      </c>
      <c r="M27" s="87"/>
      <c r="N27" s="87"/>
      <c r="O27" s="87"/>
      <c r="P27" s="87"/>
      <c r="Q27" s="87"/>
      <c r="R27" s="87"/>
      <c r="S27" s="87"/>
      <c r="T27" s="87"/>
      <c r="U27" s="87"/>
      <c r="V27" s="87"/>
      <c r="W27" s="87"/>
      <c r="X27" s="87"/>
      <c r="Y27" s="87"/>
      <c r="Z27" s="87"/>
    </row>
    <row r="28">
      <c r="A28" s="85" t="s">
        <v>195</v>
      </c>
      <c r="B28" s="85" t="s">
        <v>196</v>
      </c>
      <c r="C28" s="85" t="s">
        <v>197</v>
      </c>
      <c r="D28" s="85" t="s">
        <v>198</v>
      </c>
      <c r="E28" s="85" t="s">
        <v>199</v>
      </c>
      <c r="F28" s="85" t="s">
        <v>199</v>
      </c>
      <c r="G28" s="45" t="s">
        <v>200</v>
      </c>
      <c r="H28" s="86" t="s">
        <v>201</v>
      </c>
      <c r="I28" s="85" t="s">
        <v>199</v>
      </c>
      <c r="J28" s="6" t="s">
        <v>202</v>
      </c>
      <c r="K28" s="85" t="s">
        <v>199</v>
      </c>
      <c r="L28" s="85" t="s">
        <v>199</v>
      </c>
      <c r="M28" s="87"/>
      <c r="N28" s="87"/>
      <c r="O28" s="87"/>
      <c r="P28" s="87"/>
      <c r="Q28" s="87"/>
      <c r="R28" s="87"/>
      <c r="S28" s="87"/>
      <c r="T28" s="87"/>
      <c r="U28" s="87"/>
      <c r="V28" s="87"/>
      <c r="W28" s="87"/>
      <c r="X28" s="87"/>
      <c r="Y28" s="87"/>
      <c r="Z28" s="87"/>
    </row>
    <row r="29">
      <c r="A29" s="85" t="s">
        <v>203</v>
      </c>
      <c r="B29" s="85" t="s">
        <v>203</v>
      </c>
      <c r="C29" s="85" t="s">
        <v>203</v>
      </c>
      <c r="D29" s="85" t="s">
        <v>203</v>
      </c>
      <c r="E29" s="85" t="s">
        <v>203</v>
      </c>
      <c r="F29" s="85" t="s">
        <v>203</v>
      </c>
      <c r="G29" s="45" t="s">
        <v>204</v>
      </c>
      <c r="H29" s="86" t="s">
        <v>205</v>
      </c>
      <c r="I29" s="85" t="s">
        <v>203</v>
      </c>
      <c r="J29" s="88" t="s">
        <v>206</v>
      </c>
      <c r="K29" s="85" t="s">
        <v>203</v>
      </c>
      <c r="L29" s="85" t="s">
        <v>203</v>
      </c>
      <c r="M29" s="87"/>
      <c r="N29" s="87"/>
      <c r="O29" s="87"/>
      <c r="P29" s="87"/>
      <c r="Q29" s="87"/>
      <c r="R29" s="87"/>
      <c r="S29" s="87"/>
      <c r="T29" s="87"/>
      <c r="U29" s="87"/>
      <c r="V29" s="87"/>
      <c r="W29" s="87"/>
      <c r="X29" s="87"/>
      <c r="Y29" s="87"/>
      <c r="Z29" s="87"/>
    </row>
    <row r="30">
      <c r="A30" s="85" t="s">
        <v>207</v>
      </c>
      <c r="B30" s="85" t="s">
        <v>207</v>
      </c>
      <c r="C30" s="85" t="s">
        <v>207</v>
      </c>
      <c r="D30" s="85" t="s">
        <v>207</v>
      </c>
      <c r="E30" s="85" t="s">
        <v>207</v>
      </c>
      <c r="F30" s="85" t="s">
        <v>207</v>
      </c>
      <c r="G30" s="45" t="s">
        <v>208</v>
      </c>
      <c r="H30" s="86" t="s">
        <v>209</v>
      </c>
      <c r="I30" s="85" t="s">
        <v>207</v>
      </c>
      <c r="J30" s="88" t="s">
        <v>210</v>
      </c>
      <c r="K30" s="85" t="s">
        <v>207</v>
      </c>
      <c r="L30" s="85" t="s">
        <v>207</v>
      </c>
      <c r="M30" s="87"/>
      <c r="N30" s="87"/>
      <c r="O30" s="87"/>
      <c r="P30" s="87"/>
      <c r="Q30" s="87"/>
      <c r="R30" s="87"/>
      <c r="S30" s="87"/>
      <c r="T30" s="87"/>
      <c r="U30" s="87"/>
      <c r="V30" s="87"/>
      <c r="W30" s="87"/>
      <c r="X30" s="87"/>
      <c r="Y30" s="87"/>
      <c r="Z30" s="87"/>
    </row>
    <row r="31">
      <c r="A31" s="85" t="s">
        <v>211</v>
      </c>
      <c r="B31" s="85" t="s">
        <v>211</v>
      </c>
      <c r="C31" s="85" t="s">
        <v>211</v>
      </c>
      <c r="D31" s="85" t="s">
        <v>211</v>
      </c>
      <c r="E31" s="85" t="s">
        <v>211</v>
      </c>
      <c r="F31" s="85" t="s">
        <v>211</v>
      </c>
      <c r="G31" s="45" t="s">
        <v>212</v>
      </c>
      <c r="H31" s="86" t="s">
        <v>213</v>
      </c>
      <c r="I31" s="85" t="s">
        <v>211</v>
      </c>
      <c r="J31" s="88" t="s">
        <v>214</v>
      </c>
      <c r="K31" s="85" t="s">
        <v>211</v>
      </c>
      <c r="L31" s="85" t="s">
        <v>211</v>
      </c>
      <c r="M31" s="87"/>
      <c r="N31" s="87"/>
      <c r="O31" s="87"/>
      <c r="P31" s="87"/>
      <c r="Q31" s="87"/>
      <c r="R31" s="87"/>
      <c r="S31" s="87"/>
      <c r="T31" s="87"/>
      <c r="U31" s="87"/>
      <c r="V31" s="87"/>
      <c r="W31" s="87"/>
      <c r="X31" s="87"/>
      <c r="Y31" s="87"/>
      <c r="Z31" s="87"/>
    </row>
    <row r="32">
      <c r="A32" s="85" t="s">
        <v>215</v>
      </c>
      <c r="B32" s="85" t="s">
        <v>215</v>
      </c>
      <c r="C32" s="85" t="s">
        <v>215</v>
      </c>
      <c r="D32" s="85" t="s">
        <v>215</v>
      </c>
      <c r="E32" s="85" t="s">
        <v>215</v>
      </c>
      <c r="F32" s="85" t="s">
        <v>215</v>
      </c>
      <c r="G32" s="45" t="s">
        <v>216</v>
      </c>
      <c r="H32" s="86" t="s">
        <v>217</v>
      </c>
      <c r="I32" s="85" t="s">
        <v>215</v>
      </c>
      <c r="J32" s="88" t="s">
        <v>218</v>
      </c>
      <c r="K32" s="85" t="s">
        <v>215</v>
      </c>
      <c r="L32" s="85" t="s">
        <v>215</v>
      </c>
      <c r="M32" s="87"/>
      <c r="N32" s="87"/>
      <c r="O32" s="87"/>
      <c r="P32" s="87"/>
      <c r="Q32" s="87"/>
      <c r="R32" s="87"/>
      <c r="S32" s="87"/>
      <c r="T32" s="87"/>
      <c r="U32" s="87"/>
      <c r="V32" s="87"/>
      <c r="W32" s="87"/>
      <c r="X32" s="87"/>
      <c r="Y32" s="87"/>
      <c r="Z32" s="87"/>
    </row>
    <row r="33">
      <c r="A33" s="85" t="s">
        <v>219</v>
      </c>
      <c r="B33" s="85" t="s">
        <v>219</v>
      </c>
      <c r="C33" s="85" t="s">
        <v>219</v>
      </c>
      <c r="D33" s="85" t="s">
        <v>219</v>
      </c>
      <c r="E33" s="85" t="s">
        <v>219</v>
      </c>
      <c r="F33" s="85" t="s">
        <v>219</v>
      </c>
      <c r="G33" s="45" t="s">
        <v>220</v>
      </c>
      <c r="H33" s="86" t="s">
        <v>221</v>
      </c>
      <c r="I33" s="85" t="s">
        <v>219</v>
      </c>
      <c r="J33" s="88" t="s">
        <v>222</v>
      </c>
      <c r="K33" s="85" t="s">
        <v>219</v>
      </c>
      <c r="L33" s="85" t="s">
        <v>219</v>
      </c>
      <c r="M33" s="87"/>
      <c r="N33" s="87"/>
      <c r="O33" s="87"/>
      <c r="P33" s="87"/>
      <c r="Q33" s="87"/>
      <c r="R33" s="87"/>
      <c r="S33" s="87"/>
      <c r="T33" s="87"/>
      <c r="U33" s="87"/>
      <c r="V33" s="87"/>
      <c r="W33" s="87"/>
      <c r="X33" s="87"/>
      <c r="Y33" s="87"/>
      <c r="Z33" s="87"/>
    </row>
    <row r="34">
      <c r="A34" s="85" t="s">
        <v>223</v>
      </c>
      <c r="B34" s="85" t="str">
        <f>IFERROR(__xludf.DUMMYFUNCTION("GOOGLETRANSLATE(A34,""zh-tw"",""ja"")"),"2026/1/11 0.95 アップデート
SLG-F 6〜9 / SLG-A 20 / RPG47.48.95 / アイテム +2 / ヒント +2 / 料理 +3")</f>
        <v>2026/1/11 0.95 アップデート
SLG-F 6〜9 / SLG-A 20 / RPG47.48.95 / アイテム +2 / ヒント +2 / 料理 +3</v>
      </c>
      <c r="C34" s="85" t="s">
        <v>224</v>
      </c>
      <c r="D34" s="85" t="str">
        <f>IFERROR(__xludf.DUMMYFUNCTION("GOOGLETRANSLATE(A34,""zh-tw"",""zh"")"),"2026/1/11  0.95  Update 
SLG-F  6~9 / SLG-A  20 / RPG47.48.95 / Items +2 / TIPS +2  / Dish +3")</f>
        <v>2026/1/11  0.95  Update 
SLG-F  6~9 / SLG-A  20 / RPG47.48.95 / Items +2 / TIPS +2  / Dish +3</v>
      </c>
      <c r="E34" s="45" t="str">
        <f>IFERROR(__xludf.DUMMYFUNCTION("GOOGLETRANSLATE(A34,""zh-tw"",""es-MX"")"),"Actualización 0.95 del 11/01/2026
SLG-F 6~9 / SLG-A 20 / RPG47.48.95 / Objetos +2 / Consejos +2 / Plato +3")</f>
        <v>Actualización 0.95 del 11/01/2026
SLG-F 6~9 / SLG-A 20 / RPG47.48.95 / Objetos +2 / Consejos +2 / Plato +3</v>
      </c>
      <c r="F34" s="45" t="str">
        <f>IFERROR(__xludf.DUMMYFUNCTION("GOOGLETRANSLATE(A34,""zh-tw"",""KO"")"),"2026년 1월 11일 0.95 업데이트
SLG-F 6~9 / SLG-A 20 / RPG47.48.95 / 아이템 +2 / 팁 +2 / 요리 +3")</f>
        <v>2026년 1월 11일 0.95 업데이트
SLG-F 6~9 / SLG-A 20 / RPG47.48.95 / 아이템 +2 / 팁 +2 / 요리 +3</v>
      </c>
      <c r="G34" s="45" t="s">
        <v>225</v>
      </c>
      <c r="H34" s="45" t="str">
        <f>IFERROR(__xludf.DUMMYFUNCTION("GOOGLETRANSLATE(A34,""zh-tw"",""RU"")"),"11.01.2026 Обновление 0.95
SLG-F 6~9 / SLG-A 20 / RPG47.48.95 / Предметы +2 / Советы +2 / Блюдо +3")</f>
        <v>11.01.2026 Обновление 0.95
SLG-F 6~9 / SLG-A 20 / RPG47.48.95 / Предметы +2 / Советы +2 / Блюдо +3</v>
      </c>
      <c r="I34" s="45" t="str">
        <f>IFERROR(__xludf.DUMMYFUNCTION("GOOGLETRANSLATE(A34,""zh-tw"",""DE"")"),"Update 0.95 vom 11.01.2026
SLG-F 6–9 / SLG-A 20 / RPG 47.48.95 / Gegenstände +2 / Trinkgelder +2 / Gerichte +3")</f>
        <v>Update 0.95 vom 11.01.2026
SLG-F 6–9 / SLG-A 20 / RPG 47.48.95 / Gegenstände +2 / Trinkgelder +2 / Gerichte +3</v>
      </c>
      <c r="J34" s="89" t="s">
        <v>226</v>
      </c>
      <c r="K34" s="8" t="s">
        <v>227</v>
      </c>
      <c r="L34" s="8" t="s">
        <v>228</v>
      </c>
      <c r="M34" s="87"/>
      <c r="N34" s="87"/>
      <c r="O34" s="87"/>
      <c r="P34" s="87"/>
      <c r="Q34" s="87"/>
      <c r="R34" s="87"/>
      <c r="S34" s="87"/>
      <c r="T34" s="87"/>
      <c r="U34" s="87"/>
      <c r="V34" s="87"/>
      <c r="W34" s="87"/>
      <c r="X34" s="87"/>
      <c r="Y34" s="87"/>
      <c r="Z34" s="87"/>
    </row>
    <row r="35">
      <c r="A35" s="85" t="s">
        <v>229</v>
      </c>
      <c r="B35" s="85" t="str">
        <f>IFERROR(__xludf.DUMMYFUNCTION("GOOGLETRANSLATE(A35,""zh-tw"",""ja"")"),"2025年12月30日にインドネシア語を追加しました。")</f>
        <v>2025年12月30日にインドネシア語を追加しました。</v>
      </c>
      <c r="C35" s="85" t="s">
        <v>230</v>
      </c>
      <c r="D35" s="85" t="str">
        <f>IFERROR(__xludf.DUMMYFUNCTION("GOOGLETRANSLATE(A35,""zh-tw"",""zh"")"),"2025/12/30 新增印尼语")</f>
        <v>2025/12/30 新增印尼语</v>
      </c>
      <c r="E35" s="45" t="str">
        <f>IFERROR(__xludf.DUMMYFUNCTION("GOOGLETRANSLATE(A35,""zh-tw"",""es-MX"")"),"Se agregó el idioma indonesio el 30/12/2025.")</f>
        <v>Se agregó el idioma indonesio el 30/12/2025.</v>
      </c>
      <c r="F35" s="45" t="str">
        <f>IFERROR(__xludf.DUMMYFUNCTION("GOOGLETRANSLATE(A35,""zh-tw"",""KO"")"),"2025년 12월 30일에 인도네시아어 지원이 추가되었습니다.")</f>
        <v>2025년 12월 30일에 인도네시아어 지원이 추가되었습니다.</v>
      </c>
      <c r="G35" s="45" t="s">
        <v>231</v>
      </c>
      <c r="H35" s="45" t="str">
        <f>IFERROR(__xludf.DUMMYFUNCTION("GOOGLETRANSLATE(A35,""zh-tw"",""RU"")"),"Индонезийский язык добавлен 30.12.2025.")</f>
        <v>Индонезийский язык добавлен 30.12.2025.</v>
      </c>
      <c r="I35" s="45" t="str">
        <f>IFERROR(__xludf.DUMMYFUNCTION("GOOGLETRANSLATE(A35,""zh-tw"",""DE"")"),"Indonesische Sprache hinzugefügt am 30.12.2025")</f>
        <v>Indonesische Sprache hinzugefügt am 30.12.2025</v>
      </c>
      <c r="J35" s="89" t="s">
        <v>232</v>
      </c>
      <c r="K35" s="8" t="s">
        <v>233</v>
      </c>
      <c r="L35" s="8" t="s">
        <v>234</v>
      </c>
      <c r="M35" s="87"/>
      <c r="N35" s="87"/>
      <c r="O35" s="87"/>
      <c r="P35" s="87"/>
      <c r="Q35" s="87"/>
      <c r="R35" s="87"/>
      <c r="S35" s="87"/>
      <c r="T35" s="87"/>
      <c r="U35" s="87"/>
      <c r="V35" s="87"/>
      <c r="W35" s="87"/>
      <c r="X35" s="87"/>
      <c r="Y35" s="87"/>
      <c r="Z35" s="87"/>
    </row>
    <row r="36">
      <c r="A36" s="85" t="s">
        <v>235</v>
      </c>
      <c r="B36" s="85" t="str">
        <f>IFERROR(__xludf.DUMMYFUNCTION("GOOGLETRANSLATE(A36,""zh-tw"",""ja"")"),"地図セクションの画像は、2025年12月22日に一時的に閉鎖されました。インタラクティブなウェブ版をご利用いただくと、画像をご覧いただけます。")</f>
        <v>地図セクションの画像は、2025年12月22日に一時的に閉鎖されました。インタラクティブなウェブ版をご利用いただくと、画像をご覧いただけます。</v>
      </c>
      <c r="C36" s="85" t="s">
        <v>236</v>
      </c>
      <c r="D36" s="85" t="str">
        <f>IFERROR(__xludf.DUMMYFUNCTION("GOOGLETRANSLATE(A36,""zh-tw"",""zh"")"),"2025/12/22 map版块的图档暂时关闭，可以先利用互动网页版本进行浏览")</f>
        <v>2025/12/22 map版块的图档暂时关闭，可以先利用互动网页版本进行浏览</v>
      </c>
      <c r="E36" s="45" t="str">
        <f>IFERROR(__xludf.DUMMYFUNCTION("GOOGLETRANSLATE(A36,""zh-tw"",""es-MX"")"),"Las imágenes de la sección de mapas se desactivaron temporalmente el 22 de diciembre de 2025. Puede consultarlas mediante la versión web interactiva.")</f>
        <v>Las imágenes de la sección de mapas se desactivaron temporalmente el 22 de diciembre de 2025. Puede consultarlas mediante la versión web interactiva.</v>
      </c>
      <c r="F36" s="45" t="str">
        <f>IFERROR(__xludf.DUMMYFUNCTION("GOOGLETRANSLATE(A36,""zh-tw"",""KO"")"),"지도 섹션의 이미지는 2025년 12월 22일에 일시적으로 폐쇄되었습니다. 웹 버전에서 해당 이미지를 열람하실 수 있습니다.")</f>
        <v>지도 섹션의 이미지는 2025년 12월 22일에 일시적으로 폐쇄되었습니다. 웹 버전에서 해당 이미지를 열람하실 수 있습니다.</v>
      </c>
      <c r="G36" s="45" t="s">
        <v>237</v>
      </c>
      <c r="H36" s="45" t="str">
        <f>IFERROR(__xludf.DUMMYFUNCTION("GOOGLETRANSLATE(A36,""zh-tw"",""RU"")"),"Доступ к изображениям в разделе карт был временно закрыт 22 декабря 2025 года. Вы можете просмотреть их, используя интерактивную веб-версию.")</f>
        <v>Доступ к изображениям в разделе карт был временно закрыт 22 декабря 2025 года. Вы можете просмотреть их, используя интерактивную веб-версию.</v>
      </c>
      <c r="I36" s="45" t="str">
        <f>IFERROR(__xludf.DUMMYFUNCTION("GOOGLETRANSLATE(A36,""zh-tw"",""DE"")"),"Die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J36" s="89" t="s">
        <v>238</v>
      </c>
      <c r="K36" s="8" t="s">
        <v>239</v>
      </c>
      <c r="L36" s="8" t="s">
        <v>240</v>
      </c>
      <c r="M36" s="87"/>
      <c r="N36" s="87"/>
      <c r="O36" s="87"/>
      <c r="P36" s="87"/>
      <c r="Q36" s="87"/>
      <c r="R36" s="87"/>
      <c r="S36" s="87"/>
      <c r="T36" s="87"/>
      <c r="U36" s="87"/>
      <c r="V36" s="87"/>
      <c r="W36" s="87"/>
      <c r="X36" s="87"/>
      <c r="Y36" s="87"/>
      <c r="Z36" s="87"/>
    </row>
    <row r="37">
      <c r="A37" s="85" t="s">
        <v>241</v>
      </c>
      <c r="B37" s="85" t="str">
        <f>IFERROR(__xludf.DUMMYFUNCTION("GOOGLETRANSLATE(A37,""zh-tw"",""ja"")"),"Dish +3を2025年12月5日に追加しました")</f>
        <v>Dish +3を2025年12月5日に追加しました</v>
      </c>
      <c r="C37" s="85" t="s">
        <v>242</v>
      </c>
      <c r="D37" s="85" t="str">
        <f>IFERROR(__xludf.DUMMYFUNCTION("GOOGLETRANSLATE(A37,""zh-tw"",""zh"")"),"2025/12/5 新增Dish +3")</f>
        <v>2025/12/5 新增Dish +3</v>
      </c>
      <c r="E37" s="45" t="str">
        <f>IFERROR(__xludf.DUMMYFUNCTION("GOOGLETRANSLATE(A37,""zh-tw"",""es-MX"")"),"Se agregó Dish +3 el 5/12/2025")</f>
        <v>Se agregó Dish +3 el 5/12/2025</v>
      </c>
      <c r="F37" s="45" t="str">
        <f>IFERROR(__xludf.DUMMYFUNCTION("GOOGLETRANSLATE(A37,""zh-tw"",""KO"")"),"2025년 12월 5일에 Dish +3이 추가되었습니다.")</f>
        <v>2025년 12월 5일에 Dish +3이 추가되었습니다.</v>
      </c>
      <c r="G37" s="45" t="s">
        <v>243</v>
      </c>
      <c r="H37" s="45" t="str">
        <f>IFERROR(__xludf.DUMMYFUNCTION("GOOGLETRANSLATE(A37,""zh-tw"",""RU"")"),"Добавлено блюдо +3 05.12.2025")</f>
        <v>Добавлено блюдо +3 05.12.2025</v>
      </c>
      <c r="I37" s="45" t="str">
        <f>IFERROR(__xludf.DUMMYFUNCTION("GOOGLETRANSLATE(A37,""zh-tw"",""DE"")"),"Gericht +3 hinzugefügt am 05.12.2025")</f>
        <v>Gericht +3 hinzugefügt am 05.12.2025</v>
      </c>
      <c r="J37" s="89" t="s">
        <v>244</v>
      </c>
      <c r="K37" s="8" t="s">
        <v>245</v>
      </c>
      <c r="L37" s="8" t="s">
        <v>246</v>
      </c>
      <c r="M37" s="87"/>
      <c r="N37" s="87"/>
      <c r="O37" s="87"/>
      <c r="P37" s="87"/>
      <c r="Q37" s="87"/>
      <c r="R37" s="87"/>
      <c r="S37" s="87"/>
      <c r="T37" s="87"/>
      <c r="U37" s="87"/>
      <c r="V37" s="87"/>
      <c r="W37" s="87"/>
      <c r="X37" s="87"/>
      <c r="Y37" s="87"/>
      <c r="Z37" s="87"/>
    </row>
    <row r="38">
      <c r="A38" s="85" t="s">
        <v>247</v>
      </c>
      <c r="B38" s="85" t="str">
        <f>IFERROR(__xludf.DUMMYFUNCTION("GOOGLETRANSLATE(A38,""zh-tw"",""ja"")"),"2025年12月2日：バージョン0.9コンテンツを追加：SLG-A24~26/SLG-F1~8/R34、R90~93/ヒント+2/ステータス+1/武器+2/ギア+1/アイテム+2")</f>
        <v>2025年12月2日：バージョン0.9コンテンツを追加：SLG-A24~26/SLG-F1~8/R34、R90~93/ヒント+2/ステータス+1/武器+2/ギア+1/アイテム+2</v>
      </c>
      <c r="C38" s="85" t="s">
        <v>248</v>
      </c>
      <c r="D38" s="85" t="str">
        <f>IFERROR(__xludf.DUMMYFUNCTION("GOOGLETRANSLATE(A38,""zh-tw"",""zh"")"),"2025/12/2 新增0.9版本内容SLG-A24~26/SLG-F1~8/R34、R90~93/Tips+2/Status+1/Weap+2/Gears+1/Items+2")</f>
        <v>2025/12/2 新增0.9版本内容SLG-A24~26/SLG-F1~8/R34、R90~93/Tips+2/Status+1/Weap+2/Gears+1/Items+2</v>
      </c>
      <c r="E38" s="45" t="str">
        <f>IFERROR(__xludf.DUMMYFUNCTION("GOOGLETRANSLATE(A38,""zh-tw"",""es-MX"")"),"2 de diciembre de 2025: Se agregó el contenido de la versión 0.9: SLG-A24~26/SLG-F1~8/R34, R90~93/Consejos+2/Estado+1/Arma+2/Equipo+1/Objetos+2")</f>
        <v>2 de diciembre de 2025: Se agregó el contenido de la versión 0.9: SLG-A24~26/SLG-F1~8/R34, R90~93/Consejos+2/Estado+1/Arma+2/Equipo+1/Objetos+2</v>
      </c>
      <c r="F38" s="45" t="str">
        <f>IFERROR(__xludf.DUMMYFUNCTION("GOOGLETRANSLATE(A38,""zh-tw"",""KO"")"),"2025년 12월 2일: 버전 0.9 콘텐츠 추가: SLG-A24~26/SLG-F1~8/R34, R90~93/팁+2/상태+1/무기+2/장비+1/아이템+2")</f>
        <v>2025년 12월 2일: 버전 0.9 콘텐츠 추가: SLG-A24~26/SLG-F1~8/R34, R90~93/팁+2/상태+1/무기+2/장비+1/아이템+2</v>
      </c>
      <c r="G38" s="45" t="s">
        <v>249</v>
      </c>
      <c r="H38" s="45" t="str">
        <f>IFERROR(__xludf.DUMMYFUNCTION("GOOGLETRANSLATE(A38,""zh-tw"",""RU"")"),"2 декабря 2025 г.: Добавлен контент версии 0.9: SLG-A24~26/SLG-F1~8/R34, R90~93/Tips+2/Status+1/Weapon+2/Gears+1/Items+2")</f>
        <v>2 декабря 2025 г.: Добавлен контент версии 0.9: SLG-A24~26/SLG-F1~8/R34, R90~93/Tips+2/Status+1/Weapon+2/Gears+1/Items+2</v>
      </c>
      <c r="I38" s="45" t="str">
        <f>IFERROR(__xludf.DUMMYFUNCTION("GOOGLETRANSLATE(A38,""zh-tw"",""DE"")"),"2. Dezember 2025: Inhalt der Version 0.9 hinzugefügt: SLG-A24–26/SLG-F1–8/R34, R90–93/Tipps+2/Status+1/Waffe+2/Ausrüstung+1/Gegenstände+2")</f>
        <v>2. Dezember 2025: Inhalt der Version 0.9 hinzugefügt: SLG-A24–26/SLG-F1–8/R34, R90–93/Tipps+2/Status+1/Waffe+2/Ausrüstung+1/Gegenstände+2</v>
      </c>
      <c r="J38" s="89" t="s">
        <v>250</v>
      </c>
      <c r="K38" s="8" t="s">
        <v>251</v>
      </c>
      <c r="L38" s="8" t="s">
        <v>252</v>
      </c>
      <c r="M38" s="87"/>
      <c r="N38" s="87"/>
      <c r="O38" s="87"/>
      <c r="P38" s="87"/>
      <c r="Q38" s="87"/>
      <c r="R38" s="87"/>
      <c r="S38" s="87"/>
      <c r="T38" s="87"/>
      <c r="U38" s="87"/>
      <c r="V38" s="87"/>
      <c r="W38" s="87"/>
      <c r="X38" s="87"/>
      <c r="Y38" s="87"/>
      <c r="Z38" s="87"/>
    </row>
    <row r="39">
      <c r="A39" s="85" t="s">
        <v>253</v>
      </c>
      <c r="B39" s="85" t="str">
        <f>IFERROR(__xludf.DUMMYFUNCTION("GOOGLETRANSLATE(A39,""zh-tw"",""ja"")"),"2025年12月1日：ドロップページがリニューアルされ、ドロップ率が追加されました。")</f>
        <v>2025年12月1日：ドロップページがリニューアルされ、ドロップ率が追加されました。</v>
      </c>
      <c r="C39" s="85" t="s">
        <v>254</v>
      </c>
      <c r="D39" s="85" t="str">
        <f>IFERROR(__xludf.DUMMYFUNCTION("GOOGLETRANSLATE(A39,""zh-tw"",""zh"")"),"2025/12/1 重制Drops页面，并且新增掉落机率")</f>
        <v>2025/12/1 重制Drops页面，并且新增掉落机率</v>
      </c>
      <c r="E39" s="45" t="str">
        <f>IFERROR(__xludf.DUMMYFUNCTION("GOOGLETRANSLATE(A39,""zh-tw"",""es-MX"")"),"1 de diciembre de 2025: Se rediseñó la página de Drops y se añadieron las tasas de obtención.")</f>
        <v>1 de diciembre de 2025: Se rediseñó la página de Drops y se añadieron las tasas de obtención.</v>
      </c>
      <c r="F39" s="45" t="str">
        <f>IFERROR(__xludf.DUMMYFUNCTION("GOOGLETRANSLATE(A39,""zh-tw"",""KO"")"),"2025년 12월 1일: 드롭 페이지가 새롭게 디자인되었고, 드롭률이 추가되었습니다.")</f>
        <v>2025년 12월 1일: 드롭 페이지가 새롭게 디자인되었고, 드롭률이 추가되었습니다.</v>
      </c>
      <c r="G39" s="45" t="s">
        <v>255</v>
      </c>
      <c r="H39" s="45" t="str">
        <f>IFERROR(__xludf.DUMMYFUNCTION("GOOGLETRANSLATE(A39,""zh-tw"",""RU"")"),"1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I39" s="45" t="str">
        <f>IFERROR(__xludf.DUMMYFUNCTION("GOOGLETRANSLATE(A39,""zh-tw"",""DE"")"),"1. Dezember 2025: Die Drops-Seite wurde neu gestaltet und die Drop-Raten wurden hinzugefügt.")</f>
        <v>1. Dezember 2025: Die Drops-Seite wurde neu gestaltet und die Drop-Raten wurden hinzugefügt.</v>
      </c>
      <c r="J39" s="89" t="s">
        <v>256</v>
      </c>
      <c r="K39" s="8" t="s">
        <v>257</v>
      </c>
      <c r="L39" s="8" t="s">
        <v>258</v>
      </c>
      <c r="M39" s="87"/>
      <c r="N39" s="87"/>
      <c r="O39" s="87"/>
      <c r="P39" s="87"/>
      <c r="Q39" s="87"/>
      <c r="R39" s="87"/>
      <c r="S39" s="87"/>
      <c r="T39" s="87"/>
      <c r="U39" s="87"/>
      <c r="V39" s="87"/>
      <c r="W39" s="87"/>
      <c r="X39" s="87"/>
      <c r="Y39" s="87"/>
      <c r="Z39" s="87"/>
    </row>
    <row r="40">
      <c r="A40" s="85" t="s">
        <v>259</v>
      </c>
      <c r="B40" s="85" t="str">
        <f>IFERROR(__xludf.DUMMYFUNCTION("GOOGLETRANSLATE(A40,""zh-tw"",""ja"")"),"2025年11月26日にポルトガル語を追加しました")</f>
        <v>2025年11月26日にポルトガル語を追加しました</v>
      </c>
      <c r="C40" s="85" t="s">
        <v>260</v>
      </c>
      <c r="D40" s="85" t="str">
        <f>IFERROR(__xludf.DUMMYFUNCTION("GOOGLETRANSLATE(A40,""zh-tw"",""zh"")"),"2025/11/26 新增葡萄巴西语")</f>
        <v>2025/11/26 新增葡萄巴西语</v>
      </c>
      <c r="E40" s="45" t="str">
        <f>IFERROR(__xludf.DUMMYFUNCTION("GOOGLETRANSLATE(A40,""zh-tw"",""es-MX"")"),"Se agregó el idioma portugués el 26/11/2025.")</f>
        <v>Se agregó el idioma portugués el 26/11/2025.</v>
      </c>
      <c r="F40" s="45" t="str">
        <f>IFERROR(__xludf.DUMMYFUNCTION("GOOGLETRANSLATE(A40,""zh-tw"",""KO"")"),"2025년 11월 26일에 포르투갈어 지원 언어가 추가되었습니다.")</f>
        <v>2025년 11월 26일에 포르투갈어 지원 언어가 추가되었습니다.</v>
      </c>
      <c r="G40" s="45" t="s">
        <v>261</v>
      </c>
      <c r="H40" s="45" t="str">
        <f>IFERROR(__xludf.DUMMYFUNCTION("GOOGLETRANSLATE(A40,""zh-tw"",""RU"")"),"Португальский язык добавлен 26.11.2025.")</f>
        <v>Португальский язык добавлен 26.11.2025.</v>
      </c>
      <c r="I40" s="45" t="str">
        <f>IFERROR(__xludf.DUMMYFUNCTION("GOOGLETRANSLATE(A40,""zh-tw"",""DE"")"),"Portugiesischsprachige Sprache hinzugefügt am 26.11.2025")</f>
        <v>Portugiesischsprachige Sprache hinzugefügt am 26.11.2025</v>
      </c>
      <c r="J40" s="89" t="s">
        <v>262</v>
      </c>
      <c r="K40" s="8" t="s">
        <v>263</v>
      </c>
      <c r="L40" s="8" t="s">
        <v>264</v>
      </c>
      <c r="M40" s="87"/>
      <c r="N40" s="87"/>
      <c r="O40" s="87"/>
      <c r="P40" s="87"/>
      <c r="Q40" s="87"/>
      <c r="R40" s="87"/>
      <c r="S40" s="87"/>
      <c r="T40" s="87"/>
      <c r="U40" s="87"/>
      <c r="V40" s="87"/>
      <c r="W40" s="87"/>
      <c r="X40" s="87"/>
      <c r="Y40" s="87"/>
      <c r="Z40" s="87"/>
    </row>
    <row r="41">
      <c r="A41" s="85" t="s">
        <v>265</v>
      </c>
      <c r="B41" s="85" t="str">
        <f>IFERROR(__xludf.DUMMYFUNCTION("GOOGLETRANSLATE(A41,""zh-tw"",""ja"")"),"2025年11月15日にマイナーバージョンアップデートコンテンツを追加しました")</f>
        <v>2025年11月15日にマイナーバージョンアップデートコンテンツを追加しました</v>
      </c>
      <c r="C41" s="85" t="s">
        <v>266</v>
      </c>
      <c r="D41" s="85" t="str">
        <f>IFERROR(__xludf.DUMMYFUNCTION("GOOGLETRANSLATE(A41,""zh-tw"",""zh"")"),"2025/11/15 新增小版本更新内容")</f>
        <v>2025/11/15 新增小版本更新内容</v>
      </c>
      <c r="E41" s="45" t="str">
        <f>IFERROR(__xludf.DUMMYFUNCTION("GOOGLETRANSLATE(A41,""zh-tw"",""es-MX"")"),"Se agregó contenido de actualización de versión menor el 15/11/2025.")</f>
        <v>Se agregó contenido de actualización de versión menor el 15/11/2025.</v>
      </c>
      <c r="F41" s="45" t="str">
        <f>IFERROR(__xludf.DUMMYFUNCTION("GOOGLETRANSLATE(A41,""zh-tw"",""KO"")"),"2025년 11월 15일에 마이너 버전 업데이트 내용이 추가되었습니다.")</f>
        <v>2025년 11월 15일에 마이너 버전 업데이트 내용이 추가되었습니다.</v>
      </c>
      <c r="G41" s="45" t="s">
        <v>267</v>
      </c>
      <c r="H41" s="45" t="str">
        <f>IFERROR(__xludf.DUMMYFUNCTION("GOOGLETRANSLATE(A41,""zh-tw"",""RU"")"),"Добавлен контент обновления незначительной версии 15.11.2025.")</f>
        <v>Добавлен контент обновления незначительной версии 15.11.2025.</v>
      </c>
      <c r="I41" s="45" t="str">
        <f>IFERROR(__xludf.DUMMYFUNCTION("GOOGLETRANSLATE(A41,""zh-tw"",""DE"")"),"Kleinere Versionsaktualisierung am 15.11.2025 hinzugefügt.")</f>
        <v>Kleinere Versionsaktualisierung am 15.11.2025 hinzugefügt.</v>
      </c>
      <c r="J41" s="89" t="s">
        <v>268</v>
      </c>
      <c r="K41" s="8" t="s">
        <v>269</v>
      </c>
      <c r="L41" s="8" t="s">
        <v>270</v>
      </c>
      <c r="M41" s="87"/>
      <c r="N41" s="87"/>
      <c r="O41" s="87"/>
      <c r="P41" s="87"/>
      <c r="Q41" s="87"/>
      <c r="R41" s="87"/>
      <c r="S41" s="87"/>
      <c r="T41" s="87"/>
      <c r="U41" s="87"/>
      <c r="V41" s="87"/>
      <c r="W41" s="87"/>
      <c r="X41" s="87"/>
      <c r="Y41" s="87"/>
      <c r="Z41" s="87"/>
    </row>
    <row r="42">
      <c r="A42" s="85" t="s">
        <v>271</v>
      </c>
      <c r="B42" s="85" t="str">
        <f>IFERROR(__xludf.DUMMYFUNCTION("GOOGLETRANSLATE(A42,""zh-tw"",""ja"")"),"2025年11月8日：バージョン0.85Cの内容を追加し、いくつかの修正と追加を行いました。")</f>
        <v>2025年11月8日：バージョン0.85Cの内容を追加し、いくつかの修正と追加を行いました。</v>
      </c>
      <c r="C42" s="85" t="s">
        <v>272</v>
      </c>
      <c r="D42" s="85" t="str">
        <f>IFERROR(__xludf.DUMMYFUNCTION("GOOGLETRANSLATE(A42,""zh-tw"",""zh"")"),"2025/11/8 新增0.85C版本内容、部分内容修正与新增")</f>
        <v>2025/11/8 新增0.85C版本内容、部分内容修正与新增</v>
      </c>
      <c r="E42" s="45" t="str">
        <f>IFERROR(__xludf.DUMMYFUNCTION("GOOGLETRANSLATE(A42,""zh-tw"",""es-MX"")"),"8 de noviembre de 2025: Se agregó el contenido de la versión 0.85C y se incluyeron algunas correcciones y adiciones.")</f>
        <v>8 de noviembre de 2025: Se agregó el contenido de la versión 0.85C y se incluyeron algunas correcciones y adiciones.</v>
      </c>
      <c r="F42" s="45" t="str">
        <f>IFERROR(__xludf.DUMMYFUNCTION("GOOGLETRANSLATE(A42,""zh-tw"",""KO"")"),"2025년 11월 8일: 버전 0.85C 콘텐츠를 추가하고 몇 가지 수정 및 추가 사항을 포함했습니다.")</f>
        <v>2025년 11월 8일: 버전 0.85C 콘텐츠를 추가하고 몇 가지 수정 및 추가 사항을 포함했습니다.</v>
      </c>
      <c r="G42" s="45" t="s">
        <v>273</v>
      </c>
      <c r="H42" s="45" t="str">
        <f>IFERROR(__xludf.DUMMYFUNCTION("GOOGLETRANSLATE(A42,""zh-tw"",""RU"")"),"8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I42" s="45" t="str">
        <f>IFERROR(__xludf.DUMMYFUNCTION("GOOGLETRANSLATE(A42,""zh-tw"",""DE"")"),"8. November 2025: Inhalt der Version 0.85C hinzugefügt sowie einige Korrekturen und Ergänzungen vorgenommen.")</f>
        <v>8. November 2025: Inhalt der Version 0.85C hinzugefügt sowie einige Korrekturen und Ergänzungen vorgenommen.</v>
      </c>
      <c r="J42" s="89" t="s">
        <v>274</v>
      </c>
      <c r="K42" s="8" t="s">
        <v>275</v>
      </c>
      <c r="L42" s="8" t="s">
        <v>276</v>
      </c>
      <c r="M42" s="87"/>
      <c r="N42" s="87"/>
      <c r="O42" s="87"/>
      <c r="P42" s="87"/>
      <c r="Q42" s="87"/>
      <c r="R42" s="87"/>
      <c r="S42" s="87"/>
      <c r="T42" s="87"/>
      <c r="U42" s="87"/>
      <c r="V42" s="87"/>
      <c r="W42" s="87"/>
      <c r="X42" s="87"/>
      <c r="Y42" s="87"/>
      <c r="Z42" s="87"/>
    </row>
    <row r="43">
      <c r="A43" s="85" t="s">
        <v>277</v>
      </c>
      <c r="B43" s="85" t="str">
        <f>IFERROR(__xludf.DUMMYFUNCTION("GOOGLETRANSLATE(A43,""zh-tw"",""ja"")"),"2025年11月3日：バージョン0.85を追加：SLG-C-23～SLG-C-29、SLG-A-24")</f>
        <v>2025年11月3日：バージョン0.85を追加：SLG-C-23～SLG-C-29、SLG-A-24</v>
      </c>
      <c r="C43" s="85" t="s">
        <v>278</v>
      </c>
      <c r="D43" s="85" t="str">
        <f>IFERROR(__xludf.DUMMYFUNCTION("GOOGLETRANSLATE(A43,""zh-tw"",""zh"")"),"2025/11/3 新增0.85版本：SLG-C-23~SLG-C-29、SLG-A-24")</f>
        <v>2025/11/3 新增0.85版本：SLG-C-23~SLG-C-29、SLG-A-24</v>
      </c>
      <c r="E43" s="45" t="str">
        <f>IFERROR(__xludf.DUMMYFUNCTION("GOOGLETRANSLATE(A43,""zh-tw"",""es-MX"")"),"3 de noviembre de 2025: Se agregó la versión 0.85: SLG-C-23~SLG-C-29, SLG-A-24")</f>
        <v>3 de noviembre de 2025: Se agregó la versión 0.85: SLG-C-23~SLG-C-29, SLG-A-24</v>
      </c>
      <c r="F43" s="45" t="str">
        <f>IFERROR(__xludf.DUMMYFUNCTION("GOOGLETRANSLATE(A43,""zh-tw"",""KO"")"),"2025년 11월 3일: 버전 0.85 추가: SLG-C-23~SLG-C-29, SLG-A-24")</f>
        <v>2025년 11월 3일: 버전 0.85 추가: SLG-C-23~SLG-C-29, SLG-A-24</v>
      </c>
      <c r="G43" s="90" t="s">
        <v>279</v>
      </c>
      <c r="H43" s="45" t="str">
        <f>IFERROR(__xludf.DUMMYFUNCTION("GOOGLETRANSLATE(A43,""zh-tw"",""RU"")"),"3 ноября 2025 г.: Добавлена ​​версия 0.85: SLG-C-23~SLG-C-29, SLG-A-24")</f>
        <v>3 ноября 2025 г.: Добавлена ​​версия 0.85: SLG-C-23~SLG-C-29, SLG-A-24</v>
      </c>
      <c r="I43" s="45" t="str">
        <f>IFERROR(__xludf.DUMMYFUNCTION("GOOGLETRANSLATE(A43,""zh-tw"",""DE"")"),"3. November 2025: Version 0.85 hinzugefügt: SLG-C-23 bis SLG-C-29, SLG-A-24")</f>
        <v>3. November 2025: Version 0.85 hinzugefügt: SLG-C-23 bis SLG-C-29, SLG-A-24</v>
      </c>
      <c r="J43" s="89" t="s">
        <v>280</v>
      </c>
      <c r="K43" s="8" t="s">
        <v>281</v>
      </c>
      <c r="L43" s="8" t="s">
        <v>282</v>
      </c>
      <c r="M43" s="87"/>
      <c r="N43" s="87"/>
      <c r="O43" s="87"/>
      <c r="P43" s="87"/>
      <c r="Q43" s="87"/>
      <c r="R43" s="87"/>
      <c r="S43" s="87"/>
      <c r="T43" s="87"/>
      <c r="U43" s="87"/>
      <c r="V43" s="87"/>
      <c r="W43" s="87"/>
      <c r="X43" s="87"/>
      <c r="Y43" s="87"/>
      <c r="Z43" s="87"/>
    </row>
    <row r="44">
      <c r="A44" s="85" t="s">
        <v>283</v>
      </c>
      <c r="B44" s="85" t="str">
        <f>IFERROR(__xludf.DUMMYFUNCTION("GOOGLETRANSLATE(A44,""zh-tw"",""ja"")"),"2025年10月14日：0.82D追加：R4、R68、アイテム+3")</f>
        <v>2025年10月14日：0.82D追加：R4、R68、アイテム+3</v>
      </c>
      <c r="C44" s="85" t="s">
        <v>284</v>
      </c>
      <c r="D44" s="85" t="str">
        <f>IFERROR(__xludf.DUMMYFUNCTION("GOOGLETRANSLATE(A44,""zh-tw"",""zh"")"),"2025/10/14 新增0.82D：R4、R68、Items +3")</f>
        <v>2025/10/14 新增0.82D：R4、R68、Items +3</v>
      </c>
      <c r="E44" s="45" t="str">
        <f>IFERROR(__xludf.DUMMYFUNCTION("GOOGLETRANSLATE(A44,""zh-tw"",""es-MX"")"),"14 de octubre de 2025: Añadido 0.82D: R4, R68, Artículos +3")</f>
        <v>14 de octubre de 2025: Añadido 0.82D: R4, R68, Artículos +3</v>
      </c>
      <c r="F44" s="45" t="str">
        <f>IFERROR(__xludf.DUMMYFUNCTION("GOOGLETRANSLATE(A44,""zh-tw"",""KO"")"),"2025년 10월 14일: 0.82D 추가: R4, R68, 아이템 +3")</f>
        <v>2025년 10월 14일: 0.82D 추가: R4, R68, 아이템 +3</v>
      </c>
      <c r="G44" s="90" t="s">
        <v>285</v>
      </c>
      <c r="H44" s="45" t="str">
        <f>IFERROR(__xludf.DUMMYFUNCTION("GOOGLETRANSLATE(A44,""zh-tw"",""RU"")"),"14 октября 2025 г.: Добавлено 0.82D: R4, R68, предметов +3")</f>
        <v>14 октября 2025 г.: Добавлено 0.82D: R4, R68, предметов +3</v>
      </c>
      <c r="I44" s="45" t="str">
        <f>IFERROR(__xludf.DUMMYFUNCTION("GOOGLETRANSLATE(A44,""zh-tw"",""DE"")"),"14. Oktober 2025: Hinzugefügt 0.82D: R4, R68, Gegenstände +3")</f>
        <v>14. Oktober 2025: Hinzugefügt 0.82D: R4, R68, Gegenstände +3</v>
      </c>
      <c r="J44" s="89" t="s">
        <v>286</v>
      </c>
      <c r="K44" s="8" t="s">
        <v>287</v>
      </c>
      <c r="L44" s="8" t="s">
        <v>288</v>
      </c>
      <c r="M44" s="87"/>
      <c r="N44" s="87"/>
      <c r="O44" s="87"/>
      <c r="P44" s="87"/>
      <c r="Q44" s="87"/>
      <c r="R44" s="87"/>
      <c r="S44" s="87"/>
      <c r="T44" s="87"/>
      <c r="U44" s="87"/>
      <c r="V44" s="87"/>
      <c r="W44" s="87"/>
      <c r="X44" s="87"/>
      <c r="Y44" s="87"/>
      <c r="Z44" s="87"/>
    </row>
    <row r="45">
      <c r="A45" s="85" t="s">
        <v>289</v>
      </c>
      <c r="B45" s="85" t="str">
        <f>IFERROR(__xludf.DUMMYFUNCTION("GOOGLETRANSLATE(A45,""zh-tw"",""ja"")"),"2025年10月6日にベトナム語の翻訳を追加しました。")</f>
        <v>2025年10月6日にベトナム語の翻訳を追加しました。</v>
      </c>
      <c r="C45" s="85" t="s">
        <v>290</v>
      </c>
      <c r="D45" s="85" t="str">
        <f>IFERROR(__xludf.DUMMYFUNCTION("GOOGLETRANSLATE(A45,""zh-tw"",""zh"")"),"2025/10/6 新增越南文的翻译")</f>
        <v>2025/10/6 新增越南文的翻译</v>
      </c>
      <c r="E45" s="45" t="str">
        <f>IFERROR(__xludf.DUMMYFUNCTION("GOOGLETRANSLATE(A45,""zh-tw"",""es-MX"")"),"Se añadió la traducción al vietnamita el 6 de octubre de 2025.")</f>
        <v>Se añadió la traducción al vietnamita el 6 de octubre de 2025.</v>
      </c>
      <c r="F45" s="45" t="str">
        <f>IFERROR(__xludf.DUMMYFUNCTION("GOOGLETRANSLATE(A45,""zh-tw"",""KO"")"),"2025년 10월 6일에 베트남어 번역이 추가되었습니다.")</f>
        <v>2025년 10월 6일에 베트남어 번역이 추가되었습니다.</v>
      </c>
      <c r="G45" s="90" t="s">
        <v>291</v>
      </c>
      <c r="H45" s="45" t="str">
        <f>IFERROR(__xludf.DUMMYFUNCTION("GOOGLETRANSLATE(A45,""zh-tw"",""RU"")"),"Вьетнамский перевод добавлен 6 октября 2025 года.")</f>
        <v>Вьетнамский перевод добавлен 6 октября 2025 года.</v>
      </c>
      <c r="I45" s="45" t="str">
        <f>IFERROR(__xludf.DUMMYFUNCTION("GOOGLETRANSLATE(A45,""zh-tw"",""DE"")"),"Vietnamesische Übersetzung hinzugefügt am 6. Oktober 2025.")</f>
        <v>Vietnamesische Übersetzung hinzugefügt am 6. Oktober 2025.</v>
      </c>
      <c r="J45" s="89" t="s">
        <v>292</v>
      </c>
      <c r="K45" s="8" t="s">
        <v>293</v>
      </c>
      <c r="L45" s="8" t="s">
        <v>294</v>
      </c>
      <c r="M45" s="87"/>
      <c r="N45" s="87"/>
      <c r="O45" s="87"/>
      <c r="P45" s="87"/>
      <c r="Q45" s="87"/>
      <c r="R45" s="87"/>
      <c r="S45" s="87"/>
      <c r="T45" s="87"/>
      <c r="U45" s="87"/>
      <c r="V45" s="87"/>
      <c r="W45" s="87"/>
      <c r="X45" s="87"/>
      <c r="Y45" s="87"/>
      <c r="Z45" s="87"/>
    </row>
    <row r="46">
      <c r="A46" s="85" t="s">
        <v>295</v>
      </c>
      <c r="B46" s="85" t="str">
        <f>IFERROR(__xludf.DUMMYFUNCTION("GOOGLETRANSLATE(A46,""zh-tw"",""ja"")"),"2025/10/1
0.82アップデート：
R21、R66～R68、R83～R89、武器-45～49、ドロップ-15、47～49、ギア-75～78、ヒント-106～112")</f>
        <v>2025/10/1
0.82アップデート：
R21、R66～R68、R83～R89、武器-45～49、ドロップ-15、47～49、ギア-75～78、ヒント-106～112</v>
      </c>
      <c r="C46" s="85" t="s">
        <v>296</v>
      </c>
      <c r="D46" s="85" t="str">
        <f>IFERROR(__xludf.DUMMYFUNCTION("GOOGLETRANSLATE(A46,""zh-tw"",""zh"")"),"2025/10/1
0.82 update：
R21、R66~R68、R83~89、Weap-45~49、Drops-15、47~49、Gears-75~78、TIPS-106~112")</f>
        <v>2025/10/1
0.82 update：
R21、R66~R68、R83~89、Weap-45~49、Drops-15、47~49、Gears-75~78、TIPS-106~112</v>
      </c>
      <c r="E46" s="45" t="str">
        <f>IFERROR(__xludf.DUMMYFUNCTION("GOOGLETRANSLATE(A46,""zh-tw"",""es-MX"")"),"1/10/2025
Actualización 0.82:
R21, R66~R68, R83~89, Armas: 45~49, Botín: 15, 47~49, Equipos: 75~78, Consejos: 106~112")</f>
        <v>1/10/2025
Actualización 0.82:
R21, R66~R68, R83~89, Armas: 45~49, Botín: 15, 47~49, Equipos: 75~78, Consejos: 106~112</v>
      </c>
      <c r="F46" s="45" t="str">
        <f>IFERROR(__xludf.DUMMYFUNCTION("GOOGLETRANSLATE(A46,""zh-tw"",""KO"")"),"2025/10/1
0.82 업데이트:
R21, R66~R68, R83~89, 무기-45~49, 드롭-15, 47~49, 장비-75~78, 팁-106~112")</f>
        <v>2025/10/1
0.82 업데이트:
R21, R66~R68, R83~89, 무기-45~49, 드롭-15, 47~49, 장비-75~78, 팁-106~112</v>
      </c>
      <c r="G46" s="90" t="s">
        <v>297</v>
      </c>
      <c r="H46" s="45" t="str">
        <f>IFERROR(__xludf.DUMMYFUNCTION("GOOGLETRANSLATE(A46,""zh-tw"",""RU"")"),"01.10.2025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I46" s="45" t="str">
        <f>IFERROR(__xludf.DUMMYFUNCTION("GOOGLETRANSLATE(A46,""zh-tw"",""DE"")"),"01.10.2025
Update 0.82:
R21, R66–R68, R83–89, Waffen 45–49, Beute 15, 47–49, Ausrüstung 75–78, Spitzen 106–112")</f>
        <v>01.10.2025
Update 0.82:
R21, R66–R68, R83–89, Waffen 45–49, Beute 15, 47–49, Ausrüstung 75–78, Spitzen 106–112</v>
      </c>
      <c r="J46" s="89" t="s">
        <v>298</v>
      </c>
      <c r="K46" s="8" t="s">
        <v>299</v>
      </c>
      <c r="L46" s="8" t="s">
        <v>300</v>
      </c>
      <c r="M46" s="87"/>
      <c r="N46" s="87"/>
      <c r="O46" s="87"/>
      <c r="P46" s="87"/>
      <c r="Q46" s="87"/>
      <c r="R46" s="87"/>
      <c r="S46" s="87"/>
      <c r="T46" s="87"/>
      <c r="U46" s="87"/>
      <c r="V46" s="87"/>
      <c r="W46" s="87"/>
      <c r="X46" s="87"/>
      <c r="Y46" s="87"/>
      <c r="Z46" s="87"/>
    </row>
    <row r="47">
      <c r="A47" s="85" t="s">
        <v>301</v>
      </c>
      <c r="B47" s="85" t="str">
        <f>IFERROR(__xludf.DUMMYFUNCTION("GOOGLETRANSLATE(A47,""zh-tw"",""ja"")"),"2025/9/14 0.81アップデート：R69～R82、R24/ヒント105～106/ドロップ46/武器45.46/ギア64～74/アイテム42")</f>
        <v>2025/9/14 0.81アップデート：R69～R82、R24/ヒント105～106/ドロップ46/武器45.46/ギア64～74/アイテム42</v>
      </c>
      <c r="C47" s="85" t="s">
        <v>302</v>
      </c>
      <c r="D47" s="85" t="str">
        <f>IFERROR(__xludf.DUMMYFUNCTION("GOOGLETRANSLATE(A47,""zh-tw"",""zh"")"),"2025/9/14 0.81update：
R69~R82、R24/TIPS 105~106/Drops 46/Weap 45.46/Gears 64~74/Items 42")</f>
        <v>2025/9/14 0.81update：
R69~R82、R24/TIPS 105~106/Drops 46/Weap 45.46/Gears 64~74/Items 42</v>
      </c>
      <c r="E47" s="45" t="str">
        <f>IFERROR(__xludf.DUMMYFUNCTION("GOOGLETRANSLATE(A47,""zh-tw"",""es-MX"")"),"Actualización 0.81 del 14/09/2025:
R69~R82, R24/CONSEJOS 105~106/Objetos 46/Armas 45.46/Equipamiento 64~74/Objetos 42")</f>
        <v>Actualización 0.81 del 14/09/2025:
R69~R82, R24/CONSEJOS 105~106/Objetos 46/Armas 45.46/Equipamiento 64~74/Objetos 42</v>
      </c>
      <c r="F47" s="45" t="str">
        <f>IFERROR(__xludf.DUMMYFUNCTION("GOOGLETRANSLATE(A47,""zh-tw"",""KO"")"),"2025년 9월 14일 0.81 업데이트:
R69~R82, R24/팁 105~106/드롭 46/무기 45.46/장비 64~74/아이템 42")</f>
        <v>2025년 9월 14일 0.81 업데이트:
R69~R82, R24/팁 105~106/드롭 46/무기 45.46/장비 64~74/아이템 42</v>
      </c>
      <c r="G47" s="90" t="s">
        <v>303</v>
      </c>
      <c r="H47" s="45" t="str">
        <f>IFERROR(__xludf.DUMMYFUNCTION("GOOGLETRANSLATE(A47,""zh-tw"",""RU"")"),"14.09.2025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I47" s="45" t="str">
        <f>IFERROR(__xludf.DUMMYFUNCTION("GOOGLETRANSLATE(A47,""zh-tw"",""DE"")"),"Update 0.81 vom 14.09.2025:
R69–R82, R24/Tipps 105–106/Beute 46/Waffen 45,46/Ausrüstung 64–74/Gegenstände 42")</f>
        <v>Update 0.81 vom 14.09.2025:
R69–R82, R24/Tipps 105–106/Beute 46/Waffen 45,46/Ausrüstung 64–74/Gegenstände 42</v>
      </c>
      <c r="J47" s="89" t="s">
        <v>304</v>
      </c>
      <c r="K47" s="8" t="s">
        <v>305</v>
      </c>
      <c r="L47" s="8" t="s">
        <v>306</v>
      </c>
      <c r="M47" s="87"/>
      <c r="N47" s="87"/>
      <c r="O47" s="87"/>
      <c r="P47" s="87"/>
      <c r="Q47" s="87"/>
      <c r="R47" s="87"/>
      <c r="S47" s="87"/>
      <c r="T47" s="87"/>
      <c r="U47" s="87"/>
      <c r="V47" s="87"/>
      <c r="W47" s="87"/>
      <c r="X47" s="87"/>
      <c r="Y47" s="87"/>
      <c r="Z47" s="87"/>
    </row>
    <row r="48">
      <c r="A48" s="85" t="s">
        <v>307</v>
      </c>
      <c r="B48" s="85" t="str">
        <f>IFERROR(__xludf.DUMMYFUNCTION("GOOGLETRANSLATE(A48,""zh-tw"",""ja"")"),"2025年9月4日に動画/音声のページネーション機能を追加しました。")</f>
        <v>2025年9月4日に動画/音声のページネーション機能を追加しました。</v>
      </c>
      <c r="C48" s="85" t="s">
        <v>308</v>
      </c>
      <c r="D48" s="85" t="str">
        <f>IFERROR(__xludf.DUMMYFUNCTION("GOOGLETRANSLATE(A48,""zh-tw"",""zh"")"),"2025/9/4 新增影音分页")</f>
        <v>2025/9/4 新增影音分页</v>
      </c>
      <c r="E48" s="45" t="str">
        <f>IFERROR(__xludf.DUMMYFUNCTION("GOOGLETRANSLATE(A48,""zh-tw"",""es-MX"")"),"Se añadió paginación de vídeo/audio el 4 de septiembre de 2025.")</f>
        <v>Se añadió paginación de vídeo/audio el 4 de septiembre de 2025.</v>
      </c>
      <c r="F48" s="45" t="str">
        <f>IFERROR(__xludf.DUMMYFUNCTION("GOOGLETRANSLATE(A48,""zh-tw"",""KO"")"),"2025년 9월 4일에 비디오/오디오 페이지네이션 기능을 추가했습니다.")</f>
        <v>2025년 9월 4일에 비디오/오디오 페이지네이션 기능을 추가했습니다.</v>
      </c>
      <c r="G48" s="90" t="s">
        <v>309</v>
      </c>
      <c r="H48" s="45" t="str">
        <f>IFERROR(__xludf.DUMMYFUNCTION("GOOGLETRANSLATE(A48,""zh-tw"",""RU"")"),"Добавлена ​​постраничная навигация для видео/аудио 4 сентября 2025 года.")</f>
        <v>Добавлена ​​постраничная навигация для видео/аудио 4 сентября 2025 года.</v>
      </c>
      <c r="I48" s="45" t="str">
        <f>IFERROR(__xludf.DUMMYFUNCTION("GOOGLETRANSLATE(A48,""zh-tw"",""DE"")"),"Video-/Audio-Seitennummerierung hinzugefügt am 4. September 2025.")</f>
        <v>Video-/Audio-Seitennummerierung hinzugefügt am 4. September 2025.</v>
      </c>
      <c r="J48" s="89" t="s">
        <v>310</v>
      </c>
      <c r="K48" s="8" t="s">
        <v>311</v>
      </c>
      <c r="L48" s="8" t="s">
        <v>312</v>
      </c>
      <c r="M48" s="87"/>
      <c r="N48" s="87"/>
      <c r="O48" s="87"/>
      <c r="P48" s="87"/>
      <c r="Q48" s="87"/>
      <c r="R48" s="87"/>
      <c r="S48" s="87"/>
      <c r="T48" s="87"/>
      <c r="U48" s="87"/>
      <c r="V48" s="87"/>
      <c r="W48" s="87"/>
      <c r="X48" s="87"/>
      <c r="Y48" s="87"/>
      <c r="Z48" s="87"/>
    </row>
    <row r="49">
      <c r="A49" s="85" t="s">
        <v>313</v>
      </c>
      <c r="B49" s="85" t="str">
        <f>IFERROR(__xludf.DUMMYFUNCTION("GOOGLETRANSLATE(A49,""zh-tw"",""ja"")"),"2025年8月31日、地図セクションの地図ファイル用ウェブサイトがimgseからpostimageに変更されました。")</f>
        <v>2025年8月31日、地図セクションの地図ファイル用ウェブサイトがimgseからpostimageに変更されました。</v>
      </c>
      <c r="C49" s="85" t="s">
        <v>314</v>
      </c>
      <c r="D49" s="85" t="str">
        <f>IFERROR(__xludf.DUMMYFUNCTION("GOOGLETRANSLATE(A49,""zh-tw"",""zh"")"),"2025/8/31 Map板块图档网站由imgse网站更换为postimage")</f>
        <v>2025/8/31 Map板块图档网站由imgse网站更换为postimage</v>
      </c>
      <c r="E49" s="45" t="str">
        <f>IFERROR(__xludf.DUMMYFUNCTION("GOOGLETRANSLATE(A49,""zh-tw"",""es-MX"")"),"El 31 de agosto de 2025, el sitio web para los archivos de mapas en la sección de mapas cambió de imgse a postimage.")</f>
        <v>El 31 de agosto de 2025, el sitio web para los archivos de mapas en la sección de mapas cambió de imgse a postimage.</v>
      </c>
      <c r="F49" s="45" t="str">
        <f>IFERROR(__xludf.DUMMYFUNCTION("GOOGLETRANSLATE(A49,""zh-tw"",""KO"")"),"2025년 8월 31일, 지도 섹션의 지도 파일 웹사이트 주소가 imgse에서 postimage로 변경되었습니다.")</f>
        <v>2025년 8월 31일, 지도 섹션의 지도 파일 웹사이트 주소가 imgse에서 postimage로 변경되었습니다.</v>
      </c>
      <c r="G49" s="90" t="s">
        <v>315</v>
      </c>
      <c r="H49" s="45" t="str">
        <f>IFERROR(__xludf.DUMMYFUNCTION("GOOGLETRANSLATE(A49,""zh-tw"",""RU"")"),"31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I49" s="45" t="str">
        <f>IFERROR(__xludf.DUMMYFUNCTION("GOOGLETRANSLATE(A49,""zh-tw"",""DE"")"),"Am 31. August 2025 wurde die Website für Kartendateien im Kartenbereich von imgse auf postimage umgestellt.")</f>
        <v>Am 31. August 2025 wurde die Website für Kartendateien im Kartenbereich von imgse auf postimage umgestellt.</v>
      </c>
      <c r="J49" s="89" t="s">
        <v>316</v>
      </c>
      <c r="K49" s="8" t="s">
        <v>317</v>
      </c>
      <c r="L49" s="8" t="s">
        <v>318</v>
      </c>
      <c r="M49" s="87"/>
      <c r="N49" s="87"/>
      <c r="O49" s="87"/>
      <c r="P49" s="87"/>
      <c r="Q49" s="87"/>
      <c r="R49" s="87"/>
      <c r="S49" s="87"/>
      <c r="T49" s="87"/>
      <c r="U49" s="87"/>
      <c r="V49" s="87"/>
      <c r="W49" s="87"/>
      <c r="X49" s="87"/>
      <c r="Y49" s="87"/>
      <c r="Z49" s="87"/>
    </row>
    <row r="50">
      <c r="A50" s="85" t="s">
        <v>319</v>
      </c>
      <c r="B50" s="85" t="str">
        <f>IFERROR(__xludf.DUMMYFUNCTION("GOOGLETRANSLATE(A50,""zh-tw"",""ja"")"),"バージョン0.80（2025年8月30日）では、SLG-A8、R11、R59～68、6つの新しい装備とアイテム、および繁体字中国語マップの更新が追加されます。")</f>
        <v>バージョン0.80（2025年8月30日）では、SLG-A8、R11、R59～68、6つの新しい装備とアイテム、および繁体字中国語マップの更新が追加されます。</v>
      </c>
      <c r="C50" s="85" t="s">
        <v>320</v>
      </c>
      <c r="D50" s="85" t="str">
        <f>IFERROR(__xludf.DUMMYFUNCTION("GOOGLETRANSLATE(A50,""zh-tw"",""zh"")"),"2025/8/30 0.80版本新增：SLG-A8、R11、R59~68、6样装备及道具、繁体中文地图更新")</f>
        <v>2025/8/30 0.80版本新增：SLG-A8、R11、R59~68、6样装备及道具、繁体中文地图更新</v>
      </c>
      <c r="E50" s="45" t="str">
        <f>IFERROR(__xludf.DUMMYFUNCTION("GOOGLETRANSLATE(A50,""zh-tw"",""es-MX"")"),"La versión 0.80 (30 de agosto de 2025) añade: SLG-A8, R11, R59~68, 6 nuevos equipos y objetos, y una actualización del mapa en chino tradicional.")</f>
        <v>La versión 0.80 (30 de agosto de 2025) añade: SLG-A8, R11, R59~68, 6 nuevos equipos y objetos, y una actualización del mapa en chino tradicional.</v>
      </c>
      <c r="F50" s="45" t="str">
        <f>IFERROR(__xludf.DUMMYFUNCTION("GOOGLETRANSLATE(A50,""zh-tw"",""KO"")"),"버전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50" s="90" t="s">
        <v>321</v>
      </c>
      <c r="H50" s="45" t="str">
        <f>IFERROR(__xludf.DUMMYFUNCTION("GOOGLETRANSLATE(A50,""zh-tw"",""RU"")"),"В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I50" s="45" t="str">
        <f>IFERROR(__xludf.DUMMYFUNCTION("GOOGLETRANSLATE(A50,""zh-tw"",""DE"")"),"Version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J50" s="89" t="s">
        <v>322</v>
      </c>
      <c r="K50" s="8" t="s">
        <v>323</v>
      </c>
      <c r="L50" s="8" t="s">
        <v>324</v>
      </c>
      <c r="M50" s="87"/>
      <c r="N50" s="87"/>
      <c r="O50" s="87"/>
      <c r="P50" s="87"/>
      <c r="Q50" s="87"/>
      <c r="R50" s="87"/>
      <c r="S50" s="87"/>
      <c r="T50" s="87"/>
      <c r="U50" s="87"/>
      <c r="V50" s="87"/>
      <c r="W50" s="87"/>
      <c r="X50" s="87"/>
      <c r="Y50" s="87"/>
      <c r="Z50" s="87"/>
    </row>
    <row r="51">
      <c r="A51" s="85" t="s">
        <v>325</v>
      </c>
      <c r="B51" s="85" t="str">
        <f>IFERROR(__xludf.DUMMYFUNCTION("GOOGLETRANSLATE(A51,""zh-tw"",""ja"")"),"この地図は2025年8月29日に繁体字中国語版に更新されました。他の言語版への更新は順次完了する予定です。")</f>
        <v>この地図は2025年8月29日に繁体字中国語版に更新されました。他の言語版への更新は順次完了する予定です。</v>
      </c>
      <c r="C51" s="85" t="s">
        <v>326</v>
      </c>
      <c r="D51" s="85" t="str">
        <f>IFERROR(__xludf.DUMMYFUNCTION("GOOGLETRANSLATE(A51,""zh-tw"",""zh"")"),"2025/8/29 map更新完成繁体中文版本，其余语系将逐步更新")</f>
        <v>2025/8/29 map更新完成繁体中文版本，其余语系将逐步更新</v>
      </c>
      <c r="E51" s="45" t="str">
        <f>IFERROR(__xludf.DUMMYFUNCTION("GOOGLETRANSLATE(A51,""zh-tw"",""es-MX"")"),"El mapa se actualizó al chino tradicional el 29 de agosto de 2025. Las actualizaciones a otros idiomas se completarán gradualmente.")</f>
        <v>El mapa se actualizó al chino tradicional el 29 de agosto de 2025. Las actualizaciones a otros idiomas se completarán gradualmente.</v>
      </c>
      <c r="F51" s="45" t="str">
        <f>IFERROR(__xludf.DUMMYFUNCTION("GOOGLETRANSLATE(A51,""zh-tw"",""KO"")"),"해당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51" s="90" t="s">
        <v>327</v>
      </c>
      <c r="H51" s="45" t="str">
        <f>IFERROR(__xludf.DUMMYFUNCTION("GOOGLETRANSLATE(A51,""zh-tw"",""RU"")"),"Карта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I51" s="45" t="str">
        <f>IFERROR(__xludf.DUMMYFUNCTION("GOOGLETRANSLATE(A51,""zh-tw"",""DE"")"),"Die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J51" s="89" t="s">
        <v>328</v>
      </c>
      <c r="K51" s="8" t="s">
        <v>329</v>
      </c>
      <c r="L51" s="8" t="s">
        <v>330</v>
      </c>
      <c r="M51" s="87"/>
      <c r="N51" s="87"/>
      <c r="O51" s="87"/>
      <c r="P51" s="87"/>
      <c r="Q51" s="87"/>
      <c r="R51" s="87"/>
      <c r="S51" s="87"/>
      <c r="T51" s="87"/>
      <c r="U51" s="87"/>
      <c r="V51" s="87"/>
      <c r="W51" s="87"/>
      <c r="X51" s="87"/>
      <c r="Y51" s="87"/>
      <c r="Z51" s="87"/>
    </row>
    <row r="52">
      <c r="A52" s="85" t="s">
        <v>331</v>
      </c>
      <c r="B52" s="85" t="str">
        <f>IFERROR(__xludf.DUMMYFUNCTION("GOOGLETRANSLATE(A52,""zh-tw"",""ja"")"),"バージョン0.79Hは2025年8月11日に追加されました。（TIPS）")</f>
        <v>バージョン0.79Hは2025年8月11日に追加されました。（TIPS）</v>
      </c>
      <c r="C52" s="85" t="s">
        <v>332</v>
      </c>
      <c r="D52" s="85" t="str">
        <f>IFERROR(__xludf.DUMMYFUNCTION("GOOGLETRANSLATE(A52,""zh-tw"",""zh"")"),"2025/8/11 新增了0.79H版本 TIPS")</f>
        <v>2025/8/11 新增了0.79H版本 TIPS</v>
      </c>
      <c r="E52" s="45" t="str">
        <f>IFERROR(__xludf.DUMMYFUNCTION("GOOGLETRANSLATE(A52,""zh-tw"",""es-MX"")"),"La versión 0.79H se añadió el 11 de agosto de 2025. (CONSEJOS)")</f>
        <v>La versión 0.79H se añadió el 11 de agosto de 2025. (CONSEJOS)</v>
      </c>
      <c r="F52" s="45" t="str">
        <f>IFERROR(__xludf.DUMMYFUNCTION("GOOGLETRANSLATE(A52,""zh-tw"",""KO"")"),"버전 0.79H는 2025년 8월 11일에 추가되었습니다. (팁)")</f>
        <v>버전 0.79H는 2025년 8월 11일에 추가되었습니다. (팁)</v>
      </c>
      <c r="G52" s="90" t="s">
        <v>333</v>
      </c>
      <c r="H52" s="45" t="str">
        <f>IFERROR(__xludf.DUMMYFUNCTION("GOOGLETRANSLATE(A52,""zh-tw"",""RU"")"),"Версия 0.79H была добавлена ​​11 августа 2025 года. (TIPS)")</f>
        <v>Версия 0.79H была добавлена ​​11 августа 2025 года. (TIPS)</v>
      </c>
      <c r="I52" s="45" t="str">
        <f>IFERROR(__xludf.DUMMYFUNCTION("GOOGLETRANSLATE(A52,""zh-tw"",""DE"")"),"Version 0.79H wurde am 11. August 2025 hinzugefügt. (TIPPS)")</f>
        <v>Version 0.79H wurde am 11. August 2025 hinzugefügt. (TIPPS)</v>
      </c>
      <c r="J52" s="89" t="s">
        <v>334</v>
      </c>
      <c r="K52" s="8" t="s">
        <v>335</v>
      </c>
      <c r="L52" s="8" t="s">
        <v>336</v>
      </c>
      <c r="M52" s="87"/>
      <c r="N52" s="87"/>
      <c r="O52" s="87"/>
      <c r="P52" s="87"/>
      <c r="Q52" s="87"/>
      <c r="R52" s="87"/>
      <c r="S52" s="87"/>
      <c r="T52" s="87"/>
      <c r="U52" s="87"/>
      <c r="V52" s="87"/>
      <c r="W52" s="87"/>
      <c r="X52" s="87"/>
      <c r="Y52" s="87"/>
      <c r="Z52" s="87"/>
    </row>
    <row r="53">
      <c r="A53" s="85" t="s">
        <v>337</v>
      </c>
      <c r="B53" s="85" t="str">
        <f>IFERROR(__xludf.DUMMYFUNCTION("GOOGLETRANSLATE(A53,""zh-tw"",""ja"")"),"バージョン0.79E（RPG35.41）は2025年7月20日に追加されました。")</f>
        <v>バージョン0.79E（RPG35.41）は2025年7月20日に追加されました。</v>
      </c>
      <c r="C53" s="85" t="s">
        <v>338</v>
      </c>
      <c r="D53" s="85" t="str">
        <f>IFERROR(__xludf.DUMMYFUNCTION("GOOGLETRANSLATE(A53,""zh-tw"",""zh"")"),"2025/7/20 新增了0.79E版本 RPG35.41")</f>
        <v>2025/7/20 新增了0.79E版本 RPG35.41</v>
      </c>
      <c r="E53" s="45" t="str">
        <f>IFERROR(__xludf.DUMMYFUNCTION("GOOGLETRANSLATE(A53,""zh-tw"",""es-MX"")"),"La versión 0.79E (RPG35.41) se añadió el 20 de julio de 2025.")</f>
        <v>La versión 0.79E (RPG35.41) se añadió el 20 de julio de 2025.</v>
      </c>
      <c r="F53" s="45" t="str">
        <f>IFERROR(__xludf.DUMMYFUNCTION("GOOGLETRANSLATE(A53,""zh-tw"",""KO"")"),"버전 0.79E(RPG35.41)는 2025년 7월 20일에 추가되었습니다.")</f>
        <v>버전 0.79E(RPG35.41)는 2025년 7월 20일에 추가되었습니다.</v>
      </c>
      <c r="G53" s="90" t="s">
        <v>339</v>
      </c>
      <c r="H53" s="45" t="str">
        <f>IFERROR(__xludf.DUMMYFUNCTION("GOOGLETRANSLATE(A53,""zh-tw"",""RU"")"),"Версия 0.79E (RPG35.41) была добавлена ​​20 июля 2025 года.")</f>
        <v>Версия 0.79E (RPG35.41) была добавлена ​​20 июля 2025 года.</v>
      </c>
      <c r="I53" s="45" t="str">
        <f>IFERROR(__xludf.DUMMYFUNCTION("GOOGLETRANSLATE(A53,""zh-tw"",""DE"")"),"Version 0.79E (RPG35.41) wurde am 20. Juli 2025 hinzugefügt.")</f>
        <v>Version 0.79E (RPG35.41) wurde am 20. Juli 2025 hinzugefügt.</v>
      </c>
      <c r="J53" s="89" t="s">
        <v>340</v>
      </c>
      <c r="K53" s="8" t="s">
        <v>341</v>
      </c>
      <c r="L53" s="8" t="s">
        <v>342</v>
      </c>
      <c r="M53" s="87"/>
      <c r="N53" s="87"/>
      <c r="O53" s="87"/>
      <c r="P53" s="87"/>
      <c r="Q53" s="87"/>
      <c r="R53" s="87"/>
      <c r="S53" s="87"/>
      <c r="T53" s="87"/>
      <c r="U53" s="87"/>
      <c r="V53" s="87"/>
      <c r="W53" s="87"/>
      <c r="X53" s="87"/>
      <c r="Y53" s="87"/>
      <c r="Z53" s="87"/>
    </row>
    <row r="54">
      <c r="A54" s="85" t="s">
        <v>343</v>
      </c>
      <c r="B54" s="85" t="str">
        <f>IFERROR(__xludf.DUMMYFUNCTION("GOOGLETRANSLATE(A54,""zh-tw"",""ja"")"),"バージョン0.79D TIPSを2025年7月20日に追加しました。")</f>
        <v>バージョン0.79D TIPSを2025年7月20日に追加しました。</v>
      </c>
      <c r="C54" s="85" t="s">
        <v>344</v>
      </c>
      <c r="D54" s="85" t="str">
        <f>IFERROR(__xludf.DUMMYFUNCTION("GOOGLETRANSLATE(A54,""zh-tw"",""zh"")"),"2025/7/20 新增了0.79D版本TIPS")</f>
        <v>2025/7/20 新增了0.79D版本TIPS</v>
      </c>
      <c r="E54" s="45" t="str">
        <f>IFERROR(__xludf.DUMMYFUNCTION("GOOGLETRANSLATE(A54,""zh-tw"",""es-MX"")"),"Se añadieron consejos para la versión 0.79D el 20/7/2025.")</f>
        <v>Se añadieron consejos para la versión 0.79D el 20/7/2025.</v>
      </c>
      <c r="F54" s="45" t="str">
        <f>IFERROR(__xludf.DUMMYFUNCTION("GOOGLETRANSLATE(A54,""zh-tw"",""KO"")"),"2025년 7월 20일에 버전 0.79D 팁이 추가되었습니다.")</f>
        <v>2025년 7월 20일에 버전 0.79D 팁이 추가되었습니다.</v>
      </c>
      <c r="G54" s="90" t="s">
        <v>345</v>
      </c>
      <c r="H54" s="45" t="str">
        <f>IFERROR(__xludf.DUMMYFUNCTION("GOOGLETRANSLATE(A54,""zh-tw"",""RU"")"),"Добавлены советы версии 0.79D от 20.07.2025.")</f>
        <v>Добавлены советы версии 0.79D от 20.07.2025.</v>
      </c>
      <c r="I54" s="45" t="str">
        <f>IFERROR(__xludf.DUMMYFUNCTION("GOOGLETRANSLATE(A54,""zh-tw"",""DE"")"),"Version 0.79D TIPS hinzugefügt am 20.07.2025")</f>
        <v>Version 0.79D TIPS hinzugefügt am 20.07.2025</v>
      </c>
      <c r="J54" s="89" t="s">
        <v>346</v>
      </c>
      <c r="K54" s="8" t="s">
        <v>347</v>
      </c>
      <c r="L54" s="8" t="s">
        <v>348</v>
      </c>
      <c r="M54" s="87"/>
      <c r="N54" s="87"/>
      <c r="O54" s="87"/>
      <c r="P54" s="87"/>
      <c r="Q54" s="87"/>
      <c r="R54" s="87"/>
      <c r="S54" s="87"/>
      <c r="T54" s="87"/>
      <c r="U54" s="87"/>
      <c r="V54" s="87"/>
      <c r="W54" s="87"/>
      <c r="X54" s="87"/>
      <c r="Y54" s="87"/>
      <c r="Z54" s="87"/>
    </row>
    <row r="55">
      <c r="A55" s="85" t="s">
        <v>349</v>
      </c>
      <c r="B55" s="85" t="str">
        <f>IFERROR(__xludf.DUMMYFUNCTION("GOOGLETRANSLATE(A55,""zh-tw"",""ja"")"),"2025年7月12日、SLG-A、SLG-C、TIPS、Weap、およびDrops向けにバージョン0.79が追加されました。")</f>
        <v>2025年7月12日、SLG-A、SLG-C、TIPS、Weap、およびDrops向けにバージョン0.79が追加されました。</v>
      </c>
      <c r="C55" s="85" t="s">
        <v>350</v>
      </c>
      <c r="D55" s="85" t="str">
        <f>IFERROR(__xludf.DUMMYFUNCTION("GOOGLETRANSLATE(A55,""zh-tw"",""zh"")"),"2025/7/12 新增了0.79版本SLG-A、SLG-C、TIPS、Weap、Drops")</f>
        <v>2025/7/12 新增了0.79版本SLG-A、SLG-C、TIPS、Weap、Drops</v>
      </c>
      <c r="E55" s="45" t="str">
        <f>IFERROR(__xludf.DUMMYFUNCTION("GOOGLETRANSLATE(A55,""zh-tw"",""es-MX"")"),"El 12 de julio de 2025 se añadió la versión 0.79 para SLG-A, SLG-C, TIPS, Weap y Drops.")</f>
        <v>El 12 de julio de 2025 se añadió la versión 0.79 para SLG-A, SLG-C, TIPS, Weap y Drops.</v>
      </c>
      <c r="F55" s="45" t="str">
        <f>IFERROR(__xludf.DUMMYFUNCTION("GOOGLETRANSLATE(A55,""zh-tw"",""KO"")"),"2025년 7월 12일, SLG-A, SLG-C, TIPS, 무기 및 드롭 항목에 대한 버전 0.79가 추가되었습니다.")</f>
        <v>2025년 7월 12일, SLG-A, SLG-C, TIPS, 무기 및 드롭 항목에 대한 버전 0.79가 추가되었습니다.</v>
      </c>
      <c r="G55" s="90" t="s">
        <v>351</v>
      </c>
      <c r="H55" s="45" t="str">
        <f>IFERROR(__xludf.DUMMYFUNCTION("GOOGLETRANSLATE(A55,""zh-tw"",""RU"")"),"12 июля 2025 года была добавлена ​​версия 0.79 для SLG-A, SLG-C, TIPS, Weap и Drops.")</f>
        <v>12 июля 2025 года была добавлена ​​версия 0.79 для SLG-A, SLG-C, TIPS, Weap и Drops.</v>
      </c>
      <c r="I55" s="45" t="str">
        <f>IFERROR(__xludf.DUMMYFUNCTION("GOOGLETRANSLATE(A55,""zh-tw"",""DE"")"),"Am 12. Juli 2025 wurde Version 0.79 für SLG-A, SLG-C, TIPS, Weap und Drops hinzugefügt.")</f>
        <v>Am 12. Juli 2025 wurde Version 0.79 für SLG-A, SLG-C, TIPS, Weap und Drops hinzugefügt.</v>
      </c>
      <c r="J55" s="89" t="s">
        <v>352</v>
      </c>
      <c r="K55" s="8" t="s">
        <v>353</v>
      </c>
      <c r="L55" s="8" t="s">
        <v>354</v>
      </c>
      <c r="M55" s="87"/>
      <c r="N55" s="87"/>
      <c r="O55" s="87"/>
      <c r="P55" s="87"/>
      <c r="Q55" s="87"/>
      <c r="R55" s="87"/>
      <c r="S55" s="87"/>
      <c r="T55" s="87"/>
      <c r="U55" s="87"/>
      <c r="V55" s="87"/>
      <c r="W55" s="87"/>
      <c r="X55" s="87"/>
      <c r="Y55" s="87"/>
      <c r="Z55" s="87"/>
    </row>
    <row r="56">
      <c r="A56" s="85" t="s">
        <v>355</v>
      </c>
      <c r="B56" s="85" t="str">
        <f>IFERROR(__xludf.DUMMYFUNCTION("GOOGLETRANSLATE(A56,""zh-tw"",""ja"")"),"2025年6月11日：バージョン0.77の一部の説明を修正し、ヒントを追加しました。")</f>
        <v>2025年6月11日：バージョン0.77の一部の説明を修正し、ヒントを追加しました。</v>
      </c>
      <c r="C56" s="85" t="s">
        <v>356</v>
      </c>
      <c r="D56" s="85" t="str">
        <f>IFERROR(__xludf.DUMMYFUNCTION("GOOGLETRANSLATE(A56,""zh-tw"",""zh"")"),"2025/6/11 修正了部分0.77版本的叙述，并新增了TIPS")</f>
        <v>2025/6/11 修正了部分0.77版本的叙述，并新增了TIPS</v>
      </c>
      <c r="E56" s="45" t="str">
        <f>IFERROR(__xludf.DUMMYFUNCTION("GOOGLETRANSLATE(A56,""zh-tw"",""es-MX"")"),"11 de junio de 2025: Se corrigieron algunas descripciones en la versión 0.77 y se agregaron consejos.")</f>
        <v>11 de junio de 2025: Se corrigieron algunas descripciones en la versión 0.77 y se agregaron consejos.</v>
      </c>
      <c r="F56" s="45" t="str">
        <f>IFERROR(__xludf.DUMMYFUNCTION("GOOGLETRANSLATE(A56,""zh-tw"",""KO"")"),"2025년 6월 11일: 버전 0.77에서 일부 설명을 수정하고 팁을 추가했습니다.")</f>
        <v>2025년 6월 11일: 버전 0.77에서 일부 설명을 수정하고 팁을 추가했습니다.</v>
      </c>
      <c r="G56" s="90" t="s">
        <v>357</v>
      </c>
      <c r="H56" s="45" t="str">
        <f>IFERROR(__xludf.DUMMYFUNCTION("GOOGLETRANSLATE(A56,""zh-tw"",""RU"")"),"11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I56" s="45" t="str">
        <f>IFERROR(__xludf.DUMMYFUNCTION("GOOGLETRANSLATE(A56,""zh-tw"",""DE"")"),"11. Juni 2025: Einige Beschreibungen in Version 0.77 wurden korrigiert und Tipps hinzugefügt.")</f>
        <v>11. Juni 2025: Einige Beschreibungen in Version 0.77 wurden korrigiert und Tipps hinzugefügt.</v>
      </c>
      <c r="J56" s="89" t="s">
        <v>358</v>
      </c>
      <c r="K56" s="8" t="s">
        <v>359</v>
      </c>
      <c r="L56" s="8" t="s">
        <v>360</v>
      </c>
      <c r="M56" s="87"/>
      <c r="N56" s="87"/>
      <c r="O56" s="87"/>
      <c r="P56" s="87"/>
      <c r="Q56" s="87"/>
      <c r="R56" s="87"/>
      <c r="S56" s="87"/>
      <c r="T56" s="87"/>
      <c r="U56" s="87"/>
      <c r="V56" s="87"/>
      <c r="W56" s="87"/>
      <c r="X56" s="87"/>
      <c r="Y56" s="87"/>
      <c r="Z56" s="87"/>
    </row>
    <row r="57">
      <c r="A57" s="85" t="s">
        <v>361</v>
      </c>
      <c r="B57" s="85" t="str">
        <f>IFERROR(__xludf.DUMMYFUNCTION("GOOGLETRANSLATE(A57,""zh-tw"",""ja"")"),"2025年6月10日にバージョン0.77にアップデートされました。")</f>
        <v>2025年6月10日にバージョン0.77にアップデートされました。</v>
      </c>
      <c r="C57" s="85" t="s">
        <v>362</v>
      </c>
      <c r="D57" s="85" t="str">
        <f>IFERROR(__xludf.DUMMYFUNCTION("GOOGLETRANSLATE(A57,""zh-tw"",""zh"")"),"2025/6/10 更新0.77版本的内容")</f>
        <v>2025/6/10 更新0.77版本的内容</v>
      </c>
      <c r="E57" s="45" t="str">
        <f>IFERROR(__xludf.DUMMYFUNCTION("GOOGLETRANSLATE(A57,""zh-tw"",""es-MX"")"),"Actualizado a la versión 0.77 el 10 de junio de 2025.")</f>
        <v>Actualizado a la versión 0.77 el 10 de junio de 2025.</v>
      </c>
      <c r="F57" s="45" t="str">
        <f>IFERROR(__xludf.DUMMYFUNCTION("GOOGLETRANSLATE(A57,""zh-tw"",""KO"")"),"2025년 6월 10일 버전 0.77로 업데이트되었습니다.")</f>
        <v>2025년 6월 10일 버전 0.77로 업데이트되었습니다.</v>
      </c>
      <c r="G57" s="90" t="s">
        <v>363</v>
      </c>
      <c r="H57" s="45" t="str">
        <f>IFERROR(__xludf.DUMMYFUNCTION("GOOGLETRANSLATE(A57,""zh-tw"",""RU"")"),"Обновлено до версии 0.77 10 июня 2025 года.")</f>
        <v>Обновлено до версии 0.77 10 июня 2025 года.</v>
      </c>
      <c r="I57" s="45" t="str">
        <f>IFERROR(__xludf.DUMMYFUNCTION("GOOGLETRANSLATE(A57,""zh-tw"",""DE"")"),"Aktualisiert auf Version 0.77 am 10. Juni 2025.")</f>
        <v>Aktualisiert auf Version 0.77 am 10. Juni 2025.</v>
      </c>
      <c r="J57" s="89" t="s">
        <v>364</v>
      </c>
      <c r="K57" s="8" t="s">
        <v>365</v>
      </c>
      <c r="L57" s="8" t="s">
        <v>366</v>
      </c>
      <c r="M57" s="87"/>
      <c r="N57" s="87"/>
      <c r="O57" s="87"/>
      <c r="P57" s="87"/>
      <c r="Q57" s="87"/>
      <c r="R57" s="87"/>
      <c r="S57" s="87"/>
      <c r="T57" s="87"/>
      <c r="U57" s="87"/>
      <c r="V57" s="87"/>
      <c r="W57" s="87"/>
      <c r="X57" s="87"/>
      <c r="Y57" s="87"/>
      <c r="Z57" s="87"/>
    </row>
    <row r="58">
      <c r="A58" s="85" t="s">
        <v>367</v>
      </c>
      <c r="B58" s="85" t="str">
        <f>IFERROR(__xludf.DUMMYFUNCTION("GOOGLETRANSLATE(A58,""zh-tw"",""ja"")"),"2025年6月3日にバージョン0.77にアップデートされました。")</f>
        <v>2025年6月3日にバージョン0.77にアップデートされました。</v>
      </c>
      <c r="C58" s="85" t="s">
        <v>368</v>
      </c>
      <c r="D58" s="85" t="str">
        <f>IFERROR(__xludf.DUMMYFUNCTION("GOOGLETRANSLATE(A58,""zh-tw"",""zh"")"),"2025/6/3 更新0.77版本的内容")</f>
        <v>2025/6/3 更新0.77版本的内容</v>
      </c>
      <c r="E58" s="45" t="str">
        <f>IFERROR(__xludf.DUMMYFUNCTION("GOOGLETRANSLATE(A58,""zh-tw"",""es-MX"")"),"Actualizado a la versión 0.77 el 3 de junio de 2025.")</f>
        <v>Actualizado a la versión 0.77 el 3 de junio de 2025.</v>
      </c>
      <c r="F58" s="45" t="str">
        <f>IFERROR(__xludf.DUMMYFUNCTION("GOOGLETRANSLATE(A58,""zh-tw"",""KO"")"),"2025년 6월 3일 버전 0.77로 업데이트되었습니다.")</f>
        <v>2025년 6월 3일 버전 0.77로 업데이트되었습니다.</v>
      </c>
      <c r="G58" s="90" t="s">
        <v>369</v>
      </c>
      <c r="H58" s="45" t="str">
        <f>IFERROR(__xludf.DUMMYFUNCTION("GOOGLETRANSLATE(A58,""zh-tw"",""RU"")"),"Обновлено до версии 0.77 3 июня 2025 года.")</f>
        <v>Обновлено до версии 0.77 3 июня 2025 года.</v>
      </c>
      <c r="I58" s="45" t="str">
        <f>IFERROR(__xludf.DUMMYFUNCTION("GOOGLETRANSLATE(A58,""zh-tw"",""DE"")"),"Aktualisiert auf Version 0.77 am 3. Juni 2025.")</f>
        <v>Aktualisiert auf Version 0.77 am 3. Juni 2025.</v>
      </c>
      <c r="J58" s="89" t="s">
        <v>370</v>
      </c>
      <c r="K58" s="8" t="s">
        <v>371</v>
      </c>
      <c r="L58" s="8" t="s">
        <v>372</v>
      </c>
      <c r="M58" s="87"/>
      <c r="N58" s="87"/>
      <c r="O58" s="87"/>
      <c r="P58" s="87"/>
      <c r="Q58" s="87"/>
      <c r="R58" s="87"/>
      <c r="S58" s="87"/>
      <c r="T58" s="87"/>
      <c r="U58" s="87"/>
      <c r="V58" s="87"/>
      <c r="W58" s="87"/>
      <c r="X58" s="87"/>
      <c r="Y58" s="87"/>
      <c r="Z58" s="87"/>
    </row>
    <row r="59">
      <c r="A59" s="85" t="s">
        <v>373</v>
      </c>
      <c r="B59" s="85" t="str">
        <f>IFERROR(__xludf.DUMMYFUNCTION("GOOGLETRANSLATE(A59,""zh-tw"",""ja"")"),"2025年5月26日、SLGページのレイアウトがすべて刷新されました。")</f>
        <v>2025年5月26日、SLGページのレイアウトがすべて刷新されました。</v>
      </c>
      <c r="C59" s="85" t="s">
        <v>374</v>
      </c>
      <c r="D59" s="85" t="str">
        <f>IFERROR(__xludf.DUMMYFUNCTION("GOOGLETRANSLATE(A59,""zh-tw"",""zh"")"),"2025/5/26 重制了SLG页面的所有排版")</f>
        <v>2025/5/26 重制了SLG页面的所有排版</v>
      </c>
      <c r="E59" s="45" t="str">
        <f>IFERROR(__xludf.DUMMYFUNCTION("GOOGLETRANSLATE(A59,""zh-tw"",""es-MX"")"),"El 26 de mayo de 2025, se rediseñó por completo la maquetación de la página de SLG.")</f>
        <v>El 26 de mayo de 2025, se rediseñó por completo la maquetación de la página de SLG.</v>
      </c>
      <c r="F59" s="45" t="str">
        <f>IFERROR(__xludf.DUMMYFUNCTION("GOOGLETRANSLATE(A59,""zh-tw"",""KO"")"),"2025년 5월 26일, SLG 페이지의 모든 레이아웃이 새롭게 디자인되었습니다.")</f>
        <v>2025년 5월 26일, SLG 페이지의 모든 레이아웃이 새롭게 디자인되었습니다.</v>
      </c>
      <c r="G59" s="90" t="s">
        <v>375</v>
      </c>
      <c r="H59" s="45" t="str">
        <f>IFERROR(__xludf.DUMMYFUNCTION("GOOGLETRANSLATE(A59,""zh-tw"",""RU"")"),"26 мая 2025 года был полностью переработан дизайн страницы SLG.")</f>
        <v>26 мая 2025 года был полностью переработан дизайн страницы SLG.</v>
      </c>
      <c r="I59" s="45" t="str">
        <f>IFERROR(__xludf.DUMMYFUNCTION("GOOGLETRANSLATE(A59,""zh-tw"",""DE"")"),"Am 26. Mai 2025 wurden alle Layouts der SLG-Seite neu gestaltet.")</f>
        <v>Am 26. Mai 2025 wurden alle Layouts der SLG-Seite neu gestaltet.</v>
      </c>
      <c r="J59" s="89" t="s">
        <v>376</v>
      </c>
      <c r="K59" s="8" t="s">
        <v>377</v>
      </c>
      <c r="L59" s="8" t="s">
        <v>378</v>
      </c>
      <c r="M59" s="87"/>
      <c r="N59" s="87"/>
      <c r="O59" s="87"/>
      <c r="P59" s="87"/>
      <c r="Q59" s="87"/>
      <c r="R59" s="87"/>
      <c r="S59" s="87"/>
      <c r="T59" s="87"/>
      <c r="U59" s="87"/>
      <c r="V59" s="87"/>
      <c r="W59" s="87"/>
      <c r="X59" s="87"/>
      <c r="Y59" s="87"/>
      <c r="Z59" s="87"/>
    </row>
    <row r="60">
      <c r="A60" s="85" t="s">
        <v>379</v>
      </c>
      <c r="B60" s="85" t="str">
        <f>IFERROR(__xludf.DUMMYFUNCTION("GOOGLETRANSLATE(A60,""zh-tw"",""ja"")"),"2025年5月24日、専用グラフィックカードのインストール方法に関するチュートリアルが追加されました。")</f>
        <v>2025年5月24日、専用グラフィックカードのインストール方法に関するチュートリアルが追加されました。</v>
      </c>
      <c r="C60" s="85" t="s">
        <v>380</v>
      </c>
      <c r="D60" s="85" t="str">
        <f>IFERROR(__xludf.DUMMYFUNCTION("GOOGLETRANSLATE(A60,""zh-tw"",""zh"")"),"2025/5/24 新增了独立显卡的安装教学")</f>
        <v>2025/5/24 新增了独立显卡的安装教学</v>
      </c>
      <c r="E60" s="45" t="str">
        <f>IFERROR(__xludf.DUMMYFUNCTION("GOOGLETRANSLATE(A60,""zh-tw"",""es-MX"")"),"El 24 de mayo de 2025 se añadió un tutorial sobre cómo instalar una tarjeta gráfica dedicada.")</f>
        <v>El 24 de mayo de 2025 se añadió un tutorial sobre cómo instalar una tarjeta gráfica dedicada.</v>
      </c>
      <c r="F60" s="45" t="str">
        <f>IFERROR(__xludf.DUMMYFUNCTION("GOOGLETRANSLATE(A60,""zh-tw"",""KO"")"),"2025년 5월 24일, 외장 그래픽 카드 설치 방법에 대한 튜토리얼이 추가되었습니다.")</f>
        <v>2025년 5월 24일, 외장 그래픽 카드 설치 방법에 대한 튜토리얼이 추가되었습니다.</v>
      </c>
      <c r="G60" s="90" t="s">
        <v>381</v>
      </c>
      <c r="H60" s="45" t="str">
        <f>IFERROR(__xludf.DUMMYFUNCTION("GOOGLETRANSLATE(A60,""zh-tw"",""RU"")"),"24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I60" s="45" t="str">
        <f>IFERROR(__xludf.DUMMYFUNCTION("GOOGLETRANSLATE(A60,""zh-tw"",""DE"")"),"Am 24. Mai 2025 wurde eine Anleitung zur Installation einer dedizierten Grafikkarte hinzugefügt.")</f>
        <v>Am 24. Mai 2025 wurde eine Anleitung zur Installation einer dedizierten Grafikkarte hinzugefügt.</v>
      </c>
      <c r="J60" s="89" t="s">
        <v>382</v>
      </c>
      <c r="K60" s="8" t="s">
        <v>383</v>
      </c>
      <c r="L60" s="8" t="s">
        <v>384</v>
      </c>
      <c r="M60" s="87"/>
      <c r="N60" s="87"/>
      <c r="O60" s="87"/>
      <c r="P60" s="87"/>
      <c r="Q60" s="87"/>
      <c r="R60" s="87"/>
      <c r="S60" s="87"/>
      <c r="T60" s="87"/>
      <c r="U60" s="87"/>
      <c r="V60" s="87"/>
      <c r="W60" s="87"/>
      <c r="X60" s="87"/>
      <c r="Y60" s="87"/>
      <c r="Z60" s="87"/>
    </row>
    <row r="61">
      <c r="A61" s="85" t="s">
        <v>385</v>
      </c>
      <c r="B61" s="85" t="str">
        <f>IFERROR(__xludf.DUMMYFUNCTION("GOOGLETRANSLATE(A61,""zh-tw"",""ja"")"),"2025年5月15日：バージョン0.75D（R4、R33）用のコンテンツと防具1点を追加しました。")</f>
        <v>2025年5月15日：バージョン0.75D（R4、R33）用のコンテンツと防具1点を追加しました。</v>
      </c>
      <c r="C61" s="85" t="s">
        <v>386</v>
      </c>
      <c r="D61" s="85" t="str">
        <f>IFERROR(__xludf.DUMMYFUNCTION("GOOGLETRANSLATE(A61,""zh-tw"",""zh"")"),"2025/5/15 新增0.75D版本的内容 (R4、R33)、一个防具")</f>
        <v>2025/5/15 新增0.75D版本的内容 (R4、R33)、一个防具</v>
      </c>
      <c r="E61" s="45" t="str">
        <f>IFERROR(__xludf.DUMMYFUNCTION("GOOGLETRANSLATE(A61,""zh-tw"",""es-MX"")"),"15 de mayo de 2025: Se agregó contenido para la versión 0.75D (R4, R33) y una pieza de armadura.")</f>
        <v>15 de mayo de 2025: Se agregó contenido para la versión 0.75D (R4, R33) y una pieza de armadura.</v>
      </c>
      <c r="F61" s="45" t="str">
        <f>IFERROR(__xludf.DUMMYFUNCTION("GOOGLETRANSLATE(A61,""zh-tw"",""KO"")"),"2025년 5월 15일: 버전 0.75D(R4, R33)용 콘텐츠와 갑옷 한 점을 추가했습니다.")</f>
        <v>2025년 5월 15일: 버전 0.75D(R4, R33)용 콘텐츠와 갑옷 한 점을 추가했습니다.</v>
      </c>
      <c r="G61" s="90" t="s">
        <v>387</v>
      </c>
      <c r="H61" s="45" t="str">
        <f>IFERROR(__xludf.DUMMYFUNCTION("GOOGLETRANSLATE(A61,""zh-tw"",""RU"")"),"15 мая 2025 г.: Добавлен контент для версии 0.75D (R4, R33) и один элемент брони.")</f>
        <v>15 мая 2025 г.: Добавлен контент для версии 0.75D (R4, R33) и один элемент брони.</v>
      </c>
      <c r="I61" s="45" t="str">
        <f>IFERROR(__xludf.DUMMYFUNCTION("GOOGLETRANSLATE(A61,""zh-tw"",""DE"")"),"15. Mai 2025: Inhalte für Version 0.75D (R4, R33) und ein Rüstungsteil hinzugefügt.")</f>
        <v>15. Mai 2025: Inhalte für Version 0.75D (R4, R33) und ein Rüstungsteil hinzugefügt.</v>
      </c>
      <c r="J61" s="89" t="s">
        <v>388</v>
      </c>
      <c r="K61" s="8" t="s">
        <v>389</v>
      </c>
      <c r="L61" s="8" t="s">
        <v>390</v>
      </c>
      <c r="M61" s="87"/>
      <c r="N61" s="87"/>
      <c r="O61" s="87"/>
      <c r="P61" s="87"/>
      <c r="Q61" s="87"/>
      <c r="R61" s="87"/>
      <c r="S61" s="87"/>
      <c r="T61" s="87"/>
      <c r="U61" s="87"/>
      <c r="V61" s="87"/>
      <c r="W61" s="87"/>
      <c r="X61" s="87"/>
      <c r="Y61" s="87"/>
      <c r="Z61" s="87"/>
    </row>
    <row r="62">
      <c r="A62" s="85" t="s">
        <v>391</v>
      </c>
      <c r="B62" s="85" t="str">
        <f>IFERROR(__xludf.DUMMYFUNCTION("GOOGLETRANSLATE(A62,""zh-tw"",""ja"")"),"2025年5月6日に、グレート・カルシンド・ラバ・ベルトの地図画像を追加しました。")</f>
        <v>2025年5月6日に、グレート・カルシンド・ラバ・ベルトの地図画像を追加しました。</v>
      </c>
      <c r="C62" s="85" t="s">
        <v>392</v>
      </c>
      <c r="D62" s="85" t="str">
        <f>IFERROR(__xludf.DUMMYFUNCTION("GOOGLETRANSLATE(A62,""zh-tw"",""zh"")"),"2025/5/6 新增大焦热熔岩带地图图片")</f>
        <v>2025/5/6 新增大焦热熔岩带地图图片</v>
      </c>
      <c r="E62" s="45" t="str">
        <f>IFERROR(__xludf.DUMMYFUNCTION("GOOGLETRANSLATE(A62,""zh-tw"",""es-MX"")"),"Se añadió una imagen del mapa del Gran Cinturón de Lava Calcinada el 6 de mayo de 2025.")</f>
        <v>Se añadió una imagen del mapa del Gran Cinturón de Lava Calcinada el 6 de mayo de 2025.</v>
      </c>
      <c r="F62" s="45" t="str">
        <f>IFERROR(__xludf.DUMMYFUNCTION("GOOGLETRANSLATE(A62,""zh-tw"",""KO"")"),"2025년 5월 6일에 거대 소성 용암대의 지도 이미지를 추가했습니다.")</f>
        <v>2025년 5월 6일에 거대 소성 용암대의 지도 이미지를 추가했습니다.</v>
      </c>
      <c r="G62" s="90" t="s">
        <v>393</v>
      </c>
      <c r="H62" s="45" t="str">
        <f>IFERROR(__xludf.DUMMYFUNCTION("GOOGLETRANSLATE(A62,""zh-tw"",""RU"")"),"Добавлено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I62" s="45" t="str">
        <f>IFERROR(__xludf.DUMMYFUNCTION("GOOGLETRANSLATE(A62,""zh-tw"",""DE"")"),"Am 6. Mai 2025 wurde eine Karte des Großen Kalzinierten Lavagürtels hinzugefügt.")</f>
        <v>Am 6. Mai 2025 wurde eine Karte des Großen Kalzinierten Lavagürtels hinzugefügt.</v>
      </c>
      <c r="J62" s="89" t="s">
        <v>394</v>
      </c>
      <c r="K62" s="8" t="s">
        <v>395</v>
      </c>
      <c r="L62" s="8" t="s">
        <v>396</v>
      </c>
      <c r="M62" s="87"/>
      <c r="N62" s="87"/>
      <c r="O62" s="87"/>
      <c r="P62" s="87"/>
      <c r="Q62" s="87"/>
      <c r="R62" s="87"/>
      <c r="S62" s="87"/>
      <c r="T62" s="87"/>
      <c r="U62" s="87"/>
      <c r="V62" s="87"/>
      <c r="W62" s="87"/>
      <c r="X62" s="87"/>
      <c r="Y62" s="87"/>
      <c r="Z62" s="87"/>
    </row>
    <row r="63">
      <c r="A63" s="85" t="s">
        <v>397</v>
      </c>
      <c r="B63" s="85" t="str">
        <f>IFERROR(__xludf.DUMMYFUNCTION("GOOGLETRANSLATE(A63,""zh-tw"",""ja"")"),"2025年5月5日から[日付不明]まで、地図セクションには洞窟の入り口にドロップされたアイテムの場所が随時更新されます。どうぞご期待ください。")</f>
        <v>2025年5月5日から[日付不明]まで、地図セクションには洞窟の入り口にドロップされたアイテムの場所が随時更新されます。どうぞご期待ください。</v>
      </c>
      <c r="C63" s="85" t="s">
        <v>398</v>
      </c>
      <c r="D63" s="85" t="str">
        <f>IFERROR(__xludf.DUMMYFUNCTION("GOOGLETRANSLATE(A63,""zh-tw"",""zh"")"),"2025/5/5-2025/？ 地图板块最近会尝试更新洞口掉落位置，还请后续留意")</f>
        <v>2025/5/5-2025/？ 地图板块最近会尝试更新洞口掉落位置，还请后续留意</v>
      </c>
      <c r="E63" s="45" t="str">
        <f>IFERROR(__xludf.DUMMYFUNCTION("GOOGLETRANSLATE(A63,""zh-tw"",""es-MX"")"),"Desde el 5 de mayo de 2025 hasta [fecha desconocida], la sección del mapa se actualizará con la ubicación de los objetos que se encuentran en la entrada de la cueva. Manténganse al tanto.")</f>
        <v>Desde el 5 de mayo de 2025 hasta [fecha desconocida], la sección del mapa se actualizará con la ubicación de los objetos que se encuentran en la entrada de la cueva. Manténganse al tanto.</v>
      </c>
      <c r="F63" s="45" t="str">
        <f>IFERROR(__xludf.DUMMYFUNCTION("GOOGLETRANSLATE(A63,""zh-tw"",""KO"")"),"2025년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63" s="90" t="s">
        <v>399</v>
      </c>
      <c r="H63" s="45" t="str">
        <f>IFERROR(__xludf.DUMMYFUNCTION("GOOGLETRANSLATE(A63,""zh-tw"",""RU"")"),"С 5 мая 2025 года по [дата отсутствует] раздел карты будет обновляться с указанием мест, где были оставлены предметы у входа в пещеру. Следите за обновлениями.")</f>
        <v>С 5 мая 2025 года по [дата отсутствует] раздел карты будет обновляться с указанием мест, где были оставлены предметы у входа в пещеру. Следите за обновлениями.</v>
      </c>
      <c r="I63" s="45" t="str">
        <f>IFERROR(__xludf.DUMMYFUNCTION("GOOGLETRANSLATE(A63,""zh-tw"",""DE"")"),"Vom 5. Mai 2025 bis [Datum fehlt] wird der Kartenabschnitt mit den Fundorten der am Höhleneingang gefundenen Gegenstände aktualisiert. Bleiben Sie dran.")</f>
        <v>Vom 5. Mai 2025 bis [Datum fehlt] wird der Kartenabschnitt mit den Fundorten der am Höhleneingang gefundenen Gegenstände aktualisiert. Bleiben Sie dran.</v>
      </c>
      <c r="J63" s="89" t="s">
        <v>400</v>
      </c>
      <c r="K63" s="8" t="s">
        <v>401</v>
      </c>
      <c r="L63" s="8" t="s">
        <v>402</v>
      </c>
      <c r="M63" s="87"/>
      <c r="N63" s="87"/>
      <c r="O63" s="87"/>
      <c r="P63" s="87"/>
      <c r="Q63" s="87"/>
      <c r="R63" s="87"/>
      <c r="S63" s="87"/>
      <c r="T63" s="87"/>
      <c r="U63" s="87"/>
      <c r="V63" s="87"/>
      <c r="W63" s="87"/>
      <c r="X63" s="87"/>
      <c r="Y63" s="87"/>
      <c r="Z63" s="87"/>
    </row>
    <row r="64">
      <c r="A64" s="85" t="s">
        <v>403</v>
      </c>
      <c r="B64" s="85" t="str">
        <f>IFERROR(__xludf.DUMMYFUNCTION("GOOGLETRANSLATE(A64,""zh-tw"",""ja"")"),"2025年5月4日にロシア語とドイツ語の翻訳を追加しました。")</f>
        <v>2025年5月4日にロシア語とドイツ語の翻訳を追加しました。</v>
      </c>
      <c r="C64" s="85" t="s">
        <v>404</v>
      </c>
      <c r="D64" s="85" t="str">
        <f>IFERROR(__xludf.DUMMYFUNCTION("GOOGLETRANSLATE(A64,""zh-tw"",""zh"")"),"2025/5/4 新增了俄语和德语翻译")</f>
        <v>2025/5/4 新增了俄语和德语翻译</v>
      </c>
      <c r="E64" s="45" t="str">
        <f>IFERROR(__xludf.DUMMYFUNCTION("GOOGLETRANSLATE(A64,""zh-tw"",""es-MX"")"),"Se añadieron las traducciones al ruso y al alemán el 4 de mayo de 2025.")</f>
        <v>Se añadieron las traducciones al ruso y al alemán el 4 de mayo de 2025.</v>
      </c>
      <c r="F64" s="45" t="str">
        <f>IFERROR(__xludf.DUMMYFUNCTION("GOOGLETRANSLATE(A64,""zh-tw"",""KO"")"),"2025년 5월 4일에 러시아어 및 독일어 번역이 추가되었습니다.")</f>
        <v>2025년 5월 4일에 러시아어 및 독일어 번역이 추가되었습니다.</v>
      </c>
      <c r="G64" s="90" t="s">
        <v>405</v>
      </c>
      <c r="H64" s="45" t="str">
        <f>IFERROR(__xludf.DUMMYFUNCTION("GOOGLETRANSLATE(A64,""zh-tw"",""RU"")"),"Русский и немецкий переводы добавлены 4 мая 2025 года.")</f>
        <v>Русский и немецкий переводы добавлены 4 мая 2025 года.</v>
      </c>
      <c r="I64" s="45" t="str">
        <f>IFERROR(__xludf.DUMMYFUNCTION("GOOGLETRANSLATE(A64,""zh-tw"",""DE"")"),"Russische und deutsche Übersetzungen wurden am 4. Mai 2025 hinzugefügt.")</f>
        <v>Russische und deutsche Übersetzungen wurden am 4. Mai 2025 hinzugefügt.</v>
      </c>
      <c r="J64" s="89" t="s">
        <v>406</v>
      </c>
      <c r="K64" s="8" t="s">
        <v>407</v>
      </c>
      <c r="L64" s="8" t="s">
        <v>408</v>
      </c>
      <c r="M64" s="87"/>
      <c r="N64" s="87"/>
      <c r="O64" s="87"/>
      <c r="P64" s="87"/>
      <c r="Q64" s="87"/>
      <c r="R64" s="87"/>
      <c r="S64" s="87"/>
      <c r="T64" s="87"/>
      <c r="U64" s="87"/>
      <c r="V64" s="87"/>
      <c r="W64" s="87"/>
      <c r="X64" s="87"/>
      <c r="Y64" s="87"/>
      <c r="Z64" s="87"/>
    </row>
    <row r="65">
      <c r="A65" s="85" t="s">
        <v>409</v>
      </c>
      <c r="B65" s="85" t="str">
        <f>IFERROR(__xludf.DUMMYFUNCTION("GOOGLETRANSLATE(A65,""zh-tw"",""ja"")"),"バージョン0.75は2025年5月2日に追加されました。")</f>
        <v>バージョン0.75は2025年5月2日に追加されました。</v>
      </c>
      <c r="C65" s="85" t="s">
        <v>410</v>
      </c>
      <c r="D65" s="85" t="str">
        <f>IFERROR(__xludf.DUMMYFUNCTION("GOOGLETRANSLATE(A65,""zh-tw"",""zh"")"),"2025/5/2 新增了0.75版本内容")</f>
        <v>2025/5/2 新增了0.75版本内容</v>
      </c>
      <c r="E65" s="45" t="str">
        <f>IFERROR(__xludf.DUMMYFUNCTION("GOOGLETRANSLATE(A65,""zh-tw"",""es-MX"")"),"La versión 0.75 se añadió el 2 de mayo de 2025.")</f>
        <v>La versión 0.75 se añadió el 2 de mayo de 2025.</v>
      </c>
      <c r="F65" s="45" t="str">
        <f>IFERROR(__xludf.DUMMYFUNCTION("GOOGLETRANSLATE(A65,""zh-tw"",""KO"")"),"버전 0.75는 2025년 5월 2일에 추가되었습니다.")</f>
        <v>버전 0.75는 2025년 5월 2일에 추가되었습니다.</v>
      </c>
      <c r="G65" s="90" t="s">
        <v>411</v>
      </c>
      <c r="H65" s="45" t="str">
        <f>IFERROR(__xludf.DUMMYFUNCTION("GOOGLETRANSLATE(A65,""zh-tw"",""RU"")"),"Версия 0.75 была добавлена ​​2 мая 2025 года.")</f>
        <v>Версия 0.75 была добавлена ​​2 мая 2025 года.</v>
      </c>
      <c r="I65" s="45" t="str">
        <f>IFERROR(__xludf.DUMMYFUNCTION("GOOGLETRANSLATE(A65,""zh-tw"",""DE"")"),"Version 0.75 wurde am 2. Mai 2025 hinzugefügt.")</f>
        <v>Version 0.75 wurde am 2. Mai 2025 hinzugefügt.</v>
      </c>
      <c r="J65" s="89" t="s">
        <v>412</v>
      </c>
      <c r="K65" s="8" t="s">
        <v>413</v>
      </c>
      <c r="L65" s="8" t="s">
        <v>414</v>
      </c>
      <c r="M65" s="87"/>
      <c r="N65" s="87"/>
      <c r="O65" s="87"/>
      <c r="P65" s="87"/>
      <c r="Q65" s="87"/>
      <c r="R65" s="87"/>
      <c r="S65" s="87"/>
      <c r="T65" s="87"/>
      <c r="U65" s="87"/>
      <c r="V65" s="87"/>
      <c r="W65" s="87"/>
      <c r="X65" s="87"/>
      <c r="Y65" s="87"/>
      <c r="Z65" s="87"/>
    </row>
    <row r="66">
      <c r="A66" s="85" t="s">
        <v>415</v>
      </c>
      <c r="B66" s="85" t="str">
        <f>IFERROR(__xludf.DUMMYFUNCTION("GOOGLETRANSLATE(A66,""zh-tw"",""ja"")"),"2025年4月29日：2つ目のフォームを削除し、スペイン語と韓国語の翻訳をこのフォームに統合しました。")</f>
        <v>2025年4月29日：2つ目のフォームを削除し、スペイン語と韓国語の翻訳をこのフォームに統合しました。</v>
      </c>
      <c r="C66" s="85" t="s">
        <v>416</v>
      </c>
      <c r="D66" s="85" t="str">
        <f>IFERROR(__xludf.DUMMYFUNCTION("GOOGLETRANSLATE(A66,""zh-tw"",""zh"")"),"2025/4/29 删除第二份表单，合并西班牙语和韩语的翻译至本表单")</f>
        <v>2025/4/29 删除第二份表单，合并西班牙语和韩语的翻译至本表单</v>
      </c>
      <c r="E66" s="45" t="str">
        <f>IFERROR(__xludf.DUMMYFUNCTION("GOOGLETRANSLATE(A66,""zh-tw"",""es-MX"")"),"29 de abril de 2025: Se eliminó el segundo formulario y se fusionaron las traducciones al español y al coreano en este formulario.")</f>
        <v>29 de abril de 2025: Se eliminó el segundo formulario y se fusionaron las traducciones al español y al coreano en este formulario.</v>
      </c>
      <c r="F66" s="45" t="str">
        <f>IFERROR(__xludf.DUMMYFUNCTION("GOOGLETRANSLATE(A66,""zh-tw"",""KO"")"),"2025년 4월 29일: 두 번째 양식을 삭제하고 스페인어 및 한국어 번역을 이 양식에 통합했습니다.")</f>
        <v>2025년 4월 29일: 두 번째 양식을 삭제하고 스페인어 및 한국어 번역을 이 양식에 통합했습니다.</v>
      </c>
      <c r="G66" s="90" t="s">
        <v>417</v>
      </c>
      <c r="H66" s="45" t="str">
        <f>IFERROR(__xludf.DUMMYFUNCTION("GOOGLETRANSLATE(A66,""zh-tw"",""RU"")"),"29 апреля 2025 г.: Удалена вторая форма, и испанский и корейский переводы объединены в эту форму.")</f>
        <v>29 апреля 2025 г.: Удалена вторая форма, и испанский и корейский переводы объединены в эту форму.</v>
      </c>
      <c r="I66" s="45" t="str">
        <f>IFERROR(__xludf.DUMMYFUNCTION("GOOGLETRANSLATE(A66,""zh-tw"",""DE"")"),"29.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J66" s="89" t="s">
        <v>418</v>
      </c>
      <c r="K66" s="8" t="s">
        <v>419</v>
      </c>
      <c r="L66" s="8" t="s">
        <v>420</v>
      </c>
      <c r="M66" s="87"/>
      <c r="N66" s="87"/>
      <c r="O66" s="87"/>
      <c r="P66" s="87"/>
      <c r="Q66" s="87"/>
      <c r="R66" s="87"/>
      <c r="S66" s="87"/>
      <c r="T66" s="87"/>
      <c r="U66" s="87"/>
      <c r="V66" s="87"/>
      <c r="W66" s="87"/>
      <c r="X66" s="87"/>
      <c r="Y66" s="87"/>
      <c r="Z66" s="87"/>
    </row>
    <row r="67">
      <c r="A67" s="85" t="s">
        <v>421</v>
      </c>
      <c r="B67" s="85" t="str">
        <f>IFERROR(__xludf.DUMMYFUNCTION("GOOGLETRANSLATE(A67,""zh-tw"",""ja"")"),"2025年4月19日：スペイン語と韓国語の翻訳を含む2つ目のフォームを作成しました。")</f>
        <v>2025年4月19日：スペイン語と韓国語の翻訳を含む2つ目のフォームを作成しました。</v>
      </c>
      <c r="C67" s="85" t="s">
        <v>422</v>
      </c>
      <c r="D67" s="85" t="str">
        <f>IFERROR(__xludf.DUMMYFUNCTION("GOOGLETRANSLATE(A67,""zh-tw"",""zh"")"),"2025/4/19 新建第二份表单，有西班牙语和韩语的翻译")</f>
        <v>2025/4/19 新建第二份表单，有西班牙语和韩语的翻译</v>
      </c>
      <c r="E67" s="45" t="str">
        <f>IFERROR(__xludf.DUMMYFUNCTION("GOOGLETRANSLATE(A67,""zh-tw"",""es-MX"")"),"19 de abril de 2025: Se creó un segundo formulario con traducciones al español y al coreano.")</f>
        <v>19 de abril de 2025: Se creó un segundo formulario con traducciones al español y al coreano.</v>
      </c>
      <c r="F67" s="45" t="str">
        <f>IFERROR(__xludf.DUMMYFUNCTION("GOOGLETRANSLATE(A67,""zh-tw"",""KO"")"),"2025년 4월 19일: 스페인어 및 한국어 번역이 포함된 두 번째 양식을 만들었습니다.")</f>
        <v>2025년 4월 19일: 스페인어 및 한국어 번역이 포함된 두 번째 양식을 만들었습니다.</v>
      </c>
      <c r="G67" s="90" t="s">
        <v>423</v>
      </c>
      <c r="H67" s="45" t="str">
        <f>IFERROR(__xludf.DUMMYFUNCTION("GOOGLETRANSLATE(A67,""zh-tw"",""RU"")"),"19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I67" s="45" t="str">
        <f>IFERROR(__xludf.DUMMYFUNCTION("GOOGLETRANSLATE(A67,""zh-tw"",""DE"")"),"19. April 2025: Ein zweites Formular mit spanischen und koreanischen Übersetzungen wurde erstellt.")</f>
        <v>19. April 2025: Ein zweites Formular mit spanischen und koreanischen Übersetzungen wurde erstellt.</v>
      </c>
      <c r="J67" s="89" t="s">
        <v>424</v>
      </c>
      <c r="K67" s="8" t="s">
        <v>425</v>
      </c>
      <c r="L67" s="8" t="s">
        <v>426</v>
      </c>
      <c r="M67" s="87"/>
      <c r="N67" s="87"/>
      <c r="O67" s="87"/>
      <c r="P67" s="87"/>
      <c r="Q67" s="87"/>
      <c r="R67" s="87"/>
      <c r="S67" s="87"/>
      <c r="T67" s="87"/>
      <c r="U67" s="87"/>
      <c r="V67" s="87"/>
      <c r="W67" s="87"/>
      <c r="X67" s="87"/>
      <c r="Y67" s="87"/>
      <c r="Z67" s="87"/>
    </row>
    <row r="68">
      <c r="A68" s="85" t="s">
        <v>427</v>
      </c>
      <c r="B68" s="85" t="str">
        <f>IFERROR(__xludf.DUMMYFUNCTION("GOOGLETRANSLATE(A68,""zh-tw"",""ja"")"),"2025年4月13日に新しい「料理」ページを作成しました")</f>
        <v>2025年4月13日に新しい「料理」ページを作成しました</v>
      </c>
      <c r="C68" s="85" t="s">
        <v>428</v>
      </c>
      <c r="D68" s="85" t="str">
        <f>IFERROR(__xludf.DUMMYFUNCTION("GOOGLETRANSLATE(A68,""zh-tw"",""zh"")"),"2025/4/13  新建""料理""分页")</f>
        <v>2025/4/13  新建"料理"分页</v>
      </c>
      <c r="E68" s="45" t="str">
        <f>IFERROR(__xludf.DUMMYFUNCTION("GOOGLETRANSLATE(A68,""zh-tw"",""es-MX"")"),"Se creó una nueva página de ""Cocina"" el 13/04/2025.")</f>
        <v>Se creó una nueva página de "Cocina" el 13/04/2025.</v>
      </c>
      <c r="F68" s="45" t="str">
        <f>IFERROR(__xludf.DUMMYFUNCTION("GOOGLETRANSLATE(A68,""zh-tw"",""KO"")"),"2025년 4월 13일에 ""요리"" 페이지를 새로 만들었습니다.")</f>
        <v>2025년 4월 13일에 "요리" 페이지를 새로 만들었습니다.</v>
      </c>
      <c r="G68" s="90" t="s">
        <v>429</v>
      </c>
      <c r="H68" s="45" t="str">
        <f>IFERROR(__xludf.DUMMYFUNCTION("GOOGLETRANSLATE(A68,""zh-tw"",""RU"")"),"Создана новая страница ""Готовка"" 13 апреля 2025 года.")</f>
        <v>Создана новая страница "Готовка" 13 апреля 2025 года.</v>
      </c>
      <c r="I68" s="45" t="str">
        <f>IFERROR(__xludf.DUMMYFUNCTION("GOOGLETRANSLATE(A68,""zh-tw"",""DE"")"),"Am 13.04.2025 wurde eine neue Seite zum Thema „Kochen“ erstellt.")</f>
        <v>Am 13.04.2025 wurde eine neue Seite zum Thema „Kochen“ erstellt.</v>
      </c>
      <c r="J68" s="89" t="s">
        <v>430</v>
      </c>
      <c r="K68" s="8" t="s">
        <v>431</v>
      </c>
      <c r="L68" s="8" t="s">
        <v>432</v>
      </c>
      <c r="M68" s="87"/>
      <c r="N68" s="87"/>
      <c r="O68" s="87"/>
      <c r="P68" s="87"/>
      <c r="Q68" s="87"/>
      <c r="R68" s="87"/>
      <c r="S68" s="87"/>
      <c r="T68" s="87"/>
      <c r="U68" s="87"/>
      <c r="V68" s="87"/>
      <c r="W68" s="87"/>
      <c r="X68" s="87"/>
      <c r="Y68" s="87"/>
      <c r="Z68" s="87"/>
    </row>
    <row r="69">
      <c r="A69" s="85" t="s">
        <v>433</v>
      </c>
      <c r="B69" s="85" t="str">
        <f>IFERROR(__xludf.DUMMYFUNCTION("GOOGLETRANSLATE(A69,""zh-tw"",""ja"")"),"2025年4月6日にバージョン0.721にアップデートされました（S32～34）。")</f>
        <v>2025年4月6日にバージョン0.721にアップデートされました（S32～34）。</v>
      </c>
      <c r="C69" s="85" t="s">
        <v>434</v>
      </c>
      <c r="D69" s="85" t="str">
        <f>IFERROR(__xludf.DUMMYFUNCTION("GOOGLETRANSLATE(A69,""zh-tw"",""zh"")"),"2025/4/6 更新0.721版本 S32~34")</f>
        <v>2025/4/6 更新0.721版本 S32~34</v>
      </c>
      <c r="E69" s="45" t="str">
        <f>IFERROR(__xludf.DUMMYFUNCTION("GOOGLETRANSLATE(A69,""zh-tw"",""es-MX"")"),"Actualizado a la versión 0.721 el 6 de abril de 2025 (S32~34).")</f>
        <v>Actualizado a la versión 0.721 el 6 de abril de 2025 (S32~34).</v>
      </c>
      <c r="F69" s="45" t="str">
        <f>IFERROR(__xludf.DUMMYFUNCTION("GOOGLETRANSLATE(A69,""zh-tw"",""KO"")"),"2025년 4월 6일 버전 0.721로 업데이트되었습니다(S32~34).")</f>
        <v>2025년 4월 6일 버전 0.721로 업데이트되었습니다(S32~34).</v>
      </c>
      <c r="G69" s="90" t="s">
        <v>435</v>
      </c>
      <c r="H69" s="45" t="str">
        <f>IFERROR(__xludf.DUMMYFUNCTION("GOOGLETRANSLATE(A69,""zh-tw"",""RU"")"),"Обновлено до версии 0.721 6 апреля 2025 г. (S32~34).")</f>
        <v>Обновлено до версии 0.721 6 апреля 2025 г. (S32~34).</v>
      </c>
      <c r="I69" s="45" t="str">
        <f>IFERROR(__xludf.DUMMYFUNCTION("GOOGLETRANSLATE(A69,""zh-tw"",""DE"")"),"Aktualisiert auf Version 0.721 am 6. April 2025 (S32~34).")</f>
        <v>Aktualisiert auf Version 0.721 am 6. April 2025 (S32~34).</v>
      </c>
      <c r="J69" s="89" t="s">
        <v>436</v>
      </c>
      <c r="K69" s="8" t="s">
        <v>437</v>
      </c>
      <c r="L69" s="8" t="s">
        <v>438</v>
      </c>
      <c r="M69" s="87"/>
      <c r="N69" s="87"/>
      <c r="O69" s="87"/>
      <c r="P69" s="87"/>
      <c r="Q69" s="87"/>
      <c r="R69" s="87"/>
      <c r="S69" s="87"/>
      <c r="T69" s="87"/>
      <c r="U69" s="87"/>
      <c r="V69" s="87"/>
      <c r="W69" s="87"/>
      <c r="X69" s="87"/>
      <c r="Y69" s="87"/>
      <c r="Z69" s="87"/>
    </row>
    <row r="70">
      <c r="A70" s="85" t="s">
        <v>439</v>
      </c>
      <c r="B70" s="85" t="s">
        <v>440</v>
      </c>
      <c r="C70" s="85" t="s">
        <v>441</v>
      </c>
      <c r="D70" s="85" t="str">
        <f>IFERROR(__xludf.DUMMYFUNCTION("GOOGLETRANSLATE(A70,""zh-tw"",""zh"")"),"2025/4/4 地图新增大焦热溶岩帯")</f>
        <v>2025/4/4 地图新增大焦热溶岩帯</v>
      </c>
      <c r="E70" s="45" t="str">
        <f>IFERROR(__xludf.DUMMYFUNCTION("GOOGLETRANSLATE(A70,""zh-tw"",""es-MX"")"),"4 de abril de 2025: Se añadió el Gran Cinturón de Lava Calcinada al mapa.")</f>
        <v>4 de abril de 2025: Se añadió el Gran Cinturón de Lava Calcinada al mapa.</v>
      </c>
      <c r="F70" s="45" t="str">
        <f>IFERROR(__xludf.DUMMYFUNCTION("GOOGLETRANSLATE(A70,""zh-tw"",""KO"")"),"2025년 4월 4일: 지도에 거대한 용암 지대를 추가했습니다.")</f>
        <v>2025년 4월 4일: 지도에 거대한 용암 지대를 추가했습니다.</v>
      </c>
      <c r="G70" s="90" t="s">
        <v>442</v>
      </c>
      <c r="H70" s="45" t="str">
        <f>IFERROR(__xludf.DUMMYFUNCTION("GOOGLETRANSLATE(A70,""zh-tw"",""RU"")"),"4 апреля 2025 г.: На карту добавлен Великий пояс выжженной лавы.")</f>
        <v>4 апреля 2025 г.: На карту добавлен Великий пояс выжженной лавы.</v>
      </c>
      <c r="I70" s="45" t="str">
        <f>IFERROR(__xludf.DUMMYFUNCTION("GOOGLETRANSLATE(A70,""zh-tw"",""DE"")"),"4. April 2025: Der Große Versengte Lavagürtel wurde der Karte hinzugefügt.")</f>
        <v>4. April 2025: Der Große Versengte Lavagürtel wurde der Karte hinzugefügt.</v>
      </c>
      <c r="J70" s="89" t="s">
        <v>443</v>
      </c>
      <c r="K70" s="8" t="s">
        <v>444</v>
      </c>
      <c r="L70" s="8" t="s">
        <v>445</v>
      </c>
      <c r="M70" s="87"/>
      <c r="N70" s="87"/>
      <c r="O70" s="87"/>
      <c r="P70" s="87"/>
      <c r="Q70" s="87"/>
      <c r="R70" s="87"/>
      <c r="S70" s="87"/>
      <c r="T70" s="87"/>
      <c r="U70" s="87"/>
      <c r="V70" s="87"/>
      <c r="W70" s="87"/>
      <c r="X70" s="87"/>
      <c r="Y70" s="87"/>
      <c r="Z70" s="87"/>
    </row>
    <row r="71">
      <c r="A71" s="85" t="s">
        <v>446</v>
      </c>
      <c r="B71" s="85" t="str">
        <f>IFERROR(__xludf.DUMMYFUNCTION("GOOGLETRANSLATE(A71,""zh-tw"",""ja"")"),"2025年4月1日：バージョン0.72のアイテムを追加しました：S7、S32～S35、TIPS、2つのアイテム、および1つの防具。")</f>
        <v>2025年4月1日：バージョン0.72のアイテムを追加しました：S7、S32～S35、TIPS、2つのアイテム、および1つの防具。</v>
      </c>
      <c r="C71" s="85" t="s">
        <v>447</v>
      </c>
      <c r="D71" s="85" t="str">
        <f>IFERROR(__xludf.DUMMYFUNCTION("GOOGLETRANSLATE(A71,""zh-tw"",""zh"")"),"2025/4/1  新增0.72版本项目：S7、S32~S35、TIPS、两样道具、一件防具")</f>
        <v>2025/4/1  新增0.72版本项目：S7、S32~S35、TIPS、两样道具、一件防具</v>
      </c>
      <c r="E71" s="45" t="str">
        <f>IFERROR(__xludf.DUMMYFUNCTION("GOOGLETRANSLATE(A71,""zh-tw"",""es-MX"")"),"1 de abril de 2025: Se agregaron los siguientes elementos de la versión 0.72: S7, S32~S35, TIPS, dos elementos y una pieza de armadura.")</f>
        <v>1 de abril de 2025: Se agregaron los siguientes elementos de la versión 0.72: S7, S32~S35, TIPS, dos elementos y una pieza de armadura.</v>
      </c>
      <c r="F71" s="45" t="str">
        <f>IFERROR(__xludf.DUMMYFUNCTION("GOOGLETRANSLATE(A71,""zh-tw"",""KO"")"),"2025년 4월 1일: 버전 0.72 아이템 추가: S7, S32~S35, TIPS, 아이템 2개, 방어구 1개.")</f>
        <v>2025년 4월 1일: 버전 0.72 아이템 추가: S7, S32~S35, TIPS, 아이템 2개, 방어구 1개.</v>
      </c>
      <c r="G71" s="90" t="s">
        <v>448</v>
      </c>
      <c r="H71" s="45" t="str">
        <f>IFERROR(__xludf.DUMMYFUNCTION("GOOGLETRANSLATE(A71,""zh-tw"",""RU"")"),"1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I71" s="45" t="str">
        <f>IFERROR(__xludf.DUMMYFUNCTION("GOOGLETRANSLATE(A71,""zh-tw"",""DE"")"),"1. April 2025: Hinzugefügte Gegenstände der Version 0.72: S7, S32~S35, TIPS, zwei Gegenstände und ein Rüstungsteil.")</f>
        <v>1. April 2025: Hinzugefügte Gegenstände der Version 0.72: S7, S32~S35, TIPS, zwei Gegenstände und ein Rüstungsteil.</v>
      </c>
      <c r="J71" s="89" t="s">
        <v>449</v>
      </c>
      <c r="K71" s="8" t="s">
        <v>450</v>
      </c>
      <c r="L71" s="8" t="s">
        <v>451</v>
      </c>
      <c r="M71" s="87"/>
      <c r="N71" s="87"/>
      <c r="O71" s="87"/>
      <c r="P71" s="87"/>
      <c r="Q71" s="87"/>
      <c r="R71" s="87"/>
      <c r="S71" s="87"/>
      <c r="T71" s="87"/>
      <c r="U71" s="87"/>
      <c r="V71" s="87"/>
      <c r="W71" s="87"/>
      <c r="X71" s="87"/>
      <c r="Y71" s="87"/>
      <c r="Z71" s="87"/>
    </row>
    <row r="72">
      <c r="A72" s="85" t="s">
        <v>452</v>
      </c>
      <c r="B72" s="85" t="str">
        <f>IFERROR(__xludf.DUMMYFUNCTION("GOOGLETRANSLATE(A72,""zh-tw"",""ja"")"),"2025年4月1日、ウェブサイトにちょっとしたエイプリルフールのサプライズが追加されました。")</f>
        <v>2025年4月1日、ウェブサイトにちょっとしたエイプリルフールのサプライズが追加されました。</v>
      </c>
      <c r="C72" s="85" t="s">
        <v>453</v>
      </c>
      <c r="D72" s="85" t="str">
        <f>IFERROR(__xludf.DUMMYFUNCTION("GOOGLETRANSLATE(A72,""zh-tw"",""zh"")"),"2025/4/1  新增了网页愚人节的小彩蛋")</f>
        <v>2025/4/1  新增了网页愚人节的小彩蛋</v>
      </c>
      <c r="E72" s="45" t="str">
        <f>IFERROR(__xludf.DUMMYFUNCTION("GOOGLETRANSLATE(A72,""zh-tw"",""es-MX"")"),"El 1 de abril de 2025 se añadió una pequeña sorpresa al sitio web con motivo del Día de los Inocentes.")</f>
        <v>El 1 de abril de 2025 se añadió una pequeña sorpresa al sitio web con motivo del Día de los Inocentes.</v>
      </c>
      <c r="F72" s="45" t="str">
        <f>IFERROR(__xludf.DUMMYFUNCTION("GOOGLETRANSLATE(A72,""zh-tw"",""KO"")"),"2025년 4월 1일, 만우절을 맞아 웹사이트에 작은 깜짝 이벤트가 추가되었습니다.")</f>
        <v>2025년 4월 1일, 만우절을 맞아 웹사이트에 작은 깜짝 이벤트가 추가되었습니다.</v>
      </c>
      <c r="G72" s="90" t="s">
        <v>454</v>
      </c>
      <c r="H72" s="45" t="str">
        <f>IFERROR(__xludf.DUMMYFUNCTION("GOOGLETRANSLATE(A72,""zh-tw"",""RU"")"),"1 апреля 2025 года на сайт был добавлен небольшой первоапрельской сюрприз.")</f>
        <v>1 апреля 2025 года на сайт был добавлен небольшой первоапрельской сюрприз.</v>
      </c>
      <c r="I72" s="45" t="str">
        <f>IFERROR(__xludf.DUMMYFUNCTION("GOOGLETRANSLATE(A72,""zh-tw"",""DE"")"),"Am 1. April 2025 wurde der Website eine kleine Aprilscherz-Überraschung hinzugefügt.")</f>
        <v>Am 1. April 2025 wurde der Website eine kleine Aprilscherz-Überraschung hinzugefügt.</v>
      </c>
      <c r="J72" s="89" t="s">
        <v>455</v>
      </c>
      <c r="K72" s="8" t="s">
        <v>456</v>
      </c>
      <c r="L72" s="8" t="s">
        <v>457</v>
      </c>
      <c r="M72" s="87"/>
      <c r="N72" s="87"/>
      <c r="O72" s="87"/>
      <c r="P72" s="87"/>
      <c r="Q72" s="87"/>
      <c r="R72" s="87"/>
      <c r="S72" s="87"/>
      <c r="T72" s="87"/>
      <c r="U72" s="87"/>
      <c r="V72" s="87"/>
      <c r="W72" s="87"/>
      <c r="X72" s="87"/>
      <c r="Y72" s="87"/>
      <c r="Z72" s="87"/>
    </row>
    <row r="73">
      <c r="A73" s="85" t="s">
        <v>458</v>
      </c>
      <c r="B73" s="85" t="str">
        <f>IFERROR(__xludf.DUMMYFUNCTION("GOOGLETRANSLATE(A73,""zh-tw"",""ja"")"),"2025年3月25日更新：イベント内のマップ名と一部のコンテンツが修正されました。")</f>
        <v>2025年3月25日更新：イベント内のマップ名と一部のコンテンツが修正されました。</v>
      </c>
      <c r="C73" s="85" t="s">
        <v>459</v>
      </c>
      <c r="D73" s="85" t="str">
        <f>IFERROR(__xludf.DUMMYFUNCTION("GOOGLETRANSLATE(A73,""zh-tw"",""zh"")"),"2025/3/25 更新事件内地图名称与部分内容修正")</f>
        <v>2025/3/25 更新事件内地图名称与部分内容修正</v>
      </c>
      <c r="E73" s="45" t="str">
        <f>IFERROR(__xludf.DUMMYFUNCTION("GOOGLETRANSLATE(A73,""zh-tw"",""es-MX"")"),"Actualización del 25 de marzo de 2025: Se han corregido los nombres de los mapas y parte del contenido del evento.")</f>
        <v>Actualización del 25 de marzo de 2025: Se han corregido los nombres de los mapas y parte del contenido del evento.</v>
      </c>
      <c r="F73" s="45" t="str">
        <f>IFERROR(__xludf.DUMMYFUNCTION("GOOGLETRANSLATE(A73,""zh-tw"",""KO"")"),"2025년 3월 25일 업데이트: 지도 이름 및 이벤트 내 일부 콘텐츠가 수정되었습니다.")</f>
        <v>2025년 3월 25일 업데이트: 지도 이름 및 이벤트 내 일부 콘텐츠가 수정되었습니다.</v>
      </c>
      <c r="G73" s="90" t="s">
        <v>460</v>
      </c>
      <c r="H73" s="45" t="str">
        <f>IFERROR(__xludf.DUMMYFUNCTION("GOOGLETRANSLATE(A73,""zh-tw"",""RU"")"),"Обновление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I73" s="45" t="str">
        <f>IFERROR(__xludf.DUMMYFUNCTION("GOOGLETRANSLATE(A73,""zh-tw"",""DE"")"),"Aktualisierung vom 25. März 2025: Kartennamen und einige Inhalte innerhalb der Veranstaltung wurden korrigiert.")</f>
        <v>Aktualisierung vom 25. März 2025: Kartennamen und einige Inhalte innerhalb der Veranstaltung wurden korrigiert.</v>
      </c>
      <c r="J73" s="89" t="s">
        <v>461</v>
      </c>
      <c r="K73" s="8" t="s">
        <v>462</v>
      </c>
      <c r="L73" s="8" t="s">
        <v>463</v>
      </c>
      <c r="M73" s="87"/>
      <c r="N73" s="87"/>
      <c r="O73" s="87"/>
      <c r="P73" s="87"/>
      <c r="Q73" s="87"/>
      <c r="R73" s="87"/>
      <c r="S73" s="87"/>
      <c r="T73" s="87"/>
      <c r="U73" s="87"/>
      <c r="V73" s="87"/>
      <c r="W73" s="87"/>
      <c r="X73" s="87"/>
      <c r="Y73" s="87"/>
      <c r="Z73" s="87"/>
    </row>
    <row r="74">
      <c r="A74" s="85" t="s">
        <v>464</v>
      </c>
      <c r="B74" s="85" t="str">
        <f>IFERROR(__xludf.DUMMYFUNCTION("GOOGLETRANSLATE(A74,""zh-tw"",""ja"")"),"地図の一部は、2025年3月22日から2025年5月5日にかけて再設計されました。")</f>
        <v>地図の一部は、2025年3月22日から2025年5月5日にかけて再設計されました。</v>
      </c>
      <c r="C74" s="85" t="s">
        <v>465</v>
      </c>
      <c r="D74" s="85" t="str">
        <f>IFERROR(__xludf.DUMMYFUNCTION("GOOGLETRANSLATE(A74,""zh-tw"",""zh"")"),"2025/3/22-2025/5/5 地图板块重新完成")</f>
        <v>2025/3/22-2025/5/5 地图板块重新完成</v>
      </c>
      <c r="E74" s="45" t="str">
        <f>IFERROR(__xludf.DUMMYFUNCTION("GOOGLETRANSLATE(A74,""zh-tw"",""es-MX"")"),"Las secciones del mapa fueron rediseñadas entre el 22 de marzo de 2025 y el 5 de mayo de 2025.")</f>
        <v>Las secciones del mapa fueron rediseñadas entre el 22 de marzo de 2025 y el 5 de mayo de 2025.</v>
      </c>
      <c r="F74" s="45" t="str">
        <f>IFERROR(__xludf.DUMMYFUNCTION("GOOGLETRANSLATE(A74,""zh-tw"",""KO"")"),"지도 일부 구간은 2025년 3월 22일부터 2025년 5월 5일까지 재설계되었습니다.")</f>
        <v>지도 일부 구간은 2025년 3월 22일부터 2025년 5월 5일까지 재설계되었습니다.</v>
      </c>
      <c r="G74" s="90" t="s">
        <v>466</v>
      </c>
      <c r="H74" s="45" t="str">
        <f>IFERROR(__xludf.DUMMYFUNCTION("GOOGLETRANSLATE(A74,""zh-tw"",""RU"")"),"В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I74" s="45" t="str">
        <f>IFERROR(__xludf.DUMMYFUNCTION("GOOGLETRANSLATE(A74,""zh-tw"",""DE"")"),"Die Kartenabschnitte wurden vom 22. März 2025 bis zum 5. Mai 2025 neu gestaltet.")</f>
        <v>Die Kartenabschnitte wurden vom 22. März 2025 bis zum 5. Mai 2025 neu gestaltet.</v>
      </c>
      <c r="J74" s="89" t="s">
        <v>467</v>
      </c>
      <c r="K74" s="8" t="s">
        <v>468</v>
      </c>
      <c r="L74" s="8" t="s">
        <v>469</v>
      </c>
      <c r="M74" s="87"/>
      <c r="N74" s="87"/>
      <c r="O74" s="87"/>
      <c r="P74" s="87"/>
      <c r="Q74" s="87"/>
      <c r="R74" s="87"/>
      <c r="S74" s="87"/>
      <c r="T74" s="87"/>
      <c r="U74" s="87"/>
      <c r="V74" s="87"/>
      <c r="W74" s="87"/>
      <c r="X74" s="87"/>
      <c r="Y74" s="87"/>
      <c r="Z74" s="87"/>
    </row>
    <row r="75">
      <c r="A75" s="85" t="s">
        <v>470</v>
      </c>
      <c r="B75" s="85" t="str">
        <f>IFERROR(__xludf.DUMMYFUNCTION("GOOGLETRANSLATE(A75,""zh-tw"",""ja"")"),"2025年3月21日：イベントページがリニューアルされ、SLGとRPGのページに分割されました。")</f>
        <v>2025年3月21日：イベントページがリニューアルされ、SLGとRPGのページに分割されました。</v>
      </c>
      <c r="C75" s="85" t="s">
        <v>471</v>
      </c>
      <c r="D75" s="85" t="str">
        <f>IFERROR(__xludf.DUMMYFUNCTION("GOOGLETRANSLATE(A75,""zh-tw"",""zh"")"),"2025/3/21 重制事件页面，分成SLG、RPG页面")</f>
        <v>2025/3/21 重制事件页面，分成SLG、RPG页面</v>
      </c>
      <c r="E75" s="45" t="str">
        <f>IFERROR(__xludf.DUMMYFUNCTION("GOOGLETRANSLATE(A75,""zh-tw"",""es-MX"")"),"21 de marzo de 2025: Se rediseñó la página del evento y se dividió en páginas de SLG y RPG.")</f>
        <v>21 de marzo de 2025: Se rediseñó la página del evento y se dividió en páginas de SLG y RPG.</v>
      </c>
      <c r="F75" s="45" t="str">
        <f>IFERROR(__xludf.DUMMYFUNCTION("GOOGLETRANSLATE(A75,""zh-tw"",""KO"")"),"2025년 3월 21일: 이벤트 페이지가 개편되어 SLG 페이지와 RPG 페이지로 분리되었습니다.")</f>
        <v>2025년 3월 21일: 이벤트 페이지가 개편되어 SLG 페이지와 RPG 페이지로 분리되었습니다.</v>
      </c>
      <c r="G75" s="90" t="s">
        <v>472</v>
      </c>
      <c r="H75" s="45" t="str">
        <f>IFERROR(__xludf.DUMMYFUNCTION("GOOGLETRANSLATE(A75,""zh-tw"",""RU"")"),"21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I75" s="45" t="str">
        <f>IFERROR(__xludf.DUMMYFUNCTION("GOOGLETRANSLATE(A75,""zh-tw"",""DE"")"),"21. März 2025: Die Veranstaltungsseite wurde neu gestaltet und in SLG- und RPG-Seiten unterteilt.")</f>
        <v>21. März 2025: Die Veranstaltungsseite wurde neu gestaltet und in SLG- und RPG-Seiten unterteilt.</v>
      </c>
      <c r="J75" s="89" t="s">
        <v>473</v>
      </c>
      <c r="K75" s="8" t="s">
        <v>474</v>
      </c>
      <c r="L75" s="8" t="s">
        <v>475</v>
      </c>
      <c r="M75" s="87"/>
      <c r="N75" s="87"/>
      <c r="O75" s="87"/>
      <c r="P75" s="87"/>
      <c r="Q75" s="87"/>
      <c r="R75" s="87"/>
      <c r="S75" s="87"/>
      <c r="T75" s="87"/>
      <c r="U75" s="87"/>
      <c r="V75" s="87"/>
      <c r="W75" s="87"/>
      <c r="X75" s="87"/>
      <c r="Y75" s="87"/>
      <c r="Z75" s="87"/>
    </row>
    <row r="76">
      <c r="A76" s="85" t="s">
        <v>476</v>
      </c>
      <c r="B76" s="85" t="str">
        <f>IFERROR(__xludf.DUMMYFUNCTION("GOOGLETRANSLATE(A76,""zh-tw"",""ja"")"),"バージョン0.7の情報は2025年3月16日に更新されました。")</f>
        <v>バージョン0.7の情報は2025年3月16日に更新されました。</v>
      </c>
      <c r="C76" s="85" t="s">
        <v>477</v>
      </c>
      <c r="D76" s="85" t="str">
        <f>IFERROR(__xludf.DUMMYFUNCTION("GOOGLETRANSLATE(A76,""zh-tw"",""zh"")"),"2025/3/16 更新0.7版本资讯")</f>
        <v>2025/3/16 更新0.7版本资讯</v>
      </c>
      <c r="E76" s="45" t="str">
        <f>IFERROR(__xludf.DUMMYFUNCTION("GOOGLETRANSLATE(A76,""zh-tw"",""es-MX"")"),"Información actualizada de la versión 0.7 el 16/03/2025.")</f>
        <v>Información actualizada de la versión 0.7 el 16/03/2025.</v>
      </c>
      <c r="F76" s="45" t="str">
        <f>IFERROR(__xludf.DUMMYFUNCTION("GOOGLETRANSLATE(A76,""zh-tw"",""KO"")"),"2025년 3월 16일 업데이트된 버전 0.7 정보")</f>
        <v>2025년 3월 16일 업데이트된 버전 0.7 정보</v>
      </c>
      <c r="G76" s="90" t="s">
        <v>478</v>
      </c>
      <c r="H76" s="45" t="str">
        <f>IFERROR(__xludf.DUMMYFUNCTION("GOOGLETRANSLATE(A76,""zh-tw"",""RU"")"),"Обновлена ​​информация о версии 0.7 от 16.03.2025.")</f>
        <v>Обновлена ​​информация о версии 0.7 от 16.03.2025.</v>
      </c>
      <c r="I76" s="45" t="str">
        <f>IFERROR(__xludf.DUMMYFUNCTION("GOOGLETRANSLATE(A76,""zh-tw"",""DE"")"),"Aktualisierte Informationen zu Version 0.7 vom 16.03.2025")</f>
        <v>Aktualisierte Informationen zu Version 0.7 vom 16.03.2025</v>
      </c>
      <c r="J76" s="89" t="s">
        <v>479</v>
      </c>
      <c r="K76" s="8" t="s">
        <v>480</v>
      </c>
      <c r="L76" s="8" t="s">
        <v>481</v>
      </c>
      <c r="M76" s="87"/>
      <c r="N76" s="87"/>
      <c r="O76" s="87"/>
      <c r="P76" s="87"/>
      <c r="Q76" s="87"/>
      <c r="R76" s="87"/>
      <c r="S76" s="87"/>
      <c r="T76" s="87"/>
      <c r="U76" s="87"/>
      <c r="V76" s="87"/>
      <c r="W76" s="87"/>
      <c r="X76" s="87"/>
      <c r="Y76" s="87"/>
      <c r="Z76" s="87"/>
    </row>
    <row r="77">
      <c r="A77" s="85" t="s">
        <v>482</v>
      </c>
      <c r="B77" s="85" t="str">
        <f>IFERROR(__xludf.DUMMYFUNCTION("GOOGLETRANSLATE(A77,""zh-tw"",""ja"")"),"ステータスページネーションを2025年3月15日に追加しました")</f>
        <v>ステータスページネーションを2025年3月15日に追加しました</v>
      </c>
      <c r="C77" s="85" t="s">
        <v>483</v>
      </c>
      <c r="D77" s="85" t="str">
        <f>IFERROR(__xludf.DUMMYFUNCTION("GOOGLETRANSLATE(A77,""zh-tw"",""zh"")"),"2025/3/15 新增状态分页")</f>
        <v>2025/3/15 新增状态分页</v>
      </c>
      <c r="E77" s="45" t="str">
        <f>IFERROR(__xludf.DUMMYFUNCTION("GOOGLETRANSLATE(A77,""zh-tw"",""es-MX"")"),"Se agregó paginación de estado el 15/3/2025.")</f>
        <v>Se agregó paginación de estado el 15/3/2025.</v>
      </c>
      <c r="F77" s="45" t="str">
        <f>IFERROR(__xludf.DUMMYFUNCTION("GOOGLETRANSLATE(A77,""zh-tw"",""KO"")"),"2025년 3월 15일에 상태 페이지네이션 기능이 추가되었습니다.")</f>
        <v>2025년 3월 15일에 상태 페이지네이션 기능이 추가되었습니다.</v>
      </c>
      <c r="G77" s="90" t="s">
        <v>484</v>
      </c>
      <c r="H77" s="45" t="str">
        <f>IFERROR(__xludf.DUMMYFUNCTION("GOOGLETRANSLATE(A77,""zh-tw"",""RU"")"),"Добавлена ​​постраничная навигация по статусу 15.03.2025.")</f>
        <v>Добавлена ​​постраничная навигация по статусу 15.03.2025.</v>
      </c>
      <c r="I77" s="45" t="str">
        <f>IFERROR(__xludf.DUMMYFUNCTION("GOOGLETRANSLATE(A77,""zh-tw"",""DE"")"),"Status-Paginierung hinzugefügt am 15.03.2025")</f>
        <v>Status-Paginierung hinzugefügt am 15.03.2025</v>
      </c>
      <c r="J77" s="89" t="s">
        <v>485</v>
      </c>
      <c r="K77" s="8" t="s">
        <v>486</v>
      </c>
      <c r="L77" s="8" t="s">
        <v>487</v>
      </c>
      <c r="M77" s="87"/>
      <c r="N77" s="87"/>
      <c r="O77" s="87"/>
      <c r="P77" s="87"/>
      <c r="Q77" s="87"/>
      <c r="R77" s="87"/>
      <c r="S77" s="87"/>
      <c r="T77" s="87"/>
      <c r="U77" s="87"/>
      <c r="V77" s="87"/>
      <c r="W77" s="87"/>
      <c r="X77" s="87"/>
      <c r="Y77" s="87"/>
      <c r="Z77" s="87"/>
    </row>
    <row r="78">
      <c r="A78" s="85" t="s">
        <v>488</v>
      </c>
      <c r="B78" s="85" t="str">
        <f>IFERROR(__xludf.DUMMYFUNCTION("GOOGLETRANSLATE(A78,""zh-tw"",""ja"")"),"TIPS更新日：2025年3月13日")</f>
        <v>TIPS更新日：2025年3月13日</v>
      </c>
      <c r="C78" s="85" t="s">
        <v>489</v>
      </c>
      <c r="D78" s="85" t="str">
        <f>IFERROR(__xludf.DUMMYFUNCTION("GOOGLETRANSLATE(A78,""zh-tw"",""zh"")"),"2025/3/13 更新TIPS")</f>
        <v>2025/3/13 更新TIPS</v>
      </c>
      <c r="E78" s="45" t="str">
        <f>IFERROR(__xludf.DUMMYFUNCTION("GOOGLETRANSLATE(A78,""zh-tw"",""es-MX"")"),"Consejos actualizados el 13/03/2025")</f>
        <v>Consejos actualizados el 13/03/2025</v>
      </c>
      <c r="F78" s="45" t="str">
        <f>IFERROR(__xludf.DUMMYFUNCTION("GOOGLETRANSLATE(A78,""zh-tw"",""KO"")"),"2025년 3월 13일 업데이트된 팁")</f>
        <v>2025년 3월 13일 업데이트된 팁</v>
      </c>
      <c r="G78" s="90" t="s">
        <v>490</v>
      </c>
      <c r="H78" s="45" t="str">
        <f>IFERROR(__xludf.DUMMYFUNCTION("GOOGLETRANSLATE(A78,""zh-tw"",""RU"")"),"Обновленные рекомендации от 13.03.2025")</f>
        <v>Обновленные рекомендации от 13.03.2025</v>
      </c>
      <c r="I78" s="45" t="str">
        <f>IFERROR(__xludf.DUMMYFUNCTION("GOOGLETRANSLATE(A78,""zh-tw"",""DE"")"),"Aktualisierte Tipps vom 13.03.2025")</f>
        <v>Aktualisierte Tipps vom 13.03.2025</v>
      </c>
      <c r="J78" s="89" t="s">
        <v>491</v>
      </c>
      <c r="K78" s="8" t="s">
        <v>492</v>
      </c>
      <c r="L78" s="8" t="s">
        <v>493</v>
      </c>
      <c r="M78" s="87"/>
      <c r="N78" s="87"/>
      <c r="O78" s="87"/>
      <c r="P78" s="87"/>
      <c r="Q78" s="87"/>
      <c r="R78" s="87"/>
      <c r="S78" s="87"/>
      <c r="T78" s="87"/>
      <c r="U78" s="87"/>
      <c r="V78" s="87"/>
      <c r="W78" s="87"/>
      <c r="X78" s="87"/>
      <c r="Y78" s="87"/>
      <c r="Z78" s="87"/>
    </row>
    <row r="79">
      <c r="A79" s="85" t="s">
        <v>494</v>
      </c>
      <c r="B79" s="85" t="str">
        <f>IFERROR(__xludf.DUMMYFUNCTION("GOOGLETRANSLATE(A79,""zh-tw"",""ja"")"),"2025年3月12日：武器、防具、アイテムのページを再設計しました。")</f>
        <v>2025年3月12日：武器、防具、アイテムのページを再設計しました。</v>
      </c>
      <c r="C79" s="85" t="s">
        <v>495</v>
      </c>
      <c r="D79" s="85" t="str">
        <f>IFERROR(__xludf.DUMMYFUNCTION("GOOGLETRANSLATE(A79,""zh-tw"",""zh"")"),"2025/3/12 重新制作武器、防具、道具的页面")</f>
        <v>2025/3/12 重新制作武器、防具、道具的页面</v>
      </c>
      <c r="E79" s="45" t="str">
        <f>IFERROR(__xludf.DUMMYFUNCTION("GOOGLETRANSLATE(A79,""zh-tw"",""es-MX"")"),"12 de marzo de 2025: Se rediseñaron las páginas de armas, armaduras y objetos.")</f>
        <v>12 de marzo de 2025: Se rediseñaron las páginas de armas, armaduras y objetos.</v>
      </c>
      <c r="F79" s="45" t="str">
        <f>IFERROR(__xludf.DUMMYFUNCTION("GOOGLETRANSLATE(A79,""zh-tw"",""KO"")"),"2025년 3월 12일: 무기, 갑옷, 아이템 페이지를 새롭게 디자인했습니다.")</f>
        <v>2025년 3월 12일: 무기, 갑옷, 아이템 페이지를 새롭게 디자인했습니다.</v>
      </c>
      <c r="G79" s="90" t="s">
        <v>496</v>
      </c>
      <c r="H79" s="45" t="str">
        <f>IFERROR(__xludf.DUMMYFUNCTION("GOOGLETRANSLATE(A79,""zh-tw"",""RU"")"),"12 марта 2025 г.: Переработан дизайн страниц оружия, брони и предметов.")</f>
        <v>12 марта 2025 г.: Переработан дизайн страниц оружия, брони и предметов.</v>
      </c>
      <c r="I79" s="45" t="str">
        <f>IFERROR(__xludf.DUMMYFUNCTION("GOOGLETRANSLATE(A79,""zh-tw"",""DE"")"),"12. März 2025: Die Seiten für Waffen, Rüstungen und Gegenstände wurden neu gestaltet.")</f>
        <v>12. März 2025: Die Seiten für Waffen, Rüstungen und Gegenstände wurden neu gestaltet.</v>
      </c>
      <c r="J79" s="89" t="s">
        <v>497</v>
      </c>
      <c r="K79" s="8" t="s">
        <v>498</v>
      </c>
      <c r="L79" s="8" t="s">
        <v>499</v>
      </c>
      <c r="M79" s="87"/>
      <c r="N79" s="87"/>
      <c r="O79" s="87"/>
      <c r="P79" s="87"/>
      <c r="Q79" s="87"/>
      <c r="R79" s="87"/>
      <c r="S79" s="87"/>
      <c r="T79" s="87"/>
      <c r="U79" s="87"/>
      <c r="V79" s="87"/>
      <c r="W79" s="87"/>
      <c r="X79" s="87"/>
      <c r="Y79" s="87"/>
      <c r="Z79" s="87"/>
    </row>
    <row r="80">
      <c r="A80" s="85" t="s">
        <v>500</v>
      </c>
      <c r="B80" s="85" t="str">
        <f>IFERROR(__xludf.DUMMYFUNCTION("GOOGLETRANSLATE(A80,""zh-tw"",""ja"")"),"アップデートのお知らせ（2025年3月10日）")</f>
        <v>アップデートのお知らせ（2025年3月10日）</v>
      </c>
      <c r="C80" s="85" t="s">
        <v>501</v>
      </c>
      <c r="D80" s="85" t="str">
        <f>IFERROR(__xludf.DUMMYFUNCTION("GOOGLETRANSLATE(A80,""zh-tw"",""zh"")"),"2025/3/10 更新公告")</f>
        <v>2025/3/10 更新公告</v>
      </c>
      <c r="E80" s="45" t="str">
        <f>IFERROR(__xludf.DUMMYFUNCTION("GOOGLETRANSLATE(A80,""zh-tw"",""es-MX"")"),"Anuncio de actualización (10 de marzo de 2025)")</f>
        <v>Anuncio de actualización (10 de marzo de 2025)</v>
      </c>
      <c r="F80" s="45" t="str">
        <f>IFERROR(__xludf.DUMMYFUNCTION("GOOGLETRANSLATE(A80,""zh-tw"",""KO"")"),"업데이트 공지 (2025년 3월 10일)")</f>
        <v>업데이트 공지 (2025년 3월 10일)</v>
      </c>
      <c r="G80" s="90" t="s">
        <v>502</v>
      </c>
      <c r="H80" s="45" t="str">
        <f>IFERROR(__xludf.DUMMYFUNCTION("GOOGLETRANSLATE(A80,""zh-tw"",""RU"")"),"Уведомление об обновлении (10 марта 2025 г.)")</f>
        <v>Уведомление об обновлении (10 марта 2025 г.)</v>
      </c>
      <c r="I80" s="45" t="str">
        <f>IFERROR(__xludf.DUMMYFUNCTION("GOOGLETRANSLATE(A80,""zh-tw"",""DE"")"),"Aktualisierungsankündigung (10. März 2025)")</f>
        <v>Aktualisierungsankündigung (10. März 2025)</v>
      </c>
      <c r="J80" s="89" t="s">
        <v>503</v>
      </c>
      <c r="K80" s="8" t="s">
        <v>504</v>
      </c>
      <c r="L80" s="8" t="s">
        <v>505</v>
      </c>
      <c r="M80" s="87"/>
      <c r="N80" s="87"/>
      <c r="O80" s="87"/>
      <c r="P80" s="87"/>
      <c r="Q80" s="87"/>
      <c r="R80" s="87"/>
      <c r="S80" s="87"/>
      <c r="T80" s="87"/>
      <c r="U80" s="87"/>
      <c r="V80" s="87"/>
      <c r="W80" s="87"/>
      <c r="X80" s="87"/>
      <c r="Y80" s="87"/>
      <c r="Z80" s="87"/>
    </row>
    <row r="81">
      <c r="A81" s="85" t="s">
        <v>506</v>
      </c>
      <c r="B81" s="85" t="str">
        <f>IFERROR(__xludf.DUMMYFUNCTION("GOOGLETRANSLATE(A81,""zh-tw"",""ja"")"),"アップデートのお知らせ（2025年2月10日）")</f>
        <v>アップデートのお知らせ（2025年2月10日）</v>
      </c>
      <c r="C81" s="85" t="s">
        <v>507</v>
      </c>
      <c r="D81" s="85" t="str">
        <f>IFERROR(__xludf.DUMMYFUNCTION("GOOGLETRANSLATE(A81,""zh-tw"",""zh"")"),"2025/2/10 更新公告")</f>
        <v>2025/2/10 更新公告</v>
      </c>
      <c r="E81" s="45" t="str">
        <f>IFERROR(__xludf.DUMMYFUNCTION("GOOGLETRANSLATE(A81,""zh-tw"",""es-MX"")"),"Anuncio de actualización (10 de febrero de 2025)")</f>
        <v>Anuncio de actualización (10 de febrero de 2025)</v>
      </c>
      <c r="F81" s="45" t="str">
        <f>IFERROR(__xludf.DUMMYFUNCTION("GOOGLETRANSLATE(A81,""zh-tw"",""KO"")"),"업데이트 공지 (2025년 2월 10일)")</f>
        <v>업데이트 공지 (2025년 2월 10일)</v>
      </c>
      <c r="G81" s="90" t="s">
        <v>508</v>
      </c>
      <c r="H81" s="45" t="str">
        <f>IFERROR(__xludf.DUMMYFUNCTION("GOOGLETRANSLATE(A81,""zh-tw"",""RU"")"),"Обновление информации (10 февраля 2025 г.)")</f>
        <v>Обновление информации (10 февраля 2025 г.)</v>
      </c>
      <c r="I81" s="45" t="str">
        <f>IFERROR(__xludf.DUMMYFUNCTION("GOOGLETRANSLATE(A81,""zh-tw"",""DE"")"),"Aktualisierungsankündigung (10. Februar 2025)")</f>
        <v>Aktualisierungsankündigung (10. Februar 2025)</v>
      </c>
      <c r="J81" s="89" t="s">
        <v>509</v>
      </c>
      <c r="K81" s="8" t="s">
        <v>510</v>
      </c>
      <c r="L81" s="8" t="s">
        <v>511</v>
      </c>
      <c r="M81" s="87"/>
      <c r="N81" s="87"/>
      <c r="O81" s="87"/>
      <c r="P81" s="87"/>
      <c r="Q81" s="87"/>
      <c r="R81" s="87"/>
      <c r="S81" s="87"/>
      <c r="T81" s="87"/>
      <c r="U81" s="87"/>
      <c r="V81" s="87"/>
      <c r="W81" s="87"/>
      <c r="X81" s="87"/>
      <c r="Y81" s="87"/>
      <c r="Z81" s="87"/>
    </row>
    <row r="82">
      <c r="A82" s="85" t="s">
        <v>512</v>
      </c>
      <c r="B82" s="85" t="str">
        <f>IFERROR(__xludf.DUMMYFUNCTION("GOOGLETRANSLATE(A82,""zh-tw"",""ja"")"),"2025年2月4日：バージョン0.65 Bを追加しました。")</f>
        <v>2025年2月4日：バージョン0.65 Bを追加しました。</v>
      </c>
      <c r="C82" s="85" t="s">
        <v>513</v>
      </c>
      <c r="D82" s="85" t="str">
        <f>IFERROR(__xludf.DUMMYFUNCTION("GOOGLETRANSLATE(A82,""zh-tw"",""zh"")"),"2025/2/4 新增0.65 B版本 事件")</f>
        <v>2025/2/4 新增0.65 B版本 事件</v>
      </c>
      <c r="E82" s="45" t="str">
        <f>IFERROR(__xludf.DUMMYFUNCTION("GOOGLETRANSLATE(A82,""zh-tw"",""es-MX"")"),"4 de febrero de 2025: Se agregó la versión 0.65 B.")</f>
        <v>4 de febrero de 2025: Se agregó la versión 0.65 B.</v>
      </c>
      <c r="F82" s="45" t="str">
        <f>IFERROR(__xludf.DUMMYFUNCTION("GOOGLETRANSLATE(A82,""zh-tw"",""KO"")"),"2025년 2월 4일: 버전 0.65 B가 추가되었습니다.")</f>
        <v>2025년 2월 4일: 버전 0.65 B가 추가되었습니다.</v>
      </c>
      <c r="G82" s="90" t="s">
        <v>514</v>
      </c>
      <c r="H82" s="45" t="str">
        <f>IFERROR(__xludf.DUMMYFUNCTION("GOOGLETRANSLATE(A82,""zh-tw"",""RU"")"),"4 февраля 2025 г.: Добавлена ​​версия 0.65 B.")</f>
        <v>4 февраля 2025 г.: Добавлена ​​версия 0.65 B.</v>
      </c>
      <c r="I82" s="45" t="str">
        <f>IFERROR(__xludf.DUMMYFUNCTION("GOOGLETRANSLATE(A82,""zh-tw"",""DE"")"),"4. Februar 2025: Version 0.65 B hinzugefügt.")</f>
        <v>4. Februar 2025: Version 0.65 B hinzugefügt.</v>
      </c>
      <c r="J82" s="89" t="s">
        <v>515</v>
      </c>
      <c r="K82" s="8" t="s">
        <v>516</v>
      </c>
      <c r="L82" s="8" t="s">
        <v>517</v>
      </c>
      <c r="M82" s="87"/>
      <c r="N82" s="87"/>
      <c r="O82" s="87"/>
      <c r="P82" s="87"/>
      <c r="Q82" s="87"/>
      <c r="R82" s="87"/>
      <c r="S82" s="87"/>
      <c r="T82" s="87"/>
      <c r="U82" s="87"/>
      <c r="V82" s="87"/>
      <c r="W82" s="87"/>
      <c r="X82" s="87"/>
      <c r="Y82" s="87"/>
      <c r="Z82" s="87"/>
    </row>
    <row r="83">
      <c r="A83" s="85" t="s">
        <v>518</v>
      </c>
      <c r="B83" s="85" t="str">
        <f>IFERROR(__xludf.DUMMYFUNCTION("GOOGLETRANSLATE(A83,""zh-tw"",""ja"")"),"2025年2月3日～4日：フォールン・サンクチュアリの地図画像を追加しました。一部の地図にキャンプファイヤーのマーカーを追加しました。")</f>
        <v>2025年2月3日～4日：フォールン・サンクチュアリの地図画像を追加しました。一部の地図にキャンプファイヤーのマーカーを追加しました。</v>
      </c>
      <c r="C83" s="85" t="s">
        <v>519</v>
      </c>
      <c r="D83" s="85" t="str">
        <f>IFERROR(__xludf.DUMMYFUNCTION("GOOGLETRANSLATE(A83,""zh-tw"",""zh"")"),"2025/2/3-2/4 新增堕落的圣堂地图图片，一部分地图新增了篝火的标记")</f>
        <v>2025/2/3-2/4 新增堕落的圣堂地图图片，一部分地图新增了篝火的标记</v>
      </c>
      <c r="E83" s="45" t="str">
        <f>IFERROR(__xludf.DUMMYFUNCTION("GOOGLETRANSLATE(A83,""zh-tw"",""es-MX"")"),"3 y 4 de febrero de 2025: Se añadieron imágenes de mapas para el Santuario Caído; se añadieron marcadores de fogatas a algunos mapas.")</f>
        <v>3 y 4 de febrero de 2025: Se añadieron imágenes de mapas para el Santuario Caído; se añadieron marcadores de fogatas a algunos mapas.</v>
      </c>
      <c r="F83" s="45" t="str">
        <f>IFERROR(__xludf.DUMMYFUNCTION("GOOGLETRANSLATE(A83,""zh-tw"",""KO"")"),"2025년 2월 3일~4일: 타락한 자들의 은신처 지도 이미지를 추가하고, 일부 지도에 모닥불 표시를 추가했습니다.")</f>
        <v>2025년 2월 3일~4일: 타락한 자들의 은신처 지도 이미지를 추가하고, 일부 지도에 모닥불 표시를 추가했습니다.</v>
      </c>
      <c r="G83" s="90" t="s">
        <v>520</v>
      </c>
      <c r="H83" s="45" t="str">
        <f>IFERROR(__xludf.DUMMYFUNCTION("GOOGLETRANSLATE(A83,""zh-tw"",""RU"")"),"3-4 февраля 2025 г.: Добавлены изображения карты Святилища Павших; на некоторые карты добавлены маркеры костра.")</f>
        <v>3-4 февраля 2025 г.: Добавлены изображения карты Святилища Павших; на некоторые карты добавлены маркеры костра.</v>
      </c>
      <c r="I83" s="45" t="str">
        <f>IFERROR(__xludf.DUMMYFUNCTION("GOOGLETRANSLATE(A83,""zh-tw"",""DE"")"),"3.-4. Februar 2025: Kartenbilder für das Gefallene Heiligtum hinzugefügt; Lagerfeuermarkierungen auf einigen Karten hinzugefügt.")</f>
        <v>3.-4. Februar 2025: Kartenbilder für das Gefallene Heiligtum hinzugefügt; Lagerfeuermarkierungen auf einigen Karten hinzugefügt.</v>
      </c>
      <c r="J83" s="89" t="s">
        <v>521</v>
      </c>
      <c r="K83" s="8" t="s">
        <v>522</v>
      </c>
      <c r="L83" s="8" t="s">
        <v>523</v>
      </c>
      <c r="M83" s="87"/>
      <c r="N83" s="87"/>
      <c r="O83" s="87"/>
      <c r="P83" s="87"/>
      <c r="Q83" s="87"/>
      <c r="R83" s="87"/>
      <c r="S83" s="87"/>
      <c r="T83" s="87"/>
      <c r="U83" s="87"/>
      <c r="V83" s="87"/>
      <c r="W83" s="87"/>
      <c r="X83" s="87"/>
      <c r="Y83" s="87"/>
      <c r="Z83" s="87"/>
    </row>
    <row r="84">
      <c r="A84" s="85" t="s">
        <v>524</v>
      </c>
      <c r="B84" s="85" t="str">
        <f>IFERROR(__xludf.DUMMYFUNCTION("GOOGLETRANSLATE(A84,""zh-tw"",""ja"")"),"2025年2月2日：イベントと防具を含むバージョン0.65Aを追加しました。")</f>
        <v>2025年2月2日：イベントと防具を含むバージョン0.65Aを追加しました。</v>
      </c>
      <c r="C84" s="85" t="s">
        <v>525</v>
      </c>
      <c r="D84" s="85" t="str">
        <f>IFERROR(__xludf.DUMMYFUNCTION("GOOGLETRANSLATE(A84,""zh-tw"",""zh"")"),"2025/2/2 新增0.65A版本 事件、装甲")</f>
        <v>2025/2/2 新增0.65A版本 事件、装甲</v>
      </c>
      <c r="E84" s="45" t="str">
        <f>IFERROR(__xludf.DUMMYFUNCTION("GOOGLETRANSLATE(A84,""zh-tw"",""es-MX"")"),"2 de febrero de 2025: Se agregó la versión 0.65A, que incluye eventos y armaduras.")</f>
        <v>2 de febrero de 2025: Se agregó la versión 0.65A, que incluye eventos y armaduras.</v>
      </c>
      <c r="F84" s="45" t="str">
        <f>IFERROR(__xludf.DUMMYFUNCTION("GOOGLETRANSLATE(A84,""zh-tw"",""KO"")"),"2025년 2월 2일: 이벤트 및 갑옷을 포함한 버전 0.65A를 추가했습니다.")</f>
        <v>2025년 2월 2일: 이벤트 및 갑옷을 포함한 버전 0.65A를 추가했습니다.</v>
      </c>
      <c r="G84" s="90" t="s">
        <v>526</v>
      </c>
      <c r="H84" s="45" t="str">
        <f>IFERROR(__xludf.DUMMYFUNCTION("GOOGLETRANSLATE(A84,""zh-tw"",""RU"")"),"2 февраля 2025 г.: Добавлена ​​версия 0.65A, включающая события и броню.")</f>
        <v>2 февраля 2025 г.: Добавлена ​​версия 0.65A, включающая события и броню.</v>
      </c>
      <c r="I84" s="45" t="str">
        <f>IFERROR(__xludf.DUMMYFUNCTION("GOOGLETRANSLATE(A84,""zh-tw"",""DE"")"),"2. Februar 2025: Version 0.65A hinzugefügt, inklusive Ereignissen und Rüstungen.")</f>
        <v>2. Februar 2025: Version 0.65A hinzugefügt, inklusive Ereignissen und Rüstungen.</v>
      </c>
      <c r="J84" s="89" t="s">
        <v>527</v>
      </c>
      <c r="K84" s="8" t="s">
        <v>528</v>
      </c>
      <c r="L84" s="8" t="s">
        <v>529</v>
      </c>
      <c r="M84" s="87"/>
      <c r="N84" s="87"/>
      <c r="O84" s="87"/>
      <c r="P84" s="87"/>
      <c r="Q84" s="87"/>
      <c r="R84" s="87"/>
      <c r="S84" s="87"/>
      <c r="T84" s="87"/>
      <c r="U84" s="87"/>
      <c r="V84" s="87"/>
      <c r="W84" s="87"/>
      <c r="X84" s="87"/>
      <c r="Y84" s="87"/>
      <c r="Z84" s="87"/>
    </row>
    <row r="85">
      <c r="A85" s="85" t="s">
        <v>530</v>
      </c>
      <c r="B85" s="85" t="str">
        <f>IFERROR(__xludf.DUMMYFUNCTION("GOOGLETRANSLATE(A85,""zh-tw"",""ja"")"),"地図ライブラリ情報の更新日：2025年1月15日")</f>
        <v>地図ライブラリ情報の更新日：2025年1月15日</v>
      </c>
      <c r="C85" s="85" t="s">
        <v>531</v>
      </c>
      <c r="D85" s="85" t="str">
        <f>IFERROR(__xludf.DUMMYFUNCTION("GOOGLETRANSLATE(A85,""zh-tw"",""zh"")"),"2025/1/15 地图图库资讯更新")</f>
        <v>2025/1/15 地图图库资讯更新</v>
      </c>
      <c r="E85" s="45" t="str">
        <f>IFERROR(__xludf.DUMMYFUNCTION("GOOGLETRANSLATE(A85,""zh-tw"",""es-MX"")"),"Actualización de la información de la biblioteca de mapas el 15 de enero de 2025.")</f>
        <v>Actualización de la información de la biblioteca de mapas el 15 de enero de 2025.</v>
      </c>
      <c r="F85" s="45" t="str">
        <f>IFERROR(__xludf.DUMMYFUNCTION("GOOGLETRANSLATE(A85,""zh-tw"",""KO"")"),"지도 라이브러리 정보 업데이트 (2025년 1월 15일)")</f>
        <v>지도 라이브러리 정보 업데이트 (2025년 1월 15일)</v>
      </c>
      <c r="G85" s="90" t="s">
        <v>532</v>
      </c>
      <c r="H85" s="45" t="str">
        <f>IFERROR(__xludf.DUMMYFUNCTION("GOOGLETRANSLATE(A85,""zh-tw"",""RU"")"),"Обновление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I85" s="45" t="str">
        <f>IFERROR(__xludf.DUMMYFUNCTION("GOOGLETRANSLATE(A85,""zh-tw"",""DE"")"),"Aktualisierung der Kartenbibliotheksinformationen am 15. Januar 2025")</f>
        <v>Aktualisierung der Kartenbibliotheksinformationen am 15. Januar 2025</v>
      </c>
      <c r="J85" s="89" t="s">
        <v>533</v>
      </c>
      <c r="K85" s="8" t="s">
        <v>534</v>
      </c>
      <c r="L85" s="8" t="s">
        <v>535</v>
      </c>
      <c r="M85" s="87"/>
      <c r="N85" s="87"/>
      <c r="O85" s="87"/>
      <c r="P85" s="87"/>
      <c r="Q85" s="87"/>
      <c r="R85" s="87"/>
      <c r="S85" s="87"/>
      <c r="T85" s="87"/>
      <c r="U85" s="87"/>
      <c r="V85" s="87"/>
      <c r="W85" s="87"/>
      <c r="X85" s="87"/>
      <c r="Y85" s="87"/>
      <c r="Z85" s="87"/>
    </row>
    <row r="86">
      <c r="A86" s="85" t="s">
        <v>536</v>
      </c>
      <c r="B86" s="85" t="str">
        <f>IFERROR(__xludf.DUMMYFUNCTION("GOOGLETRANSLATE(A86,""zh-tw"",""ja"")"),"2025年1月13日：バージョン0.61の情報を追加しました：イベント")</f>
        <v>2025年1月13日：バージョン0.61の情報を追加しました：イベント</v>
      </c>
      <c r="C86" s="85" t="s">
        <v>537</v>
      </c>
      <c r="D86" s="85" t="str">
        <f>IFERROR(__xludf.DUMMYFUNCTION("GOOGLETRANSLATE(A86,""zh-tw"",""zh"")"),"2025/1/13 新增0.61版本资讯:事件")</f>
        <v>2025/1/13 新增0.61版本资讯:事件</v>
      </c>
      <c r="E86" s="45" t="str">
        <f>IFERROR(__xludf.DUMMYFUNCTION("GOOGLETRANSLATE(A86,""zh-tw"",""es-MX"")"),"13 de enero de 2025: Se agregó información de la versión 0.61: Eventos")</f>
        <v>13 de enero de 2025: Se agregó información de la versión 0.61: Eventos</v>
      </c>
      <c r="F86" s="45" t="str">
        <f>IFERROR(__xludf.DUMMYFUNCTION("GOOGLETRANSLATE(A86,""zh-tw"",""KO"")"),"2025년 1월 13일: 버전 0.61 정보 추가: 이벤트")</f>
        <v>2025년 1월 13일: 버전 0.61 정보 추가: 이벤트</v>
      </c>
      <c r="G86" s="90" t="s">
        <v>538</v>
      </c>
      <c r="H86" s="45" t="str">
        <f>IFERROR(__xludf.DUMMYFUNCTION("GOOGLETRANSLATE(A86,""zh-tw"",""RU"")"),"13 января 2025 г.: Добавлена ​​информация о версии 0.61: События")</f>
        <v>13 января 2025 г.: Добавлена ​​информация о версии 0.61: События</v>
      </c>
      <c r="I86" s="45" t="str">
        <f>IFERROR(__xludf.DUMMYFUNCTION("GOOGLETRANSLATE(A86,""zh-tw"",""DE"")"),"13. Januar 2025: Informationen zu Version 0.61 hinzugefügt: Ereignisse")</f>
        <v>13. Januar 2025: Informationen zu Version 0.61 hinzugefügt: Ereignisse</v>
      </c>
      <c r="J86" s="89" t="s">
        <v>539</v>
      </c>
      <c r="K86" s="8" t="s">
        <v>540</v>
      </c>
      <c r="L86" s="8" t="s">
        <v>541</v>
      </c>
      <c r="M86" s="87"/>
      <c r="N86" s="87"/>
      <c r="O86" s="87"/>
      <c r="P86" s="87"/>
      <c r="Q86" s="87"/>
      <c r="R86" s="87"/>
      <c r="S86" s="87"/>
      <c r="T86" s="87"/>
      <c r="U86" s="87"/>
      <c r="V86" s="87"/>
      <c r="W86" s="87"/>
      <c r="X86" s="87"/>
      <c r="Y86" s="87"/>
      <c r="Z86" s="87"/>
    </row>
    <row r="87">
      <c r="A87" s="85" t="s">
        <v>542</v>
      </c>
      <c r="B87" s="85" t="str">
        <f>IFERROR(__xludf.DUMMYFUNCTION("GOOGLETRANSLATE(A87,""zh-tw"",""ja"")"),"2025年1月6日：バージョン0.6Cの情報を追加しました：アーマー")</f>
        <v>2025年1月6日：バージョン0.6Cの情報を追加しました：アーマー</v>
      </c>
      <c r="C87" s="85" t="s">
        <v>543</v>
      </c>
      <c r="D87" s="85" t="str">
        <f>IFERROR(__xludf.DUMMYFUNCTION("GOOGLETRANSLATE(A87,""zh-tw"",""zh"")"),"2025/1/6 新增0.6C版本资讯:装甲")</f>
        <v>2025/1/6 新增0.6C版本资讯:装甲</v>
      </c>
      <c r="E87" s="45" t="str">
        <f>IFERROR(__xludf.DUMMYFUNCTION("GOOGLETRANSLATE(A87,""zh-tw"",""es-MX"")"),"6 de enero de 2025: Se agregó información de la versión 0.6C: Armadura")</f>
        <v>6 de enero de 2025: Se agregó información de la versión 0.6C: Armadura</v>
      </c>
      <c r="F87" s="45" t="str">
        <f>IFERROR(__xludf.DUMMYFUNCTION("GOOGLETRANSLATE(A87,""zh-tw"",""KO"")"),"2025년 1월 6일: 0.6C 버전 정보 추가: 갑옷")</f>
        <v>2025년 1월 6일: 0.6C 버전 정보 추가: 갑옷</v>
      </c>
      <c r="G87" s="90" t="s">
        <v>544</v>
      </c>
      <c r="H87" s="45" t="str">
        <f>IFERROR(__xludf.DUMMYFUNCTION("GOOGLETRANSLATE(A87,""zh-tw"",""RU"")"),"6 января 2025 г.: Добавлена ​​информация о версии 0.6C: Броня")</f>
        <v>6 января 2025 г.: Добавлена ​​информация о версии 0.6C: Броня</v>
      </c>
      <c r="I87" s="45" t="str">
        <f>IFERROR(__xludf.DUMMYFUNCTION("GOOGLETRANSLATE(A87,""zh-tw"",""DE"")"),"6. Januar 2025: Versionsinformationen 0.6C hinzugefügt: Armor")</f>
        <v>6. Januar 2025: Versionsinformationen 0.6C hinzugefügt: Armor</v>
      </c>
      <c r="J87" s="89" t="s">
        <v>545</v>
      </c>
      <c r="K87" s="8" t="s">
        <v>546</v>
      </c>
      <c r="L87" s="8" t="s">
        <v>547</v>
      </c>
      <c r="M87" s="87"/>
      <c r="N87" s="87"/>
      <c r="O87" s="87"/>
      <c r="P87" s="87"/>
      <c r="Q87" s="87"/>
      <c r="R87" s="87"/>
      <c r="S87" s="87"/>
      <c r="T87" s="87"/>
      <c r="U87" s="87"/>
      <c r="V87" s="87"/>
      <c r="W87" s="87"/>
      <c r="X87" s="87"/>
      <c r="Y87" s="87"/>
      <c r="Z87" s="87"/>
    </row>
    <row r="88">
      <c r="A88" s="85" t="s">
        <v>548</v>
      </c>
      <c r="B88" s="85" t="str">
        <f>IFERROR(__xludf.DUMMYFUNCTION("GOOGLETRANSLATE(A88,""zh-tw"",""ja"")"),"2025年1月5日：バージョン0.6Bの情報を追加：イベント")</f>
        <v>2025年1月5日：バージョン0.6Bの情報を追加：イベント</v>
      </c>
      <c r="C88" s="85" t="s">
        <v>549</v>
      </c>
      <c r="D88" s="85" t="str">
        <f>IFERROR(__xludf.DUMMYFUNCTION("GOOGLETRANSLATE(A88,""zh-tw"",""zh"")"),"2025/1/5 新增0.6B版本资讯:事件")</f>
        <v>2025/1/5 新增0.6B版本资讯:事件</v>
      </c>
      <c r="E88" s="45" t="str">
        <f>IFERROR(__xludf.DUMMYFUNCTION("GOOGLETRANSLATE(A88,""zh-tw"",""es-MX"")"),"5 de enero de 2025: Se agregó información de la versión 0.6B: Eventos")</f>
        <v>5 de enero de 2025: Se agregó información de la versión 0.6B: Eventos</v>
      </c>
      <c r="F88" s="45" t="str">
        <f>IFERROR(__xludf.DUMMYFUNCTION("GOOGLETRANSLATE(A88,""zh-tw"",""KO"")"),"2025년 1월 5일: 버전 0.6B 정보 추가: 이벤트")</f>
        <v>2025년 1월 5일: 버전 0.6B 정보 추가: 이벤트</v>
      </c>
      <c r="G88" s="90" t="s">
        <v>550</v>
      </c>
      <c r="H88" s="45" t="str">
        <f>IFERROR(__xludf.DUMMYFUNCTION("GOOGLETRANSLATE(A88,""zh-tw"",""RU"")"),"5 января 2025 г.: Добавлена ​​информация о версии 0.6B: События")</f>
        <v>5 января 2025 г.: Добавлена ​​информация о версии 0.6B: События</v>
      </c>
      <c r="I88" s="45" t="str">
        <f>IFERROR(__xludf.DUMMYFUNCTION("GOOGLETRANSLATE(A88,""zh-tw"",""DE"")"),"5. Januar 2025: Informationen zu Version 0.6B hinzugefügt: Ereignisse")</f>
        <v>5. Januar 2025: Informationen zu Version 0.6B hinzugefügt: Ereignisse</v>
      </c>
      <c r="J88" s="89" t="s">
        <v>551</v>
      </c>
      <c r="K88" s="8" t="s">
        <v>552</v>
      </c>
      <c r="L88" s="8" t="s">
        <v>553</v>
      </c>
      <c r="M88" s="87"/>
      <c r="N88" s="87"/>
      <c r="O88" s="87"/>
      <c r="P88" s="87"/>
      <c r="Q88" s="87"/>
      <c r="R88" s="87"/>
      <c r="S88" s="87"/>
      <c r="T88" s="87"/>
      <c r="U88" s="87"/>
      <c r="V88" s="87"/>
      <c r="W88" s="87"/>
      <c r="X88" s="87"/>
      <c r="Y88" s="87"/>
      <c r="Z88" s="87"/>
    </row>
    <row r="89">
      <c r="A89" s="85" t="s">
        <v>554</v>
      </c>
      <c r="B89" s="85" t="str">
        <f>IFERROR(__xludf.DUMMYFUNCTION("GOOGLETRANSLATE(A89,""zh-tw"",""ja"")"),"2025年1月3日：バージョン0.6Aの情報を追加：イベント")</f>
        <v>2025年1月3日：バージョン0.6Aの情報を追加：イベント</v>
      </c>
      <c r="C89" s="85" t="s">
        <v>555</v>
      </c>
      <c r="D89" s="85" t="str">
        <f>IFERROR(__xludf.DUMMYFUNCTION("GOOGLETRANSLATE(A89,""zh-tw"",""zh"")"),"2025/1/3 新增0.6A版本资讯:事件")</f>
        <v>2025/1/3 新增0.6A版本资讯:事件</v>
      </c>
      <c r="E89" s="45" t="str">
        <f>IFERROR(__xludf.DUMMYFUNCTION("GOOGLETRANSLATE(A89,""zh-tw"",""es-MX"")"),"3 de enero de 2025: Se agregó información para la versión 0.6A: Eventos")</f>
        <v>3 de enero de 2025: Se agregó información para la versión 0.6A: Eventos</v>
      </c>
      <c r="F89" s="45" t="str">
        <f>IFERROR(__xludf.DUMMYFUNCTION("GOOGLETRANSLATE(A89,""zh-tw"",""KO"")"),"2025년 1월 3일: 버전 0.6A에 대한 정보 추가: 이벤트")</f>
        <v>2025년 1월 3일: 버전 0.6A에 대한 정보 추가: 이벤트</v>
      </c>
      <c r="G89" s="90" t="s">
        <v>556</v>
      </c>
      <c r="H89" s="45" t="str">
        <f>IFERROR(__xludf.DUMMYFUNCTION("GOOGLETRANSLATE(A89,""zh-tw"",""RU"")"),"3 января 2025 г.: Добавлена ​​информация для версии 0.6A: События")</f>
        <v>3 января 2025 г.: Добавлена ​​информация для версии 0.6A: События</v>
      </c>
      <c r="I89" s="45" t="str">
        <f>IFERROR(__xludf.DUMMYFUNCTION("GOOGLETRANSLATE(A89,""zh-tw"",""DE"")"),"3. Januar 2025: Informationen für Version 0.6A hinzugefügt: Ereignisse")</f>
        <v>3. Januar 2025: Informationen für Version 0.6A hinzugefügt: Ereignisse</v>
      </c>
      <c r="J89" s="89" t="s">
        <v>557</v>
      </c>
      <c r="K89" s="8" t="s">
        <v>558</v>
      </c>
      <c r="L89" s="8" t="s">
        <v>559</v>
      </c>
      <c r="M89" s="87"/>
      <c r="N89" s="87"/>
      <c r="O89" s="87"/>
      <c r="P89" s="87"/>
      <c r="Q89" s="87"/>
      <c r="R89" s="87"/>
      <c r="S89" s="87"/>
      <c r="T89" s="87"/>
      <c r="U89" s="87"/>
      <c r="V89" s="87"/>
      <c r="W89" s="87"/>
      <c r="X89" s="87"/>
      <c r="Y89" s="87"/>
      <c r="Z89" s="87"/>
    </row>
    <row r="90">
      <c r="A90" s="85" t="s">
        <v>560</v>
      </c>
      <c r="B90" s="85" t="str">
        <f>IFERROR(__xludf.DUMMYFUNCTION("GOOGLETRANSLATE(A90,""zh-tw"",""ja"")"),"2025/1/2 バージョン0.6の情報を追加しました")</f>
        <v>2025/1/2 バージョン0.6の情報を追加しました</v>
      </c>
      <c r="C90" s="85" t="s">
        <v>561</v>
      </c>
      <c r="D90" s="85" t="str">
        <f>IFERROR(__xludf.DUMMYFUNCTION("GOOGLETRANSLATE(A90,""zh-tw"",""zh"")"),"2025/1/2 新增0.6版本资讯")</f>
        <v>2025/1/2 新增0.6版本资讯</v>
      </c>
      <c r="E90" s="45" t="str">
        <f>IFERROR(__xludf.DUMMYFUNCTION("GOOGLETRANSLATE(A90,""zh-tw"",""es-MX"")"),"2 de enero de 2025: Se agregó información de la versión 0.6.")</f>
        <v>2 de enero de 2025: Se agregó información de la versión 0.6.</v>
      </c>
      <c r="F90" s="45" t="str">
        <f>IFERROR(__xludf.DUMMYFUNCTION("GOOGLETRANSLATE(A90,""zh-tw"",""KO"")"),"2025년 1월 2일 버전 0.6 정보 추가")</f>
        <v>2025년 1월 2일 버전 0.6 정보 추가</v>
      </c>
      <c r="G90" s="90" t="s">
        <v>562</v>
      </c>
      <c r="H90" s="45" t="str">
        <f>IFERROR(__xludf.DUMMYFUNCTION("GOOGLETRANSLATE(A90,""zh-tw"",""RU"")"),"02.01.2025 Добавлена ​​информация о версии 0.6")</f>
        <v>02.01.2025 Добавлена ​​информация о версии 0.6</v>
      </c>
      <c r="I90" s="45" t="str">
        <f>IFERROR(__xludf.DUMMYFUNCTION("GOOGLETRANSLATE(A90,""zh-tw"",""DE"")"),"2025/1/2 Informationen zu Version 0.6 hinzugefügt")</f>
        <v>2025/1/2 Informationen zu Version 0.6 hinzugefügt</v>
      </c>
      <c r="J90" s="89" t="s">
        <v>563</v>
      </c>
      <c r="K90" s="8" t="s">
        <v>564</v>
      </c>
      <c r="L90" s="8" t="s">
        <v>565</v>
      </c>
      <c r="M90" s="87"/>
      <c r="N90" s="87"/>
      <c r="O90" s="87"/>
      <c r="P90" s="87"/>
      <c r="Q90" s="87"/>
      <c r="R90" s="87"/>
      <c r="S90" s="87"/>
      <c r="T90" s="87"/>
      <c r="U90" s="87"/>
      <c r="V90" s="87"/>
      <c r="W90" s="87"/>
      <c r="X90" s="87"/>
      <c r="Y90" s="87"/>
      <c r="Z90" s="87"/>
    </row>
    <row r="91">
      <c r="A91" s="85" t="s">
        <v>566</v>
      </c>
      <c r="B91" s="85" t="str">
        <f>IFERROR(__xludf.DUMMYFUNCTION("GOOGLETRANSLATE(A91,""zh-tw"",""ja"")"),"2024年12月25日：新しいヒントを追加し、一部のテキストを修正しました。初期マップの作成が完了しました。")</f>
        <v>2024年12月25日：新しいヒントを追加し、一部のテキストを修正しました。初期マップの作成が完了しました。</v>
      </c>
      <c r="C91" s="85" t="s">
        <v>567</v>
      </c>
      <c r="D91" s="85" t="str">
        <f>IFERROR(__xludf.DUMMYFUNCTION("GOOGLETRANSLATE(A91,""zh-tw"",""zh"")"),"2024/12/25 新增提示与部分文本修正、地图制作初步完成")</f>
        <v>2024/12/25 新增提示与部分文本修正、地图制作初步完成</v>
      </c>
      <c r="E91" s="45" t="str">
        <f>IFERROR(__xludf.DUMMYFUNCTION("GOOGLETRANSLATE(A91,""zh-tw"",""es-MX"")"),"25 de diciembre de 2024: Se añadieron nuevas pistas y se corrigió parte del texto; se completó la creación inicial del mapa.")</f>
        <v>25 de diciembre de 2024: Se añadieron nuevas pistas y se corrigió parte del texto; se completó la creación inicial del mapa.</v>
      </c>
      <c r="F91" s="45" t="str">
        <f>IFERROR(__xludf.DUMMYFUNCTION("GOOGLETRANSLATE(A91,""zh-tw"",""KO"")"),"2024년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91" s="90" t="s">
        <v>568</v>
      </c>
      <c r="H91" s="45" t="str">
        <f>IFERROR(__xludf.DUMMYFUNCTION("GOOGLETRANSLATE(A91,""zh-tw"",""RU"")"),"25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I91" s="45" t="str">
        <f>IFERROR(__xludf.DUMMYFUNCTION("GOOGLETRANSLATE(A91,""zh-tw"",""DE"")"),"25. Dezember 2024: Neue Hinweise hinzugefügt und einige Textpassagen korrigiert; Erstellung der ersten Karte abgeschlossen.")</f>
        <v>25. Dezember 2024: Neue Hinweise hinzugefügt und einige Textpassagen korrigiert; Erstellung der ersten Karte abgeschlossen.</v>
      </c>
      <c r="J91" s="89" t="s">
        <v>569</v>
      </c>
      <c r="K91" s="8" t="s">
        <v>570</v>
      </c>
      <c r="L91" s="8" t="s">
        <v>571</v>
      </c>
      <c r="M91" s="87"/>
      <c r="N91" s="87"/>
      <c r="O91" s="87"/>
      <c r="P91" s="87"/>
      <c r="Q91" s="87"/>
      <c r="R91" s="87"/>
      <c r="S91" s="87"/>
      <c r="T91" s="87"/>
      <c r="U91" s="87"/>
      <c r="V91" s="87"/>
      <c r="W91" s="87"/>
      <c r="X91" s="87"/>
      <c r="Y91" s="87"/>
      <c r="Z91" s="87"/>
    </row>
    <row r="92">
      <c r="A92" s="85" t="s">
        <v>572</v>
      </c>
      <c r="B92" s="85" t="str">
        <f>IFERROR(__xludf.DUMMYFUNCTION("GOOGLETRANSLATE(A92,""zh-tw"",""ja"")"),"2024/12/2 0.55情報を追加 - イベント")</f>
        <v>2024/12/2 0.55情報を追加 - イベント</v>
      </c>
      <c r="C92" s="85" t="s">
        <v>573</v>
      </c>
      <c r="D92" s="85" t="str">
        <f>IFERROR(__xludf.DUMMYFUNCTION("GOOGLETRANSLATE(A92,""zh-tw"",""zh"")"),"2024/12/2 新增0.55资讯-事件")</f>
        <v>2024/12/2 新增0.55资讯-事件</v>
      </c>
      <c r="E92" s="45" t="str">
        <f>IFERROR(__xludf.DUMMYFUNCTION("GOOGLETRANSLATE(A92,""zh-tw"",""es-MX"")"),"2 de diciembre de 2024 Se agregó información de 0.55 - evento")</f>
        <v>2 de diciembre de 2024 Se agregó información de 0.55 - evento</v>
      </c>
      <c r="F92" s="45" t="str">
        <f>IFERROR(__xludf.DUMMYFUNCTION("GOOGLETRANSLATE(A92,""zh-tw"",""KO"")"),"2024년 12월 2일 이벤트 정보 0.55개 추가")</f>
        <v>2024년 12월 2일 이벤트 정보 0.55개 추가</v>
      </c>
      <c r="G92" s="90" t="s">
        <v>574</v>
      </c>
      <c r="H92" s="45" t="str">
        <f>IFERROR(__xludf.DUMMYFUNCTION("GOOGLETRANSLATE(A92,""zh-tw"",""RU"")"),"02.12.2024 Добавлено 0,55 информации - событие")</f>
        <v>02.12.2024 Добавлено 0,55 информации - событие</v>
      </c>
      <c r="I92" s="45" t="str">
        <f>IFERROR(__xludf.DUMMYFUNCTION("GOOGLETRANSLATE(A92,""zh-tw"",""DE"")"),"02.12.2024: Informationen (0,55) hinzugefügt – Ereignis")</f>
        <v>02.12.2024: Informationen (0,55) hinzugefügt – Ereignis</v>
      </c>
      <c r="J92" s="89" t="s">
        <v>575</v>
      </c>
      <c r="K92" s="8" t="s">
        <v>576</v>
      </c>
      <c r="L92" s="8" t="s">
        <v>577</v>
      </c>
      <c r="M92" s="87"/>
      <c r="N92" s="87"/>
      <c r="O92" s="87"/>
      <c r="P92" s="87"/>
      <c r="Q92" s="87"/>
      <c r="R92" s="87"/>
      <c r="S92" s="87"/>
      <c r="T92" s="87"/>
      <c r="U92" s="87"/>
      <c r="V92" s="87"/>
      <c r="W92" s="87"/>
      <c r="X92" s="87"/>
      <c r="Y92" s="87"/>
      <c r="Z92" s="87"/>
    </row>
    <row r="93">
      <c r="A93" s="85" t="s">
        <v>578</v>
      </c>
      <c r="B93" s="85" t="str">
        <f>IFERROR(__xludf.DUMMYFUNCTION("GOOGLETRANSLATE(A93,""zh-tw"",""ja"")"),"遺跡関連の地図を2024年11月29日に追加しました")</f>
        <v>遺跡関連の地図を2024年11月29日に追加しました</v>
      </c>
      <c r="C93" s="85" t="s">
        <v>579</v>
      </c>
      <c r="D93" s="85" t="str">
        <f>IFERROR(__xludf.DUMMYFUNCTION("GOOGLETRANSLATE(A93,""zh-tw"",""zh"")"),"2024/11/29 新增遗迹相关地图")</f>
        <v>2024/11/29 新增遗迹相关地图</v>
      </c>
      <c r="E93" s="45" t="str">
        <f>IFERROR(__xludf.DUMMYFUNCTION("GOOGLETRANSLATE(A93,""zh-tw"",""es-MX"")"),"Mapas relacionados con ruinas añadidos el 29/11/2024")</f>
        <v>Mapas relacionados con ruinas añadidos el 29/11/2024</v>
      </c>
      <c r="F93" s="45" t="str">
        <f>IFERROR(__xludf.DUMMYFUNCTION("GOOGLETRANSLATE(A93,""zh-tw"",""KO"")"),"2024년 11월 29일에 유적 관련 지도를 추가했습니다.")</f>
        <v>2024년 11월 29일에 유적 관련 지도를 추가했습니다.</v>
      </c>
      <c r="G93" s="90" t="s">
        <v>580</v>
      </c>
      <c r="H93" s="45" t="str">
        <f>IFERROR(__xludf.DUMMYFUNCTION("GOOGLETRANSLATE(A93,""zh-tw"",""RU"")"),"Добавлены карты, связанные с руинами, 29.11.2024.")</f>
        <v>Добавлены карты, связанные с руинами, 29.11.2024.</v>
      </c>
      <c r="I93" s="45" t="str">
        <f>IFERROR(__xludf.DUMMYFUNCTION("GOOGLETRANSLATE(A93,""zh-tw"",""DE"")"),"Am 29.11.2024 wurden Karten mit Bezug zu Ruinen hinzugefügt.")</f>
        <v>Am 29.11.2024 wurden Karten mit Bezug zu Ruinen hinzugefügt.</v>
      </c>
      <c r="J93" s="89" t="s">
        <v>581</v>
      </c>
      <c r="K93" s="8" t="s">
        <v>582</v>
      </c>
      <c r="L93" s="8" t="s">
        <v>583</v>
      </c>
      <c r="M93" s="87"/>
      <c r="N93" s="87"/>
      <c r="O93" s="87"/>
      <c r="P93" s="87"/>
      <c r="Q93" s="87"/>
      <c r="R93" s="87"/>
      <c r="S93" s="87"/>
      <c r="T93" s="87"/>
      <c r="U93" s="87"/>
      <c r="V93" s="87"/>
      <c r="W93" s="87"/>
      <c r="X93" s="87"/>
      <c r="Y93" s="87"/>
      <c r="Z93" s="87"/>
    </row>
    <row r="94">
      <c r="A94" s="85" t="s">
        <v>584</v>
      </c>
      <c r="B94" s="85" t="str">
        <f>IFERROR(__xludf.DUMMYFUNCTION("GOOGLETRANSLATE(A94,""zh-tw"",""ja"")"),"2024/11/24 バージョン0.5Cコンテンツを追加 - イベント、モンスター情報、ヒント")</f>
        <v>2024/11/24 バージョン0.5Cコンテンツを追加 - イベント、モンスター情報、ヒント</v>
      </c>
      <c r="C94" s="85" t="s">
        <v>585</v>
      </c>
      <c r="D94" s="85" t="str">
        <f>IFERROR(__xludf.DUMMYFUNCTION("GOOGLETRANSLATE(A94,""zh-tw"",""zh"")"),"2024/11/24 新增0.5C版本内容-事件、怪物资讯、提示")</f>
        <v>2024/11/24 新增0.5C版本内容-事件、怪物资讯、提示</v>
      </c>
      <c r="E94" s="45" t="str">
        <f>IFERROR(__xludf.DUMMYFUNCTION("GOOGLETRANSLATE(A94,""zh-tw"",""es-MX"")"),"24/11/2024 Se agregó contenido de la versión 0.5C: Eventos, Información de monstruos, Consejos")</f>
        <v>24/11/2024 Se agregó contenido de la versión 0.5C: Eventos, Información de monstruos, Consejos</v>
      </c>
      <c r="F94" s="45" t="str">
        <f>IFERROR(__xludf.DUMMYFUNCTION("GOOGLETRANSLATE(A94,""zh-tw"",""KO"")"),"2024년 11월 24일 0.5C 버전 콘텐츠 추가 - 이벤트, 몬스터 정보, 팁")</f>
        <v>2024년 11월 24일 0.5C 버전 콘텐츠 추가 - 이벤트, 몬스터 정보, 팁</v>
      </c>
      <c r="G94" s="90" t="s">
        <v>586</v>
      </c>
      <c r="H94" s="45" t="str">
        <f>IFERROR(__xludf.DUMMYFUNCTION("GOOGLETRANSLATE(A94,""zh-tw"",""RU"")"),"24.11.2024 Добавлен контент версии 0.5C — События, информация о монстрах, советы.")</f>
        <v>24.11.2024 Добавлен контент версии 0.5C — События, информация о монстрах, советы.</v>
      </c>
      <c r="I94" s="45" t="str">
        <f>IFERROR(__xludf.DUMMYFUNCTION("GOOGLETRANSLATE(A94,""zh-tw"",""DE"")"),"24.11.2024: Inhalte der Version 0.5C hinzugefügt – Ereignisse, Monsterinformationen, Tipps")</f>
        <v>24.11.2024: Inhalte der Version 0.5C hinzugefügt – Ereignisse, Monsterinformationen, Tipps</v>
      </c>
      <c r="J94" s="89" t="s">
        <v>587</v>
      </c>
      <c r="K94" s="8" t="s">
        <v>588</v>
      </c>
      <c r="L94" s="8" t="s">
        <v>589</v>
      </c>
      <c r="M94" s="87"/>
      <c r="N94" s="87"/>
      <c r="O94" s="87"/>
      <c r="P94" s="87"/>
      <c r="Q94" s="87"/>
      <c r="R94" s="87"/>
      <c r="S94" s="87"/>
      <c r="T94" s="87"/>
      <c r="U94" s="87"/>
      <c r="V94" s="87"/>
      <c r="W94" s="87"/>
      <c r="X94" s="87"/>
      <c r="Y94" s="87"/>
      <c r="Z94" s="87"/>
    </row>
    <row r="95">
      <c r="A95" s="85" t="s">
        <v>590</v>
      </c>
      <c r="B95" s="85" t="str">
        <f>IFERROR(__xludf.DUMMYFUNCTION("GOOGLETRANSLATE(A95,""zh-tw"",""ja"")"),"2024年11月22日にバージョン0.5Bのコンテンツを追加しました - イベント/通知")</f>
        <v>2024年11月22日にバージョン0.5Bのコンテンツを追加しました - イベント/通知</v>
      </c>
      <c r="C95" s="85" t="s">
        <v>591</v>
      </c>
      <c r="D95" s="85" t="str">
        <f>IFERROR(__xludf.DUMMYFUNCTION("GOOGLETRANSLATE(A95,""zh-tw"",""zh"")"),"2024/11/22 新增0.5B版本内容-事件/提示")</f>
        <v>2024/11/22 新增0.5B版本内容-事件/提示</v>
      </c>
      <c r="E95" s="45" t="str">
        <f>IFERROR(__xludf.DUMMYFUNCTION("GOOGLETRANSLATE(A95,""zh-tw"",""es-MX"")"),"Se agregó el contenido de la versión 0.5B el 22/11/2024 - Eventos/Notificaciones")</f>
        <v>Se agregó el contenido de la versión 0.5B el 22/11/2024 - Eventos/Notificaciones</v>
      </c>
      <c r="F95" s="45" t="str">
        <f>IFERROR(__xludf.DUMMYFUNCTION("GOOGLETRANSLATE(A95,""zh-tw"",""KO"")"),"2024년 11월 22일 버전 0.5B 콘텐츠 추가 - 이벤트/알림")</f>
        <v>2024년 11월 22일 버전 0.5B 콘텐츠 추가 - 이벤트/알림</v>
      </c>
      <c r="G95" s="90" t="s">
        <v>592</v>
      </c>
      <c r="H95" s="45" t="str">
        <f>IFERROR(__xludf.DUMMYFUNCTION("GOOGLETRANSLATE(A95,""zh-tw"",""RU"")"),"Добавлен контент версии 0.5B 22.11.2024 - События/Уведомления")</f>
        <v>Добавлен контент версии 0.5B 22.11.2024 - События/Уведомления</v>
      </c>
      <c r="I95" s="45" t="str">
        <f>IFERROR(__xludf.DUMMYFUNCTION("GOOGLETRANSLATE(A95,""zh-tw"",""DE"")"),"Inhalte der Version 0.5B wurden am 22.11.2024 hinzugefügt – Ereignisse/Benachrichtigungen")</f>
        <v>Inhalte der Version 0.5B wurden am 22.11.2024 hinzugefügt – Ereignisse/Benachrichtigungen</v>
      </c>
      <c r="J95" s="89" t="s">
        <v>593</v>
      </c>
      <c r="K95" s="8" t="s">
        <v>594</v>
      </c>
      <c r="L95" s="8" t="s">
        <v>595</v>
      </c>
      <c r="M95" s="87"/>
      <c r="N95" s="87"/>
      <c r="O95" s="87"/>
      <c r="P95" s="87"/>
      <c r="Q95" s="87"/>
      <c r="R95" s="87"/>
      <c r="S95" s="87"/>
      <c r="T95" s="87"/>
      <c r="U95" s="87"/>
      <c r="V95" s="87"/>
      <c r="W95" s="87"/>
      <c r="X95" s="87"/>
      <c r="Y95" s="87"/>
      <c r="Z95" s="87"/>
    </row>
    <row r="96">
      <c r="A96" s="85" t="s">
        <v>596</v>
      </c>
      <c r="B96" s="85" t="str">
        <f>IFERROR(__xludf.DUMMYFUNCTION("GOOGLETRANSLATE(A96,""zh-tw"",""ja"")"),"2024/11/21にMAPファイルを追加しました")</f>
        <v>2024/11/21にMAPファイルを追加しました</v>
      </c>
      <c r="C96" s="85" t="s">
        <v>597</v>
      </c>
      <c r="D96" s="85" t="s">
        <v>598</v>
      </c>
      <c r="E96" s="45" t="str">
        <f>IFERROR(__xludf.DUMMYFUNCTION("GOOGLETRANSLATE(A96,""zh-tw"",""es-MX"")"),"Archivo MAP añadido el 21/11/2024")</f>
        <v>Archivo MAP añadido el 21/11/2024</v>
      </c>
      <c r="F96" s="45" t="str">
        <f>IFERROR(__xludf.DUMMYFUNCTION("GOOGLETRANSLATE(A96,""zh-tw"",""KO"")"),"2024년 11월 21일에 MAP 파일을 추가했습니다.")</f>
        <v>2024년 11월 21일에 MAP 파일을 추가했습니다.</v>
      </c>
      <c r="G96" s="90" t="s">
        <v>599</v>
      </c>
      <c r="H96" s="45" t="str">
        <f>IFERROR(__xludf.DUMMYFUNCTION("GOOGLETRANSLATE(A96,""zh-tw"",""RU"")"),"Файл MAP добавлен 21.11.2024.")</f>
        <v>Файл MAP добавлен 21.11.2024.</v>
      </c>
      <c r="I96" s="45" t="str">
        <f>IFERROR(__xludf.DUMMYFUNCTION("GOOGLETRANSLATE(A96,""zh-tw"",""DE"")"),"MAP-Datei hinzugefügt am 21.11.2024")</f>
        <v>MAP-Datei hinzugefügt am 21.11.2024</v>
      </c>
      <c r="J96" s="89" t="s">
        <v>600</v>
      </c>
      <c r="K96" s="8" t="s">
        <v>601</v>
      </c>
      <c r="L96" s="8" t="s">
        <v>602</v>
      </c>
      <c r="M96" s="87"/>
      <c r="N96" s="87"/>
      <c r="O96" s="87"/>
      <c r="P96" s="87"/>
      <c r="Q96" s="87"/>
      <c r="R96" s="87"/>
      <c r="S96" s="87"/>
      <c r="T96" s="87"/>
      <c r="U96" s="87"/>
      <c r="V96" s="87"/>
      <c r="W96" s="87"/>
      <c r="X96" s="87"/>
      <c r="Y96" s="87"/>
      <c r="Z96" s="87"/>
    </row>
    <row r="97">
      <c r="A97" s="85" t="s">
        <v>603</v>
      </c>
      <c r="B97" s="85" t="str">
        <f>IFERROR(__xludf.DUMMYFUNCTION("GOOGLETRANSLATE(A97,""zh-tw"",""ja"")"),"2024/11/20 バージョン0.5Aコンテンツを追加 - イベント/プロンプト")</f>
        <v>2024/11/20 バージョン0.5Aコンテンツを追加 - イベント/プロンプト</v>
      </c>
      <c r="C97" s="85" t="s">
        <v>604</v>
      </c>
      <c r="D97" s="85" t="str">
        <f>IFERROR(__xludf.DUMMYFUNCTION("GOOGLETRANSLATE(A97,""zh-tw"",""zh"")"),"2024/11/20 新增0.5A版本内容-事件/提示")</f>
        <v>2024/11/20 新增0.5A版本内容-事件/提示</v>
      </c>
      <c r="E97" s="45" t="str">
        <f>IFERROR(__xludf.DUMMYFUNCTION("GOOGLETRANSLATE(A97,""zh-tw"",""es-MX"")"),"20/11/2024 Se agregó el contenido de la versión 0.5A: Eventos/Indicaciones")</f>
        <v>20/11/2024 Se agregó el contenido de la versión 0.5A: Eventos/Indicaciones</v>
      </c>
      <c r="F97" s="45" t="str">
        <f>IFERROR(__xludf.DUMMYFUNCTION("GOOGLETRANSLATE(A97,""zh-tw"",""KO"")"),"2024년 11월 20일 버전 0.5A 콘텐츠 추가 - 이벤트/프롬프트")</f>
        <v>2024년 11월 20일 버전 0.5A 콘텐츠 추가 - 이벤트/프롬프트</v>
      </c>
      <c r="G97" s="90" t="s">
        <v>605</v>
      </c>
      <c r="H97" s="45" t="str">
        <f>IFERROR(__xludf.DUMMYFUNCTION("GOOGLETRANSLATE(A97,""zh-tw"",""RU"")"),"20.11.2024 Добавлен контент версии 0.5A - События/Подсказки")</f>
        <v>20.11.2024 Добавлен контент версии 0.5A - События/Подсказки</v>
      </c>
      <c r="I97" s="45" t="str">
        <f>IFERROR(__xludf.DUMMYFUNCTION("GOOGLETRANSLATE(A97,""zh-tw"",""DE"")"),"20.11.2024: Inhalt der Version 0.5A hinzugefügt – Ereignisse/Aufforderungen")</f>
        <v>20.11.2024: Inhalt der Version 0.5A hinzugefügt – Ereignisse/Aufforderungen</v>
      </c>
      <c r="J97" s="89" t="s">
        <v>606</v>
      </c>
      <c r="K97" s="8" t="s">
        <v>607</v>
      </c>
      <c r="L97" s="8" t="s">
        <v>608</v>
      </c>
      <c r="M97" s="87"/>
      <c r="N97" s="87"/>
      <c r="O97" s="87"/>
      <c r="P97" s="87"/>
      <c r="Q97" s="87"/>
      <c r="R97" s="87"/>
      <c r="S97" s="87"/>
      <c r="T97" s="87"/>
      <c r="U97" s="87"/>
      <c r="V97" s="87"/>
      <c r="W97" s="87"/>
      <c r="X97" s="87"/>
      <c r="Y97" s="87"/>
      <c r="Z97" s="87"/>
    </row>
    <row r="98">
      <c r="A98" s="85" t="s">
        <v>609</v>
      </c>
      <c r="B98" s="85" t="str">
        <f>IFERROR(__xludf.DUMMYFUNCTION("GOOGLETRANSLATE(A98,""zh-tw"",""ja"")"),"2024年11月2日にBahamutの個人作品から転載：https://home.gamer.com.tw/artwork.php?sn=6032493")</f>
        <v>2024年11月2日にBahamutの個人作品から転載：https://home.gamer.com.tw/artwork.php?sn=6032493</v>
      </c>
      <c r="C98" s="91" t="s">
        <v>610</v>
      </c>
      <c r="D98" s="85" t="str">
        <f>IFERROR(__xludf.DUMMYFUNCTION("GOOGLETRANSLATE(A98,""zh-tw"",""zh"")"),"2024/11/2 转载至巴哈姆特个人创作https://home.gamer.com.tw/artwork.php?sn=6032493")</f>
        <v>2024/11/2 转载至巴哈姆特个人创作https://home.gamer.com.tw/artwork.php?sn=6032493</v>
      </c>
      <c r="E98" s="45" t="str">
        <f>IFERROR(__xludf.DUMMYFUNCTION("GOOGLETRANSLATE(A98,""zh-tw"",""es-MX"")"),"Republicado de las creaciones personales de Bahamut el 2 de noviembre de 2024: https://home.gamer.com.tw/artwork.php?sn=6032493")</f>
        <v>Republicado de las creaciones personales de Bahamut el 2 de noviembre de 2024: https://home.gamer.com.tw/artwork.php?sn=6032493</v>
      </c>
      <c r="F98" s="45" t="str">
        <f>IFERROR(__xludf.DUMMYFUNCTION("GOOGLETRANSLATE(A98,""zh-tw"",""KO"")"),"2024년 11월 2일 Bahamut의 개인 창작물에서 다시 게시됨: https://home.gamer.com.tw/artwork.php?sn=6032493")</f>
        <v>2024년 11월 2일 Bahamut의 개인 창작물에서 다시 게시됨: https://home.gamer.com.tw/artwork.php?sn=6032493</v>
      </c>
      <c r="G98" s="92" t="s">
        <v>611</v>
      </c>
      <c r="H98" s="45" t="str">
        <f>IFERROR(__xludf.DUMMYFUNCTION("GOOGLETRANSLATE(A98,""zh-tw"",""RU"")"),"Перепост из личных работ Бахамута от 2 ноября 2024 года: https://home.gamer.com.tw/artwork.php?sn=6032493")</f>
        <v>Перепост из личных работ Бахамута от 2 ноября 2024 года: https://home.gamer.com.tw/artwork.php?sn=6032493</v>
      </c>
      <c r="I98" s="45" t="str">
        <f>IFERROR(__xludf.DUMMYFUNCTION("GOOGLETRANSLATE(A98,""zh-tw"",""DE"")"),"Neu veröffentlicht von Bahamuts persönlichen Kreationen am 2. November 2024: https://home.gamer.com.tw/artwork.php?sn=6032493")</f>
        <v>Neu veröffentlicht von Bahamuts persönlichen Kreationen am 2. November 2024: https://home.gamer.com.tw/artwork.php?sn=6032493</v>
      </c>
      <c r="J98" s="89" t="s">
        <v>612</v>
      </c>
      <c r="K98" s="93" t="s">
        <v>613</v>
      </c>
      <c r="L98" s="8" t="s">
        <v>614</v>
      </c>
      <c r="M98" s="87"/>
      <c r="N98" s="87"/>
      <c r="O98" s="87"/>
      <c r="P98" s="87"/>
      <c r="Q98" s="87"/>
      <c r="R98" s="87"/>
      <c r="S98" s="87"/>
      <c r="T98" s="87"/>
      <c r="U98" s="87"/>
      <c r="V98" s="87"/>
      <c r="W98" s="87"/>
      <c r="X98" s="87"/>
      <c r="Y98" s="87"/>
      <c r="Z98" s="87"/>
    </row>
    <row r="99">
      <c r="A99" s="85" t="s">
        <v>615</v>
      </c>
      <c r="B99" s="85" t="str">
        <f>IFERROR(__xludf.DUMMYFUNCTION("GOOGLETRANSLATE(A99,""zh-tw"",""ja"")"),"2024年11月2日：バージョン0.45のコンテンツ（イベント／通知）を追加しました。")</f>
        <v>2024年11月2日：バージョン0.45のコンテンツ（イベント／通知）を追加しました。</v>
      </c>
      <c r="C99" s="85" t="s">
        <v>616</v>
      </c>
      <c r="D99" s="85" t="str">
        <f>IFERROR(__xludf.DUMMYFUNCTION("GOOGLETRANSLATE(A99,""zh-tw"",""zh"")"),"2024/11/2 新增0.45版本内容-事件/提示")</f>
        <v>2024/11/2 新增0.45版本内容-事件/提示</v>
      </c>
      <c r="E99" s="45" t="str">
        <f>IFERROR(__xludf.DUMMYFUNCTION("GOOGLETRANSLATE(A99,""zh-tw"",""es-MX"")"),"2 de noviembre de 2024: Se agregó el contenido de la versión 0.45: Eventos/Notificaciones")</f>
        <v>2 de noviembre de 2024: Se agregó el contenido de la versión 0.45: Eventos/Notificaciones</v>
      </c>
      <c r="F99" s="45" t="str">
        <f>IFERROR(__xludf.DUMMYFUNCTION("GOOGLETRANSLATE(A99,""zh-tw"",""KO"")"),"2024년 11월 2일: 버전 0.45 콘텐츠 추가 - 이벤트/알림")</f>
        <v>2024년 11월 2일: 버전 0.45 콘텐츠 추가 - 이벤트/알림</v>
      </c>
      <c r="G99" s="90" t="s">
        <v>617</v>
      </c>
      <c r="H99" s="45" t="str">
        <f>IFERROR(__xludf.DUMMYFUNCTION("GOOGLETRANSLATE(A99,""zh-tw"",""RU"")"),"2 ноября 2024 г.: Добавлен контент версии 0.45 — События/Уведомления")</f>
        <v>2 ноября 2024 г.: Добавлен контент версии 0.45 — События/Уведомления</v>
      </c>
      <c r="I99" s="45" t="str">
        <f>IFERROR(__xludf.DUMMYFUNCTION("GOOGLETRANSLATE(A99,""zh-tw"",""DE"")"),"2. November 2024: Inhalt der Version 0.45 hinzugefügt – Ereignisse/Benachrichtigungen")</f>
        <v>2. November 2024: Inhalt der Version 0.45 hinzugefügt – Ereignisse/Benachrichtigungen</v>
      </c>
      <c r="J99" s="89" t="s">
        <v>618</v>
      </c>
      <c r="K99" s="8" t="s">
        <v>619</v>
      </c>
      <c r="L99" s="8" t="s">
        <v>620</v>
      </c>
      <c r="M99" s="87"/>
      <c r="N99" s="87"/>
      <c r="O99" s="87"/>
      <c r="P99" s="87"/>
      <c r="Q99" s="87"/>
      <c r="R99" s="87"/>
      <c r="S99" s="87"/>
      <c r="T99" s="87"/>
      <c r="U99" s="87"/>
      <c r="V99" s="87"/>
      <c r="W99" s="87"/>
      <c r="X99" s="87"/>
      <c r="Y99" s="87"/>
      <c r="Z99" s="87"/>
    </row>
    <row r="100">
      <c r="A100" s="85" t="s">
        <v>621</v>
      </c>
      <c r="B100" s="85" t="str">
        <f>IFERROR(__xludf.DUMMYFUNCTION("GOOGLETRANSLATE(A100,""zh-tw"",""ja"")"),"専用グラフィックカードの追加手順（2024年10月31日）")</f>
        <v>専用グラフィックカードの追加手順（2024年10月31日）</v>
      </c>
      <c r="C100" s="85" t="s">
        <v>622</v>
      </c>
      <c r="D100" s="85" t="str">
        <f>IFERROR(__xludf.DUMMYFUNCTION("GOOGLETRANSLATE(A100,""zh-tw"",""zh"")"),"2024/10/31 新增独立显卡操作说明")</f>
        <v>2024/10/31 新增独立显卡操作说明</v>
      </c>
      <c r="E100" s="45" t="str">
        <f>IFERROR(__xludf.DUMMYFUNCTION("GOOGLETRANSLATE(A100,""zh-tw"",""es-MX"")"),"Instrucciones para añadir una tarjeta gráfica dedicada (31/10/2024)")</f>
        <v>Instrucciones para añadir una tarjeta gráfica dedicada (31/10/2024)</v>
      </c>
      <c r="F100" s="45" t="str">
        <f>IFERROR(__xludf.DUMMYFUNCTION("GOOGLETRANSLATE(A100,""zh-tw"",""KO"")"),"전용 그래픽 카드 추가 방법 안내 (2024년 10월 31일)")</f>
        <v>전용 그래픽 카드 추가 방법 안내 (2024년 10월 31일)</v>
      </c>
      <c r="G100" s="90" t="s">
        <v>623</v>
      </c>
      <c r="H100" s="45" t="str">
        <f>IFERROR(__xludf.DUMMYFUNCTION("GOOGLETRANSLATE(A100,""zh-tw"",""RU"")"),"Инструкция по установке дискретной видеокарты (31.10.2024)")</f>
        <v>Инструкция по установке дискретной видеокарты (31.10.2024)</v>
      </c>
      <c r="I100" s="45" t="str">
        <f>IFERROR(__xludf.DUMMYFUNCTION("GOOGLETRANSLATE(A100,""zh-tw"",""DE"")"),"Anleitung zum Hinzufügen einer dedizierten Grafikkarte (31.10.2024)")</f>
        <v>Anleitung zum Hinzufügen einer dedizierten Grafikkarte (31.10.2024)</v>
      </c>
      <c r="J100" s="89" t="s">
        <v>624</v>
      </c>
      <c r="K100" s="8" t="s">
        <v>625</v>
      </c>
      <c r="L100" s="8" t="s">
        <v>626</v>
      </c>
      <c r="M100" s="87"/>
      <c r="N100" s="87"/>
      <c r="O100" s="87"/>
      <c r="P100" s="87"/>
      <c r="Q100" s="87"/>
      <c r="R100" s="87"/>
      <c r="S100" s="87"/>
      <c r="T100" s="87"/>
      <c r="U100" s="87"/>
      <c r="V100" s="87"/>
      <c r="W100" s="87"/>
      <c r="X100" s="87"/>
      <c r="Y100" s="87"/>
      <c r="Z100" s="87"/>
    </row>
    <row r="101">
      <c r="A101" s="85" t="s">
        <v>627</v>
      </c>
      <c r="B101" s="85" t="str">
        <f>IFERROR(__xludf.DUMMYFUNCTION("GOOGLETRANSLATE(A101,""zh-tw"",""ja"")"),"2024年10月28日に告知内容を追加しました")</f>
        <v>2024年10月28日に告知内容を追加しました</v>
      </c>
      <c r="C101" s="85" t="s">
        <v>628</v>
      </c>
      <c r="D101" s="85" t="str">
        <f>IFERROR(__xludf.DUMMYFUNCTION("GOOGLETRANSLATE(A101,""zh-tw"",""zh"")"),"2024/10/28 新增部分公告内容")</f>
        <v>2024/10/28 新增部分公告内容</v>
      </c>
      <c r="E101" s="45" t="str">
        <f>IFERROR(__xludf.DUMMYFUNCTION("GOOGLETRANSLATE(A101,""zh-tw"",""es-MX"")"),"Se agregó contenido de anuncio el 28/10/2024.")</f>
        <v>Se agregó contenido de anuncio el 28/10/2024.</v>
      </c>
      <c r="F101" s="45" t="str">
        <f>IFERROR(__xludf.DUMMYFUNCTION("GOOGLETRANSLATE(A101,""zh-tw"",""KO"")"),"2024년 10월 28일에 공지사항을 추가했습니다.")</f>
        <v>2024년 10월 28일에 공지사항을 추가했습니다.</v>
      </c>
      <c r="G101" s="90" t="s">
        <v>629</v>
      </c>
      <c r="H101" s="45" t="str">
        <f>IFERROR(__xludf.DUMMYFUNCTION("GOOGLETRANSLATE(A101,""zh-tw"",""RU"")"),"Добавлены некоторые анонсирующие материалы 28.10.2024.")</f>
        <v>Добавлены некоторые анонсирующие материалы 28.10.2024.</v>
      </c>
      <c r="I101" s="45" t="str">
        <f>IFERROR(__xludf.DUMMYFUNCTION("GOOGLETRANSLATE(A101,""zh-tw"",""DE"")"),"Am 28.10.2024 wurden einige Ankündigungsinhalte hinzugefügt.")</f>
        <v>Am 28.10.2024 wurden einige Ankündigungsinhalte hinzugefügt.</v>
      </c>
      <c r="J101" s="89" t="s">
        <v>630</v>
      </c>
      <c r="K101" s="8" t="s">
        <v>631</v>
      </c>
      <c r="L101" s="8" t="s">
        <v>632</v>
      </c>
      <c r="M101" s="87"/>
      <c r="N101" s="87"/>
      <c r="O101" s="87"/>
      <c r="P101" s="87"/>
      <c r="Q101" s="87"/>
      <c r="R101" s="87"/>
      <c r="S101" s="87"/>
      <c r="T101" s="87"/>
      <c r="U101" s="87"/>
      <c r="V101" s="87"/>
      <c r="W101" s="87"/>
      <c r="X101" s="87"/>
      <c r="Y101" s="87"/>
      <c r="Z101" s="87"/>
    </row>
    <row r="102">
      <c r="A102" s="85" t="s">
        <v>633</v>
      </c>
      <c r="B102" s="85" t="str">
        <f>IFERROR(__xludf.DUMMYFUNCTION("GOOGLETRANSLATE(A102,""zh-tw"",""ja"")"),"2024年10月24日：バージョン0.4Cコンテンツを追加 - イベント/ワールドドロップ/防具")</f>
        <v>2024年10月24日：バージョン0.4Cコンテンツを追加 - イベント/ワールドドロップ/防具</v>
      </c>
      <c r="C102" s="85" t="s">
        <v>634</v>
      </c>
      <c r="D102" s="85" t="str">
        <f>IFERROR(__xludf.DUMMYFUNCTION("GOOGLETRANSLATE(A102,""zh-tw"",""zh"")"),"2024/10/24 新增0.4C版本内容-事件/野外掉落/装甲")</f>
        <v>2024/10/24 新增0.4C版本内容-事件/野外掉落/装甲</v>
      </c>
      <c r="E102" s="45" t="str">
        <f>IFERROR(__xludf.DUMMYFUNCTION("GOOGLETRANSLATE(A102,""zh-tw"",""es-MX"")"),"24 de octubre de 2024: Se agregó contenido de la versión 0.4C: Eventos/Objetos del mundo/Armaduras")</f>
        <v>24 de octubre de 2024: Se agregó contenido de la versión 0.4C: Eventos/Objetos del mundo/Armaduras</v>
      </c>
      <c r="F102" s="45" t="str">
        <f>IFERROR(__xludf.DUMMYFUNCTION("GOOGLETRANSLATE(A102,""zh-tw"",""KO"")"),"2024년 10월 24일: 0.4C 버전 콘텐츠 추가 - 이벤트/월드 드롭/방어구")</f>
        <v>2024년 10월 24일: 0.4C 버전 콘텐츠 추가 - 이벤트/월드 드롭/방어구</v>
      </c>
      <c r="G102" s="90" t="s">
        <v>635</v>
      </c>
      <c r="H102" s="45" t="str">
        <f>IFERROR(__xludf.DUMMYFUNCTION("GOOGLETRANSLATE(A102,""zh-tw"",""RU"")"),"24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I102" s="45" t="str">
        <f>IFERROR(__xludf.DUMMYFUNCTION("GOOGLETRANSLATE(A102,""zh-tw"",""DE"")"),"24. Oktober 2024: Inhalte der Version 0.4C hinzugefügt – Events/Weltbeute/Rüstungen")</f>
        <v>24. Oktober 2024: Inhalte der Version 0.4C hinzugefügt – Events/Weltbeute/Rüstungen</v>
      </c>
      <c r="J102" s="89" t="s">
        <v>636</v>
      </c>
      <c r="K102" s="8" t="s">
        <v>637</v>
      </c>
      <c r="L102" s="8" t="s">
        <v>638</v>
      </c>
      <c r="M102" s="87"/>
      <c r="N102" s="87"/>
      <c r="O102" s="87"/>
      <c r="P102" s="87"/>
      <c r="Q102" s="87"/>
      <c r="R102" s="87"/>
      <c r="S102" s="87"/>
      <c r="T102" s="87"/>
      <c r="U102" s="87"/>
      <c r="V102" s="87"/>
      <c r="W102" s="87"/>
      <c r="X102" s="87"/>
      <c r="Y102" s="87"/>
      <c r="Z102" s="87"/>
    </row>
    <row r="103">
      <c r="A103" s="85" t="s">
        <v>639</v>
      </c>
      <c r="B103" s="85" t="str">
        <f>IFERROR(__xludf.DUMMYFUNCTION("GOOGLETRANSLATE(A103,""zh-tw"",""ja"")"),"2024年10月21日：バージョン0.4Aのコンテンツ（ドロップ/装備/ヒント）を追加しました。")</f>
        <v>2024年10月21日：バージョン0.4Aのコンテンツ（ドロップ/装備/ヒント）を追加しました。</v>
      </c>
      <c r="C103" s="85" t="s">
        <v>640</v>
      </c>
      <c r="D103" s="85" t="str">
        <f>IFERROR(__xludf.DUMMYFUNCTION("GOOGLETRANSLATE(A103,""zh-tw"",""zh"")"),"2024/10/21 新增0.4A版本内容(Drop/Equip/Tips)")</f>
        <v>2024/10/21 新增0.4A版本内容(Drop/Equip/Tips)</v>
      </c>
      <c r="E103" s="45" t="str">
        <f>IFERROR(__xludf.DUMMYFUNCTION("GOOGLETRANSLATE(A103,""zh-tw"",""es-MX"")"),"21 de octubre de 2024: Se agregó contenido de la versión 0.4A (Objetos que se obtienen al caer/Equipar/Consejos).")</f>
        <v>21 de octubre de 2024: Se agregó contenido de la versión 0.4A (Objetos que se obtienen al caer/Equipar/Consejos).</v>
      </c>
      <c r="F103" s="45" t="str">
        <f>IFERROR(__xludf.DUMMYFUNCTION("GOOGLETRANSLATE(A103,""zh-tw"",""KO"")"),"2024년 10월 21일: 버전 0.4A 콘텐츠 추가 (드롭/장착/팁)")</f>
        <v>2024년 10월 21일: 버전 0.4A 콘텐츠 추가 (드롭/장착/팁)</v>
      </c>
      <c r="G103" s="90" t="s">
        <v>641</v>
      </c>
      <c r="H103" s="45" t="str">
        <f>IFERROR(__xludf.DUMMYFUNCTION("GOOGLETRANSLATE(A103,""zh-tw"",""RU"")"),"21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I103" s="45" t="str">
        <f>IFERROR(__xludf.DUMMYFUNCTION("GOOGLETRANSLATE(A103,""zh-tw"",""DE"")"),"21. Oktober 2024: Inhalt der Version 0.4A hinzugefügt (Beute/Ausrüstung/Tipps)")</f>
        <v>21. Oktober 2024: Inhalt der Version 0.4A hinzugefügt (Beute/Ausrüstung/Tipps)</v>
      </c>
      <c r="J103" s="89" t="s">
        <v>642</v>
      </c>
      <c r="K103" s="8" t="s">
        <v>643</v>
      </c>
      <c r="L103" s="8" t="s">
        <v>644</v>
      </c>
      <c r="M103" s="87"/>
      <c r="N103" s="87"/>
      <c r="O103" s="87"/>
      <c r="P103" s="87"/>
      <c r="Q103" s="87"/>
      <c r="R103" s="87"/>
      <c r="S103" s="87"/>
      <c r="T103" s="87"/>
      <c r="U103" s="87"/>
      <c r="V103" s="87"/>
      <c r="W103" s="87"/>
      <c r="X103" s="87"/>
      <c r="Y103" s="87"/>
      <c r="Z103" s="87"/>
    </row>
    <row r="104">
      <c r="A104" s="85" t="s">
        <v>645</v>
      </c>
      <c r="B104" s="85" t="str">
        <f>IFERROR(__xludf.DUMMYFUNCTION("GOOGLETRANSLATE(A104,""zh-tw"",""ja"")"),"2024年10月15日に地図とイベント番号表を追加しました")</f>
        <v>2024年10月15日に地図とイベント番号表を追加しました</v>
      </c>
      <c r="C104" s="85" t="s">
        <v>646</v>
      </c>
      <c r="D104" s="85" t="str">
        <f>IFERROR(__xludf.DUMMYFUNCTION("GOOGLETRANSLATE(A104,""zh-tw"",""zh"")"),"2024/10/15新增地图、事件编号表")</f>
        <v>2024/10/15新增地图、事件编号表</v>
      </c>
      <c r="E104" s="45" t="str">
        <f>IFERROR(__xludf.DUMMYFUNCTION("GOOGLETRANSLATE(A104,""zh-tw"",""es-MX"")"),"Se agregó el mapa y la tabla de números de eventos el 15/10/2024.")</f>
        <v>Se agregó el mapa y la tabla de números de eventos el 15/10/2024.</v>
      </c>
      <c r="F104" s="45" t="str">
        <f>IFERROR(__xludf.DUMMYFUNCTION("GOOGLETRANSLATE(A104,""zh-tw"",""KO"")"),"2024년 10월 15일에 지도와 이벤트 번호표를 추가했습니다.")</f>
        <v>2024년 10월 15일에 지도와 이벤트 번호표를 추가했습니다.</v>
      </c>
      <c r="G104" s="90" t="s">
        <v>647</v>
      </c>
      <c r="H104" s="45" t="str">
        <f>IFERROR(__xludf.DUMMYFUNCTION("GOOGLETRANSLATE(A104,""zh-tw"",""RU"")"),"Карта и таблица номеров событий добавлены 15.10.2024.")</f>
        <v>Карта и таблица номеров событий добавлены 15.10.2024.</v>
      </c>
      <c r="I104" s="45" t="str">
        <f>IFERROR(__xludf.DUMMYFUNCTION("GOOGLETRANSLATE(A104,""zh-tw"",""DE"")"),"Karte und Ereignisnummerntabelle hinzugefügt am 15.10.2024")</f>
        <v>Karte und Ereignisnummerntabelle hinzugefügt am 15.10.2024</v>
      </c>
      <c r="J104" s="89" t="s">
        <v>648</v>
      </c>
      <c r="K104" s="8" t="s">
        <v>649</v>
      </c>
      <c r="L104" s="8" t="s">
        <v>650</v>
      </c>
      <c r="M104" s="87"/>
      <c r="N104" s="87"/>
      <c r="O104" s="87"/>
      <c r="P104" s="87"/>
      <c r="Q104" s="87"/>
      <c r="R104" s="87"/>
      <c r="S104" s="87"/>
      <c r="T104" s="87"/>
      <c r="U104" s="87"/>
      <c r="V104" s="87"/>
      <c r="W104" s="87"/>
      <c r="X104" s="87"/>
      <c r="Y104" s="87"/>
      <c r="Z104" s="87"/>
    </row>
    <row r="105">
      <c r="A105" s="85" t="s">
        <v>651</v>
      </c>
      <c r="B105" s="85" t="str">
        <f>IFERROR(__xludf.DUMMYFUNCTION("GOOGLETRANSLATE(A105,""zh-tw"",""ja"")"),"2024年10月15日に、いくつかのイベントと新しいイベント番号を追加しました。")</f>
        <v>2024年10月15日に、いくつかのイベントと新しいイベント番号を追加しました。</v>
      </c>
      <c r="C105" s="85" t="s">
        <v>652</v>
      </c>
      <c r="D105" s="85" t="str">
        <f>IFERROR(__xludf.DUMMYFUNCTION("GOOGLETRANSLATE(A105,""zh-tw"",""zh"")"),"2024/10/15新增部分事件、新增事件NO.")</f>
        <v>2024/10/15新增部分事件、新增事件NO.</v>
      </c>
      <c r="E105" s="45" t="str">
        <f>IFERROR(__xludf.DUMMYFUNCTION("GOOGLETRANSLATE(A105,""zh-tw"",""es-MX"")"),"Se añadieron algunos eventos y nuevos números de evento el 15/10/2024.")</f>
        <v>Se añadieron algunos eventos y nuevos números de evento el 15/10/2024.</v>
      </c>
      <c r="F105" s="45" t="str">
        <f>IFERROR(__xludf.DUMMYFUNCTION("GOOGLETRANSLATE(A105,""zh-tw"",""KO"")"),"2024년 10월 15일에 몇몇 이벤트와 새로운 이벤트 번호를 추가했습니다.")</f>
        <v>2024년 10월 15일에 몇몇 이벤트와 새로운 이벤트 번호를 추가했습니다.</v>
      </c>
      <c r="G105" s="90" t="s">
        <v>653</v>
      </c>
      <c r="H105" s="45" t="str">
        <f>IFERROR(__xludf.DUMMYFUNCTION("GOOGLETRANSLATE(A105,""zh-tw"",""RU"")"),"Добавлены некоторые события и новые номера событий 15.10.2024.")</f>
        <v>Добавлены некоторые события и новые номера событий 15.10.2024.</v>
      </c>
      <c r="I105" s="45" t="str">
        <f>IFERROR(__xludf.DUMMYFUNCTION("GOOGLETRANSLATE(A105,""zh-tw"",""DE"")"),"Am 15.10.2024 wurden einige Ereignisse und neue Ereignisnummern hinzugefügt.")</f>
        <v>Am 15.10.2024 wurden einige Ereignisse und neue Ereignisnummern hinzugefügt.</v>
      </c>
      <c r="J105" s="89" t="s">
        <v>654</v>
      </c>
      <c r="K105" s="8" t="s">
        <v>655</v>
      </c>
      <c r="L105" s="8" t="s">
        <v>656</v>
      </c>
      <c r="M105" s="87"/>
      <c r="N105" s="87"/>
      <c r="O105" s="87"/>
      <c r="P105" s="87"/>
      <c r="Q105" s="87"/>
      <c r="R105" s="87"/>
      <c r="S105" s="87"/>
      <c r="T105" s="87"/>
      <c r="U105" s="87"/>
      <c r="V105" s="87"/>
      <c r="W105" s="87"/>
      <c r="X105" s="87"/>
      <c r="Y105" s="87"/>
      <c r="Z105" s="87"/>
    </row>
    <row r="106">
      <c r="A106" s="85" t="s">
        <v>657</v>
      </c>
      <c r="B106" s="85" t="str">
        <f>IFERROR(__xludf.DUMMYFUNCTION("GOOGLETRANSLATE(A106,""zh-tw"",""ja"")"),"2024/10/14 書式を一部調整しました")</f>
        <v>2024/10/14 書式を一部調整しました</v>
      </c>
      <c r="C106" s="85" t="s">
        <v>658</v>
      </c>
      <c r="D106" s="85" t="str">
        <f>IFERROR(__xludf.DUMMYFUNCTION("GOOGLETRANSLATE(A106,""zh-tw"",""zh"")"),"2024/10/14 调整部分格式")</f>
        <v>2024/10/14 调整部分格式</v>
      </c>
      <c r="E106" s="45" t="str">
        <f>IFERROR(__xludf.DUMMYFUNCTION("GOOGLETRANSLATE(A106,""zh-tw"",""es-MX"")"),"14/10/2024 Se ha ajustado el formato.")</f>
        <v>14/10/2024 Se ha ajustado el formato.</v>
      </c>
      <c r="F106" s="45" t="str">
        <f>IFERROR(__xludf.DUMMYFUNCTION("GOOGLETRANSLATE(A106,""zh-tw"",""KO"")"),"2024년 10월 14일 서식 일부를 수정했습니다.")</f>
        <v>2024년 10월 14일 서식 일부를 수정했습니다.</v>
      </c>
      <c r="G106" s="90" t="s">
        <v>659</v>
      </c>
      <c r="H106" s="45" t="str">
        <f>IFERROR(__xludf.DUMMYFUNCTION("GOOGLETRANSLATE(A106,""zh-tw"",""RU"")"),"14.10.2024 Исправлено форматирование.")</f>
        <v>14.10.2024 Исправлено форматирование.</v>
      </c>
      <c r="I106" s="45" t="str">
        <f>IFERROR(__xludf.DUMMYFUNCTION("GOOGLETRANSLATE(A106,""zh-tw"",""DE"")"),"14.10.2024: Formatierung angepasst")</f>
        <v>14.10.2024: Formatierung angepasst</v>
      </c>
      <c r="J106" s="89" t="s">
        <v>660</v>
      </c>
      <c r="K106" s="8" t="s">
        <v>661</v>
      </c>
      <c r="L106" s="8" t="s">
        <v>662</v>
      </c>
      <c r="M106" s="87"/>
      <c r="N106" s="87"/>
      <c r="O106" s="87"/>
      <c r="P106" s="87"/>
      <c r="Q106" s="87"/>
      <c r="R106" s="87"/>
      <c r="S106" s="87"/>
      <c r="T106" s="87"/>
      <c r="U106" s="87"/>
      <c r="V106" s="87"/>
      <c r="W106" s="87"/>
      <c r="X106" s="87"/>
      <c r="Y106" s="87"/>
      <c r="Z106" s="87"/>
    </row>
    <row r="107">
      <c r="A107" s="85" t="s">
        <v>663</v>
      </c>
      <c r="B107" s="85" t="str">
        <f>IFERROR(__xludf.DUMMYFUNCTION("GOOGLETRANSLATE(A107,""zh-tw"",""ja"")"),"2024年10月13日に簡体字中国語訳を追加しました")</f>
        <v>2024年10月13日に簡体字中国語訳を追加しました</v>
      </c>
      <c r="C107" s="85" t="s">
        <v>664</v>
      </c>
      <c r="D107" s="85" t="str">
        <f>IFERROR(__xludf.DUMMYFUNCTION("GOOGLETRANSLATE(A107,""zh-tw"",""zh"")"),"2024/10/13新增简体中文翻译")</f>
        <v>2024/10/13新增简体中文翻译</v>
      </c>
      <c r="E107" s="45" t="str">
        <f>IFERROR(__xludf.DUMMYFUNCTION("GOOGLETRANSLATE(A107,""zh-tw"",""es-MX"")"),"Se añadió la traducción al chino simplificado el 13/10/2024.")</f>
        <v>Se añadió la traducción al chino simplificado el 13/10/2024.</v>
      </c>
      <c r="F107" s="45" t="str">
        <f>IFERROR(__xludf.DUMMYFUNCTION("GOOGLETRANSLATE(A107,""zh-tw"",""KO"")"),"2024년 10월 13일에 중국어 간체 번역이 추가되었습니다.")</f>
        <v>2024년 10월 13일에 중국어 간체 번역이 추가되었습니다.</v>
      </c>
      <c r="G107" s="90" t="s">
        <v>665</v>
      </c>
      <c r="H107" s="45" t="str">
        <f>IFERROR(__xludf.DUMMYFUNCTION("GOOGLETRANSLATE(A107,""zh-tw"",""RU"")"),"Добавлен перевод на упрощенный китайский язык 13.10.2024.")</f>
        <v>Добавлен перевод на упрощенный китайский язык 13.10.2024.</v>
      </c>
      <c r="I107" s="45" t="str">
        <f>IFERROR(__xludf.DUMMYFUNCTION("GOOGLETRANSLATE(A107,""zh-tw"",""DE"")"),"Vereinfachte chinesische Übersetzung hinzugefügt am 13.10.2024")</f>
        <v>Vereinfachte chinesische Übersetzung hinzugefügt am 13.10.2024</v>
      </c>
      <c r="J107" s="89" t="s">
        <v>666</v>
      </c>
      <c r="K107" s="8" t="s">
        <v>667</v>
      </c>
      <c r="L107" s="8" t="s">
        <v>668</v>
      </c>
      <c r="M107" s="87"/>
      <c r="N107" s="87"/>
      <c r="O107" s="87"/>
      <c r="P107" s="87"/>
      <c r="Q107" s="87"/>
      <c r="R107" s="87"/>
      <c r="S107" s="87"/>
      <c r="T107" s="87"/>
      <c r="U107" s="87"/>
      <c r="V107" s="87"/>
      <c r="W107" s="87"/>
      <c r="X107" s="87"/>
      <c r="Y107" s="87"/>
      <c r="Z107" s="87"/>
    </row>
    <row r="108">
      <c r="A108" s="85" t="s">
        <v>669</v>
      </c>
      <c r="B108" s="85" t="str">
        <f>IFERROR(__xludf.DUMMYFUNCTION("GOOGLETRANSLATE(A108,""zh-tw"",""ja"")"),"2024年10月12日：お知らせフォームと編集ログを追加。タロットカードを改訂。")</f>
        <v>2024年10月12日：お知らせフォームと編集ログを追加。タロットカードを改訂。</v>
      </c>
      <c r="C108" s="85" t="s">
        <v>670</v>
      </c>
      <c r="D108" s="85" t="str">
        <f>IFERROR(__xludf.DUMMYFUNCTION("GOOGLETRANSLATE(A108,""zh-tw"",""zh"")"),"2024/10/12新增公告表与编辑日志、修正塔罗牌")</f>
        <v>2024/10/12新增公告表与编辑日志、修正塔罗牌</v>
      </c>
      <c r="E108" s="45" t="str">
        <f>IFERROR(__xludf.DUMMYFUNCTION("GOOGLETRANSLATE(A108,""zh-tw"",""es-MX"")"),"12 de octubre de 2024: Se agregó un formulario de anuncio y un registro de edición; se revisaron las cartas del tarot.")</f>
        <v>12 de octubre de 2024: Se agregó un formulario de anuncio y un registro de edición; se revisaron las cartas del tarot.</v>
      </c>
      <c r="F108" s="45" t="str">
        <f>IFERROR(__xludf.DUMMYFUNCTION("GOOGLETRANSLATE(A108,""zh-tw"",""KO"")"),"2024년 10월 12일: 공지 양식 및 편집 로그를 추가하고 타로 카드를 수정했습니다.")</f>
        <v>2024년 10월 12일: 공지 양식 및 편집 로그를 추가하고 타로 카드를 수정했습니다.</v>
      </c>
      <c r="G108" s="90" t="s">
        <v>671</v>
      </c>
      <c r="H108" s="45" t="str">
        <f>IFERROR(__xludf.DUMMYFUNCTION("GOOGLETRANSLATE(A108,""zh-tw"",""RU"")"),"12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I108" s="45" t="str">
        <f>IFERROR(__xludf.DUMMYFUNCTION("GOOGLETRANSLATE(A108,""zh-tw"",""DE"")"),"12. Oktober 2024: Ankündigungsformular und Bearbeitungsprotokoll hinzugefügt; Tarotkarten überarbeitet.")</f>
        <v>12. Oktober 2024: Ankündigungsformular und Bearbeitungsprotokoll hinzugefügt; Tarotkarten überarbeitet.</v>
      </c>
      <c r="J108" s="89" t="s">
        <v>672</v>
      </c>
      <c r="K108" s="8" t="s">
        <v>673</v>
      </c>
      <c r="L108" s="8" t="s">
        <v>674</v>
      </c>
      <c r="M108" s="87"/>
      <c r="N108" s="87"/>
      <c r="O108" s="87"/>
      <c r="P108" s="87"/>
      <c r="Q108" s="87"/>
      <c r="R108" s="87"/>
      <c r="S108" s="87"/>
      <c r="T108" s="87"/>
      <c r="U108" s="87"/>
      <c r="V108" s="87"/>
      <c r="W108" s="87"/>
      <c r="X108" s="87"/>
      <c r="Y108" s="87"/>
      <c r="Z108" s="87"/>
    </row>
    <row r="109">
      <c r="A109" s="85" t="s">
        <v>675</v>
      </c>
      <c r="B109" s="85" t="str">
        <f>IFERROR(__xludf.DUMMYFUNCTION("GOOGLETRANSLATE(A109,""zh-tw"",""ja"")"),"2024年10月10日：新しいイベントと通知テーブルの内容を追加しました。")</f>
        <v>2024年10月10日：新しいイベントと通知テーブルの内容を追加しました。</v>
      </c>
      <c r="C109" s="85" t="s">
        <v>676</v>
      </c>
      <c r="D109" s="85" t="str">
        <f>IFERROR(__xludf.DUMMYFUNCTION("GOOGLETRANSLATE(A109,""zh-tw"",""zh"")"),"2024/10/10 新增事件、提示表内容")</f>
        <v>2024/10/10 新增事件、提示表内容</v>
      </c>
      <c r="E109" s="45" t="str">
        <f>IFERROR(__xludf.DUMMYFUNCTION("GOOGLETRANSLATE(A109,""zh-tw"",""es-MX"")"),"10 de octubre de 2024: Se agregaron nuevos eventos y contenido a la tabla de notificaciones.")</f>
        <v>10 de octubre de 2024: Se agregaron nuevos eventos y contenido a la tabla de notificaciones.</v>
      </c>
      <c r="F109" s="45" t="str">
        <f>IFERROR(__xludf.DUMMYFUNCTION("GOOGLETRANSLATE(A109,""zh-tw"",""KO"")"),"2024년 10월 10일: 새로운 이벤트 및 알림 표 내용을 추가했습니다.")</f>
        <v>2024년 10월 10일: 새로운 이벤트 및 알림 표 내용을 추가했습니다.</v>
      </c>
      <c r="G109" s="90" t="s">
        <v>677</v>
      </c>
      <c r="H109" s="45" t="str">
        <f>IFERROR(__xludf.DUMMYFUNCTION("GOOGLETRANSLATE(A109,""zh-tw"",""RU"")"),"10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I109" s="45" t="str">
        <f>IFERROR(__xludf.DUMMYFUNCTION("GOOGLETRANSLATE(A109,""zh-tw"",""DE"")"),"10. Oktober 2024: Neue Ereignisse und Benachrichtigungstabelle hinzugefügt.")</f>
        <v>10. Oktober 2024: Neue Ereignisse und Benachrichtigungstabelle hinzugefügt.</v>
      </c>
      <c r="J109" s="89" t="s">
        <v>678</v>
      </c>
      <c r="K109" s="8" t="s">
        <v>679</v>
      </c>
      <c r="L109" s="8" t="s">
        <v>680</v>
      </c>
      <c r="M109" s="87"/>
      <c r="N109" s="87"/>
      <c r="O109" s="87"/>
      <c r="P109" s="87"/>
      <c r="Q109" s="87"/>
      <c r="R109" s="87"/>
      <c r="S109" s="87"/>
      <c r="T109" s="87"/>
      <c r="U109" s="87"/>
      <c r="V109" s="87"/>
      <c r="W109" s="87"/>
      <c r="X109" s="87"/>
      <c r="Y109" s="87"/>
      <c r="Z109" s="87"/>
    </row>
    <row r="110">
      <c r="A110" s="85" t="s">
        <v>681</v>
      </c>
      <c r="B110" s="85" t="str">
        <f>IFERROR(__xludf.DUMMYFUNCTION("GOOGLETRANSLATE(A110,""zh-tw"",""ja"")"),"2024年10月9日にイベントと通知を追加しました")</f>
        <v>2024年10月9日にイベントと通知を追加しました</v>
      </c>
      <c r="C110" s="85" t="s">
        <v>682</v>
      </c>
      <c r="D110" s="85" t="str">
        <f>IFERROR(__xludf.DUMMYFUNCTION("GOOGLETRANSLATE(A110,""zh-tw"",""zh"")"),"2024/10/9新增事件、提示表内容")</f>
        <v>2024/10/9新增事件、提示表内容</v>
      </c>
      <c r="E110" s="45" t="str">
        <f>IFERROR(__xludf.DUMMYFUNCTION("GOOGLETRANSLATE(A110,""zh-tw"",""es-MX"")"),"Se agregaron eventos y notificaciones el 9/10/2024.")</f>
        <v>Se agregaron eventos y notificaciones el 9/10/2024.</v>
      </c>
      <c r="F110" s="45" t="str">
        <f>IFERROR(__xludf.DUMMYFUNCTION("GOOGLETRANSLATE(A110,""zh-tw"",""KO"")"),"2024년 10월 9일에 이벤트 및 알림 기능이 추가되었습니다.")</f>
        <v>2024년 10월 9일에 이벤트 및 알림 기능이 추가되었습니다.</v>
      </c>
      <c r="G110" s="90" t="s">
        <v>683</v>
      </c>
      <c r="H110" s="45" t="str">
        <f>IFERROR(__xludf.DUMMYFUNCTION("GOOGLETRANSLATE(A110,""zh-tw"",""RU"")"),"Добавлены события и уведомления 9 октября 2024 г.")</f>
        <v>Добавлены события и уведомления 9 октября 2024 г.</v>
      </c>
      <c r="I110" s="45" t="str">
        <f>IFERROR(__xludf.DUMMYFUNCTION("GOOGLETRANSLATE(A110,""zh-tw"",""DE"")"),"Ereignisse und Benachrichtigungen wurden am 9.10.2024 hinzugefügt.")</f>
        <v>Ereignisse und Benachrichtigungen wurden am 9.10.2024 hinzugefügt.</v>
      </c>
      <c r="J110" s="89" t="s">
        <v>684</v>
      </c>
      <c r="K110" s="8" t="s">
        <v>685</v>
      </c>
      <c r="L110" s="8" t="s">
        <v>686</v>
      </c>
      <c r="M110" s="87"/>
      <c r="N110" s="87"/>
      <c r="O110" s="87"/>
      <c r="P110" s="87"/>
      <c r="Q110" s="87"/>
      <c r="R110" s="87"/>
      <c r="S110" s="87"/>
      <c r="T110" s="87"/>
      <c r="U110" s="87"/>
      <c r="V110" s="87"/>
      <c r="W110" s="87"/>
      <c r="X110" s="87"/>
      <c r="Y110" s="87"/>
      <c r="Z110" s="87"/>
    </row>
    <row r="111">
      <c r="A111" s="85" t="s">
        <v>687</v>
      </c>
      <c r="B111" s="85" t="str">
        <f>IFERROR(__xludf.DUMMYFUNCTION("GOOGLETRANSLATE(A111,""zh-tw"",""ja"")"),"イベントと通知テーブルの内容が2024年10月8日に追加されました")</f>
        <v>イベントと通知テーブルの内容が2024年10月8日に追加されました</v>
      </c>
      <c r="C111" s="85" t="s">
        <v>688</v>
      </c>
      <c r="D111" s="85" t="str">
        <f>IFERROR(__xludf.DUMMYFUNCTION("GOOGLETRANSLATE(A111,""zh-tw"",""zh"")"),"2024/10/8新增事件、提示表内容")</f>
        <v>2024/10/8新增事件、提示表内容</v>
      </c>
      <c r="E111" s="45" t="str">
        <f>IFERROR(__xludf.DUMMYFUNCTION("GOOGLETRANSLATE(A111,""zh-tw"",""es-MX"")"),"Se agregó contenido a la tabla de eventos y notificaciones el 8/10/2024.")</f>
        <v>Se agregó contenido a la tabla de eventos y notificaciones el 8/10/2024.</v>
      </c>
      <c r="F111" s="45" t="str">
        <f>IFERROR(__xludf.DUMMYFUNCTION("GOOGLETRANSLATE(A111,""zh-tw"",""KO"")"),"2024년 10월 8일에 이벤트 및 알림 테이블 내용을 추가했습니다.")</f>
        <v>2024년 10월 8일에 이벤트 및 알림 테이블 내용을 추가했습니다.</v>
      </c>
      <c r="G111" s="90" t="s">
        <v>689</v>
      </c>
      <c r="H111" s="45" t="str">
        <f>IFERROR(__xludf.DUMMYFUNCTION("GOOGLETRANSLATE(A111,""zh-tw"",""RU"")"),"Добавлено содержимое таблицы событий и уведомлений 8 октября 2024 г.")</f>
        <v>Добавлено содержимое таблицы событий и уведомлений 8 октября 2024 г.</v>
      </c>
      <c r="I111" s="45" t="str">
        <f>IFERROR(__xludf.DUMMYFUNCTION("GOOGLETRANSLATE(A111,""zh-tw"",""DE"")"),"Ereignis- und Benachrichtigungstabelleninhalte wurden am 8.10.2024 hinzugefügt.")</f>
        <v>Ereignis- und Benachrichtigungstabelleninhalte wurden am 8.10.2024 hinzugefügt.</v>
      </c>
      <c r="J111" s="89" t="s">
        <v>690</v>
      </c>
      <c r="K111" s="8" t="s">
        <v>691</v>
      </c>
      <c r="L111" s="8" t="s">
        <v>692</v>
      </c>
      <c r="M111" s="87"/>
      <c r="N111" s="87"/>
      <c r="O111" s="87"/>
      <c r="P111" s="87"/>
      <c r="Q111" s="87"/>
      <c r="R111" s="87"/>
      <c r="S111" s="87"/>
      <c r="T111" s="87"/>
      <c r="U111" s="87"/>
      <c r="V111" s="87"/>
      <c r="W111" s="87"/>
      <c r="X111" s="87"/>
      <c r="Y111" s="87"/>
      <c r="Z111" s="87"/>
    </row>
    <row r="112">
      <c r="A112" s="85" t="s">
        <v>693</v>
      </c>
      <c r="B112" s="85" t="str">
        <f>IFERROR(__xludf.DUMMYFUNCTION("GOOGLETRANSLATE(A112,""zh-tw"",""ja"")"),"2024年10月7日に通知テーブルを追加しました")</f>
        <v>2024年10月7日に通知テーブルを追加しました</v>
      </c>
      <c r="C112" s="85" t="s">
        <v>694</v>
      </c>
      <c r="D112" s="85" t="str">
        <f>IFERROR(__xludf.DUMMYFUNCTION("GOOGLETRANSLATE(A112,""zh-tw"",""zh"")"),"2024/10/7新增提示表")</f>
        <v>2024/10/7新增提示表</v>
      </c>
      <c r="E112" s="45" t="str">
        <f>IFERROR(__xludf.DUMMYFUNCTION("GOOGLETRANSLATE(A112,""zh-tw"",""es-MX"")"),"Tabla de notificaciones añadida el 7/10/2024")</f>
        <v>Tabla de notificaciones añadida el 7/10/2024</v>
      </c>
      <c r="F112" s="45" t="str">
        <f>IFERROR(__xludf.DUMMYFUNCTION("GOOGLETRANSLATE(A112,""zh-tw"",""KO"")"),"2024년 10월 7일에 알림 테이블이 추가되었습니다.")</f>
        <v>2024년 10월 7일에 알림 테이블이 추가되었습니다.</v>
      </c>
      <c r="G112" s="90" t="s">
        <v>695</v>
      </c>
      <c r="H112" s="45" t="str">
        <f>IFERROR(__xludf.DUMMYFUNCTION("GOOGLETRANSLATE(A112,""zh-tw"",""RU"")"),"Добавлена ​​таблица уведомлений от 07.10.2024.")</f>
        <v>Добавлена ​​таблица уведомлений от 07.10.2024.</v>
      </c>
      <c r="I112" s="45" t="str">
        <f>IFERROR(__xludf.DUMMYFUNCTION("GOOGLETRANSLATE(A112,""zh-tw"",""DE"")"),"Benachrichtigungstabelle hinzugefügt am 07.10.2024.")</f>
        <v>Benachrichtigungstabelle hinzugefügt am 07.10.2024.</v>
      </c>
      <c r="J112" s="89" t="s">
        <v>696</v>
      </c>
      <c r="K112" s="8" t="s">
        <v>697</v>
      </c>
      <c r="L112" s="8" t="s">
        <v>698</v>
      </c>
      <c r="M112" s="87"/>
      <c r="N112" s="87"/>
      <c r="O112" s="87"/>
      <c r="P112" s="87"/>
      <c r="Q112" s="87"/>
      <c r="R112" s="87"/>
      <c r="S112" s="87"/>
      <c r="T112" s="87"/>
      <c r="U112" s="87"/>
      <c r="V112" s="87"/>
      <c r="W112" s="87"/>
      <c r="X112" s="87"/>
      <c r="Y112" s="87"/>
      <c r="Z112" s="87"/>
    </row>
    <row r="113">
      <c r="A113" s="4" t="s">
        <v>699</v>
      </c>
      <c r="B113" s="94" t="s">
        <v>700</v>
      </c>
      <c r="C113" s="85" t="s">
        <v>701</v>
      </c>
      <c r="D113" s="85" t="str">
        <f>IFERROR(__xludf.DUMMYFUNCTION("GOOGLETRANSLATE(A113,""zh-tw"",""zh"")"),"2024/10/6
授权Discord:mioakatukaze转载至bilibili
https://www.bilibili.com/opus/985591575966908440?spm_id_from=333.999.0.0 ")</f>
        <v>2024/10/6
授权Discord:mioakatukaze转载至bilibili
https://www.bilibili.com/opus/985591575966908440?spm_id_from=333.999.0.0 </v>
      </c>
      <c r="E113" s="45" t="str">
        <f>IFERROR(__xludf.DUMMYFUNCTION("GOOGLETRANSLATE(A113,""zh-tw"",""es-MX"")"),"6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113" s="45" t="str">
        <f>IFERROR(__xludf.DUMMYFUNCTION("GOOGLETRANSLATE(A113,""zh-tw"",""KO"")"),"2024년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113" s="90" t="s">
        <v>702</v>
      </c>
      <c r="H113" s="45" t="str">
        <f>IFERROR(__xludf.DUMMYFUNCTION("GOOGLETRANSLATE(A113,""zh-tw"",""RU"")"),"6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I113" s="45" t="str">
        <f>IFERROR(__xludf.DUMMYFUNCTION("GOOGLETRANSLATE(A113,""zh-tw"",""DE"")"),"6.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J113" s="95" t="s">
        <v>703</v>
      </c>
      <c r="K113" s="93" t="s">
        <v>704</v>
      </c>
      <c r="L113" s="8" t="s">
        <v>705</v>
      </c>
      <c r="M113" s="87"/>
      <c r="N113" s="87"/>
      <c r="O113" s="87"/>
      <c r="P113" s="87"/>
      <c r="Q113" s="87"/>
      <c r="R113" s="87"/>
      <c r="S113" s="87"/>
      <c r="T113" s="87"/>
      <c r="U113" s="87"/>
      <c r="V113" s="87"/>
      <c r="W113" s="87"/>
      <c r="X113" s="87"/>
      <c r="Y113" s="87"/>
      <c r="Z113" s="87"/>
    </row>
    <row r="114">
      <c r="A114" s="85" t="s">
        <v>706</v>
      </c>
      <c r="B114" s="85" t="str">
        <f>IFERROR(__xludf.DUMMYFUNCTION("GOOGLETRANSLATE(A114,""zh-tw"",""ja"")"),"2024年10月6日にページ全体が編集・調整されました")</f>
        <v>2024年10月6日にページ全体が編集・調整されました</v>
      </c>
      <c r="C114" s="85" t="s">
        <v>707</v>
      </c>
      <c r="D114" s="85" t="str">
        <f>IFERROR(__xludf.DUMMYFUNCTION("GOOGLETRANSLATE(A114,""zh-tw"",""zh"")"),"2024/10/6全页面修改调整")</f>
        <v>2024/10/6全页面修改调整</v>
      </c>
      <c r="E114" s="45" t="str">
        <f>IFERROR(__xludf.DUMMYFUNCTION("GOOGLETRANSLATE(A114,""zh-tw"",""es-MX"")"),"Página completa editada y ajustada el 6 de octubre de 2024.")</f>
        <v>Página completa editada y ajustada el 6 de octubre de 2024.</v>
      </c>
      <c r="F114" s="45" t="str">
        <f>IFERROR(__xludf.DUMMYFUNCTION("GOOGLETRANSLATE(A114,""zh-tw"",""KO"")"),"2024년 10월 6일 전체 페이지가 수정 및 조정되었습니다.")</f>
        <v>2024년 10월 6일 전체 페이지가 수정 및 조정되었습니다.</v>
      </c>
      <c r="G114" s="90" t="s">
        <v>708</v>
      </c>
      <c r="H114" s="45" t="str">
        <f>IFERROR(__xludf.DUMMYFUNCTION("GOOGLETRANSLATE(A114,""zh-tw"",""RU"")"),"Вся страница отредактирована и скорректирована 6 октября 2024 года.")</f>
        <v>Вся страница отредактирована и скорректирована 6 октября 2024 года.</v>
      </c>
      <c r="I114" s="45" t="str">
        <f>IFERROR(__xludf.DUMMYFUNCTION("GOOGLETRANSLATE(A114,""zh-tw"",""DE"")"),"Die gesamte Seite wurde am 06.10.2024 bearbeitet und angepasst.")</f>
        <v>Die gesamte Seite wurde am 06.10.2024 bearbeitet und angepasst.</v>
      </c>
      <c r="J114" s="89" t="s">
        <v>709</v>
      </c>
      <c r="K114" s="8" t="s">
        <v>710</v>
      </c>
      <c r="L114" s="8" t="s">
        <v>711</v>
      </c>
      <c r="M114" s="87"/>
      <c r="N114" s="87"/>
      <c r="O114" s="87"/>
      <c r="P114" s="87"/>
      <c r="Q114" s="87"/>
      <c r="R114" s="87"/>
      <c r="S114" s="87"/>
      <c r="T114" s="87"/>
      <c r="U114" s="87"/>
      <c r="V114" s="87"/>
      <c r="W114" s="87"/>
      <c r="X114" s="87"/>
      <c r="Y114" s="87"/>
      <c r="Z114" s="87"/>
    </row>
    <row r="115">
      <c r="A115" s="85" t="s">
        <v>712</v>
      </c>
      <c r="B115" s="85" t="str">
        <f>IFERROR(__xludf.DUMMYFUNCTION("GOOGLETRANSLATE(A115,""zh-tw"",""ja"")"),"2024年10月5日に一般公開されました。")</f>
        <v>2024年10月5日に一般公開されました。</v>
      </c>
      <c r="C115" s="85" t="s">
        <v>713</v>
      </c>
      <c r="D115" s="85" t="str">
        <f>IFERROR(__xludf.DUMMYFUNCTION("GOOGLETRANSLATE(A115,""zh-tw"",""zh"")"),"2024/10/5对外发布")</f>
        <v>2024/10/5对外发布</v>
      </c>
      <c r="E115" s="45" t="str">
        <f>IFERROR(__xludf.DUMMYFUNCTION("GOOGLETRANSLATE(A115,""zh-tw"",""es-MX"")"),"Publicado el 5 de octubre de 2024.")</f>
        <v>Publicado el 5 de octubre de 2024.</v>
      </c>
      <c r="F115" s="45" t="str">
        <f>IFERROR(__xludf.DUMMYFUNCTION("GOOGLETRANSLATE(A115,""zh-tw"",""KO"")"),"2024년 10월 5일 일반에 공개되었습니다.")</f>
        <v>2024년 10월 5일 일반에 공개되었습니다.</v>
      </c>
      <c r="G115" s="90" t="s">
        <v>714</v>
      </c>
      <c r="H115" s="45" t="str">
        <f>IFERROR(__xludf.DUMMYFUNCTION("GOOGLETRANSLATE(A115,""zh-tw"",""RU"")"),"Опубликовано 5 октября 2024 года.")</f>
        <v>Опубликовано 5 октября 2024 года.</v>
      </c>
      <c r="I115" s="45" t="str">
        <f>IFERROR(__xludf.DUMMYFUNCTION("GOOGLETRANSLATE(A115,""zh-tw"",""DE"")"),"Veröffentlicht der Öffentlichkeit am 5. Oktober 2024")</f>
        <v>Veröffentlicht der Öffentlichkeit am 5. Oktober 2024</v>
      </c>
      <c r="J115" s="89" t="s">
        <v>715</v>
      </c>
      <c r="K115" s="8" t="s">
        <v>716</v>
      </c>
      <c r="L115" s="8" t="s">
        <v>717</v>
      </c>
      <c r="M115" s="87"/>
      <c r="N115" s="87"/>
      <c r="O115" s="87"/>
      <c r="P115" s="87"/>
      <c r="Q115" s="87"/>
      <c r="R115" s="87"/>
      <c r="S115" s="87"/>
      <c r="T115" s="87"/>
      <c r="U115" s="87"/>
      <c r="V115" s="87"/>
      <c r="W115" s="87"/>
      <c r="X115" s="87"/>
      <c r="Y115" s="87"/>
      <c r="Z115" s="87"/>
    </row>
    <row r="116">
      <c r="A116" s="85" t="s">
        <v>718</v>
      </c>
      <c r="B116" s="85" t="str">
        <f>IFERROR(__xludf.DUMMYFUNCTION("GOOGLETRANSLATE(A116,""zh-tw"",""ja"")"),"初稿完成日：2024年10月4日")</f>
        <v>初稿完成日：2024年10月4日</v>
      </c>
      <c r="C116" s="85" t="s">
        <v>719</v>
      </c>
      <c r="D116" s="85" t="str">
        <f>IFERROR(__xludf.DUMMYFUNCTION("GOOGLETRANSLATE(A116,""zh-tw"",""zh"")"),"2024/10/4初版完成")</f>
        <v>2024/10/4初版完成</v>
      </c>
      <c r="E116" s="45" t="str">
        <f>IFERROR(__xludf.DUMMYFUNCTION("GOOGLETRANSLATE(A116,""zh-tw"",""es-MX"")"),"Primer borrador finalizado el 4 de octubre de 2024.")</f>
        <v>Primer borrador finalizado el 4 de octubre de 2024.</v>
      </c>
      <c r="F116" s="45" t="str">
        <f>IFERROR(__xludf.DUMMYFUNCTION("GOOGLETRANSLATE(A116,""zh-tw"",""KO"")"),"초안 작성 완료일: 2024년 10월 4일")</f>
        <v>초안 작성 완료일: 2024년 10월 4일</v>
      </c>
      <c r="G116" s="90" t="s">
        <v>720</v>
      </c>
      <c r="H116" s="45" t="str">
        <f>IFERROR(__xludf.DUMMYFUNCTION("GOOGLETRANSLATE(A116,""zh-tw"",""RU"")"),"Первый черновик завершен 4 октября 2024 года.")</f>
        <v>Первый черновик завершен 4 октября 2024 года.</v>
      </c>
      <c r="I116" s="45" t="str">
        <f>IFERROR(__xludf.DUMMYFUNCTION("GOOGLETRANSLATE(A116,""zh-tw"",""DE"")"),"Erster Entwurf fertiggestellt am 4. Oktober 2024")</f>
        <v>Erster Entwurf fertiggestellt am 4. Oktober 2024</v>
      </c>
      <c r="J116" s="89" t="s">
        <v>721</v>
      </c>
      <c r="K116" s="8" t="s">
        <v>722</v>
      </c>
      <c r="L116" s="8" t="s">
        <v>723</v>
      </c>
      <c r="M116" s="87"/>
      <c r="N116" s="87"/>
      <c r="O116" s="87"/>
      <c r="P116" s="87"/>
      <c r="Q116" s="87"/>
      <c r="R116" s="87"/>
      <c r="S116" s="87"/>
      <c r="T116" s="87"/>
      <c r="U116" s="87"/>
      <c r="V116" s="87"/>
      <c r="W116" s="87"/>
      <c r="X116" s="87"/>
      <c r="Y116" s="87"/>
      <c r="Z116" s="87"/>
    </row>
    <row r="117">
      <c r="A117" s="85" t="s">
        <v>724</v>
      </c>
      <c r="B117" s="85" t="str">
        <f>IFERROR(__xludf.DUMMYFUNCTION("GOOGLETRANSLATE(A117,""zh-tw"",""ja"")"),"このフォームは2024年10月1日に作成されました。")</f>
        <v>このフォームは2024年10月1日に作成されました。</v>
      </c>
      <c r="C117" s="85" t="s">
        <v>725</v>
      </c>
      <c r="D117" s="85" t="str">
        <f>IFERROR(__xludf.DUMMYFUNCTION("GOOGLETRANSLATE(A117,""zh-tw"",""zh"")"),"2024/10/1 建立本表单")</f>
        <v>2024/10/1 建立本表单</v>
      </c>
      <c r="E117" s="45" t="str">
        <f>IFERROR(__xludf.DUMMYFUNCTION("GOOGLETRANSLATE(A117,""zh-tw"",""es-MX"")"),"Este formulario fue creado el 1 de octubre de 2024.")</f>
        <v>Este formulario fue creado el 1 de octubre de 2024.</v>
      </c>
      <c r="F117" s="45" t="str">
        <f>IFERROR(__xludf.DUMMYFUNCTION("GOOGLETRANSLATE(A117,""zh-tw"",""KO"")"),"이 양식은 2024년 10월 1일에 생성되었습니다.")</f>
        <v>이 양식은 2024년 10월 1일에 생성되었습니다.</v>
      </c>
      <c r="G117" s="90" t="s">
        <v>726</v>
      </c>
      <c r="H117" s="45" t="str">
        <f>IFERROR(__xludf.DUMMYFUNCTION("GOOGLETRANSLATE(A117,""zh-tw"",""RU"")"),"Данная форма была создана 1 октября 2024 года.")</f>
        <v>Данная форма была создана 1 октября 2024 года.</v>
      </c>
      <c r="I117" s="45" t="str">
        <f>IFERROR(__xludf.DUMMYFUNCTION("GOOGLETRANSLATE(A117,""zh-tw"",""DE"")"),"Dieses Formular wurde am 1. Oktober 2024 erstellt.")</f>
        <v>Dieses Formular wurde am 1. Oktober 2024 erstellt.</v>
      </c>
      <c r="J117" s="89" t="s">
        <v>727</v>
      </c>
      <c r="K117" s="8" t="s">
        <v>728</v>
      </c>
      <c r="L117" s="8" t="s">
        <v>729</v>
      </c>
      <c r="M117" s="87"/>
      <c r="N117" s="87"/>
      <c r="O117" s="87"/>
      <c r="P117" s="87"/>
      <c r="Q117" s="87"/>
      <c r="R117" s="87"/>
      <c r="S117" s="87"/>
      <c r="T117" s="87"/>
      <c r="U117" s="87"/>
      <c r="V117" s="87"/>
      <c r="W117" s="87"/>
      <c r="X117" s="87"/>
      <c r="Y117" s="87"/>
      <c r="Z117" s="87"/>
    </row>
    <row r="118">
      <c r="A118" s="85"/>
      <c r="B118" s="85"/>
      <c r="C118" s="96"/>
      <c r="D118" s="96"/>
      <c r="E118" s="97"/>
      <c r="F118" s="97"/>
      <c r="G118" s="79"/>
      <c r="H118" s="97"/>
      <c r="I118" s="97"/>
      <c r="J118" s="78"/>
      <c r="K118" s="79"/>
      <c r="L118" s="79"/>
      <c r="M118" s="87"/>
      <c r="N118" s="87"/>
      <c r="O118" s="87"/>
      <c r="P118" s="87"/>
      <c r="Q118" s="87"/>
      <c r="R118" s="87"/>
      <c r="S118" s="87"/>
      <c r="T118" s="87"/>
      <c r="U118" s="87"/>
      <c r="V118" s="87"/>
      <c r="W118" s="87"/>
      <c r="X118" s="87"/>
      <c r="Y118" s="87"/>
      <c r="Z118" s="87"/>
    </row>
    <row r="119">
      <c r="A119" s="85"/>
      <c r="B119" s="85"/>
      <c r="C119" s="98"/>
      <c r="D119" s="98"/>
      <c r="E119" s="97"/>
      <c r="F119" s="97"/>
      <c r="G119" s="79"/>
      <c r="H119" s="97"/>
      <c r="I119" s="97"/>
      <c r="J119" s="78"/>
      <c r="K119" s="79"/>
      <c r="L119" s="79"/>
      <c r="M119" s="87"/>
      <c r="N119" s="87"/>
      <c r="O119" s="87"/>
      <c r="P119" s="87"/>
      <c r="Q119" s="87"/>
      <c r="R119" s="87"/>
      <c r="S119" s="87"/>
      <c r="T119" s="87"/>
      <c r="U119" s="87"/>
      <c r="V119" s="87"/>
      <c r="W119" s="87"/>
      <c r="X119" s="87"/>
      <c r="Y119" s="87"/>
      <c r="Z119" s="87"/>
    </row>
    <row r="120">
      <c r="A120" s="85"/>
      <c r="B120" s="85"/>
      <c r="C120" s="98"/>
      <c r="D120" s="98"/>
      <c r="E120" s="97"/>
      <c r="F120" s="97"/>
      <c r="G120" s="79"/>
      <c r="H120" s="97"/>
      <c r="I120" s="97"/>
      <c r="J120" s="78"/>
      <c r="K120" s="79"/>
      <c r="L120" s="79"/>
      <c r="M120" s="87"/>
      <c r="N120" s="87"/>
      <c r="O120" s="87"/>
      <c r="P120" s="87"/>
      <c r="Q120" s="87"/>
      <c r="R120" s="87"/>
      <c r="S120" s="87"/>
      <c r="T120" s="87"/>
      <c r="U120" s="87"/>
      <c r="V120" s="87"/>
      <c r="W120" s="87"/>
      <c r="X120" s="87"/>
      <c r="Y120" s="87"/>
      <c r="Z120" s="87"/>
    </row>
    <row r="121">
      <c r="A121" s="85"/>
      <c r="B121" s="85"/>
      <c r="C121" s="98"/>
      <c r="D121" s="98"/>
      <c r="E121" s="97"/>
      <c r="F121" s="97"/>
      <c r="G121" s="79"/>
      <c r="H121" s="97"/>
      <c r="I121" s="97"/>
      <c r="J121" s="78"/>
      <c r="K121" s="79"/>
      <c r="L121" s="79"/>
      <c r="M121" s="87"/>
      <c r="N121" s="87"/>
      <c r="O121" s="87"/>
      <c r="P121" s="87"/>
      <c r="Q121" s="87"/>
      <c r="R121" s="87"/>
      <c r="S121" s="87"/>
      <c r="T121" s="87"/>
      <c r="U121" s="87"/>
      <c r="V121" s="87"/>
      <c r="W121" s="87"/>
      <c r="X121" s="87"/>
      <c r="Y121" s="87"/>
      <c r="Z121" s="87"/>
    </row>
    <row r="122">
      <c r="A122" s="85"/>
      <c r="B122" s="85"/>
      <c r="C122" s="98"/>
      <c r="D122" s="98"/>
      <c r="E122" s="97"/>
      <c r="F122" s="97"/>
      <c r="G122" s="79"/>
      <c r="H122" s="97"/>
      <c r="I122" s="97"/>
      <c r="J122" s="78"/>
      <c r="K122" s="79"/>
      <c r="L122" s="79"/>
      <c r="M122" s="87"/>
      <c r="N122" s="87"/>
      <c r="O122" s="87"/>
      <c r="P122" s="87"/>
      <c r="Q122" s="87"/>
      <c r="R122" s="87"/>
      <c r="S122" s="87"/>
      <c r="T122" s="87"/>
      <c r="U122" s="87"/>
      <c r="V122" s="87"/>
      <c r="W122" s="87"/>
      <c r="X122" s="87"/>
      <c r="Y122" s="87"/>
      <c r="Z122" s="87"/>
    </row>
    <row r="123">
      <c r="A123" s="85"/>
      <c r="B123" s="85"/>
      <c r="C123" s="98"/>
      <c r="D123" s="98"/>
      <c r="E123" s="97"/>
      <c r="F123" s="97"/>
      <c r="G123" s="79"/>
      <c r="H123" s="97"/>
      <c r="I123" s="97"/>
      <c r="J123" s="78"/>
      <c r="K123" s="79"/>
      <c r="L123" s="79"/>
      <c r="M123" s="87"/>
      <c r="N123" s="87"/>
      <c r="O123" s="87"/>
      <c r="P123" s="87"/>
      <c r="Q123" s="87"/>
      <c r="R123" s="87"/>
      <c r="S123" s="87"/>
      <c r="T123" s="87"/>
      <c r="U123" s="87"/>
      <c r="V123" s="87"/>
      <c r="W123" s="87"/>
      <c r="X123" s="87"/>
      <c r="Y123" s="87"/>
      <c r="Z123" s="87"/>
    </row>
    <row r="124">
      <c r="A124" s="85"/>
      <c r="B124" s="85"/>
      <c r="C124" s="98"/>
      <c r="D124" s="98"/>
      <c r="E124" s="97"/>
      <c r="F124" s="97"/>
      <c r="G124" s="79"/>
      <c r="H124" s="97"/>
      <c r="I124" s="97"/>
      <c r="J124" s="78"/>
      <c r="K124" s="79"/>
      <c r="L124" s="79"/>
      <c r="M124" s="87"/>
      <c r="N124" s="87"/>
      <c r="O124" s="87"/>
      <c r="P124" s="87"/>
      <c r="Q124" s="87"/>
      <c r="R124" s="87"/>
      <c r="S124" s="87"/>
      <c r="T124" s="87"/>
      <c r="U124" s="87"/>
      <c r="V124" s="87"/>
      <c r="W124" s="87"/>
      <c r="X124" s="87"/>
      <c r="Y124" s="87"/>
      <c r="Z124" s="87"/>
    </row>
    <row r="125">
      <c r="A125" s="85"/>
      <c r="B125" s="85"/>
      <c r="C125" s="98"/>
      <c r="D125" s="98"/>
      <c r="E125" s="97"/>
      <c r="F125" s="97"/>
      <c r="G125" s="79"/>
      <c r="H125" s="97"/>
      <c r="I125" s="97"/>
      <c r="J125" s="78"/>
      <c r="K125" s="79"/>
      <c r="L125" s="79"/>
      <c r="M125" s="87"/>
      <c r="N125" s="87"/>
      <c r="O125" s="87"/>
      <c r="P125" s="87"/>
      <c r="Q125" s="87"/>
      <c r="R125" s="87"/>
      <c r="S125" s="87"/>
      <c r="T125" s="87"/>
      <c r="U125" s="87"/>
      <c r="V125" s="87"/>
      <c r="W125" s="87"/>
      <c r="X125" s="87"/>
      <c r="Y125" s="87"/>
      <c r="Z125" s="87"/>
    </row>
    <row r="126">
      <c r="A126" s="85"/>
      <c r="B126" s="85"/>
      <c r="C126" s="98"/>
      <c r="D126" s="98"/>
      <c r="E126" s="97"/>
      <c r="F126" s="97"/>
      <c r="G126" s="79"/>
      <c r="H126" s="97"/>
      <c r="I126" s="97"/>
      <c r="J126" s="78"/>
      <c r="K126" s="79"/>
      <c r="L126" s="79"/>
      <c r="M126" s="87"/>
      <c r="N126" s="87"/>
      <c r="O126" s="87"/>
      <c r="P126" s="87"/>
      <c r="Q126" s="87"/>
      <c r="R126" s="87"/>
      <c r="S126" s="87"/>
      <c r="T126" s="87"/>
      <c r="U126" s="87"/>
      <c r="V126" s="87"/>
      <c r="W126" s="87"/>
      <c r="X126" s="87"/>
      <c r="Y126" s="87"/>
      <c r="Z126" s="87"/>
    </row>
    <row r="127">
      <c r="A127" s="85"/>
      <c r="B127" s="85"/>
      <c r="C127" s="98"/>
      <c r="D127" s="98"/>
      <c r="E127" s="97"/>
      <c r="F127" s="97"/>
      <c r="G127" s="79"/>
      <c r="H127" s="97"/>
      <c r="I127" s="97"/>
      <c r="J127" s="78"/>
      <c r="K127" s="79"/>
      <c r="L127" s="79"/>
      <c r="M127" s="87"/>
      <c r="N127" s="87"/>
      <c r="O127" s="87"/>
      <c r="P127" s="87"/>
      <c r="Q127" s="87"/>
      <c r="R127" s="87"/>
      <c r="S127" s="87"/>
      <c r="T127" s="87"/>
      <c r="U127" s="87"/>
      <c r="V127" s="87"/>
      <c r="W127" s="87"/>
      <c r="X127" s="87"/>
      <c r="Y127" s="87"/>
      <c r="Z127" s="87"/>
    </row>
    <row r="128">
      <c r="A128" s="85"/>
      <c r="B128" s="85"/>
      <c r="C128" s="98"/>
      <c r="D128" s="98"/>
      <c r="E128" s="97"/>
      <c r="F128" s="97"/>
      <c r="G128" s="79"/>
      <c r="H128" s="97"/>
      <c r="I128" s="97"/>
      <c r="J128" s="78"/>
      <c r="K128" s="79"/>
      <c r="L128" s="79"/>
      <c r="M128" s="87"/>
      <c r="N128" s="87"/>
      <c r="O128" s="87"/>
      <c r="P128" s="87"/>
      <c r="Q128" s="87"/>
      <c r="R128" s="87"/>
      <c r="S128" s="87"/>
      <c r="T128" s="87"/>
      <c r="U128" s="87"/>
      <c r="V128" s="87"/>
      <c r="W128" s="87"/>
      <c r="X128" s="87"/>
      <c r="Y128" s="87"/>
      <c r="Z128" s="87"/>
    </row>
    <row r="129">
      <c r="A129" s="85"/>
      <c r="B129" s="85"/>
      <c r="C129" s="98"/>
      <c r="D129" s="98"/>
      <c r="E129" s="97"/>
      <c r="F129" s="97"/>
      <c r="G129" s="79"/>
      <c r="H129" s="97"/>
      <c r="I129" s="97"/>
      <c r="J129" s="78"/>
      <c r="K129" s="79"/>
      <c r="L129" s="79"/>
      <c r="M129" s="87"/>
      <c r="N129" s="87"/>
      <c r="O129" s="87"/>
      <c r="P129" s="87"/>
      <c r="Q129" s="87"/>
      <c r="R129" s="87"/>
      <c r="S129" s="87"/>
      <c r="T129" s="87"/>
      <c r="U129" s="87"/>
      <c r="V129" s="87"/>
      <c r="W129" s="87"/>
      <c r="X129" s="87"/>
      <c r="Y129" s="87"/>
      <c r="Z129" s="87"/>
    </row>
    <row r="130">
      <c r="A130" s="85"/>
      <c r="B130" s="85"/>
      <c r="C130" s="98"/>
      <c r="D130" s="98"/>
      <c r="E130" s="97"/>
      <c r="F130" s="97"/>
      <c r="G130" s="79"/>
      <c r="H130" s="97"/>
      <c r="I130" s="97"/>
      <c r="J130" s="78"/>
      <c r="K130" s="79"/>
      <c r="L130" s="79"/>
      <c r="M130" s="87"/>
      <c r="N130" s="87"/>
      <c r="O130" s="87"/>
      <c r="P130" s="87"/>
      <c r="Q130" s="87"/>
      <c r="R130" s="87"/>
      <c r="S130" s="87"/>
      <c r="T130" s="87"/>
      <c r="U130" s="87"/>
      <c r="V130" s="87"/>
      <c r="W130" s="87"/>
      <c r="X130" s="87"/>
      <c r="Y130" s="87"/>
      <c r="Z130" s="87"/>
    </row>
    <row r="131">
      <c r="A131" s="85"/>
      <c r="B131" s="85"/>
      <c r="C131" s="98"/>
      <c r="D131" s="98"/>
      <c r="E131" s="97"/>
      <c r="F131" s="97"/>
      <c r="G131" s="79"/>
      <c r="H131" s="97"/>
      <c r="I131" s="97"/>
      <c r="J131" s="78"/>
      <c r="K131" s="79"/>
      <c r="L131" s="79"/>
      <c r="M131" s="87"/>
      <c r="N131" s="87"/>
      <c r="O131" s="87"/>
      <c r="P131" s="87"/>
      <c r="Q131" s="87"/>
      <c r="R131" s="87"/>
      <c r="S131" s="87"/>
      <c r="T131" s="87"/>
      <c r="U131" s="87"/>
      <c r="V131" s="87"/>
      <c r="W131" s="87"/>
      <c r="X131" s="87"/>
      <c r="Y131" s="87"/>
      <c r="Z131" s="87"/>
    </row>
    <row r="132">
      <c r="A132" s="85"/>
      <c r="B132" s="85"/>
      <c r="C132" s="98"/>
      <c r="D132" s="98"/>
      <c r="E132" s="97"/>
      <c r="F132" s="97"/>
      <c r="G132" s="79"/>
      <c r="H132" s="97"/>
      <c r="I132" s="97"/>
      <c r="J132" s="78"/>
      <c r="K132" s="79"/>
      <c r="L132" s="79"/>
      <c r="M132" s="87"/>
      <c r="N132" s="87"/>
      <c r="O132" s="87"/>
      <c r="P132" s="87"/>
      <c r="Q132" s="87"/>
      <c r="R132" s="87"/>
      <c r="S132" s="87"/>
      <c r="T132" s="87"/>
      <c r="U132" s="87"/>
      <c r="V132" s="87"/>
      <c r="W132" s="87"/>
      <c r="X132" s="87"/>
      <c r="Y132" s="87"/>
      <c r="Z132" s="87"/>
    </row>
    <row r="133">
      <c r="A133" s="85"/>
      <c r="B133" s="85"/>
      <c r="C133" s="98"/>
      <c r="D133" s="98"/>
      <c r="E133" s="97"/>
      <c r="F133" s="97"/>
      <c r="G133" s="79"/>
      <c r="H133" s="97"/>
      <c r="I133" s="97"/>
      <c r="J133" s="78"/>
      <c r="K133" s="79"/>
      <c r="L133" s="79"/>
      <c r="M133" s="87"/>
      <c r="N133" s="87"/>
      <c r="O133" s="87"/>
      <c r="P133" s="87"/>
      <c r="Q133" s="87"/>
      <c r="R133" s="87"/>
      <c r="S133" s="87"/>
      <c r="T133" s="87"/>
      <c r="U133" s="87"/>
      <c r="V133" s="87"/>
      <c r="W133" s="87"/>
      <c r="X133" s="87"/>
      <c r="Y133" s="87"/>
      <c r="Z133" s="87"/>
    </row>
    <row r="134">
      <c r="A134" s="85"/>
      <c r="B134" s="85"/>
      <c r="C134" s="98"/>
      <c r="D134" s="98"/>
      <c r="E134" s="97"/>
      <c r="F134" s="97"/>
      <c r="G134" s="79"/>
      <c r="H134" s="97"/>
      <c r="I134" s="97"/>
      <c r="J134" s="78"/>
      <c r="K134" s="79"/>
      <c r="L134" s="79"/>
      <c r="M134" s="87"/>
      <c r="N134" s="87"/>
      <c r="O134" s="87"/>
      <c r="P134" s="87"/>
      <c r="Q134" s="87"/>
      <c r="R134" s="87"/>
      <c r="S134" s="87"/>
      <c r="T134" s="87"/>
      <c r="U134" s="87"/>
      <c r="V134" s="87"/>
      <c r="W134" s="87"/>
      <c r="X134" s="87"/>
      <c r="Y134" s="87"/>
      <c r="Z134" s="87"/>
    </row>
    <row r="135">
      <c r="A135" s="85"/>
      <c r="B135" s="85"/>
      <c r="C135" s="98"/>
      <c r="D135" s="98"/>
      <c r="E135" s="97"/>
      <c r="F135" s="97"/>
      <c r="G135" s="79"/>
      <c r="H135" s="97"/>
      <c r="I135" s="97"/>
      <c r="J135" s="78"/>
      <c r="K135" s="79"/>
      <c r="L135" s="79"/>
      <c r="M135" s="87"/>
      <c r="N135" s="87"/>
      <c r="O135" s="87"/>
      <c r="P135" s="87"/>
      <c r="Q135" s="87"/>
      <c r="R135" s="87"/>
      <c r="S135" s="87"/>
      <c r="T135" s="87"/>
      <c r="U135" s="87"/>
      <c r="V135" s="87"/>
      <c r="W135" s="87"/>
      <c r="X135" s="87"/>
      <c r="Y135" s="87"/>
      <c r="Z135" s="87"/>
    </row>
    <row r="136">
      <c r="A136" s="99"/>
      <c r="B136" s="85"/>
      <c r="C136" s="98"/>
      <c r="D136" s="98"/>
      <c r="E136" s="97"/>
      <c r="F136" s="97"/>
      <c r="G136" s="79"/>
      <c r="H136" s="97"/>
      <c r="I136" s="97"/>
      <c r="J136" s="78"/>
      <c r="K136" s="79"/>
      <c r="L136" s="79"/>
      <c r="M136" s="87"/>
      <c r="N136" s="87"/>
      <c r="O136" s="87"/>
      <c r="P136" s="87"/>
      <c r="Q136" s="87"/>
      <c r="R136" s="87"/>
      <c r="S136" s="87"/>
      <c r="T136" s="87"/>
      <c r="U136" s="87"/>
      <c r="V136" s="87"/>
      <c r="W136" s="87"/>
      <c r="X136" s="87"/>
      <c r="Y136" s="87"/>
      <c r="Z136" s="87"/>
    </row>
    <row r="137">
      <c r="A137" s="85"/>
      <c r="B137" s="85"/>
      <c r="C137" s="98"/>
      <c r="D137" s="98"/>
      <c r="E137" s="97"/>
      <c r="F137" s="97"/>
      <c r="G137" s="79"/>
      <c r="H137" s="97"/>
      <c r="I137" s="97"/>
      <c r="J137" s="78"/>
      <c r="K137" s="79"/>
      <c r="L137" s="79"/>
      <c r="M137" s="87"/>
      <c r="N137" s="87"/>
      <c r="O137" s="87"/>
      <c r="P137" s="87"/>
      <c r="Q137" s="87"/>
      <c r="R137" s="87"/>
      <c r="S137" s="87"/>
      <c r="T137" s="87"/>
      <c r="U137" s="87"/>
      <c r="V137" s="87"/>
      <c r="W137" s="87"/>
      <c r="X137" s="87"/>
      <c r="Y137" s="87"/>
      <c r="Z137" s="87"/>
    </row>
    <row r="138">
      <c r="A138" s="85"/>
      <c r="B138" s="85"/>
      <c r="C138" s="98"/>
      <c r="D138" s="98"/>
      <c r="E138" s="97"/>
      <c r="F138" s="97"/>
      <c r="G138" s="79"/>
      <c r="H138" s="97"/>
      <c r="I138" s="97"/>
      <c r="J138" s="78"/>
      <c r="K138" s="79"/>
      <c r="L138" s="79"/>
      <c r="M138" s="87"/>
      <c r="N138" s="87"/>
      <c r="O138" s="87"/>
      <c r="P138" s="87"/>
      <c r="Q138" s="87"/>
      <c r="R138" s="87"/>
      <c r="S138" s="87"/>
      <c r="T138" s="87"/>
      <c r="U138" s="87"/>
      <c r="V138" s="87"/>
      <c r="W138" s="87"/>
      <c r="X138" s="87"/>
      <c r="Y138" s="87"/>
      <c r="Z138" s="87"/>
    </row>
    <row r="139">
      <c r="A139" s="85"/>
      <c r="B139" s="85"/>
      <c r="C139" s="98"/>
      <c r="D139" s="98"/>
      <c r="E139" s="97"/>
      <c r="F139" s="97"/>
      <c r="G139" s="79"/>
      <c r="H139" s="97"/>
      <c r="I139" s="97"/>
      <c r="J139" s="78"/>
      <c r="K139" s="79"/>
      <c r="L139" s="79"/>
      <c r="M139" s="87"/>
      <c r="N139" s="87"/>
      <c r="O139" s="87"/>
      <c r="P139" s="87"/>
      <c r="Q139" s="87"/>
      <c r="R139" s="87"/>
      <c r="S139" s="87"/>
      <c r="T139" s="87"/>
      <c r="U139" s="87"/>
      <c r="V139" s="87"/>
      <c r="W139" s="87"/>
      <c r="X139" s="87"/>
      <c r="Y139" s="87"/>
      <c r="Z139" s="87"/>
    </row>
    <row r="140">
      <c r="A140" s="85"/>
      <c r="B140" s="85"/>
      <c r="C140" s="98"/>
      <c r="D140" s="98"/>
      <c r="E140" s="97"/>
      <c r="F140" s="97"/>
      <c r="G140" s="79"/>
      <c r="H140" s="97"/>
      <c r="I140" s="97"/>
      <c r="J140" s="78"/>
      <c r="K140" s="79"/>
      <c r="L140" s="79"/>
      <c r="M140" s="87"/>
      <c r="N140" s="87"/>
      <c r="O140" s="87"/>
      <c r="P140" s="87"/>
      <c r="Q140" s="87"/>
      <c r="R140" s="87"/>
      <c r="S140" s="87"/>
      <c r="T140" s="87"/>
      <c r="U140" s="87"/>
      <c r="V140" s="87"/>
      <c r="W140" s="87"/>
      <c r="X140" s="87"/>
      <c r="Y140" s="87"/>
      <c r="Z140" s="87"/>
    </row>
    <row r="141">
      <c r="A141" s="85"/>
      <c r="B141" s="85"/>
      <c r="C141" s="98"/>
      <c r="D141" s="98"/>
      <c r="E141" s="97"/>
      <c r="F141" s="97"/>
      <c r="G141" s="79"/>
      <c r="H141" s="97"/>
      <c r="I141" s="97"/>
      <c r="J141" s="78"/>
      <c r="K141" s="79"/>
      <c r="L141" s="79"/>
      <c r="M141" s="87"/>
      <c r="N141" s="87"/>
      <c r="O141" s="87"/>
      <c r="P141" s="87"/>
      <c r="Q141" s="87"/>
      <c r="R141" s="87"/>
      <c r="S141" s="87"/>
      <c r="T141" s="87"/>
      <c r="U141" s="87"/>
      <c r="V141" s="87"/>
      <c r="W141" s="87"/>
      <c r="X141" s="87"/>
      <c r="Y141" s="87"/>
      <c r="Z141" s="87"/>
    </row>
    <row r="142">
      <c r="A142" s="85"/>
      <c r="B142" s="85"/>
      <c r="C142" s="98"/>
      <c r="D142" s="98"/>
      <c r="E142" s="97"/>
      <c r="F142" s="97"/>
      <c r="G142" s="79"/>
      <c r="H142" s="97"/>
      <c r="I142" s="97"/>
      <c r="J142" s="78"/>
      <c r="K142" s="79"/>
      <c r="L142" s="79"/>
      <c r="M142" s="87"/>
      <c r="N142" s="87"/>
      <c r="O142" s="87"/>
      <c r="P142" s="87"/>
      <c r="Q142" s="87"/>
      <c r="R142" s="87"/>
      <c r="S142" s="87"/>
      <c r="T142" s="87"/>
      <c r="U142" s="87"/>
      <c r="V142" s="87"/>
      <c r="W142" s="87"/>
      <c r="X142" s="87"/>
      <c r="Y142" s="87"/>
      <c r="Z142" s="87"/>
    </row>
    <row r="143">
      <c r="A143" s="85"/>
      <c r="B143" s="85"/>
      <c r="C143" s="98"/>
      <c r="D143" s="98"/>
      <c r="E143" s="97"/>
      <c r="F143" s="97"/>
      <c r="G143" s="79"/>
      <c r="H143" s="97"/>
      <c r="I143" s="97"/>
      <c r="J143" s="78"/>
      <c r="K143" s="79"/>
      <c r="L143" s="79"/>
      <c r="M143" s="87"/>
      <c r="N143" s="87"/>
      <c r="O143" s="87"/>
      <c r="P143" s="87"/>
      <c r="Q143" s="87"/>
      <c r="R143" s="87"/>
      <c r="S143" s="87"/>
      <c r="T143" s="87"/>
      <c r="U143" s="87"/>
      <c r="V143" s="87"/>
      <c r="W143" s="87"/>
      <c r="X143" s="87"/>
      <c r="Y143" s="87"/>
      <c r="Z143" s="87"/>
    </row>
    <row r="144">
      <c r="A144" s="85"/>
      <c r="B144" s="85"/>
      <c r="C144" s="98"/>
      <c r="D144" s="98"/>
      <c r="E144" s="97"/>
      <c r="F144" s="97"/>
      <c r="G144" s="79"/>
      <c r="H144" s="97"/>
      <c r="I144" s="97"/>
      <c r="J144" s="78"/>
      <c r="K144" s="79"/>
      <c r="L144" s="79"/>
      <c r="M144" s="87"/>
      <c r="N144" s="87"/>
      <c r="O144" s="87"/>
      <c r="P144" s="87"/>
      <c r="Q144" s="87"/>
      <c r="R144" s="87"/>
      <c r="S144" s="87"/>
      <c r="T144" s="87"/>
      <c r="U144" s="87"/>
      <c r="V144" s="87"/>
      <c r="W144" s="87"/>
      <c r="X144" s="87"/>
      <c r="Y144" s="87"/>
      <c r="Z144" s="87"/>
    </row>
    <row r="145">
      <c r="A145" s="96"/>
      <c r="B145" s="96"/>
      <c r="C145" s="98"/>
      <c r="D145" s="98"/>
      <c r="E145" s="100"/>
      <c r="F145" s="100"/>
      <c r="G145" s="101"/>
      <c r="H145" s="100"/>
      <c r="I145" s="100"/>
      <c r="J145" s="46"/>
      <c r="K145" s="101"/>
      <c r="L145" s="101"/>
      <c r="M145" s="87"/>
      <c r="N145" s="87"/>
      <c r="O145" s="87"/>
      <c r="P145" s="87"/>
      <c r="Q145" s="87"/>
      <c r="R145" s="87"/>
      <c r="S145" s="87"/>
      <c r="T145" s="87"/>
      <c r="U145" s="87"/>
      <c r="V145" s="87"/>
      <c r="W145" s="87"/>
      <c r="X145" s="87"/>
      <c r="Y145" s="87"/>
      <c r="Z145" s="87"/>
    </row>
    <row r="146">
      <c r="A146" s="96"/>
      <c r="B146" s="96"/>
      <c r="C146" s="98"/>
      <c r="D146" s="98"/>
      <c r="E146" s="100"/>
      <c r="F146" s="100"/>
      <c r="G146" s="101"/>
      <c r="H146" s="100"/>
      <c r="I146" s="100"/>
      <c r="J146" s="46"/>
      <c r="K146" s="101"/>
      <c r="L146" s="101"/>
      <c r="M146" s="87"/>
      <c r="N146" s="87"/>
      <c r="O146" s="87"/>
      <c r="P146" s="87"/>
      <c r="Q146" s="87"/>
      <c r="R146" s="87"/>
      <c r="S146" s="87"/>
      <c r="T146" s="87"/>
      <c r="U146" s="87"/>
      <c r="V146" s="87"/>
      <c r="W146" s="87"/>
      <c r="X146" s="87"/>
      <c r="Y146" s="87"/>
      <c r="Z146" s="87"/>
    </row>
    <row r="147">
      <c r="A147" s="96"/>
      <c r="B147" s="96"/>
      <c r="C147" s="98"/>
      <c r="D147" s="98"/>
      <c r="E147" s="100"/>
      <c r="F147" s="100"/>
      <c r="G147" s="101"/>
      <c r="H147" s="100"/>
      <c r="I147" s="100"/>
      <c r="J147" s="46"/>
      <c r="K147" s="101"/>
      <c r="L147" s="101"/>
      <c r="M147" s="87"/>
      <c r="N147" s="87"/>
      <c r="O147" s="87"/>
      <c r="P147" s="87"/>
      <c r="Q147" s="87"/>
      <c r="R147" s="87"/>
      <c r="S147" s="87"/>
      <c r="T147" s="87"/>
      <c r="U147" s="87"/>
      <c r="V147" s="87"/>
      <c r="W147" s="87"/>
      <c r="X147" s="87"/>
      <c r="Y147" s="87"/>
      <c r="Z147" s="87"/>
    </row>
    <row r="148">
      <c r="A148" s="96"/>
      <c r="B148" s="96"/>
      <c r="C148" s="98"/>
      <c r="D148" s="98"/>
      <c r="E148" s="100"/>
      <c r="F148" s="100"/>
      <c r="G148" s="101"/>
      <c r="H148" s="100"/>
      <c r="I148" s="100"/>
      <c r="J148" s="46"/>
      <c r="K148" s="101"/>
      <c r="L148" s="101"/>
      <c r="M148" s="87"/>
      <c r="N148" s="87"/>
      <c r="O148" s="87"/>
      <c r="P148" s="87"/>
      <c r="Q148" s="87"/>
      <c r="R148" s="87"/>
      <c r="S148" s="87"/>
      <c r="T148" s="87"/>
      <c r="U148" s="87"/>
      <c r="V148" s="87"/>
      <c r="W148" s="87"/>
      <c r="X148" s="87"/>
      <c r="Y148" s="87"/>
      <c r="Z148" s="87"/>
    </row>
    <row r="149">
      <c r="A149" s="96"/>
      <c r="B149" s="96"/>
      <c r="C149" s="98"/>
      <c r="D149" s="98"/>
      <c r="E149" s="100"/>
      <c r="F149" s="100"/>
      <c r="G149" s="101"/>
      <c r="H149" s="100"/>
      <c r="I149" s="100"/>
      <c r="J149" s="46"/>
      <c r="K149" s="101"/>
      <c r="L149" s="101"/>
      <c r="M149" s="87"/>
      <c r="N149" s="87"/>
      <c r="O149" s="87"/>
      <c r="P149" s="87"/>
      <c r="Q149" s="87"/>
      <c r="R149" s="87"/>
      <c r="S149" s="87"/>
      <c r="T149" s="87"/>
      <c r="U149" s="87"/>
      <c r="V149" s="87"/>
      <c r="W149" s="87"/>
      <c r="X149" s="87"/>
      <c r="Y149" s="87"/>
      <c r="Z149" s="87"/>
    </row>
    <row r="150">
      <c r="A150" s="96"/>
      <c r="B150" s="96"/>
      <c r="C150" s="98"/>
      <c r="D150" s="98"/>
      <c r="E150" s="100"/>
      <c r="F150" s="100"/>
      <c r="G150" s="101"/>
      <c r="H150" s="100"/>
      <c r="I150" s="100"/>
      <c r="J150" s="46"/>
      <c r="K150" s="101"/>
      <c r="L150" s="101"/>
      <c r="M150" s="87"/>
      <c r="N150" s="87"/>
      <c r="O150" s="87"/>
      <c r="P150" s="87"/>
      <c r="Q150" s="87"/>
      <c r="R150" s="87"/>
      <c r="S150" s="87"/>
      <c r="T150" s="87"/>
      <c r="U150" s="87"/>
      <c r="V150" s="87"/>
      <c r="W150" s="87"/>
      <c r="X150" s="87"/>
      <c r="Y150" s="87"/>
      <c r="Z150" s="87"/>
    </row>
    <row r="151">
      <c r="A151" s="96"/>
      <c r="B151" s="96"/>
      <c r="C151" s="98"/>
      <c r="D151" s="98"/>
      <c r="E151" s="100"/>
      <c r="F151" s="100"/>
      <c r="G151" s="101"/>
      <c r="H151" s="100"/>
      <c r="I151" s="100"/>
      <c r="J151" s="46"/>
      <c r="K151" s="101"/>
      <c r="L151" s="101"/>
      <c r="M151" s="87"/>
      <c r="N151" s="87"/>
      <c r="O151" s="87"/>
      <c r="P151" s="87"/>
      <c r="Q151" s="87"/>
      <c r="R151" s="87"/>
      <c r="S151" s="87"/>
      <c r="T151" s="87"/>
      <c r="U151" s="87"/>
      <c r="V151" s="87"/>
      <c r="W151" s="87"/>
      <c r="X151" s="87"/>
      <c r="Y151" s="87"/>
      <c r="Z151" s="87"/>
    </row>
    <row r="152">
      <c r="A152" s="96"/>
      <c r="B152" s="96"/>
      <c r="C152" s="98"/>
      <c r="D152" s="98"/>
      <c r="E152" s="100"/>
      <c r="F152" s="100"/>
      <c r="G152" s="101"/>
      <c r="H152" s="100"/>
      <c r="I152" s="100"/>
      <c r="J152" s="46"/>
      <c r="K152" s="101"/>
      <c r="L152" s="101"/>
      <c r="M152" s="87"/>
      <c r="N152" s="87"/>
      <c r="O152" s="87"/>
      <c r="P152" s="87"/>
      <c r="Q152" s="87"/>
      <c r="R152" s="87"/>
      <c r="S152" s="87"/>
      <c r="T152" s="87"/>
      <c r="U152" s="87"/>
      <c r="V152" s="87"/>
      <c r="W152" s="87"/>
      <c r="X152" s="87"/>
      <c r="Y152" s="87"/>
      <c r="Z152" s="87"/>
    </row>
    <row r="153">
      <c r="A153" s="96"/>
      <c r="B153" s="96"/>
      <c r="C153" s="98"/>
      <c r="D153" s="98"/>
      <c r="E153" s="100"/>
      <c r="F153" s="100"/>
      <c r="G153" s="101"/>
      <c r="H153" s="100"/>
      <c r="I153" s="100"/>
      <c r="J153" s="46"/>
      <c r="K153" s="101"/>
      <c r="L153" s="101"/>
      <c r="M153" s="87"/>
      <c r="N153" s="87"/>
      <c r="O153" s="87"/>
      <c r="P153" s="87"/>
      <c r="Q153" s="87"/>
      <c r="R153" s="87"/>
      <c r="S153" s="87"/>
      <c r="T153" s="87"/>
      <c r="U153" s="87"/>
      <c r="V153" s="87"/>
      <c r="W153" s="87"/>
      <c r="X153" s="87"/>
      <c r="Y153" s="87"/>
      <c r="Z153" s="87"/>
    </row>
    <row r="154">
      <c r="A154" s="96"/>
      <c r="B154" s="96"/>
      <c r="C154" s="98"/>
      <c r="D154" s="98"/>
      <c r="E154" s="100"/>
      <c r="F154" s="100"/>
      <c r="G154" s="101"/>
      <c r="H154" s="100"/>
      <c r="I154" s="100"/>
      <c r="J154" s="46"/>
      <c r="K154" s="101"/>
      <c r="L154" s="101"/>
      <c r="M154" s="87"/>
      <c r="N154" s="87"/>
      <c r="O154" s="87"/>
      <c r="P154" s="87"/>
      <c r="Q154" s="87"/>
      <c r="R154" s="87"/>
      <c r="S154" s="87"/>
      <c r="T154" s="87"/>
      <c r="U154" s="87"/>
      <c r="V154" s="87"/>
      <c r="W154" s="87"/>
      <c r="X154" s="87"/>
      <c r="Y154" s="87"/>
      <c r="Z154" s="87"/>
    </row>
    <row r="155">
      <c r="A155" s="96"/>
      <c r="B155" s="96"/>
      <c r="C155" s="98"/>
      <c r="D155" s="98"/>
      <c r="E155" s="100"/>
      <c r="F155" s="100"/>
      <c r="G155" s="101"/>
      <c r="H155" s="100"/>
      <c r="I155" s="100"/>
      <c r="J155" s="46"/>
      <c r="K155" s="101"/>
      <c r="L155" s="101"/>
      <c r="M155" s="87"/>
      <c r="N155" s="87"/>
      <c r="O155" s="87"/>
      <c r="P155" s="87"/>
      <c r="Q155" s="87"/>
      <c r="R155" s="87"/>
      <c r="S155" s="87"/>
      <c r="T155" s="87"/>
      <c r="U155" s="87"/>
      <c r="V155" s="87"/>
      <c r="W155" s="87"/>
      <c r="X155" s="87"/>
      <c r="Y155" s="87"/>
      <c r="Z155" s="87"/>
    </row>
    <row r="156">
      <c r="A156" s="96"/>
      <c r="B156" s="96"/>
      <c r="C156" s="98"/>
      <c r="D156" s="98"/>
      <c r="E156" s="100"/>
      <c r="F156" s="100"/>
      <c r="G156" s="101"/>
      <c r="H156" s="100"/>
      <c r="I156" s="100"/>
      <c r="J156" s="46"/>
      <c r="K156" s="101"/>
      <c r="L156" s="101"/>
      <c r="M156" s="87"/>
      <c r="N156" s="87"/>
      <c r="O156" s="87"/>
      <c r="P156" s="87"/>
      <c r="Q156" s="87"/>
      <c r="R156" s="87"/>
      <c r="S156" s="87"/>
      <c r="T156" s="87"/>
      <c r="U156" s="87"/>
      <c r="V156" s="87"/>
      <c r="W156" s="87"/>
      <c r="X156" s="87"/>
      <c r="Y156" s="87"/>
      <c r="Z156" s="87"/>
    </row>
    <row r="157">
      <c r="A157" s="96"/>
      <c r="B157" s="96"/>
      <c r="C157" s="98"/>
      <c r="D157" s="98"/>
      <c r="E157" s="100"/>
      <c r="F157" s="100"/>
      <c r="G157" s="101"/>
      <c r="H157" s="100"/>
      <c r="I157" s="100"/>
      <c r="J157" s="46"/>
      <c r="K157" s="101"/>
      <c r="L157" s="101"/>
      <c r="M157" s="87"/>
      <c r="N157" s="87"/>
      <c r="O157" s="87"/>
      <c r="P157" s="87"/>
      <c r="Q157" s="87"/>
      <c r="R157" s="87"/>
      <c r="S157" s="87"/>
      <c r="T157" s="87"/>
      <c r="U157" s="87"/>
      <c r="V157" s="87"/>
      <c r="W157" s="87"/>
      <c r="X157" s="87"/>
      <c r="Y157" s="87"/>
      <c r="Z157" s="87"/>
    </row>
    <row r="158">
      <c r="A158" s="96"/>
      <c r="B158" s="96"/>
      <c r="C158" s="98"/>
      <c r="D158" s="98"/>
      <c r="E158" s="100"/>
      <c r="F158" s="100"/>
      <c r="G158" s="101"/>
      <c r="H158" s="100"/>
      <c r="I158" s="100"/>
      <c r="J158" s="46"/>
      <c r="K158" s="101"/>
      <c r="L158" s="101"/>
      <c r="M158" s="87"/>
      <c r="N158" s="87"/>
      <c r="O158" s="87"/>
      <c r="P158" s="87"/>
      <c r="Q158" s="87"/>
      <c r="R158" s="87"/>
      <c r="S158" s="87"/>
      <c r="T158" s="87"/>
      <c r="U158" s="87"/>
      <c r="V158" s="87"/>
      <c r="W158" s="87"/>
      <c r="X158" s="87"/>
      <c r="Y158" s="87"/>
      <c r="Z158" s="87"/>
    </row>
    <row r="159">
      <c r="A159" s="96"/>
      <c r="B159" s="96"/>
      <c r="C159" s="98"/>
      <c r="D159" s="98"/>
      <c r="E159" s="100"/>
      <c r="F159" s="100"/>
      <c r="G159" s="101"/>
      <c r="H159" s="100"/>
      <c r="I159" s="100"/>
      <c r="J159" s="46"/>
      <c r="K159" s="101"/>
      <c r="L159" s="101"/>
      <c r="M159" s="87"/>
      <c r="N159" s="87"/>
      <c r="O159" s="87"/>
      <c r="P159" s="87"/>
      <c r="Q159" s="87"/>
      <c r="R159" s="87"/>
      <c r="S159" s="87"/>
      <c r="T159" s="87"/>
      <c r="U159" s="87"/>
      <c r="V159" s="87"/>
      <c r="W159" s="87"/>
      <c r="X159" s="87"/>
      <c r="Y159" s="87"/>
      <c r="Z159" s="87"/>
    </row>
    <row r="160">
      <c r="A160" s="96"/>
      <c r="B160" s="96"/>
      <c r="C160" s="98"/>
      <c r="D160" s="98"/>
      <c r="E160" s="100"/>
      <c r="F160" s="100"/>
      <c r="G160" s="101"/>
      <c r="H160" s="100"/>
      <c r="I160" s="100"/>
      <c r="J160" s="46"/>
      <c r="K160" s="101"/>
      <c r="L160" s="101"/>
      <c r="M160" s="87"/>
      <c r="N160" s="87"/>
      <c r="O160" s="87"/>
      <c r="P160" s="87"/>
      <c r="Q160" s="87"/>
      <c r="R160" s="87"/>
      <c r="S160" s="87"/>
      <c r="T160" s="87"/>
      <c r="U160" s="87"/>
      <c r="V160" s="87"/>
      <c r="W160" s="87"/>
      <c r="X160" s="87"/>
      <c r="Y160" s="87"/>
      <c r="Z160" s="87"/>
    </row>
    <row r="161">
      <c r="A161" s="96"/>
      <c r="B161" s="96"/>
      <c r="C161" s="98"/>
      <c r="D161" s="98"/>
      <c r="E161" s="100"/>
      <c r="F161" s="100"/>
      <c r="G161" s="101"/>
      <c r="H161" s="100"/>
      <c r="I161" s="100"/>
      <c r="J161" s="46"/>
      <c r="K161" s="101"/>
      <c r="L161" s="101"/>
      <c r="M161" s="87"/>
      <c r="N161" s="87"/>
      <c r="O161" s="87"/>
      <c r="P161" s="87"/>
      <c r="Q161" s="87"/>
      <c r="R161" s="87"/>
      <c r="S161" s="87"/>
      <c r="T161" s="87"/>
      <c r="U161" s="87"/>
      <c r="V161" s="87"/>
      <c r="W161" s="87"/>
      <c r="X161" s="87"/>
      <c r="Y161" s="87"/>
      <c r="Z161" s="87"/>
    </row>
    <row r="162">
      <c r="A162" s="96"/>
      <c r="B162" s="96"/>
      <c r="C162" s="98"/>
      <c r="D162" s="98"/>
      <c r="E162" s="100"/>
      <c r="F162" s="100"/>
      <c r="G162" s="101"/>
      <c r="H162" s="100"/>
      <c r="I162" s="100"/>
      <c r="J162" s="46"/>
      <c r="K162" s="101"/>
      <c r="L162" s="101"/>
      <c r="M162" s="87"/>
      <c r="N162" s="87"/>
      <c r="O162" s="87"/>
      <c r="P162" s="87"/>
      <c r="Q162" s="87"/>
      <c r="R162" s="87"/>
      <c r="S162" s="87"/>
      <c r="T162" s="87"/>
      <c r="U162" s="87"/>
      <c r="V162" s="87"/>
      <c r="W162" s="87"/>
      <c r="X162" s="87"/>
      <c r="Y162" s="87"/>
      <c r="Z162" s="87"/>
    </row>
    <row r="163">
      <c r="A163" s="96"/>
      <c r="B163" s="96"/>
      <c r="C163" s="98"/>
      <c r="D163" s="98"/>
      <c r="E163" s="100"/>
      <c r="F163" s="100"/>
      <c r="G163" s="101"/>
      <c r="H163" s="100"/>
      <c r="I163" s="100"/>
      <c r="J163" s="46"/>
      <c r="K163" s="101"/>
      <c r="L163" s="101"/>
      <c r="M163" s="87"/>
      <c r="N163" s="87"/>
      <c r="O163" s="87"/>
      <c r="P163" s="87"/>
      <c r="Q163" s="87"/>
      <c r="R163" s="87"/>
      <c r="S163" s="87"/>
      <c r="T163" s="87"/>
      <c r="U163" s="87"/>
      <c r="V163" s="87"/>
      <c r="W163" s="87"/>
      <c r="X163" s="87"/>
      <c r="Y163" s="87"/>
      <c r="Z163" s="87"/>
    </row>
    <row r="164">
      <c r="A164" s="96"/>
      <c r="B164" s="96"/>
      <c r="C164" s="98"/>
      <c r="D164" s="98"/>
      <c r="E164" s="100"/>
      <c r="F164" s="100"/>
      <c r="G164" s="101"/>
      <c r="H164" s="100"/>
      <c r="I164" s="100"/>
      <c r="J164" s="46"/>
      <c r="K164" s="101"/>
      <c r="L164" s="101"/>
      <c r="M164" s="87"/>
      <c r="N164" s="87"/>
      <c r="O164" s="87"/>
      <c r="P164" s="87"/>
      <c r="Q164" s="87"/>
      <c r="R164" s="87"/>
      <c r="S164" s="87"/>
      <c r="T164" s="87"/>
      <c r="U164" s="87"/>
      <c r="V164" s="87"/>
      <c r="W164" s="87"/>
      <c r="X164" s="87"/>
      <c r="Y164" s="87"/>
      <c r="Z164" s="87"/>
    </row>
    <row r="165">
      <c r="A165" s="96"/>
      <c r="B165" s="96"/>
      <c r="C165" s="98"/>
      <c r="D165" s="98"/>
      <c r="E165" s="100"/>
      <c r="F165" s="100"/>
      <c r="G165" s="101"/>
      <c r="H165" s="100"/>
      <c r="I165" s="100"/>
      <c r="J165" s="46"/>
      <c r="K165" s="101"/>
      <c r="L165" s="101"/>
      <c r="M165" s="87"/>
      <c r="N165" s="87"/>
      <c r="O165" s="87"/>
      <c r="P165" s="87"/>
      <c r="Q165" s="87"/>
      <c r="R165" s="87"/>
      <c r="S165" s="87"/>
      <c r="T165" s="87"/>
      <c r="U165" s="87"/>
      <c r="V165" s="87"/>
      <c r="W165" s="87"/>
      <c r="X165" s="87"/>
      <c r="Y165" s="87"/>
      <c r="Z165" s="87"/>
    </row>
    <row r="166">
      <c r="A166" s="96"/>
      <c r="B166" s="96"/>
      <c r="C166" s="98"/>
      <c r="D166" s="98"/>
      <c r="E166" s="100"/>
      <c r="F166" s="100"/>
      <c r="G166" s="101"/>
      <c r="H166" s="100"/>
      <c r="I166" s="100"/>
      <c r="J166" s="46"/>
      <c r="K166" s="101"/>
      <c r="L166" s="101"/>
      <c r="M166" s="87"/>
      <c r="N166" s="87"/>
      <c r="O166" s="87"/>
      <c r="P166" s="87"/>
      <c r="Q166" s="87"/>
      <c r="R166" s="87"/>
      <c r="S166" s="87"/>
      <c r="T166" s="87"/>
      <c r="U166" s="87"/>
      <c r="V166" s="87"/>
      <c r="W166" s="87"/>
      <c r="X166" s="87"/>
      <c r="Y166" s="87"/>
      <c r="Z166" s="87"/>
    </row>
    <row r="167">
      <c r="A167" s="96"/>
      <c r="B167" s="96"/>
      <c r="C167" s="98"/>
      <c r="D167" s="98"/>
      <c r="E167" s="100"/>
      <c r="F167" s="100"/>
      <c r="G167" s="101"/>
      <c r="H167" s="100"/>
      <c r="I167" s="100"/>
      <c r="J167" s="46"/>
      <c r="K167" s="101"/>
      <c r="L167" s="101"/>
      <c r="M167" s="87"/>
      <c r="N167" s="87"/>
      <c r="O167" s="87"/>
      <c r="P167" s="87"/>
      <c r="Q167" s="87"/>
      <c r="R167" s="87"/>
      <c r="S167" s="87"/>
      <c r="T167" s="87"/>
      <c r="U167" s="87"/>
      <c r="V167" s="87"/>
      <c r="W167" s="87"/>
      <c r="X167" s="87"/>
      <c r="Y167" s="87"/>
      <c r="Z167" s="87"/>
    </row>
    <row r="168">
      <c r="A168" s="96"/>
      <c r="B168" s="96"/>
      <c r="C168" s="98"/>
      <c r="D168" s="98"/>
      <c r="E168" s="100"/>
      <c r="F168" s="100"/>
      <c r="G168" s="101"/>
      <c r="H168" s="100"/>
      <c r="I168" s="100"/>
      <c r="J168" s="46"/>
      <c r="K168" s="101"/>
      <c r="L168" s="101"/>
      <c r="M168" s="87"/>
      <c r="N168" s="87"/>
      <c r="O168" s="87"/>
      <c r="P168" s="87"/>
      <c r="Q168" s="87"/>
      <c r="R168" s="87"/>
      <c r="S168" s="87"/>
      <c r="T168" s="87"/>
      <c r="U168" s="87"/>
      <c r="V168" s="87"/>
      <c r="W168" s="87"/>
      <c r="X168" s="87"/>
      <c r="Y168" s="87"/>
      <c r="Z168" s="87"/>
    </row>
    <row r="169">
      <c r="A169" s="96"/>
      <c r="B169" s="96"/>
      <c r="C169" s="98"/>
      <c r="D169" s="98"/>
      <c r="E169" s="100"/>
      <c r="F169" s="100"/>
      <c r="G169" s="101"/>
      <c r="H169" s="100"/>
      <c r="I169" s="100"/>
      <c r="J169" s="46"/>
      <c r="K169" s="101"/>
      <c r="L169" s="101"/>
      <c r="M169" s="87"/>
      <c r="N169" s="87"/>
      <c r="O169" s="87"/>
      <c r="P169" s="87"/>
      <c r="Q169" s="87"/>
      <c r="R169" s="87"/>
      <c r="S169" s="87"/>
      <c r="T169" s="87"/>
      <c r="U169" s="87"/>
      <c r="V169" s="87"/>
      <c r="W169" s="87"/>
      <c r="X169" s="87"/>
      <c r="Y169" s="87"/>
      <c r="Z169" s="87"/>
    </row>
    <row r="170">
      <c r="A170" s="96"/>
      <c r="B170" s="96"/>
      <c r="C170" s="98"/>
      <c r="D170" s="98"/>
      <c r="E170" s="100"/>
      <c r="F170" s="100"/>
      <c r="G170" s="101"/>
      <c r="H170" s="100"/>
      <c r="I170" s="100"/>
      <c r="J170" s="46"/>
      <c r="K170" s="101"/>
      <c r="L170" s="101"/>
      <c r="M170" s="87"/>
      <c r="N170" s="87"/>
      <c r="O170" s="87"/>
      <c r="P170" s="87"/>
      <c r="Q170" s="87"/>
      <c r="R170" s="87"/>
      <c r="S170" s="87"/>
      <c r="T170" s="87"/>
      <c r="U170" s="87"/>
      <c r="V170" s="87"/>
      <c r="W170" s="87"/>
      <c r="X170" s="87"/>
      <c r="Y170" s="87"/>
      <c r="Z170" s="87"/>
    </row>
    <row r="171">
      <c r="A171" s="96"/>
      <c r="B171" s="96"/>
      <c r="C171" s="98"/>
      <c r="D171" s="98"/>
      <c r="E171" s="100"/>
      <c r="F171" s="100"/>
      <c r="G171" s="101"/>
      <c r="H171" s="100"/>
      <c r="I171" s="100"/>
      <c r="J171" s="46"/>
      <c r="K171" s="101"/>
      <c r="L171" s="101"/>
      <c r="M171" s="87"/>
      <c r="N171" s="87"/>
      <c r="O171" s="87"/>
      <c r="P171" s="87"/>
      <c r="Q171" s="87"/>
      <c r="R171" s="87"/>
      <c r="S171" s="87"/>
      <c r="T171" s="87"/>
      <c r="U171" s="87"/>
      <c r="V171" s="87"/>
      <c r="W171" s="87"/>
      <c r="X171" s="87"/>
      <c r="Y171" s="87"/>
      <c r="Z171" s="87"/>
    </row>
    <row r="172">
      <c r="A172" s="96"/>
      <c r="B172" s="96"/>
      <c r="C172" s="98"/>
      <c r="D172" s="98"/>
      <c r="E172" s="100"/>
      <c r="F172" s="100"/>
      <c r="G172" s="101"/>
      <c r="H172" s="100"/>
      <c r="I172" s="100"/>
      <c r="J172" s="46"/>
      <c r="K172" s="101"/>
      <c r="L172" s="101"/>
      <c r="M172" s="87"/>
      <c r="N172" s="87"/>
      <c r="O172" s="87"/>
      <c r="P172" s="87"/>
      <c r="Q172" s="87"/>
      <c r="R172" s="87"/>
      <c r="S172" s="87"/>
      <c r="T172" s="87"/>
      <c r="U172" s="87"/>
      <c r="V172" s="87"/>
      <c r="W172" s="87"/>
      <c r="X172" s="87"/>
      <c r="Y172" s="87"/>
      <c r="Z172" s="87"/>
    </row>
    <row r="173">
      <c r="A173" s="96"/>
      <c r="B173" s="96"/>
      <c r="C173" s="98"/>
      <c r="D173" s="98"/>
      <c r="E173" s="100"/>
      <c r="F173" s="100"/>
      <c r="G173" s="101"/>
      <c r="H173" s="100"/>
      <c r="I173" s="100"/>
      <c r="J173" s="46"/>
      <c r="K173" s="101"/>
      <c r="L173" s="101"/>
      <c r="M173" s="87"/>
      <c r="N173" s="87"/>
      <c r="O173" s="87"/>
      <c r="P173" s="87"/>
      <c r="Q173" s="87"/>
      <c r="R173" s="87"/>
      <c r="S173" s="87"/>
      <c r="T173" s="87"/>
      <c r="U173" s="87"/>
      <c r="V173" s="87"/>
      <c r="W173" s="87"/>
      <c r="X173" s="87"/>
      <c r="Y173" s="87"/>
      <c r="Z173" s="87"/>
    </row>
    <row r="174">
      <c r="A174" s="96"/>
      <c r="B174" s="96"/>
      <c r="C174" s="98"/>
      <c r="D174" s="98"/>
      <c r="E174" s="100"/>
      <c r="F174" s="100"/>
      <c r="G174" s="101"/>
      <c r="H174" s="100"/>
      <c r="I174" s="100"/>
      <c r="J174" s="46"/>
      <c r="K174" s="101"/>
      <c r="L174" s="101"/>
      <c r="M174" s="87"/>
      <c r="N174" s="87"/>
      <c r="O174" s="87"/>
      <c r="P174" s="87"/>
      <c r="Q174" s="87"/>
      <c r="R174" s="87"/>
      <c r="S174" s="87"/>
      <c r="T174" s="87"/>
      <c r="U174" s="87"/>
      <c r="V174" s="87"/>
      <c r="W174" s="87"/>
      <c r="X174" s="87"/>
      <c r="Y174" s="87"/>
      <c r="Z174" s="87"/>
    </row>
    <row r="175">
      <c r="A175" s="96"/>
      <c r="B175" s="96"/>
      <c r="C175" s="98"/>
      <c r="D175" s="98"/>
      <c r="E175" s="100"/>
      <c r="F175" s="100"/>
      <c r="G175" s="101"/>
      <c r="H175" s="100"/>
      <c r="I175" s="100"/>
      <c r="J175" s="46"/>
      <c r="K175" s="101"/>
      <c r="L175" s="101"/>
      <c r="M175" s="87"/>
      <c r="N175" s="87"/>
      <c r="O175" s="87"/>
      <c r="P175" s="87"/>
      <c r="Q175" s="87"/>
      <c r="R175" s="87"/>
      <c r="S175" s="87"/>
      <c r="T175" s="87"/>
      <c r="U175" s="87"/>
      <c r="V175" s="87"/>
      <c r="W175" s="87"/>
      <c r="X175" s="87"/>
      <c r="Y175" s="87"/>
      <c r="Z175" s="87"/>
    </row>
    <row r="176">
      <c r="A176" s="96"/>
      <c r="B176" s="96"/>
      <c r="C176" s="98"/>
      <c r="D176" s="98"/>
      <c r="E176" s="100"/>
      <c r="F176" s="100"/>
      <c r="G176" s="101"/>
      <c r="H176" s="100"/>
      <c r="I176" s="100"/>
      <c r="J176" s="46"/>
      <c r="K176" s="101"/>
      <c r="L176" s="101"/>
      <c r="M176" s="87"/>
      <c r="N176" s="87"/>
      <c r="O176" s="87"/>
      <c r="P176" s="87"/>
      <c r="Q176" s="87"/>
      <c r="R176" s="87"/>
      <c r="S176" s="87"/>
      <c r="T176" s="87"/>
      <c r="U176" s="87"/>
      <c r="V176" s="87"/>
      <c r="W176" s="87"/>
      <c r="X176" s="87"/>
      <c r="Y176" s="87"/>
      <c r="Z176" s="87"/>
    </row>
    <row r="177">
      <c r="A177" s="96"/>
      <c r="B177" s="96"/>
      <c r="C177" s="98"/>
      <c r="D177" s="98"/>
      <c r="E177" s="100"/>
      <c r="F177" s="100"/>
      <c r="G177" s="101"/>
      <c r="H177" s="100"/>
      <c r="I177" s="100"/>
      <c r="J177" s="46"/>
      <c r="K177" s="101"/>
      <c r="L177" s="101"/>
      <c r="M177" s="87"/>
      <c r="N177" s="87"/>
      <c r="O177" s="87"/>
      <c r="P177" s="87"/>
      <c r="Q177" s="87"/>
      <c r="R177" s="87"/>
      <c r="S177" s="87"/>
      <c r="T177" s="87"/>
      <c r="U177" s="87"/>
      <c r="V177" s="87"/>
      <c r="W177" s="87"/>
      <c r="X177" s="87"/>
      <c r="Y177" s="87"/>
      <c r="Z177" s="87"/>
    </row>
    <row r="178">
      <c r="A178" s="96"/>
      <c r="B178" s="96"/>
      <c r="C178" s="98"/>
      <c r="D178" s="98"/>
      <c r="E178" s="100"/>
      <c r="F178" s="100"/>
      <c r="G178" s="101"/>
      <c r="H178" s="100"/>
      <c r="I178" s="100"/>
      <c r="J178" s="46"/>
      <c r="K178" s="101"/>
      <c r="L178" s="101"/>
      <c r="M178" s="87"/>
      <c r="N178" s="87"/>
      <c r="O178" s="87"/>
      <c r="P178" s="87"/>
      <c r="Q178" s="87"/>
      <c r="R178" s="87"/>
      <c r="S178" s="87"/>
      <c r="T178" s="87"/>
      <c r="U178" s="87"/>
      <c r="V178" s="87"/>
      <c r="W178" s="87"/>
      <c r="X178" s="87"/>
      <c r="Y178" s="87"/>
      <c r="Z178" s="87"/>
    </row>
    <row r="179">
      <c r="A179" s="96"/>
      <c r="B179" s="96"/>
      <c r="C179" s="98"/>
      <c r="D179" s="98"/>
      <c r="E179" s="100"/>
      <c r="F179" s="100"/>
      <c r="G179" s="101"/>
      <c r="H179" s="100"/>
      <c r="I179" s="100"/>
      <c r="J179" s="46"/>
      <c r="K179" s="101"/>
      <c r="L179" s="101"/>
      <c r="M179" s="87"/>
      <c r="N179" s="87"/>
      <c r="O179" s="87"/>
      <c r="P179" s="87"/>
      <c r="Q179" s="87"/>
      <c r="R179" s="87"/>
      <c r="S179" s="87"/>
      <c r="T179" s="87"/>
      <c r="U179" s="87"/>
      <c r="V179" s="87"/>
      <c r="W179" s="87"/>
      <c r="X179" s="87"/>
      <c r="Y179" s="87"/>
      <c r="Z179" s="87"/>
    </row>
    <row r="180">
      <c r="A180" s="96"/>
      <c r="B180" s="96"/>
      <c r="C180" s="98"/>
      <c r="D180" s="98"/>
      <c r="E180" s="100"/>
      <c r="F180" s="100"/>
      <c r="G180" s="101"/>
      <c r="H180" s="100"/>
      <c r="I180" s="100"/>
      <c r="J180" s="46"/>
      <c r="K180" s="101"/>
      <c r="L180" s="101"/>
      <c r="M180" s="87"/>
      <c r="N180" s="87"/>
      <c r="O180" s="87"/>
      <c r="P180" s="87"/>
      <c r="Q180" s="87"/>
      <c r="R180" s="87"/>
      <c r="S180" s="87"/>
      <c r="T180" s="87"/>
      <c r="U180" s="87"/>
      <c r="V180" s="87"/>
      <c r="W180" s="87"/>
      <c r="X180" s="87"/>
      <c r="Y180" s="87"/>
      <c r="Z180" s="87"/>
    </row>
    <row r="181">
      <c r="A181" s="96"/>
      <c r="B181" s="96"/>
      <c r="C181" s="98"/>
      <c r="D181" s="98"/>
      <c r="E181" s="100"/>
      <c r="F181" s="100"/>
      <c r="G181" s="101"/>
      <c r="H181" s="100"/>
      <c r="I181" s="100"/>
      <c r="J181" s="46"/>
      <c r="K181" s="101"/>
      <c r="L181" s="101"/>
      <c r="M181" s="87"/>
      <c r="N181" s="87"/>
      <c r="O181" s="87"/>
      <c r="P181" s="87"/>
      <c r="Q181" s="87"/>
      <c r="R181" s="87"/>
      <c r="S181" s="87"/>
      <c r="T181" s="87"/>
      <c r="U181" s="87"/>
      <c r="V181" s="87"/>
      <c r="W181" s="87"/>
      <c r="X181" s="87"/>
      <c r="Y181" s="87"/>
      <c r="Z181" s="87"/>
    </row>
    <row r="182">
      <c r="A182" s="96"/>
      <c r="B182" s="96"/>
      <c r="C182" s="98"/>
      <c r="D182" s="98"/>
      <c r="E182" s="100"/>
      <c r="F182" s="100"/>
      <c r="G182" s="101"/>
      <c r="H182" s="100"/>
      <c r="I182" s="100"/>
      <c r="J182" s="46"/>
      <c r="K182" s="101"/>
      <c r="L182" s="101"/>
      <c r="M182" s="87"/>
      <c r="N182" s="87"/>
      <c r="O182" s="87"/>
      <c r="P182" s="87"/>
      <c r="Q182" s="87"/>
      <c r="R182" s="87"/>
      <c r="S182" s="87"/>
      <c r="T182" s="87"/>
      <c r="U182" s="87"/>
      <c r="V182" s="87"/>
      <c r="W182" s="87"/>
      <c r="X182" s="87"/>
      <c r="Y182" s="87"/>
      <c r="Z182" s="87"/>
    </row>
    <row r="183">
      <c r="A183" s="96"/>
      <c r="B183" s="96"/>
      <c r="C183" s="98"/>
      <c r="D183" s="98"/>
      <c r="E183" s="100"/>
      <c r="F183" s="100"/>
      <c r="G183" s="101"/>
      <c r="H183" s="100"/>
      <c r="I183" s="100"/>
      <c r="J183" s="46"/>
      <c r="K183" s="101"/>
      <c r="L183" s="101"/>
      <c r="M183" s="87"/>
      <c r="N183" s="87"/>
      <c r="O183" s="87"/>
      <c r="P183" s="87"/>
      <c r="Q183" s="87"/>
      <c r="R183" s="87"/>
      <c r="S183" s="87"/>
      <c r="T183" s="87"/>
      <c r="U183" s="87"/>
      <c r="V183" s="87"/>
      <c r="W183" s="87"/>
      <c r="X183" s="87"/>
      <c r="Y183" s="87"/>
      <c r="Z183" s="87"/>
    </row>
    <row r="184">
      <c r="A184" s="96"/>
      <c r="B184" s="96"/>
      <c r="C184" s="98"/>
      <c r="D184" s="98"/>
      <c r="E184" s="100"/>
      <c r="F184" s="100"/>
      <c r="G184" s="101"/>
      <c r="H184" s="100"/>
      <c r="I184" s="100"/>
      <c r="J184" s="46"/>
      <c r="K184" s="101"/>
      <c r="L184" s="101"/>
      <c r="M184" s="87"/>
      <c r="N184" s="87"/>
      <c r="O184" s="87"/>
      <c r="P184" s="87"/>
      <c r="Q184" s="87"/>
      <c r="R184" s="87"/>
      <c r="S184" s="87"/>
      <c r="T184" s="87"/>
      <c r="U184" s="87"/>
      <c r="V184" s="87"/>
      <c r="W184" s="87"/>
      <c r="X184" s="87"/>
      <c r="Y184" s="87"/>
      <c r="Z184" s="87"/>
    </row>
    <row r="185">
      <c r="A185" s="96"/>
      <c r="B185" s="96"/>
      <c r="C185" s="98"/>
      <c r="D185" s="98"/>
      <c r="E185" s="100"/>
      <c r="F185" s="100"/>
      <c r="G185" s="101"/>
      <c r="H185" s="100"/>
      <c r="I185" s="100"/>
      <c r="J185" s="46"/>
      <c r="K185" s="101"/>
      <c r="L185" s="101"/>
      <c r="M185" s="87"/>
      <c r="N185" s="87"/>
      <c r="O185" s="87"/>
      <c r="P185" s="87"/>
      <c r="Q185" s="87"/>
      <c r="R185" s="87"/>
      <c r="S185" s="87"/>
      <c r="T185" s="87"/>
      <c r="U185" s="87"/>
      <c r="V185" s="87"/>
      <c r="W185" s="87"/>
      <c r="X185" s="87"/>
      <c r="Y185" s="87"/>
      <c r="Z185" s="87"/>
    </row>
    <row r="186">
      <c r="A186" s="96"/>
      <c r="B186" s="96"/>
      <c r="C186" s="98"/>
      <c r="D186" s="98"/>
      <c r="E186" s="100"/>
      <c r="F186" s="100"/>
      <c r="G186" s="101"/>
      <c r="H186" s="100"/>
      <c r="I186" s="100"/>
      <c r="J186" s="46"/>
      <c r="K186" s="101"/>
      <c r="L186" s="101"/>
      <c r="M186" s="87"/>
      <c r="N186" s="87"/>
      <c r="O186" s="87"/>
      <c r="P186" s="87"/>
      <c r="Q186" s="87"/>
      <c r="R186" s="87"/>
      <c r="S186" s="87"/>
      <c r="T186" s="87"/>
      <c r="U186" s="87"/>
      <c r="V186" s="87"/>
      <c r="W186" s="87"/>
      <c r="X186" s="87"/>
      <c r="Y186" s="87"/>
      <c r="Z186" s="87"/>
    </row>
    <row r="187">
      <c r="A187" s="96"/>
      <c r="B187" s="96"/>
      <c r="C187" s="98"/>
      <c r="D187" s="98"/>
      <c r="E187" s="100"/>
      <c r="F187" s="100"/>
      <c r="G187" s="101"/>
      <c r="H187" s="100"/>
      <c r="I187" s="100"/>
      <c r="J187" s="46"/>
      <c r="K187" s="101"/>
      <c r="L187" s="101"/>
      <c r="M187" s="87"/>
      <c r="N187" s="87"/>
      <c r="O187" s="87"/>
      <c r="P187" s="87"/>
      <c r="Q187" s="87"/>
      <c r="R187" s="87"/>
      <c r="S187" s="87"/>
      <c r="T187" s="87"/>
      <c r="U187" s="87"/>
      <c r="V187" s="87"/>
      <c r="W187" s="87"/>
      <c r="X187" s="87"/>
      <c r="Y187" s="87"/>
      <c r="Z187" s="87"/>
    </row>
    <row r="188">
      <c r="A188" s="96"/>
      <c r="B188" s="96"/>
      <c r="C188" s="98"/>
      <c r="D188" s="98"/>
      <c r="E188" s="100"/>
      <c r="F188" s="100"/>
      <c r="G188" s="101"/>
      <c r="H188" s="100"/>
      <c r="I188" s="100"/>
      <c r="J188" s="46"/>
      <c r="K188" s="101"/>
      <c r="L188" s="101"/>
      <c r="M188" s="87"/>
      <c r="N188" s="87"/>
      <c r="O188" s="87"/>
      <c r="P188" s="87"/>
      <c r="Q188" s="87"/>
      <c r="R188" s="87"/>
      <c r="S188" s="87"/>
      <c r="T188" s="87"/>
      <c r="U188" s="87"/>
      <c r="V188" s="87"/>
      <c r="W188" s="87"/>
      <c r="X188" s="87"/>
      <c r="Y188" s="87"/>
      <c r="Z188" s="87"/>
    </row>
    <row r="189">
      <c r="A189" s="96"/>
      <c r="B189" s="96"/>
      <c r="C189" s="98"/>
      <c r="D189" s="98"/>
      <c r="E189" s="100"/>
      <c r="F189" s="100"/>
      <c r="G189" s="101"/>
      <c r="H189" s="100"/>
      <c r="I189" s="100"/>
      <c r="J189" s="46"/>
      <c r="K189" s="101"/>
      <c r="L189" s="101"/>
      <c r="M189" s="87"/>
      <c r="N189" s="87"/>
      <c r="O189" s="87"/>
      <c r="P189" s="87"/>
      <c r="Q189" s="87"/>
      <c r="R189" s="87"/>
      <c r="S189" s="87"/>
      <c r="T189" s="87"/>
      <c r="U189" s="87"/>
      <c r="V189" s="87"/>
      <c r="W189" s="87"/>
      <c r="X189" s="87"/>
      <c r="Y189" s="87"/>
      <c r="Z189" s="87"/>
    </row>
    <row r="190">
      <c r="A190" s="96"/>
      <c r="B190" s="96"/>
      <c r="C190" s="98"/>
      <c r="D190" s="98"/>
      <c r="E190" s="100"/>
      <c r="F190" s="100"/>
      <c r="G190" s="101"/>
      <c r="H190" s="100"/>
      <c r="I190" s="100"/>
      <c r="J190" s="46"/>
      <c r="K190" s="101"/>
      <c r="L190" s="101"/>
      <c r="M190" s="87"/>
      <c r="N190" s="87"/>
      <c r="O190" s="87"/>
      <c r="P190" s="87"/>
      <c r="Q190" s="87"/>
      <c r="R190" s="87"/>
      <c r="S190" s="87"/>
      <c r="T190" s="87"/>
      <c r="U190" s="87"/>
      <c r="V190" s="87"/>
      <c r="W190" s="87"/>
      <c r="X190" s="87"/>
      <c r="Y190" s="87"/>
      <c r="Z190" s="87"/>
    </row>
    <row r="191">
      <c r="A191" s="96"/>
      <c r="B191" s="96"/>
      <c r="C191" s="98"/>
      <c r="D191" s="98"/>
      <c r="E191" s="100"/>
      <c r="F191" s="100"/>
      <c r="G191" s="101"/>
      <c r="H191" s="100"/>
      <c r="I191" s="100"/>
      <c r="J191" s="46"/>
      <c r="K191" s="101"/>
      <c r="L191" s="101"/>
      <c r="M191" s="87"/>
      <c r="N191" s="87"/>
      <c r="O191" s="87"/>
      <c r="P191" s="87"/>
      <c r="Q191" s="87"/>
      <c r="R191" s="87"/>
      <c r="S191" s="87"/>
      <c r="T191" s="87"/>
      <c r="U191" s="87"/>
      <c r="V191" s="87"/>
      <c r="W191" s="87"/>
      <c r="X191" s="87"/>
      <c r="Y191" s="87"/>
      <c r="Z191" s="87"/>
    </row>
    <row r="192">
      <c r="A192" s="96"/>
      <c r="B192" s="96"/>
      <c r="C192" s="98"/>
      <c r="D192" s="98"/>
      <c r="E192" s="100"/>
      <c r="F192" s="100"/>
      <c r="G192" s="101"/>
      <c r="H192" s="100"/>
      <c r="I192" s="100"/>
      <c r="J192" s="46"/>
      <c r="K192" s="101"/>
      <c r="L192" s="101"/>
      <c r="M192" s="87"/>
      <c r="N192" s="87"/>
      <c r="O192" s="87"/>
      <c r="P192" s="87"/>
      <c r="Q192" s="87"/>
      <c r="R192" s="87"/>
      <c r="S192" s="87"/>
      <c r="T192" s="87"/>
      <c r="U192" s="87"/>
      <c r="V192" s="87"/>
      <c r="W192" s="87"/>
      <c r="X192" s="87"/>
      <c r="Y192" s="87"/>
      <c r="Z192" s="87"/>
    </row>
    <row r="193">
      <c r="A193" s="96"/>
      <c r="B193" s="96"/>
      <c r="C193" s="98"/>
      <c r="D193" s="98"/>
      <c r="E193" s="100"/>
      <c r="F193" s="100"/>
      <c r="G193" s="101"/>
      <c r="H193" s="100"/>
      <c r="I193" s="100"/>
      <c r="J193" s="46"/>
      <c r="K193" s="101"/>
      <c r="L193" s="101"/>
      <c r="M193" s="87"/>
      <c r="N193" s="87"/>
      <c r="O193" s="87"/>
      <c r="P193" s="87"/>
      <c r="Q193" s="87"/>
      <c r="R193" s="87"/>
      <c r="S193" s="87"/>
      <c r="T193" s="87"/>
      <c r="U193" s="87"/>
      <c r="V193" s="87"/>
      <c r="W193" s="87"/>
      <c r="X193" s="87"/>
      <c r="Y193" s="87"/>
      <c r="Z193" s="87"/>
    </row>
    <row r="194">
      <c r="A194" s="96"/>
      <c r="B194" s="96"/>
      <c r="C194" s="98"/>
      <c r="D194" s="98"/>
      <c r="E194" s="100"/>
      <c r="F194" s="100"/>
      <c r="G194" s="101"/>
      <c r="H194" s="100"/>
      <c r="I194" s="100"/>
      <c r="J194" s="46"/>
      <c r="K194" s="101"/>
      <c r="L194" s="101"/>
      <c r="M194" s="87"/>
      <c r="N194" s="87"/>
      <c r="O194" s="87"/>
      <c r="P194" s="87"/>
      <c r="Q194" s="87"/>
      <c r="R194" s="87"/>
      <c r="S194" s="87"/>
      <c r="T194" s="87"/>
      <c r="U194" s="87"/>
      <c r="V194" s="87"/>
      <c r="W194" s="87"/>
      <c r="X194" s="87"/>
      <c r="Y194" s="87"/>
      <c r="Z194" s="87"/>
    </row>
    <row r="195">
      <c r="A195" s="96"/>
      <c r="B195" s="96"/>
      <c r="C195" s="98"/>
      <c r="D195" s="98"/>
      <c r="E195" s="100"/>
      <c r="F195" s="100"/>
      <c r="G195" s="101"/>
      <c r="H195" s="100"/>
      <c r="I195" s="100"/>
      <c r="J195" s="46"/>
      <c r="K195" s="101"/>
      <c r="L195" s="101"/>
      <c r="M195" s="87"/>
      <c r="N195" s="87"/>
      <c r="O195" s="87"/>
      <c r="P195" s="87"/>
      <c r="Q195" s="87"/>
      <c r="R195" s="87"/>
      <c r="S195" s="87"/>
      <c r="T195" s="87"/>
      <c r="U195" s="87"/>
      <c r="V195" s="87"/>
      <c r="W195" s="87"/>
      <c r="X195" s="87"/>
      <c r="Y195" s="87"/>
      <c r="Z195" s="87"/>
    </row>
    <row r="196">
      <c r="A196" s="96"/>
      <c r="B196" s="96"/>
      <c r="C196" s="98"/>
      <c r="D196" s="98"/>
      <c r="E196" s="100"/>
      <c r="F196" s="100"/>
      <c r="G196" s="101"/>
      <c r="H196" s="100"/>
      <c r="I196" s="100"/>
      <c r="J196" s="46"/>
      <c r="K196" s="101"/>
      <c r="L196" s="101"/>
      <c r="M196" s="87"/>
      <c r="N196" s="87"/>
      <c r="O196" s="87"/>
      <c r="P196" s="87"/>
      <c r="Q196" s="87"/>
      <c r="R196" s="87"/>
      <c r="S196" s="87"/>
      <c r="T196" s="87"/>
      <c r="U196" s="87"/>
      <c r="V196" s="87"/>
      <c r="W196" s="87"/>
      <c r="X196" s="87"/>
      <c r="Y196" s="87"/>
      <c r="Z196" s="87"/>
    </row>
    <row r="197">
      <c r="A197" s="96"/>
      <c r="B197" s="96"/>
      <c r="C197" s="98"/>
      <c r="D197" s="98"/>
      <c r="E197" s="100"/>
      <c r="F197" s="100"/>
      <c r="G197" s="101"/>
      <c r="H197" s="100"/>
      <c r="I197" s="100"/>
      <c r="J197" s="46"/>
      <c r="K197" s="101"/>
      <c r="L197" s="101"/>
      <c r="M197" s="87"/>
      <c r="N197" s="87"/>
      <c r="O197" s="87"/>
      <c r="P197" s="87"/>
      <c r="Q197" s="87"/>
      <c r="R197" s="87"/>
      <c r="S197" s="87"/>
      <c r="T197" s="87"/>
      <c r="U197" s="87"/>
      <c r="V197" s="87"/>
      <c r="W197" s="87"/>
      <c r="X197" s="87"/>
      <c r="Y197" s="87"/>
      <c r="Z197" s="87"/>
    </row>
    <row r="198">
      <c r="A198" s="96"/>
      <c r="B198" s="96"/>
      <c r="C198" s="98"/>
      <c r="D198" s="98"/>
      <c r="E198" s="100"/>
      <c r="F198" s="100"/>
      <c r="G198" s="101"/>
      <c r="H198" s="100"/>
      <c r="I198" s="100"/>
      <c r="J198" s="46"/>
      <c r="K198" s="101"/>
      <c r="L198" s="101"/>
      <c r="M198" s="87"/>
      <c r="N198" s="87"/>
      <c r="O198" s="87"/>
      <c r="P198" s="87"/>
      <c r="Q198" s="87"/>
      <c r="R198" s="87"/>
      <c r="S198" s="87"/>
      <c r="T198" s="87"/>
      <c r="U198" s="87"/>
      <c r="V198" s="87"/>
      <c r="W198" s="87"/>
      <c r="X198" s="87"/>
      <c r="Y198" s="87"/>
      <c r="Z198" s="87"/>
    </row>
    <row r="199">
      <c r="A199" s="96"/>
      <c r="B199" s="96"/>
      <c r="C199" s="98"/>
      <c r="D199" s="98"/>
      <c r="E199" s="100"/>
      <c r="F199" s="100"/>
      <c r="G199" s="101"/>
      <c r="H199" s="100"/>
      <c r="I199" s="100"/>
      <c r="J199" s="46"/>
      <c r="K199" s="101"/>
      <c r="L199" s="101"/>
      <c r="M199" s="87"/>
      <c r="N199" s="87"/>
      <c r="O199" s="87"/>
      <c r="P199" s="87"/>
      <c r="Q199" s="87"/>
      <c r="R199" s="87"/>
      <c r="S199" s="87"/>
      <c r="T199" s="87"/>
      <c r="U199" s="87"/>
      <c r="V199" s="87"/>
      <c r="W199" s="87"/>
      <c r="X199" s="87"/>
      <c r="Y199" s="87"/>
      <c r="Z199" s="87"/>
    </row>
    <row r="200">
      <c r="A200" s="96"/>
      <c r="B200" s="96"/>
      <c r="C200" s="98"/>
      <c r="D200" s="98"/>
      <c r="E200" s="100"/>
      <c r="F200" s="100"/>
      <c r="G200" s="101"/>
      <c r="H200" s="100"/>
      <c r="I200" s="100"/>
      <c r="J200" s="46"/>
      <c r="K200" s="101"/>
      <c r="L200" s="101"/>
      <c r="M200" s="87"/>
      <c r="N200" s="87"/>
      <c r="O200" s="87"/>
      <c r="P200" s="87"/>
      <c r="Q200" s="87"/>
      <c r="R200" s="87"/>
      <c r="S200" s="87"/>
      <c r="T200" s="87"/>
      <c r="U200" s="87"/>
      <c r="V200" s="87"/>
      <c r="W200" s="87"/>
      <c r="X200" s="87"/>
      <c r="Y200" s="87"/>
      <c r="Z200" s="87"/>
    </row>
    <row r="201">
      <c r="A201" s="96"/>
      <c r="B201" s="96"/>
      <c r="C201" s="98"/>
      <c r="D201" s="98"/>
      <c r="E201" s="100"/>
      <c r="F201" s="100"/>
      <c r="G201" s="101"/>
      <c r="H201" s="100"/>
      <c r="I201" s="100"/>
      <c r="J201" s="46"/>
      <c r="K201" s="101"/>
      <c r="L201" s="101"/>
      <c r="M201" s="87"/>
      <c r="N201" s="87"/>
      <c r="O201" s="87"/>
      <c r="P201" s="87"/>
      <c r="Q201" s="87"/>
      <c r="R201" s="87"/>
      <c r="S201" s="87"/>
      <c r="T201" s="87"/>
      <c r="U201" s="87"/>
      <c r="V201" s="87"/>
      <c r="W201" s="87"/>
      <c r="X201" s="87"/>
      <c r="Y201" s="87"/>
      <c r="Z201" s="87"/>
    </row>
    <row r="202">
      <c r="A202" s="96"/>
      <c r="B202" s="96"/>
      <c r="C202" s="98"/>
      <c r="D202" s="98"/>
      <c r="E202" s="100"/>
      <c r="F202" s="100"/>
      <c r="G202" s="101"/>
      <c r="H202" s="100"/>
      <c r="I202" s="100"/>
      <c r="J202" s="46"/>
      <c r="K202" s="101"/>
      <c r="L202" s="101"/>
      <c r="M202" s="87"/>
      <c r="N202" s="87"/>
      <c r="O202" s="87"/>
      <c r="P202" s="87"/>
      <c r="Q202" s="87"/>
      <c r="R202" s="87"/>
      <c r="S202" s="87"/>
      <c r="T202" s="87"/>
      <c r="U202" s="87"/>
      <c r="V202" s="87"/>
      <c r="W202" s="87"/>
      <c r="X202" s="87"/>
      <c r="Y202" s="87"/>
      <c r="Z202" s="87"/>
    </row>
    <row r="203">
      <c r="A203" s="96"/>
      <c r="B203" s="96"/>
      <c r="C203" s="98"/>
      <c r="D203" s="98"/>
      <c r="E203" s="100"/>
      <c r="F203" s="100"/>
      <c r="G203" s="101"/>
      <c r="H203" s="100"/>
      <c r="I203" s="100"/>
      <c r="J203" s="46"/>
      <c r="K203" s="101"/>
      <c r="L203" s="101"/>
      <c r="M203" s="87"/>
      <c r="N203" s="87"/>
      <c r="O203" s="87"/>
      <c r="P203" s="87"/>
      <c r="Q203" s="87"/>
      <c r="R203" s="87"/>
      <c r="S203" s="87"/>
      <c r="T203" s="87"/>
      <c r="U203" s="87"/>
      <c r="V203" s="87"/>
      <c r="W203" s="87"/>
      <c r="X203" s="87"/>
      <c r="Y203" s="87"/>
      <c r="Z203" s="87"/>
    </row>
    <row r="204">
      <c r="A204" s="96"/>
      <c r="B204" s="96"/>
      <c r="C204" s="98"/>
      <c r="D204" s="98"/>
      <c r="E204" s="100"/>
      <c r="F204" s="100"/>
      <c r="G204" s="101"/>
      <c r="H204" s="100"/>
      <c r="I204" s="100"/>
      <c r="J204" s="46"/>
      <c r="K204" s="101"/>
      <c r="L204" s="101"/>
      <c r="M204" s="87"/>
      <c r="N204" s="87"/>
      <c r="O204" s="87"/>
      <c r="P204" s="87"/>
      <c r="Q204" s="87"/>
      <c r="R204" s="87"/>
      <c r="S204" s="87"/>
      <c r="T204" s="87"/>
      <c r="U204" s="87"/>
      <c r="V204" s="87"/>
      <c r="W204" s="87"/>
      <c r="X204" s="87"/>
      <c r="Y204" s="87"/>
      <c r="Z204" s="87"/>
    </row>
    <row r="205">
      <c r="A205" s="96"/>
      <c r="B205" s="96"/>
      <c r="C205" s="98"/>
      <c r="D205" s="98"/>
      <c r="E205" s="100"/>
      <c r="F205" s="100"/>
      <c r="G205" s="101"/>
      <c r="H205" s="100"/>
      <c r="I205" s="100"/>
      <c r="J205" s="46"/>
      <c r="K205" s="101"/>
      <c r="L205" s="101"/>
      <c r="M205" s="87"/>
      <c r="N205" s="87"/>
      <c r="O205" s="87"/>
      <c r="P205" s="87"/>
      <c r="Q205" s="87"/>
      <c r="R205" s="87"/>
      <c r="S205" s="87"/>
      <c r="T205" s="87"/>
      <c r="U205" s="87"/>
      <c r="V205" s="87"/>
      <c r="W205" s="87"/>
      <c r="X205" s="87"/>
      <c r="Y205" s="87"/>
      <c r="Z205" s="87"/>
    </row>
    <row r="206">
      <c r="A206" s="96"/>
      <c r="B206" s="96"/>
      <c r="C206" s="98"/>
      <c r="D206" s="98"/>
      <c r="E206" s="100"/>
      <c r="F206" s="100"/>
      <c r="G206" s="101"/>
      <c r="H206" s="100"/>
      <c r="I206" s="100"/>
      <c r="J206" s="46"/>
      <c r="K206" s="101"/>
      <c r="L206" s="101"/>
      <c r="M206" s="87"/>
      <c r="N206" s="87"/>
      <c r="O206" s="87"/>
      <c r="P206" s="87"/>
      <c r="Q206" s="87"/>
      <c r="R206" s="87"/>
      <c r="S206" s="87"/>
      <c r="T206" s="87"/>
      <c r="U206" s="87"/>
      <c r="V206" s="87"/>
      <c r="W206" s="87"/>
      <c r="X206" s="87"/>
      <c r="Y206" s="87"/>
      <c r="Z206" s="87"/>
    </row>
    <row r="207">
      <c r="A207" s="96"/>
      <c r="B207" s="96"/>
      <c r="C207" s="98"/>
      <c r="D207" s="98"/>
      <c r="E207" s="100"/>
      <c r="F207" s="100"/>
      <c r="G207" s="101"/>
      <c r="H207" s="100"/>
      <c r="I207" s="100"/>
      <c r="J207" s="46"/>
      <c r="K207" s="101"/>
      <c r="L207" s="101"/>
      <c r="M207" s="87"/>
      <c r="N207" s="87"/>
      <c r="O207" s="87"/>
      <c r="P207" s="87"/>
      <c r="Q207" s="87"/>
      <c r="R207" s="87"/>
      <c r="S207" s="87"/>
      <c r="T207" s="87"/>
      <c r="U207" s="87"/>
      <c r="V207" s="87"/>
      <c r="W207" s="87"/>
      <c r="X207" s="87"/>
      <c r="Y207" s="87"/>
      <c r="Z207" s="87"/>
    </row>
    <row r="208">
      <c r="A208" s="96"/>
      <c r="B208" s="96"/>
      <c r="C208" s="98"/>
      <c r="D208" s="98"/>
      <c r="E208" s="100"/>
      <c r="F208" s="100"/>
      <c r="G208" s="101"/>
      <c r="H208" s="100"/>
      <c r="I208" s="100"/>
      <c r="J208" s="46"/>
      <c r="K208" s="101"/>
      <c r="L208" s="101"/>
      <c r="M208" s="87"/>
      <c r="N208" s="87"/>
      <c r="O208" s="87"/>
      <c r="P208" s="87"/>
      <c r="Q208" s="87"/>
      <c r="R208" s="87"/>
      <c r="S208" s="87"/>
      <c r="T208" s="87"/>
      <c r="U208" s="87"/>
      <c r="V208" s="87"/>
      <c r="W208" s="87"/>
      <c r="X208" s="87"/>
      <c r="Y208" s="87"/>
      <c r="Z208" s="87"/>
    </row>
    <row r="209">
      <c r="A209" s="96"/>
      <c r="B209" s="96"/>
      <c r="C209" s="98"/>
      <c r="D209" s="98"/>
      <c r="E209" s="100"/>
      <c r="F209" s="100"/>
      <c r="G209" s="101"/>
      <c r="H209" s="100"/>
      <c r="I209" s="100"/>
      <c r="J209" s="46"/>
      <c r="K209" s="101"/>
      <c r="L209" s="101"/>
      <c r="M209" s="87"/>
      <c r="N209" s="87"/>
      <c r="O209" s="87"/>
      <c r="P209" s="87"/>
      <c r="Q209" s="87"/>
      <c r="R209" s="87"/>
      <c r="S209" s="87"/>
      <c r="T209" s="87"/>
      <c r="U209" s="87"/>
      <c r="V209" s="87"/>
      <c r="W209" s="87"/>
      <c r="X209" s="87"/>
      <c r="Y209" s="87"/>
      <c r="Z209" s="87"/>
    </row>
    <row r="210">
      <c r="A210" s="96"/>
      <c r="B210" s="96"/>
      <c r="C210" s="98"/>
      <c r="D210" s="98"/>
      <c r="E210" s="100"/>
      <c r="F210" s="100"/>
      <c r="G210" s="101"/>
      <c r="H210" s="100"/>
      <c r="I210" s="100"/>
      <c r="J210" s="46"/>
      <c r="K210" s="101"/>
      <c r="L210" s="101"/>
      <c r="M210" s="87"/>
      <c r="N210" s="87"/>
      <c r="O210" s="87"/>
      <c r="P210" s="87"/>
      <c r="Q210" s="87"/>
      <c r="R210" s="87"/>
      <c r="S210" s="87"/>
      <c r="T210" s="87"/>
      <c r="U210" s="87"/>
      <c r="V210" s="87"/>
      <c r="W210" s="87"/>
      <c r="X210" s="87"/>
      <c r="Y210" s="87"/>
      <c r="Z210" s="87"/>
    </row>
    <row r="211">
      <c r="A211" s="96"/>
      <c r="B211" s="96"/>
      <c r="C211" s="98"/>
      <c r="D211" s="98"/>
      <c r="E211" s="100"/>
      <c r="F211" s="100"/>
      <c r="G211" s="101"/>
      <c r="H211" s="100"/>
      <c r="I211" s="100"/>
      <c r="J211" s="46"/>
      <c r="K211" s="101"/>
      <c r="L211" s="101"/>
      <c r="M211" s="87"/>
      <c r="N211" s="87"/>
      <c r="O211" s="87"/>
      <c r="P211" s="87"/>
      <c r="Q211" s="87"/>
      <c r="R211" s="87"/>
      <c r="S211" s="87"/>
      <c r="T211" s="87"/>
      <c r="U211" s="87"/>
      <c r="V211" s="87"/>
      <c r="W211" s="87"/>
      <c r="X211" s="87"/>
      <c r="Y211" s="87"/>
      <c r="Z211" s="87"/>
    </row>
    <row r="212">
      <c r="A212" s="96"/>
      <c r="B212" s="96"/>
      <c r="C212" s="98"/>
      <c r="D212" s="98"/>
      <c r="E212" s="100"/>
      <c r="F212" s="100"/>
      <c r="G212" s="101"/>
      <c r="H212" s="100"/>
      <c r="I212" s="100"/>
      <c r="J212" s="46"/>
      <c r="K212" s="101"/>
      <c r="L212" s="101"/>
      <c r="M212" s="87"/>
      <c r="N212" s="87"/>
      <c r="O212" s="87"/>
      <c r="P212" s="87"/>
      <c r="Q212" s="87"/>
      <c r="R212" s="87"/>
      <c r="S212" s="87"/>
      <c r="T212" s="87"/>
      <c r="U212" s="87"/>
      <c r="V212" s="87"/>
      <c r="W212" s="87"/>
      <c r="X212" s="87"/>
      <c r="Y212" s="87"/>
      <c r="Z212" s="87"/>
    </row>
    <row r="213">
      <c r="A213" s="96"/>
      <c r="B213" s="96"/>
      <c r="C213" s="98"/>
      <c r="D213" s="98"/>
      <c r="E213" s="100"/>
      <c r="F213" s="100"/>
      <c r="G213" s="101"/>
      <c r="H213" s="100"/>
      <c r="I213" s="100"/>
      <c r="J213" s="46"/>
      <c r="K213" s="101"/>
      <c r="L213" s="101"/>
      <c r="M213" s="87"/>
      <c r="N213" s="87"/>
      <c r="O213" s="87"/>
      <c r="P213" s="87"/>
      <c r="Q213" s="87"/>
      <c r="R213" s="87"/>
      <c r="S213" s="87"/>
      <c r="T213" s="87"/>
      <c r="U213" s="87"/>
      <c r="V213" s="87"/>
      <c r="W213" s="87"/>
      <c r="X213" s="87"/>
      <c r="Y213" s="87"/>
      <c r="Z213" s="87"/>
    </row>
    <row r="214">
      <c r="A214" s="96"/>
      <c r="B214" s="96"/>
      <c r="C214" s="98"/>
      <c r="D214" s="98"/>
      <c r="E214" s="100"/>
      <c r="F214" s="100"/>
      <c r="G214" s="101"/>
      <c r="H214" s="100"/>
      <c r="I214" s="100"/>
      <c r="J214" s="46"/>
      <c r="K214" s="101"/>
      <c r="L214" s="101"/>
      <c r="M214" s="87"/>
      <c r="N214" s="87"/>
      <c r="O214" s="87"/>
      <c r="P214" s="87"/>
      <c r="Q214" s="87"/>
      <c r="R214" s="87"/>
      <c r="S214" s="87"/>
      <c r="T214" s="87"/>
      <c r="U214" s="87"/>
      <c r="V214" s="87"/>
      <c r="W214" s="87"/>
      <c r="X214" s="87"/>
      <c r="Y214" s="87"/>
      <c r="Z214" s="87"/>
    </row>
    <row r="215">
      <c r="A215" s="96"/>
      <c r="B215" s="96"/>
      <c r="C215" s="98"/>
      <c r="D215" s="98"/>
      <c r="E215" s="100"/>
      <c r="F215" s="100"/>
      <c r="G215" s="101"/>
      <c r="H215" s="100"/>
      <c r="I215" s="100"/>
      <c r="J215" s="46"/>
      <c r="K215" s="101"/>
      <c r="L215" s="101"/>
      <c r="M215" s="87"/>
      <c r="N215" s="87"/>
      <c r="O215" s="87"/>
      <c r="P215" s="87"/>
      <c r="Q215" s="87"/>
      <c r="R215" s="87"/>
      <c r="S215" s="87"/>
      <c r="T215" s="87"/>
      <c r="U215" s="87"/>
      <c r="V215" s="87"/>
      <c r="W215" s="87"/>
      <c r="X215" s="87"/>
      <c r="Y215" s="87"/>
      <c r="Z215" s="87"/>
    </row>
    <row r="216">
      <c r="A216" s="96"/>
      <c r="B216" s="96"/>
      <c r="C216" s="98"/>
      <c r="D216" s="98"/>
      <c r="E216" s="100"/>
      <c r="F216" s="100"/>
      <c r="G216" s="101"/>
      <c r="H216" s="100"/>
      <c r="I216" s="100"/>
      <c r="J216" s="46"/>
      <c r="K216" s="101"/>
      <c r="L216" s="101"/>
      <c r="M216" s="87"/>
      <c r="N216" s="87"/>
      <c r="O216" s="87"/>
      <c r="P216" s="87"/>
      <c r="Q216" s="87"/>
      <c r="R216" s="87"/>
      <c r="S216" s="87"/>
      <c r="T216" s="87"/>
      <c r="U216" s="87"/>
      <c r="V216" s="87"/>
      <c r="W216" s="87"/>
      <c r="X216" s="87"/>
      <c r="Y216" s="87"/>
      <c r="Z216" s="87"/>
    </row>
    <row r="217">
      <c r="A217" s="96"/>
      <c r="B217" s="96"/>
      <c r="C217" s="98"/>
      <c r="D217" s="98"/>
      <c r="E217" s="100"/>
      <c r="F217" s="100"/>
      <c r="G217" s="101"/>
      <c r="H217" s="100"/>
      <c r="I217" s="100"/>
      <c r="J217" s="46"/>
      <c r="K217" s="101"/>
      <c r="L217" s="101"/>
      <c r="M217" s="87"/>
      <c r="N217" s="87"/>
      <c r="O217" s="87"/>
      <c r="P217" s="87"/>
      <c r="Q217" s="87"/>
      <c r="R217" s="87"/>
      <c r="S217" s="87"/>
      <c r="T217" s="87"/>
      <c r="U217" s="87"/>
      <c r="V217" s="87"/>
      <c r="W217" s="87"/>
      <c r="X217" s="87"/>
      <c r="Y217" s="87"/>
      <c r="Z217" s="87"/>
    </row>
    <row r="218">
      <c r="A218" s="96"/>
      <c r="B218" s="96"/>
      <c r="C218" s="98"/>
      <c r="D218" s="98"/>
      <c r="E218" s="100"/>
      <c r="F218" s="100"/>
      <c r="G218" s="101"/>
      <c r="H218" s="100"/>
      <c r="I218" s="100"/>
      <c r="J218" s="46"/>
      <c r="K218" s="101"/>
      <c r="L218" s="101"/>
      <c r="M218" s="87"/>
      <c r="N218" s="87"/>
      <c r="O218" s="87"/>
      <c r="P218" s="87"/>
      <c r="Q218" s="87"/>
      <c r="R218" s="87"/>
      <c r="S218" s="87"/>
      <c r="T218" s="87"/>
      <c r="U218" s="87"/>
      <c r="V218" s="87"/>
      <c r="W218" s="87"/>
      <c r="X218" s="87"/>
      <c r="Y218" s="87"/>
      <c r="Z218" s="87"/>
    </row>
    <row r="219">
      <c r="A219" s="96"/>
      <c r="B219" s="96"/>
      <c r="C219" s="98"/>
      <c r="D219" s="98"/>
      <c r="E219" s="100"/>
      <c r="F219" s="100"/>
      <c r="G219" s="101"/>
      <c r="H219" s="100"/>
      <c r="I219" s="100"/>
      <c r="J219" s="46"/>
      <c r="K219" s="101"/>
      <c r="L219" s="101"/>
      <c r="M219" s="87"/>
      <c r="N219" s="87"/>
      <c r="O219" s="87"/>
      <c r="P219" s="87"/>
      <c r="Q219" s="87"/>
      <c r="R219" s="87"/>
      <c r="S219" s="87"/>
      <c r="T219" s="87"/>
      <c r="U219" s="87"/>
      <c r="V219" s="87"/>
      <c r="W219" s="87"/>
      <c r="X219" s="87"/>
      <c r="Y219" s="87"/>
      <c r="Z219" s="87"/>
    </row>
    <row r="220">
      <c r="A220" s="96"/>
      <c r="B220" s="96"/>
      <c r="C220" s="98"/>
      <c r="D220" s="98"/>
      <c r="E220" s="100"/>
      <c r="F220" s="100"/>
      <c r="G220" s="101"/>
      <c r="H220" s="100"/>
      <c r="I220" s="100"/>
      <c r="J220" s="46"/>
      <c r="K220" s="101"/>
      <c r="L220" s="101"/>
      <c r="M220" s="87"/>
      <c r="N220" s="87"/>
      <c r="O220" s="87"/>
      <c r="P220" s="87"/>
      <c r="Q220" s="87"/>
      <c r="R220" s="87"/>
      <c r="S220" s="87"/>
      <c r="T220" s="87"/>
      <c r="U220" s="87"/>
      <c r="V220" s="87"/>
      <c r="W220" s="87"/>
      <c r="X220" s="87"/>
      <c r="Y220" s="87"/>
      <c r="Z220" s="87"/>
    </row>
    <row r="221">
      <c r="A221" s="96"/>
      <c r="B221" s="96"/>
      <c r="C221" s="98"/>
      <c r="D221" s="98"/>
      <c r="E221" s="100"/>
      <c r="F221" s="100"/>
      <c r="G221" s="101"/>
      <c r="H221" s="100"/>
      <c r="I221" s="100"/>
      <c r="J221" s="46"/>
      <c r="K221" s="101"/>
      <c r="L221" s="101"/>
      <c r="M221" s="87"/>
      <c r="N221" s="87"/>
      <c r="O221" s="87"/>
      <c r="P221" s="87"/>
      <c r="Q221" s="87"/>
      <c r="R221" s="87"/>
      <c r="S221" s="87"/>
      <c r="T221" s="87"/>
      <c r="U221" s="87"/>
      <c r="V221" s="87"/>
      <c r="W221" s="87"/>
      <c r="X221" s="87"/>
      <c r="Y221" s="87"/>
      <c r="Z221" s="87"/>
    </row>
    <row r="222">
      <c r="A222" s="96"/>
      <c r="B222" s="96"/>
      <c r="C222" s="98"/>
      <c r="D222" s="98"/>
      <c r="E222" s="100"/>
      <c r="F222" s="100"/>
      <c r="G222" s="101"/>
      <c r="H222" s="100"/>
      <c r="I222" s="100"/>
      <c r="J222" s="46"/>
      <c r="K222" s="101"/>
      <c r="L222" s="101"/>
      <c r="M222" s="87"/>
      <c r="N222" s="87"/>
      <c r="O222" s="87"/>
      <c r="P222" s="87"/>
      <c r="Q222" s="87"/>
      <c r="R222" s="87"/>
      <c r="S222" s="87"/>
      <c r="T222" s="87"/>
      <c r="U222" s="87"/>
      <c r="V222" s="87"/>
      <c r="W222" s="87"/>
      <c r="X222" s="87"/>
      <c r="Y222" s="87"/>
      <c r="Z222" s="87"/>
    </row>
    <row r="223">
      <c r="A223" s="96"/>
      <c r="B223" s="96"/>
      <c r="C223" s="98"/>
      <c r="D223" s="98"/>
      <c r="E223" s="100"/>
      <c r="F223" s="100"/>
      <c r="G223" s="101"/>
      <c r="H223" s="100"/>
      <c r="I223" s="100"/>
      <c r="J223" s="46"/>
      <c r="K223" s="101"/>
      <c r="L223" s="101"/>
      <c r="M223" s="87"/>
      <c r="N223" s="87"/>
      <c r="O223" s="87"/>
      <c r="P223" s="87"/>
      <c r="Q223" s="87"/>
      <c r="R223" s="87"/>
      <c r="S223" s="87"/>
      <c r="T223" s="87"/>
      <c r="U223" s="87"/>
      <c r="V223" s="87"/>
      <c r="W223" s="87"/>
      <c r="X223" s="87"/>
      <c r="Y223" s="87"/>
      <c r="Z223" s="87"/>
    </row>
    <row r="224">
      <c r="A224" s="96"/>
      <c r="B224" s="96"/>
      <c r="C224" s="98"/>
      <c r="D224" s="98"/>
      <c r="E224" s="100"/>
      <c r="F224" s="100"/>
      <c r="G224" s="101"/>
      <c r="H224" s="100"/>
      <c r="I224" s="100"/>
      <c r="J224" s="46"/>
      <c r="K224" s="101"/>
      <c r="L224" s="101"/>
      <c r="M224" s="87"/>
      <c r="N224" s="87"/>
      <c r="O224" s="87"/>
      <c r="P224" s="87"/>
      <c r="Q224" s="87"/>
      <c r="R224" s="87"/>
      <c r="S224" s="87"/>
      <c r="T224" s="87"/>
      <c r="U224" s="87"/>
      <c r="V224" s="87"/>
      <c r="W224" s="87"/>
      <c r="X224" s="87"/>
      <c r="Y224" s="87"/>
      <c r="Z224" s="87"/>
    </row>
    <row r="225">
      <c r="A225" s="96"/>
      <c r="B225" s="96"/>
      <c r="C225" s="98"/>
      <c r="D225" s="98"/>
      <c r="E225" s="100"/>
      <c r="F225" s="100"/>
      <c r="G225" s="101"/>
      <c r="H225" s="100"/>
      <c r="I225" s="100"/>
      <c r="J225" s="46"/>
      <c r="K225" s="101"/>
      <c r="L225" s="101"/>
      <c r="M225" s="87"/>
      <c r="N225" s="87"/>
      <c r="O225" s="87"/>
      <c r="P225" s="87"/>
      <c r="Q225" s="87"/>
      <c r="R225" s="87"/>
      <c r="S225" s="87"/>
      <c r="T225" s="87"/>
      <c r="U225" s="87"/>
      <c r="V225" s="87"/>
      <c r="W225" s="87"/>
      <c r="X225" s="87"/>
      <c r="Y225" s="87"/>
      <c r="Z225" s="87"/>
    </row>
    <row r="226">
      <c r="A226" s="96"/>
      <c r="B226" s="96"/>
      <c r="C226" s="98"/>
      <c r="D226" s="98"/>
      <c r="E226" s="100"/>
      <c r="F226" s="100"/>
      <c r="G226" s="101"/>
      <c r="H226" s="100"/>
      <c r="I226" s="100"/>
      <c r="J226" s="46"/>
      <c r="K226" s="101"/>
      <c r="L226" s="101"/>
      <c r="M226" s="87"/>
      <c r="N226" s="87"/>
      <c r="O226" s="87"/>
      <c r="P226" s="87"/>
      <c r="Q226" s="87"/>
      <c r="R226" s="87"/>
      <c r="S226" s="87"/>
      <c r="T226" s="87"/>
      <c r="U226" s="87"/>
      <c r="V226" s="87"/>
      <c r="W226" s="87"/>
      <c r="X226" s="87"/>
      <c r="Y226" s="87"/>
      <c r="Z226" s="87"/>
    </row>
    <row r="227">
      <c r="A227" s="96"/>
      <c r="B227" s="96"/>
      <c r="C227" s="98"/>
      <c r="D227" s="98"/>
      <c r="E227" s="100"/>
      <c r="F227" s="100"/>
      <c r="G227" s="101"/>
      <c r="H227" s="100"/>
      <c r="I227" s="100"/>
      <c r="J227" s="46"/>
      <c r="K227" s="101"/>
      <c r="L227" s="101"/>
      <c r="M227" s="87"/>
      <c r="N227" s="87"/>
      <c r="O227" s="87"/>
      <c r="P227" s="87"/>
      <c r="Q227" s="87"/>
      <c r="R227" s="87"/>
      <c r="S227" s="87"/>
      <c r="T227" s="87"/>
      <c r="U227" s="87"/>
      <c r="V227" s="87"/>
      <c r="W227" s="87"/>
      <c r="X227" s="87"/>
      <c r="Y227" s="87"/>
      <c r="Z227" s="87"/>
    </row>
    <row r="228">
      <c r="A228" s="96"/>
      <c r="B228" s="96"/>
      <c r="C228" s="98"/>
      <c r="D228" s="98"/>
      <c r="E228" s="100"/>
      <c r="F228" s="100"/>
      <c r="G228" s="101"/>
      <c r="H228" s="100"/>
      <c r="I228" s="100"/>
      <c r="J228" s="46"/>
      <c r="K228" s="101"/>
      <c r="L228" s="101"/>
      <c r="M228" s="87"/>
      <c r="N228" s="87"/>
      <c r="O228" s="87"/>
      <c r="P228" s="87"/>
      <c r="Q228" s="87"/>
      <c r="R228" s="87"/>
      <c r="S228" s="87"/>
      <c r="T228" s="87"/>
      <c r="U228" s="87"/>
      <c r="V228" s="87"/>
      <c r="W228" s="87"/>
      <c r="X228" s="87"/>
      <c r="Y228" s="87"/>
      <c r="Z228" s="87"/>
    </row>
    <row r="229">
      <c r="A229" s="96"/>
      <c r="B229" s="96"/>
      <c r="C229" s="98"/>
      <c r="D229" s="98"/>
      <c r="E229" s="100"/>
      <c r="F229" s="100"/>
      <c r="G229" s="101"/>
      <c r="H229" s="100"/>
      <c r="I229" s="100"/>
      <c r="J229" s="46"/>
      <c r="K229" s="101"/>
      <c r="L229" s="101"/>
      <c r="M229" s="87"/>
      <c r="N229" s="87"/>
      <c r="O229" s="87"/>
      <c r="P229" s="87"/>
      <c r="Q229" s="87"/>
      <c r="R229" s="87"/>
      <c r="S229" s="87"/>
      <c r="T229" s="87"/>
      <c r="U229" s="87"/>
      <c r="V229" s="87"/>
      <c r="W229" s="87"/>
      <c r="X229" s="87"/>
      <c r="Y229" s="87"/>
      <c r="Z229" s="87"/>
    </row>
    <row r="230">
      <c r="A230" s="96"/>
      <c r="B230" s="96"/>
      <c r="C230" s="98"/>
      <c r="D230" s="98"/>
      <c r="E230" s="100"/>
      <c r="F230" s="100"/>
      <c r="G230" s="101"/>
      <c r="H230" s="100"/>
      <c r="I230" s="100"/>
      <c r="J230" s="46"/>
      <c r="K230" s="101"/>
      <c r="L230" s="101"/>
      <c r="M230" s="87"/>
      <c r="N230" s="87"/>
      <c r="O230" s="87"/>
      <c r="P230" s="87"/>
      <c r="Q230" s="87"/>
      <c r="R230" s="87"/>
      <c r="S230" s="87"/>
      <c r="T230" s="87"/>
      <c r="U230" s="87"/>
      <c r="V230" s="87"/>
      <c r="W230" s="87"/>
      <c r="X230" s="87"/>
      <c r="Y230" s="87"/>
      <c r="Z230" s="87"/>
    </row>
    <row r="231">
      <c r="A231" s="96"/>
      <c r="B231" s="96"/>
      <c r="C231" s="98"/>
      <c r="D231" s="98"/>
      <c r="E231" s="100"/>
      <c r="F231" s="100"/>
      <c r="G231" s="101"/>
      <c r="H231" s="100"/>
      <c r="I231" s="100"/>
      <c r="J231" s="46"/>
      <c r="K231" s="101"/>
      <c r="L231" s="101"/>
      <c r="M231" s="87"/>
      <c r="N231" s="87"/>
      <c r="O231" s="87"/>
      <c r="P231" s="87"/>
      <c r="Q231" s="87"/>
      <c r="R231" s="87"/>
      <c r="S231" s="87"/>
      <c r="T231" s="87"/>
      <c r="U231" s="87"/>
      <c r="V231" s="87"/>
      <c r="W231" s="87"/>
      <c r="X231" s="87"/>
      <c r="Y231" s="87"/>
      <c r="Z231" s="87"/>
    </row>
    <row r="232">
      <c r="A232" s="96"/>
      <c r="B232" s="96"/>
      <c r="C232" s="98"/>
      <c r="D232" s="98"/>
      <c r="E232" s="100"/>
      <c r="F232" s="100"/>
      <c r="G232" s="101"/>
      <c r="H232" s="100"/>
      <c r="I232" s="100"/>
      <c r="J232" s="46"/>
      <c r="K232" s="101"/>
      <c r="L232" s="101"/>
      <c r="M232" s="87"/>
      <c r="N232" s="87"/>
      <c r="O232" s="87"/>
      <c r="P232" s="87"/>
      <c r="Q232" s="87"/>
      <c r="R232" s="87"/>
      <c r="S232" s="87"/>
      <c r="T232" s="87"/>
      <c r="U232" s="87"/>
      <c r="V232" s="87"/>
      <c r="W232" s="87"/>
      <c r="X232" s="87"/>
      <c r="Y232" s="87"/>
      <c r="Z232" s="87"/>
    </row>
    <row r="233">
      <c r="A233" s="96"/>
      <c r="B233" s="96"/>
      <c r="C233" s="98"/>
      <c r="D233" s="98"/>
      <c r="E233" s="100"/>
      <c r="F233" s="100"/>
      <c r="G233" s="101"/>
      <c r="H233" s="100"/>
      <c r="I233" s="100"/>
      <c r="J233" s="46"/>
      <c r="K233" s="101"/>
      <c r="L233" s="101"/>
      <c r="M233" s="87"/>
      <c r="N233" s="87"/>
      <c r="O233" s="87"/>
      <c r="P233" s="87"/>
      <c r="Q233" s="87"/>
      <c r="R233" s="87"/>
      <c r="S233" s="87"/>
      <c r="T233" s="87"/>
      <c r="U233" s="87"/>
      <c r="V233" s="87"/>
      <c r="W233" s="87"/>
      <c r="X233" s="87"/>
      <c r="Y233" s="87"/>
      <c r="Z233" s="87"/>
    </row>
    <row r="234">
      <c r="A234" s="96"/>
      <c r="B234" s="96"/>
      <c r="C234" s="98"/>
      <c r="D234" s="98"/>
      <c r="E234" s="100"/>
      <c r="F234" s="100"/>
      <c r="G234" s="101"/>
      <c r="H234" s="100"/>
      <c r="I234" s="100"/>
      <c r="J234" s="46"/>
      <c r="K234" s="101"/>
      <c r="L234" s="101"/>
      <c r="M234" s="87"/>
      <c r="N234" s="87"/>
      <c r="O234" s="87"/>
      <c r="P234" s="87"/>
      <c r="Q234" s="87"/>
      <c r="R234" s="87"/>
      <c r="S234" s="87"/>
      <c r="T234" s="87"/>
      <c r="U234" s="87"/>
      <c r="V234" s="87"/>
      <c r="W234" s="87"/>
      <c r="X234" s="87"/>
      <c r="Y234" s="87"/>
      <c r="Z234" s="87"/>
    </row>
    <row r="235">
      <c r="A235" s="96"/>
      <c r="B235" s="96"/>
      <c r="C235" s="98"/>
      <c r="D235" s="98"/>
      <c r="E235" s="100"/>
      <c r="F235" s="100"/>
      <c r="G235" s="101"/>
      <c r="H235" s="100"/>
      <c r="I235" s="100"/>
      <c r="J235" s="46"/>
      <c r="K235" s="101"/>
      <c r="L235" s="101"/>
      <c r="M235" s="87"/>
      <c r="N235" s="87"/>
      <c r="O235" s="87"/>
      <c r="P235" s="87"/>
      <c r="Q235" s="87"/>
      <c r="R235" s="87"/>
      <c r="S235" s="87"/>
      <c r="T235" s="87"/>
      <c r="U235" s="87"/>
      <c r="V235" s="87"/>
      <c r="W235" s="87"/>
      <c r="X235" s="87"/>
      <c r="Y235" s="87"/>
      <c r="Z235" s="87"/>
    </row>
    <row r="236">
      <c r="A236" s="96"/>
      <c r="B236" s="96"/>
      <c r="C236" s="98"/>
      <c r="D236" s="98"/>
      <c r="E236" s="100"/>
      <c r="F236" s="100"/>
      <c r="G236" s="101"/>
      <c r="H236" s="100"/>
      <c r="I236" s="100"/>
      <c r="J236" s="46"/>
      <c r="K236" s="101"/>
      <c r="L236" s="101"/>
      <c r="M236" s="87"/>
      <c r="N236" s="87"/>
      <c r="O236" s="87"/>
      <c r="P236" s="87"/>
      <c r="Q236" s="87"/>
      <c r="R236" s="87"/>
      <c r="S236" s="87"/>
      <c r="T236" s="87"/>
      <c r="U236" s="87"/>
      <c r="V236" s="87"/>
      <c r="W236" s="87"/>
      <c r="X236" s="87"/>
      <c r="Y236" s="87"/>
      <c r="Z236" s="87"/>
    </row>
    <row r="237">
      <c r="A237" s="96"/>
      <c r="B237" s="96"/>
      <c r="C237" s="98"/>
      <c r="D237" s="98"/>
      <c r="E237" s="100"/>
      <c r="F237" s="100"/>
      <c r="G237" s="101"/>
      <c r="H237" s="100"/>
      <c r="I237" s="100"/>
      <c r="J237" s="46"/>
      <c r="K237" s="101"/>
      <c r="L237" s="101"/>
      <c r="M237" s="87"/>
      <c r="N237" s="87"/>
      <c r="O237" s="87"/>
      <c r="P237" s="87"/>
      <c r="Q237" s="87"/>
      <c r="R237" s="87"/>
      <c r="S237" s="87"/>
      <c r="T237" s="87"/>
      <c r="U237" s="87"/>
      <c r="V237" s="87"/>
      <c r="W237" s="87"/>
      <c r="X237" s="87"/>
      <c r="Y237" s="87"/>
      <c r="Z237" s="87"/>
    </row>
    <row r="238">
      <c r="A238" s="96"/>
      <c r="B238" s="96"/>
      <c r="C238" s="98"/>
      <c r="D238" s="98"/>
      <c r="E238" s="100"/>
      <c r="F238" s="100"/>
      <c r="G238" s="101"/>
      <c r="H238" s="100"/>
      <c r="I238" s="100"/>
      <c r="J238" s="46"/>
      <c r="K238" s="101"/>
      <c r="L238" s="101"/>
      <c r="M238" s="87"/>
      <c r="N238" s="87"/>
      <c r="O238" s="87"/>
      <c r="P238" s="87"/>
      <c r="Q238" s="87"/>
      <c r="R238" s="87"/>
      <c r="S238" s="87"/>
      <c r="T238" s="87"/>
      <c r="U238" s="87"/>
      <c r="V238" s="87"/>
      <c r="W238" s="87"/>
      <c r="X238" s="87"/>
      <c r="Y238" s="87"/>
      <c r="Z238" s="87"/>
    </row>
    <row r="239">
      <c r="A239" s="96"/>
      <c r="B239" s="96"/>
      <c r="C239" s="98"/>
      <c r="D239" s="98"/>
      <c r="E239" s="100"/>
      <c r="F239" s="100"/>
      <c r="G239" s="101"/>
      <c r="H239" s="100"/>
      <c r="I239" s="100"/>
      <c r="J239" s="46"/>
      <c r="K239" s="101"/>
      <c r="L239" s="101"/>
      <c r="M239" s="87"/>
      <c r="N239" s="87"/>
      <c r="O239" s="87"/>
      <c r="P239" s="87"/>
      <c r="Q239" s="87"/>
      <c r="R239" s="87"/>
      <c r="S239" s="87"/>
      <c r="T239" s="87"/>
      <c r="U239" s="87"/>
      <c r="V239" s="87"/>
      <c r="W239" s="87"/>
      <c r="X239" s="87"/>
      <c r="Y239" s="87"/>
      <c r="Z239" s="87"/>
    </row>
    <row r="240">
      <c r="A240" s="96"/>
      <c r="B240" s="96"/>
      <c r="C240" s="98"/>
      <c r="D240" s="98"/>
      <c r="E240" s="100"/>
      <c r="F240" s="100"/>
      <c r="G240" s="101"/>
      <c r="H240" s="100"/>
      <c r="I240" s="100"/>
      <c r="J240" s="46"/>
      <c r="K240" s="101"/>
      <c r="L240" s="101"/>
      <c r="M240" s="87"/>
      <c r="N240" s="87"/>
      <c r="O240" s="87"/>
      <c r="P240" s="87"/>
      <c r="Q240" s="87"/>
      <c r="R240" s="87"/>
      <c r="S240" s="87"/>
      <c r="T240" s="87"/>
      <c r="U240" s="87"/>
      <c r="V240" s="87"/>
      <c r="W240" s="87"/>
      <c r="X240" s="87"/>
      <c r="Y240" s="87"/>
      <c r="Z240" s="87"/>
    </row>
    <row r="241">
      <c r="A241" s="96"/>
      <c r="B241" s="96"/>
      <c r="C241" s="98"/>
      <c r="D241" s="98"/>
      <c r="E241" s="100"/>
      <c r="F241" s="100"/>
      <c r="G241" s="101"/>
      <c r="H241" s="100"/>
      <c r="I241" s="100"/>
      <c r="J241" s="46"/>
      <c r="K241" s="101"/>
      <c r="L241" s="101"/>
      <c r="M241" s="87"/>
      <c r="N241" s="87"/>
      <c r="O241" s="87"/>
      <c r="P241" s="87"/>
      <c r="Q241" s="87"/>
      <c r="R241" s="87"/>
      <c r="S241" s="87"/>
      <c r="T241" s="87"/>
      <c r="U241" s="87"/>
      <c r="V241" s="87"/>
      <c r="W241" s="87"/>
      <c r="X241" s="87"/>
      <c r="Y241" s="87"/>
      <c r="Z241" s="87"/>
    </row>
    <row r="242">
      <c r="A242" s="96"/>
      <c r="B242" s="96"/>
      <c r="C242" s="98"/>
      <c r="D242" s="98"/>
      <c r="E242" s="100"/>
      <c r="F242" s="100"/>
      <c r="G242" s="101"/>
      <c r="H242" s="100"/>
      <c r="I242" s="100"/>
      <c r="J242" s="46"/>
      <c r="K242" s="101"/>
      <c r="L242" s="101"/>
      <c r="M242" s="87"/>
      <c r="N242" s="87"/>
      <c r="O242" s="87"/>
      <c r="P242" s="87"/>
      <c r="Q242" s="87"/>
      <c r="R242" s="87"/>
      <c r="S242" s="87"/>
      <c r="T242" s="87"/>
      <c r="U242" s="87"/>
      <c r="V242" s="87"/>
      <c r="W242" s="87"/>
      <c r="X242" s="87"/>
      <c r="Y242" s="87"/>
      <c r="Z242" s="87"/>
    </row>
    <row r="243">
      <c r="A243" s="96"/>
      <c r="B243" s="96"/>
      <c r="C243" s="98"/>
      <c r="D243" s="98"/>
      <c r="E243" s="100"/>
      <c r="F243" s="100"/>
      <c r="G243" s="101"/>
      <c r="H243" s="100"/>
      <c r="I243" s="100"/>
      <c r="J243" s="46"/>
      <c r="K243" s="101"/>
      <c r="L243" s="101"/>
      <c r="M243" s="87"/>
      <c r="N243" s="87"/>
      <c r="O243" s="87"/>
      <c r="P243" s="87"/>
      <c r="Q243" s="87"/>
      <c r="R243" s="87"/>
      <c r="S243" s="87"/>
      <c r="T243" s="87"/>
      <c r="U243" s="87"/>
      <c r="V243" s="87"/>
      <c r="W243" s="87"/>
      <c r="X243" s="87"/>
      <c r="Y243" s="87"/>
      <c r="Z243" s="87"/>
    </row>
    <row r="244">
      <c r="A244" s="96"/>
      <c r="B244" s="96"/>
      <c r="C244" s="98"/>
      <c r="D244" s="98"/>
      <c r="E244" s="100"/>
      <c r="F244" s="100"/>
      <c r="G244" s="101"/>
      <c r="H244" s="100"/>
      <c r="I244" s="100"/>
      <c r="J244" s="46"/>
      <c r="K244" s="101"/>
      <c r="L244" s="101"/>
      <c r="M244" s="87"/>
      <c r="N244" s="87"/>
      <c r="O244" s="87"/>
      <c r="P244" s="87"/>
      <c r="Q244" s="87"/>
      <c r="R244" s="87"/>
      <c r="S244" s="87"/>
      <c r="T244" s="87"/>
      <c r="U244" s="87"/>
      <c r="V244" s="87"/>
      <c r="W244" s="87"/>
      <c r="X244" s="87"/>
      <c r="Y244" s="87"/>
      <c r="Z244" s="87"/>
    </row>
    <row r="245">
      <c r="A245" s="96"/>
      <c r="B245" s="96"/>
      <c r="C245" s="98"/>
      <c r="D245" s="98"/>
      <c r="E245" s="100"/>
      <c r="F245" s="100"/>
      <c r="G245" s="101"/>
      <c r="H245" s="100"/>
      <c r="I245" s="100"/>
      <c r="J245" s="46"/>
      <c r="K245" s="101"/>
      <c r="L245" s="101"/>
      <c r="M245" s="87"/>
      <c r="N245" s="87"/>
      <c r="O245" s="87"/>
      <c r="P245" s="87"/>
      <c r="Q245" s="87"/>
      <c r="R245" s="87"/>
      <c r="S245" s="87"/>
      <c r="T245" s="87"/>
      <c r="U245" s="87"/>
      <c r="V245" s="87"/>
      <c r="W245" s="87"/>
      <c r="X245" s="87"/>
      <c r="Y245" s="87"/>
      <c r="Z245" s="87"/>
    </row>
    <row r="246">
      <c r="A246" s="96"/>
      <c r="B246" s="96"/>
      <c r="C246" s="98"/>
      <c r="D246" s="98"/>
      <c r="E246" s="100"/>
      <c r="F246" s="100"/>
      <c r="G246" s="101"/>
      <c r="H246" s="100"/>
      <c r="I246" s="100"/>
      <c r="J246" s="46"/>
      <c r="K246" s="101"/>
      <c r="L246" s="101"/>
      <c r="M246" s="87"/>
      <c r="N246" s="87"/>
      <c r="O246" s="87"/>
      <c r="P246" s="87"/>
      <c r="Q246" s="87"/>
      <c r="R246" s="87"/>
      <c r="S246" s="87"/>
      <c r="T246" s="87"/>
      <c r="U246" s="87"/>
      <c r="V246" s="87"/>
      <c r="W246" s="87"/>
      <c r="X246" s="87"/>
      <c r="Y246" s="87"/>
      <c r="Z246" s="87"/>
    </row>
    <row r="247">
      <c r="A247" s="96"/>
      <c r="B247" s="96"/>
      <c r="C247" s="98"/>
      <c r="D247" s="98"/>
      <c r="E247" s="100"/>
      <c r="F247" s="100"/>
      <c r="G247" s="101"/>
      <c r="H247" s="100"/>
      <c r="I247" s="100"/>
      <c r="J247" s="46"/>
      <c r="K247" s="101"/>
      <c r="L247" s="101"/>
      <c r="M247" s="87"/>
      <c r="N247" s="87"/>
      <c r="O247" s="87"/>
      <c r="P247" s="87"/>
      <c r="Q247" s="87"/>
      <c r="R247" s="87"/>
      <c r="S247" s="87"/>
      <c r="T247" s="87"/>
      <c r="U247" s="87"/>
      <c r="V247" s="87"/>
      <c r="W247" s="87"/>
      <c r="X247" s="87"/>
      <c r="Y247" s="87"/>
      <c r="Z247" s="87"/>
    </row>
    <row r="248">
      <c r="A248" s="96"/>
      <c r="B248" s="96"/>
      <c r="C248" s="98"/>
      <c r="D248" s="98"/>
      <c r="E248" s="100"/>
      <c r="F248" s="100"/>
      <c r="G248" s="101"/>
      <c r="H248" s="100"/>
      <c r="I248" s="100"/>
      <c r="J248" s="46"/>
      <c r="K248" s="101"/>
      <c r="L248" s="101"/>
      <c r="M248" s="87"/>
      <c r="N248" s="87"/>
      <c r="O248" s="87"/>
      <c r="P248" s="87"/>
      <c r="Q248" s="87"/>
      <c r="R248" s="87"/>
      <c r="S248" s="87"/>
      <c r="T248" s="87"/>
      <c r="U248" s="87"/>
      <c r="V248" s="87"/>
      <c r="W248" s="87"/>
      <c r="X248" s="87"/>
      <c r="Y248" s="87"/>
      <c r="Z248" s="87"/>
    </row>
    <row r="249">
      <c r="A249" s="96"/>
      <c r="B249" s="96"/>
      <c r="C249" s="98"/>
      <c r="D249" s="98"/>
      <c r="E249" s="100"/>
      <c r="F249" s="100"/>
      <c r="G249" s="101"/>
      <c r="H249" s="100"/>
      <c r="I249" s="100"/>
      <c r="J249" s="46"/>
      <c r="K249" s="101"/>
      <c r="L249" s="101"/>
      <c r="M249" s="87"/>
      <c r="N249" s="87"/>
      <c r="O249" s="87"/>
      <c r="P249" s="87"/>
      <c r="Q249" s="87"/>
      <c r="R249" s="87"/>
      <c r="S249" s="87"/>
      <c r="T249" s="87"/>
      <c r="U249" s="87"/>
      <c r="V249" s="87"/>
      <c r="W249" s="87"/>
      <c r="X249" s="87"/>
      <c r="Y249" s="87"/>
      <c r="Z249" s="87"/>
    </row>
    <row r="250">
      <c r="A250" s="96"/>
      <c r="B250" s="96"/>
      <c r="C250" s="98"/>
      <c r="D250" s="98"/>
      <c r="E250" s="100"/>
      <c r="F250" s="100"/>
      <c r="G250" s="101"/>
      <c r="H250" s="100"/>
      <c r="I250" s="100"/>
      <c r="J250" s="46"/>
      <c r="K250" s="101"/>
      <c r="L250" s="101"/>
      <c r="M250" s="87"/>
      <c r="N250" s="87"/>
      <c r="O250" s="87"/>
      <c r="P250" s="87"/>
      <c r="Q250" s="87"/>
      <c r="R250" s="87"/>
      <c r="S250" s="87"/>
      <c r="T250" s="87"/>
      <c r="U250" s="87"/>
      <c r="V250" s="87"/>
      <c r="W250" s="87"/>
      <c r="X250" s="87"/>
      <c r="Y250" s="87"/>
      <c r="Z250" s="87"/>
    </row>
    <row r="251">
      <c r="A251" s="96"/>
      <c r="B251" s="96"/>
      <c r="C251" s="98"/>
      <c r="D251" s="98"/>
      <c r="E251" s="100"/>
      <c r="F251" s="100"/>
      <c r="G251" s="101"/>
      <c r="H251" s="100"/>
      <c r="I251" s="100"/>
      <c r="J251" s="46"/>
      <c r="K251" s="101"/>
      <c r="L251" s="101"/>
      <c r="M251" s="87"/>
      <c r="N251" s="87"/>
      <c r="O251" s="87"/>
      <c r="P251" s="87"/>
      <c r="Q251" s="87"/>
      <c r="R251" s="87"/>
      <c r="S251" s="87"/>
      <c r="T251" s="87"/>
      <c r="U251" s="87"/>
      <c r="V251" s="87"/>
      <c r="W251" s="87"/>
      <c r="X251" s="87"/>
      <c r="Y251" s="87"/>
      <c r="Z251" s="87"/>
    </row>
    <row r="252">
      <c r="A252" s="96"/>
      <c r="B252" s="96"/>
      <c r="C252" s="98"/>
      <c r="D252" s="98"/>
      <c r="E252" s="100"/>
      <c r="F252" s="100"/>
      <c r="G252" s="101"/>
      <c r="H252" s="100"/>
      <c r="I252" s="100"/>
      <c r="J252" s="46"/>
      <c r="K252" s="101"/>
      <c r="L252" s="101"/>
      <c r="M252" s="87"/>
      <c r="N252" s="87"/>
      <c r="O252" s="87"/>
      <c r="P252" s="87"/>
      <c r="Q252" s="87"/>
      <c r="R252" s="87"/>
      <c r="S252" s="87"/>
      <c r="T252" s="87"/>
      <c r="U252" s="87"/>
      <c r="V252" s="87"/>
      <c r="W252" s="87"/>
      <c r="X252" s="87"/>
      <c r="Y252" s="87"/>
      <c r="Z252" s="87"/>
    </row>
    <row r="253">
      <c r="A253" s="96"/>
      <c r="B253" s="96"/>
      <c r="C253" s="98"/>
      <c r="D253" s="98"/>
      <c r="E253" s="100"/>
      <c r="F253" s="100"/>
      <c r="G253" s="101"/>
      <c r="H253" s="100"/>
      <c r="I253" s="100"/>
      <c r="J253" s="46"/>
      <c r="K253" s="101"/>
      <c r="L253" s="101"/>
      <c r="M253" s="87"/>
      <c r="N253" s="87"/>
      <c r="O253" s="87"/>
      <c r="P253" s="87"/>
      <c r="Q253" s="87"/>
      <c r="R253" s="87"/>
      <c r="S253" s="87"/>
      <c r="T253" s="87"/>
      <c r="U253" s="87"/>
      <c r="V253" s="87"/>
      <c r="W253" s="87"/>
      <c r="X253" s="87"/>
      <c r="Y253" s="87"/>
      <c r="Z253" s="87"/>
    </row>
    <row r="254">
      <c r="A254" s="96"/>
      <c r="B254" s="96"/>
      <c r="C254" s="98"/>
      <c r="D254" s="98"/>
      <c r="E254" s="100"/>
      <c r="F254" s="100"/>
      <c r="G254" s="101"/>
      <c r="H254" s="100"/>
      <c r="I254" s="100"/>
      <c r="J254" s="46"/>
      <c r="K254" s="101"/>
      <c r="L254" s="101"/>
      <c r="M254" s="87"/>
      <c r="N254" s="87"/>
      <c r="O254" s="87"/>
      <c r="P254" s="87"/>
      <c r="Q254" s="87"/>
      <c r="R254" s="87"/>
      <c r="S254" s="87"/>
      <c r="T254" s="87"/>
      <c r="U254" s="87"/>
      <c r="V254" s="87"/>
      <c r="W254" s="87"/>
      <c r="X254" s="87"/>
      <c r="Y254" s="87"/>
      <c r="Z254" s="87"/>
    </row>
    <row r="255">
      <c r="A255" s="96"/>
      <c r="B255" s="96"/>
      <c r="C255" s="98"/>
      <c r="D255" s="98"/>
      <c r="E255" s="100"/>
      <c r="F255" s="100"/>
      <c r="G255" s="101"/>
      <c r="H255" s="100"/>
      <c r="I255" s="100"/>
      <c r="J255" s="46"/>
      <c r="K255" s="101"/>
      <c r="L255" s="101"/>
      <c r="M255" s="87"/>
      <c r="N255" s="87"/>
      <c r="O255" s="87"/>
      <c r="P255" s="87"/>
      <c r="Q255" s="87"/>
      <c r="R255" s="87"/>
      <c r="S255" s="87"/>
      <c r="T255" s="87"/>
      <c r="U255" s="87"/>
      <c r="V255" s="87"/>
      <c r="W255" s="87"/>
      <c r="X255" s="87"/>
      <c r="Y255" s="87"/>
      <c r="Z255" s="87"/>
    </row>
    <row r="256">
      <c r="A256" s="96"/>
      <c r="B256" s="96"/>
      <c r="C256" s="98"/>
      <c r="D256" s="98"/>
      <c r="E256" s="100"/>
      <c r="F256" s="100"/>
      <c r="G256" s="101"/>
      <c r="H256" s="100"/>
      <c r="I256" s="100"/>
      <c r="J256" s="46"/>
      <c r="K256" s="101"/>
      <c r="L256" s="101"/>
      <c r="M256" s="87"/>
      <c r="N256" s="87"/>
      <c r="O256" s="87"/>
      <c r="P256" s="87"/>
      <c r="Q256" s="87"/>
      <c r="R256" s="87"/>
      <c r="S256" s="87"/>
      <c r="T256" s="87"/>
      <c r="U256" s="87"/>
      <c r="V256" s="87"/>
      <c r="W256" s="87"/>
      <c r="X256" s="87"/>
      <c r="Y256" s="87"/>
      <c r="Z256" s="87"/>
    </row>
    <row r="257">
      <c r="A257" s="96"/>
      <c r="B257" s="96"/>
      <c r="C257" s="98"/>
      <c r="D257" s="98"/>
      <c r="E257" s="100"/>
      <c r="F257" s="100"/>
      <c r="G257" s="101"/>
      <c r="H257" s="100"/>
      <c r="I257" s="100"/>
      <c r="J257" s="46"/>
      <c r="K257" s="101"/>
      <c r="L257" s="101"/>
      <c r="M257" s="87"/>
      <c r="N257" s="87"/>
      <c r="O257" s="87"/>
      <c r="P257" s="87"/>
      <c r="Q257" s="87"/>
      <c r="R257" s="87"/>
      <c r="S257" s="87"/>
      <c r="T257" s="87"/>
      <c r="U257" s="87"/>
      <c r="V257" s="87"/>
      <c r="W257" s="87"/>
      <c r="X257" s="87"/>
      <c r="Y257" s="87"/>
      <c r="Z257" s="87"/>
    </row>
    <row r="258">
      <c r="A258" s="96"/>
      <c r="B258" s="96"/>
      <c r="C258" s="98"/>
      <c r="D258" s="98"/>
      <c r="E258" s="100"/>
      <c r="F258" s="100"/>
      <c r="G258" s="101"/>
      <c r="H258" s="100"/>
      <c r="I258" s="100"/>
      <c r="J258" s="46"/>
      <c r="K258" s="101"/>
      <c r="L258" s="101"/>
      <c r="M258" s="87"/>
      <c r="N258" s="87"/>
      <c r="O258" s="87"/>
      <c r="P258" s="87"/>
      <c r="Q258" s="87"/>
      <c r="R258" s="87"/>
      <c r="S258" s="87"/>
      <c r="T258" s="87"/>
      <c r="U258" s="87"/>
      <c r="V258" s="87"/>
      <c r="W258" s="87"/>
      <c r="X258" s="87"/>
      <c r="Y258" s="87"/>
      <c r="Z258" s="87"/>
    </row>
    <row r="259">
      <c r="A259" s="96"/>
      <c r="B259" s="96"/>
      <c r="C259" s="98"/>
      <c r="D259" s="98"/>
      <c r="E259" s="100"/>
      <c r="F259" s="100"/>
      <c r="G259" s="101"/>
      <c r="H259" s="100"/>
      <c r="I259" s="100"/>
      <c r="J259" s="46"/>
      <c r="K259" s="101"/>
      <c r="L259" s="101"/>
      <c r="M259" s="87"/>
      <c r="N259" s="87"/>
      <c r="O259" s="87"/>
      <c r="P259" s="87"/>
      <c r="Q259" s="87"/>
      <c r="R259" s="87"/>
      <c r="S259" s="87"/>
      <c r="T259" s="87"/>
      <c r="U259" s="87"/>
      <c r="V259" s="87"/>
      <c r="W259" s="87"/>
      <c r="X259" s="87"/>
      <c r="Y259" s="87"/>
      <c r="Z259" s="87"/>
    </row>
    <row r="260">
      <c r="A260" s="96"/>
      <c r="B260" s="96"/>
      <c r="C260" s="98"/>
      <c r="D260" s="98"/>
      <c r="E260" s="100"/>
      <c r="F260" s="100"/>
      <c r="G260" s="101"/>
      <c r="H260" s="100"/>
      <c r="I260" s="100"/>
      <c r="J260" s="46"/>
      <c r="K260" s="101"/>
      <c r="L260" s="101"/>
      <c r="M260" s="87"/>
      <c r="N260" s="87"/>
      <c r="O260" s="87"/>
      <c r="P260" s="87"/>
      <c r="Q260" s="87"/>
      <c r="R260" s="87"/>
      <c r="S260" s="87"/>
      <c r="T260" s="87"/>
      <c r="U260" s="87"/>
      <c r="V260" s="87"/>
      <c r="W260" s="87"/>
      <c r="X260" s="87"/>
      <c r="Y260" s="87"/>
      <c r="Z260" s="87"/>
    </row>
    <row r="261">
      <c r="A261" s="96"/>
      <c r="B261" s="96"/>
      <c r="C261" s="98"/>
      <c r="D261" s="98"/>
      <c r="E261" s="100"/>
      <c r="F261" s="100"/>
      <c r="G261" s="101"/>
      <c r="H261" s="100"/>
      <c r="I261" s="100"/>
      <c r="J261" s="46"/>
      <c r="K261" s="101"/>
      <c r="L261" s="101"/>
      <c r="M261" s="87"/>
      <c r="N261" s="87"/>
      <c r="O261" s="87"/>
      <c r="P261" s="87"/>
      <c r="Q261" s="87"/>
      <c r="R261" s="87"/>
      <c r="S261" s="87"/>
      <c r="T261" s="87"/>
      <c r="U261" s="87"/>
      <c r="V261" s="87"/>
      <c r="W261" s="87"/>
      <c r="X261" s="87"/>
      <c r="Y261" s="87"/>
      <c r="Z261" s="87"/>
    </row>
    <row r="262">
      <c r="A262" s="96"/>
      <c r="B262" s="96"/>
      <c r="C262" s="98"/>
      <c r="D262" s="98"/>
      <c r="E262" s="100"/>
      <c r="F262" s="100"/>
      <c r="G262" s="101"/>
      <c r="H262" s="100"/>
      <c r="I262" s="100"/>
      <c r="J262" s="46"/>
      <c r="K262" s="101"/>
      <c r="L262" s="101"/>
      <c r="M262" s="87"/>
      <c r="N262" s="87"/>
      <c r="O262" s="87"/>
      <c r="P262" s="87"/>
      <c r="Q262" s="87"/>
      <c r="R262" s="87"/>
      <c r="S262" s="87"/>
      <c r="T262" s="87"/>
      <c r="U262" s="87"/>
      <c r="V262" s="87"/>
      <c r="W262" s="87"/>
      <c r="X262" s="87"/>
      <c r="Y262" s="87"/>
      <c r="Z262" s="87"/>
    </row>
    <row r="263">
      <c r="A263" s="96"/>
      <c r="B263" s="96"/>
      <c r="C263" s="98"/>
      <c r="D263" s="98"/>
      <c r="E263" s="100"/>
      <c r="F263" s="100"/>
      <c r="G263" s="101"/>
      <c r="H263" s="100"/>
      <c r="I263" s="100"/>
      <c r="J263" s="46"/>
      <c r="K263" s="101"/>
      <c r="L263" s="101"/>
      <c r="M263" s="87"/>
      <c r="N263" s="87"/>
      <c r="O263" s="87"/>
      <c r="P263" s="87"/>
      <c r="Q263" s="87"/>
      <c r="R263" s="87"/>
      <c r="S263" s="87"/>
      <c r="T263" s="87"/>
      <c r="U263" s="87"/>
      <c r="V263" s="87"/>
      <c r="W263" s="87"/>
      <c r="X263" s="87"/>
      <c r="Y263" s="87"/>
      <c r="Z263" s="87"/>
    </row>
    <row r="264">
      <c r="A264" s="96"/>
      <c r="B264" s="96"/>
      <c r="C264" s="98"/>
      <c r="D264" s="98"/>
      <c r="E264" s="100"/>
      <c r="F264" s="100"/>
      <c r="G264" s="101"/>
      <c r="H264" s="100"/>
      <c r="I264" s="100"/>
      <c r="J264" s="46"/>
      <c r="K264" s="101"/>
      <c r="L264" s="101"/>
      <c r="M264" s="87"/>
      <c r="N264" s="87"/>
      <c r="O264" s="87"/>
      <c r="P264" s="87"/>
      <c r="Q264" s="87"/>
      <c r="R264" s="87"/>
      <c r="S264" s="87"/>
      <c r="T264" s="87"/>
      <c r="U264" s="87"/>
      <c r="V264" s="87"/>
      <c r="W264" s="87"/>
      <c r="X264" s="87"/>
      <c r="Y264" s="87"/>
      <c r="Z264" s="87"/>
    </row>
    <row r="265">
      <c r="A265" s="96"/>
      <c r="B265" s="96"/>
      <c r="C265" s="98"/>
      <c r="D265" s="98"/>
      <c r="E265" s="100"/>
      <c r="F265" s="100"/>
      <c r="G265" s="101"/>
      <c r="H265" s="100"/>
      <c r="I265" s="100"/>
      <c r="J265" s="46"/>
      <c r="K265" s="101"/>
      <c r="L265" s="101"/>
      <c r="M265" s="87"/>
      <c r="N265" s="87"/>
      <c r="O265" s="87"/>
      <c r="P265" s="87"/>
      <c r="Q265" s="87"/>
      <c r="R265" s="87"/>
      <c r="S265" s="87"/>
      <c r="T265" s="87"/>
      <c r="U265" s="87"/>
      <c r="V265" s="87"/>
      <c r="W265" s="87"/>
      <c r="X265" s="87"/>
      <c r="Y265" s="87"/>
      <c r="Z265" s="87"/>
    </row>
    <row r="266">
      <c r="A266" s="96"/>
      <c r="B266" s="96"/>
      <c r="C266" s="98"/>
      <c r="D266" s="98"/>
      <c r="E266" s="100"/>
      <c r="F266" s="100"/>
      <c r="G266" s="101"/>
      <c r="H266" s="100"/>
      <c r="I266" s="100"/>
      <c r="J266" s="46"/>
      <c r="K266" s="101"/>
      <c r="L266" s="101"/>
      <c r="M266" s="87"/>
      <c r="N266" s="87"/>
      <c r="O266" s="87"/>
      <c r="P266" s="87"/>
      <c r="Q266" s="87"/>
      <c r="R266" s="87"/>
      <c r="S266" s="87"/>
      <c r="T266" s="87"/>
      <c r="U266" s="87"/>
      <c r="V266" s="87"/>
      <c r="W266" s="87"/>
      <c r="X266" s="87"/>
      <c r="Y266" s="87"/>
      <c r="Z266" s="87"/>
    </row>
    <row r="267">
      <c r="A267" s="96"/>
      <c r="B267" s="96"/>
      <c r="C267" s="98"/>
      <c r="D267" s="98"/>
      <c r="E267" s="100"/>
      <c r="F267" s="100"/>
      <c r="G267" s="101"/>
      <c r="H267" s="100"/>
      <c r="I267" s="100"/>
      <c r="J267" s="46"/>
      <c r="K267" s="101"/>
      <c r="L267" s="101"/>
      <c r="M267" s="87"/>
      <c r="N267" s="87"/>
      <c r="O267" s="87"/>
      <c r="P267" s="87"/>
      <c r="Q267" s="87"/>
      <c r="R267" s="87"/>
      <c r="S267" s="87"/>
      <c r="T267" s="87"/>
      <c r="U267" s="87"/>
      <c r="V267" s="87"/>
      <c r="W267" s="87"/>
      <c r="X267" s="87"/>
      <c r="Y267" s="87"/>
      <c r="Z267" s="87"/>
    </row>
    <row r="268">
      <c r="A268" s="96"/>
      <c r="B268" s="96"/>
      <c r="C268" s="98"/>
      <c r="D268" s="98"/>
      <c r="E268" s="100"/>
      <c r="F268" s="100"/>
      <c r="G268" s="101"/>
      <c r="H268" s="100"/>
      <c r="I268" s="100"/>
      <c r="J268" s="46"/>
      <c r="K268" s="101"/>
      <c r="L268" s="101"/>
      <c r="M268" s="87"/>
      <c r="N268" s="87"/>
      <c r="O268" s="87"/>
      <c r="P268" s="87"/>
      <c r="Q268" s="87"/>
      <c r="R268" s="87"/>
      <c r="S268" s="87"/>
      <c r="T268" s="87"/>
      <c r="U268" s="87"/>
      <c r="V268" s="87"/>
      <c r="W268" s="87"/>
      <c r="X268" s="87"/>
      <c r="Y268" s="87"/>
      <c r="Z268" s="87"/>
    </row>
    <row r="269">
      <c r="A269" s="96"/>
      <c r="B269" s="96"/>
      <c r="C269" s="98"/>
      <c r="D269" s="98"/>
      <c r="E269" s="100"/>
      <c r="F269" s="100"/>
      <c r="G269" s="101"/>
      <c r="H269" s="100"/>
      <c r="I269" s="100"/>
      <c r="J269" s="46"/>
      <c r="K269" s="101"/>
      <c r="L269" s="101"/>
      <c r="M269" s="87"/>
      <c r="N269" s="87"/>
      <c r="O269" s="87"/>
      <c r="P269" s="87"/>
      <c r="Q269" s="87"/>
      <c r="R269" s="87"/>
      <c r="S269" s="87"/>
      <c r="T269" s="87"/>
      <c r="U269" s="87"/>
      <c r="V269" s="87"/>
      <c r="W269" s="87"/>
      <c r="X269" s="87"/>
      <c r="Y269" s="87"/>
      <c r="Z269" s="87"/>
    </row>
    <row r="270">
      <c r="A270" s="96"/>
      <c r="B270" s="96"/>
      <c r="C270" s="98"/>
      <c r="D270" s="98"/>
      <c r="E270" s="100"/>
      <c r="F270" s="100"/>
      <c r="G270" s="101"/>
      <c r="H270" s="100"/>
      <c r="I270" s="100"/>
      <c r="J270" s="46"/>
      <c r="K270" s="101"/>
      <c r="L270" s="101"/>
      <c r="M270" s="87"/>
      <c r="N270" s="87"/>
      <c r="O270" s="87"/>
      <c r="P270" s="87"/>
      <c r="Q270" s="87"/>
      <c r="R270" s="87"/>
      <c r="S270" s="87"/>
      <c r="T270" s="87"/>
      <c r="U270" s="87"/>
      <c r="V270" s="87"/>
      <c r="W270" s="87"/>
      <c r="X270" s="87"/>
      <c r="Y270" s="87"/>
      <c r="Z270" s="87"/>
    </row>
    <row r="271">
      <c r="A271" s="96"/>
      <c r="B271" s="96"/>
      <c r="C271" s="98"/>
      <c r="D271" s="98"/>
      <c r="E271" s="100"/>
      <c r="F271" s="100"/>
      <c r="G271" s="101"/>
      <c r="H271" s="100"/>
      <c r="I271" s="100"/>
      <c r="J271" s="46"/>
      <c r="K271" s="101"/>
      <c r="L271" s="101"/>
      <c r="M271" s="87"/>
      <c r="N271" s="87"/>
      <c r="O271" s="87"/>
      <c r="P271" s="87"/>
      <c r="Q271" s="87"/>
      <c r="R271" s="87"/>
      <c r="S271" s="87"/>
      <c r="T271" s="87"/>
      <c r="U271" s="87"/>
      <c r="V271" s="87"/>
      <c r="W271" s="87"/>
      <c r="X271" s="87"/>
      <c r="Y271" s="87"/>
      <c r="Z271" s="87"/>
    </row>
    <row r="272">
      <c r="A272" s="96"/>
      <c r="B272" s="96"/>
      <c r="C272" s="98"/>
      <c r="D272" s="98"/>
      <c r="E272" s="100"/>
      <c r="F272" s="100"/>
      <c r="G272" s="101"/>
      <c r="H272" s="100"/>
      <c r="I272" s="100"/>
      <c r="J272" s="46"/>
      <c r="K272" s="101"/>
      <c r="L272" s="101"/>
      <c r="M272" s="87"/>
      <c r="N272" s="87"/>
      <c r="O272" s="87"/>
      <c r="P272" s="87"/>
      <c r="Q272" s="87"/>
      <c r="R272" s="87"/>
      <c r="S272" s="87"/>
      <c r="T272" s="87"/>
      <c r="U272" s="87"/>
      <c r="V272" s="87"/>
      <c r="W272" s="87"/>
      <c r="X272" s="87"/>
      <c r="Y272" s="87"/>
      <c r="Z272" s="87"/>
    </row>
    <row r="273">
      <c r="A273" s="96"/>
      <c r="B273" s="96"/>
      <c r="C273" s="98"/>
      <c r="D273" s="98"/>
      <c r="E273" s="100"/>
      <c r="F273" s="100"/>
      <c r="G273" s="101"/>
      <c r="H273" s="100"/>
      <c r="I273" s="100"/>
      <c r="J273" s="46"/>
      <c r="K273" s="101"/>
      <c r="L273" s="101"/>
      <c r="M273" s="87"/>
      <c r="N273" s="87"/>
      <c r="O273" s="87"/>
      <c r="P273" s="87"/>
      <c r="Q273" s="87"/>
      <c r="R273" s="87"/>
      <c r="S273" s="87"/>
      <c r="T273" s="87"/>
      <c r="U273" s="87"/>
      <c r="V273" s="87"/>
      <c r="W273" s="87"/>
      <c r="X273" s="87"/>
      <c r="Y273" s="87"/>
      <c r="Z273" s="87"/>
    </row>
    <row r="274">
      <c r="A274" s="96"/>
      <c r="B274" s="96"/>
      <c r="C274" s="98"/>
      <c r="D274" s="98"/>
      <c r="E274" s="100"/>
      <c r="F274" s="100"/>
      <c r="G274" s="101"/>
      <c r="H274" s="100"/>
      <c r="I274" s="100"/>
      <c r="J274" s="46"/>
      <c r="K274" s="101"/>
      <c r="L274" s="101"/>
      <c r="M274" s="87"/>
      <c r="N274" s="87"/>
      <c r="O274" s="87"/>
      <c r="P274" s="87"/>
      <c r="Q274" s="87"/>
      <c r="R274" s="87"/>
      <c r="S274" s="87"/>
      <c r="T274" s="87"/>
      <c r="U274" s="87"/>
      <c r="V274" s="87"/>
      <c r="W274" s="87"/>
      <c r="X274" s="87"/>
      <c r="Y274" s="87"/>
      <c r="Z274" s="87"/>
    </row>
    <row r="275">
      <c r="A275" s="96"/>
      <c r="B275" s="96"/>
      <c r="C275" s="98"/>
      <c r="D275" s="98"/>
      <c r="E275" s="100"/>
      <c r="F275" s="100"/>
      <c r="G275" s="101"/>
      <c r="H275" s="100"/>
      <c r="I275" s="100"/>
      <c r="J275" s="46"/>
      <c r="K275" s="101"/>
      <c r="L275" s="101"/>
      <c r="M275" s="87"/>
      <c r="N275" s="87"/>
      <c r="O275" s="87"/>
      <c r="P275" s="87"/>
      <c r="Q275" s="87"/>
      <c r="R275" s="87"/>
      <c r="S275" s="87"/>
      <c r="T275" s="87"/>
      <c r="U275" s="87"/>
      <c r="V275" s="87"/>
      <c r="W275" s="87"/>
      <c r="X275" s="87"/>
      <c r="Y275" s="87"/>
      <c r="Z275" s="87"/>
    </row>
    <row r="276">
      <c r="A276" s="96"/>
      <c r="B276" s="96"/>
      <c r="C276" s="98"/>
      <c r="D276" s="98"/>
      <c r="E276" s="100"/>
      <c r="F276" s="100"/>
      <c r="G276" s="101"/>
      <c r="H276" s="100"/>
      <c r="I276" s="100"/>
      <c r="J276" s="46"/>
      <c r="K276" s="101"/>
      <c r="L276" s="101"/>
      <c r="M276" s="87"/>
      <c r="N276" s="87"/>
      <c r="O276" s="87"/>
      <c r="P276" s="87"/>
      <c r="Q276" s="87"/>
      <c r="R276" s="87"/>
      <c r="S276" s="87"/>
      <c r="T276" s="87"/>
      <c r="U276" s="87"/>
      <c r="V276" s="87"/>
      <c r="W276" s="87"/>
      <c r="X276" s="87"/>
      <c r="Y276" s="87"/>
      <c r="Z276" s="87"/>
    </row>
    <row r="277">
      <c r="A277" s="96"/>
      <c r="B277" s="96"/>
      <c r="C277" s="98"/>
      <c r="D277" s="98"/>
      <c r="E277" s="100"/>
      <c r="F277" s="100"/>
      <c r="G277" s="101"/>
      <c r="H277" s="100"/>
      <c r="I277" s="100"/>
      <c r="J277" s="46"/>
      <c r="K277" s="101"/>
      <c r="L277" s="101"/>
      <c r="M277" s="87"/>
      <c r="N277" s="87"/>
      <c r="O277" s="87"/>
      <c r="P277" s="87"/>
      <c r="Q277" s="87"/>
      <c r="R277" s="87"/>
      <c r="S277" s="87"/>
      <c r="T277" s="87"/>
      <c r="U277" s="87"/>
      <c r="V277" s="87"/>
      <c r="W277" s="87"/>
      <c r="X277" s="87"/>
      <c r="Y277" s="87"/>
      <c r="Z277" s="87"/>
    </row>
    <row r="278">
      <c r="A278" s="96"/>
      <c r="B278" s="96"/>
      <c r="C278" s="98"/>
      <c r="D278" s="98"/>
      <c r="E278" s="100"/>
      <c r="F278" s="100"/>
      <c r="G278" s="101"/>
      <c r="H278" s="100"/>
      <c r="I278" s="100"/>
      <c r="J278" s="46"/>
      <c r="K278" s="101"/>
      <c r="L278" s="101"/>
      <c r="M278" s="87"/>
      <c r="N278" s="87"/>
      <c r="O278" s="87"/>
      <c r="P278" s="87"/>
      <c r="Q278" s="87"/>
      <c r="R278" s="87"/>
      <c r="S278" s="87"/>
      <c r="T278" s="87"/>
      <c r="U278" s="87"/>
      <c r="V278" s="87"/>
      <c r="W278" s="87"/>
      <c r="X278" s="87"/>
      <c r="Y278" s="87"/>
      <c r="Z278" s="87"/>
    </row>
    <row r="279">
      <c r="A279" s="96"/>
      <c r="B279" s="96"/>
      <c r="C279" s="98"/>
      <c r="D279" s="98"/>
      <c r="E279" s="100"/>
      <c r="F279" s="100"/>
      <c r="G279" s="101"/>
      <c r="H279" s="100"/>
      <c r="I279" s="100"/>
      <c r="J279" s="46"/>
      <c r="K279" s="101"/>
      <c r="L279" s="101"/>
      <c r="M279" s="87"/>
      <c r="N279" s="87"/>
      <c r="O279" s="87"/>
      <c r="P279" s="87"/>
      <c r="Q279" s="87"/>
      <c r="R279" s="87"/>
      <c r="S279" s="87"/>
      <c r="T279" s="87"/>
      <c r="U279" s="87"/>
      <c r="V279" s="87"/>
      <c r="W279" s="87"/>
      <c r="X279" s="87"/>
      <c r="Y279" s="87"/>
      <c r="Z279" s="87"/>
    </row>
    <row r="280">
      <c r="A280" s="96"/>
      <c r="B280" s="96"/>
      <c r="C280" s="98"/>
      <c r="D280" s="98"/>
      <c r="E280" s="100"/>
      <c r="F280" s="100"/>
      <c r="G280" s="101"/>
      <c r="H280" s="100"/>
      <c r="I280" s="100"/>
      <c r="J280" s="46"/>
      <c r="K280" s="101"/>
      <c r="L280" s="101"/>
      <c r="M280" s="87"/>
      <c r="N280" s="87"/>
      <c r="O280" s="87"/>
      <c r="P280" s="87"/>
      <c r="Q280" s="87"/>
      <c r="R280" s="87"/>
      <c r="S280" s="87"/>
      <c r="T280" s="87"/>
      <c r="U280" s="87"/>
      <c r="V280" s="87"/>
      <c r="W280" s="87"/>
      <c r="X280" s="87"/>
      <c r="Y280" s="87"/>
      <c r="Z280" s="87"/>
    </row>
    <row r="281">
      <c r="A281" s="96"/>
      <c r="B281" s="96"/>
      <c r="C281" s="98"/>
      <c r="D281" s="98"/>
      <c r="E281" s="100"/>
      <c r="F281" s="100"/>
      <c r="G281" s="101"/>
      <c r="H281" s="100"/>
      <c r="I281" s="100"/>
      <c r="J281" s="46"/>
      <c r="K281" s="101"/>
      <c r="L281" s="101"/>
      <c r="M281" s="87"/>
      <c r="N281" s="87"/>
      <c r="O281" s="87"/>
      <c r="P281" s="87"/>
      <c r="Q281" s="87"/>
      <c r="R281" s="87"/>
      <c r="S281" s="87"/>
      <c r="T281" s="87"/>
      <c r="U281" s="87"/>
      <c r="V281" s="87"/>
      <c r="W281" s="87"/>
      <c r="X281" s="87"/>
      <c r="Y281" s="87"/>
      <c r="Z281" s="87"/>
    </row>
    <row r="282">
      <c r="A282" s="96"/>
      <c r="B282" s="96"/>
      <c r="C282" s="98"/>
      <c r="D282" s="98"/>
      <c r="E282" s="100"/>
      <c r="F282" s="100"/>
      <c r="G282" s="101"/>
      <c r="H282" s="100"/>
      <c r="I282" s="100"/>
      <c r="J282" s="46"/>
      <c r="K282" s="101"/>
      <c r="L282" s="101"/>
      <c r="M282" s="87"/>
      <c r="N282" s="87"/>
      <c r="O282" s="87"/>
      <c r="P282" s="87"/>
      <c r="Q282" s="87"/>
      <c r="R282" s="87"/>
      <c r="S282" s="87"/>
      <c r="T282" s="87"/>
      <c r="U282" s="87"/>
      <c r="V282" s="87"/>
      <c r="W282" s="87"/>
      <c r="X282" s="87"/>
      <c r="Y282" s="87"/>
      <c r="Z282" s="87"/>
    </row>
    <row r="283">
      <c r="A283" s="96"/>
      <c r="B283" s="96"/>
      <c r="C283" s="98"/>
      <c r="D283" s="98"/>
      <c r="E283" s="100"/>
      <c r="F283" s="100"/>
      <c r="G283" s="101"/>
      <c r="H283" s="100"/>
      <c r="I283" s="100"/>
      <c r="J283" s="46"/>
      <c r="K283" s="101"/>
      <c r="L283" s="101"/>
      <c r="M283" s="87"/>
      <c r="N283" s="87"/>
      <c r="O283" s="87"/>
      <c r="P283" s="87"/>
      <c r="Q283" s="87"/>
      <c r="R283" s="87"/>
      <c r="S283" s="87"/>
      <c r="T283" s="87"/>
      <c r="U283" s="87"/>
      <c r="V283" s="87"/>
      <c r="W283" s="87"/>
      <c r="X283" s="87"/>
      <c r="Y283" s="87"/>
      <c r="Z283" s="87"/>
    </row>
    <row r="284">
      <c r="A284" s="96"/>
      <c r="B284" s="96"/>
      <c r="C284" s="98"/>
      <c r="D284" s="98"/>
      <c r="E284" s="100"/>
      <c r="F284" s="100"/>
      <c r="G284" s="101"/>
      <c r="H284" s="100"/>
      <c r="I284" s="100"/>
      <c r="J284" s="46"/>
      <c r="K284" s="101"/>
      <c r="L284" s="101"/>
      <c r="M284" s="87"/>
      <c r="N284" s="87"/>
      <c r="O284" s="87"/>
      <c r="P284" s="87"/>
      <c r="Q284" s="87"/>
      <c r="R284" s="87"/>
      <c r="S284" s="87"/>
      <c r="T284" s="87"/>
      <c r="U284" s="87"/>
      <c r="V284" s="87"/>
      <c r="W284" s="87"/>
      <c r="X284" s="87"/>
      <c r="Y284" s="87"/>
      <c r="Z284" s="87"/>
    </row>
    <row r="285">
      <c r="A285" s="96"/>
      <c r="B285" s="96"/>
      <c r="C285" s="98"/>
      <c r="D285" s="98"/>
      <c r="E285" s="100"/>
      <c r="F285" s="100"/>
      <c r="G285" s="101"/>
      <c r="H285" s="100"/>
      <c r="I285" s="100"/>
      <c r="J285" s="46"/>
      <c r="K285" s="101"/>
      <c r="L285" s="101"/>
      <c r="M285" s="87"/>
      <c r="N285" s="87"/>
      <c r="O285" s="87"/>
      <c r="P285" s="87"/>
      <c r="Q285" s="87"/>
      <c r="R285" s="87"/>
      <c r="S285" s="87"/>
      <c r="T285" s="87"/>
      <c r="U285" s="87"/>
      <c r="V285" s="87"/>
      <c r="W285" s="87"/>
      <c r="X285" s="87"/>
      <c r="Y285" s="87"/>
      <c r="Z285" s="87"/>
    </row>
    <row r="286">
      <c r="A286" s="96"/>
      <c r="B286" s="96"/>
      <c r="C286" s="98"/>
      <c r="D286" s="98"/>
      <c r="E286" s="100"/>
      <c r="F286" s="100"/>
      <c r="G286" s="101"/>
      <c r="H286" s="100"/>
      <c r="I286" s="100"/>
      <c r="J286" s="46"/>
      <c r="K286" s="101"/>
      <c r="L286" s="101"/>
      <c r="M286" s="87"/>
      <c r="N286" s="87"/>
      <c r="O286" s="87"/>
      <c r="P286" s="87"/>
      <c r="Q286" s="87"/>
      <c r="R286" s="87"/>
      <c r="S286" s="87"/>
      <c r="T286" s="87"/>
      <c r="U286" s="87"/>
      <c r="V286" s="87"/>
      <c r="W286" s="87"/>
      <c r="X286" s="87"/>
      <c r="Y286" s="87"/>
      <c r="Z286" s="87"/>
    </row>
    <row r="287">
      <c r="A287" s="96"/>
      <c r="B287" s="96"/>
      <c r="C287" s="98"/>
      <c r="D287" s="98"/>
      <c r="E287" s="100"/>
      <c r="F287" s="100"/>
      <c r="G287" s="101"/>
      <c r="H287" s="100"/>
      <c r="I287" s="100"/>
      <c r="J287" s="46"/>
      <c r="K287" s="101"/>
      <c r="L287" s="101"/>
      <c r="M287" s="87"/>
      <c r="N287" s="87"/>
      <c r="O287" s="87"/>
      <c r="P287" s="87"/>
      <c r="Q287" s="87"/>
      <c r="R287" s="87"/>
      <c r="S287" s="87"/>
      <c r="T287" s="87"/>
      <c r="U287" s="87"/>
      <c r="V287" s="87"/>
      <c r="W287" s="87"/>
      <c r="X287" s="87"/>
      <c r="Y287" s="87"/>
      <c r="Z287" s="87"/>
    </row>
    <row r="288">
      <c r="A288" s="96"/>
      <c r="B288" s="96"/>
      <c r="C288" s="98"/>
      <c r="D288" s="98"/>
      <c r="E288" s="100"/>
      <c r="F288" s="100"/>
      <c r="G288" s="101"/>
      <c r="H288" s="100"/>
      <c r="I288" s="100"/>
      <c r="J288" s="46"/>
      <c r="K288" s="101"/>
      <c r="L288" s="101"/>
      <c r="M288" s="87"/>
      <c r="N288" s="87"/>
      <c r="O288" s="87"/>
      <c r="P288" s="87"/>
      <c r="Q288" s="87"/>
      <c r="R288" s="87"/>
      <c r="S288" s="87"/>
      <c r="T288" s="87"/>
      <c r="U288" s="87"/>
      <c r="V288" s="87"/>
      <c r="W288" s="87"/>
      <c r="X288" s="87"/>
      <c r="Y288" s="87"/>
      <c r="Z288" s="87"/>
    </row>
    <row r="289">
      <c r="A289" s="96"/>
      <c r="B289" s="96"/>
      <c r="C289" s="98"/>
      <c r="D289" s="98"/>
      <c r="E289" s="100"/>
      <c r="F289" s="100"/>
      <c r="G289" s="101"/>
      <c r="H289" s="100"/>
      <c r="I289" s="100"/>
      <c r="J289" s="46"/>
      <c r="K289" s="101"/>
      <c r="L289" s="101"/>
      <c r="M289" s="87"/>
      <c r="N289" s="87"/>
      <c r="O289" s="87"/>
      <c r="P289" s="87"/>
      <c r="Q289" s="87"/>
      <c r="R289" s="87"/>
      <c r="S289" s="87"/>
      <c r="T289" s="87"/>
      <c r="U289" s="87"/>
      <c r="V289" s="87"/>
      <c r="W289" s="87"/>
      <c r="X289" s="87"/>
      <c r="Y289" s="87"/>
      <c r="Z289" s="87"/>
    </row>
    <row r="290">
      <c r="A290" s="96"/>
      <c r="B290" s="96"/>
      <c r="C290" s="98"/>
      <c r="D290" s="98"/>
      <c r="E290" s="100"/>
      <c r="F290" s="100"/>
      <c r="G290" s="101"/>
      <c r="H290" s="100"/>
      <c r="I290" s="100"/>
      <c r="J290" s="46"/>
      <c r="K290" s="101"/>
      <c r="L290" s="101"/>
      <c r="M290" s="87"/>
      <c r="N290" s="87"/>
      <c r="O290" s="87"/>
      <c r="P290" s="87"/>
      <c r="Q290" s="87"/>
      <c r="R290" s="87"/>
      <c r="S290" s="87"/>
      <c r="T290" s="87"/>
      <c r="U290" s="87"/>
      <c r="V290" s="87"/>
      <c r="W290" s="87"/>
      <c r="X290" s="87"/>
      <c r="Y290" s="87"/>
      <c r="Z290" s="87"/>
    </row>
    <row r="291">
      <c r="A291" s="96"/>
      <c r="B291" s="96"/>
      <c r="C291" s="98"/>
      <c r="D291" s="98"/>
      <c r="E291" s="100"/>
      <c r="F291" s="100"/>
      <c r="G291" s="101"/>
      <c r="H291" s="100"/>
      <c r="I291" s="100"/>
      <c r="J291" s="46"/>
      <c r="K291" s="101"/>
      <c r="L291" s="101"/>
      <c r="M291" s="87"/>
      <c r="N291" s="87"/>
      <c r="O291" s="87"/>
      <c r="P291" s="87"/>
      <c r="Q291" s="87"/>
      <c r="R291" s="87"/>
      <c r="S291" s="87"/>
      <c r="T291" s="87"/>
      <c r="U291" s="87"/>
      <c r="V291" s="87"/>
      <c r="W291" s="87"/>
      <c r="X291" s="87"/>
      <c r="Y291" s="87"/>
      <c r="Z291" s="87"/>
    </row>
    <row r="292">
      <c r="A292" s="96"/>
      <c r="B292" s="96"/>
      <c r="C292" s="98"/>
      <c r="D292" s="98"/>
      <c r="E292" s="100"/>
      <c r="F292" s="100"/>
      <c r="G292" s="101"/>
      <c r="H292" s="100"/>
      <c r="I292" s="100"/>
      <c r="J292" s="46"/>
      <c r="K292" s="101"/>
      <c r="L292" s="101"/>
      <c r="M292" s="87"/>
      <c r="N292" s="87"/>
      <c r="O292" s="87"/>
      <c r="P292" s="87"/>
      <c r="Q292" s="87"/>
      <c r="R292" s="87"/>
      <c r="S292" s="87"/>
      <c r="T292" s="87"/>
      <c r="U292" s="87"/>
      <c r="V292" s="87"/>
      <c r="W292" s="87"/>
      <c r="X292" s="87"/>
      <c r="Y292" s="87"/>
      <c r="Z292" s="87"/>
    </row>
    <row r="293">
      <c r="A293" s="96"/>
      <c r="B293" s="96"/>
      <c r="C293" s="98"/>
      <c r="D293" s="98"/>
      <c r="E293" s="100"/>
      <c r="F293" s="100"/>
      <c r="G293" s="101"/>
      <c r="H293" s="100"/>
      <c r="I293" s="100"/>
      <c r="J293" s="46"/>
      <c r="K293" s="101"/>
      <c r="L293" s="101"/>
      <c r="M293" s="87"/>
      <c r="N293" s="87"/>
      <c r="O293" s="87"/>
      <c r="P293" s="87"/>
      <c r="Q293" s="87"/>
      <c r="R293" s="87"/>
      <c r="S293" s="87"/>
      <c r="T293" s="87"/>
      <c r="U293" s="87"/>
      <c r="V293" s="87"/>
      <c r="W293" s="87"/>
      <c r="X293" s="87"/>
      <c r="Y293" s="87"/>
      <c r="Z293" s="87"/>
    </row>
    <row r="294">
      <c r="A294" s="96"/>
      <c r="B294" s="96"/>
      <c r="C294" s="98"/>
      <c r="D294" s="98"/>
      <c r="E294" s="100"/>
      <c r="F294" s="100"/>
      <c r="G294" s="101"/>
      <c r="H294" s="100"/>
      <c r="I294" s="100"/>
      <c r="J294" s="46"/>
      <c r="K294" s="101"/>
      <c r="L294" s="101"/>
      <c r="M294" s="87"/>
      <c r="N294" s="87"/>
      <c r="O294" s="87"/>
      <c r="P294" s="87"/>
      <c r="Q294" s="87"/>
      <c r="R294" s="87"/>
      <c r="S294" s="87"/>
      <c r="T294" s="87"/>
      <c r="U294" s="87"/>
      <c r="V294" s="87"/>
      <c r="W294" s="87"/>
      <c r="X294" s="87"/>
      <c r="Y294" s="87"/>
      <c r="Z294" s="87"/>
    </row>
    <row r="295">
      <c r="A295" s="96"/>
      <c r="B295" s="96"/>
      <c r="C295" s="98"/>
      <c r="D295" s="98"/>
      <c r="E295" s="100"/>
      <c r="F295" s="100"/>
      <c r="G295" s="101"/>
      <c r="H295" s="100"/>
      <c r="I295" s="100"/>
      <c r="J295" s="46"/>
      <c r="K295" s="101"/>
      <c r="L295" s="101"/>
      <c r="M295" s="87"/>
      <c r="N295" s="87"/>
      <c r="O295" s="87"/>
      <c r="P295" s="87"/>
      <c r="Q295" s="87"/>
      <c r="R295" s="87"/>
      <c r="S295" s="87"/>
      <c r="T295" s="87"/>
      <c r="U295" s="87"/>
      <c r="V295" s="87"/>
      <c r="W295" s="87"/>
      <c r="X295" s="87"/>
      <c r="Y295" s="87"/>
      <c r="Z295" s="87"/>
    </row>
    <row r="296">
      <c r="A296" s="96"/>
      <c r="B296" s="96"/>
      <c r="C296" s="98"/>
      <c r="D296" s="98"/>
      <c r="E296" s="100"/>
      <c r="F296" s="100"/>
      <c r="G296" s="101"/>
      <c r="H296" s="100"/>
      <c r="I296" s="100"/>
      <c r="J296" s="46"/>
      <c r="K296" s="101"/>
      <c r="L296" s="101"/>
      <c r="M296" s="87"/>
      <c r="N296" s="87"/>
      <c r="O296" s="87"/>
      <c r="P296" s="87"/>
      <c r="Q296" s="87"/>
      <c r="R296" s="87"/>
      <c r="S296" s="87"/>
      <c r="T296" s="87"/>
      <c r="U296" s="87"/>
      <c r="V296" s="87"/>
      <c r="W296" s="87"/>
      <c r="X296" s="87"/>
      <c r="Y296" s="87"/>
      <c r="Z296" s="87"/>
    </row>
    <row r="297">
      <c r="A297" s="96"/>
      <c r="B297" s="96"/>
      <c r="C297" s="98"/>
      <c r="D297" s="98"/>
      <c r="E297" s="100"/>
      <c r="F297" s="100"/>
      <c r="G297" s="101"/>
      <c r="H297" s="100"/>
      <c r="I297" s="100"/>
      <c r="J297" s="46"/>
      <c r="K297" s="101"/>
      <c r="L297" s="101"/>
      <c r="M297" s="87"/>
      <c r="N297" s="87"/>
      <c r="O297" s="87"/>
      <c r="P297" s="87"/>
      <c r="Q297" s="87"/>
      <c r="R297" s="87"/>
      <c r="S297" s="87"/>
      <c r="T297" s="87"/>
      <c r="U297" s="87"/>
      <c r="V297" s="87"/>
      <c r="W297" s="87"/>
      <c r="X297" s="87"/>
      <c r="Y297" s="87"/>
      <c r="Z297" s="87"/>
    </row>
    <row r="298">
      <c r="A298" s="96"/>
      <c r="B298" s="96"/>
      <c r="C298" s="98"/>
      <c r="D298" s="98"/>
      <c r="E298" s="100"/>
      <c r="F298" s="100"/>
      <c r="G298" s="101"/>
      <c r="H298" s="100"/>
      <c r="I298" s="100"/>
      <c r="J298" s="46"/>
      <c r="K298" s="101"/>
      <c r="L298" s="101"/>
      <c r="M298" s="87"/>
      <c r="N298" s="87"/>
      <c r="O298" s="87"/>
      <c r="P298" s="87"/>
      <c r="Q298" s="87"/>
      <c r="R298" s="87"/>
      <c r="S298" s="87"/>
      <c r="T298" s="87"/>
      <c r="U298" s="87"/>
      <c r="V298" s="87"/>
      <c r="W298" s="87"/>
      <c r="X298" s="87"/>
      <c r="Y298" s="87"/>
      <c r="Z298" s="87"/>
    </row>
    <row r="299">
      <c r="A299" s="96"/>
      <c r="B299" s="96"/>
      <c r="C299" s="98"/>
      <c r="D299" s="98"/>
      <c r="E299" s="100"/>
      <c r="F299" s="100"/>
      <c r="G299" s="101"/>
      <c r="H299" s="100"/>
      <c r="I299" s="100"/>
      <c r="J299" s="46"/>
      <c r="K299" s="101"/>
      <c r="L299" s="101"/>
      <c r="M299" s="87"/>
      <c r="N299" s="87"/>
      <c r="O299" s="87"/>
      <c r="P299" s="87"/>
      <c r="Q299" s="87"/>
      <c r="R299" s="87"/>
      <c r="S299" s="87"/>
      <c r="T299" s="87"/>
      <c r="U299" s="87"/>
      <c r="V299" s="87"/>
      <c r="W299" s="87"/>
      <c r="X299" s="87"/>
      <c r="Y299" s="87"/>
      <c r="Z299" s="87"/>
    </row>
    <row r="300">
      <c r="A300" s="96"/>
      <c r="B300" s="96"/>
      <c r="C300" s="98"/>
      <c r="D300" s="98"/>
      <c r="E300" s="100"/>
      <c r="F300" s="100"/>
      <c r="G300" s="101"/>
      <c r="H300" s="100"/>
      <c r="I300" s="100"/>
      <c r="J300" s="46"/>
      <c r="K300" s="101"/>
      <c r="L300" s="101"/>
      <c r="M300" s="87"/>
      <c r="N300" s="87"/>
      <c r="O300" s="87"/>
      <c r="P300" s="87"/>
      <c r="Q300" s="87"/>
      <c r="R300" s="87"/>
      <c r="S300" s="87"/>
      <c r="T300" s="87"/>
      <c r="U300" s="87"/>
      <c r="V300" s="87"/>
      <c r="W300" s="87"/>
      <c r="X300" s="87"/>
      <c r="Y300" s="87"/>
      <c r="Z300" s="87"/>
    </row>
    <row r="301">
      <c r="A301" s="96"/>
      <c r="B301" s="96"/>
      <c r="C301" s="98"/>
      <c r="D301" s="98"/>
      <c r="E301" s="100"/>
      <c r="F301" s="100"/>
      <c r="G301" s="101"/>
      <c r="H301" s="100"/>
      <c r="I301" s="100"/>
      <c r="J301" s="46"/>
      <c r="K301" s="101"/>
      <c r="L301" s="101"/>
      <c r="M301" s="87"/>
      <c r="N301" s="87"/>
      <c r="O301" s="87"/>
      <c r="P301" s="87"/>
      <c r="Q301" s="87"/>
      <c r="R301" s="87"/>
      <c r="S301" s="87"/>
      <c r="T301" s="87"/>
      <c r="U301" s="87"/>
      <c r="V301" s="87"/>
      <c r="W301" s="87"/>
      <c r="X301" s="87"/>
      <c r="Y301" s="87"/>
      <c r="Z301" s="87"/>
    </row>
    <row r="302">
      <c r="A302" s="96"/>
      <c r="B302" s="96"/>
      <c r="C302" s="98"/>
      <c r="D302" s="98"/>
      <c r="E302" s="100"/>
      <c r="F302" s="100"/>
      <c r="G302" s="101"/>
      <c r="H302" s="100"/>
      <c r="I302" s="100"/>
      <c r="J302" s="46"/>
      <c r="K302" s="101"/>
      <c r="L302" s="101"/>
      <c r="M302" s="87"/>
      <c r="N302" s="87"/>
      <c r="O302" s="87"/>
      <c r="P302" s="87"/>
      <c r="Q302" s="87"/>
      <c r="R302" s="87"/>
      <c r="S302" s="87"/>
      <c r="T302" s="87"/>
      <c r="U302" s="87"/>
      <c r="V302" s="87"/>
      <c r="W302" s="87"/>
      <c r="X302" s="87"/>
      <c r="Y302" s="87"/>
      <c r="Z302" s="87"/>
    </row>
    <row r="303">
      <c r="A303" s="96"/>
      <c r="B303" s="96"/>
      <c r="C303" s="98"/>
      <c r="D303" s="98"/>
      <c r="E303" s="100"/>
      <c r="F303" s="100"/>
      <c r="G303" s="101"/>
      <c r="H303" s="100"/>
      <c r="I303" s="100"/>
      <c r="J303" s="46"/>
      <c r="K303" s="101"/>
      <c r="L303" s="101"/>
      <c r="M303" s="87"/>
      <c r="N303" s="87"/>
      <c r="O303" s="87"/>
      <c r="P303" s="87"/>
      <c r="Q303" s="87"/>
      <c r="R303" s="87"/>
      <c r="S303" s="87"/>
      <c r="T303" s="87"/>
      <c r="U303" s="87"/>
      <c r="V303" s="87"/>
      <c r="W303" s="87"/>
      <c r="X303" s="87"/>
      <c r="Y303" s="87"/>
      <c r="Z303" s="87"/>
    </row>
    <row r="304">
      <c r="A304" s="96"/>
      <c r="B304" s="96"/>
      <c r="C304" s="98"/>
      <c r="D304" s="98"/>
      <c r="E304" s="100"/>
      <c r="F304" s="100"/>
      <c r="G304" s="101"/>
      <c r="H304" s="100"/>
      <c r="I304" s="100"/>
      <c r="J304" s="46"/>
      <c r="K304" s="101"/>
      <c r="L304" s="101"/>
      <c r="M304" s="87"/>
      <c r="N304" s="87"/>
      <c r="O304" s="87"/>
      <c r="P304" s="87"/>
      <c r="Q304" s="87"/>
      <c r="R304" s="87"/>
      <c r="S304" s="87"/>
      <c r="T304" s="87"/>
      <c r="U304" s="87"/>
      <c r="V304" s="87"/>
      <c r="W304" s="87"/>
      <c r="X304" s="87"/>
      <c r="Y304" s="87"/>
      <c r="Z304" s="87"/>
    </row>
    <row r="305">
      <c r="A305" s="96"/>
      <c r="B305" s="96"/>
      <c r="C305" s="98"/>
      <c r="D305" s="98"/>
      <c r="E305" s="100"/>
      <c r="F305" s="100"/>
      <c r="G305" s="101"/>
      <c r="H305" s="100"/>
      <c r="I305" s="100"/>
      <c r="J305" s="46"/>
      <c r="K305" s="101"/>
      <c r="L305" s="101"/>
      <c r="M305" s="87"/>
      <c r="N305" s="87"/>
      <c r="O305" s="87"/>
      <c r="P305" s="87"/>
      <c r="Q305" s="87"/>
      <c r="R305" s="87"/>
      <c r="S305" s="87"/>
      <c r="T305" s="87"/>
      <c r="U305" s="87"/>
      <c r="V305" s="87"/>
      <c r="W305" s="87"/>
      <c r="X305" s="87"/>
      <c r="Y305" s="87"/>
      <c r="Z305" s="87"/>
    </row>
    <row r="306">
      <c r="A306" s="96"/>
      <c r="B306" s="96"/>
      <c r="C306" s="98"/>
      <c r="D306" s="98"/>
      <c r="E306" s="100"/>
      <c r="F306" s="100"/>
      <c r="G306" s="101"/>
      <c r="H306" s="100"/>
      <c r="I306" s="100"/>
      <c r="J306" s="46"/>
      <c r="K306" s="101"/>
      <c r="L306" s="101"/>
      <c r="M306" s="87"/>
      <c r="N306" s="87"/>
      <c r="O306" s="87"/>
      <c r="P306" s="87"/>
      <c r="Q306" s="87"/>
      <c r="R306" s="87"/>
      <c r="S306" s="87"/>
      <c r="T306" s="87"/>
      <c r="U306" s="87"/>
      <c r="V306" s="87"/>
      <c r="W306" s="87"/>
      <c r="X306" s="87"/>
      <c r="Y306" s="87"/>
      <c r="Z306" s="87"/>
    </row>
    <row r="307">
      <c r="A307" s="96"/>
      <c r="B307" s="96"/>
      <c r="C307" s="98"/>
      <c r="D307" s="98"/>
      <c r="E307" s="100"/>
      <c r="F307" s="100"/>
      <c r="G307" s="101"/>
      <c r="H307" s="100"/>
      <c r="I307" s="100"/>
      <c r="J307" s="46"/>
      <c r="K307" s="101"/>
      <c r="L307" s="101"/>
      <c r="M307" s="87"/>
      <c r="N307" s="87"/>
      <c r="O307" s="87"/>
      <c r="P307" s="87"/>
      <c r="Q307" s="87"/>
      <c r="R307" s="87"/>
      <c r="S307" s="87"/>
      <c r="T307" s="87"/>
      <c r="U307" s="87"/>
      <c r="V307" s="87"/>
      <c r="W307" s="87"/>
      <c r="X307" s="87"/>
      <c r="Y307" s="87"/>
      <c r="Z307" s="87"/>
    </row>
    <row r="308">
      <c r="A308" s="96"/>
      <c r="B308" s="96"/>
      <c r="C308" s="98"/>
      <c r="D308" s="98"/>
      <c r="E308" s="100"/>
      <c r="F308" s="100"/>
      <c r="G308" s="101"/>
      <c r="H308" s="100"/>
      <c r="I308" s="100"/>
      <c r="J308" s="46"/>
      <c r="K308" s="101"/>
      <c r="L308" s="101"/>
      <c r="M308" s="87"/>
      <c r="N308" s="87"/>
      <c r="O308" s="87"/>
      <c r="P308" s="87"/>
      <c r="Q308" s="87"/>
      <c r="R308" s="87"/>
      <c r="S308" s="87"/>
      <c r="T308" s="87"/>
      <c r="U308" s="87"/>
      <c r="V308" s="87"/>
      <c r="W308" s="87"/>
      <c r="X308" s="87"/>
      <c r="Y308" s="87"/>
      <c r="Z308" s="87"/>
    </row>
    <row r="309">
      <c r="A309" s="96"/>
      <c r="B309" s="96"/>
      <c r="C309" s="98"/>
      <c r="D309" s="98"/>
      <c r="E309" s="100"/>
      <c r="F309" s="100"/>
      <c r="G309" s="101"/>
      <c r="H309" s="100"/>
      <c r="I309" s="100"/>
      <c r="J309" s="46"/>
      <c r="K309" s="101"/>
      <c r="L309" s="101"/>
      <c r="M309" s="87"/>
      <c r="N309" s="87"/>
      <c r="O309" s="87"/>
      <c r="P309" s="87"/>
      <c r="Q309" s="87"/>
      <c r="R309" s="87"/>
      <c r="S309" s="87"/>
      <c r="T309" s="87"/>
      <c r="U309" s="87"/>
      <c r="V309" s="87"/>
      <c r="W309" s="87"/>
      <c r="X309" s="87"/>
      <c r="Y309" s="87"/>
      <c r="Z309" s="87"/>
    </row>
    <row r="310">
      <c r="A310" s="96"/>
      <c r="B310" s="96"/>
      <c r="C310" s="98"/>
      <c r="D310" s="98"/>
      <c r="E310" s="100"/>
      <c r="F310" s="100"/>
      <c r="G310" s="101"/>
      <c r="H310" s="100"/>
      <c r="I310" s="100"/>
      <c r="J310" s="46"/>
      <c r="K310" s="101"/>
      <c r="L310" s="101"/>
      <c r="M310" s="87"/>
      <c r="N310" s="87"/>
      <c r="O310" s="87"/>
      <c r="P310" s="87"/>
      <c r="Q310" s="87"/>
      <c r="R310" s="87"/>
      <c r="S310" s="87"/>
      <c r="T310" s="87"/>
      <c r="U310" s="87"/>
      <c r="V310" s="87"/>
      <c r="W310" s="87"/>
      <c r="X310" s="87"/>
      <c r="Y310" s="87"/>
      <c r="Z310" s="87"/>
    </row>
    <row r="311">
      <c r="A311" s="96"/>
      <c r="B311" s="96"/>
      <c r="C311" s="98"/>
      <c r="D311" s="98"/>
      <c r="E311" s="100"/>
      <c r="F311" s="100"/>
      <c r="G311" s="101"/>
      <c r="H311" s="100"/>
      <c r="I311" s="100"/>
      <c r="J311" s="46"/>
      <c r="K311" s="101"/>
      <c r="L311" s="101"/>
      <c r="M311" s="87"/>
      <c r="N311" s="87"/>
      <c r="O311" s="87"/>
      <c r="P311" s="87"/>
      <c r="Q311" s="87"/>
      <c r="R311" s="87"/>
      <c r="S311" s="87"/>
      <c r="T311" s="87"/>
      <c r="U311" s="87"/>
      <c r="V311" s="87"/>
      <c r="W311" s="87"/>
      <c r="X311" s="87"/>
      <c r="Y311" s="87"/>
      <c r="Z311" s="87"/>
    </row>
    <row r="312">
      <c r="A312" s="96"/>
      <c r="B312" s="96"/>
      <c r="C312" s="98"/>
      <c r="D312" s="98"/>
      <c r="E312" s="100"/>
      <c r="F312" s="100"/>
      <c r="G312" s="101"/>
      <c r="H312" s="100"/>
      <c r="I312" s="100"/>
      <c r="J312" s="46"/>
      <c r="K312" s="101"/>
      <c r="L312" s="101"/>
      <c r="M312" s="87"/>
      <c r="N312" s="87"/>
      <c r="O312" s="87"/>
      <c r="P312" s="87"/>
      <c r="Q312" s="87"/>
      <c r="R312" s="87"/>
      <c r="S312" s="87"/>
      <c r="T312" s="87"/>
      <c r="U312" s="87"/>
      <c r="V312" s="87"/>
      <c r="W312" s="87"/>
      <c r="X312" s="87"/>
      <c r="Y312" s="87"/>
      <c r="Z312" s="87"/>
    </row>
    <row r="313">
      <c r="A313" s="96"/>
      <c r="B313" s="96"/>
      <c r="C313" s="98"/>
      <c r="D313" s="98"/>
      <c r="E313" s="100"/>
      <c r="F313" s="100"/>
      <c r="G313" s="101"/>
      <c r="H313" s="100"/>
      <c r="I313" s="100"/>
      <c r="J313" s="46"/>
      <c r="K313" s="101"/>
      <c r="L313" s="101"/>
      <c r="M313" s="87"/>
      <c r="N313" s="87"/>
      <c r="O313" s="87"/>
      <c r="P313" s="87"/>
      <c r="Q313" s="87"/>
      <c r="R313" s="87"/>
      <c r="S313" s="87"/>
      <c r="T313" s="87"/>
      <c r="U313" s="87"/>
      <c r="V313" s="87"/>
      <c r="W313" s="87"/>
      <c r="X313" s="87"/>
      <c r="Y313" s="87"/>
      <c r="Z313" s="87"/>
    </row>
    <row r="314">
      <c r="A314" s="96"/>
      <c r="B314" s="96"/>
      <c r="C314" s="98"/>
      <c r="D314" s="98"/>
      <c r="E314" s="100"/>
      <c r="F314" s="100"/>
      <c r="G314" s="101"/>
      <c r="H314" s="100"/>
      <c r="I314" s="100"/>
      <c r="J314" s="46"/>
      <c r="K314" s="101"/>
      <c r="L314" s="101"/>
      <c r="M314" s="87"/>
      <c r="N314" s="87"/>
      <c r="O314" s="87"/>
      <c r="P314" s="87"/>
      <c r="Q314" s="87"/>
      <c r="R314" s="87"/>
      <c r="S314" s="87"/>
      <c r="T314" s="87"/>
      <c r="U314" s="87"/>
      <c r="V314" s="87"/>
      <c r="W314" s="87"/>
      <c r="X314" s="87"/>
      <c r="Y314" s="87"/>
      <c r="Z314" s="87"/>
    </row>
    <row r="315">
      <c r="A315" s="96"/>
      <c r="B315" s="96"/>
      <c r="C315" s="98"/>
      <c r="D315" s="98"/>
      <c r="E315" s="100"/>
      <c r="F315" s="100"/>
      <c r="G315" s="101"/>
      <c r="H315" s="100"/>
      <c r="I315" s="100"/>
      <c r="J315" s="46"/>
      <c r="K315" s="101"/>
      <c r="L315" s="101"/>
      <c r="M315" s="87"/>
      <c r="N315" s="87"/>
      <c r="O315" s="87"/>
      <c r="P315" s="87"/>
      <c r="Q315" s="87"/>
      <c r="R315" s="87"/>
      <c r="S315" s="87"/>
      <c r="T315" s="87"/>
      <c r="U315" s="87"/>
      <c r="V315" s="87"/>
      <c r="W315" s="87"/>
      <c r="X315" s="87"/>
      <c r="Y315" s="87"/>
      <c r="Z315" s="87"/>
    </row>
    <row r="316">
      <c r="A316" s="96"/>
      <c r="B316" s="96"/>
      <c r="C316" s="98"/>
      <c r="D316" s="98"/>
      <c r="E316" s="100"/>
      <c r="F316" s="100"/>
      <c r="G316" s="101"/>
      <c r="H316" s="100"/>
      <c r="I316" s="100"/>
      <c r="J316" s="46"/>
      <c r="K316" s="101"/>
      <c r="L316" s="101"/>
      <c r="M316" s="87"/>
      <c r="N316" s="87"/>
      <c r="O316" s="87"/>
      <c r="P316" s="87"/>
      <c r="Q316" s="87"/>
      <c r="R316" s="87"/>
      <c r="S316" s="87"/>
      <c r="T316" s="87"/>
      <c r="U316" s="87"/>
      <c r="V316" s="87"/>
      <c r="W316" s="87"/>
      <c r="X316" s="87"/>
      <c r="Y316" s="87"/>
      <c r="Z316" s="87"/>
    </row>
    <row r="317">
      <c r="A317" s="96"/>
      <c r="B317" s="96"/>
      <c r="C317" s="98"/>
      <c r="D317" s="98"/>
      <c r="E317" s="100"/>
      <c r="F317" s="100"/>
      <c r="G317" s="101"/>
      <c r="H317" s="100"/>
      <c r="I317" s="100"/>
      <c r="J317" s="46"/>
      <c r="K317" s="101"/>
      <c r="L317" s="101"/>
      <c r="M317" s="87"/>
      <c r="N317" s="87"/>
      <c r="O317" s="87"/>
      <c r="P317" s="87"/>
      <c r="Q317" s="87"/>
      <c r="R317" s="87"/>
      <c r="S317" s="87"/>
      <c r="T317" s="87"/>
      <c r="U317" s="87"/>
      <c r="V317" s="87"/>
      <c r="W317" s="87"/>
      <c r="X317" s="87"/>
      <c r="Y317" s="87"/>
      <c r="Z317" s="87"/>
    </row>
    <row r="318">
      <c r="A318" s="96"/>
      <c r="B318" s="96"/>
      <c r="C318" s="98"/>
      <c r="D318" s="98"/>
      <c r="E318" s="100"/>
      <c r="F318" s="100"/>
      <c r="G318" s="101"/>
      <c r="H318" s="100"/>
      <c r="I318" s="100"/>
      <c r="J318" s="46"/>
      <c r="K318" s="101"/>
      <c r="L318" s="101"/>
      <c r="M318" s="87"/>
      <c r="N318" s="87"/>
      <c r="O318" s="87"/>
      <c r="P318" s="87"/>
      <c r="Q318" s="87"/>
      <c r="R318" s="87"/>
      <c r="S318" s="87"/>
      <c r="T318" s="87"/>
      <c r="U318" s="87"/>
      <c r="V318" s="87"/>
      <c r="W318" s="87"/>
      <c r="X318" s="87"/>
      <c r="Y318" s="87"/>
      <c r="Z318" s="87"/>
    </row>
    <row r="319">
      <c r="A319" s="96"/>
      <c r="B319" s="96"/>
      <c r="C319" s="98"/>
      <c r="D319" s="98"/>
      <c r="E319" s="100"/>
      <c r="F319" s="100"/>
      <c r="G319" s="101"/>
      <c r="H319" s="100"/>
      <c r="I319" s="100"/>
      <c r="J319" s="46"/>
      <c r="K319" s="101"/>
      <c r="L319" s="101"/>
      <c r="M319" s="87"/>
      <c r="N319" s="87"/>
      <c r="O319" s="87"/>
      <c r="P319" s="87"/>
      <c r="Q319" s="87"/>
      <c r="R319" s="87"/>
      <c r="S319" s="87"/>
      <c r="T319" s="87"/>
      <c r="U319" s="87"/>
      <c r="V319" s="87"/>
      <c r="W319" s="87"/>
      <c r="X319" s="87"/>
      <c r="Y319" s="87"/>
      <c r="Z319" s="87"/>
    </row>
    <row r="320">
      <c r="A320" s="96"/>
      <c r="B320" s="96"/>
      <c r="C320" s="98"/>
      <c r="D320" s="98"/>
      <c r="E320" s="100"/>
      <c r="F320" s="100"/>
      <c r="G320" s="101"/>
      <c r="H320" s="100"/>
      <c r="I320" s="100"/>
      <c r="J320" s="46"/>
      <c r="K320" s="101"/>
      <c r="L320" s="101"/>
      <c r="M320" s="87"/>
      <c r="N320" s="87"/>
      <c r="O320" s="87"/>
      <c r="P320" s="87"/>
      <c r="Q320" s="87"/>
      <c r="R320" s="87"/>
      <c r="S320" s="87"/>
      <c r="T320" s="87"/>
      <c r="U320" s="87"/>
      <c r="V320" s="87"/>
      <c r="W320" s="87"/>
      <c r="X320" s="87"/>
      <c r="Y320" s="87"/>
      <c r="Z320" s="87"/>
    </row>
    <row r="321">
      <c r="A321" s="96"/>
      <c r="B321" s="96"/>
      <c r="C321" s="98"/>
      <c r="D321" s="98"/>
      <c r="E321" s="100"/>
      <c r="F321" s="100"/>
      <c r="G321" s="101"/>
      <c r="H321" s="100"/>
      <c r="I321" s="100"/>
      <c r="J321" s="46"/>
      <c r="K321" s="101"/>
      <c r="L321" s="101"/>
      <c r="M321" s="87"/>
      <c r="N321" s="87"/>
      <c r="O321" s="87"/>
      <c r="P321" s="87"/>
      <c r="Q321" s="87"/>
      <c r="R321" s="87"/>
      <c r="S321" s="87"/>
      <c r="T321" s="87"/>
      <c r="U321" s="87"/>
      <c r="V321" s="87"/>
      <c r="W321" s="87"/>
      <c r="X321" s="87"/>
      <c r="Y321" s="87"/>
      <c r="Z321" s="87"/>
    </row>
    <row r="322">
      <c r="A322" s="96"/>
      <c r="B322" s="96"/>
      <c r="C322" s="98"/>
      <c r="D322" s="98"/>
      <c r="E322" s="100"/>
      <c r="F322" s="100"/>
      <c r="G322" s="101"/>
      <c r="H322" s="100"/>
      <c r="I322" s="100"/>
      <c r="J322" s="46"/>
      <c r="K322" s="101"/>
      <c r="L322" s="101"/>
      <c r="M322" s="87"/>
      <c r="N322" s="87"/>
      <c r="O322" s="87"/>
      <c r="P322" s="87"/>
      <c r="Q322" s="87"/>
      <c r="R322" s="87"/>
      <c r="S322" s="87"/>
      <c r="T322" s="87"/>
      <c r="U322" s="87"/>
      <c r="V322" s="87"/>
      <c r="W322" s="87"/>
      <c r="X322" s="87"/>
      <c r="Y322" s="87"/>
      <c r="Z322" s="87"/>
    </row>
    <row r="323">
      <c r="A323" s="96"/>
      <c r="B323" s="96"/>
      <c r="C323" s="98"/>
      <c r="D323" s="98"/>
      <c r="E323" s="100"/>
      <c r="F323" s="100"/>
      <c r="G323" s="101"/>
      <c r="H323" s="100"/>
      <c r="I323" s="100"/>
      <c r="J323" s="46"/>
      <c r="K323" s="101"/>
      <c r="L323" s="101"/>
      <c r="M323" s="87"/>
      <c r="N323" s="87"/>
      <c r="O323" s="87"/>
      <c r="P323" s="87"/>
      <c r="Q323" s="87"/>
      <c r="R323" s="87"/>
      <c r="S323" s="87"/>
      <c r="T323" s="87"/>
      <c r="U323" s="87"/>
      <c r="V323" s="87"/>
      <c r="W323" s="87"/>
      <c r="X323" s="87"/>
      <c r="Y323" s="87"/>
      <c r="Z323" s="87"/>
    </row>
    <row r="324">
      <c r="A324" s="96"/>
      <c r="B324" s="96"/>
      <c r="C324" s="98"/>
      <c r="D324" s="98"/>
      <c r="E324" s="100"/>
      <c r="F324" s="100"/>
      <c r="G324" s="101"/>
      <c r="H324" s="100"/>
      <c r="I324" s="100"/>
      <c r="J324" s="46"/>
      <c r="K324" s="101"/>
      <c r="L324" s="101"/>
      <c r="M324" s="87"/>
      <c r="N324" s="87"/>
      <c r="O324" s="87"/>
      <c r="P324" s="87"/>
      <c r="Q324" s="87"/>
      <c r="R324" s="87"/>
      <c r="S324" s="87"/>
      <c r="T324" s="87"/>
      <c r="U324" s="87"/>
      <c r="V324" s="87"/>
      <c r="W324" s="87"/>
      <c r="X324" s="87"/>
      <c r="Y324" s="87"/>
      <c r="Z324" s="87"/>
    </row>
    <row r="325">
      <c r="A325" s="96"/>
      <c r="B325" s="96"/>
      <c r="C325" s="98"/>
      <c r="D325" s="98"/>
      <c r="E325" s="100"/>
      <c r="F325" s="100"/>
      <c r="G325" s="101"/>
      <c r="H325" s="100"/>
      <c r="I325" s="100"/>
      <c r="J325" s="46"/>
      <c r="K325" s="101"/>
      <c r="L325" s="101"/>
      <c r="M325" s="87"/>
      <c r="N325" s="87"/>
      <c r="O325" s="87"/>
      <c r="P325" s="87"/>
      <c r="Q325" s="87"/>
      <c r="R325" s="87"/>
      <c r="S325" s="87"/>
      <c r="T325" s="87"/>
      <c r="U325" s="87"/>
      <c r="V325" s="87"/>
      <c r="W325" s="87"/>
      <c r="X325" s="87"/>
      <c r="Y325" s="87"/>
      <c r="Z325" s="87"/>
    </row>
    <row r="326">
      <c r="A326" s="96"/>
      <c r="B326" s="96"/>
      <c r="C326" s="98"/>
      <c r="D326" s="98"/>
      <c r="E326" s="100"/>
      <c r="F326" s="100"/>
      <c r="G326" s="101"/>
      <c r="H326" s="100"/>
      <c r="I326" s="100"/>
      <c r="J326" s="46"/>
      <c r="K326" s="101"/>
      <c r="L326" s="101"/>
      <c r="M326" s="87"/>
      <c r="N326" s="87"/>
      <c r="O326" s="87"/>
      <c r="P326" s="87"/>
      <c r="Q326" s="87"/>
      <c r="R326" s="87"/>
      <c r="S326" s="87"/>
      <c r="T326" s="87"/>
      <c r="U326" s="87"/>
      <c r="V326" s="87"/>
      <c r="W326" s="87"/>
      <c r="X326" s="87"/>
      <c r="Y326" s="87"/>
      <c r="Z326" s="87"/>
    </row>
    <row r="327">
      <c r="A327" s="96"/>
      <c r="B327" s="96"/>
      <c r="C327" s="98"/>
      <c r="D327" s="98"/>
      <c r="E327" s="100"/>
      <c r="F327" s="100"/>
      <c r="G327" s="101"/>
      <c r="H327" s="100"/>
      <c r="I327" s="100"/>
      <c r="J327" s="46"/>
      <c r="K327" s="101"/>
      <c r="L327" s="101"/>
      <c r="M327" s="87"/>
      <c r="N327" s="87"/>
      <c r="O327" s="87"/>
      <c r="P327" s="87"/>
      <c r="Q327" s="87"/>
      <c r="R327" s="87"/>
      <c r="S327" s="87"/>
      <c r="T327" s="87"/>
      <c r="U327" s="87"/>
      <c r="V327" s="87"/>
      <c r="W327" s="87"/>
      <c r="X327" s="87"/>
      <c r="Y327" s="87"/>
      <c r="Z327" s="87"/>
    </row>
    <row r="328">
      <c r="A328" s="96"/>
      <c r="B328" s="96"/>
      <c r="C328" s="98"/>
      <c r="D328" s="98"/>
      <c r="E328" s="100"/>
      <c r="F328" s="100"/>
      <c r="G328" s="101"/>
      <c r="H328" s="100"/>
      <c r="I328" s="100"/>
      <c r="J328" s="46"/>
      <c r="K328" s="101"/>
      <c r="L328" s="101"/>
      <c r="M328" s="87"/>
      <c r="N328" s="87"/>
      <c r="O328" s="87"/>
      <c r="P328" s="87"/>
      <c r="Q328" s="87"/>
      <c r="R328" s="87"/>
      <c r="S328" s="87"/>
      <c r="T328" s="87"/>
      <c r="U328" s="87"/>
      <c r="V328" s="87"/>
      <c r="W328" s="87"/>
      <c r="X328" s="87"/>
      <c r="Y328" s="87"/>
      <c r="Z328" s="87"/>
    </row>
    <row r="329">
      <c r="A329" s="96"/>
      <c r="B329" s="96"/>
      <c r="C329" s="98"/>
      <c r="D329" s="98"/>
      <c r="E329" s="100"/>
      <c r="F329" s="100"/>
      <c r="G329" s="101"/>
      <c r="H329" s="100"/>
      <c r="I329" s="100"/>
      <c r="J329" s="46"/>
      <c r="K329" s="101"/>
      <c r="L329" s="101"/>
      <c r="M329" s="87"/>
      <c r="N329" s="87"/>
      <c r="O329" s="87"/>
      <c r="P329" s="87"/>
      <c r="Q329" s="87"/>
      <c r="R329" s="87"/>
      <c r="S329" s="87"/>
      <c r="T329" s="87"/>
      <c r="U329" s="87"/>
      <c r="V329" s="87"/>
      <c r="W329" s="87"/>
      <c r="X329" s="87"/>
      <c r="Y329" s="87"/>
      <c r="Z329" s="87"/>
    </row>
    <row r="330">
      <c r="A330" s="96"/>
      <c r="B330" s="96"/>
      <c r="C330" s="98"/>
      <c r="D330" s="98"/>
      <c r="E330" s="100"/>
      <c r="F330" s="100"/>
      <c r="G330" s="101"/>
      <c r="H330" s="100"/>
      <c r="I330" s="100"/>
      <c r="J330" s="46"/>
      <c r="K330" s="101"/>
      <c r="L330" s="101"/>
      <c r="M330" s="87"/>
      <c r="N330" s="87"/>
      <c r="O330" s="87"/>
      <c r="P330" s="87"/>
      <c r="Q330" s="87"/>
      <c r="R330" s="87"/>
      <c r="S330" s="87"/>
      <c r="T330" s="87"/>
      <c r="U330" s="87"/>
      <c r="V330" s="87"/>
      <c r="W330" s="87"/>
      <c r="X330" s="87"/>
      <c r="Y330" s="87"/>
      <c r="Z330" s="87"/>
    </row>
    <row r="331">
      <c r="A331" s="96"/>
      <c r="B331" s="96"/>
      <c r="C331" s="98"/>
      <c r="D331" s="98"/>
      <c r="E331" s="100"/>
      <c r="F331" s="100"/>
      <c r="G331" s="101"/>
      <c r="H331" s="100"/>
      <c r="I331" s="100"/>
      <c r="J331" s="46"/>
      <c r="K331" s="101"/>
      <c r="L331" s="101"/>
      <c r="M331" s="87"/>
      <c r="N331" s="87"/>
      <c r="O331" s="87"/>
      <c r="P331" s="87"/>
      <c r="Q331" s="87"/>
      <c r="R331" s="87"/>
      <c r="S331" s="87"/>
      <c r="T331" s="87"/>
      <c r="U331" s="87"/>
      <c r="V331" s="87"/>
      <c r="W331" s="87"/>
      <c r="X331" s="87"/>
      <c r="Y331" s="87"/>
      <c r="Z331" s="87"/>
    </row>
    <row r="332">
      <c r="A332" s="96"/>
      <c r="B332" s="96"/>
      <c r="C332" s="98"/>
      <c r="D332" s="98"/>
      <c r="E332" s="100"/>
      <c r="F332" s="100"/>
      <c r="G332" s="101"/>
      <c r="H332" s="100"/>
      <c r="I332" s="100"/>
      <c r="J332" s="46"/>
      <c r="K332" s="101"/>
      <c r="L332" s="101"/>
      <c r="M332" s="87"/>
      <c r="N332" s="87"/>
      <c r="O332" s="87"/>
      <c r="P332" s="87"/>
      <c r="Q332" s="87"/>
      <c r="R332" s="87"/>
      <c r="S332" s="87"/>
      <c r="T332" s="87"/>
      <c r="U332" s="87"/>
      <c r="V332" s="87"/>
      <c r="W332" s="87"/>
      <c r="X332" s="87"/>
      <c r="Y332" s="87"/>
      <c r="Z332" s="87"/>
    </row>
    <row r="333">
      <c r="A333" s="96"/>
      <c r="B333" s="96"/>
      <c r="C333" s="98"/>
      <c r="D333" s="98"/>
      <c r="E333" s="100"/>
      <c r="F333" s="100"/>
      <c r="G333" s="101"/>
      <c r="H333" s="100"/>
      <c r="I333" s="100"/>
      <c r="J333" s="46"/>
      <c r="K333" s="101"/>
      <c r="L333" s="101"/>
      <c r="M333" s="87"/>
      <c r="N333" s="87"/>
      <c r="O333" s="87"/>
      <c r="P333" s="87"/>
      <c r="Q333" s="87"/>
      <c r="R333" s="87"/>
      <c r="S333" s="87"/>
      <c r="T333" s="87"/>
      <c r="U333" s="87"/>
      <c r="V333" s="87"/>
      <c r="W333" s="87"/>
      <c r="X333" s="87"/>
      <c r="Y333" s="87"/>
      <c r="Z333" s="87"/>
    </row>
    <row r="334">
      <c r="A334" s="96"/>
      <c r="B334" s="96"/>
      <c r="C334" s="98"/>
      <c r="D334" s="98"/>
      <c r="E334" s="100"/>
      <c r="F334" s="100"/>
      <c r="G334" s="101"/>
      <c r="H334" s="100"/>
      <c r="I334" s="100"/>
      <c r="J334" s="46"/>
      <c r="K334" s="101"/>
      <c r="L334" s="101"/>
      <c r="M334" s="87"/>
      <c r="N334" s="87"/>
      <c r="O334" s="87"/>
      <c r="P334" s="87"/>
      <c r="Q334" s="87"/>
      <c r="R334" s="87"/>
      <c r="S334" s="87"/>
      <c r="T334" s="87"/>
      <c r="U334" s="87"/>
      <c r="V334" s="87"/>
      <c r="W334" s="87"/>
      <c r="X334" s="87"/>
      <c r="Y334" s="87"/>
      <c r="Z334" s="87"/>
    </row>
    <row r="335">
      <c r="A335" s="96"/>
      <c r="B335" s="96"/>
      <c r="C335" s="98"/>
      <c r="D335" s="98"/>
      <c r="E335" s="100"/>
      <c r="F335" s="100"/>
      <c r="G335" s="101"/>
      <c r="H335" s="100"/>
      <c r="I335" s="100"/>
      <c r="J335" s="46"/>
      <c r="K335" s="101"/>
      <c r="L335" s="101"/>
      <c r="M335" s="87"/>
      <c r="N335" s="87"/>
      <c r="O335" s="87"/>
      <c r="P335" s="87"/>
      <c r="Q335" s="87"/>
      <c r="R335" s="87"/>
      <c r="S335" s="87"/>
      <c r="T335" s="87"/>
      <c r="U335" s="87"/>
      <c r="V335" s="87"/>
      <c r="W335" s="87"/>
      <c r="X335" s="87"/>
      <c r="Y335" s="87"/>
      <c r="Z335" s="87"/>
    </row>
    <row r="336">
      <c r="A336" s="96"/>
      <c r="B336" s="96"/>
      <c r="C336" s="98"/>
      <c r="D336" s="98"/>
      <c r="E336" s="100"/>
      <c r="F336" s="100"/>
      <c r="G336" s="101"/>
      <c r="H336" s="100"/>
      <c r="I336" s="100"/>
      <c r="J336" s="46"/>
      <c r="K336" s="101"/>
      <c r="L336" s="101"/>
      <c r="M336" s="87"/>
      <c r="N336" s="87"/>
      <c r="O336" s="87"/>
      <c r="P336" s="87"/>
      <c r="Q336" s="87"/>
      <c r="R336" s="87"/>
      <c r="S336" s="87"/>
      <c r="T336" s="87"/>
      <c r="U336" s="87"/>
      <c r="V336" s="87"/>
      <c r="W336" s="87"/>
      <c r="X336" s="87"/>
      <c r="Y336" s="87"/>
      <c r="Z336" s="87"/>
    </row>
    <row r="337">
      <c r="A337" s="96"/>
      <c r="B337" s="96"/>
      <c r="C337" s="98"/>
      <c r="D337" s="98"/>
      <c r="E337" s="100"/>
      <c r="F337" s="100"/>
      <c r="G337" s="101"/>
      <c r="H337" s="100"/>
      <c r="I337" s="100"/>
      <c r="J337" s="46"/>
      <c r="K337" s="101"/>
      <c r="L337" s="101"/>
      <c r="M337" s="87"/>
      <c r="N337" s="87"/>
      <c r="O337" s="87"/>
      <c r="P337" s="87"/>
      <c r="Q337" s="87"/>
      <c r="R337" s="87"/>
      <c r="S337" s="87"/>
      <c r="T337" s="87"/>
      <c r="U337" s="87"/>
      <c r="V337" s="87"/>
      <c r="W337" s="87"/>
      <c r="X337" s="87"/>
      <c r="Y337" s="87"/>
      <c r="Z337" s="87"/>
    </row>
    <row r="338">
      <c r="A338" s="96"/>
      <c r="B338" s="96"/>
      <c r="C338" s="98"/>
      <c r="D338" s="98"/>
      <c r="E338" s="100"/>
      <c r="F338" s="100"/>
      <c r="G338" s="101"/>
      <c r="H338" s="100"/>
      <c r="I338" s="100"/>
      <c r="J338" s="46"/>
      <c r="K338" s="101"/>
      <c r="L338" s="101"/>
      <c r="M338" s="87"/>
      <c r="N338" s="87"/>
      <c r="O338" s="87"/>
      <c r="P338" s="87"/>
      <c r="Q338" s="87"/>
      <c r="R338" s="87"/>
      <c r="S338" s="87"/>
      <c r="T338" s="87"/>
      <c r="U338" s="87"/>
      <c r="V338" s="87"/>
      <c r="W338" s="87"/>
      <c r="X338" s="87"/>
      <c r="Y338" s="87"/>
      <c r="Z338" s="87"/>
    </row>
    <row r="339">
      <c r="A339" s="96"/>
      <c r="B339" s="96"/>
      <c r="C339" s="98"/>
      <c r="D339" s="98"/>
      <c r="E339" s="100"/>
      <c r="F339" s="100"/>
      <c r="G339" s="101"/>
      <c r="H339" s="100"/>
      <c r="I339" s="100"/>
      <c r="J339" s="46"/>
      <c r="K339" s="101"/>
      <c r="L339" s="101"/>
      <c r="M339" s="87"/>
      <c r="N339" s="87"/>
      <c r="O339" s="87"/>
      <c r="P339" s="87"/>
      <c r="Q339" s="87"/>
      <c r="R339" s="87"/>
      <c r="S339" s="87"/>
      <c r="T339" s="87"/>
      <c r="U339" s="87"/>
      <c r="V339" s="87"/>
      <c r="W339" s="87"/>
      <c r="X339" s="87"/>
      <c r="Y339" s="87"/>
      <c r="Z339" s="87"/>
    </row>
    <row r="340">
      <c r="A340" s="96"/>
      <c r="B340" s="96"/>
      <c r="C340" s="98"/>
      <c r="D340" s="98"/>
      <c r="E340" s="100"/>
      <c r="F340" s="100"/>
      <c r="G340" s="101"/>
      <c r="H340" s="100"/>
      <c r="I340" s="100"/>
      <c r="J340" s="46"/>
      <c r="K340" s="101"/>
      <c r="L340" s="101"/>
      <c r="M340" s="87"/>
      <c r="N340" s="87"/>
      <c r="O340" s="87"/>
      <c r="P340" s="87"/>
      <c r="Q340" s="87"/>
      <c r="R340" s="87"/>
      <c r="S340" s="87"/>
      <c r="T340" s="87"/>
      <c r="U340" s="87"/>
      <c r="V340" s="87"/>
      <c r="W340" s="87"/>
      <c r="X340" s="87"/>
      <c r="Y340" s="87"/>
      <c r="Z340" s="87"/>
    </row>
    <row r="341">
      <c r="A341" s="96"/>
      <c r="B341" s="96"/>
      <c r="C341" s="98"/>
      <c r="D341" s="98"/>
      <c r="E341" s="100"/>
      <c r="F341" s="100"/>
      <c r="G341" s="101"/>
      <c r="H341" s="100"/>
      <c r="I341" s="100"/>
      <c r="J341" s="46"/>
      <c r="K341" s="101"/>
      <c r="L341" s="101"/>
      <c r="M341" s="87"/>
      <c r="N341" s="87"/>
      <c r="O341" s="87"/>
      <c r="P341" s="87"/>
      <c r="Q341" s="87"/>
      <c r="R341" s="87"/>
      <c r="S341" s="87"/>
      <c r="T341" s="87"/>
      <c r="U341" s="87"/>
      <c r="V341" s="87"/>
      <c r="W341" s="87"/>
      <c r="X341" s="87"/>
      <c r="Y341" s="87"/>
      <c r="Z341" s="87"/>
    </row>
    <row r="342">
      <c r="A342" s="96"/>
      <c r="B342" s="96"/>
      <c r="C342" s="98"/>
      <c r="D342" s="98"/>
      <c r="E342" s="100"/>
      <c r="F342" s="100"/>
      <c r="G342" s="101"/>
      <c r="H342" s="100"/>
      <c r="I342" s="100"/>
      <c r="J342" s="46"/>
      <c r="K342" s="101"/>
      <c r="L342" s="101"/>
      <c r="M342" s="87"/>
      <c r="N342" s="87"/>
      <c r="O342" s="87"/>
      <c r="P342" s="87"/>
      <c r="Q342" s="87"/>
      <c r="R342" s="87"/>
      <c r="S342" s="87"/>
      <c r="T342" s="87"/>
      <c r="U342" s="87"/>
      <c r="V342" s="87"/>
      <c r="W342" s="87"/>
      <c r="X342" s="87"/>
      <c r="Y342" s="87"/>
      <c r="Z342" s="87"/>
    </row>
    <row r="343">
      <c r="A343" s="96"/>
      <c r="B343" s="96"/>
      <c r="C343" s="98"/>
      <c r="D343" s="98"/>
      <c r="E343" s="100"/>
      <c r="F343" s="100"/>
      <c r="G343" s="101"/>
      <c r="H343" s="100"/>
      <c r="I343" s="100"/>
      <c r="J343" s="46"/>
      <c r="K343" s="101"/>
      <c r="L343" s="101"/>
      <c r="M343" s="87"/>
      <c r="N343" s="87"/>
      <c r="O343" s="87"/>
      <c r="P343" s="87"/>
      <c r="Q343" s="87"/>
      <c r="R343" s="87"/>
      <c r="S343" s="87"/>
      <c r="T343" s="87"/>
      <c r="U343" s="87"/>
      <c r="V343" s="87"/>
      <c r="W343" s="87"/>
      <c r="X343" s="87"/>
      <c r="Y343" s="87"/>
      <c r="Z343" s="87"/>
    </row>
    <row r="344">
      <c r="A344" s="96"/>
      <c r="B344" s="96"/>
      <c r="C344" s="98"/>
      <c r="D344" s="98"/>
      <c r="E344" s="100"/>
      <c r="F344" s="100"/>
      <c r="G344" s="101"/>
      <c r="H344" s="100"/>
      <c r="I344" s="100"/>
      <c r="J344" s="46"/>
      <c r="K344" s="101"/>
      <c r="L344" s="101"/>
      <c r="M344" s="87"/>
      <c r="N344" s="87"/>
      <c r="O344" s="87"/>
      <c r="P344" s="87"/>
      <c r="Q344" s="87"/>
      <c r="R344" s="87"/>
      <c r="S344" s="87"/>
      <c r="T344" s="87"/>
      <c r="U344" s="87"/>
      <c r="V344" s="87"/>
      <c r="W344" s="87"/>
      <c r="X344" s="87"/>
      <c r="Y344" s="87"/>
      <c r="Z344" s="87"/>
    </row>
    <row r="345">
      <c r="A345" s="96"/>
      <c r="B345" s="96"/>
      <c r="C345" s="98"/>
      <c r="D345" s="98"/>
      <c r="E345" s="100"/>
      <c r="F345" s="100"/>
      <c r="G345" s="101"/>
      <c r="H345" s="100"/>
      <c r="I345" s="100"/>
      <c r="J345" s="46"/>
      <c r="K345" s="101"/>
      <c r="L345" s="101"/>
      <c r="M345" s="87"/>
      <c r="N345" s="87"/>
      <c r="O345" s="87"/>
      <c r="P345" s="87"/>
      <c r="Q345" s="87"/>
      <c r="R345" s="87"/>
      <c r="S345" s="87"/>
      <c r="T345" s="87"/>
      <c r="U345" s="87"/>
      <c r="V345" s="87"/>
      <c r="W345" s="87"/>
      <c r="X345" s="87"/>
      <c r="Y345" s="87"/>
      <c r="Z345" s="87"/>
    </row>
    <row r="346">
      <c r="A346" s="96"/>
      <c r="B346" s="96"/>
      <c r="C346" s="98"/>
      <c r="D346" s="98"/>
      <c r="E346" s="100"/>
      <c r="F346" s="100"/>
      <c r="G346" s="101"/>
      <c r="H346" s="100"/>
      <c r="I346" s="100"/>
      <c r="J346" s="46"/>
      <c r="K346" s="101"/>
      <c r="L346" s="101"/>
      <c r="M346" s="87"/>
      <c r="N346" s="87"/>
      <c r="O346" s="87"/>
      <c r="P346" s="87"/>
      <c r="Q346" s="87"/>
      <c r="R346" s="87"/>
      <c r="S346" s="87"/>
      <c r="T346" s="87"/>
      <c r="U346" s="87"/>
      <c r="V346" s="87"/>
      <c r="W346" s="87"/>
      <c r="X346" s="87"/>
      <c r="Y346" s="87"/>
      <c r="Z346" s="87"/>
    </row>
    <row r="347">
      <c r="A347" s="96"/>
      <c r="B347" s="96"/>
      <c r="C347" s="98"/>
      <c r="D347" s="98"/>
      <c r="E347" s="100"/>
      <c r="F347" s="100"/>
      <c r="G347" s="101"/>
      <c r="H347" s="100"/>
      <c r="I347" s="100"/>
      <c r="J347" s="46"/>
      <c r="K347" s="101"/>
      <c r="L347" s="101"/>
      <c r="M347" s="87"/>
      <c r="N347" s="87"/>
      <c r="O347" s="87"/>
      <c r="P347" s="87"/>
      <c r="Q347" s="87"/>
      <c r="R347" s="87"/>
      <c r="S347" s="87"/>
      <c r="T347" s="87"/>
      <c r="U347" s="87"/>
      <c r="V347" s="87"/>
      <c r="W347" s="87"/>
      <c r="X347" s="87"/>
      <c r="Y347" s="87"/>
      <c r="Z347" s="87"/>
    </row>
    <row r="348">
      <c r="A348" s="96"/>
      <c r="B348" s="96"/>
      <c r="C348" s="98"/>
      <c r="D348" s="98"/>
      <c r="E348" s="100"/>
      <c r="F348" s="100"/>
      <c r="G348" s="101"/>
      <c r="H348" s="100"/>
      <c r="I348" s="100"/>
      <c r="J348" s="46"/>
      <c r="K348" s="101"/>
      <c r="L348" s="101"/>
      <c r="M348" s="87"/>
      <c r="N348" s="87"/>
      <c r="O348" s="87"/>
      <c r="P348" s="87"/>
      <c r="Q348" s="87"/>
      <c r="R348" s="87"/>
      <c r="S348" s="87"/>
      <c r="T348" s="87"/>
      <c r="U348" s="87"/>
      <c r="V348" s="87"/>
      <c r="W348" s="87"/>
      <c r="X348" s="87"/>
      <c r="Y348" s="87"/>
      <c r="Z348" s="87"/>
    </row>
    <row r="349">
      <c r="A349" s="96"/>
      <c r="B349" s="96"/>
      <c r="C349" s="98"/>
      <c r="D349" s="98"/>
      <c r="E349" s="100"/>
      <c r="F349" s="100"/>
      <c r="G349" s="101"/>
      <c r="H349" s="100"/>
      <c r="I349" s="100"/>
      <c r="J349" s="46"/>
      <c r="K349" s="101"/>
      <c r="L349" s="101"/>
      <c r="M349" s="87"/>
      <c r="N349" s="87"/>
      <c r="O349" s="87"/>
      <c r="P349" s="87"/>
      <c r="Q349" s="87"/>
      <c r="R349" s="87"/>
      <c r="S349" s="87"/>
      <c r="T349" s="87"/>
      <c r="U349" s="87"/>
      <c r="V349" s="87"/>
      <c r="W349" s="87"/>
      <c r="X349" s="87"/>
      <c r="Y349" s="87"/>
      <c r="Z349" s="87"/>
    </row>
    <row r="350">
      <c r="A350" s="96"/>
      <c r="B350" s="96"/>
      <c r="C350" s="98"/>
      <c r="D350" s="98"/>
      <c r="E350" s="100"/>
      <c r="F350" s="100"/>
      <c r="G350" s="101"/>
      <c r="H350" s="100"/>
      <c r="I350" s="100"/>
      <c r="J350" s="46"/>
      <c r="K350" s="101"/>
      <c r="L350" s="101"/>
      <c r="M350" s="87"/>
      <c r="N350" s="87"/>
      <c r="O350" s="87"/>
      <c r="P350" s="87"/>
      <c r="Q350" s="87"/>
      <c r="R350" s="87"/>
      <c r="S350" s="87"/>
      <c r="T350" s="87"/>
      <c r="U350" s="87"/>
      <c r="V350" s="87"/>
      <c r="W350" s="87"/>
      <c r="X350" s="87"/>
      <c r="Y350" s="87"/>
      <c r="Z350" s="87"/>
    </row>
    <row r="351">
      <c r="A351" s="96"/>
      <c r="B351" s="96"/>
      <c r="C351" s="98"/>
      <c r="D351" s="98"/>
      <c r="E351" s="100"/>
      <c r="F351" s="100"/>
      <c r="G351" s="101"/>
      <c r="H351" s="100"/>
      <c r="I351" s="100"/>
      <c r="J351" s="46"/>
      <c r="K351" s="101"/>
      <c r="L351" s="101"/>
      <c r="M351" s="87"/>
      <c r="N351" s="87"/>
      <c r="O351" s="87"/>
      <c r="P351" s="87"/>
      <c r="Q351" s="87"/>
      <c r="R351" s="87"/>
      <c r="S351" s="87"/>
      <c r="T351" s="87"/>
      <c r="U351" s="87"/>
      <c r="V351" s="87"/>
      <c r="W351" s="87"/>
      <c r="X351" s="87"/>
      <c r="Y351" s="87"/>
      <c r="Z351" s="87"/>
    </row>
    <row r="352">
      <c r="A352" s="96"/>
      <c r="B352" s="96"/>
      <c r="C352" s="98"/>
      <c r="D352" s="98"/>
      <c r="E352" s="100"/>
      <c r="F352" s="100"/>
      <c r="G352" s="101"/>
      <c r="H352" s="100"/>
      <c r="I352" s="100"/>
      <c r="J352" s="46"/>
      <c r="K352" s="101"/>
      <c r="L352" s="101"/>
      <c r="M352" s="87"/>
      <c r="N352" s="87"/>
      <c r="O352" s="87"/>
      <c r="P352" s="87"/>
      <c r="Q352" s="87"/>
      <c r="R352" s="87"/>
      <c r="S352" s="87"/>
      <c r="T352" s="87"/>
      <c r="U352" s="87"/>
      <c r="V352" s="87"/>
      <c r="W352" s="87"/>
      <c r="X352" s="87"/>
      <c r="Y352" s="87"/>
      <c r="Z352" s="87"/>
    </row>
    <row r="353">
      <c r="A353" s="96"/>
      <c r="B353" s="96"/>
      <c r="C353" s="98"/>
      <c r="D353" s="98"/>
      <c r="E353" s="100"/>
      <c r="F353" s="100"/>
      <c r="G353" s="101"/>
      <c r="H353" s="100"/>
      <c r="I353" s="100"/>
      <c r="J353" s="46"/>
      <c r="K353" s="101"/>
      <c r="L353" s="101"/>
      <c r="M353" s="87"/>
      <c r="N353" s="87"/>
      <c r="O353" s="87"/>
      <c r="P353" s="87"/>
      <c r="Q353" s="87"/>
      <c r="R353" s="87"/>
      <c r="S353" s="87"/>
      <c r="T353" s="87"/>
      <c r="U353" s="87"/>
      <c r="V353" s="87"/>
      <c r="W353" s="87"/>
      <c r="X353" s="87"/>
      <c r="Y353" s="87"/>
      <c r="Z353" s="87"/>
    </row>
    <row r="354">
      <c r="A354" s="96"/>
      <c r="B354" s="96"/>
      <c r="C354" s="98"/>
      <c r="D354" s="98"/>
      <c r="E354" s="100"/>
      <c r="F354" s="100"/>
      <c r="G354" s="101"/>
      <c r="H354" s="100"/>
      <c r="I354" s="100"/>
      <c r="J354" s="46"/>
      <c r="K354" s="101"/>
      <c r="L354" s="101"/>
      <c r="M354" s="87"/>
      <c r="N354" s="87"/>
      <c r="O354" s="87"/>
      <c r="P354" s="87"/>
      <c r="Q354" s="87"/>
      <c r="R354" s="87"/>
      <c r="S354" s="87"/>
      <c r="T354" s="87"/>
      <c r="U354" s="87"/>
      <c r="V354" s="87"/>
      <c r="W354" s="87"/>
      <c r="X354" s="87"/>
      <c r="Y354" s="87"/>
      <c r="Z354" s="87"/>
    </row>
    <row r="355">
      <c r="A355" s="96"/>
      <c r="B355" s="96"/>
      <c r="C355" s="98"/>
      <c r="D355" s="98"/>
      <c r="E355" s="100"/>
      <c r="F355" s="100"/>
      <c r="G355" s="101"/>
      <c r="H355" s="100"/>
      <c r="I355" s="100"/>
      <c r="J355" s="46"/>
      <c r="K355" s="101"/>
      <c r="L355" s="101"/>
      <c r="M355" s="87"/>
      <c r="N355" s="87"/>
      <c r="O355" s="87"/>
      <c r="P355" s="87"/>
      <c r="Q355" s="87"/>
      <c r="R355" s="87"/>
      <c r="S355" s="87"/>
      <c r="T355" s="87"/>
      <c r="U355" s="87"/>
      <c r="V355" s="87"/>
      <c r="W355" s="87"/>
      <c r="X355" s="87"/>
      <c r="Y355" s="87"/>
      <c r="Z355" s="87"/>
    </row>
    <row r="356">
      <c r="A356" s="96"/>
      <c r="B356" s="96"/>
      <c r="C356" s="98"/>
      <c r="D356" s="98"/>
      <c r="E356" s="100"/>
      <c r="F356" s="100"/>
      <c r="G356" s="101"/>
      <c r="H356" s="100"/>
      <c r="I356" s="100"/>
      <c r="J356" s="46"/>
      <c r="K356" s="101"/>
      <c r="L356" s="101"/>
      <c r="M356" s="87"/>
      <c r="N356" s="87"/>
      <c r="O356" s="87"/>
      <c r="P356" s="87"/>
      <c r="Q356" s="87"/>
      <c r="R356" s="87"/>
      <c r="S356" s="87"/>
      <c r="T356" s="87"/>
      <c r="U356" s="87"/>
      <c r="V356" s="87"/>
      <c r="W356" s="87"/>
      <c r="X356" s="87"/>
      <c r="Y356" s="87"/>
      <c r="Z356" s="87"/>
    </row>
    <row r="357">
      <c r="A357" s="96"/>
      <c r="B357" s="96"/>
      <c r="C357" s="98"/>
      <c r="D357" s="98"/>
      <c r="E357" s="100"/>
      <c r="F357" s="100"/>
      <c r="G357" s="101"/>
      <c r="H357" s="100"/>
      <c r="I357" s="100"/>
      <c r="J357" s="46"/>
      <c r="K357" s="101"/>
      <c r="L357" s="101"/>
      <c r="M357" s="87"/>
      <c r="N357" s="87"/>
      <c r="O357" s="87"/>
      <c r="P357" s="87"/>
      <c r="Q357" s="87"/>
      <c r="R357" s="87"/>
      <c r="S357" s="87"/>
      <c r="T357" s="87"/>
      <c r="U357" s="87"/>
      <c r="V357" s="87"/>
      <c r="W357" s="87"/>
      <c r="X357" s="87"/>
      <c r="Y357" s="87"/>
      <c r="Z357" s="87"/>
    </row>
    <row r="358">
      <c r="A358" s="96"/>
      <c r="B358" s="96"/>
      <c r="C358" s="98"/>
      <c r="D358" s="98"/>
      <c r="E358" s="100"/>
      <c r="F358" s="100"/>
      <c r="G358" s="101"/>
      <c r="H358" s="100"/>
      <c r="I358" s="100"/>
      <c r="J358" s="46"/>
      <c r="K358" s="101"/>
      <c r="L358" s="101"/>
      <c r="M358" s="87"/>
      <c r="N358" s="87"/>
      <c r="O358" s="87"/>
      <c r="P358" s="87"/>
      <c r="Q358" s="87"/>
      <c r="R358" s="87"/>
      <c r="S358" s="87"/>
      <c r="T358" s="87"/>
      <c r="U358" s="87"/>
      <c r="V358" s="87"/>
      <c r="W358" s="87"/>
      <c r="X358" s="87"/>
      <c r="Y358" s="87"/>
      <c r="Z358" s="87"/>
    </row>
    <row r="359">
      <c r="A359" s="96"/>
      <c r="B359" s="96"/>
      <c r="C359" s="98"/>
      <c r="D359" s="98"/>
      <c r="E359" s="100"/>
      <c r="F359" s="100"/>
      <c r="G359" s="101"/>
      <c r="H359" s="100"/>
      <c r="I359" s="100"/>
      <c r="J359" s="46"/>
      <c r="K359" s="101"/>
      <c r="L359" s="101"/>
      <c r="M359" s="87"/>
      <c r="N359" s="87"/>
      <c r="O359" s="87"/>
      <c r="P359" s="87"/>
      <c r="Q359" s="87"/>
      <c r="R359" s="87"/>
      <c r="S359" s="87"/>
      <c r="T359" s="87"/>
      <c r="U359" s="87"/>
      <c r="V359" s="87"/>
      <c r="W359" s="87"/>
      <c r="X359" s="87"/>
      <c r="Y359" s="87"/>
      <c r="Z359" s="87"/>
    </row>
    <row r="360">
      <c r="A360" s="96"/>
      <c r="B360" s="96"/>
      <c r="C360" s="98"/>
      <c r="D360" s="98"/>
      <c r="E360" s="100"/>
      <c r="F360" s="100"/>
      <c r="G360" s="101"/>
      <c r="H360" s="100"/>
      <c r="I360" s="100"/>
      <c r="J360" s="46"/>
      <c r="K360" s="101"/>
      <c r="L360" s="101"/>
      <c r="M360" s="87"/>
      <c r="N360" s="87"/>
      <c r="O360" s="87"/>
      <c r="P360" s="87"/>
      <c r="Q360" s="87"/>
      <c r="R360" s="87"/>
      <c r="S360" s="87"/>
      <c r="T360" s="87"/>
      <c r="U360" s="87"/>
      <c r="V360" s="87"/>
      <c r="W360" s="87"/>
      <c r="X360" s="87"/>
      <c r="Y360" s="87"/>
      <c r="Z360" s="87"/>
    </row>
    <row r="361">
      <c r="A361" s="96"/>
      <c r="B361" s="96"/>
      <c r="C361" s="98"/>
      <c r="D361" s="98"/>
      <c r="E361" s="100"/>
      <c r="F361" s="100"/>
      <c r="G361" s="101"/>
      <c r="H361" s="100"/>
      <c r="I361" s="100"/>
      <c r="J361" s="46"/>
      <c r="K361" s="101"/>
      <c r="L361" s="101"/>
      <c r="M361" s="87"/>
      <c r="N361" s="87"/>
      <c r="O361" s="87"/>
      <c r="P361" s="87"/>
      <c r="Q361" s="87"/>
      <c r="R361" s="87"/>
      <c r="S361" s="87"/>
      <c r="T361" s="87"/>
      <c r="U361" s="87"/>
      <c r="V361" s="87"/>
      <c r="W361" s="87"/>
      <c r="X361" s="87"/>
      <c r="Y361" s="87"/>
      <c r="Z361" s="87"/>
    </row>
    <row r="362">
      <c r="A362" s="96"/>
      <c r="B362" s="96"/>
      <c r="C362" s="98"/>
      <c r="D362" s="98"/>
      <c r="E362" s="100"/>
      <c r="F362" s="100"/>
      <c r="G362" s="101"/>
      <c r="H362" s="100"/>
      <c r="I362" s="100"/>
      <c r="J362" s="46"/>
      <c r="K362" s="101"/>
      <c r="L362" s="101"/>
      <c r="M362" s="87"/>
      <c r="N362" s="87"/>
      <c r="O362" s="87"/>
      <c r="P362" s="87"/>
      <c r="Q362" s="87"/>
      <c r="R362" s="87"/>
      <c r="S362" s="87"/>
      <c r="T362" s="87"/>
      <c r="U362" s="87"/>
      <c r="V362" s="87"/>
      <c r="W362" s="87"/>
      <c r="X362" s="87"/>
      <c r="Y362" s="87"/>
      <c r="Z362" s="87"/>
    </row>
    <row r="363">
      <c r="A363" s="96"/>
      <c r="B363" s="96"/>
      <c r="C363" s="98"/>
      <c r="D363" s="98"/>
      <c r="E363" s="100"/>
      <c r="F363" s="100"/>
      <c r="G363" s="101"/>
      <c r="H363" s="100"/>
      <c r="I363" s="100"/>
      <c r="J363" s="46"/>
      <c r="K363" s="101"/>
      <c r="L363" s="101"/>
      <c r="M363" s="87"/>
      <c r="N363" s="87"/>
      <c r="O363" s="87"/>
      <c r="P363" s="87"/>
      <c r="Q363" s="87"/>
      <c r="R363" s="87"/>
      <c r="S363" s="87"/>
      <c r="T363" s="87"/>
      <c r="U363" s="87"/>
      <c r="V363" s="87"/>
      <c r="W363" s="87"/>
      <c r="X363" s="87"/>
      <c r="Y363" s="87"/>
      <c r="Z363" s="87"/>
    </row>
    <row r="364">
      <c r="A364" s="96"/>
      <c r="B364" s="96"/>
      <c r="C364" s="98"/>
      <c r="D364" s="98"/>
      <c r="E364" s="100"/>
      <c r="F364" s="100"/>
      <c r="G364" s="101"/>
      <c r="H364" s="100"/>
      <c r="I364" s="100"/>
      <c r="J364" s="46"/>
      <c r="K364" s="101"/>
      <c r="L364" s="101"/>
      <c r="M364" s="87"/>
      <c r="N364" s="87"/>
      <c r="O364" s="87"/>
      <c r="P364" s="87"/>
      <c r="Q364" s="87"/>
      <c r="R364" s="87"/>
      <c r="S364" s="87"/>
      <c r="T364" s="87"/>
      <c r="U364" s="87"/>
      <c r="V364" s="87"/>
      <c r="W364" s="87"/>
      <c r="X364" s="87"/>
      <c r="Y364" s="87"/>
      <c r="Z364" s="87"/>
    </row>
    <row r="365">
      <c r="A365" s="96"/>
      <c r="B365" s="96"/>
      <c r="C365" s="98"/>
      <c r="D365" s="98"/>
      <c r="E365" s="100"/>
      <c r="F365" s="100"/>
      <c r="G365" s="101"/>
      <c r="H365" s="100"/>
      <c r="I365" s="100"/>
      <c r="J365" s="46"/>
      <c r="K365" s="101"/>
      <c r="L365" s="101"/>
      <c r="M365" s="87"/>
      <c r="N365" s="87"/>
      <c r="O365" s="87"/>
      <c r="P365" s="87"/>
      <c r="Q365" s="87"/>
      <c r="R365" s="87"/>
      <c r="S365" s="87"/>
      <c r="T365" s="87"/>
      <c r="U365" s="87"/>
      <c r="V365" s="87"/>
      <c r="W365" s="87"/>
      <c r="X365" s="87"/>
      <c r="Y365" s="87"/>
      <c r="Z365" s="87"/>
    </row>
    <row r="366">
      <c r="A366" s="96"/>
      <c r="B366" s="96"/>
      <c r="C366" s="98"/>
      <c r="D366" s="98"/>
      <c r="E366" s="100"/>
      <c r="F366" s="100"/>
      <c r="G366" s="101"/>
      <c r="H366" s="100"/>
      <c r="I366" s="100"/>
      <c r="J366" s="46"/>
      <c r="K366" s="101"/>
      <c r="L366" s="101"/>
      <c r="M366" s="87"/>
      <c r="N366" s="87"/>
      <c r="O366" s="87"/>
      <c r="P366" s="87"/>
      <c r="Q366" s="87"/>
      <c r="R366" s="87"/>
      <c r="S366" s="87"/>
      <c r="T366" s="87"/>
      <c r="U366" s="87"/>
      <c r="V366" s="87"/>
      <c r="W366" s="87"/>
      <c r="X366" s="87"/>
      <c r="Y366" s="87"/>
      <c r="Z366" s="87"/>
    </row>
    <row r="367">
      <c r="A367" s="96"/>
      <c r="B367" s="96"/>
      <c r="C367" s="98"/>
      <c r="D367" s="98"/>
      <c r="E367" s="100"/>
      <c r="F367" s="100"/>
      <c r="G367" s="101"/>
      <c r="H367" s="100"/>
      <c r="I367" s="100"/>
      <c r="J367" s="46"/>
      <c r="K367" s="101"/>
      <c r="L367" s="101"/>
      <c r="M367" s="87"/>
      <c r="N367" s="87"/>
      <c r="O367" s="87"/>
      <c r="P367" s="87"/>
      <c r="Q367" s="87"/>
      <c r="R367" s="87"/>
      <c r="S367" s="87"/>
      <c r="T367" s="87"/>
      <c r="U367" s="87"/>
      <c r="V367" s="87"/>
      <c r="W367" s="87"/>
      <c r="X367" s="87"/>
      <c r="Y367" s="87"/>
      <c r="Z367" s="87"/>
    </row>
    <row r="368">
      <c r="A368" s="96"/>
      <c r="B368" s="96"/>
      <c r="C368" s="98"/>
      <c r="D368" s="98"/>
      <c r="E368" s="100"/>
      <c r="F368" s="100"/>
      <c r="G368" s="101"/>
      <c r="H368" s="100"/>
      <c r="I368" s="100"/>
      <c r="J368" s="46"/>
      <c r="K368" s="101"/>
      <c r="L368" s="101"/>
      <c r="M368" s="87"/>
      <c r="N368" s="87"/>
      <c r="O368" s="87"/>
      <c r="P368" s="87"/>
      <c r="Q368" s="87"/>
      <c r="R368" s="87"/>
      <c r="S368" s="87"/>
      <c r="T368" s="87"/>
      <c r="U368" s="87"/>
      <c r="V368" s="87"/>
      <c r="W368" s="87"/>
      <c r="X368" s="87"/>
      <c r="Y368" s="87"/>
      <c r="Z368" s="87"/>
    </row>
    <row r="369">
      <c r="A369" s="96"/>
      <c r="B369" s="96"/>
      <c r="C369" s="98"/>
      <c r="D369" s="98"/>
      <c r="E369" s="100"/>
      <c r="F369" s="100"/>
      <c r="G369" s="101"/>
      <c r="H369" s="100"/>
      <c r="I369" s="100"/>
      <c r="J369" s="46"/>
      <c r="K369" s="101"/>
      <c r="L369" s="101"/>
      <c r="M369" s="87"/>
      <c r="N369" s="87"/>
      <c r="O369" s="87"/>
      <c r="P369" s="87"/>
      <c r="Q369" s="87"/>
      <c r="R369" s="87"/>
      <c r="S369" s="87"/>
      <c r="T369" s="87"/>
      <c r="U369" s="87"/>
      <c r="V369" s="87"/>
      <c r="W369" s="87"/>
      <c r="X369" s="87"/>
      <c r="Y369" s="87"/>
      <c r="Z369" s="87"/>
    </row>
    <row r="370">
      <c r="A370" s="96"/>
      <c r="B370" s="96"/>
      <c r="C370" s="98"/>
      <c r="D370" s="98"/>
      <c r="E370" s="100"/>
      <c r="F370" s="100"/>
      <c r="G370" s="101"/>
      <c r="H370" s="100"/>
      <c r="I370" s="100"/>
      <c r="J370" s="46"/>
      <c r="K370" s="101"/>
      <c r="L370" s="101"/>
      <c r="M370" s="87"/>
      <c r="N370" s="87"/>
      <c r="O370" s="87"/>
      <c r="P370" s="87"/>
      <c r="Q370" s="87"/>
      <c r="R370" s="87"/>
      <c r="S370" s="87"/>
      <c r="T370" s="87"/>
      <c r="U370" s="87"/>
      <c r="V370" s="87"/>
      <c r="W370" s="87"/>
      <c r="X370" s="87"/>
      <c r="Y370" s="87"/>
      <c r="Z370" s="87"/>
    </row>
    <row r="371">
      <c r="A371" s="96"/>
      <c r="B371" s="96"/>
      <c r="C371" s="98"/>
      <c r="D371" s="98"/>
      <c r="E371" s="100"/>
      <c r="F371" s="100"/>
      <c r="G371" s="101"/>
      <c r="H371" s="100"/>
      <c r="I371" s="100"/>
      <c r="J371" s="46"/>
      <c r="K371" s="101"/>
      <c r="L371" s="101"/>
      <c r="M371" s="87"/>
      <c r="N371" s="87"/>
      <c r="O371" s="87"/>
      <c r="P371" s="87"/>
      <c r="Q371" s="87"/>
      <c r="R371" s="87"/>
      <c r="S371" s="87"/>
      <c r="T371" s="87"/>
      <c r="U371" s="87"/>
      <c r="V371" s="87"/>
      <c r="W371" s="87"/>
      <c r="X371" s="87"/>
      <c r="Y371" s="87"/>
      <c r="Z371" s="87"/>
    </row>
    <row r="372">
      <c r="A372" s="96"/>
      <c r="B372" s="96"/>
      <c r="C372" s="98"/>
      <c r="D372" s="98"/>
      <c r="E372" s="100"/>
      <c r="F372" s="100"/>
      <c r="G372" s="101"/>
      <c r="H372" s="100"/>
      <c r="I372" s="100"/>
      <c r="J372" s="46"/>
      <c r="K372" s="101"/>
      <c r="L372" s="101"/>
      <c r="M372" s="87"/>
      <c r="N372" s="87"/>
      <c r="O372" s="87"/>
      <c r="P372" s="87"/>
      <c r="Q372" s="87"/>
      <c r="R372" s="87"/>
      <c r="S372" s="87"/>
      <c r="T372" s="87"/>
      <c r="U372" s="87"/>
      <c r="V372" s="87"/>
      <c r="W372" s="87"/>
      <c r="X372" s="87"/>
      <c r="Y372" s="87"/>
      <c r="Z372" s="87"/>
    </row>
    <row r="373">
      <c r="A373" s="96"/>
      <c r="B373" s="96"/>
      <c r="C373" s="98"/>
      <c r="D373" s="98"/>
      <c r="E373" s="100"/>
      <c r="F373" s="100"/>
      <c r="G373" s="101"/>
      <c r="H373" s="100"/>
      <c r="I373" s="100"/>
      <c r="J373" s="46"/>
      <c r="K373" s="101"/>
      <c r="L373" s="101"/>
      <c r="M373" s="87"/>
      <c r="N373" s="87"/>
      <c r="O373" s="87"/>
      <c r="P373" s="87"/>
      <c r="Q373" s="87"/>
      <c r="R373" s="87"/>
      <c r="S373" s="87"/>
      <c r="T373" s="87"/>
      <c r="U373" s="87"/>
      <c r="V373" s="87"/>
      <c r="W373" s="87"/>
      <c r="X373" s="87"/>
      <c r="Y373" s="87"/>
      <c r="Z373" s="87"/>
    </row>
    <row r="374">
      <c r="A374" s="96"/>
      <c r="B374" s="96"/>
      <c r="C374" s="98"/>
      <c r="D374" s="98"/>
      <c r="E374" s="100"/>
      <c r="F374" s="100"/>
      <c r="G374" s="101"/>
      <c r="H374" s="100"/>
      <c r="I374" s="100"/>
      <c r="J374" s="46"/>
      <c r="K374" s="101"/>
      <c r="L374" s="101"/>
      <c r="M374" s="87"/>
      <c r="N374" s="87"/>
      <c r="O374" s="87"/>
      <c r="P374" s="87"/>
      <c r="Q374" s="87"/>
      <c r="R374" s="87"/>
      <c r="S374" s="87"/>
      <c r="T374" s="87"/>
      <c r="U374" s="87"/>
      <c r="V374" s="87"/>
      <c r="W374" s="87"/>
      <c r="X374" s="87"/>
      <c r="Y374" s="87"/>
      <c r="Z374" s="87"/>
    </row>
    <row r="375">
      <c r="A375" s="96"/>
      <c r="B375" s="96"/>
      <c r="C375" s="98"/>
      <c r="D375" s="98"/>
      <c r="E375" s="100"/>
      <c r="F375" s="100"/>
      <c r="G375" s="101"/>
      <c r="H375" s="100"/>
      <c r="I375" s="100"/>
      <c r="J375" s="46"/>
      <c r="K375" s="101"/>
      <c r="L375" s="101"/>
      <c r="M375" s="87"/>
      <c r="N375" s="87"/>
      <c r="O375" s="87"/>
      <c r="P375" s="87"/>
      <c r="Q375" s="87"/>
      <c r="R375" s="87"/>
      <c r="S375" s="87"/>
      <c r="T375" s="87"/>
      <c r="U375" s="87"/>
      <c r="V375" s="87"/>
      <c r="W375" s="87"/>
      <c r="X375" s="87"/>
      <c r="Y375" s="87"/>
      <c r="Z375" s="87"/>
    </row>
    <row r="376">
      <c r="A376" s="96"/>
      <c r="B376" s="96"/>
      <c r="C376" s="98"/>
      <c r="D376" s="98"/>
      <c r="E376" s="100"/>
      <c r="F376" s="100"/>
      <c r="G376" s="101"/>
      <c r="H376" s="100"/>
      <c r="I376" s="100"/>
      <c r="J376" s="46"/>
      <c r="K376" s="101"/>
      <c r="L376" s="101"/>
      <c r="M376" s="87"/>
      <c r="N376" s="87"/>
      <c r="O376" s="87"/>
      <c r="P376" s="87"/>
      <c r="Q376" s="87"/>
      <c r="R376" s="87"/>
      <c r="S376" s="87"/>
      <c r="T376" s="87"/>
      <c r="U376" s="87"/>
      <c r="V376" s="87"/>
      <c r="W376" s="87"/>
      <c r="X376" s="87"/>
      <c r="Y376" s="87"/>
      <c r="Z376" s="87"/>
    </row>
    <row r="377">
      <c r="A377" s="96"/>
      <c r="B377" s="96"/>
      <c r="C377" s="98"/>
      <c r="D377" s="98"/>
      <c r="E377" s="100"/>
      <c r="F377" s="100"/>
      <c r="G377" s="101"/>
      <c r="H377" s="100"/>
      <c r="I377" s="100"/>
      <c r="J377" s="46"/>
      <c r="K377" s="101"/>
      <c r="L377" s="101"/>
      <c r="M377" s="87"/>
      <c r="N377" s="87"/>
      <c r="O377" s="87"/>
      <c r="P377" s="87"/>
      <c r="Q377" s="87"/>
      <c r="R377" s="87"/>
      <c r="S377" s="87"/>
      <c r="T377" s="87"/>
      <c r="U377" s="87"/>
      <c r="V377" s="87"/>
      <c r="W377" s="87"/>
      <c r="X377" s="87"/>
      <c r="Y377" s="87"/>
      <c r="Z377" s="87"/>
    </row>
    <row r="378">
      <c r="A378" s="96"/>
      <c r="B378" s="96"/>
      <c r="C378" s="98"/>
      <c r="D378" s="98"/>
      <c r="E378" s="100"/>
      <c r="F378" s="100"/>
      <c r="G378" s="101"/>
      <c r="H378" s="100"/>
      <c r="I378" s="100"/>
      <c r="J378" s="46"/>
      <c r="K378" s="101"/>
      <c r="L378" s="101"/>
      <c r="M378" s="87"/>
      <c r="N378" s="87"/>
      <c r="O378" s="87"/>
      <c r="P378" s="87"/>
      <c r="Q378" s="87"/>
      <c r="R378" s="87"/>
      <c r="S378" s="87"/>
      <c r="T378" s="87"/>
      <c r="U378" s="87"/>
      <c r="V378" s="87"/>
      <c r="W378" s="87"/>
      <c r="X378" s="87"/>
      <c r="Y378" s="87"/>
      <c r="Z378" s="87"/>
    </row>
    <row r="379">
      <c r="A379" s="96"/>
      <c r="B379" s="96"/>
      <c r="C379" s="98"/>
      <c r="D379" s="98"/>
      <c r="E379" s="100"/>
      <c r="F379" s="100"/>
      <c r="G379" s="101"/>
      <c r="H379" s="100"/>
      <c r="I379" s="100"/>
      <c r="J379" s="46"/>
      <c r="K379" s="101"/>
      <c r="L379" s="101"/>
      <c r="M379" s="87"/>
      <c r="N379" s="87"/>
      <c r="O379" s="87"/>
      <c r="P379" s="87"/>
      <c r="Q379" s="87"/>
      <c r="R379" s="87"/>
      <c r="S379" s="87"/>
      <c r="T379" s="87"/>
      <c r="U379" s="87"/>
      <c r="V379" s="87"/>
      <c r="W379" s="87"/>
      <c r="X379" s="87"/>
      <c r="Y379" s="87"/>
      <c r="Z379" s="87"/>
    </row>
    <row r="380">
      <c r="A380" s="96"/>
      <c r="B380" s="96"/>
      <c r="C380" s="98"/>
      <c r="D380" s="98"/>
      <c r="E380" s="100"/>
      <c r="F380" s="100"/>
      <c r="G380" s="101"/>
      <c r="H380" s="100"/>
      <c r="I380" s="100"/>
      <c r="J380" s="46"/>
      <c r="K380" s="101"/>
      <c r="L380" s="101"/>
      <c r="M380" s="87"/>
      <c r="N380" s="87"/>
      <c r="O380" s="87"/>
      <c r="P380" s="87"/>
      <c r="Q380" s="87"/>
      <c r="R380" s="87"/>
      <c r="S380" s="87"/>
      <c r="T380" s="87"/>
      <c r="U380" s="87"/>
      <c r="V380" s="87"/>
      <c r="W380" s="87"/>
      <c r="X380" s="87"/>
      <c r="Y380" s="87"/>
      <c r="Z380" s="87"/>
    </row>
    <row r="381">
      <c r="A381" s="96"/>
      <c r="B381" s="96"/>
      <c r="C381" s="98"/>
      <c r="D381" s="98"/>
      <c r="E381" s="100"/>
      <c r="F381" s="100"/>
      <c r="G381" s="101"/>
      <c r="H381" s="100"/>
      <c r="I381" s="100"/>
      <c r="J381" s="46"/>
      <c r="K381" s="101"/>
      <c r="L381" s="101"/>
      <c r="M381" s="87"/>
      <c r="N381" s="87"/>
      <c r="O381" s="87"/>
      <c r="P381" s="87"/>
      <c r="Q381" s="87"/>
      <c r="R381" s="87"/>
      <c r="S381" s="87"/>
      <c r="T381" s="87"/>
      <c r="U381" s="87"/>
      <c r="V381" s="87"/>
      <c r="W381" s="87"/>
      <c r="X381" s="87"/>
      <c r="Y381" s="87"/>
      <c r="Z381" s="87"/>
    </row>
    <row r="382">
      <c r="A382" s="96"/>
      <c r="B382" s="96"/>
      <c r="C382" s="98"/>
      <c r="D382" s="98"/>
      <c r="E382" s="100"/>
      <c r="F382" s="100"/>
      <c r="G382" s="101"/>
      <c r="H382" s="100"/>
      <c r="I382" s="100"/>
      <c r="J382" s="46"/>
      <c r="K382" s="101"/>
      <c r="L382" s="101"/>
      <c r="M382" s="87"/>
      <c r="N382" s="87"/>
      <c r="O382" s="87"/>
      <c r="P382" s="87"/>
      <c r="Q382" s="87"/>
      <c r="R382" s="87"/>
      <c r="S382" s="87"/>
      <c r="T382" s="87"/>
      <c r="U382" s="87"/>
      <c r="V382" s="87"/>
      <c r="W382" s="87"/>
      <c r="X382" s="87"/>
      <c r="Y382" s="87"/>
      <c r="Z382" s="87"/>
    </row>
    <row r="383">
      <c r="A383" s="96"/>
      <c r="B383" s="96"/>
      <c r="C383" s="98"/>
      <c r="D383" s="98"/>
      <c r="E383" s="100"/>
      <c r="F383" s="100"/>
      <c r="G383" s="101"/>
      <c r="H383" s="100"/>
      <c r="I383" s="100"/>
      <c r="J383" s="46"/>
      <c r="K383" s="101"/>
      <c r="L383" s="101"/>
      <c r="M383" s="87"/>
      <c r="N383" s="87"/>
      <c r="O383" s="87"/>
      <c r="P383" s="87"/>
      <c r="Q383" s="87"/>
      <c r="R383" s="87"/>
      <c r="S383" s="87"/>
      <c r="T383" s="87"/>
      <c r="U383" s="87"/>
      <c r="V383" s="87"/>
      <c r="W383" s="87"/>
      <c r="X383" s="87"/>
      <c r="Y383" s="87"/>
      <c r="Z383" s="87"/>
    </row>
    <row r="384">
      <c r="A384" s="96"/>
      <c r="B384" s="96"/>
      <c r="C384" s="98"/>
      <c r="D384" s="98"/>
      <c r="E384" s="100"/>
      <c r="F384" s="100"/>
      <c r="G384" s="101"/>
      <c r="H384" s="100"/>
      <c r="I384" s="100"/>
      <c r="J384" s="46"/>
      <c r="K384" s="101"/>
      <c r="L384" s="101"/>
      <c r="M384" s="87"/>
      <c r="N384" s="87"/>
      <c r="O384" s="87"/>
      <c r="P384" s="87"/>
      <c r="Q384" s="87"/>
      <c r="R384" s="87"/>
      <c r="S384" s="87"/>
      <c r="T384" s="87"/>
      <c r="U384" s="87"/>
      <c r="V384" s="87"/>
      <c r="W384" s="87"/>
      <c r="X384" s="87"/>
      <c r="Y384" s="87"/>
      <c r="Z384" s="87"/>
    </row>
    <row r="385">
      <c r="A385" s="96"/>
      <c r="B385" s="96"/>
      <c r="C385" s="98"/>
      <c r="D385" s="98"/>
      <c r="E385" s="100"/>
      <c r="F385" s="100"/>
      <c r="G385" s="101"/>
      <c r="H385" s="100"/>
      <c r="I385" s="100"/>
      <c r="J385" s="46"/>
      <c r="K385" s="101"/>
      <c r="L385" s="101"/>
      <c r="M385" s="87"/>
      <c r="N385" s="87"/>
      <c r="O385" s="87"/>
      <c r="P385" s="87"/>
      <c r="Q385" s="87"/>
      <c r="R385" s="87"/>
      <c r="S385" s="87"/>
      <c r="T385" s="87"/>
      <c r="U385" s="87"/>
      <c r="V385" s="87"/>
      <c r="W385" s="87"/>
      <c r="X385" s="87"/>
      <c r="Y385" s="87"/>
      <c r="Z385" s="87"/>
    </row>
    <row r="386">
      <c r="A386" s="96"/>
      <c r="B386" s="96"/>
      <c r="C386" s="98"/>
      <c r="D386" s="98"/>
      <c r="E386" s="100"/>
      <c r="F386" s="100"/>
      <c r="G386" s="101"/>
      <c r="H386" s="100"/>
      <c r="I386" s="100"/>
      <c r="J386" s="46"/>
      <c r="K386" s="101"/>
      <c r="L386" s="101"/>
      <c r="M386" s="87"/>
      <c r="N386" s="87"/>
      <c r="O386" s="87"/>
      <c r="P386" s="87"/>
      <c r="Q386" s="87"/>
      <c r="R386" s="87"/>
      <c r="S386" s="87"/>
      <c r="T386" s="87"/>
      <c r="U386" s="87"/>
      <c r="V386" s="87"/>
      <c r="W386" s="87"/>
      <c r="X386" s="87"/>
      <c r="Y386" s="87"/>
      <c r="Z386" s="87"/>
    </row>
    <row r="387">
      <c r="A387" s="96"/>
      <c r="B387" s="96"/>
      <c r="C387" s="98"/>
      <c r="D387" s="98"/>
      <c r="E387" s="100"/>
      <c r="F387" s="100"/>
      <c r="G387" s="101"/>
      <c r="H387" s="100"/>
      <c r="I387" s="100"/>
      <c r="J387" s="46"/>
      <c r="K387" s="101"/>
      <c r="L387" s="101"/>
      <c r="M387" s="87"/>
      <c r="N387" s="87"/>
      <c r="O387" s="87"/>
      <c r="P387" s="87"/>
      <c r="Q387" s="87"/>
      <c r="R387" s="87"/>
      <c r="S387" s="87"/>
      <c r="T387" s="87"/>
      <c r="U387" s="87"/>
      <c r="V387" s="87"/>
      <c r="W387" s="87"/>
      <c r="X387" s="87"/>
      <c r="Y387" s="87"/>
      <c r="Z387" s="87"/>
    </row>
    <row r="388">
      <c r="A388" s="96"/>
      <c r="B388" s="96"/>
      <c r="C388" s="98"/>
      <c r="D388" s="98"/>
      <c r="E388" s="100"/>
      <c r="F388" s="100"/>
      <c r="G388" s="101"/>
      <c r="H388" s="100"/>
      <c r="I388" s="100"/>
      <c r="J388" s="46"/>
      <c r="K388" s="101"/>
      <c r="L388" s="101"/>
      <c r="M388" s="87"/>
      <c r="N388" s="87"/>
      <c r="O388" s="87"/>
      <c r="P388" s="87"/>
      <c r="Q388" s="87"/>
      <c r="R388" s="87"/>
      <c r="S388" s="87"/>
      <c r="T388" s="87"/>
      <c r="U388" s="87"/>
      <c r="V388" s="87"/>
      <c r="W388" s="87"/>
      <c r="X388" s="87"/>
      <c r="Y388" s="87"/>
      <c r="Z388" s="87"/>
    </row>
    <row r="389">
      <c r="A389" s="96"/>
      <c r="B389" s="96"/>
      <c r="C389" s="98"/>
      <c r="D389" s="98"/>
      <c r="E389" s="100"/>
      <c r="F389" s="100"/>
      <c r="G389" s="101"/>
      <c r="H389" s="100"/>
      <c r="I389" s="100"/>
      <c r="J389" s="46"/>
      <c r="K389" s="101"/>
      <c r="L389" s="101"/>
      <c r="M389" s="87"/>
      <c r="N389" s="87"/>
      <c r="O389" s="87"/>
      <c r="P389" s="87"/>
      <c r="Q389" s="87"/>
      <c r="R389" s="87"/>
      <c r="S389" s="87"/>
      <c r="T389" s="87"/>
      <c r="U389" s="87"/>
      <c r="V389" s="87"/>
      <c r="W389" s="87"/>
      <c r="X389" s="87"/>
      <c r="Y389" s="87"/>
      <c r="Z389" s="87"/>
    </row>
    <row r="390">
      <c r="A390" s="96"/>
      <c r="B390" s="96"/>
      <c r="C390" s="98"/>
      <c r="D390" s="98"/>
      <c r="E390" s="100"/>
      <c r="F390" s="100"/>
      <c r="G390" s="101"/>
      <c r="H390" s="100"/>
      <c r="I390" s="100"/>
      <c r="J390" s="46"/>
      <c r="K390" s="101"/>
      <c r="L390" s="101"/>
      <c r="M390" s="87"/>
      <c r="N390" s="87"/>
      <c r="O390" s="87"/>
      <c r="P390" s="87"/>
      <c r="Q390" s="87"/>
      <c r="R390" s="87"/>
      <c r="S390" s="87"/>
      <c r="T390" s="87"/>
      <c r="U390" s="87"/>
      <c r="V390" s="87"/>
      <c r="W390" s="87"/>
      <c r="X390" s="87"/>
      <c r="Y390" s="87"/>
      <c r="Z390" s="87"/>
    </row>
    <row r="391">
      <c r="A391" s="96"/>
      <c r="B391" s="96"/>
      <c r="C391" s="98"/>
      <c r="D391" s="98"/>
      <c r="E391" s="100"/>
      <c r="F391" s="100"/>
      <c r="G391" s="101"/>
      <c r="H391" s="100"/>
      <c r="I391" s="100"/>
      <c r="J391" s="46"/>
      <c r="K391" s="101"/>
      <c r="L391" s="101"/>
      <c r="M391" s="87"/>
      <c r="N391" s="87"/>
      <c r="O391" s="87"/>
      <c r="P391" s="87"/>
      <c r="Q391" s="87"/>
      <c r="R391" s="87"/>
      <c r="S391" s="87"/>
      <c r="T391" s="87"/>
      <c r="U391" s="87"/>
      <c r="V391" s="87"/>
      <c r="W391" s="87"/>
      <c r="X391" s="87"/>
      <c r="Y391" s="87"/>
      <c r="Z391" s="87"/>
    </row>
    <row r="392">
      <c r="A392" s="96"/>
      <c r="B392" s="96"/>
      <c r="C392" s="98"/>
      <c r="D392" s="98"/>
      <c r="E392" s="100"/>
      <c r="F392" s="100"/>
      <c r="G392" s="101"/>
      <c r="H392" s="100"/>
      <c r="I392" s="100"/>
      <c r="J392" s="46"/>
      <c r="K392" s="101"/>
      <c r="L392" s="101"/>
      <c r="M392" s="87"/>
      <c r="N392" s="87"/>
      <c r="O392" s="87"/>
      <c r="P392" s="87"/>
      <c r="Q392" s="87"/>
      <c r="R392" s="87"/>
      <c r="S392" s="87"/>
      <c r="T392" s="87"/>
      <c r="U392" s="87"/>
      <c r="V392" s="87"/>
      <c r="W392" s="87"/>
      <c r="X392" s="87"/>
      <c r="Y392" s="87"/>
      <c r="Z392" s="87"/>
    </row>
    <row r="393">
      <c r="A393" s="96"/>
      <c r="B393" s="96"/>
      <c r="C393" s="98"/>
      <c r="D393" s="98"/>
      <c r="E393" s="100"/>
      <c r="F393" s="100"/>
      <c r="G393" s="101"/>
      <c r="H393" s="100"/>
      <c r="I393" s="100"/>
      <c r="J393" s="46"/>
      <c r="K393" s="101"/>
      <c r="L393" s="101"/>
      <c r="M393" s="87"/>
      <c r="N393" s="87"/>
      <c r="O393" s="87"/>
      <c r="P393" s="87"/>
      <c r="Q393" s="87"/>
      <c r="R393" s="87"/>
      <c r="S393" s="87"/>
      <c r="T393" s="87"/>
      <c r="U393" s="87"/>
      <c r="V393" s="87"/>
      <c r="W393" s="87"/>
      <c r="X393" s="87"/>
      <c r="Y393" s="87"/>
      <c r="Z393" s="87"/>
    </row>
    <row r="394">
      <c r="A394" s="96"/>
      <c r="B394" s="96"/>
      <c r="C394" s="98"/>
      <c r="D394" s="98"/>
      <c r="E394" s="100"/>
      <c r="F394" s="100"/>
      <c r="G394" s="101"/>
      <c r="H394" s="100"/>
      <c r="I394" s="100"/>
      <c r="J394" s="46"/>
      <c r="K394" s="101"/>
      <c r="L394" s="101"/>
      <c r="M394" s="87"/>
      <c r="N394" s="87"/>
      <c r="O394" s="87"/>
      <c r="P394" s="87"/>
      <c r="Q394" s="87"/>
      <c r="R394" s="87"/>
      <c r="S394" s="87"/>
      <c r="T394" s="87"/>
      <c r="U394" s="87"/>
      <c r="V394" s="87"/>
      <c r="W394" s="87"/>
      <c r="X394" s="87"/>
      <c r="Y394" s="87"/>
      <c r="Z394" s="87"/>
    </row>
    <row r="395">
      <c r="A395" s="96"/>
      <c r="B395" s="96"/>
      <c r="C395" s="98"/>
      <c r="D395" s="98"/>
      <c r="E395" s="100"/>
      <c r="F395" s="100"/>
      <c r="G395" s="101"/>
      <c r="H395" s="100"/>
      <c r="I395" s="100"/>
      <c r="J395" s="46"/>
      <c r="K395" s="101"/>
      <c r="L395" s="101"/>
      <c r="M395" s="87"/>
      <c r="N395" s="87"/>
      <c r="O395" s="87"/>
      <c r="P395" s="87"/>
      <c r="Q395" s="87"/>
      <c r="R395" s="87"/>
      <c r="S395" s="87"/>
      <c r="T395" s="87"/>
      <c r="U395" s="87"/>
      <c r="V395" s="87"/>
      <c r="W395" s="87"/>
      <c r="X395" s="87"/>
      <c r="Y395" s="87"/>
      <c r="Z395" s="87"/>
    </row>
    <row r="396">
      <c r="A396" s="96"/>
      <c r="B396" s="96"/>
      <c r="C396" s="98"/>
      <c r="D396" s="98"/>
      <c r="E396" s="100"/>
      <c r="F396" s="100"/>
      <c r="G396" s="101"/>
      <c r="H396" s="100"/>
      <c r="I396" s="100"/>
      <c r="J396" s="46"/>
      <c r="K396" s="101"/>
      <c r="L396" s="101"/>
      <c r="M396" s="87"/>
      <c r="N396" s="87"/>
      <c r="O396" s="87"/>
      <c r="P396" s="87"/>
      <c r="Q396" s="87"/>
      <c r="R396" s="87"/>
      <c r="S396" s="87"/>
      <c r="T396" s="87"/>
      <c r="U396" s="87"/>
      <c r="V396" s="87"/>
      <c r="W396" s="87"/>
      <c r="X396" s="87"/>
      <c r="Y396" s="87"/>
      <c r="Z396" s="87"/>
    </row>
    <row r="397">
      <c r="A397" s="96"/>
      <c r="B397" s="96"/>
      <c r="C397" s="98"/>
      <c r="D397" s="98"/>
      <c r="E397" s="100"/>
      <c r="F397" s="100"/>
      <c r="G397" s="101"/>
      <c r="H397" s="100"/>
      <c r="I397" s="100"/>
      <c r="J397" s="46"/>
      <c r="K397" s="101"/>
      <c r="L397" s="101"/>
      <c r="M397" s="87"/>
      <c r="N397" s="87"/>
      <c r="O397" s="87"/>
      <c r="P397" s="87"/>
      <c r="Q397" s="87"/>
      <c r="R397" s="87"/>
      <c r="S397" s="87"/>
      <c r="T397" s="87"/>
      <c r="U397" s="87"/>
      <c r="V397" s="87"/>
      <c r="W397" s="87"/>
      <c r="X397" s="87"/>
      <c r="Y397" s="87"/>
      <c r="Z397" s="87"/>
    </row>
    <row r="398">
      <c r="A398" s="96"/>
      <c r="B398" s="96"/>
      <c r="C398" s="98"/>
      <c r="D398" s="98"/>
      <c r="E398" s="100"/>
      <c r="F398" s="100"/>
      <c r="G398" s="101"/>
      <c r="H398" s="100"/>
      <c r="I398" s="100"/>
      <c r="J398" s="46"/>
      <c r="K398" s="101"/>
      <c r="L398" s="101"/>
      <c r="M398" s="87"/>
      <c r="N398" s="87"/>
      <c r="O398" s="87"/>
      <c r="P398" s="87"/>
      <c r="Q398" s="87"/>
      <c r="R398" s="87"/>
      <c r="S398" s="87"/>
      <c r="T398" s="87"/>
      <c r="U398" s="87"/>
      <c r="V398" s="87"/>
      <c r="W398" s="87"/>
      <c r="X398" s="87"/>
      <c r="Y398" s="87"/>
      <c r="Z398" s="87"/>
    </row>
    <row r="399">
      <c r="A399" s="96"/>
      <c r="B399" s="96"/>
      <c r="C399" s="98"/>
      <c r="D399" s="98"/>
      <c r="E399" s="100"/>
      <c r="F399" s="100"/>
      <c r="G399" s="101"/>
      <c r="H399" s="100"/>
      <c r="I399" s="100"/>
      <c r="J399" s="46"/>
      <c r="K399" s="101"/>
      <c r="L399" s="101"/>
      <c r="M399" s="87"/>
      <c r="N399" s="87"/>
      <c r="O399" s="87"/>
      <c r="P399" s="87"/>
      <c r="Q399" s="87"/>
      <c r="R399" s="87"/>
      <c r="S399" s="87"/>
      <c r="T399" s="87"/>
      <c r="U399" s="87"/>
      <c r="V399" s="87"/>
      <c r="W399" s="87"/>
      <c r="X399" s="87"/>
      <c r="Y399" s="87"/>
      <c r="Z399" s="87"/>
    </row>
    <row r="400">
      <c r="A400" s="96"/>
      <c r="B400" s="96"/>
      <c r="C400" s="98"/>
      <c r="D400" s="98"/>
      <c r="E400" s="100"/>
      <c r="F400" s="100"/>
      <c r="G400" s="101"/>
      <c r="H400" s="100"/>
      <c r="I400" s="100"/>
      <c r="J400" s="46"/>
      <c r="K400" s="101"/>
      <c r="L400" s="101"/>
      <c r="M400" s="87"/>
      <c r="N400" s="87"/>
      <c r="O400" s="87"/>
      <c r="P400" s="87"/>
      <c r="Q400" s="87"/>
      <c r="R400" s="87"/>
      <c r="S400" s="87"/>
      <c r="T400" s="87"/>
      <c r="U400" s="87"/>
      <c r="V400" s="87"/>
      <c r="W400" s="87"/>
      <c r="X400" s="87"/>
      <c r="Y400" s="87"/>
      <c r="Z400" s="87"/>
    </row>
    <row r="401">
      <c r="A401" s="96"/>
      <c r="B401" s="96"/>
      <c r="C401" s="98"/>
      <c r="D401" s="98"/>
      <c r="E401" s="100"/>
      <c r="F401" s="100"/>
      <c r="G401" s="101"/>
      <c r="H401" s="100"/>
      <c r="I401" s="100"/>
      <c r="J401" s="46"/>
      <c r="K401" s="101"/>
      <c r="L401" s="101"/>
      <c r="M401" s="87"/>
      <c r="N401" s="87"/>
      <c r="O401" s="87"/>
      <c r="P401" s="87"/>
      <c r="Q401" s="87"/>
      <c r="R401" s="87"/>
      <c r="S401" s="87"/>
      <c r="T401" s="87"/>
      <c r="U401" s="87"/>
      <c r="V401" s="87"/>
      <c r="W401" s="87"/>
      <c r="X401" s="87"/>
      <c r="Y401" s="87"/>
      <c r="Z401" s="87"/>
    </row>
    <row r="402">
      <c r="A402" s="96"/>
      <c r="B402" s="96"/>
      <c r="C402" s="98"/>
      <c r="D402" s="98"/>
      <c r="E402" s="100"/>
      <c r="F402" s="100"/>
      <c r="G402" s="101"/>
      <c r="H402" s="100"/>
      <c r="I402" s="100"/>
      <c r="J402" s="46"/>
      <c r="K402" s="101"/>
      <c r="L402" s="101"/>
      <c r="M402" s="87"/>
      <c r="N402" s="87"/>
      <c r="O402" s="87"/>
      <c r="P402" s="87"/>
      <c r="Q402" s="87"/>
      <c r="R402" s="87"/>
      <c r="S402" s="87"/>
      <c r="T402" s="87"/>
      <c r="U402" s="87"/>
      <c r="V402" s="87"/>
      <c r="W402" s="87"/>
      <c r="X402" s="87"/>
      <c r="Y402" s="87"/>
      <c r="Z402" s="87"/>
    </row>
    <row r="403">
      <c r="A403" s="96"/>
      <c r="B403" s="96"/>
      <c r="C403" s="98"/>
      <c r="D403" s="98"/>
      <c r="E403" s="100"/>
      <c r="F403" s="100"/>
      <c r="G403" s="101"/>
      <c r="H403" s="100"/>
      <c r="I403" s="100"/>
      <c r="J403" s="46"/>
      <c r="K403" s="101"/>
      <c r="L403" s="101"/>
      <c r="M403" s="87"/>
      <c r="N403" s="87"/>
      <c r="O403" s="87"/>
      <c r="P403" s="87"/>
      <c r="Q403" s="87"/>
      <c r="R403" s="87"/>
      <c r="S403" s="87"/>
      <c r="T403" s="87"/>
      <c r="U403" s="87"/>
      <c r="V403" s="87"/>
      <c r="W403" s="87"/>
      <c r="X403" s="87"/>
      <c r="Y403" s="87"/>
      <c r="Z403" s="87"/>
    </row>
    <row r="404">
      <c r="A404" s="96"/>
      <c r="B404" s="96"/>
      <c r="C404" s="98"/>
      <c r="D404" s="98"/>
      <c r="E404" s="100"/>
      <c r="F404" s="100"/>
      <c r="G404" s="101"/>
      <c r="H404" s="100"/>
      <c r="I404" s="100"/>
      <c r="J404" s="46"/>
      <c r="K404" s="101"/>
      <c r="L404" s="101"/>
      <c r="M404" s="87"/>
      <c r="N404" s="87"/>
      <c r="O404" s="87"/>
      <c r="P404" s="87"/>
      <c r="Q404" s="87"/>
      <c r="R404" s="87"/>
      <c r="S404" s="87"/>
      <c r="T404" s="87"/>
      <c r="U404" s="87"/>
      <c r="V404" s="87"/>
      <c r="W404" s="87"/>
      <c r="X404" s="87"/>
      <c r="Y404" s="87"/>
      <c r="Z404" s="87"/>
    </row>
    <row r="405">
      <c r="A405" s="96"/>
      <c r="B405" s="96"/>
      <c r="C405" s="98"/>
      <c r="D405" s="98"/>
      <c r="E405" s="100"/>
      <c r="F405" s="100"/>
      <c r="G405" s="101"/>
      <c r="H405" s="100"/>
      <c r="I405" s="100"/>
      <c r="J405" s="46"/>
      <c r="K405" s="101"/>
      <c r="L405" s="101"/>
      <c r="M405" s="87"/>
      <c r="N405" s="87"/>
      <c r="O405" s="87"/>
      <c r="P405" s="87"/>
      <c r="Q405" s="87"/>
      <c r="R405" s="87"/>
      <c r="S405" s="87"/>
      <c r="T405" s="87"/>
      <c r="U405" s="87"/>
      <c r="V405" s="87"/>
      <c r="W405" s="87"/>
      <c r="X405" s="87"/>
      <c r="Y405" s="87"/>
      <c r="Z405" s="87"/>
    </row>
    <row r="406">
      <c r="A406" s="96"/>
      <c r="B406" s="96"/>
      <c r="C406" s="98"/>
      <c r="D406" s="98"/>
      <c r="E406" s="100"/>
      <c r="F406" s="100"/>
      <c r="G406" s="101"/>
      <c r="H406" s="100"/>
      <c r="I406" s="100"/>
      <c r="J406" s="46"/>
      <c r="K406" s="101"/>
      <c r="L406" s="101"/>
      <c r="M406" s="87"/>
      <c r="N406" s="87"/>
      <c r="O406" s="87"/>
      <c r="P406" s="87"/>
      <c r="Q406" s="87"/>
      <c r="R406" s="87"/>
      <c r="S406" s="87"/>
      <c r="T406" s="87"/>
      <c r="U406" s="87"/>
      <c r="V406" s="87"/>
      <c r="W406" s="87"/>
      <c r="X406" s="87"/>
      <c r="Y406" s="87"/>
      <c r="Z406" s="87"/>
    </row>
    <row r="407">
      <c r="A407" s="96"/>
      <c r="B407" s="96"/>
      <c r="C407" s="98"/>
      <c r="D407" s="98"/>
      <c r="E407" s="100"/>
      <c r="F407" s="100"/>
      <c r="G407" s="101"/>
      <c r="H407" s="100"/>
      <c r="I407" s="100"/>
      <c r="J407" s="46"/>
      <c r="K407" s="101"/>
      <c r="L407" s="101"/>
      <c r="M407" s="87"/>
      <c r="N407" s="87"/>
      <c r="O407" s="87"/>
      <c r="P407" s="87"/>
      <c r="Q407" s="87"/>
      <c r="R407" s="87"/>
      <c r="S407" s="87"/>
      <c r="T407" s="87"/>
      <c r="U407" s="87"/>
      <c r="V407" s="87"/>
      <c r="W407" s="87"/>
      <c r="X407" s="87"/>
      <c r="Y407" s="87"/>
      <c r="Z407" s="87"/>
    </row>
    <row r="408">
      <c r="A408" s="96"/>
      <c r="B408" s="96"/>
      <c r="C408" s="98"/>
      <c r="D408" s="98"/>
      <c r="E408" s="100"/>
      <c r="F408" s="100"/>
      <c r="G408" s="101"/>
      <c r="H408" s="100"/>
      <c r="I408" s="100"/>
      <c r="J408" s="46"/>
      <c r="K408" s="101"/>
      <c r="L408" s="101"/>
      <c r="M408" s="87"/>
      <c r="N408" s="87"/>
      <c r="O408" s="87"/>
      <c r="P408" s="87"/>
      <c r="Q408" s="87"/>
      <c r="R408" s="87"/>
      <c r="S408" s="87"/>
      <c r="T408" s="87"/>
      <c r="U408" s="87"/>
      <c r="V408" s="87"/>
      <c r="W408" s="87"/>
      <c r="X408" s="87"/>
      <c r="Y408" s="87"/>
      <c r="Z408" s="87"/>
    </row>
    <row r="409">
      <c r="A409" s="96"/>
      <c r="B409" s="96"/>
      <c r="C409" s="98"/>
      <c r="D409" s="98"/>
      <c r="E409" s="100"/>
      <c r="F409" s="100"/>
      <c r="G409" s="101"/>
      <c r="H409" s="100"/>
      <c r="I409" s="100"/>
      <c r="J409" s="46"/>
      <c r="K409" s="101"/>
      <c r="L409" s="101"/>
      <c r="M409" s="87"/>
      <c r="N409" s="87"/>
      <c r="O409" s="87"/>
      <c r="P409" s="87"/>
      <c r="Q409" s="87"/>
      <c r="R409" s="87"/>
      <c r="S409" s="87"/>
      <c r="T409" s="87"/>
      <c r="U409" s="87"/>
      <c r="V409" s="87"/>
      <c r="W409" s="87"/>
      <c r="X409" s="87"/>
      <c r="Y409" s="87"/>
      <c r="Z409" s="87"/>
    </row>
    <row r="410">
      <c r="A410" s="96"/>
      <c r="B410" s="96"/>
      <c r="C410" s="98"/>
      <c r="D410" s="98"/>
      <c r="E410" s="100"/>
      <c r="F410" s="100"/>
      <c r="G410" s="101"/>
      <c r="H410" s="100"/>
      <c r="I410" s="100"/>
      <c r="J410" s="46"/>
      <c r="K410" s="101"/>
      <c r="L410" s="101"/>
      <c r="M410" s="87"/>
      <c r="N410" s="87"/>
      <c r="O410" s="87"/>
      <c r="P410" s="87"/>
      <c r="Q410" s="87"/>
      <c r="R410" s="87"/>
      <c r="S410" s="87"/>
      <c r="T410" s="87"/>
      <c r="U410" s="87"/>
      <c r="V410" s="87"/>
      <c r="W410" s="87"/>
      <c r="X410" s="87"/>
      <c r="Y410" s="87"/>
      <c r="Z410" s="87"/>
    </row>
    <row r="411">
      <c r="A411" s="96"/>
      <c r="B411" s="96"/>
      <c r="C411" s="98"/>
      <c r="D411" s="98"/>
      <c r="E411" s="100"/>
      <c r="F411" s="100"/>
      <c r="G411" s="101"/>
      <c r="H411" s="100"/>
      <c r="I411" s="100"/>
      <c r="J411" s="46"/>
      <c r="K411" s="101"/>
      <c r="L411" s="101"/>
      <c r="M411" s="87"/>
      <c r="N411" s="87"/>
      <c r="O411" s="87"/>
      <c r="P411" s="87"/>
      <c r="Q411" s="87"/>
      <c r="R411" s="87"/>
      <c r="S411" s="87"/>
      <c r="T411" s="87"/>
      <c r="U411" s="87"/>
      <c r="V411" s="87"/>
      <c r="W411" s="87"/>
      <c r="X411" s="87"/>
      <c r="Y411" s="87"/>
      <c r="Z411" s="87"/>
    </row>
    <row r="412">
      <c r="A412" s="96"/>
      <c r="B412" s="96"/>
      <c r="C412" s="98"/>
      <c r="D412" s="98"/>
      <c r="E412" s="100"/>
      <c r="F412" s="100"/>
      <c r="G412" s="101"/>
      <c r="H412" s="100"/>
      <c r="I412" s="100"/>
      <c r="J412" s="46"/>
      <c r="K412" s="101"/>
      <c r="L412" s="101"/>
      <c r="M412" s="87"/>
      <c r="N412" s="87"/>
      <c r="O412" s="87"/>
      <c r="P412" s="87"/>
      <c r="Q412" s="87"/>
      <c r="R412" s="87"/>
      <c r="S412" s="87"/>
      <c r="T412" s="87"/>
      <c r="U412" s="87"/>
      <c r="V412" s="87"/>
      <c r="W412" s="87"/>
      <c r="X412" s="87"/>
      <c r="Y412" s="87"/>
      <c r="Z412" s="87"/>
    </row>
    <row r="413">
      <c r="A413" s="96"/>
      <c r="B413" s="96"/>
      <c r="C413" s="98"/>
      <c r="D413" s="98"/>
      <c r="E413" s="100"/>
      <c r="F413" s="100"/>
      <c r="G413" s="101"/>
      <c r="H413" s="100"/>
      <c r="I413" s="100"/>
      <c r="J413" s="46"/>
      <c r="K413" s="101"/>
      <c r="L413" s="101"/>
      <c r="M413" s="87"/>
      <c r="N413" s="87"/>
      <c r="O413" s="87"/>
      <c r="P413" s="87"/>
      <c r="Q413" s="87"/>
      <c r="R413" s="87"/>
      <c r="S413" s="87"/>
      <c r="T413" s="87"/>
      <c r="U413" s="87"/>
      <c r="V413" s="87"/>
      <c r="W413" s="87"/>
      <c r="X413" s="87"/>
      <c r="Y413" s="87"/>
      <c r="Z413" s="87"/>
    </row>
    <row r="414">
      <c r="A414" s="96"/>
      <c r="B414" s="96"/>
      <c r="C414" s="98"/>
      <c r="D414" s="98"/>
      <c r="E414" s="100"/>
      <c r="F414" s="100"/>
      <c r="G414" s="101"/>
      <c r="H414" s="100"/>
      <c r="I414" s="100"/>
      <c r="J414" s="46"/>
      <c r="K414" s="101"/>
      <c r="L414" s="101"/>
      <c r="M414" s="87"/>
      <c r="N414" s="87"/>
      <c r="O414" s="87"/>
      <c r="P414" s="87"/>
      <c r="Q414" s="87"/>
      <c r="R414" s="87"/>
      <c r="S414" s="87"/>
      <c r="T414" s="87"/>
      <c r="U414" s="87"/>
      <c r="V414" s="87"/>
      <c r="W414" s="87"/>
      <c r="X414" s="87"/>
      <c r="Y414" s="87"/>
      <c r="Z414" s="87"/>
    </row>
    <row r="415">
      <c r="A415" s="96"/>
      <c r="B415" s="96"/>
      <c r="C415" s="98"/>
      <c r="D415" s="98"/>
      <c r="E415" s="100"/>
      <c r="F415" s="100"/>
      <c r="G415" s="101"/>
      <c r="H415" s="100"/>
      <c r="I415" s="100"/>
      <c r="J415" s="46"/>
      <c r="K415" s="101"/>
      <c r="L415" s="101"/>
      <c r="M415" s="87"/>
      <c r="N415" s="87"/>
      <c r="O415" s="87"/>
      <c r="P415" s="87"/>
      <c r="Q415" s="87"/>
      <c r="R415" s="87"/>
      <c r="S415" s="87"/>
      <c r="T415" s="87"/>
      <c r="U415" s="87"/>
      <c r="V415" s="87"/>
      <c r="W415" s="87"/>
      <c r="X415" s="87"/>
      <c r="Y415" s="87"/>
      <c r="Z415" s="87"/>
    </row>
    <row r="416">
      <c r="A416" s="96"/>
      <c r="B416" s="96"/>
      <c r="C416" s="98"/>
      <c r="D416" s="98"/>
      <c r="E416" s="100"/>
      <c r="F416" s="100"/>
      <c r="G416" s="101"/>
      <c r="H416" s="100"/>
      <c r="I416" s="100"/>
      <c r="J416" s="46"/>
      <c r="K416" s="101"/>
      <c r="L416" s="101"/>
      <c r="M416" s="87"/>
      <c r="N416" s="87"/>
      <c r="O416" s="87"/>
      <c r="P416" s="87"/>
      <c r="Q416" s="87"/>
      <c r="R416" s="87"/>
      <c r="S416" s="87"/>
      <c r="T416" s="87"/>
      <c r="U416" s="87"/>
      <c r="V416" s="87"/>
      <c r="W416" s="87"/>
      <c r="X416" s="87"/>
      <c r="Y416" s="87"/>
      <c r="Z416" s="87"/>
    </row>
    <row r="417">
      <c r="A417" s="96"/>
      <c r="B417" s="96"/>
      <c r="C417" s="98"/>
      <c r="D417" s="98"/>
      <c r="E417" s="100"/>
      <c r="F417" s="100"/>
      <c r="G417" s="101"/>
      <c r="H417" s="100"/>
      <c r="I417" s="100"/>
      <c r="J417" s="46"/>
      <c r="K417" s="101"/>
      <c r="L417" s="101"/>
      <c r="M417" s="87"/>
      <c r="N417" s="87"/>
      <c r="O417" s="87"/>
      <c r="P417" s="87"/>
      <c r="Q417" s="87"/>
      <c r="R417" s="87"/>
      <c r="S417" s="87"/>
      <c r="T417" s="87"/>
      <c r="U417" s="87"/>
      <c r="V417" s="87"/>
      <c r="W417" s="87"/>
      <c r="X417" s="87"/>
      <c r="Y417" s="87"/>
      <c r="Z417" s="87"/>
    </row>
    <row r="418">
      <c r="A418" s="96"/>
      <c r="B418" s="96"/>
      <c r="C418" s="98"/>
      <c r="D418" s="98"/>
      <c r="E418" s="100"/>
      <c r="F418" s="100"/>
      <c r="G418" s="101"/>
      <c r="H418" s="100"/>
      <c r="I418" s="100"/>
      <c r="J418" s="46"/>
      <c r="K418" s="101"/>
      <c r="L418" s="101"/>
      <c r="M418" s="87"/>
      <c r="N418" s="87"/>
      <c r="O418" s="87"/>
      <c r="P418" s="87"/>
      <c r="Q418" s="87"/>
      <c r="R418" s="87"/>
      <c r="S418" s="87"/>
      <c r="T418" s="87"/>
      <c r="U418" s="87"/>
      <c r="V418" s="87"/>
      <c r="W418" s="87"/>
      <c r="X418" s="87"/>
      <c r="Y418" s="87"/>
      <c r="Z418" s="87"/>
    </row>
    <row r="419">
      <c r="A419" s="96"/>
      <c r="B419" s="96"/>
      <c r="C419" s="98"/>
      <c r="D419" s="98"/>
      <c r="E419" s="100"/>
      <c r="F419" s="100"/>
      <c r="G419" s="101"/>
      <c r="H419" s="100"/>
      <c r="I419" s="100"/>
      <c r="J419" s="46"/>
      <c r="K419" s="101"/>
      <c r="L419" s="101"/>
      <c r="M419" s="87"/>
      <c r="N419" s="87"/>
      <c r="O419" s="87"/>
      <c r="P419" s="87"/>
      <c r="Q419" s="87"/>
      <c r="R419" s="87"/>
      <c r="S419" s="87"/>
      <c r="T419" s="87"/>
      <c r="U419" s="87"/>
      <c r="V419" s="87"/>
      <c r="W419" s="87"/>
      <c r="X419" s="87"/>
      <c r="Y419" s="87"/>
      <c r="Z419" s="87"/>
    </row>
    <row r="420">
      <c r="A420" s="96"/>
      <c r="B420" s="96"/>
      <c r="C420" s="98"/>
      <c r="D420" s="98"/>
      <c r="E420" s="100"/>
      <c r="F420" s="100"/>
      <c r="G420" s="101"/>
      <c r="H420" s="100"/>
      <c r="I420" s="100"/>
      <c r="J420" s="46"/>
      <c r="K420" s="101"/>
      <c r="L420" s="101"/>
      <c r="M420" s="87"/>
      <c r="N420" s="87"/>
      <c r="O420" s="87"/>
      <c r="P420" s="87"/>
      <c r="Q420" s="87"/>
      <c r="R420" s="87"/>
      <c r="S420" s="87"/>
      <c r="T420" s="87"/>
      <c r="U420" s="87"/>
      <c r="V420" s="87"/>
      <c r="W420" s="87"/>
      <c r="X420" s="87"/>
      <c r="Y420" s="87"/>
      <c r="Z420" s="87"/>
    </row>
    <row r="421">
      <c r="A421" s="96"/>
      <c r="B421" s="96"/>
      <c r="C421" s="98"/>
      <c r="D421" s="98"/>
      <c r="E421" s="100"/>
      <c r="F421" s="100"/>
      <c r="G421" s="101"/>
      <c r="H421" s="100"/>
      <c r="I421" s="100"/>
      <c r="J421" s="46"/>
      <c r="K421" s="101"/>
      <c r="L421" s="101"/>
      <c r="M421" s="87"/>
      <c r="N421" s="87"/>
      <c r="O421" s="87"/>
      <c r="P421" s="87"/>
      <c r="Q421" s="87"/>
      <c r="R421" s="87"/>
      <c r="S421" s="87"/>
      <c r="T421" s="87"/>
      <c r="U421" s="87"/>
      <c r="V421" s="87"/>
      <c r="W421" s="87"/>
      <c r="X421" s="87"/>
      <c r="Y421" s="87"/>
      <c r="Z421" s="87"/>
    </row>
    <row r="422">
      <c r="A422" s="96"/>
      <c r="B422" s="96"/>
      <c r="C422" s="98"/>
      <c r="D422" s="98"/>
      <c r="E422" s="100"/>
      <c r="F422" s="100"/>
      <c r="G422" s="101"/>
      <c r="H422" s="100"/>
      <c r="I422" s="100"/>
      <c r="J422" s="46"/>
      <c r="K422" s="101"/>
      <c r="L422" s="101"/>
      <c r="M422" s="87"/>
      <c r="N422" s="87"/>
      <c r="O422" s="87"/>
      <c r="P422" s="87"/>
      <c r="Q422" s="87"/>
      <c r="R422" s="87"/>
      <c r="S422" s="87"/>
      <c r="T422" s="87"/>
      <c r="U422" s="87"/>
      <c r="V422" s="87"/>
      <c r="W422" s="87"/>
      <c r="X422" s="87"/>
      <c r="Y422" s="87"/>
      <c r="Z422" s="87"/>
    </row>
    <row r="423">
      <c r="A423" s="96"/>
      <c r="B423" s="96"/>
      <c r="C423" s="98"/>
      <c r="D423" s="98"/>
      <c r="E423" s="100"/>
      <c r="F423" s="100"/>
      <c r="G423" s="101"/>
      <c r="H423" s="100"/>
      <c r="I423" s="100"/>
      <c r="J423" s="46"/>
      <c r="K423" s="101"/>
      <c r="L423" s="101"/>
      <c r="M423" s="87"/>
      <c r="N423" s="87"/>
      <c r="O423" s="87"/>
      <c r="P423" s="87"/>
      <c r="Q423" s="87"/>
      <c r="R423" s="87"/>
      <c r="S423" s="87"/>
      <c r="T423" s="87"/>
      <c r="U423" s="87"/>
      <c r="V423" s="87"/>
      <c r="W423" s="87"/>
      <c r="X423" s="87"/>
      <c r="Y423" s="87"/>
      <c r="Z423" s="87"/>
    </row>
    <row r="424">
      <c r="A424" s="96"/>
      <c r="B424" s="96"/>
      <c r="C424" s="98"/>
      <c r="D424" s="98"/>
      <c r="E424" s="100"/>
      <c r="F424" s="100"/>
      <c r="G424" s="101"/>
      <c r="H424" s="100"/>
      <c r="I424" s="100"/>
      <c r="J424" s="46"/>
      <c r="K424" s="101"/>
      <c r="L424" s="101"/>
      <c r="M424" s="87"/>
      <c r="N424" s="87"/>
      <c r="O424" s="87"/>
      <c r="P424" s="87"/>
      <c r="Q424" s="87"/>
      <c r="R424" s="87"/>
      <c r="S424" s="87"/>
      <c r="T424" s="87"/>
      <c r="U424" s="87"/>
      <c r="V424" s="87"/>
      <c r="W424" s="87"/>
      <c r="X424" s="87"/>
      <c r="Y424" s="87"/>
      <c r="Z424" s="87"/>
    </row>
    <row r="425">
      <c r="A425" s="96"/>
      <c r="B425" s="96"/>
      <c r="C425" s="98"/>
      <c r="D425" s="98"/>
      <c r="E425" s="100"/>
      <c r="F425" s="100"/>
      <c r="G425" s="101"/>
      <c r="H425" s="100"/>
      <c r="I425" s="100"/>
      <c r="J425" s="46"/>
      <c r="K425" s="101"/>
      <c r="L425" s="101"/>
      <c r="M425" s="87"/>
      <c r="N425" s="87"/>
      <c r="O425" s="87"/>
      <c r="P425" s="87"/>
      <c r="Q425" s="87"/>
      <c r="R425" s="87"/>
      <c r="S425" s="87"/>
      <c r="T425" s="87"/>
      <c r="U425" s="87"/>
      <c r="V425" s="87"/>
      <c r="W425" s="87"/>
      <c r="X425" s="87"/>
      <c r="Y425" s="87"/>
      <c r="Z425" s="87"/>
    </row>
    <row r="426">
      <c r="A426" s="96"/>
      <c r="B426" s="96"/>
      <c r="C426" s="98"/>
      <c r="D426" s="98"/>
      <c r="E426" s="100"/>
      <c r="F426" s="100"/>
      <c r="G426" s="101"/>
      <c r="H426" s="100"/>
      <c r="I426" s="100"/>
      <c r="J426" s="46"/>
      <c r="K426" s="101"/>
      <c r="L426" s="101"/>
      <c r="M426" s="87"/>
      <c r="N426" s="87"/>
      <c r="O426" s="87"/>
      <c r="P426" s="87"/>
      <c r="Q426" s="87"/>
      <c r="R426" s="87"/>
      <c r="S426" s="87"/>
      <c r="T426" s="87"/>
      <c r="U426" s="87"/>
      <c r="V426" s="87"/>
      <c r="W426" s="87"/>
      <c r="X426" s="87"/>
      <c r="Y426" s="87"/>
      <c r="Z426" s="87"/>
    </row>
    <row r="427">
      <c r="A427" s="96"/>
      <c r="B427" s="96"/>
      <c r="C427" s="98"/>
      <c r="D427" s="98"/>
      <c r="E427" s="100"/>
      <c r="F427" s="100"/>
      <c r="G427" s="101"/>
      <c r="H427" s="100"/>
      <c r="I427" s="100"/>
      <c r="J427" s="46"/>
      <c r="K427" s="101"/>
      <c r="L427" s="101"/>
      <c r="M427" s="87"/>
      <c r="N427" s="87"/>
      <c r="O427" s="87"/>
      <c r="P427" s="87"/>
      <c r="Q427" s="87"/>
      <c r="R427" s="87"/>
      <c r="S427" s="87"/>
      <c r="T427" s="87"/>
      <c r="U427" s="87"/>
      <c r="V427" s="87"/>
      <c r="W427" s="87"/>
      <c r="X427" s="87"/>
      <c r="Y427" s="87"/>
      <c r="Z427" s="87"/>
    </row>
    <row r="428">
      <c r="A428" s="96"/>
      <c r="B428" s="96"/>
      <c r="C428" s="98"/>
      <c r="D428" s="98"/>
      <c r="E428" s="100"/>
      <c r="F428" s="100"/>
      <c r="G428" s="101"/>
      <c r="H428" s="100"/>
      <c r="I428" s="100"/>
      <c r="J428" s="46"/>
      <c r="K428" s="101"/>
      <c r="L428" s="101"/>
      <c r="M428" s="87"/>
      <c r="N428" s="87"/>
      <c r="O428" s="87"/>
      <c r="P428" s="87"/>
      <c r="Q428" s="87"/>
      <c r="R428" s="87"/>
      <c r="S428" s="87"/>
      <c r="T428" s="87"/>
      <c r="U428" s="87"/>
      <c r="V428" s="87"/>
      <c r="W428" s="87"/>
      <c r="X428" s="87"/>
      <c r="Y428" s="87"/>
      <c r="Z428" s="87"/>
    </row>
    <row r="429">
      <c r="A429" s="96"/>
      <c r="B429" s="96"/>
      <c r="C429" s="98"/>
      <c r="D429" s="98"/>
      <c r="E429" s="100"/>
      <c r="F429" s="100"/>
      <c r="G429" s="101"/>
      <c r="H429" s="100"/>
      <c r="I429" s="100"/>
      <c r="J429" s="46"/>
      <c r="K429" s="101"/>
      <c r="L429" s="101"/>
      <c r="M429" s="87"/>
      <c r="N429" s="87"/>
      <c r="O429" s="87"/>
      <c r="P429" s="87"/>
      <c r="Q429" s="87"/>
      <c r="R429" s="87"/>
      <c r="S429" s="87"/>
      <c r="T429" s="87"/>
      <c r="U429" s="87"/>
      <c r="V429" s="87"/>
      <c r="W429" s="87"/>
      <c r="X429" s="87"/>
      <c r="Y429" s="87"/>
      <c r="Z429" s="87"/>
    </row>
    <row r="430">
      <c r="A430" s="96"/>
      <c r="B430" s="96"/>
      <c r="C430" s="98"/>
      <c r="D430" s="98"/>
      <c r="E430" s="100"/>
      <c r="F430" s="100"/>
      <c r="G430" s="101"/>
      <c r="H430" s="100"/>
      <c r="I430" s="100"/>
      <c r="J430" s="46"/>
      <c r="K430" s="101"/>
      <c r="L430" s="101"/>
      <c r="M430" s="87"/>
      <c r="N430" s="87"/>
      <c r="O430" s="87"/>
      <c r="P430" s="87"/>
      <c r="Q430" s="87"/>
      <c r="R430" s="87"/>
      <c r="S430" s="87"/>
      <c r="T430" s="87"/>
      <c r="U430" s="87"/>
      <c r="V430" s="87"/>
      <c r="W430" s="87"/>
      <c r="X430" s="87"/>
      <c r="Y430" s="87"/>
      <c r="Z430" s="87"/>
    </row>
    <row r="431">
      <c r="A431" s="96"/>
      <c r="B431" s="96"/>
      <c r="C431" s="98"/>
      <c r="D431" s="98"/>
      <c r="E431" s="100"/>
      <c r="F431" s="100"/>
      <c r="G431" s="101"/>
      <c r="H431" s="100"/>
      <c r="I431" s="100"/>
      <c r="J431" s="46"/>
      <c r="K431" s="101"/>
      <c r="L431" s="101"/>
      <c r="M431" s="87"/>
      <c r="N431" s="87"/>
      <c r="O431" s="87"/>
      <c r="P431" s="87"/>
      <c r="Q431" s="87"/>
      <c r="R431" s="87"/>
      <c r="S431" s="87"/>
      <c r="T431" s="87"/>
      <c r="U431" s="87"/>
      <c r="V431" s="87"/>
      <c r="W431" s="87"/>
      <c r="X431" s="87"/>
      <c r="Y431" s="87"/>
      <c r="Z431" s="87"/>
    </row>
    <row r="432">
      <c r="A432" s="96"/>
      <c r="B432" s="96"/>
      <c r="C432" s="98"/>
      <c r="D432" s="98"/>
      <c r="E432" s="100"/>
      <c r="F432" s="100"/>
      <c r="G432" s="101"/>
      <c r="H432" s="100"/>
      <c r="I432" s="100"/>
      <c r="J432" s="46"/>
      <c r="K432" s="101"/>
      <c r="L432" s="101"/>
      <c r="M432" s="87"/>
      <c r="N432" s="87"/>
      <c r="O432" s="87"/>
      <c r="P432" s="87"/>
      <c r="Q432" s="87"/>
      <c r="R432" s="87"/>
      <c r="S432" s="87"/>
      <c r="T432" s="87"/>
      <c r="U432" s="87"/>
      <c r="V432" s="87"/>
      <c r="W432" s="87"/>
      <c r="X432" s="87"/>
      <c r="Y432" s="87"/>
      <c r="Z432" s="87"/>
    </row>
    <row r="433">
      <c r="A433" s="96"/>
      <c r="B433" s="96"/>
      <c r="C433" s="98"/>
      <c r="D433" s="98"/>
      <c r="E433" s="100"/>
      <c r="F433" s="100"/>
      <c r="G433" s="101"/>
      <c r="H433" s="100"/>
      <c r="I433" s="100"/>
      <c r="J433" s="46"/>
      <c r="K433" s="101"/>
      <c r="L433" s="101"/>
      <c r="M433" s="87"/>
      <c r="N433" s="87"/>
      <c r="O433" s="87"/>
      <c r="P433" s="87"/>
      <c r="Q433" s="87"/>
      <c r="R433" s="87"/>
      <c r="S433" s="87"/>
      <c r="T433" s="87"/>
      <c r="U433" s="87"/>
      <c r="V433" s="87"/>
      <c r="W433" s="87"/>
      <c r="X433" s="87"/>
      <c r="Y433" s="87"/>
      <c r="Z433" s="87"/>
    </row>
    <row r="434">
      <c r="A434" s="96"/>
      <c r="B434" s="96"/>
      <c r="C434" s="98"/>
      <c r="D434" s="98"/>
      <c r="E434" s="100"/>
      <c r="F434" s="100"/>
      <c r="G434" s="101"/>
      <c r="H434" s="100"/>
      <c r="I434" s="100"/>
      <c r="J434" s="46"/>
      <c r="K434" s="101"/>
      <c r="L434" s="101"/>
      <c r="M434" s="87"/>
      <c r="N434" s="87"/>
      <c r="O434" s="87"/>
      <c r="P434" s="87"/>
      <c r="Q434" s="87"/>
      <c r="R434" s="87"/>
      <c r="S434" s="87"/>
      <c r="T434" s="87"/>
      <c r="U434" s="87"/>
      <c r="V434" s="87"/>
      <c r="W434" s="87"/>
      <c r="X434" s="87"/>
      <c r="Y434" s="87"/>
      <c r="Z434" s="87"/>
    </row>
    <row r="435">
      <c r="A435" s="96"/>
      <c r="B435" s="96"/>
      <c r="C435" s="98"/>
      <c r="D435" s="98"/>
      <c r="E435" s="100"/>
      <c r="F435" s="100"/>
      <c r="G435" s="101"/>
      <c r="H435" s="100"/>
      <c r="I435" s="100"/>
      <c r="J435" s="46"/>
      <c r="K435" s="101"/>
      <c r="L435" s="101"/>
      <c r="M435" s="87"/>
      <c r="N435" s="87"/>
      <c r="O435" s="87"/>
      <c r="P435" s="87"/>
      <c r="Q435" s="87"/>
      <c r="R435" s="87"/>
      <c r="S435" s="87"/>
      <c r="T435" s="87"/>
      <c r="U435" s="87"/>
      <c r="V435" s="87"/>
      <c r="W435" s="87"/>
      <c r="X435" s="87"/>
      <c r="Y435" s="87"/>
      <c r="Z435" s="87"/>
    </row>
    <row r="436">
      <c r="A436" s="96"/>
      <c r="B436" s="96"/>
      <c r="C436" s="98"/>
      <c r="D436" s="98"/>
      <c r="E436" s="100"/>
      <c r="F436" s="100"/>
      <c r="G436" s="101"/>
      <c r="H436" s="100"/>
      <c r="I436" s="100"/>
      <c r="J436" s="46"/>
      <c r="K436" s="101"/>
      <c r="L436" s="101"/>
      <c r="M436" s="87"/>
      <c r="N436" s="87"/>
      <c r="O436" s="87"/>
      <c r="P436" s="87"/>
      <c r="Q436" s="87"/>
      <c r="R436" s="87"/>
      <c r="S436" s="87"/>
      <c r="T436" s="87"/>
      <c r="U436" s="87"/>
      <c r="V436" s="87"/>
      <c r="W436" s="87"/>
      <c r="X436" s="87"/>
      <c r="Y436" s="87"/>
      <c r="Z436" s="87"/>
    </row>
    <row r="437">
      <c r="A437" s="96"/>
      <c r="B437" s="96"/>
      <c r="C437" s="98"/>
      <c r="D437" s="98"/>
      <c r="E437" s="100"/>
      <c r="F437" s="100"/>
      <c r="G437" s="101"/>
      <c r="H437" s="100"/>
      <c r="I437" s="100"/>
      <c r="J437" s="46"/>
      <c r="K437" s="101"/>
      <c r="L437" s="101"/>
      <c r="M437" s="87"/>
      <c r="N437" s="87"/>
      <c r="O437" s="87"/>
      <c r="P437" s="87"/>
      <c r="Q437" s="87"/>
      <c r="R437" s="87"/>
      <c r="S437" s="87"/>
      <c r="T437" s="87"/>
      <c r="U437" s="87"/>
      <c r="V437" s="87"/>
      <c r="W437" s="87"/>
      <c r="X437" s="87"/>
      <c r="Y437" s="87"/>
      <c r="Z437" s="87"/>
    </row>
    <row r="438">
      <c r="A438" s="96"/>
      <c r="B438" s="96"/>
      <c r="C438" s="98"/>
      <c r="D438" s="98"/>
      <c r="E438" s="100"/>
      <c r="F438" s="100"/>
      <c r="G438" s="101"/>
      <c r="H438" s="100"/>
      <c r="I438" s="100"/>
      <c r="J438" s="46"/>
      <c r="K438" s="101"/>
      <c r="L438" s="101"/>
      <c r="M438" s="87"/>
      <c r="N438" s="87"/>
      <c r="O438" s="87"/>
      <c r="P438" s="87"/>
      <c r="Q438" s="87"/>
      <c r="R438" s="87"/>
      <c r="S438" s="87"/>
      <c r="T438" s="87"/>
      <c r="U438" s="87"/>
      <c r="V438" s="87"/>
      <c r="W438" s="87"/>
      <c r="X438" s="87"/>
      <c r="Y438" s="87"/>
      <c r="Z438" s="87"/>
    </row>
    <row r="439">
      <c r="A439" s="96"/>
      <c r="B439" s="96"/>
      <c r="C439" s="98"/>
      <c r="D439" s="98"/>
      <c r="E439" s="100"/>
      <c r="F439" s="100"/>
      <c r="G439" s="101"/>
      <c r="H439" s="100"/>
      <c r="I439" s="100"/>
      <c r="J439" s="46"/>
      <c r="K439" s="101"/>
      <c r="L439" s="101"/>
      <c r="M439" s="87"/>
      <c r="N439" s="87"/>
      <c r="O439" s="87"/>
      <c r="P439" s="87"/>
      <c r="Q439" s="87"/>
      <c r="R439" s="87"/>
      <c r="S439" s="87"/>
      <c r="T439" s="87"/>
      <c r="U439" s="87"/>
      <c r="V439" s="87"/>
      <c r="W439" s="87"/>
      <c r="X439" s="87"/>
      <c r="Y439" s="87"/>
      <c r="Z439" s="87"/>
    </row>
    <row r="440">
      <c r="A440" s="96"/>
      <c r="B440" s="96"/>
      <c r="C440" s="98"/>
      <c r="D440" s="98"/>
      <c r="E440" s="100"/>
      <c r="F440" s="100"/>
      <c r="G440" s="101"/>
      <c r="H440" s="100"/>
      <c r="I440" s="100"/>
      <c r="J440" s="46"/>
      <c r="K440" s="101"/>
      <c r="L440" s="101"/>
      <c r="M440" s="87"/>
      <c r="N440" s="87"/>
      <c r="O440" s="87"/>
      <c r="P440" s="87"/>
      <c r="Q440" s="87"/>
      <c r="R440" s="87"/>
      <c r="S440" s="87"/>
      <c r="T440" s="87"/>
      <c r="U440" s="87"/>
      <c r="V440" s="87"/>
      <c r="W440" s="87"/>
      <c r="X440" s="87"/>
      <c r="Y440" s="87"/>
      <c r="Z440" s="87"/>
    </row>
    <row r="441">
      <c r="A441" s="96"/>
      <c r="B441" s="96"/>
      <c r="C441" s="98"/>
      <c r="D441" s="98"/>
      <c r="E441" s="100"/>
      <c r="F441" s="100"/>
      <c r="G441" s="101"/>
      <c r="H441" s="100"/>
      <c r="I441" s="100"/>
      <c r="J441" s="46"/>
      <c r="K441" s="101"/>
      <c r="L441" s="101"/>
      <c r="M441" s="87"/>
      <c r="N441" s="87"/>
      <c r="O441" s="87"/>
      <c r="P441" s="87"/>
      <c r="Q441" s="87"/>
      <c r="R441" s="87"/>
      <c r="S441" s="87"/>
      <c r="T441" s="87"/>
      <c r="U441" s="87"/>
      <c r="V441" s="87"/>
      <c r="W441" s="87"/>
      <c r="X441" s="87"/>
      <c r="Y441" s="87"/>
      <c r="Z441" s="87"/>
    </row>
    <row r="442">
      <c r="A442" s="96"/>
      <c r="B442" s="96"/>
      <c r="C442" s="98"/>
      <c r="D442" s="98"/>
      <c r="E442" s="100"/>
      <c r="F442" s="100"/>
      <c r="G442" s="101"/>
      <c r="H442" s="100"/>
      <c r="I442" s="100"/>
      <c r="J442" s="46"/>
      <c r="K442" s="101"/>
      <c r="L442" s="101"/>
      <c r="M442" s="87"/>
      <c r="N442" s="87"/>
      <c r="O442" s="87"/>
      <c r="P442" s="87"/>
      <c r="Q442" s="87"/>
      <c r="R442" s="87"/>
      <c r="S442" s="87"/>
      <c r="T442" s="87"/>
      <c r="U442" s="87"/>
      <c r="V442" s="87"/>
      <c r="W442" s="87"/>
      <c r="X442" s="87"/>
      <c r="Y442" s="87"/>
      <c r="Z442" s="87"/>
    </row>
    <row r="443">
      <c r="A443" s="96"/>
      <c r="B443" s="96"/>
      <c r="C443" s="98"/>
      <c r="D443" s="98"/>
      <c r="E443" s="100"/>
      <c r="F443" s="100"/>
      <c r="G443" s="101"/>
      <c r="H443" s="100"/>
      <c r="I443" s="100"/>
      <c r="J443" s="46"/>
      <c r="K443" s="101"/>
      <c r="L443" s="101"/>
      <c r="M443" s="87"/>
      <c r="N443" s="87"/>
      <c r="O443" s="87"/>
      <c r="P443" s="87"/>
      <c r="Q443" s="87"/>
      <c r="R443" s="87"/>
      <c r="S443" s="87"/>
      <c r="T443" s="87"/>
      <c r="U443" s="87"/>
      <c r="V443" s="87"/>
      <c r="W443" s="87"/>
      <c r="X443" s="87"/>
      <c r="Y443" s="87"/>
      <c r="Z443" s="87"/>
    </row>
    <row r="444">
      <c r="A444" s="96"/>
      <c r="B444" s="96"/>
      <c r="C444" s="98"/>
      <c r="D444" s="98"/>
      <c r="E444" s="100"/>
      <c r="F444" s="100"/>
      <c r="G444" s="101"/>
      <c r="H444" s="100"/>
      <c r="I444" s="100"/>
      <c r="J444" s="46"/>
      <c r="K444" s="101"/>
      <c r="L444" s="101"/>
      <c r="M444" s="87"/>
      <c r="N444" s="87"/>
      <c r="O444" s="87"/>
      <c r="P444" s="87"/>
      <c r="Q444" s="87"/>
      <c r="R444" s="87"/>
      <c r="S444" s="87"/>
      <c r="T444" s="87"/>
      <c r="U444" s="87"/>
      <c r="V444" s="87"/>
      <c r="W444" s="87"/>
      <c r="X444" s="87"/>
      <c r="Y444" s="87"/>
      <c r="Z444" s="87"/>
    </row>
    <row r="445">
      <c r="A445" s="96"/>
      <c r="B445" s="96"/>
      <c r="C445" s="98"/>
      <c r="D445" s="98"/>
      <c r="E445" s="100"/>
      <c r="F445" s="100"/>
      <c r="G445" s="101"/>
      <c r="H445" s="100"/>
      <c r="I445" s="100"/>
      <c r="J445" s="46"/>
      <c r="K445" s="101"/>
      <c r="L445" s="101"/>
      <c r="M445" s="87"/>
      <c r="N445" s="87"/>
      <c r="O445" s="87"/>
      <c r="P445" s="87"/>
      <c r="Q445" s="87"/>
      <c r="R445" s="87"/>
      <c r="S445" s="87"/>
      <c r="T445" s="87"/>
      <c r="U445" s="87"/>
      <c r="V445" s="87"/>
      <c r="W445" s="87"/>
      <c r="X445" s="87"/>
      <c r="Y445" s="87"/>
      <c r="Z445" s="87"/>
    </row>
    <row r="446">
      <c r="A446" s="96"/>
      <c r="B446" s="96"/>
      <c r="C446" s="98"/>
      <c r="D446" s="98"/>
      <c r="E446" s="100"/>
      <c r="F446" s="100"/>
      <c r="G446" s="101"/>
      <c r="H446" s="100"/>
      <c r="I446" s="100"/>
      <c r="J446" s="46"/>
      <c r="K446" s="101"/>
      <c r="L446" s="101"/>
      <c r="M446" s="87"/>
      <c r="N446" s="87"/>
      <c r="O446" s="87"/>
      <c r="P446" s="87"/>
      <c r="Q446" s="87"/>
      <c r="R446" s="87"/>
      <c r="S446" s="87"/>
      <c r="T446" s="87"/>
      <c r="U446" s="87"/>
      <c r="V446" s="87"/>
      <c r="W446" s="87"/>
      <c r="X446" s="87"/>
      <c r="Y446" s="87"/>
      <c r="Z446" s="87"/>
    </row>
    <row r="447">
      <c r="A447" s="96"/>
      <c r="B447" s="96"/>
      <c r="C447" s="98"/>
      <c r="D447" s="98"/>
      <c r="E447" s="100"/>
      <c r="F447" s="100"/>
      <c r="G447" s="101"/>
      <c r="H447" s="100"/>
      <c r="I447" s="100"/>
      <c r="J447" s="46"/>
      <c r="K447" s="101"/>
      <c r="L447" s="101"/>
      <c r="M447" s="87"/>
      <c r="N447" s="87"/>
      <c r="O447" s="87"/>
      <c r="P447" s="87"/>
      <c r="Q447" s="87"/>
      <c r="R447" s="87"/>
      <c r="S447" s="87"/>
      <c r="T447" s="87"/>
      <c r="U447" s="87"/>
      <c r="V447" s="87"/>
      <c r="W447" s="87"/>
      <c r="X447" s="87"/>
      <c r="Y447" s="87"/>
      <c r="Z447" s="87"/>
    </row>
    <row r="448">
      <c r="A448" s="96"/>
      <c r="B448" s="96"/>
      <c r="C448" s="98"/>
      <c r="D448" s="98"/>
      <c r="E448" s="100"/>
      <c r="F448" s="100"/>
      <c r="G448" s="101"/>
      <c r="H448" s="100"/>
      <c r="I448" s="100"/>
      <c r="J448" s="46"/>
      <c r="K448" s="101"/>
      <c r="L448" s="101"/>
      <c r="M448" s="87"/>
      <c r="N448" s="87"/>
      <c r="O448" s="87"/>
      <c r="P448" s="87"/>
      <c r="Q448" s="87"/>
      <c r="R448" s="87"/>
      <c r="S448" s="87"/>
      <c r="T448" s="87"/>
      <c r="U448" s="87"/>
      <c r="V448" s="87"/>
      <c r="W448" s="87"/>
      <c r="X448" s="87"/>
      <c r="Y448" s="87"/>
      <c r="Z448" s="87"/>
    </row>
    <row r="449">
      <c r="A449" s="96"/>
      <c r="B449" s="96"/>
      <c r="C449" s="98"/>
      <c r="D449" s="98"/>
      <c r="E449" s="100"/>
      <c r="F449" s="100"/>
      <c r="G449" s="101"/>
      <c r="H449" s="100"/>
      <c r="I449" s="100"/>
      <c r="J449" s="46"/>
      <c r="K449" s="101"/>
      <c r="L449" s="101"/>
      <c r="M449" s="87"/>
      <c r="N449" s="87"/>
      <c r="O449" s="87"/>
      <c r="P449" s="87"/>
      <c r="Q449" s="87"/>
      <c r="R449" s="87"/>
      <c r="S449" s="87"/>
      <c r="T449" s="87"/>
      <c r="U449" s="87"/>
      <c r="V449" s="87"/>
      <c r="W449" s="87"/>
      <c r="X449" s="87"/>
      <c r="Y449" s="87"/>
      <c r="Z449" s="87"/>
    </row>
    <row r="450">
      <c r="A450" s="96"/>
      <c r="B450" s="96"/>
      <c r="C450" s="98"/>
      <c r="D450" s="98"/>
      <c r="E450" s="100"/>
      <c r="F450" s="100"/>
      <c r="G450" s="101"/>
      <c r="H450" s="100"/>
      <c r="I450" s="100"/>
      <c r="J450" s="46"/>
      <c r="K450" s="101"/>
      <c r="L450" s="101"/>
      <c r="M450" s="87"/>
      <c r="N450" s="87"/>
      <c r="O450" s="87"/>
      <c r="P450" s="87"/>
      <c r="Q450" s="87"/>
      <c r="R450" s="87"/>
      <c r="S450" s="87"/>
      <c r="T450" s="87"/>
      <c r="U450" s="87"/>
      <c r="V450" s="87"/>
      <c r="W450" s="87"/>
      <c r="X450" s="87"/>
      <c r="Y450" s="87"/>
      <c r="Z450" s="87"/>
    </row>
    <row r="451">
      <c r="A451" s="96"/>
      <c r="B451" s="96"/>
      <c r="C451" s="98"/>
      <c r="D451" s="98"/>
      <c r="E451" s="100"/>
      <c r="F451" s="100"/>
      <c r="G451" s="101"/>
      <c r="H451" s="100"/>
      <c r="I451" s="100"/>
      <c r="J451" s="46"/>
      <c r="K451" s="101"/>
      <c r="L451" s="101"/>
      <c r="M451" s="87"/>
      <c r="N451" s="87"/>
      <c r="O451" s="87"/>
      <c r="P451" s="87"/>
      <c r="Q451" s="87"/>
      <c r="R451" s="87"/>
      <c r="S451" s="87"/>
      <c r="T451" s="87"/>
      <c r="U451" s="87"/>
      <c r="V451" s="87"/>
      <c r="W451" s="87"/>
      <c r="X451" s="87"/>
      <c r="Y451" s="87"/>
      <c r="Z451" s="87"/>
    </row>
    <row r="452">
      <c r="A452" s="96"/>
      <c r="B452" s="96"/>
      <c r="C452" s="98"/>
      <c r="D452" s="98"/>
      <c r="E452" s="100"/>
      <c r="F452" s="100"/>
      <c r="G452" s="101"/>
      <c r="H452" s="100"/>
      <c r="I452" s="100"/>
      <c r="J452" s="46"/>
      <c r="K452" s="101"/>
      <c r="L452" s="101"/>
      <c r="M452" s="87"/>
      <c r="N452" s="87"/>
      <c r="O452" s="87"/>
      <c r="P452" s="87"/>
      <c r="Q452" s="87"/>
      <c r="R452" s="87"/>
      <c r="S452" s="87"/>
      <c r="T452" s="87"/>
      <c r="U452" s="87"/>
      <c r="V452" s="87"/>
      <c r="W452" s="87"/>
      <c r="X452" s="87"/>
      <c r="Y452" s="87"/>
      <c r="Z452" s="87"/>
    </row>
    <row r="453">
      <c r="A453" s="96"/>
      <c r="B453" s="96"/>
      <c r="C453" s="98"/>
      <c r="D453" s="98"/>
      <c r="E453" s="100"/>
      <c r="F453" s="100"/>
      <c r="G453" s="101"/>
      <c r="H453" s="100"/>
      <c r="I453" s="100"/>
      <c r="J453" s="46"/>
      <c r="K453" s="101"/>
      <c r="L453" s="101"/>
      <c r="M453" s="87"/>
      <c r="N453" s="87"/>
      <c r="O453" s="87"/>
      <c r="P453" s="87"/>
      <c r="Q453" s="87"/>
      <c r="R453" s="87"/>
      <c r="S453" s="87"/>
      <c r="T453" s="87"/>
      <c r="U453" s="87"/>
      <c r="V453" s="87"/>
      <c r="W453" s="87"/>
      <c r="X453" s="87"/>
      <c r="Y453" s="87"/>
      <c r="Z453" s="87"/>
    </row>
    <row r="454">
      <c r="A454" s="96"/>
      <c r="B454" s="96"/>
      <c r="C454" s="98"/>
      <c r="D454" s="98"/>
      <c r="E454" s="100"/>
      <c r="F454" s="100"/>
      <c r="G454" s="101"/>
      <c r="H454" s="100"/>
      <c r="I454" s="100"/>
      <c r="J454" s="46"/>
      <c r="K454" s="101"/>
      <c r="L454" s="101"/>
      <c r="M454" s="87"/>
      <c r="N454" s="87"/>
      <c r="O454" s="87"/>
      <c r="P454" s="87"/>
      <c r="Q454" s="87"/>
      <c r="R454" s="87"/>
      <c r="S454" s="87"/>
      <c r="T454" s="87"/>
      <c r="U454" s="87"/>
      <c r="V454" s="87"/>
      <c r="W454" s="87"/>
      <c r="X454" s="87"/>
      <c r="Y454" s="87"/>
      <c r="Z454" s="87"/>
    </row>
    <row r="455">
      <c r="A455" s="96"/>
      <c r="B455" s="96"/>
      <c r="C455" s="98"/>
      <c r="D455" s="98"/>
      <c r="E455" s="100"/>
      <c r="F455" s="100"/>
      <c r="G455" s="101"/>
      <c r="H455" s="100"/>
      <c r="I455" s="100"/>
      <c r="J455" s="46"/>
      <c r="K455" s="101"/>
      <c r="L455" s="101"/>
      <c r="M455" s="87"/>
      <c r="N455" s="87"/>
      <c r="O455" s="87"/>
      <c r="P455" s="87"/>
      <c r="Q455" s="87"/>
      <c r="R455" s="87"/>
      <c r="S455" s="87"/>
      <c r="T455" s="87"/>
      <c r="U455" s="87"/>
      <c r="V455" s="87"/>
      <c r="W455" s="87"/>
      <c r="X455" s="87"/>
      <c r="Y455" s="87"/>
      <c r="Z455" s="87"/>
    </row>
    <row r="456">
      <c r="A456" s="96"/>
      <c r="B456" s="96"/>
      <c r="C456" s="98"/>
      <c r="D456" s="98"/>
      <c r="E456" s="100"/>
      <c r="F456" s="100"/>
      <c r="G456" s="101"/>
      <c r="H456" s="100"/>
      <c r="I456" s="100"/>
      <c r="J456" s="46"/>
      <c r="K456" s="101"/>
      <c r="L456" s="101"/>
      <c r="M456" s="87"/>
      <c r="N456" s="87"/>
      <c r="O456" s="87"/>
      <c r="P456" s="87"/>
      <c r="Q456" s="87"/>
      <c r="R456" s="87"/>
      <c r="S456" s="87"/>
      <c r="T456" s="87"/>
      <c r="U456" s="87"/>
      <c r="V456" s="87"/>
      <c r="W456" s="87"/>
      <c r="X456" s="87"/>
      <c r="Y456" s="87"/>
      <c r="Z456" s="87"/>
    </row>
    <row r="457">
      <c r="A457" s="96"/>
      <c r="B457" s="96"/>
      <c r="C457" s="98"/>
      <c r="D457" s="98"/>
      <c r="E457" s="100"/>
      <c r="F457" s="100"/>
      <c r="G457" s="101"/>
      <c r="H457" s="100"/>
      <c r="I457" s="100"/>
      <c r="J457" s="46"/>
      <c r="K457" s="101"/>
      <c r="L457" s="101"/>
      <c r="M457" s="87"/>
      <c r="N457" s="87"/>
      <c r="O457" s="87"/>
      <c r="P457" s="87"/>
      <c r="Q457" s="87"/>
      <c r="R457" s="87"/>
      <c r="S457" s="87"/>
      <c r="T457" s="87"/>
      <c r="U457" s="87"/>
      <c r="V457" s="87"/>
      <c r="W457" s="87"/>
      <c r="X457" s="87"/>
      <c r="Y457" s="87"/>
      <c r="Z457" s="87"/>
    </row>
    <row r="458">
      <c r="A458" s="96"/>
      <c r="B458" s="96"/>
      <c r="C458" s="98"/>
      <c r="D458" s="98"/>
      <c r="E458" s="100"/>
      <c r="F458" s="100"/>
      <c r="G458" s="101"/>
      <c r="H458" s="100"/>
      <c r="I458" s="100"/>
      <c r="J458" s="46"/>
      <c r="K458" s="101"/>
      <c r="L458" s="101"/>
      <c r="M458" s="87"/>
      <c r="N458" s="87"/>
      <c r="O458" s="87"/>
      <c r="P458" s="87"/>
      <c r="Q458" s="87"/>
      <c r="R458" s="87"/>
      <c r="S458" s="87"/>
      <c r="T458" s="87"/>
      <c r="U458" s="87"/>
      <c r="V458" s="87"/>
      <c r="W458" s="87"/>
      <c r="X458" s="87"/>
      <c r="Y458" s="87"/>
      <c r="Z458" s="87"/>
    </row>
    <row r="459">
      <c r="A459" s="96"/>
      <c r="B459" s="96"/>
      <c r="C459" s="98"/>
      <c r="D459" s="98"/>
      <c r="E459" s="100"/>
      <c r="F459" s="100"/>
      <c r="G459" s="101"/>
      <c r="H459" s="100"/>
      <c r="I459" s="100"/>
      <c r="J459" s="46"/>
      <c r="K459" s="101"/>
      <c r="L459" s="101"/>
      <c r="M459" s="87"/>
      <c r="N459" s="87"/>
      <c r="O459" s="87"/>
      <c r="P459" s="87"/>
      <c r="Q459" s="87"/>
      <c r="R459" s="87"/>
      <c r="S459" s="87"/>
      <c r="T459" s="87"/>
      <c r="U459" s="87"/>
      <c r="V459" s="87"/>
      <c r="W459" s="87"/>
      <c r="X459" s="87"/>
      <c r="Y459" s="87"/>
      <c r="Z459" s="87"/>
    </row>
    <row r="460">
      <c r="A460" s="96"/>
      <c r="B460" s="96"/>
      <c r="C460" s="98"/>
      <c r="D460" s="98"/>
      <c r="E460" s="100"/>
      <c r="F460" s="100"/>
      <c r="G460" s="101"/>
      <c r="H460" s="100"/>
      <c r="I460" s="100"/>
      <c r="J460" s="46"/>
      <c r="K460" s="101"/>
      <c r="L460" s="101"/>
      <c r="M460" s="87"/>
      <c r="N460" s="87"/>
      <c r="O460" s="87"/>
      <c r="P460" s="87"/>
      <c r="Q460" s="87"/>
      <c r="R460" s="87"/>
      <c r="S460" s="87"/>
      <c r="T460" s="87"/>
      <c r="U460" s="87"/>
      <c r="V460" s="87"/>
      <c r="W460" s="87"/>
      <c r="X460" s="87"/>
      <c r="Y460" s="87"/>
      <c r="Z460" s="87"/>
    </row>
    <row r="461">
      <c r="A461" s="96"/>
      <c r="B461" s="96"/>
      <c r="C461" s="98"/>
      <c r="D461" s="98"/>
      <c r="E461" s="100"/>
      <c r="F461" s="100"/>
      <c r="G461" s="101"/>
      <c r="H461" s="100"/>
      <c r="I461" s="100"/>
      <c r="J461" s="46"/>
      <c r="K461" s="101"/>
      <c r="L461" s="101"/>
      <c r="M461" s="87"/>
      <c r="N461" s="87"/>
      <c r="O461" s="87"/>
      <c r="P461" s="87"/>
      <c r="Q461" s="87"/>
      <c r="R461" s="87"/>
      <c r="S461" s="87"/>
      <c r="T461" s="87"/>
      <c r="U461" s="87"/>
      <c r="V461" s="87"/>
      <c r="W461" s="87"/>
      <c r="X461" s="87"/>
      <c r="Y461" s="87"/>
      <c r="Z461" s="87"/>
    </row>
    <row r="462">
      <c r="A462" s="96"/>
      <c r="B462" s="96"/>
      <c r="C462" s="98"/>
      <c r="D462" s="98"/>
      <c r="E462" s="100"/>
      <c r="F462" s="100"/>
      <c r="G462" s="101"/>
      <c r="H462" s="100"/>
      <c r="I462" s="100"/>
      <c r="J462" s="46"/>
      <c r="K462" s="101"/>
      <c r="L462" s="101"/>
      <c r="M462" s="87"/>
      <c r="N462" s="87"/>
      <c r="O462" s="87"/>
      <c r="P462" s="87"/>
      <c r="Q462" s="87"/>
      <c r="R462" s="87"/>
      <c r="S462" s="87"/>
      <c r="T462" s="87"/>
      <c r="U462" s="87"/>
      <c r="V462" s="87"/>
      <c r="W462" s="87"/>
      <c r="X462" s="87"/>
      <c r="Y462" s="87"/>
      <c r="Z462" s="87"/>
    </row>
    <row r="463">
      <c r="A463" s="96"/>
      <c r="B463" s="96"/>
      <c r="C463" s="98"/>
      <c r="D463" s="98"/>
      <c r="E463" s="100"/>
      <c r="F463" s="100"/>
      <c r="G463" s="101"/>
      <c r="H463" s="100"/>
      <c r="I463" s="100"/>
      <c r="J463" s="46"/>
      <c r="K463" s="101"/>
      <c r="L463" s="101"/>
      <c r="M463" s="87"/>
      <c r="N463" s="87"/>
      <c r="O463" s="87"/>
      <c r="P463" s="87"/>
      <c r="Q463" s="87"/>
      <c r="R463" s="87"/>
      <c r="S463" s="87"/>
      <c r="T463" s="87"/>
      <c r="U463" s="87"/>
      <c r="V463" s="87"/>
      <c r="W463" s="87"/>
      <c r="X463" s="87"/>
      <c r="Y463" s="87"/>
      <c r="Z463" s="87"/>
    </row>
    <row r="464">
      <c r="A464" s="96"/>
      <c r="B464" s="96"/>
      <c r="C464" s="98"/>
      <c r="D464" s="98"/>
      <c r="E464" s="100"/>
      <c r="F464" s="100"/>
      <c r="G464" s="101"/>
      <c r="H464" s="100"/>
      <c r="I464" s="100"/>
      <c r="J464" s="46"/>
      <c r="K464" s="101"/>
      <c r="L464" s="101"/>
      <c r="M464" s="87"/>
      <c r="N464" s="87"/>
      <c r="O464" s="87"/>
      <c r="P464" s="87"/>
      <c r="Q464" s="87"/>
      <c r="R464" s="87"/>
      <c r="S464" s="87"/>
      <c r="T464" s="87"/>
      <c r="U464" s="87"/>
      <c r="V464" s="87"/>
      <c r="W464" s="87"/>
      <c r="X464" s="87"/>
      <c r="Y464" s="87"/>
      <c r="Z464" s="87"/>
    </row>
    <row r="465">
      <c r="A465" s="96"/>
      <c r="B465" s="96"/>
      <c r="C465" s="98"/>
      <c r="D465" s="98"/>
      <c r="E465" s="100"/>
      <c r="F465" s="100"/>
      <c r="G465" s="101"/>
      <c r="H465" s="100"/>
      <c r="I465" s="100"/>
      <c r="J465" s="46"/>
      <c r="K465" s="101"/>
      <c r="L465" s="101"/>
      <c r="M465" s="87"/>
      <c r="N465" s="87"/>
      <c r="O465" s="87"/>
      <c r="P465" s="87"/>
      <c r="Q465" s="87"/>
      <c r="R465" s="87"/>
      <c r="S465" s="87"/>
      <c r="T465" s="87"/>
      <c r="U465" s="87"/>
      <c r="V465" s="87"/>
      <c r="W465" s="87"/>
      <c r="X465" s="87"/>
      <c r="Y465" s="87"/>
      <c r="Z465" s="87"/>
    </row>
    <row r="466">
      <c r="A466" s="96"/>
      <c r="B466" s="96"/>
      <c r="C466" s="98"/>
      <c r="D466" s="98"/>
      <c r="E466" s="100"/>
      <c r="F466" s="100"/>
      <c r="G466" s="101"/>
      <c r="H466" s="100"/>
      <c r="I466" s="100"/>
      <c r="J466" s="46"/>
      <c r="K466" s="101"/>
      <c r="L466" s="101"/>
      <c r="M466" s="87"/>
      <c r="N466" s="87"/>
      <c r="O466" s="87"/>
      <c r="P466" s="87"/>
      <c r="Q466" s="87"/>
      <c r="R466" s="87"/>
      <c r="S466" s="87"/>
      <c r="T466" s="87"/>
      <c r="U466" s="87"/>
      <c r="V466" s="87"/>
      <c r="W466" s="87"/>
      <c r="X466" s="87"/>
      <c r="Y466" s="87"/>
      <c r="Z466" s="87"/>
    </row>
    <row r="467">
      <c r="A467" s="96"/>
      <c r="B467" s="96"/>
      <c r="C467" s="98"/>
      <c r="D467" s="98"/>
      <c r="E467" s="100"/>
      <c r="F467" s="100"/>
      <c r="G467" s="101"/>
      <c r="H467" s="100"/>
      <c r="I467" s="100"/>
      <c r="J467" s="46"/>
      <c r="K467" s="101"/>
      <c r="L467" s="101"/>
      <c r="M467" s="87"/>
      <c r="N467" s="87"/>
      <c r="O467" s="87"/>
      <c r="P467" s="87"/>
      <c r="Q467" s="87"/>
      <c r="R467" s="87"/>
      <c r="S467" s="87"/>
      <c r="T467" s="87"/>
      <c r="U467" s="87"/>
      <c r="V467" s="87"/>
      <c r="W467" s="87"/>
      <c r="X467" s="87"/>
      <c r="Y467" s="87"/>
      <c r="Z467" s="87"/>
    </row>
    <row r="468">
      <c r="A468" s="96"/>
      <c r="B468" s="96"/>
      <c r="C468" s="98"/>
      <c r="D468" s="98"/>
      <c r="E468" s="100"/>
      <c r="F468" s="100"/>
      <c r="G468" s="101"/>
      <c r="H468" s="100"/>
      <c r="I468" s="100"/>
      <c r="J468" s="46"/>
      <c r="K468" s="101"/>
      <c r="L468" s="101"/>
      <c r="M468" s="87"/>
      <c r="N468" s="87"/>
      <c r="O468" s="87"/>
      <c r="P468" s="87"/>
      <c r="Q468" s="87"/>
      <c r="R468" s="87"/>
      <c r="S468" s="87"/>
      <c r="T468" s="87"/>
      <c r="U468" s="87"/>
      <c r="V468" s="87"/>
      <c r="W468" s="87"/>
      <c r="X468" s="87"/>
      <c r="Y468" s="87"/>
      <c r="Z468" s="87"/>
    </row>
    <row r="469">
      <c r="A469" s="96"/>
      <c r="B469" s="96"/>
      <c r="C469" s="98"/>
      <c r="D469" s="98"/>
      <c r="E469" s="100"/>
      <c r="F469" s="100"/>
      <c r="G469" s="101"/>
      <c r="H469" s="100"/>
      <c r="I469" s="100"/>
      <c r="J469" s="46"/>
      <c r="K469" s="101"/>
      <c r="L469" s="101"/>
      <c r="M469" s="87"/>
      <c r="N469" s="87"/>
      <c r="O469" s="87"/>
      <c r="P469" s="87"/>
      <c r="Q469" s="87"/>
      <c r="R469" s="87"/>
      <c r="S469" s="87"/>
      <c r="T469" s="87"/>
      <c r="U469" s="87"/>
      <c r="V469" s="87"/>
      <c r="W469" s="87"/>
      <c r="X469" s="87"/>
      <c r="Y469" s="87"/>
      <c r="Z469" s="87"/>
    </row>
    <row r="470">
      <c r="A470" s="96"/>
      <c r="B470" s="96"/>
      <c r="C470" s="98"/>
      <c r="D470" s="98"/>
      <c r="E470" s="100"/>
      <c r="F470" s="100"/>
      <c r="G470" s="101"/>
      <c r="H470" s="100"/>
      <c r="I470" s="100"/>
      <c r="J470" s="46"/>
      <c r="K470" s="101"/>
      <c r="L470" s="101"/>
      <c r="M470" s="87"/>
      <c r="N470" s="87"/>
      <c r="O470" s="87"/>
      <c r="P470" s="87"/>
      <c r="Q470" s="87"/>
      <c r="R470" s="87"/>
      <c r="S470" s="87"/>
      <c r="T470" s="87"/>
      <c r="U470" s="87"/>
      <c r="V470" s="87"/>
      <c r="W470" s="87"/>
      <c r="X470" s="87"/>
      <c r="Y470" s="87"/>
      <c r="Z470" s="87"/>
    </row>
    <row r="471">
      <c r="A471" s="96"/>
      <c r="B471" s="96"/>
      <c r="C471" s="98"/>
      <c r="D471" s="98"/>
      <c r="E471" s="100"/>
      <c r="F471" s="100"/>
      <c r="G471" s="101"/>
      <c r="H471" s="100"/>
      <c r="I471" s="100"/>
      <c r="J471" s="46"/>
      <c r="K471" s="101"/>
      <c r="L471" s="101"/>
      <c r="M471" s="87"/>
      <c r="N471" s="87"/>
      <c r="O471" s="87"/>
      <c r="P471" s="87"/>
      <c r="Q471" s="87"/>
      <c r="R471" s="87"/>
      <c r="S471" s="87"/>
      <c r="T471" s="87"/>
      <c r="U471" s="87"/>
      <c r="V471" s="87"/>
      <c r="W471" s="87"/>
      <c r="X471" s="87"/>
      <c r="Y471" s="87"/>
      <c r="Z471" s="87"/>
    </row>
    <row r="472">
      <c r="A472" s="96"/>
      <c r="B472" s="96"/>
      <c r="C472" s="98"/>
      <c r="D472" s="98"/>
      <c r="E472" s="100"/>
      <c r="F472" s="100"/>
      <c r="G472" s="101"/>
      <c r="H472" s="100"/>
      <c r="I472" s="100"/>
      <c r="J472" s="46"/>
      <c r="K472" s="101"/>
      <c r="L472" s="101"/>
      <c r="M472" s="87"/>
      <c r="N472" s="87"/>
      <c r="O472" s="87"/>
      <c r="P472" s="87"/>
      <c r="Q472" s="87"/>
      <c r="R472" s="87"/>
      <c r="S472" s="87"/>
      <c r="T472" s="87"/>
      <c r="U472" s="87"/>
      <c r="V472" s="87"/>
      <c r="W472" s="87"/>
      <c r="X472" s="87"/>
      <c r="Y472" s="87"/>
      <c r="Z472" s="87"/>
    </row>
    <row r="473">
      <c r="A473" s="96"/>
      <c r="B473" s="96"/>
      <c r="C473" s="98"/>
      <c r="D473" s="98"/>
      <c r="E473" s="100"/>
      <c r="F473" s="100"/>
      <c r="G473" s="101"/>
      <c r="H473" s="100"/>
      <c r="I473" s="100"/>
      <c r="J473" s="46"/>
      <c r="K473" s="101"/>
      <c r="L473" s="101"/>
      <c r="M473" s="87"/>
      <c r="N473" s="87"/>
      <c r="O473" s="87"/>
      <c r="P473" s="87"/>
      <c r="Q473" s="87"/>
      <c r="R473" s="87"/>
      <c r="S473" s="87"/>
      <c r="T473" s="87"/>
      <c r="U473" s="87"/>
      <c r="V473" s="87"/>
      <c r="W473" s="87"/>
      <c r="X473" s="87"/>
      <c r="Y473" s="87"/>
      <c r="Z473" s="87"/>
    </row>
    <row r="474">
      <c r="A474" s="96"/>
      <c r="B474" s="96"/>
      <c r="C474" s="98"/>
      <c r="D474" s="98"/>
      <c r="E474" s="100"/>
      <c r="F474" s="100"/>
      <c r="G474" s="101"/>
      <c r="H474" s="100"/>
      <c r="I474" s="100"/>
      <c r="J474" s="46"/>
      <c r="K474" s="101"/>
      <c r="L474" s="101"/>
      <c r="M474" s="87"/>
      <c r="N474" s="87"/>
      <c r="O474" s="87"/>
      <c r="P474" s="87"/>
      <c r="Q474" s="87"/>
      <c r="R474" s="87"/>
      <c r="S474" s="87"/>
      <c r="T474" s="87"/>
      <c r="U474" s="87"/>
      <c r="V474" s="87"/>
      <c r="W474" s="87"/>
      <c r="X474" s="87"/>
      <c r="Y474" s="87"/>
      <c r="Z474" s="87"/>
    </row>
    <row r="475">
      <c r="A475" s="96"/>
      <c r="B475" s="96"/>
      <c r="C475" s="98"/>
      <c r="D475" s="98"/>
      <c r="E475" s="100"/>
      <c r="F475" s="100"/>
      <c r="G475" s="101"/>
      <c r="H475" s="100"/>
      <c r="I475" s="100"/>
      <c r="J475" s="46"/>
      <c r="K475" s="101"/>
      <c r="L475" s="101"/>
      <c r="M475" s="87"/>
      <c r="N475" s="87"/>
      <c r="O475" s="87"/>
      <c r="P475" s="87"/>
      <c r="Q475" s="87"/>
      <c r="R475" s="87"/>
      <c r="S475" s="87"/>
      <c r="T475" s="87"/>
      <c r="U475" s="87"/>
      <c r="V475" s="87"/>
      <c r="W475" s="87"/>
      <c r="X475" s="87"/>
      <c r="Y475" s="87"/>
      <c r="Z475" s="87"/>
    </row>
    <row r="476">
      <c r="A476" s="96"/>
      <c r="B476" s="96"/>
      <c r="C476" s="98"/>
      <c r="D476" s="98"/>
      <c r="E476" s="100"/>
      <c r="F476" s="100"/>
      <c r="G476" s="101"/>
      <c r="H476" s="100"/>
      <c r="I476" s="100"/>
      <c r="J476" s="46"/>
      <c r="K476" s="101"/>
      <c r="L476" s="101"/>
      <c r="M476" s="87"/>
      <c r="N476" s="87"/>
      <c r="O476" s="87"/>
      <c r="P476" s="87"/>
      <c r="Q476" s="87"/>
      <c r="R476" s="87"/>
      <c r="S476" s="87"/>
      <c r="T476" s="87"/>
      <c r="U476" s="87"/>
      <c r="V476" s="87"/>
      <c r="W476" s="87"/>
      <c r="X476" s="87"/>
      <c r="Y476" s="87"/>
      <c r="Z476" s="87"/>
    </row>
    <row r="477">
      <c r="A477" s="96"/>
      <c r="B477" s="96"/>
      <c r="C477" s="98"/>
      <c r="D477" s="98"/>
      <c r="E477" s="100"/>
      <c r="F477" s="100"/>
      <c r="G477" s="101"/>
      <c r="H477" s="100"/>
      <c r="I477" s="100"/>
      <c r="J477" s="46"/>
      <c r="K477" s="101"/>
      <c r="L477" s="101"/>
      <c r="M477" s="87"/>
      <c r="N477" s="87"/>
      <c r="O477" s="87"/>
      <c r="P477" s="87"/>
      <c r="Q477" s="87"/>
      <c r="R477" s="87"/>
      <c r="S477" s="87"/>
      <c r="T477" s="87"/>
      <c r="U477" s="87"/>
      <c r="V477" s="87"/>
      <c r="W477" s="87"/>
      <c r="X477" s="87"/>
      <c r="Y477" s="87"/>
      <c r="Z477" s="87"/>
    </row>
    <row r="478">
      <c r="A478" s="96"/>
      <c r="B478" s="96"/>
      <c r="C478" s="98"/>
      <c r="D478" s="98"/>
      <c r="E478" s="100"/>
      <c r="F478" s="100"/>
      <c r="G478" s="101"/>
      <c r="H478" s="100"/>
      <c r="I478" s="100"/>
      <c r="J478" s="46"/>
      <c r="K478" s="101"/>
      <c r="L478" s="101"/>
      <c r="M478" s="87"/>
      <c r="N478" s="87"/>
      <c r="O478" s="87"/>
      <c r="P478" s="87"/>
      <c r="Q478" s="87"/>
      <c r="R478" s="87"/>
      <c r="S478" s="87"/>
      <c r="T478" s="87"/>
      <c r="U478" s="87"/>
      <c r="V478" s="87"/>
      <c r="W478" s="87"/>
      <c r="X478" s="87"/>
      <c r="Y478" s="87"/>
      <c r="Z478" s="87"/>
    </row>
    <row r="479">
      <c r="A479" s="96"/>
      <c r="B479" s="96"/>
      <c r="C479" s="98"/>
      <c r="D479" s="98"/>
      <c r="E479" s="100"/>
      <c r="F479" s="100"/>
      <c r="G479" s="101"/>
      <c r="H479" s="100"/>
      <c r="I479" s="100"/>
      <c r="J479" s="46"/>
      <c r="K479" s="101"/>
      <c r="L479" s="101"/>
      <c r="M479" s="87"/>
      <c r="N479" s="87"/>
      <c r="O479" s="87"/>
      <c r="P479" s="87"/>
      <c r="Q479" s="87"/>
      <c r="R479" s="87"/>
      <c r="S479" s="87"/>
      <c r="T479" s="87"/>
      <c r="U479" s="87"/>
      <c r="V479" s="87"/>
      <c r="W479" s="87"/>
      <c r="X479" s="87"/>
      <c r="Y479" s="87"/>
      <c r="Z479" s="87"/>
    </row>
    <row r="480">
      <c r="A480" s="96"/>
      <c r="B480" s="96"/>
      <c r="C480" s="98"/>
      <c r="D480" s="98"/>
      <c r="E480" s="100"/>
      <c r="F480" s="100"/>
      <c r="G480" s="101"/>
      <c r="H480" s="100"/>
      <c r="I480" s="100"/>
      <c r="J480" s="46"/>
      <c r="K480" s="101"/>
      <c r="L480" s="101"/>
      <c r="M480" s="87"/>
      <c r="N480" s="87"/>
      <c r="O480" s="87"/>
      <c r="P480" s="87"/>
      <c r="Q480" s="87"/>
      <c r="R480" s="87"/>
      <c r="S480" s="87"/>
      <c r="T480" s="87"/>
      <c r="U480" s="87"/>
      <c r="V480" s="87"/>
      <c r="W480" s="87"/>
      <c r="X480" s="87"/>
      <c r="Y480" s="87"/>
      <c r="Z480" s="87"/>
    </row>
    <row r="481">
      <c r="A481" s="96"/>
      <c r="B481" s="96"/>
      <c r="C481" s="98"/>
      <c r="D481" s="98"/>
      <c r="E481" s="100"/>
      <c r="F481" s="100"/>
      <c r="G481" s="101"/>
      <c r="H481" s="100"/>
      <c r="I481" s="100"/>
      <c r="J481" s="46"/>
      <c r="K481" s="101"/>
      <c r="L481" s="101"/>
      <c r="M481" s="87"/>
      <c r="N481" s="87"/>
      <c r="O481" s="87"/>
      <c r="P481" s="87"/>
      <c r="Q481" s="87"/>
      <c r="R481" s="87"/>
      <c r="S481" s="87"/>
      <c r="T481" s="87"/>
      <c r="U481" s="87"/>
      <c r="V481" s="87"/>
      <c r="W481" s="87"/>
      <c r="X481" s="87"/>
      <c r="Y481" s="87"/>
      <c r="Z481" s="87"/>
    </row>
    <row r="482">
      <c r="A482" s="96"/>
      <c r="B482" s="96"/>
      <c r="C482" s="98"/>
      <c r="D482" s="98"/>
      <c r="E482" s="100"/>
      <c r="F482" s="100"/>
      <c r="G482" s="101"/>
      <c r="H482" s="100"/>
      <c r="I482" s="100"/>
      <c r="J482" s="46"/>
      <c r="K482" s="101"/>
      <c r="L482" s="101"/>
      <c r="M482" s="87"/>
      <c r="N482" s="87"/>
      <c r="O482" s="87"/>
      <c r="P482" s="87"/>
      <c r="Q482" s="87"/>
      <c r="R482" s="87"/>
      <c r="S482" s="87"/>
      <c r="T482" s="87"/>
      <c r="U482" s="87"/>
      <c r="V482" s="87"/>
      <c r="W482" s="87"/>
      <c r="X482" s="87"/>
      <c r="Y482" s="87"/>
      <c r="Z482" s="87"/>
    </row>
    <row r="483">
      <c r="A483" s="96"/>
      <c r="B483" s="96"/>
      <c r="C483" s="98"/>
      <c r="D483" s="98"/>
      <c r="E483" s="100"/>
      <c r="F483" s="100"/>
      <c r="G483" s="101"/>
      <c r="H483" s="100"/>
      <c r="I483" s="100"/>
      <c r="J483" s="46"/>
      <c r="K483" s="101"/>
      <c r="L483" s="101"/>
      <c r="M483" s="87"/>
      <c r="N483" s="87"/>
      <c r="O483" s="87"/>
      <c r="P483" s="87"/>
      <c r="Q483" s="87"/>
      <c r="R483" s="87"/>
      <c r="S483" s="87"/>
      <c r="T483" s="87"/>
      <c r="U483" s="87"/>
      <c r="V483" s="87"/>
      <c r="W483" s="87"/>
      <c r="X483" s="87"/>
      <c r="Y483" s="87"/>
      <c r="Z483" s="87"/>
    </row>
    <row r="484">
      <c r="A484" s="96"/>
      <c r="B484" s="96"/>
      <c r="C484" s="98"/>
      <c r="D484" s="98"/>
      <c r="E484" s="100"/>
      <c r="F484" s="100"/>
      <c r="G484" s="101"/>
      <c r="H484" s="100"/>
      <c r="I484" s="100"/>
      <c r="J484" s="46"/>
      <c r="K484" s="101"/>
      <c r="L484" s="101"/>
      <c r="M484" s="87"/>
      <c r="N484" s="87"/>
      <c r="O484" s="87"/>
      <c r="P484" s="87"/>
      <c r="Q484" s="87"/>
      <c r="R484" s="87"/>
      <c r="S484" s="87"/>
      <c r="T484" s="87"/>
      <c r="U484" s="87"/>
      <c r="V484" s="87"/>
      <c r="W484" s="87"/>
      <c r="X484" s="87"/>
      <c r="Y484" s="87"/>
      <c r="Z484" s="87"/>
    </row>
    <row r="485">
      <c r="A485" s="96"/>
      <c r="B485" s="96"/>
      <c r="C485" s="98"/>
      <c r="D485" s="98"/>
      <c r="E485" s="100"/>
      <c r="F485" s="100"/>
      <c r="G485" s="101"/>
      <c r="H485" s="100"/>
      <c r="I485" s="100"/>
      <c r="J485" s="46"/>
      <c r="K485" s="101"/>
      <c r="L485" s="101"/>
      <c r="M485" s="87"/>
      <c r="N485" s="87"/>
      <c r="O485" s="87"/>
      <c r="P485" s="87"/>
      <c r="Q485" s="87"/>
      <c r="R485" s="87"/>
      <c r="S485" s="87"/>
      <c r="T485" s="87"/>
      <c r="U485" s="87"/>
      <c r="V485" s="87"/>
      <c r="W485" s="87"/>
      <c r="X485" s="87"/>
      <c r="Y485" s="87"/>
      <c r="Z485" s="87"/>
    </row>
    <row r="486">
      <c r="A486" s="96"/>
      <c r="B486" s="96"/>
      <c r="C486" s="98"/>
      <c r="D486" s="98"/>
      <c r="E486" s="100"/>
      <c r="F486" s="100"/>
      <c r="G486" s="101"/>
      <c r="H486" s="100"/>
      <c r="I486" s="100"/>
      <c r="J486" s="46"/>
      <c r="K486" s="101"/>
      <c r="L486" s="101"/>
      <c r="M486" s="87"/>
      <c r="N486" s="87"/>
      <c r="O486" s="87"/>
      <c r="P486" s="87"/>
      <c r="Q486" s="87"/>
      <c r="R486" s="87"/>
      <c r="S486" s="87"/>
      <c r="T486" s="87"/>
      <c r="U486" s="87"/>
      <c r="V486" s="87"/>
      <c r="W486" s="87"/>
      <c r="X486" s="87"/>
      <c r="Y486" s="87"/>
      <c r="Z486" s="87"/>
    </row>
    <row r="487">
      <c r="A487" s="96"/>
      <c r="B487" s="96"/>
      <c r="C487" s="98"/>
      <c r="D487" s="98"/>
      <c r="E487" s="100"/>
      <c r="F487" s="100"/>
      <c r="G487" s="101"/>
      <c r="H487" s="100"/>
      <c r="I487" s="100"/>
      <c r="J487" s="46"/>
      <c r="K487" s="101"/>
      <c r="L487" s="101"/>
      <c r="M487" s="87"/>
      <c r="N487" s="87"/>
      <c r="O487" s="87"/>
      <c r="P487" s="87"/>
      <c r="Q487" s="87"/>
      <c r="R487" s="87"/>
      <c r="S487" s="87"/>
      <c r="T487" s="87"/>
      <c r="U487" s="87"/>
      <c r="V487" s="87"/>
      <c r="W487" s="87"/>
      <c r="X487" s="87"/>
      <c r="Y487" s="87"/>
      <c r="Z487" s="87"/>
    </row>
    <row r="488">
      <c r="A488" s="96"/>
      <c r="B488" s="96"/>
      <c r="C488" s="98"/>
      <c r="D488" s="98"/>
      <c r="E488" s="100"/>
      <c r="F488" s="100"/>
      <c r="G488" s="101"/>
      <c r="H488" s="100"/>
      <c r="I488" s="100"/>
      <c r="J488" s="46"/>
      <c r="K488" s="101"/>
      <c r="L488" s="101"/>
      <c r="M488" s="87"/>
      <c r="N488" s="87"/>
      <c r="O488" s="87"/>
      <c r="P488" s="87"/>
      <c r="Q488" s="87"/>
      <c r="R488" s="87"/>
      <c r="S488" s="87"/>
      <c r="T488" s="87"/>
      <c r="U488" s="87"/>
      <c r="V488" s="87"/>
      <c r="W488" s="87"/>
      <c r="X488" s="87"/>
      <c r="Y488" s="87"/>
      <c r="Z488" s="87"/>
    </row>
    <row r="489">
      <c r="A489" s="96"/>
      <c r="B489" s="96"/>
      <c r="C489" s="98"/>
      <c r="D489" s="98"/>
      <c r="E489" s="100"/>
      <c r="F489" s="100"/>
      <c r="G489" s="101"/>
      <c r="H489" s="100"/>
      <c r="I489" s="100"/>
      <c r="J489" s="46"/>
      <c r="K489" s="101"/>
      <c r="L489" s="101"/>
      <c r="M489" s="87"/>
      <c r="N489" s="87"/>
      <c r="O489" s="87"/>
      <c r="P489" s="87"/>
      <c r="Q489" s="87"/>
      <c r="R489" s="87"/>
      <c r="S489" s="87"/>
      <c r="T489" s="87"/>
      <c r="U489" s="87"/>
      <c r="V489" s="87"/>
      <c r="W489" s="87"/>
      <c r="X489" s="87"/>
      <c r="Y489" s="87"/>
      <c r="Z489" s="87"/>
    </row>
    <row r="490">
      <c r="A490" s="96"/>
      <c r="B490" s="96"/>
      <c r="C490" s="98"/>
      <c r="D490" s="98"/>
      <c r="E490" s="100"/>
      <c r="F490" s="100"/>
      <c r="G490" s="101"/>
      <c r="H490" s="100"/>
      <c r="I490" s="100"/>
      <c r="J490" s="46"/>
      <c r="K490" s="101"/>
      <c r="L490" s="101"/>
      <c r="M490" s="87"/>
      <c r="N490" s="87"/>
      <c r="O490" s="87"/>
      <c r="P490" s="87"/>
      <c r="Q490" s="87"/>
      <c r="R490" s="87"/>
      <c r="S490" s="87"/>
      <c r="T490" s="87"/>
      <c r="U490" s="87"/>
      <c r="V490" s="87"/>
      <c r="W490" s="87"/>
      <c r="X490" s="87"/>
      <c r="Y490" s="87"/>
      <c r="Z490" s="87"/>
    </row>
    <row r="491">
      <c r="A491" s="96"/>
      <c r="B491" s="96"/>
      <c r="C491" s="98"/>
      <c r="D491" s="98"/>
      <c r="E491" s="100"/>
      <c r="F491" s="100"/>
      <c r="G491" s="101"/>
      <c r="H491" s="100"/>
      <c r="I491" s="100"/>
      <c r="J491" s="46"/>
      <c r="K491" s="101"/>
      <c r="L491" s="101"/>
      <c r="M491" s="87"/>
      <c r="N491" s="87"/>
      <c r="O491" s="87"/>
      <c r="P491" s="87"/>
      <c r="Q491" s="87"/>
      <c r="R491" s="87"/>
      <c r="S491" s="87"/>
      <c r="T491" s="87"/>
      <c r="U491" s="87"/>
      <c r="V491" s="87"/>
      <c r="W491" s="87"/>
      <c r="X491" s="87"/>
      <c r="Y491" s="87"/>
      <c r="Z491" s="87"/>
    </row>
    <row r="492">
      <c r="A492" s="96"/>
      <c r="B492" s="96"/>
      <c r="C492" s="98"/>
      <c r="D492" s="98"/>
      <c r="E492" s="100"/>
      <c r="F492" s="100"/>
      <c r="G492" s="101"/>
      <c r="H492" s="100"/>
      <c r="I492" s="100"/>
      <c r="J492" s="46"/>
      <c r="K492" s="101"/>
      <c r="L492" s="101"/>
      <c r="M492" s="87"/>
      <c r="N492" s="87"/>
      <c r="O492" s="87"/>
      <c r="P492" s="87"/>
      <c r="Q492" s="87"/>
      <c r="R492" s="87"/>
      <c r="S492" s="87"/>
      <c r="T492" s="87"/>
      <c r="U492" s="87"/>
      <c r="V492" s="87"/>
      <c r="W492" s="87"/>
      <c r="X492" s="87"/>
      <c r="Y492" s="87"/>
      <c r="Z492" s="87"/>
    </row>
    <row r="493">
      <c r="A493" s="96"/>
      <c r="B493" s="96"/>
      <c r="C493" s="98"/>
      <c r="D493" s="98"/>
      <c r="E493" s="100"/>
      <c r="F493" s="100"/>
      <c r="G493" s="101"/>
      <c r="H493" s="100"/>
      <c r="I493" s="100"/>
      <c r="J493" s="46"/>
      <c r="K493" s="101"/>
      <c r="L493" s="101"/>
      <c r="M493" s="87"/>
      <c r="N493" s="87"/>
      <c r="O493" s="87"/>
      <c r="P493" s="87"/>
      <c r="Q493" s="87"/>
      <c r="R493" s="87"/>
      <c r="S493" s="87"/>
      <c r="T493" s="87"/>
      <c r="U493" s="87"/>
      <c r="V493" s="87"/>
      <c r="W493" s="87"/>
      <c r="X493" s="87"/>
      <c r="Y493" s="87"/>
      <c r="Z493" s="87"/>
    </row>
    <row r="494">
      <c r="A494" s="96"/>
      <c r="B494" s="96"/>
      <c r="C494" s="98"/>
      <c r="D494" s="98"/>
      <c r="E494" s="100"/>
      <c r="F494" s="100"/>
      <c r="G494" s="101"/>
      <c r="H494" s="100"/>
      <c r="I494" s="100"/>
      <c r="J494" s="46"/>
      <c r="K494" s="101"/>
      <c r="L494" s="101"/>
      <c r="M494" s="87"/>
      <c r="N494" s="87"/>
      <c r="O494" s="87"/>
      <c r="P494" s="87"/>
      <c r="Q494" s="87"/>
      <c r="R494" s="87"/>
      <c r="S494" s="87"/>
      <c r="T494" s="87"/>
      <c r="U494" s="87"/>
      <c r="V494" s="87"/>
      <c r="W494" s="87"/>
      <c r="X494" s="87"/>
      <c r="Y494" s="87"/>
      <c r="Z494" s="87"/>
    </row>
    <row r="495">
      <c r="A495" s="96"/>
      <c r="B495" s="96"/>
      <c r="C495" s="98"/>
      <c r="D495" s="98"/>
      <c r="E495" s="100"/>
      <c r="F495" s="100"/>
      <c r="G495" s="101"/>
      <c r="H495" s="100"/>
      <c r="I495" s="100"/>
      <c r="J495" s="46"/>
      <c r="K495" s="101"/>
      <c r="L495" s="101"/>
      <c r="M495" s="87"/>
      <c r="N495" s="87"/>
      <c r="O495" s="87"/>
      <c r="P495" s="87"/>
      <c r="Q495" s="87"/>
      <c r="R495" s="87"/>
      <c r="S495" s="87"/>
      <c r="T495" s="87"/>
      <c r="U495" s="87"/>
      <c r="V495" s="87"/>
      <c r="W495" s="87"/>
      <c r="X495" s="87"/>
      <c r="Y495" s="87"/>
      <c r="Z495" s="87"/>
    </row>
    <row r="496">
      <c r="A496" s="96"/>
      <c r="B496" s="96"/>
      <c r="C496" s="98"/>
      <c r="D496" s="98"/>
      <c r="E496" s="100"/>
      <c r="F496" s="100"/>
      <c r="G496" s="101"/>
      <c r="H496" s="100"/>
      <c r="I496" s="100"/>
      <c r="J496" s="46"/>
      <c r="K496" s="101"/>
      <c r="L496" s="101"/>
      <c r="M496" s="87"/>
      <c r="N496" s="87"/>
      <c r="O496" s="87"/>
      <c r="P496" s="87"/>
      <c r="Q496" s="87"/>
      <c r="R496" s="87"/>
      <c r="S496" s="87"/>
      <c r="T496" s="87"/>
      <c r="U496" s="87"/>
      <c r="V496" s="87"/>
      <c r="W496" s="87"/>
      <c r="X496" s="87"/>
      <c r="Y496" s="87"/>
      <c r="Z496" s="87"/>
    </row>
    <row r="497">
      <c r="A497" s="96"/>
      <c r="B497" s="96"/>
      <c r="C497" s="98"/>
      <c r="D497" s="98"/>
      <c r="E497" s="100"/>
      <c r="F497" s="100"/>
      <c r="G497" s="101"/>
      <c r="H497" s="100"/>
      <c r="I497" s="100"/>
      <c r="J497" s="46"/>
      <c r="K497" s="101"/>
      <c r="L497" s="101"/>
      <c r="M497" s="87"/>
      <c r="N497" s="87"/>
      <c r="O497" s="87"/>
      <c r="P497" s="87"/>
      <c r="Q497" s="87"/>
      <c r="R497" s="87"/>
      <c r="S497" s="87"/>
      <c r="T497" s="87"/>
      <c r="U497" s="87"/>
      <c r="V497" s="87"/>
      <c r="W497" s="87"/>
      <c r="X497" s="87"/>
      <c r="Y497" s="87"/>
      <c r="Z497" s="87"/>
    </row>
    <row r="498">
      <c r="A498" s="96"/>
      <c r="B498" s="96"/>
      <c r="C498" s="98"/>
      <c r="D498" s="98"/>
      <c r="E498" s="100"/>
      <c r="F498" s="100"/>
      <c r="G498" s="101"/>
      <c r="H498" s="100"/>
      <c r="I498" s="100"/>
      <c r="J498" s="46"/>
      <c r="K498" s="101"/>
      <c r="L498" s="101"/>
      <c r="M498" s="87"/>
      <c r="N498" s="87"/>
      <c r="O498" s="87"/>
      <c r="P498" s="87"/>
      <c r="Q498" s="87"/>
      <c r="R498" s="87"/>
      <c r="S498" s="87"/>
      <c r="T498" s="87"/>
      <c r="U498" s="87"/>
      <c r="V498" s="87"/>
      <c r="W498" s="87"/>
      <c r="X498" s="87"/>
      <c r="Y498" s="87"/>
      <c r="Z498" s="87"/>
    </row>
    <row r="499">
      <c r="A499" s="96"/>
      <c r="B499" s="96"/>
      <c r="C499" s="98"/>
      <c r="D499" s="98"/>
      <c r="E499" s="100"/>
      <c r="F499" s="100"/>
      <c r="G499" s="101"/>
      <c r="H499" s="100"/>
      <c r="I499" s="100"/>
      <c r="J499" s="46"/>
      <c r="K499" s="101"/>
      <c r="L499" s="101"/>
      <c r="M499" s="87"/>
      <c r="N499" s="87"/>
      <c r="O499" s="87"/>
      <c r="P499" s="87"/>
      <c r="Q499" s="87"/>
      <c r="R499" s="87"/>
      <c r="S499" s="87"/>
      <c r="T499" s="87"/>
      <c r="U499" s="87"/>
      <c r="V499" s="87"/>
      <c r="W499" s="87"/>
      <c r="X499" s="87"/>
      <c r="Y499" s="87"/>
      <c r="Z499" s="87"/>
    </row>
    <row r="500">
      <c r="A500" s="96"/>
      <c r="B500" s="96"/>
      <c r="C500" s="98"/>
      <c r="D500" s="98"/>
      <c r="E500" s="100"/>
      <c r="F500" s="100"/>
      <c r="G500" s="101"/>
      <c r="H500" s="100"/>
      <c r="I500" s="100"/>
      <c r="J500" s="46"/>
      <c r="K500" s="101"/>
      <c r="L500" s="101"/>
      <c r="M500" s="87"/>
      <c r="N500" s="87"/>
      <c r="O500" s="87"/>
      <c r="P500" s="87"/>
      <c r="Q500" s="87"/>
      <c r="R500" s="87"/>
      <c r="S500" s="87"/>
      <c r="T500" s="87"/>
      <c r="U500" s="87"/>
      <c r="V500" s="87"/>
      <c r="W500" s="87"/>
      <c r="X500" s="87"/>
      <c r="Y500" s="87"/>
      <c r="Z500" s="87"/>
    </row>
    <row r="501">
      <c r="A501" s="96"/>
      <c r="B501" s="96"/>
      <c r="C501" s="98"/>
      <c r="D501" s="98"/>
      <c r="E501" s="100"/>
      <c r="F501" s="100"/>
      <c r="G501" s="101"/>
      <c r="H501" s="100"/>
      <c r="I501" s="100"/>
      <c r="J501" s="46"/>
      <c r="K501" s="101"/>
      <c r="L501" s="101"/>
      <c r="M501" s="87"/>
      <c r="N501" s="87"/>
      <c r="O501" s="87"/>
      <c r="P501" s="87"/>
      <c r="Q501" s="87"/>
      <c r="R501" s="87"/>
      <c r="S501" s="87"/>
      <c r="T501" s="87"/>
      <c r="U501" s="87"/>
      <c r="V501" s="87"/>
      <c r="W501" s="87"/>
      <c r="X501" s="87"/>
      <c r="Y501" s="87"/>
      <c r="Z501" s="87"/>
    </row>
    <row r="502">
      <c r="A502" s="96"/>
      <c r="B502" s="96"/>
      <c r="C502" s="98"/>
      <c r="D502" s="98"/>
      <c r="E502" s="100"/>
      <c r="F502" s="100"/>
      <c r="G502" s="101"/>
      <c r="H502" s="100"/>
      <c r="I502" s="100"/>
      <c r="J502" s="46"/>
      <c r="K502" s="101"/>
      <c r="L502" s="101"/>
      <c r="M502" s="87"/>
      <c r="N502" s="87"/>
      <c r="O502" s="87"/>
      <c r="P502" s="87"/>
      <c r="Q502" s="87"/>
      <c r="R502" s="87"/>
      <c r="S502" s="87"/>
      <c r="T502" s="87"/>
      <c r="U502" s="87"/>
      <c r="V502" s="87"/>
      <c r="W502" s="87"/>
      <c r="X502" s="87"/>
      <c r="Y502" s="87"/>
      <c r="Z502" s="87"/>
    </row>
    <row r="503">
      <c r="A503" s="96"/>
      <c r="B503" s="96"/>
      <c r="C503" s="98"/>
      <c r="D503" s="98"/>
      <c r="E503" s="100"/>
      <c r="F503" s="100"/>
      <c r="G503" s="101"/>
      <c r="H503" s="100"/>
      <c r="I503" s="100"/>
      <c r="J503" s="46"/>
      <c r="K503" s="101"/>
      <c r="L503" s="101"/>
      <c r="M503" s="87"/>
      <c r="N503" s="87"/>
      <c r="O503" s="87"/>
      <c r="P503" s="87"/>
      <c r="Q503" s="87"/>
      <c r="R503" s="87"/>
      <c r="S503" s="87"/>
      <c r="T503" s="87"/>
      <c r="U503" s="87"/>
      <c r="V503" s="87"/>
      <c r="W503" s="87"/>
      <c r="X503" s="87"/>
      <c r="Y503" s="87"/>
      <c r="Z503" s="87"/>
    </row>
    <row r="504">
      <c r="A504" s="96"/>
      <c r="B504" s="96"/>
      <c r="C504" s="98"/>
      <c r="D504" s="98"/>
      <c r="E504" s="100"/>
      <c r="F504" s="100"/>
      <c r="G504" s="101"/>
      <c r="H504" s="100"/>
      <c r="I504" s="100"/>
      <c r="J504" s="46"/>
      <c r="K504" s="101"/>
      <c r="L504" s="101"/>
      <c r="M504" s="87"/>
      <c r="N504" s="87"/>
      <c r="O504" s="87"/>
      <c r="P504" s="87"/>
      <c r="Q504" s="87"/>
      <c r="R504" s="87"/>
      <c r="S504" s="87"/>
      <c r="T504" s="87"/>
      <c r="U504" s="87"/>
      <c r="V504" s="87"/>
      <c r="W504" s="87"/>
      <c r="X504" s="87"/>
      <c r="Y504" s="87"/>
      <c r="Z504" s="87"/>
    </row>
    <row r="505">
      <c r="A505" s="96"/>
      <c r="B505" s="96"/>
      <c r="C505" s="98"/>
      <c r="D505" s="98"/>
      <c r="E505" s="100"/>
      <c r="F505" s="100"/>
      <c r="G505" s="101"/>
      <c r="H505" s="100"/>
      <c r="I505" s="100"/>
      <c r="J505" s="46"/>
      <c r="K505" s="101"/>
      <c r="L505" s="101"/>
      <c r="M505" s="87"/>
      <c r="N505" s="87"/>
      <c r="O505" s="87"/>
      <c r="P505" s="87"/>
      <c r="Q505" s="87"/>
      <c r="R505" s="87"/>
      <c r="S505" s="87"/>
      <c r="T505" s="87"/>
      <c r="U505" s="87"/>
      <c r="V505" s="87"/>
      <c r="W505" s="87"/>
      <c r="X505" s="87"/>
      <c r="Y505" s="87"/>
      <c r="Z505" s="87"/>
    </row>
    <row r="506">
      <c r="A506" s="96"/>
      <c r="B506" s="96"/>
      <c r="C506" s="98"/>
      <c r="D506" s="98"/>
      <c r="E506" s="100"/>
      <c r="F506" s="100"/>
      <c r="G506" s="101"/>
      <c r="H506" s="100"/>
      <c r="I506" s="100"/>
      <c r="J506" s="46"/>
      <c r="K506" s="101"/>
      <c r="L506" s="101"/>
      <c r="M506" s="87"/>
      <c r="N506" s="87"/>
      <c r="O506" s="87"/>
      <c r="P506" s="87"/>
      <c r="Q506" s="87"/>
      <c r="R506" s="87"/>
      <c r="S506" s="87"/>
      <c r="T506" s="87"/>
      <c r="U506" s="87"/>
      <c r="V506" s="87"/>
      <c r="W506" s="87"/>
      <c r="X506" s="87"/>
      <c r="Y506" s="87"/>
      <c r="Z506" s="87"/>
    </row>
    <row r="507">
      <c r="A507" s="96"/>
      <c r="B507" s="96"/>
      <c r="C507" s="98"/>
      <c r="D507" s="98"/>
      <c r="E507" s="100"/>
      <c r="F507" s="100"/>
      <c r="G507" s="101"/>
      <c r="H507" s="100"/>
      <c r="I507" s="100"/>
      <c r="J507" s="46"/>
      <c r="K507" s="101"/>
      <c r="L507" s="101"/>
      <c r="M507" s="87"/>
      <c r="N507" s="87"/>
      <c r="O507" s="87"/>
      <c r="P507" s="87"/>
      <c r="Q507" s="87"/>
      <c r="R507" s="87"/>
      <c r="S507" s="87"/>
      <c r="T507" s="87"/>
      <c r="U507" s="87"/>
      <c r="V507" s="87"/>
      <c r="W507" s="87"/>
      <c r="X507" s="87"/>
      <c r="Y507" s="87"/>
      <c r="Z507" s="87"/>
    </row>
    <row r="508">
      <c r="A508" s="96"/>
      <c r="B508" s="96"/>
      <c r="C508" s="98"/>
      <c r="D508" s="98"/>
      <c r="E508" s="100"/>
      <c r="F508" s="100"/>
      <c r="G508" s="101"/>
      <c r="H508" s="100"/>
      <c r="I508" s="100"/>
      <c r="J508" s="46"/>
      <c r="K508" s="101"/>
      <c r="L508" s="101"/>
      <c r="M508" s="87"/>
      <c r="N508" s="87"/>
      <c r="O508" s="87"/>
      <c r="P508" s="87"/>
      <c r="Q508" s="87"/>
      <c r="R508" s="87"/>
      <c r="S508" s="87"/>
      <c r="T508" s="87"/>
      <c r="U508" s="87"/>
      <c r="V508" s="87"/>
      <c r="W508" s="87"/>
      <c r="X508" s="87"/>
      <c r="Y508" s="87"/>
      <c r="Z508" s="87"/>
    </row>
    <row r="509">
      <c r="A509" s="96"/>
      <c r="B509" s="96"/>
      <c r="C509" s="98"/>
      <c r="D509" s="98"/>
      <c r="E509" s="100"/>
      <c r="F509" s="100"/>
      <c r="G509" s="101"/>
      <c r="H509" s="100"/>
      <c r="I509" s="100"/>
      <c r="J509" s="46"/>
      <c r="K509" s="101"/>
      <c r="L509" s="101"/>
      <c r="M509" s="87"/>
      <c r="N509" s="87"/>
      <c r="O509" s="87"/>
      <c r="P509" s="87"/>
      <c r="Q509" s="87"/>
      <c r="R509" s="87"/>
      <c r="S509" s="87"/>
      <c r="T509" s="87"/>
      <c r="U509" s="87"/>
      <c r="V509" s="87"/>
      <c r="W509" s="87"/>
      <c r="X509" s="87"/>
      <c r="Y509" s="87"/>
      <c r="Z509" s="87"/>
    </row>
    <row r="510">
      <c r="A510" s="96"/>
      <c r="B510" s="96"/>
      <c r="C510" s="98"/>
      <c r="D510" s="98"/>
      <c r="E510" s="100"/>
      <c r="F510" s="100"/>
      <c r="G510" s="101"/>
      <c r="H510" s="100"/>
      <c r="I510" s="100"/>
      <c r="J510" s="46"/>
      <c r="K510" s="101"/>
      <c r="L510" s="101"/>
      <c r="M510" s="87"/>
      <c r="N510" s="87"/>
      <c r="O510" s="87"/>
      <c r="P510" s="87"/>
      <c r="Q510" s="87"/>
      <c r="R510" s="87"/>
      <c r="S510" s="87"/>
      <c r="T510" s="87"/>
      <c r="U510" s="87"/>
      <c r="V510" s="87"/>
      <c r="W510" s="87"/>
      <c r="X510" s="87"/>
      <c r="Y510" s="87"/>
      <c r="Z510" s="87"/>
    </row>
    <row r="511">
      <c r="A511" s="96"/>
      <c r="B511" s="96"/>
      <c r="C511" s="98"/>
      <c r="D511" s="98"/>
      <c r="E511" s="100"/>
      <c r="F511" s="100"/>
      <c r="G511" s="101"/>
      <c r="H511" s="100"/>
      <c r="I511" s="100"/>
      <c r="J511" s="46"/>
      <c r="K511" s="101"/>
      <c r="L511" s="101"/>
      <c r="M511" s="87"/>
      <c r="N511" s="87"/>
      <c r="O511" s="87"/>
      <c r="P511" s="87"/>
      <c r="Q511" s="87"/>
      <c r="R511" s="87"/>
      <c r="S511" s="87"/>
      <c r="T511" s="87"/>
      <c r="U511" s="87"/>
      <c r="V511" s="87"/>
      <c r="W511" s="87"/>
      <c r="X511" s="87"/>
      <c r="Y511" s="87"/>
      <c r="Z511" s="87"/>
    </row>
    <row r="512">
      <c r="A512" s="96"/>
      <c r="B512" s="96"/>
      <c r="C512" s="98"/>
      <c r="D512" s="98"/>
      <c r="E512" s="100"/>
      <c r="F512" s="100"/>
      <c r="G512" s="101"/>
      <c r="H512" s="100"/>
      <c r="I512" s="100"/>
      <c r="J512" s="46"/>
      <c r="K512" s="101"/>
      <c r="L512" s="101"/>
      <c r="M512" s="87"/>
      <c r="N512" s="87"/>
      <c r="O512" s="87"/>
      <c r="P512" s="87"/>
      <c r="Q512" s="87"/>
      <c r="R512" s="87"/>
      <c r="S512" s="87"/>
      <c r="T512" s="87"/>
      <c r="U512" s="87"/>
      <c r="V512" s="87"/>
      <c r="W512" s="87"/>
      <c r="X512" s="87"/>
      <c r="Y512" s="87"/>
      <c r="Z512" s="87"/>
    </row>
    <row r="513">
      <c r="A513" s="96"/>
      <c r="B513" s="96"/>
      <c r="C513" s="98"/>
      <c r="D513" s="98"/>
      <c r="E513" s="100"/>
      <c r="F513" s="100"/>
      <c r="G513" s="101"/>
      <c r="H513" s="100"/>
      <c r="I513" s="100"/>
      <c r="J513" s="46"/>
      <c r="K513" s="101"/>
      <c r="L513" s="101"/>
      <c r="M513" s="87"/>
      <c r="N513" s="87"/>
      <c r="O513" s="87"/>
      <c r="P513" s="87"/>
      <c r="Q513" s="87"/>
      <c r="R513" s="87"/>
      <c r="S513" s="87"/>
      <c r="T513" s="87"/>
      <c r="U513" s="87"/>
      <c r="V513" s="87"/>
      <c r="W513" s="87"/>
      <c r="X513" s="87"/>
      <c r="Y513" s="87"/>
      <c r="Z513" s="87"/>
    </row>
    <row r="514">
      <c r="A514" s="96"/>
      <c r="B514" s="96"/>
      <c r="C514" s="98"/>
      <c r="D514" s="98"/>
      <c r="E514" s="100"/>
      <c r="F514" s="100"/>
      <c r="G514" s="101"/>
      <c r="H514" s="100"/>
      <c r="I514" s="100"/>
      <c r="J514" s="46"/>
      <c r="K514" s="101"/>
      <c r="L514" s="101"/>
      <c r="M514" s="87"/>
      <c r="N514" s="87"/>
      <c r="O514" s="87"/>
      <c r="P514" s="87"/>
      <c r="Q514" s="87"/>
      <c r="R514" s="87"/>
      <c r="S514" s="87"/>
      <c r="T514" s="87"/>
      <c r="U514" s="87"/>
      <c r="V514" s="87"/>
      <c r="W514" s="87"/>
      <c r="X514" s="87"/>
      <c r="Y514" s="87"/>
      <c r="Z514" s="87"/>
    </row>
    <row r="515">
      <c r="A515" s="96"/>
      <c r="B515" s="96"/>
      <c r="C515" s="98"/>
      <c r="D515" s="98"/>
      <c r="E515" s="100"/>
      <c r="F515" s="100"/>
      <c r="G515" s="101"/>
      <c r="H515" s="100"/>
      <c r="I515" s="100"/>
      <c r="J515" s="46"/>
      <c r="K515" s="101"/>
      <c r="L515" s="101"/>
      <c r="M515" s="87"/>
      <c r="N515" s="87"/>
      <c r="O515" s="87"/>
      <c r="P515" s="87"/>
      <c r="Q515" s="87"/>
      <c r="R515" s="87"/>
      <c r="S515" s="87"/>
      <c r="T515" s="87"/>
      <c r="U515" s="87"/>
      <c r="V515" s="87"/>
      <c r="W515" s="87"/>
      <c r="X515" s="87"/>
      <c r="Y515" s="87"/>
      <c r="Z515" s="87"/>
    </row>
    <row r="516">
      <c r="A516" s="96"/>
      <c r="B516" s="96"/>
      <c r="C516" s="98"/>
      <c r="D516" s="98"/>
      <c r="E516" s="100"/>
      <c r="F516" s="100"/>
      <c r="G516" s="101"/>
      <c r="H516" s="100"/>
      <c r="I516" s="100"/>
      <c r="J516" s="46"/>
      <c r="K516" s="101"/>
      <c r="L516" s="101"/>
      <c r="M516" s="87"/>
      <c r="N516" s="87"/>
      <c r="O516" s="87"/>
      <c r="P516" s="87"/>
      <c r="Q516" s="87"/>
      <c r="R516" s="87"/>
      <c r="S516" s="87"/>
      <c r="T516" s="87"/>
      <c r="U516" s="87"/>
      <c r="V516" s="87"/>
      <c r="W516" s="87"/>
      <c r="X516" s="87"/>
      <c r="Y516" s="87"/>
      <c r="Z516" s="87"/>
    </row>
    <row r="517">
      <c r="A517" s="96"/>
      <c r="B517" s="96"/>
      <c r="C517" s="98"/>
      <c r="D517" s="98"/>
      <c r="E517" s="100"/>
      <c r="F517" s="100"/>
      <c r="G517" s="101"/>
      <c r="H517" s="100"/>
      <c r="I517" s="100"/>
      <c r="J517" s="46"/>
      <c r="K517" s="101"/>
      <c r="L517" s="101"/>
      <c r="M517" s="87"/>
      <c r="N517" s="87"/>
      <c r="O517" s="87"/>
      <c r="P517" s="87"/>
      <c r="Q517" s="87"/>
      <c r="R517" s="87"/>
      <c r="S517" s="87"/>
      <c r="T517" s="87"/>
      <c r="U517" s="87"/>
      <c r="V517" s="87"/>
      <c r="W517" s="87"/>
      <c r="X517" s="87"/>
      <c r="Y517" s="87"/>
      <c r="Z517" s="87"/>
    </row>
    <row r="518">
      <c r="A518" s="96"/>
      <c r="B518" s="96"/>
      <c r="C518" s="98"/>
      <c r="D518" s="98"/>
      <c r="E518" s="100"/>
      <c r="F518" s="100"/>
      <c r="G518" s="101"/>
      <c r="H518" s="100"/>
      <c r="I518" s="100"/>
      <c r="J518" s="46"/>
      <c r="K518" s="101"/>
      <c r="L518" s="101"/>
      <c r="M518" s="87"/>
      <c r="N518" s="87"/>
      <c r="O518" s="87"/>
      <c r="P518" s="87"/>
      <c r="Q518" s="87"/>
      <c r="R518" s="87"/>
      <c r="S518" s="87"/>
      <c r="T518" s="87"/>
      <c r="U518" s="87"/>
      <c r="V518" s="87"/>
      <c r="W518" s="87"/>
      <c r="X518" s="87"/>
      <c r="Y518" s="87"/>
      <c r="Z518" s="87"/>
    </row>
    <row r="519">
      <c r="A519" s="96"/>
      <c r="B519" s="96"/>
      <c r="C519" s="98"/>
      <c r="D519" s="98"/>
      <c r="E519" s="100"/>
      <c r="F519" s="100"/>
      <c r="G519" s="101"/>
      <c r="H519" s="100"/>
      <c r="I519" s="100"/>
      <c r="J519" s="46"/>
      <c r="K519" s="101"/>
      <c r="L519" s="101"/>
      <c r="M519" s="87"/>
      <c r="N519" s="87"/>
      <c r="O519" s="87"/>
      <c r="P519" s="87"/>
      <c r="Q519" s="87"/>
      <c r="R519" s="87"/>
      <c r="S519" s="87"/>
      <c r="T519" s="87"/>
      <c r="U519" s="87"/>
      <c r="V519" s="87"/>
      <c r="W519" s="87"/>
      <c r="X519" s="87"/>
      <c r="Y519" s="87"/>
      <c r="Z519" s="87"/>
    </row>
    <row r="520">
      <c r="A520" s="96"/>
      <c r="B520" s="96"/>
      <c r="C520" s="98"/>
      <c r="D520" s="98"/>
      <c r="E520" s="100"/>
      <c r="F520" s="100"/>
      <c r="G520" s="101"/>
      <c r="H520" s="100"/>
      <c r="I520" s="100"/>
      <c r="J520" s="46"/>
      <c r="K520" s="101"/>
      <c r="L520" s="101"/>
      <c r="M520" s="87"/>
      <c r="N520" s="87"/>
      <c r="O520" s="87"/>
      <c r="P520" s="87"/>
      <c r="Q520" s="87"/>
      <c r="R520" s="87"/>
      <c r="S520" s="87"/>
      <c r="T520" s="87"/>
      <c r="U520" s="87"/>
      <c r="V520" s="87"/>
      <c r="W520" s="87"/>
      <c r="X520" s="87"/>
      <c r="Y520" s="87"/>
      <c r="Z520" s="87"/>
    </row>
    <row r="521">
      <c r="A521" s="96"/>
      <c r="B521" s="96"/>
      <c r="C521" s="98"/>
      <c r="D521" s="98"/>
      <c r="E521" s="100"/>
      <c r="F521" s="100"/>
      <c r="G521" s="101"/>
      <c r="H521" s="100"/>
      <c r="I521" s="100"/>
      <c r="J521" s="46"/>
      <c r="K521" s="101"/>
      <c r="L521" s="101"/>
      <c r="M521" s="87"/>
      <c r="N521" s="87"/>
      <c r="O521" s="87"/>
      <c r="P521" s="87"/>
      <c r="Q521" s="87"/>
      <c r="R521" s="87"/>
      <c r="S521" s="87"/>
      <c r="T521" s="87"/>
      <c r="U521" s="87"/>
      <c r="V521" s="87"/>
      <c r="W521" s="87"/>
      <c r="X521" s="87"/>
      <c r="Y521" s="87"/>
      <c r="Z521" s="87"/>
    </row>
    <row r="522">
      <c r="A522" s="96"/>
      <c r="B522" s="96"/>
      <c r="C522" s="98"/>
      <c r="D522" s="98"/>
      <c r="E522" s="100"/>
      <c r="F522" s="100"/>
      <c r="G522" s="101"/>
      <c r="H522" s="100"/>
      <c r="I522" s="100"/>
      <c r="J522" s="46"/>
      <c r="K522" s="101"/>
      <c r="L522" s="101"/>
      <c r="M522" s="87"/>
      <c r="N522" s="87"/>
      <c r="O522" s="87"/>
      <c r="P522" s="87"/>
      <c r="Q522" s="87"/>
      <c r="R522" s="87"/>
      <c r="S522" s="87"/>
      <c r="T522" s="87"/>
      <c r="U522" s="87"/>
      <c r="V522" s="87"/>
      <c r="W522" s="87"/>
      <c r="X522" s="87"/>
      <c r="Y522" s="87"/>
      <c r="Z522" s="87"/>
    </row>
    <row r="523">
      <c r="A523" s="96"/>
      <c r="B523" s="96"/>
      <c r="C523" s="98"/>
      <c r="D523" s="98"/>
      <c r="E523" s="100"/>
      <c r="F523" s="100"/>
      <c r="G523" s="101"/>
      <c r="H523" s="100"/>
      <c r="I523" s="100"/>
      <c r="J523" s="46"/>
      <c r="K523" s="101"/>
      <c r="L523" s="101"/>
      <c r="M523" s="87"/>
      <c r="N523" s="87"/>
      <c r="O523" s="87"/>
      <c r="P523" s="87"/>
      <c r="Q523" s="87"/>
      <c r="R523" s="87"/>
      <c r="S523" s="87"/>
      <c r="T523" s="87"/>
      <c r="U523" s="87"/>
      <c r="V523" s="87"/>
      <c r="W523" s="87"/>
      <c r="X523" s="87"/>
      <c r="Y523" s="87"/>
      <c r="Z523" s="87"/>
    </row>
    <row r="524">
      <c r="A524" s="96"/>
      <c r="B524" s="96"/>
      <c r="C524" s="98"/>
      <c r="D524" s="98"/>
      <c r="E524" s="100"/>
      <c r="F524" s="100"/>
      <c r="G524" s="101"/>
      <c r="H524" s="100"/>
      <c r="I524" s="100"/>
      <c r="J524" s="46"/>
      <c r="K524" s="101"/>
      <c r="L524" s="101"/>
      <c r="M524" s="87"/>
      <c r="N524" s="87"/>
      <c r="O524" s="87"/>
      <c r="P524" s="87"/>
      <c r="Q524" s="87"/>
      <c r="R524" s="87"/>
      <c r="S524" s="87"/>
      <c r="T524" s="87"/>
      <c r="U524" s="87"/>
      <c r="V524" s="87"/>
      <c r="W524" s="87"/>
      <c r="X524" s="87"/>
      <c r="Y524" s="87"/>
      <c r="Z524" s="87"/>
    </row>
    <row r="525">
      <c r="A525" s="96"/>
      <c r="B525" s="96"/>
      <c r="C525" s="98"/>
      <c r="D525" s="98"/>
      <c r="E525" s="100"/>
      <c r="F525" s="100"/>
      <c r="G525" s="101"/>
      <c r="H525" s="100"/>
      <c r="I525" s="100"/>
      <c r="J525" s="46"/>
      <c r="K525" s="101"/>
      <c r="L525" s="101"/>
      <c r="M525" s="87"/>
      <c r="N525" s="87"/>
      <c r="O525" s="87"/>
      <c r="P525" s="87"/>
      <c r="Q525" s="87"/>
      <c r="R525" s="87"/>
      <c r="S525" s="87"/>
      <c r="T525" s="87"/>
      <c r="U525" s="87"/>
      <c r="V525" s="87"/>
      <c r="W525" s="87"/>
      <c r="X525" s="87"/>
      <c r="Y525" s="87"/>
      <c r="Z525" s="87"/>
    </row>
    <row r="526">
      <c r="A526" s="96"/>
      <c r="B526" s="96"/>
      <c r="C526" s="98"/>
      <c r="D526" s="98"/>
      <c r="E526" s="100"/>
      <c r="F526" s="100"/>
      <c r="G526" s="101"/>
      <c r="H526" s="100"/>
      <c r="I526" s="100"/>
      <c r="J526" s="46"/>
      <c r="K526" s="101"/>
      <c r="L526" s="101"/>
      <c r="M526" s="87"/>
      <c r="N526" s="87"/>
      <c r="O526" s="87"/>
      <c r="P526" s="87"/>
      <c r="Q526" s="87"/>
      <c r="R526" s="87"/>
      <c r="S526" s="87"/>
      <c r="T526" s="87"/>
      <c r="U526" s="87"/>
      <c r="V526" s="87"/>
      <c r="W526" s="87"/>
      <c r="X526" s="87"/>
      <c r="Y526" s="87"/>
      <c r="Z526" s="87"/>
    </row>
    <row r="527">
      <c r="A527" s="96"/>
      <c r="B527" s="96"/>
      <c r="C527" s="98"/>
      <c r="D527" s="98"/>
      <c r="E527" s="100"/>
      <c r="F527" s="100"/>
      <c r="G527" s="101"/>
      <c r="H527" s="100"/>
      <c r="I527" s="100"/>
      <c r="J527" s="46"/>
      <c r="K527" s="101"/>
      <c r="L527" s="101"/>
      <c r="M527" s="87"/>
      <c r="N527" s="87"/>
      <c r="O527" s="87"/>
      <c r="P527" s="87"/>
      <c r="Q527" s="87"/>
      <c r="R527" s="87"/>
      <c r="S527" s="87"/>
      <c r="T527" s="87"/>
      <c r="U527" s="87"/>
      <c r="V527" s="87"/>
      <c r="W527" s="87"/>
      <c r="X527" s="87"/>
      <c r="Y527" s="87"/>
      <c r="Z527" s="87"/>
    </row>
    <row r="528">
      <c r="A528" s="96"/>
      <c r="B528" s="96"/>
      <c r="C528" s="98"/>
      <c r="D528" s="98"/>
      <c r="E528" s="100"/>
      <c r="F528" s="100"/>
      <c r="G528" s="101"/>
      <c r="H528" s="100"/>
      <c r="I528" s="100"/>
      <c r="J528" s="46"/>
      <c r="K528" s="101"/>
      <c r="L528" s="101"/>
      <c r="M528" s="87"/>
      <c r="N528" s="87"/>
      <c r="O528" s="87"/>
      <c r="P528" s="87"/>
      <c r="Q528" s="87"/>
      <c r="R528" s="87"/>
      <c r="S528" s="87"/>
      <c r="T528" s="87"/>
      <c r="U528" s="87"/>
      <c r="V528" s="87"/>
      <c r="W528" s="87"/>
      <c r="X528" s="87"/>
      <c r="Y528" s="87"/>
      <c r="Z528" s="87"/>
    </row>
    <row r="529">
      <c r="A529" s="96"/>
      <c r="B529" s="96"/>
      <c r="C529" s="98"/>
      <c r="D529" s="98"/>
      <c r="E529" s="100"/>
      <c r="F529" s="100"/>
      <c r="G529" s="101"/>
      <c r="H529" s="100"/>
      <c r="I529" s="100"/>
      <c r="J529" s="46"/>
      <c r="K529" s="101"/>
      <c r="L529" s="101"/>
      <c r="M529" s="87"/>
      <c r="N529" s="87"/>
      <c r="O529" s="87"/>
      <c r="P529" s="87"/>
      <c r="Q529" s="87"/>
      <c r="R529" s="87"/>
      <c r="S529" s="87"/>
      <c r="T529" s="87"/>
      <c r="U529" s="87"/>
      <c r="V529" s="87"/>
      <c r="W529" s="87"/>
      <c r="X529" s="87"/>
      <c r="Y529" s="87"/>
      <c r="Z529" s="87"/>
    </row>
    <row r="530">
      <c r="A530" s="96"/>
      <c r="B530" s="96"/>
      <c r="C530" s="98"/>
      <c r="D530" s="98"/>
      <c r="E530" s="100"/>
      <c r="F530" s="100"/>
      <c r="G530" s="101"/>
      <c r="H530" s="100"/>
      <c r="I530" s="100"/>
      <c r="J530" s="46"/>
      <c r="K530" s="101"/>
      <c r="L530" s="101"/>
      <c r="M530" s="87"/>
      <c r="N530" s="87"/>
      <c r="O530" s="87"/>
      <c r="P530" s="87"/>
      <c r="Q530" s="87"/>
      <c r="R530" s="87"/>
      <c r="S530" s="87"/>
      <c r="T530" s="87"/>
      <c r="U530" s="87"/>
      <c r="V530" s="87"/>
      <c r="W530" s="87"/>
      <c r="X530" s="87"/>
      <c r="Y530" s="87"/>
      <c r="Z530" s="87"/>
    </row>
    <row r="531">
      <c r="A531" s="96"/>
      <c r="B531" s="96"/>
      <c r="C531" s="98"/>
      <c r="D531" s="98"/>
      <c r="E531" s="100"/>
      <c r="F531" s="100"/>
      <c r="G531" s="101"/>
      <c r="H531" s="100"/>
      <c r="I531" s="100"/>
      <c r="J531" s="46"/>
      <c r="K531" s="101"/>
      <c r="L531" s="101"/>
      <c r="M531" s="87"/>
      <c r="N531" s="87"/>
      <c r="O531" s="87"/>
      <c r="P531" s="87"/>
      <c r="Q531" s="87"/>
      <c r="R531" s="87"/>
      <c r="S531" s="87"/>
      <c r="T531" s="87"/>
      <c r="U531" s="87"/>
      <c r="V531" s="87"/>
      <c r="W531" s="87"/>
      <c r="X531" s="87"/>
      <c r="Y531" s="87"/>
      <c r="Z531" s="87"/>
    </row>
    <row r="532">
      <c r="A532" s="96"/>
      <c r="B532" s="96"/>
      <c r="C532" s="98"/>
      <c r="D532" s="98"/>
      <c r="E532" s="100"/>
      <c r="F532" s="100"/>
      <c r="G532" s="101"/>
      <c r="H532" s="100"/>
      <c r="I532" s="100"/>
      <c r="J532" s="46"/>
      <c r="K532" s="101"/>
      <c r="L532" s="101"/>
      <c r="M532" s="87"/>
      <c r="N532" s="87"/>
      <c r="O532" s="87"/>
      <c r="P532" s="87"/>
      <c r="Q532" s="87"/>
      <c r="R532" s="87"/>
      <c r="S532" s="87"/>
      <c r="T532" s="87"/>
      <c r="U532" s="87"/>
      <c r="V532" s="87"/>
      <c r="W532" s="87"/>
      <c r="X532" s="87"/>
      <c r="Y532" s="87"/>
      <c r="Z532" s="87"/>
    </row>
    <row r="533">
      <c r="A533" s="96"/>
      <c r="B533" s="96"/>
      <c r="C533" s="98"/>
      <c r="D533" s="98"/>
      <c r="E533" s="100"/>
      <c r="F533" s="100"/>
      <c r="G533" s="101"/>
      <c r="H533" s="100"/>
      <c r="I533" s="100"/>
      <c r="J533" s="46"/>
      <c r="K533" s="101"/>
      <c r="L533" s="101"/>
      <c r="M533" s="87"/>
      <c r="N533" s="87"/>
      <c r="O533" s="87"/>
      <c r="P533" s="87"/>
      <c r="Q533" s="87"/>
      <c r="R533" s="87"/>
      <c r="S533" s="87"/>
      <c r="T533" s="87"/>
      <c r="U533" s="87"/>
      <c r="V533" s="87"/>
      <c r="W533" s="87"/>
      <c r="X533" s="87"/>
      <c r="Y533" s="87"/>
      <c r="Z533" s="87"/>
    </row>
    <row r="534">
      <c r="A534" s="96"/>
      <c r="B534" s="96"/>
      <c r="C534" s="98"/>
      <c r="D534" s="98"/>
      <c r="E534" s="100"/>
      <c r="F534" s="100"/>
      <c r="G534" s="101"/>
      <c r="H534" s="100"/>
      <c r="I534" s="100"/>
      <c r="J534" s="46"/>
      <c r="K534" s="101"/>
      <c r="L534" s="101"/>
      <c r="M534" s="87"/>
      <c r="N534" s="87"/>
      <c r="O534" s="87"/>
      <c r="P534" s="87"/>
      <c r="Q534" s="87"/>
      <c r="R534" s="87"/>
      <c r="S534" s="87"/>
      <c r="T534" s="87"/>
      <c r="U534" s="87"/>
      <c r="V534" s="87"/>
      <c r="W534" s="87"/>
      <c r="X534" s="87"/>
      <c r="Y534" s="87"/>
      <c r="Z534" s="87"/>
    </row>
    <row r="535">
      <c r="A535" s="96"/>
      <c r="B535" s="96"/>
      <c r="C535" s="98"/>
      <c r="D535" s="98"/>
      <c r="E535" s="100"/>
      <c r="F535" s="100"/>
      <c r="G535" s="101"/>
      <c r="H535" s="100"/>
      <c r="I535" s="100"/>
      <c r="J535" s="46"/>
      <c r="K535" s="101"/>
      <c r="L535" s="101"/>
      <c r="M535" s="87"/>
      <c r="N535" s="87"/>
      <c r="O535" s="87"/>
      <c r="P535" s="87"/>
      <c r="Q535" s="87"/>
      <c r="R535" s="87"/>
      <c r="S535" s="87"/>
      <c r="T535" s="87"/>
      <c r="U535" s="87"/>
      <c r="V535" s="87"/>
      <c r="W535" s="87"/>
      <c r="X535" s="87"/>
      <c r="Y535" s="87"/>
      <c r="Z535" s="87"/>
    </row>
    <row r="536">
      <c r="A536" s="96"/>
      <c r="B536" s="96"/>
      <c r="C536" s="98"/>
      <c r="D536" s="98"/>
      <c r="E536" s="100"/>
      <c r="F536" s="100"/>
      <c r="G536" s="101"/>
      <c r="H536" s="100"/>
      <c r="I536" s="100"/>
      <c r="J536" s="46"/>
      <c r="K536" s="101"/>
      <c r="L536" s="101"/>
      <c r="M536" s="87"/>
      <c r="N536" s="87"/>
      <c r="O536" s="87"/>
      <c r="P536" s="87"/>
      <c r="Q536" s="87"/>
      <c r="R536" s="87"/>
      <c r="S536" s="87"/>
      <c r="T536" s="87"/>
      <c r="U536" s="87"/>
      <c r="V536" s="87"/>
      <c r="W536" s="87"/>
      <c r="X536" s="87"/>
      <c r="Y536" s="87"/>
      <c r="Z536" s="87"/>
    </row>
    <row r="537">
      <c r="A537" s="96"/>
      <c r="B537" s="96"/>
      <c r="C537" s="98"/>
      <c r="D537" s="98"/>
      <c r="E537" s="100"/>
      <c r="F537" s="100"/>
      <c r="G537" s="101"/>
      <c r="H537" s="100"/>
      <c r="I537" s="100"/>
      <c r="J537" s="46"/>
      <c r="K537" s="101"/>
      <c r="L537" s="101"/>
      <c r="M537" s="87"/>
      <c r="N537" s="87"/>
      <c r="O537" s="87"/>
      <c r="P537" s="87"/>
      <c r="Q537" s="87"/>
      <c r="R537" s="87"/>
      <c r="S537" s="87"/>
      <c r="T537" s="87"/>
      <c r="U537" s="87"/>
      <c r="V537" s="87"/>
      <c r="W537" s="87"/>
      <c r="X537" s="87"/>
      <c r="Y537" s="87"/>
      <c r="Z537" s="87"/>
    </row>
    <row r="538">
      <c r="A538" s="96"/>
      <c r="B538" s="96"/>
      <c r="C538" s="98"/>
      <c r="D538" s="98"/>
      <c r="E538" s="100"/>
      <c r="F538" s="100"/>
      <c r="G538" s="101"/>
      <c r="H538" s="100"/>
      <c r="I538" s="100"/>
      <c r="J538" s="46"/>
      <c r="K538" s="101"/>
      <c r="L538" s="101"/>
      <c r="M538" s="87"/>
      <c r="N538" s="87"/>
      <c r="O538" s="87"/>
      <c r="P538" s="87"/>
      <c r="Q538" s="87"/>
      <c r="R538" s="87"/>
      <c r="S538" s="87"/>
      <c r="T538" s="87"/>
      <c r="U538" s="87"/>
      <c r="V538" s="87"/>
      <c r="W538" s="87"/>
      <c r="X538" s="87"/>
      <c r="Y538" s="87"/>
      <c r="Z538" s="87"/>
    </row>
    <row r="539">
      <c r="A539" s="96"/>
      <c r="B539" s="96"/>
      <c r="C539" s="98"/>
      <c r="D539" s="98"/>
      <c r="E539" s="100"/>
      <c r="F539" s="100"/>
      <c r="G539" s="101"/>
      <c r="H539" s="100"/>
      <c r="I539" s="100"/>
      <c r="J539" s="46"/>
      <c r="K539" s="101"/>
      <c r="L539" s="101"/>
      <c r="M539" s="87"/>
      <c r="N539" s="87"/>
      <c r="O539" s="87"/>
      <c r="P539" s="87"/>
      <c r="Q539" s="87"/>
      <c r="R539" s="87"/>
      <c r="S539" s="87"/>
      <c r="T539" s="87"/>
      <c r="U539" s="87"/>
      <c r="V539" s="87"/>
      <c r="W539" s="87"/>
      <c r="X539" s="87"/>
      <c r="Y539" s="87"/>
      <c r="Z539" s="87"/>
    </row>
    <row r="540">
      <c r="A540" s="96"/>
      <c r="B540" s="96"/>
      <c r="C540" s="98"/>
      <c r="D540" s="98"/>
      <c r="E540" s="100"/>
      <c r="F540" s="100"/>
      <c r="G540" s="101"/>
      <c r="H540" s="100"/>
      <c r="I540" s="100"/>
      <c r="J540" s="46"/>
      <c r="K540" s="101"/>
      <c r="L540" s="101"/>
      <c r="M540" s="87"/>
      <c r="N540" s="87"/>
      <c r="O540" s="87"/>
      <c r="P540" s="87"/>
      <c r="Q540" s="87"/>
      <c r="R540" s="87"/>
      <c r="S540" s="87"/>
      <c r="T540" s="87"/>
      <c r="U540" s="87"/>
      <c r="V540" s="87"/>
      <c r="W540" s="87"/>
      <c r="X540" s="87"/>
      <c r="Y540" s="87"/>
      <c r="Z540" s="87"/>
    </row>
    <row r="541">
      <c r="A541" s="96"/>
      <c r="B541" s="96"/>
      <c r="C541" s="98"/>
      <c r="D541" s="98"/>
      <c r="E541" s="100"/>
      <c r="F541" s="100"/>
      <c r="G541" s="101"/>
      <c r="H541" s="100"/>
      <c r="I541" s="100"/>
      <c r="J541" s="46"/>
      <c r="K541" s="101"/>
      <c r="L541" s="101"/>
      <c r="M541" s="87"/>
      <c r="N541" s="87"/>
      <c r="O541" s="87"/>
      <c r="P541" s="87"/>
      <c r="Q541" s="87"/>
      <c r="R541" s="87"/>
      <c r="S541" s="87"/>
      <c r="T541" s="87"/>
      <c r="U541" s="87"/>
      <c r="V541" s="87"/>
      <c r="W541" s="87"/>
      <c r="X541" s="87"/>
      <c r="Y541" s="87"/>
      <c r="Z541" s="87"/>
    </row>
    <row r="542">
      <c r="A542" s="96"/>
      <c r="B542" s="96"/>
      <c r="C542" s="98"/>
      <c r="D542" s="98"/>
      <c r="E542" s="100"/>
      <c r="F542" s="100"/>
      <c r="G542" s="101"/>
      <c r="H542" s="100"/>
      <c r="I542" s="100"/>
      <c r="J542" s="46"/>
      <c r="K542" s="101"/>
      <c r="L542" s="101"/>
      <c r="M542" s="87"/>
      <c r="N542" s="87"/>
      <c r="O542" s="87"/>
      <c r="P542" s="87"/>
      <c r="Q542" s="87"/>
      <c r="R542" s="87"/>
      <c r="S542" s="87"/>
      <c r="T542" s="87"/>
      <c r="U542" s="87"/>
      <c r="V542" s="87"/>
      <c r="W542" s="87"/>
      <c r="X542" s="87"/>
      <c r="Y542" s="87"/>
      <c r="Z542" s="87"/>
    </row>
    <row r="543">
      <c r="A543" s="96"/>
      <c r="B543" s="96"/>
      <c r="C543" s="98"/>
      <c r="D543" s="98"/>
      <c r="E543" s="100"/>
      <c r="F543" s="100"/>
      <c r="G543" s="101"/>
      <c r="H543" s="100"/>
      <c r="I543" s="100"/>
      <c r="J543" s="46"/>
      <c r="K543" s="101"/>
      <c r="L543" s="101"/>
      <c r="M543" s="87"/>
      <c r="N543" s="87"/>
      <c r="O543" s="87"/>
      <c r="P543" s="87"/>
      <c r="Q543" s="87"/>
      <c r="R543" s="87"/>
      <c r="S543" s="87"/>
      <c r="T543" s="87"/>
      <c r="U543" s="87"/>
      <c r="V543" s="87"/>
      <c r="W543" s="87"/>
      <c r="X543" s="87"/>
      <c r="Y543" s="87"/>
      <c r="Z543" s="87"/>
    </row>
    <row r="544">
      <c r="A544" s="96"/>
      <c r="B544" s="96"/>
      <c r="C544" s="98"/>
      <c r="D544" s="98"/>
      <c r="E544" s="100"/>
      <c r="F544" s="100"/>
      <c r="G544" s="101"/>
      <c r="H544" s="100"/>
      <c r="I544" s="100"/>
      <c r="J544" s="46"/>
      <c r="K544" s="101"/>
      <c r="L544" s="101"/>
      <c r="M544" s="87"/>
      <c r="N544" s="87"/>
      <c r="O544" s="87"/>
      <c r="P544" s="87"/>
      <c r="Q544" s="87"/>
      <c r="R544" s="87"/>
      <c r="S544" s="87"/>
      <c r="T544" s="87"/>
      <c r="U544" s="87"/>
      <c r="V544" s="87"/>
      <c r="W544" s="87"/>
      <c r="X544" s="87"/>
      <c r="Y544" s="87"/>
      <c r="Z544" s="87"/>
    </row>
    <row r="545">
      <c r="A545" s="96"/>
      <c r="B545" s="96"/>
      <c r="C545" s="98"/>
      <c r="D545" s="98"/>
      <c r="E545" s="100"/>
      <c r="F545" s="100"/>
      <c r="G545" s="101"/>
      <c r="H545" s="100"/>
      <c r="I545" s="100"/>
      <c r="J545" s="46"/>
      <c r="K545" s="101"/>
      <c r="L545" s="101"/>
      <c r="M545" s="87"/>
      <c r="N545" s="87"/>
      <c r="O545" s="87"/>
      <c r="P545" s="87"/>
      <c r="Q545" s="87"/>
      <c r="R545" s="87"/>
      <c r="S545" s="87"/>
      <c r="T545" s="87"/>
      <c r="U545" s="87"/>
      <c r="V545" s="87"/>
      <c r="W545" s="87"/>
      <c r="X545" s="87"/>
      <c r="Y545" s="87"/>
      <c r="Z545" s="87"/>
    </row>
    <row r="546">
      <c r="A546" s="96"/>
      <c r="B546" s="96"/>
      <c r="C546" s="98"/>
      <c r="D546" s="98"/>
      <c r="E546" s="100"/>
      <c r="F546" s="100"/>
      <c r="G546" s="101"/>
      <c r="H546" s="100"/>
      <c r="I546" s="100"/>
      <c r="J546" s="46"/>
      <c r="K546" s="101"/>
      <c r="L546" s="101"/>
      <c r="M546" s="87"/>
      <c r="N546" s="87"/>
      <c r="O546" s="87"/>
      <c r="P546" s="87"/>
      <c r="Q546" s="87"/>
      <c r="R546" s="87"/>
      <c r="S546" s="87"/>
      <c r="T546" s="87"/>
      <c r="U546" s="87"/>
      <c r="V546" s="87"/>
      <c r="W546" s="87"/>
      <c r="X546" s="87"/>
      <c r="Y546" s="87"/>
      <c r="Z546" s="87"/>
    </row>
    <row r="547">
      <c r="A547" s="96"/>
      <c r="B547" s="96"/>
      <c r="C547" s="98"/>
      <c r="D547" s="98"/>
      <c r="E547" s="100"/>
      <c r="F547" s="100"/>
      <c r="G547" s="101"/>
      <c r="H547" s="100"/>
      <c r="I547" s="100"/>
      <c r="J547" s="46"/>
      <c r="K547" s="101"/>
      <c r="L547" s="101"/>
      <c r="M547" s="87"/>
      <c r="N547" s="87"/>
      <c r="O547" s="87"/>
      <c r="P547" s="87"/>
      <c r="Q547" s="87"/>
      <c r="R547" s="87"/>
      <c r="S547" s="87"/>
      <c r="T547" s="87"/>
      <c r="U547" s="87"/>
      <c r="V547" s="87"/>
      <c r="W547" s="87"/>
      <c r="X547" s="87"/>
      <c r="Y547" s="87"/>
      <c r="Z547" s="87"/>
    </row>
    <row r="548">
      <c r="A548" s="96"/>
      <c r="B548" s="96"/>
      <c r="C548" s="98"/>
      <c r="D548" s="98"/>
      <c r="E548" s="100"/>
      <c r="F548" s="100"/>
      <c r="G548" s="101"/>
      <c r="H548" s="100"/>
      <c r="I548" s="100"/>
      <c r="J548" s="46"/>
      <c r="K548" s="101"/>
      <c r="L548" s="101"/>
      <c r="M548" s="87"/>
      <c r="N548" s="87"/>
      <c r="O548" s="87"/>
      <c r="P548" s="87"/>
      <c r="Q548" s="87"/>
      <c r="R548" s="87"/>
      <c r="S548" s="87"/>
      <c r="T548" s="87"/>
      <c r="U548" s="87"/>
      <c r="V548" s="87"/>
      <c r="W548" s="87"/>
      <c r="X548" s="87"/>
      <c r="Y548" s="87"/>
      <c r="Z548" s="87"/>
    </row>
    <row r="549">
      <c r="A549" s="96"/>
      <c r="B549" s="96"/>
      <c r="C549" s="98"/>
      <c r="D549" s="98"/>
      <c r="E549" s="100"/>
      <c r="F549" s="100"/>
      <c r="G549" s="101"/>
      <c r="H549" s="100"/>
      <c r="I549" s="100"/>
      <c r="J549" s="46"/>
      <c r="K549" s="101"/>
      <c r="L549" s="101"/>
      <c r="M549" s="87"/>
      <c r="N549" s="87"/>
      <c r="O549" s="87"/>
      <c r="P549" s="87"/>
      <c r="Q549" s="87"/>
      <c r="R549" s="87"/>
      <c r="S549" s="87"/>
      <c r="T549" s="87"/>
      <c r="U549" s="87"/>
      <c r="V549" s="87"/>
      <c r="W549" s="87"/>
      <c r="X549" s="87"/>
      <c r="Y549" s="87"/>
      <c r="Z549" s="87"/>
    </row>
    <row r="550">
      <c r="A550" s="96"/>
      <c r="B550" s="96"/>
      <c r="C550" s="98"/>
      <c r="D550" s="98"/>
      <c r="E550" s="100"/>
      <c r="F550" s="100"/>
      <c r="G550" s="101"/>
      <c r="H550" s="100"/>
      <c r="I550" s="100"/>
      <c r="J550" s="46"/>
      <c r="K550" s="101"/>
      <c r="L550" s="101"/>
      <c r="M550" s="87"/>
      <c r="N550" s="87"/>
      <c r="O550" s="87"/>
      <c r="P550" s="87"/>
      <c r="Q550" s="87"/>
      <c r="R550" s="87"/>
      <c r="S550" s="87"/>
      <c r="T550" s="87"/>
      <c r="U550" s="87"/>
      <c r="V550" s="87"/>
      <c r="W550" s="87"/>
      <c r="X550" s="87"/>
      <c r="Y550" s="87"/>
      <c r="Z550" s="87"/>
    </row>
    <row r="551">
      <c r="A551" s="96"/>
      <c r="B551" s="96"/>
      <c r="C551" s="98"/>
      <c r="D551" s="98"/>
      <c r="E551" s="100"/>
      <c r="F551" s="100"/>
      <c r="G551" s="101"/>
      <c r="H551" s="100"/>
      <c r="I551" s="100"/>
      <c r="J551" s="46"/>
      <c r="K551" s="101"/>
      <c r="L551" s="101"/>
      <c r="M551" s="87"/>
      <c r="N551" s="87"/>
      <c r="O551" s="87"/>
      <c r="P551" s="87"/>
      <c r="Q551" s="87"/>
      <c r="R551" s="87"/>
      <c r="S551" s="87"/>
      <c r="T551" s="87"/>
      <c r="U551" s="87"/>
      <c r="V551" s="87"/>
      <c r="W551" s="87"/>
      <c r="X551" s="87"/>
      <c r="Y551" s="87"/>
      <c r="Z551" s="87"/>
    </row>
    <row r="552">
      <c r="A552" s="96"/>
      <c r="B552" s="96"/>
      <c r="C552" s="98"/>
      <c r="D552" s="98"/>
      <c r="E552" s="100"/>
      <c r="F552" s="100"/>
      <c r="G552" s="101"/>
      <c r="H552" s="100"/>
      <c r="I552" s="100"/>
      <c r="J552" s="46"/>
      <c r="K552" s="101"/>
      <c r="L552" s="101"/>
      <c r="M552" s="87"/>
      <c r="N552" s="87"/>
      <c r="O552" s="87"/>
      <c r="P552" s="87"/>
      <c r="Q552" s="87"/>
      <c r="R552" s="87"/>
      <c r="S552" s="87"/>
      <c r="T552" s="87"/>
      <c r="U552" s="87"/>
      <c r="V552" s="87"/>
      <c r="W552" s="87"/>
      <c r="X552" s="87"/>
      <c r="Y552" s="87"/>
      <c r="Z552" s="87"/>
    </row>
    <row r="553">
      <c r="A553" s="96"/>
      <c r="B553" s="96"/>
      <c r="C553" s="98"/>
      <c r="D553" s="98"/>
      <c r="E553" s="100"/>
      <c r="F553" s="100"/>
      <c r="G553" s="101"/>
      <c r="H553" s="100"/>
      <c r="I553" s="100"/>
      <c r="J553" s="46"/>
      <c r="K553" s="101"/>
      <c r="L553" s="101"/>
      <c r="M553" s="87"/>
      <c r="N553" s="87"/>
      <c r="O553" s="87"/>
      <c r="P553" s="87"/>
      <c r="Q553" s="87"/>
      <c r="R553" s="87"/>
      <c r="S553" s="87"/>
      <c r="T553" s="87"/>
      <c r="U553" s="87"/>
      <c r="V553" s="87"/>
      <c r="W553" s="87"/>
      <c r="X553" s="87"/>
      <c r="Y553" s="87"/>
      <c r="Z553" s="87"/>
    </row>
    <row r="554">
      <c r="A554" s="96"/>
      <c r="B554" s="96"/>
      <c r="C554" s="98"/>
      <c r="D554" s="98"/>
      <c r="E554" s="100"/>
      <c r="F554" s="100"/>
      <c r="G554" s="101"/>
      <c r="H554" s="100"/>
      <c r="I554" s="100"/>
      <c r="J554" s="46"/>
      <c r="K554" s="101"/>
      <c r="L554" s="101"/>
      <c r="M554" s="87"/>
      <c r="N554" s="87"/>
      <c r="O554" s="87"/>
      <c r="P554" s="87"/>
      <c r="Q554" s="87"/>
      <c r="R554" s="87"/>
      <c r="S554" s="87"/>
      <c r="T554" s="87"/>
      <c r="U554" s="87"/>
      <c r="V554" s="87"/>
      <c r="W554" s="87"/>
      <c r="X554" s="87"/>
      <c r="Y554" s="87"/>
      <c r="Z554" s="87"/>
    </row>
    <row r="555">
      <c r="A555" s="96"/>
      <c r="B555" s="96"/>
      <c r="C555" s="98"/>
      <c r="D555" s="98"/>
      <c r="E555" s="100"/>
      <c r="F555" s="100"/>
      <c r="G555" s="101"/>
      <c r="H555" s="100"/>
      <c r="I555" s="100"/>
      <c r="J555" s="46"/>
      <c r="K555" s="101"/>
      <c r="L555" s="101"/>
      <c r="M555" s="87"/>
      <c r="N555" s="87"/>
      <c r="O555" s="87"/>
      <c r="P555" s="87"/>
      <c r="Q555" s="87"/>
      <c r="R555" s="87"/>
      <c r="S555" s="87"/>
      <c r="T555" s="87"/>
      <c r="U555" s="87"/>
      <c r="V555" s="87"/>
      <c r="W555" s="87"/>
      <c r="X555" s="87"/>
      <c r="Y555" s="87"/>
      <c r="Z555" s="87"/>
    </row>
    <row r="556">
      <c r="A556" s="96"/>
      <c r="B556" s="96"/>
      <c r="C556" s="98"/>
      <c r="D556" s="98"/>
      <c r="E556" s="100"/>
      <c r="F556" s="100"/>
      <c r="G556" s="101"/>
      <c r="H556" s="100"/>
      <c r="I556" s="100"/>
      <c r="J556" s="46"/>
      <c r="K556" s="101"/>
      <c r="L556" s="101"/>
      <c r="M556" s="87"/>
      <c r="N556" s="87"/>
      <c r="O556" s="87"/>
      <c r="P556" s="87"/>
      <c r="Q556" s="87"/>
      <c r="R556" s="87"/>
      <c r="S556" s="87"/>
      <c r="T556" s="87"/>
      <c r="U556" s="87"/>
      <c r="V556" s="87"/>
      <c r="W556" s="87"/>
      <c r="X556" s="87"/>
      <c r="Y556" s="87"/>
      <c r="Z556" s="87"/>
    </row>
    <row r="557">
      <c r="A557" s="96"/>
      <c r="B557" s="96"/>
      <c r="C557" s="98"/>
      <c r="D557" s="98"/>
      <c r="E557" s="100"/>
      <c r="F557" s="100"/>
      <c r="G557" s="101"/>
      <c r="H557" s="100"/>
      <c r="I557" s="100"/>
      <c r="J557" s="46"/>
      <c r="K557" s="101"/>
      <c r="L557" s="101"/>
      <c r="M557" s="87"/>
      <c r="N557" s="87"/>
      <c r="O557" s="87"/>
      <c r="P557" s="87"/>
      <c r="Q557" s="87"/>
      <c r="R557" s="87"/>
      <c r="S557" s="87"/>
      <c r="T557" s="87"/>
      <c r="U557" s="87"/>
      <c r="V557" s="87"/>
      <c r="W557" s="87"/>
      <c r="X557" s="87"/>
      <c r="Y557" s="87"/>
      <c r="Z557" s="87"/>
    </row>
    <row r="558">
      <c r="A558" s="96"/>
      <c r="B558" s="96"/>
      <c r="C558" s="98"/>
      <c r="D558" s="98"/>
      <c r="E558" s="100"/>
      <c r="F558" s="100"/>
      <c r="G558" s="101"/>
      <c r="H558" s="100"/>
      <c r="I558" s="100"/>
      <c r="J558" s="46"/>
      <c r="K558" s="101"/>
      <c r="L558" s="101"/>
      <c r="M558" s="87"/>
      <c r="N558" s="87"/>
      <c r="O558" s="87"/>
      <c r="P558" s="87"/>
      <c r="Q558" s="87"/>
      <c r="R558" s="87"/>
      <c r="S558" s="87"/>
      <c r="T558" s="87"/>
      <c r="U558" s="87"/>
      <c r="V558" s="87"/>
      <c r="W558" s="87"/>
      <c r="X558" s="87"/>
      <c r="Y558" s="87"/>
      <c r="Z558" s="87"/>
    </row>
    <row r="559">
      <c r="A559" s="96"/>
      <c r="B559" s="96"/>
      <c r="C559" s="98"/>
      <c r="D559" s="98"/>
      <c r="E559" s="100"/>
      <c r="F559" s="100"/>
      <c r="G559" s="101"/>
      <c r="H559" s="100"/>
      <c r="I559" s="100"/>
      <c r="J559" s="46"/>
      <c r="K559" s="101"/>
      <c r="L559" s="101"/>
      <c r="M559" s="87"/>
      <c r="N559" s="87"/>
      <c r="O559" s="87"/>
      <c r="P559" s="87"/>
      <c r="Q559" s="87"/>
      <c r="R559" s="87"/>
      <c r="S559" s="87"/>
      <c r="T559" s="87"/>
      <c r="U559" s="87"/>
      <c r="V559" s="87"/>
      <c r="W559" s="87"/>
      <c r="X559" s="87"/>
      <c r="Y559" s="87"/>
      <c r="Z559" s="87"/>
    </row>
    <row r="560">
      <c r="A560" s="96"/>
      <c r="B560" s="96"/>
      <c r="C560" s="98"/>
      <c r="D560" s="98"/>
      <c r="E560" s="100"/>
      <c r="F560" s="100"/>
      <c r="G560" s="101"/>
      <c r="H560" s="100"/>
      <c r="I560" s="100"/>
      <c r="J560" s="46"/>
      <c r="K560" s="101"/>
      <c r="L560" s="101"/>
      <c r="M560" s="87"/>
      <c r="N560" s="87"/>
      <c r="O560" s="87"/>
      <c r="P560" s="87"/>
      <c r="Q560" s="87"/>
      <c r="R560" s="87"/>
      <c r="S560" s="87"/>
      <c r="T560" s="87"/>
      <c r="U560" s="87"/>
      <c r="V560" s="87"/>
      <c r="W560" s="87"/>
      <c r="X560" s="87"/>
      <c r="Y560" s="87"/>
      <c r="Z560" s="87"/>
    </row>
    <row r="561">
      <c r="A561" s="96"/>
      <c r="B561" s="96"/>
      <c r="C561" s="98"/>
      <c r="D561" s="98"/>
      <c r="E561" s="100"/>
      <c r="F561" s="100"/>
      <c r="G561" s="101"/>
      <c r="H561" s="100"/>
      <c r="I561" s="100"/>
      <c r="J561" s="46"/>
      <c r="K561" s="101"/>
      <c r="L561" s="101"/>
      <c r="M561" s="87"/>
      <c r="N561" s="87"/>
      <c r="O561" s="87"/>
      <c r="P561" s="87"/>
      <c r="Q561" s="87"/>
      <c r="R561" s="87"/>
      <c r="S561" s="87"/>
      <c r="T561" s="87"/>
      <c r="U561" s="87"/>
      <c r="V561" s="87"/>
      <c r="W561" s="87"/>
      <c r="X561" s="87"/>
      <c r="Y561" s="87"/>
      <c r="Z561" s="87"/>
    </row>
    <row r="562">
      <c r="A562" s="96"/>
      <c r="B562" s="96"/>
      <c r="C562" s="98"/>
      <c r="D562" s="98"/>
      <c r="E562" s="100"/>
      <c r="F562" s="100"/>
      <c r="G562" s="101"/>
      <c r="H562" s="100"/>
      <c r="I562" s="100"/>
      <c r="J562" s="46"/>
      <c r="K562" s="101"/>
      <c r="L562" s="101"/>
      <c r="M562" s="87"/>
      <c r="N562" s="87"/>
      <c r="O562" s="87"/>
      <c r="P562" s="87"/>
      <c r="Q562" s="87"/>
      <c r="R562" s="87"/>
      <c r="S562" s="87"/>
      <c r="T562" s="87"/>
      <c r="U562" s="87"/>
      <c r="V562" s="87"/>
      <c r="W562" s="87"/>
      <c r="X562" s="87"/>
      <c r="Y562" s="87"/>
      <c r="Z562" s="87"/>
    </row>
    <row r="563">
      <c r="A563" s="96"/>
      <c r="B563" s="96"/>
      <c r="C563" s="98"/>
      <c r="D563" s="98"/>
      <c r="E563" s="100"/>
      <c r="F563" s="100"/>
      <c r="G563" s="101"/>
      <c r="H563" s="100"/>
      <c r="I563" s="100"/>
      <c r="J563" s="46"/>
      <c r="K563" s="101"/>
      <c r="L563" s="101"/>
      <c r="M563" s="87"/>
      <c r="N563" s="87"/>
      <c r="O563" s="87"/>
      <c r="P563" s="87"/>
      <c r="Q563" s="87"/>
      <c r="R563" s="87"/>
      <c r="S563" s="87"/>
      <c r="T563" s="87"/>
      <c r="U563" s="87"/>
      <c r="V563" s="87"/>
      <c r="W563" s="87"/>
      <c r="X563" s="87"/>
      <c r="Y563" s="87"/>
      <c r="Z563" s="87"/>
    </row>
    <row r="564">
      <c r="A564" s="96"/>
      <c r="B564" s="96"/>
      <c r="C564" s="98"/>
      <c r="D564" s="98"/>
      <c r="E564" s="100"/>
      <c r="F564" s="100"/>
      <c r="G564" s="101"/>
      <c r="H564" s="100"/>
      <c r="I564" s="100"/>
      <c r="J564" s="46"/>
      <c r="K564" s="101"/>
      <c r="L564" s="101"/>
      <c r="M564" s="87"/>
      <c r="N564" s="87"/>
      <c r="O564" s="87"/>
      <c r="P564" s="87"/>
      <c r="Q564" s="87"/>
      <c r="R564" s="87"/>
      <c r="S564" s="87"/>
      <c r="T564" s="87"/>
      <c r="U564" s="87"/>
      <c r="V564" s="87"/>
      <c r="W564" s="87"/>
      <c r="X564" s="87"/>
      <c r="Y564" s="87"/>
      <c r="Z564" s="87"/>
    </row>
    <row r="565">
      <c r="A565" s="96"/>
      <c r="B565" s="96"/>
      <c r="C565" s="98"/>
      <c r="D565" s="98"/>
      <c r="E565" s="100"/>
      <c r="F565" s="100"/>
      <c r="G565" s="101"/>
      <c r="H565" s="100"/>
      <c r="I565" s="100"/>
      <c r="J565" s="46"/>
      <c r="K565" s="101"/>
      <c r="L565" s="101"/>
      <c r="M565" s="87"/>
      <c r="N565" s="87"/>
      <c r="O565" s="87"/>
      <c r="P565" s="87"/>
      <c r="Q565" s="87"/>
      <c r="R565" s="87"/>
      <c r="S565" s="87"/>
      <c r="T565" s="87"/>
      <c r="U565" s="87"/>
      <c r="V565" s="87"/>
      <c r="W565" s="87"/>
      <c r="X565" s="87"/>
      <c r="Y565" s="87"/>
      <c r="Z565" s="87"/>
    </row>
    <row r="566">
      <c r="A566" s="96"/>
      <c r="B566" s="96"/>
      <c r="C566" s="98"/>
      <c r="D566" s="98"/>
      <c r="E566" s="100"/>
      <c r="F566" s="100"/>
      <c r="G566" s="101"/>
      <c r="H566" s="100"/>
      <c r="I566" s="100"/>
      <c r="J566" s="46"/>
      <c r="K566" s="101"/>
      <c r="L566" s="101"/>
      <c r="M566" s="87"/>
      <c r="N566" s="87"/>
      <c r="O566" s="87"/>
      <c r="P566" s="87"/>
      <c r="Q566" s="87"/>
      <c r="R566" s="87"/>
      <c r="S566" s="87"/>
      <c r="T566" s="87"/>
      <c r="U566" s="87"/>
      <c r="V566" s="87"/>
      <c r="W566" s="87"/>
      <c r="X566" s="87"/>
      <c r="Y566" s="87"/>
      <c r="Z566" s="87"/>
    </row>
    <row r="567">
      <c r="A567" s="96"/>
      <c r="B567" s="96"/>
      <c r="C567" s="98"/>
      <c r="D567" s="98"/>
      <c r="E567" s="100"/>
      <c r="F567" s="100"/>
      <c r="G567" s="101"/>
      <c r="H567" s="100"/>
      <c r="I567" s="100"/>
      <c r="J567" s="46"/>
      <c r="K567" s="101"/>
      <c r="L567" s="101"/>
      <c r="M567" s="87"/>
      <c r="N567" s="87"/>
      <c r="O567" s="87"/>
      <c r="P567" s="87"/>
      <c r="Q567" s="87"/>
      <c r="R567" s="87"/>
      <c r="S567" s="87"/>
      <c r="T567" s="87"/>
      <c r="U567" s="87"/>
      <c r="V567" s="87"/>
      <c r="W567" s="87"/>
      <c r="X567" s="87"/>
      <c r="Y567" s="87"/>
      <c r="Z567" s="87"/>
    </row>
    <row r="568">
      <c r="A568" s="96"/>
      <c r="B568" s="96"/>
      <c r="C568" s="98"/>
      <c r="D568" s="98"/>
      <c r="E568" s="100"/>
      <c r="F568" s="100"/>
      <c r="G568" s="101"/>
      <c r="H568" s="100"/>
      <c r="I568" s="100"/>
      <c r="J568" s="46"/>
      <c r="K568" s="101"/>
      <c r="L568" s="101"/>
      <c r="M568" s="87"/>
      <c r="N568" s="87"/>
      <c r="O568" s="87"/>
      <c r="P568" s="87"/>
      <c r="Q568" s="87"/>
      <c r="R568" s="87"/>
      <c r="S568" s="87"/>
      <c r="T568" s="87"/>
      <c r="U568" s="87"/>
      <c r="V568" s="87"/>
      <c r="W568" s="87"/>
      <c r="X568" s="87"/>
      <c r="Y568" s="87"/>
      <c r="Z568" s="87"/>
    </row>
    <row r="569">
      <c r="A569" s="96"/>
      <c r="B569" s="96"/>
      <c r="C569" s="98"/>
      <c r="D569" s="98"/>
      <c r="E569" s="100"/>
      <c r="F569" s="100"/>
      <c r="G569" s="101"/>
      <c r="H569" s="100"/>
      <c r="I569" s="100"/>
      <c r="J569" s="46"/>
      <c r="K569" s="101"/>
      <c r="L569" s="101"/>
      <c r="M569" s="87"/>
      <c r="N569" s="87"/>
      <c r="O569" s="87"/>
      <c r="P569" s="87"/>
      <c r="Q569" s="87"/>
      <c r="R569" s="87"/>
      <c r="S569" s="87"/>
      <c r="T569" s="87"/>
      <c r="U569" s="87"/>
      <c r="V569" s="87"/>
      <c r="W569" s="87"/>
      <c r="X569" s="87"/>
      <c r="Y569" s="87"/>
      <c r="Z569" s="87"/>
    </row>
    <row r="570">
      <c r="A570" s="96"/>
      <c r="B570" s="96"/>
      <c r="C570" s="98"/>
      <c r="D570" s="98"/>
      <c r="E570" s="100"/>
      <c r="F570" s="100"/>
      <c r="G570" s="101"/>
      <c r="H570" s="100"/>
      <c r="I570" s="100"/>
      <c r="J570" s="46"/>
      <c r="K570" s="101"/>
      <c r="L570" s="101"/>
      <c r="M570" s="87"/>
      <c r="N570" s="87"/>
      <c r="O570" s="87"/>
      <c r="P570" s="87"/>
      <c r="Q570" s="87"/>
      <c r="R570" s="87"/>
      <c r="S570" s="87"/>
      <c r="T570" s="87"/>
      <c r="U570" s="87"/>
      <c r="V570" s="87"/>
      <c r="W570" s="87"/>
      <c r="X570" s="87"/>
      <c r="Y570" s="87"/>
      <c r="Z570" s="87"/>
    </row>
    <row r="571">
      <c r="A571" s="96"/>
      <c r="B571" s="96"/>
      <c r="C571" s="98"/>
      <c r="D571" s="98"/>
      <c r="E571" s="100"/>
      <c r="F571" s="100"/>
      <c r="G571" s="101"/>
      <c r="H571" s="100"/>
      <c r="I571" s="100"/>
      <c r="J571" s="46"/>
      <c r="K571" s="101"/>
      <c r="L571" s="101"/>
      <c r="M571" s="87"/>
      <c r="N571" s="87"/>
      <c r="O571" s="87"/>
      <c r="P571" s="87"/>
      <c r="Q571" s="87"/>
      <c r="R571" s="87"/>
      <c r="S571" s="87"/>
      <c r="T571" s="87"/>
      <c r="U571" s="87"/>
      <c r="V571" s="87"/>
      <c r="W571" s="87"/>
      <c r="X571" s="87"/>
      <c r="Y571" s="87"/>
      <c r="Z571" s="87"/>
    </row>
    <row r="572">
      <c r="A572" s="96"/>
      <c r="B572" s="96"/>
      <c r="C572" s="98"/>
      <c r="D572" s="98"/>
      <c r="E572" s="100"/>
      <c r="F572" s="100"/>
      <c r="G572" s="101"/>
      <c r="H572" s="100"/>
      <c r="I572" s="100"/>
      <c r="J572" s="46"/>
      <c r="K572" s="101"/>
      <c r="L572" s="101"/>
      <c r="M572" s="87"/>
      <c r="N572" s="87"/>
      <c r="O572" s="87"/>
      <c r="P572" s="87"/>
      <c r="Q572" s="87"/>
      <c r="R572" s="87"/>
      <c r="S572" s="87"/>
      <c r="T572" s="87"/>
      <c r="U572" s="87"/>
      <c r="V572" s="87"/>
      <c r="W572" s="87"/>
      <c r="X572" s="87"/>
      <c r="Y572" s="87"/>
      <c r="Z572" s="87"/>
    </row>
    <row r="573">
      <c r="A573" s="96"/>
      <c r="B573" s="96"/>
      <c r="C573" s="98"/>
      <c r="D573" s="98"/>
      <c r="E573" s="100"/>
      <c r="F573" s="100"/>
      <c r="G573" s="101"/>
      <c r="H573" s="100"/>
      <c r="I573" s="100"/>
      <c r="J573" s="46"/>
      <c r="K573" s="101"/>
      <c r="L573" s="101"/>
      <c r="M573" s="87"/>
      <c r="N573" s="87"/>
      <c r="O573" s="87"/>
      <c r="P573" s="87"/>
      <c r="Q573" s="87"/>
      <c r="R573" s="87"/>
      <c r="S573" s="87"/>
      <c r="T573" s="87"/>
      <c r="U573" s="87"/>
      <c r="V573" s="87"/>
      <c r="W573" s="87"/>
      <c r="X573" s="87"/>
      <c r="Y573" s="87"/>
      <c r="Z573" s="87"/>
    </row>
    <row r="574">
      <c r="A574" s="96"/>
      <c r="B574" s="96"/>
      <c r="C574" s="98"/>
      <c r="D574" s="98"/>
      <c r="E574" s="100"/>
      <c r="F574" s="100"/>
      <c r="G574" s="101"/>
      <c r="H574" s="100"/>
      <c r="I574" s="100"/>
      <c r="J574" s="46"/>
      <c r="K574" s="101"/>
      <c r="L574" s="101"/>
      <c r="M574" s="87"/>
      <c r="N574" s="87"/>
      <c r="O574" s="87"/>
      <c r="P574" s="87"/>
      <c r="Q574" s="87"/>
      <c r="R574" s="87"/>
      <c r="S574" s="87"/>
      <c r="T574" s="87"/>
      <c r="U574" s="87"/>
      <c r="V574" s="87"/>
      <c r="W574" s="87"/>
      <c r="X574" s="87"/>
      <c r="Y574" s="87"/>
      <c r="Z574" s="87"/>
    </row>
    <row r="575">
      <c r="A575" s="96"/>
      <c r="B575" s="96"/>
      <c r="C575" s="98"/>
      <c r="D575" s="98"/>
      <c r="E575" s="100"/>
      <c r="F575" s="100"/>
      <c r="G575" s="101"/>
      <c r="H575" s="100"/>
      <c r="I575" s="100"/>
      <c r="J575" s="46"/>
      <c r="K575" s="101"/>
      <c r="L575" s="101"/>
      <c r="M575" s="87"/>
      <c r="N575" s="87"/>
      <c r="O575" s="87"/>
      <c r="P575" s="87"/>
      <c r="Q575" s="87"/>
      <c r="R575" s="87"/>
      <c r="S575" s="87"/>
      <c r="T575" s="87"/>
      <c r="U575" s="87"/>
      <c r="V575" s="87"/>
      <c r="W575" s="87"/>
      <c r="X575" s="87"/>
      <c r="Y575" s="87"/>
      <c r="Z575" s="87"/>
    </row>
    <row r="576">
      <c r="A576" s="96"/>
      <c r="B576" s="96"/>
      <c r="C576" s="98"/>
      <c r="D576" s="98"/>
      <c r="E576" s="100"/>
      <c r="F576" s="100"/>
      <c r="G576" s="101"/>
      <c r="H576" s="100"/>
      <c r="I576" s="100"/>
      <c r="J576" s="46"/>
      <c r="K576" s="101"/>
      <c r="L576" s="101"/>
      <c r="M576" s="87"/>
      <c r="N576" s="87"/>
      <c r="O576" s="87"/>
      <c r="P576" s="87"/>
      <c r="Q576" s="87"/>
      <c r="R576" s="87"/>
      <c r="S576" s="87"/>
      <c r="T576" s="87"/>
      <c r="U576" s="87"/>
      <c r="V576" s="87"/>
      <c r="W576" s="87"/>
      <c r="X576" s="87"/>
      <c r="Y576" s="87"/>
      <c r="Z576" s="87"/>
    </row>
    <row r="577">
      <c r="A577" s="96"/>
      <c r="B577" s="96"/>
      <c r="C577" s="98"/>
      <c r="D577" s="98"/>
      <c r="E577" s="100"/>
      <c r="F577" s="100"/>
      <c r="G577" s="101"/>
      <c r="H577" s="100"/>
      <c r="I577" s="100"/>
      <c r="J577" s="46"/>
      <c r="K577" s="101"/>
      <c r="L577" s="101"/>
      <c r="M577" s="87"/>
      <c r="N577" s="87"/>
      <c r="O577" s="87"/>
      <c r="P577" s="87"/>
      <c r="Q577" s="87"/>
      <c r="R577" s="87"/>
      <c r="S577" s="87"/>
      <c r="T577" s="87"/>
      <c r="U577" s="87"/>
      <c r="V577" s="87"/>
      <c r="W577" s="87"/>
      <c r="X577" s="87"/>
      <c r="Y577" s="87"/>
      <c r="Z577" s="87"/>
    </row>
    <row r="578">
      <c r="A578" s="96"/>
      <c r="B578" s="96"/>
      <c r="C578" s="98"/>
      <c r="D578" s="98"/>
      <c r="E578" s="100"/>
      <c r="F578" s="100"/>
      <c r="G578" s="101"/>
      <c r="H578" s="100"/>
      <c r="I578" s="100"/>
      <c r="J578" s="46"/>
      <c r="K578" s="101"/>
      <c r="L578" s="101"/>
      <c r="M578" s="87"/>
      <c r="N578" s="87"/>
      <c r="O578" s="87"/>
      <c r="P578" s="87"/>
      <c r="Q578" s="87"/>
      <c r="R578" s="87"/>
      <c r="S578" s="87"/>
      <c r="T578" s="87"/>
      <c r="U578" s="87"/>
      <c r="V578" s="87"/>
      <c r="W578" s="87"/>
      <c r="X578" s="87"/>
      <c r="Y578" s="87"/>
      <c r="Z578" s="87"/>
    </row>
    <row r="579">
      <c r="A579" s="96"/>
      <c r="B579" s="96"/>
      <c r="C579" s="98"/>
      <c r="D579" s="98"/>
      <c r="E579" s="100"/>
      <c r="F579" s="100"/>
      <c r="G579" s="101"/>
      <c r="H579" s="100"/>
      <c r="I579" s="100"/>
      <c r="J579" s="46"/>
      <c r="K579" s="101"/>
      <c r="L579" s="101"/>
      <c r="M579" s="87"/>
      <c r="N579" s="87"/>
      <c r="O579" s="87"/>
      <c r="P579" s="87"/>
      <c r="Q579" s="87"/>
      <c r="R579" s="87"/>
      <c r="S579" s="87"/>
      <c r="T579" s="87"/>
      <c r="U579" s="87"/>
      <c r="V579" s="87"/>
      <c r="W579" s="87"/>
      <c r="X579" s="87"/>
      <c r="Y579" s="87"/>
      <c r="Z579" s="87"/>
    </row>
    <row r="580">
      <c r="A580" s="96"/>
      <c r="B580" s="96"/>
      <c r="C580" s="98"/>
      <c r="D580" s="98"/>
      <c r="E580" s="100"/>
      <c r="F580" s="100"/>
      <c r="G580" s="101"/>
      <c r="H580" s="100"/>
      <c r="I580" s="100"/>
      <c r="J580" s="46"/>
      <c r="K580" s="101"/>
      <c r="L580" s="101"/>
      <c r="M580" s="87"/>
      <c r="N580" s="87"/>
      <c r="O580" s="87"/>
      <c r="P580" s="87"/>
      <c r="Q580" s="87"/>
      <c r="R580" s="87"/>
      <c r="S580" s="87"/>
      <c r="T580" s="87"/>
      <c r="U580" s="87"/>
      <c r="V580" s="87"/>
      <c r="W580" s="87"/>
      <c r="X580" s="87"/>
      <c r="Y580" s="87"/>
      <c r="Z580" s="87"/>
    </row>
    <row r="581">
      <c r="A581" s="96"/>
      <c r="B581" s="96"/>
      <c r="C581" s="98"/>
      <c r="D581" s="98"/>
      <c r="E581" s="100"/>
      <c r="F581" s="100"/>
      <c r="G581" s="101"/>
      <c r="H581" s="100"/>
      <c r="I581" s="100"/>
      <c r="J581" s="46"/>
      <c r="K581" s="101"/>
      <c r="L581" s="101"/>
      <c r="M581" s="87"/>
      <c r="N581" s="87"/>
      <c r="O581" s="87"/>
      <c r="P581" s="87"/>
      <c r="Q581" s="87"/>
      <c r="R581" s="87"/>
      <c r="S581" s="87"/>
      <c r="T581" s="87"/>
      <c r="U581" s="87"/>
      <c r="V581" s="87"/>
      <c r="W581" s="87"/>
      <c r="X581" s="87"/>
      <c r="Y581" s="87"/>
      <c r="Z581" s="87"/>
    </row>
    <row r="582">
      <c r="A582" s="96"/>
      <c r="B582" s="96"/>
      <c r="C582" s="98"/>
      <c r="D582" s="98"/>
      <c r="E582" s="100"/>
      <c r="F582" s="100"/>
      <c r="G582" s="101"/>
      <c r="H582" s="100"/>
      <c r="I582" s="100"/>
      <c r="J582" s="46"/>
      <c r="K582" s="101"/>
      <c r="L582" s="101"/>
      <c r="M582" s="87"/>
      <c r="N582" s="87"/>
      <c r="O582" s="87"/>
      <c r="P582" s="87"/>
      <c r="Q582" s="87"/>
      <c r="R582" s="87"/>
      <c r="S582" s="87"/>
      <c r="T582" s="87"/>
      <c r="U582" s="87"/>
      <c r="V582" s="87"/>
      <c r="W582" s="87"/>
      <c r="X582" s="87"/>
      <c r="Y582" s="87"/>
      <c r="Z582" s="87"/>
    </row>
    <row r="583">
      <c r="A583" s="96"/>
      <c r="B583" s="96"/>
      <c r="C583" s="98"/>
      <c r="D583" s="98"/>
      <c r="E583" s="100"/>
      <c r="F583" s="100"/>
      <c r="G583" s="101"/>
      <c r="H583" s="100"/>
      <c r="I583" s="100"/>
      <c r="J583" s="46"/>
      <c r="K583" s="101"/>
      <c r="L583" s="101"/>
      <c r="M583" s="87"/>
      <c r="N583" s="87"/>
      <c r="O583" s="87"/>
      <c r="P583" s="87"/>
      <c r="Q583" s="87"/>
      <c r="R583" s="87"/>
      <c r="S583" s="87"/>
      <c r="T583" s="87"/>
      <c r="U583" s="87"/>
      <c r="V583" s="87"/>
      <c r="W583" s="87"/>
      <c r="X583" s="87"/>
      <c r="Y583" s="87"/>
      <c r="Z583" s="87"/>
    </row>
    <row r="584">
      <c r="A584" s="96"/>
      <c r="B584" s="96"/>
      <c r="C584" s="98"/>
      <c r="D584" s="98"/>
      <c r="E584" s="100"/>
      <c r="F584" s="100"/>
      <c r="G584" s="101"/>
      <c r="H584" s="100"/>
      <c r="I584" s="100"/>
      <c r="J584" s="46"/>
      <c r="K584" s="101"/>
      <c r="L584" s="101"/>
      <c r="M584" s="87"/>
      <c r="N584" s="87"/>
      <c r="O584" s="87"/>
      <c r="P584" s="87"/>
      <c r="Q584" s="87"/>
      <c r="R584" s="87"/>
      <c r="S584" s="87"/>
      <c r="T584" s="87"/>
      <c r="U584" s="87"/>
      <c r="V584" s="87"/>
      <c r="W584" s="87"/>
      <c r="X584" s="87"/>
      <c r="Y584" s="87"/>
      <c r="Z584" s="87"/>
    </row>
    <row r="585">
      <c r="A585" s="96"/>
      <c r="B585" s="96"/>
      <c r="C585" s="98"/>
      <c r="D585" s="98"/>
      <c r="E585" s="100"/>
      <c r="F585" s="100"/>
      <c r="G585" s="101"/>
      <c r="H585" s="100"/>
      <c r="I585" s="100"/>
      <c r="J585" s="46"/>
      <c r="K585" s="101"/>
      <c r="L585" s="101"/>
      <c r="M585" s="87"/>
      <c r="N585" s="87"/>
      <c r="O585" s="87"/>
      <c r="P585" s="87"/>
      <c r="Q585" s="87"/>
      <c r="R585" s="87"/>
      <c r="S585" s="87"/>
      <c r="T585" s="87"/>
      <c r="U585" s="87"/>
      <c r="V585" s="87"/>
      <c r="W585" s="87"/>
      <c r="X585" s="87"/>
      <c r="Y585" s="87"/>
      <c r="Z585" s="87"/>
    </row>
    <row r="586">
      <c r="A586" s="96"/>
      <c r="B586" s="96"/>
      <c r="C586" s="98"/>
      <c r="D586" s="98"/>
      <c r="E586" s="100"/>
      <c r="F586" s="100"/>
      <c r="G586" s="101"/>
      <c r="H586" s="100"/>
      <c r="I586" s="100"/>
      <c r="J586" s="46"/>
      <c r="K586" s="101"/>
      <c r="L586" s="101"/>
      <c r="M586" s="87"/>
      <c r="N586" s="87"/>
      <c r="O586" s="87"/>
      <c r="P586" s="87"/>
      <c r="Q586" s="87"/>
      <c r="R586" s="87"/>
      <c r="S586" s="87"/>
      <c r="T586" s="87"/>
      <c r="U586" s="87"/>
      <c r="V586" s="87"/>
      <c r="W586" s="87"/>
      <c r="X586" s="87"/>
      <c r="Y586" s="87"/>
      <c r="Z586" s="87"/>
    </row>
    <row r="587">
      <c r="A587" s="96"/>
      <c r="B587" s="96"/>
      <c r="C587" s="98"/>
      <c r="D587" s="98"/>
      <c r="E587" s="100"/>
      <c r="F587" s="100"/>
      <c r="G587" s="101"/>
      <c r="H587" s="100"/>
      <c r="I587" s="100"/>
      <c r="J587" s="46"/>
      <c r="K587" s="101"/>
      <c r="L587" s="101"/>
      <c r="M587" s="87"/>
      <c r="N587" s="87"/>
      <c r="O587" s="87"/>
      <c r="P587" s="87"/>
      <c r="Q587" s="87"/>
      <c r="R587" s="87"/>
      <c r="S587" s="87"/>
      <c r="T587" s="87"/>
      <c r="U587" s="87"/>
      <c r="V587" s="87"/>
      <c r="W587" s="87"/>
      <c r="X587" s="87"/>
      <c r="Y587" s="87"/>
      <c r="Z587" s="87"/>
    </row>
    <row r="588">
      <c r="A588" s="96"/>
      <c r="B588" s="96"/>
      <c r="C588" s="98"/>
      <c r="D588" s="98"/>
      <c r="E588" s="100"/>
      <c r="F588" s="100"/>
      <c r="G588" s="101"/>
      <c r="H588" s="100"/>
      <c r="I588" s="100"/>
      <c r="J588" s="46"/>
      <c r="K588" s="101"/>
      <c r="L588" s="101"/>
      <c r="M588" s="87"/>
      <c r="N588" s="87"/>
      <c r="O588" s="87"/>
      <c r="P588" s="87"/>
      <c r="Q588" s="87"/>
      <c r="R588" s="87"/>
      <c r="S588" s="87"/>
      <c r="T588" s="87"/>
      <c r="U588" s="87"/>
      <c r="V588" s="87"/>
      <c r="W588" s="87"/>
      <c r="X588" s="87"/>
      <c r="Y588" s="87"/>
      <c r="Z588" s="87"/>
    </row>
    <row r="589">
      <c r="A589" s="96"/>
      <c r="B589" s="96"/>
      <c r="C589" s="98"/>
      <c r="D589" s="98"/>
      <c r="E589" s="100"/>
      <c r="F589" s="100"/>
      <c r="G589" s="101"/>
      <c r="H589" s="100"/>
      <c r="I589" s="100"/>
      <c r="J589" s="46"/>
      <c r="K589" s="101"/>
      <c r="L589" s="101"/>
      <c r="M589" s="87"/>
      <c r="N589" s="87"/>
      <c r="O589" s="87"/>
      <c r="P589" s="87"/>
      <c r="Q589" s="87"/>
      <c r="R589" s="87"/>
      <c r="S589" s="87"/>
      <c r="T589" s="87"/>
      <c r="U589" s="87"/>
      <c r="V589" s="87"/>
      <c r="W589" s="87"/>
      <c r="X589" s="87"/>
      <c r="Y589" s="87"/>
      <c r="Z589" s="87"/>
    </row>
    <row r="590">
      <c r="A590" s="96"/>
      <c r="B590" s="96"/>
      <c r="C590" s="98"/>
      <c r="D590" s="98"/>
      <c r="E590" s="100"/>
      <c r="F590" s="100"/>
      <c r="G590" s="101"/>
      <c r="H590" s="100"/>
      <c r="I590" s="100"/>
      <c r="J590" s="46"/>
      <c r="K590" s="101"/>
      <c r="L590" s="101"/>
      <c r="M590" s="87"/>
      <c r="N590" s="87"/>
      <c r="O590" s="87"/>
      <c r="P590" s="87"/>
      <c r="Q590" s="87"/>
      <c r="R590" s="87"/>
      <c r="S590" s="87"/>
      <c r="T590" s="87"/>
      <c r="U590" s="87"/>
      <c r="V590" s="87"/>
      <c r="W590" s="87"/>
      <c r="X590" s="87"/>
      <c r="Y590" s="87"/>
      <c r="Z590" s="87"/>
    </row>
    <row r="591">
      <c r="A591" s="96"/>
      <c r="B591" s="96"/>
      <c r="C591" s="98"/>
      <c r="D591" s="98"/>
      <c r="E591" s="100"/>
      <c r="F591" s="100"/>
      <c r="G591" s="101"/>
      <c r="H591" s="100"/>
      <c r="I591" s="100"/>
      <c r="J591" s="46"/>
      <c r="K591" s="101"/>
      <c r="L591" s="101"/>
      <c r="M591" s="87"/>
      <c r="N591" s="87"/>
      <c r="O591" s="87"/>
      <c r="P591" s="87"/>
      <c r="Q591" s="87"/>
      <c r="R591" s="87"/>
      <c r="S591" s="87"/>
      <c r="T591" s="87"/>
      <c r="U591" s="87"/>
      <c r="V591" s="87"/>
      <c r="W591" s="87"/>
      <c r="X591" s="87"/>
      <c r="Y591" s="87"/>
      <c r="Z591" s="87"/>
    </row>
    <row r="592">
      <c r="A592" s="96"/>
      <c r="B592" s="96"/>
      <c r="C592" s="98"/>
      <c r="D592" s="98"/>
      <c r="E592" s="100"/>
      <c r="F592" s="100"/>
      <c r="G592" s="101"/>
      <c r="H592" s="100"/>
      <c r="I592" s="100"/>
      <c r="J592" s="46"/>
      <c r="K592" s="101"/>
      <c r="L592" s="101"/>
      <c r="M592" s="87"/>
      <c r="N592" s="87"/>
      <c r="O592" s="87"/>
      <c r="P592" s="87"/>
      <c r="Q592" s="87"/>
      <c r="R592" s="87"/>
      <c r="S592" s="87"/>
      <c r="T592" s="87"/>
      <c r="U592" s="87"/>
      <c r="V592" s="87"/>
      <c r="W592" s="87"/>
      <c r="X592" s="87"/>
      <c r="Y592" s="87"/>
      <c r="Z592" s="87"/>
    </row>
    <row r="593">
      <c r="A593" s="96"/>
      <c r="B593" s="96"/>
      <c r="C593" s="98"/>
      <c r="D593" s="98"/>
      <c r="E593" s="100"/>
      <c r="F593" s="100"/>
      <c r="G593" s="101"/>
      <c r="H593" s="100"/>
      <c r="I593" s="100"/>
      <c r="J593" s="46"/>
      <c r="K593" s="101"/>
      <c r="L593" s="101"/>
      <c r="M593" s="87"/>
      <c r="N593" s="87"/>
      <c r="O593" s="87"/>
      <c r="P593" s="87"/>
      <c r="Q593" s="87"/>
      <c r="R593" s="87"/>
      <c r="S593" s="87"/>
      <c r="T593" s="87"/>
      <c r="U593" s="87"/>
      <c r="V593" s="87"/>
      <c r="W593" s="87"/>
      <c r="X593" s="87"/>
      <c r="Y593" s="87"/>
      <c r="Z593" s="87"/>
    </row>
    <row r="594">
      <c r="A594" s="96"/>
      <c r="B594" s="96"/>
      <c r="C594" s="98"/>
      <c r="D594" s="98"/>
      <c r="E594" s="100"/>
      <c r="F594" s="100"/>
      <c r="G594" s="101"/>
      <c r="H594" s="100"/>
      <c r="I594" s="100"/>
      <c r="J594" s="46"/>
      <c r="K594" s="101"/>
      <c r="L594" s="101"/>
      <c r="M594" s="87"/>
      <c r="N594" s="87"/>
      <c r="O594" s="87"/>
      <c r="P594" s="87"/>
      <c r="Q594" s="87"/>
      <c r="R594" s="87"/>
      <c r="S594" s="87"/>
      <c r="T594" s="87"/>
      <c r="U594" s="87"/>
      <c r="V594" s="87"/>
      <c r="W594" s="87"/>
      <c r="X594" s="87"/>
      <c r="Y594" s="87"/>
      <c r="Z594" s="87"/>
    </row>
    <row r="595">
      <c r="A595" s="96"/>
      <c r="B595" s="96"/>
      <c r="C595" s="98"/>
      <c r="D595" s="98"/>
      <c r="E595" s="100"/>
      <c r="F595" s="100"/>
      <c r="G595" s="101"/>
      <c r="H595" s="100"/>
      <c r="I595" s="100"/>
      <c r="J595" s="46"/>
      <c r="K595" s="101"/>
      <c r="L595" s="101"/>
      <c r="M595" s="87"/>
      <c r="N595" s="87"/>
      <c r="O595" s="87"/>
      <c r="P595" s="87"/>
      <c r="Q595" s="87"/>
      <c r="R595" s="87"/>
      <c r="S595" s="87"/>
      <c r="T595" s="87"/>
      <c r="U595" s="87"/>
      <c r="V595" s="87"/>
      <c r="W595" s="87"/>
      <c r="X595" s="87"/>
      <c r="Y595" s="87"/>
      <c r="Z595" s="87"/>
    </row>
    <row r="596">
      <c r="A596" s="96"/>
      <c r="B596" s="96"/>
      <c r="C596" s="98"/>
      <c r="D596" s="98"/>
      <c r="E596" s="100"/>
      <c r="F596" s="100"/>
      <c r="G596" s="101"/>
      <c r="H596" s="100"/>
      <c r="I596" s="100"/>
      <c r="J596" s="46"/>
      <c r="K596" s="101"/>
      <c r="L596" s="101"/>
      <c r="M596" s="87"/>
      <c r="N596" s="87"/>
      <c r="O596" s="87"/>
      <c r="P596" s="87"/>
      <c r="Q596" s="87"/>
      <c r="R596" s="87"/>
      <c r="S596" s="87"/>
      <c r="T596" s="87"/>
      <c r="U596" s="87"/>
      <c r="V596" s="87"/>
      <c r="W596" s="87"/>
      <c r="X596" s="87"/>
      <c r="Y596" s="87"/>
      <c r="Z596" s="87"/>
    </row>
    <row r="597">
      <c r="A597" s="96"/>
      <c r="B597" s="96"/>
      <c r="C597" s="98"/>
      <c r="D597" s="98"/>
      <c r="E597" s="100"/>
      <c r="F597" s="100"/>
      <c r="G597" s="101"/>
      <c r="H597" s="100"/>
      <c r="I597" s="100"/>
      <c r="J597" s="46"/>
      <c r="K597" s="101"/>
      <c r="L597" s="101"/>
      <c r="M597" s="87"/>
      <c r="N597" s="87"/>
      <c r="O597" s="87"/>
      <c r="P597" s="87"/>
      <c r="Q597" s="87"/>
      <c r="R597" s="87"/>
      <c r="S597" s="87"/>
      <c r="T597" s="87"/>
      <c r="U597" s="87"/>
      <c r="V597" s="87"/>
      <c r="W597" s="87"/>
      <c r="X597" s="87"/>
      <c r="Y597" s="87"/>
      <c r="Z597" s="87"/>
    </row>
    <row r="598">
      <c r="A598" s="96"/>
      <c r="B598" s="96"/>
      <c r="C598" s="98"/>
      <c r="D598" s="98"/>
      <c r="E598" s="100"/>
      <c r="F598" s="100"/>
      <c r="G598" s="101"/>
      <c r="H598" s="100"/>
      <c r="I598" s="100"/>
      <c r="J598" s="46"/>
      <c r="K598" s="101"/>
      <c r="L598" s="101"/>
      <c r="M598" s="87"/>
      <c r="N598" s="87"/>
      <c r="O598" s="87"/>
      <c r="P598" s="87"/>
      <c r="Q598" s="87"/>
      <c r="R598" s="87"/>
      <c r="S598" s="87"/>
      <c r="T598" s="87"/>
      <c r="U598" s="87"/>
      <c r="V598" s="87"/>
      <c r="W598" s="87"/>
      <c r="X598" s="87"/>
      <c r="Y598" s="87"/>
      <c r="Z598" s="87"/>
    </row>
    <row r="599">
      <c r="A599" s="96"/>
      <c r="B599" s="96"/>
      <c r="C599" s="98"/>
      <c r="D599" s="98"/>
      <c r="E599" s="100"/>
      <c r="F599" s="100"/>
      <c r="G599" s="101"/>
      <c r="H599" s="100"/>
      <c r="I599" s="100"/>
      <c r="J599" s="46"/>
      <c r="K599" s="101"/>
      <c r="L599" s="101"/>
      <c r="M599" s="87"/>
      <c r="N599" s="87"/>
      <c r="O599" s="87"/>
      <c r="P599" s="87"/>
      <c r="Q599" s="87"/>
      <c r="R599" s="87"/>
      <c r="S599" s="87"/>
      <c r="T599" s="87"/>
      <c r="U599" s="87"/>
      <c r="V599" s="87"/>
      <c r="W599" s="87"/>
      <c r="X599" s="87"/>
      <c r="Y599" s="87"/>
      <c r="Z599" s="87"/>
    </row>
    <row r="600">
      <c r="A600" s="96"/>
      <c r="B600" s="96"/>
      <c r="C600" s="98"/>
      <c r="D600" s="98"/>
      <c r="E600" s="100"/>
      <c r="F600" s="100"/>
      <c r="G600" s="101"/>
      <c r="H600" s="100"/>
      <c r="I600" s="100"/>
      <c r="J600" s="46"/>
      <c r="K600" s="101"/>
      <c r="L600" s="101"/>
      <c r="M600" s="87"/>
      <c r="N600" s="87"/>
      <c r="O600" s="87"/>
      <c r="P600" s="87"/>
      <c r="Q600" s="87"/>
      <c r="R600" s="87"/>
      <c r="S600" s="87"/>
      <c r="T600" s="87"/>
      <c r="U600" s="87"/>
      <c r="V600" s="87"/>
      <c r="W600" s="87"/>
      <c r="X600" s="87"/>
      <c r="Y600" s="87"/>
      <c r="Z600" s="87"/>
    </row>
    <row r="601">
      <c r="A601" s="96"/>
      <c r="B601" s="96"/>
      <c r="C601" s="98"/>
      <c r="D601" s="98"/>
      <c r="E601" s="100"/>
      <c r="F601" s="100"/>
      <c r="G601" s="101"/>
      <c r="H601" s="100"/>
      <c r="I601" s="100"/>
      <c r="J601" s="46"/>
      <c r="K601" s="101"/>
      <c r="L601" s="101"/>
      <c r="M601" s="87"/>
      <c r="N601" s="87"/>
      <c r="O601" s="87"/>
      <c r="P601" s="87"/>
      <c r="Q601" s="87"/>
      <c r="R601" s="87"/>
      <c r="S601" s="87"/>
      <c r="T601" s="87"/>
      <c r="U601" s="87"/>
      <c r="V601" s="87"/>
      <c r="W601" s="87"/>
      <c r="X601" s="87"/>
      <c r="Y601" s="87"/>
      <c r="Z601" s="87"/>
    </row>
    <row r="602">
      <c r="A602" s="96"/>
      <c r="B602" s="96"/>
      <c r="C602" s="98"/>
      <c r="D602" s="98"/>
      <c r="E602" s="100"/>
      <c r="F602" s="100"/>
      <c r="G602" s="101"/>
      <c r="H602" s="100"/>
      <c r="I602" s="100"/>
      <c r="J602" s="46"/>
      <c r="K602" s="101"/>
      <c r="L602" s="101"/>
      <c r="M602" s="87"/>
      <c r="N602" s="87"/>
      <c r="O602" s="87"/>
      <c r="P602" s="87"/>
      <c r="Q602" s="87"/>
      <c r="R602" s="87"/>
      <c r="S602" s="87"/>
      <c r="T602" s="87"/>
      <c r="U602" s="87"/>
      <c r="V602" s="87"/>
      <c r="W602" s="87"/>
      <c r="X602" s="87"/>
      <c r="Y602" s="87"/>
      <c r="Z602" s="87"/>
    </row>
    <row r="603">
      <c r="A603" s="96"/>
      <c r="B603" s="96"/>
      <c r="C603" s="98"/>
      <c r="D603" s="98"/>
      <c r="E603" s="100"/>
      <c r="F603" s="100"/>
      <c r="G603" s="101"/>
      <c r="H603" s="100"/>
      <c r="I603" s="100"/>
      <c r="J603" s="46"/>
      <c r="K603" s="101"/>
      <c r="L603" s="101"/>
      <c r="M603" s="87"/>
      <c r="N603" s="87"/>
      <c r="O603" s="87"/>
      <c r="P603" s="87"/>
      <c r="Q603" s="87"/>
      <c r="R603" s="87"/>
      <c r="S603" s="87"/>
      <c r="T603" s="87"/>
      <c r="U603" s="87"/>
      <c r="V603" s="87"/>
      <c r="W603" s="87"/>
      <c r="X603" s="87"/>
      <c r="Y603" s="87"/>
      <c r="Z603" s="87"/>
    </row>
    <row r="604">
      <c r="A604" s="96"/>
      <c r="B604" s="96"/>
      <c r="C604" s="98"/>
      <c r="D604" s="98"/>
      <c r="E604" s="100"/>
      <c r="F604" s="100"/>
      <c r="G604" s="101"/>
      <c r="H604" s="100"/>
      <c r="I604" s="100"/>
      <c r="J604" s="46"/>
      <c r="K604" s="101"/>
      <c r="L604" s="101"/>
      <c r="M604" s="87"/>
      <c r="N604" s="87"/>
      <c r="O604" s="87"/>
      <c r="P604" s="87"/>
      <c r="Q604" s="87"/>
      <c r="R604" s="87"/>
      <c r="S604" s="87"/>
      <c r="T604" s="87"/>
      <c r="U604" s="87"/>
      <c r="V604" s="87"/>
      <c r="W604" s="87"/>
      <c r="X604" s="87"/>
      <c r="Y604" s="87"/>
      <c r="Z604" s="87"/>
    </row>
    <row r="605">
      <c r="A605" s="96"/>
      <c r="B605" s="96"/>
      <c r="C605" s="98"/>
      <c r="D605" s="98"/>
      <c r="E605" s="100"/>
      <c r="F605" s="100"/>
      <c r="G605" s="101"/>
      <c r="H605" s="100"/>
      <c r="I605" s="100"/>
      <c r="J605" s="46"/>
      <c r="K605" s="101"/>
      <c r="L605" s="101"/>
      <c r="M605" s="87"/>
      <c r="N605" s="87"/>
      <c r="O605" s="87"/>
      <c r="P605" s="87"/>
      <c r="Q605" s="87"/>
      <c r="R605" s="87"/>
      <c r="S605" s="87"/>
      <c r="T605" s="87"/>
      <c r="U605" s="87"/>
      <c r="V605" s="87"/>
      <c r="W605" s="87"/>
      <c r="X605" s="87"/>
      <c r="Y605" s="87"/>
      <c r="Z605" s="87"/>
    </row>
    <row r="606">
      <c r="A606" s="96"/>
      <c r="B606" s="96"/>
      <c r="C606" s="98"/>
      <c r="D606" s="98"/>
      <c r="E606" s="100"/>
      <c r="F606" s="100"/>
      <c r="G606" s="101"/>
      <c r="H606" s="100"/>
      <c r="I606" s="100"/>
      <c r="J606" s="46"/>
      <c r="K606" s="101"/>
      <c r="L606" s="101"/>
      <c r="M606" s="87"/>
      <c r="N606" s="87"/>
      <c r="O606" s="87"/>
      <c r="P606" s="87"/>
      <c r="Q606" s="87"/>
      <c r="R606" s="87"/>
      <c r="S606" s="87"/>
      <c r="T606" s="87"/>
      <c r="U606" s="87"/>
      <c r="V606" s="87"/>
      <c r="W606" s="87"/>
      <c r="X606" s="87"/>
      <c r="Y606" s="87"/>
      <c r="Z606" s="87"/>
    </row>
    <row r="607">
      <c r="A607" s="96"/>
      <c r="B607" s="96"/>
      <c r="C607" s="98"/>
      <c r="D607" s="98"/>
      <c r="E607" s="100"/>
      <c r="F607" s="100"/>
      <c r="G607" s="101"/>
      <c r="H607" s="100"/>
      <c r="I607" s="100"/>
      <c r="J607" s="46"/>
      <c r="K607" s="101"/>
      <c r="L607" s="101"/>
      <c r="M607" s="87"/>
      <c r="N607" s="87"/>
      <c r="O607" s="87"/>
      <c r="P607" s="87"/>
      <c r="Q607" s="87"/>
      <c r="R607" s="87"/>
      <c r="S607" s="87"/>
      <c r="T607" s="87"/>
      <c r="U607" s="87"/>
      <c r="V607" s="87"/>
      <c r="W607" s="87"/>
      <c r="X607" s="87"/>
      <c r="Y607" s="87"/>
      <c r="Z607" s="87"/>
    </row>
    <row r="608">
      <c r="A608" s="96"/>
      <c r="B608" s="96"/>
      <c r="C608" s="98"/>
      <c r="D608" s="98"/>
      <c r="E608" s="100"/>
      <c r="F608" s="100"/>
      <c r="G608" s="101"/>
      <c r="H608" s="100"/>
      <c r="I608" s="100"/>
      <c r="J608" s="46"/>
      <c r="K608" s="101"/>
      <c r="L608" s="101"/>
      <c r="M608" s="87"/>
      <c r="N608" s="87"/>
      <c r="O608" s="87"/>
      <c r="P608" s="87"/>
      <c r="Q608" s="87"/>
      <c r="R608" s="87"/>
      <c r="S608" s="87"/>
      <c r="T608" s="87"/>
      <c r="U608" s="87"/>
      <c r="V608" s="87"/>
      <c r="W608" s="87"/>
      <c r="X608" s="87"/>
      <c r="Y608" s="87"/>
      <c r="Z608" s="87"/>
    </row>
    <row r="609">
      <c r="A609" s="96"/>
      <c r="B609" s="96"/>
      <c r="C609" s="98"/>
      <c r="D609" s="98"/>
      <c r="E609" s="100"/>
      <c r="F609" s="100"/>
      <c r="G609" s="101"/>
      <c r="H609" s="100"/>
      <c r="I609" s="100"/>
      <c r="J609" s="46"/>
      <c r="K609" s="101"/>
      <c r="L609" s="101"/>
      <c r="M609" s="87"/>
      <c r="N609" s="87"/>
      <c r="O609" s="87"/>
      <c r="P609" s="87"/>
      <c r="Q609" s="87"/>
      <c r="R609" s="87"/>
      <c r="S609" s="87"/>
      <c r="T609" s="87"/>
      <c r="U609" s="87"/>
      <c r="V609" s="87"/>
      <c r="W609" s="87"/>
      <c r="X609" s="87"/>
      <c r="Y609" s="87"/>
      <c r="Z609" s="87"/>
    </row>
    <row r="610">
      <c r="A610" s="96"/>
      <c r="B610" s="96"/>
      <c r="C610" s="98"/>
      <c r="D610" s="98"/>
      <c r="E610" s="100"/>
      <c r="F610" s="100"/>
      <c r="G610" s="101"/>
      <c r="H610" s="100"/>
      <c r="I610" s="100"/>
      <c r="J610" s="46"/>
      <c r="K610" s="101"/>
      <c r="L610" s="101"/>
      <c r="M610" s="87"/>
      <c r="N610" s="87"/>
      <c r="O610" s="87"/>
      <c r="P610" s="87"/>
      <c r="Q610" s="87"/>
      <c r="R610" s="87"/>
      <c r="S610" s="87"/>
      <c r="T610" s="87"/>
      <c r="U610" s="87"/>
      <c r="V610" s="87"/>
      <c r="W610" s="87"/>
      <c r="X610" s="87"/>
      <c r="Y610" s="87"/>
      <c r="Z610" s="87"/>
    </row>
    <row r="611">
      <c r="A611" s="96"/>
      <c r="B611" s="96"/>
      <c r="C611" s="98"/>
      <c r="D611" s="98"/>
      <c r="E611" s="100"/>
      <c r="F611" s="100"/>
      <c r="G611" s="101"/>
      <c r="H611" s="100"/>
      <c r="I611" s="100"/>
      <c r="J611" s="46"/>
      <c r="K611" s="101"/>
      <c r="L611" s="101"/>
      <c r="M611" s="87"/>
      <c r="N611" s="87"/>
      <c r="O611" s="87"/>
      <c r="P611" s="87"/>
      <c r="Q611" s="87"/>
      <c r="R611" s="87"/>
      <c r="S611" s="87"/>
      <c r="T611" s="87"/>
      <c r="U611" s="87"/>
      <c r="V611" s="87"/>
      <c r="W611" s="87"/>
      <c r="X611" s="87"/>
      <c r="Y611" s="87"/>
      <c r="Z611" s="87"/>
    </row>
    <row r="612">
      <c r="A612" s="96"/>
      <c r="B612" s="96"/>
      <c r="C612" s="98"/>
      <c r="D612" s="98"/>
      <c r="E612" s="100"/>
      <c r="F612" s="100"/>
      <c r="G612" s="101"/>
      <c r="H612" s="100"/>
      <c r="I612" s="100"/>
      <c r="J612" s="46"/>
      <c r="K612" s="101"/>
      <c r="L612" s="101"/>
      <c r="M612" s="87"/>
      <c r="N612" s="87"/>
      <c r="O612" s="87"/>
      <c r="P612" s="87"/>
      <c r="Q612" s="87"/>
      <c r="R612" s="87"/>
      <c r="S612" s="87"/>
      <c r="T612" s="87"/>
      <c r="U612" s="87"/>
      <c r="V612" s="87"/>
      <c r="W612" s="87"/>
      <c r="X612" s="87"/>
      <c r="Y612" s="87"/>
      <c r="Z612" s="87"/>
    </row>
    <row r="613">
      <c r="A613" s="96"/>
      <c r="B613" s="96"/>
      <c r="C613" s="98"/>
      <c r="D613" s="98"/>
      <c r="E613" s="100"/>
      <c r="F613" s="100"/>
      <c r="G613" s="101"/>
      <c r="H613" s="100"/>
      <c r="I613" s="100"/>
      <c r="J613" s="46"/>
      <c r="K613" s="101"/>
      <c r="L613" s="101"/>
      <c r="M613" s="87"/>
      <c r="N613" s="87"/>
      <c r="O613" s="87"/>
      <c r="P613" s="87"/>
      <c r="Q613" s="87"/>
      <c r="R613" s="87"/>
      <c r="S613" s="87"/>
      <c r="T613" s="87"/>
      <c r="U613" s="87"/>
      <c r="V613" s="87"/>
      <c r="W613" s="87"/>
      <c r="X613" s="87"/>
      <c r="Y613" s="87"/>
      <c r="Z613" s="87"/>
    </row>
    <row r="614">
      <c r="A614" s="96"/>
      <c r="B614" s="96"/>
      <c r="C614" s="98"/>
      <c r="D614" s="98"/>
      <c r="E614" s="100"/>
      <c r="F614" s="100"/>
      <c r="G614" s="101"/>
      <c r="H614" s="100"/>
      <c r="I614" s="100"/>
      <c r="J614" s="46"/>
      <c r="K614" s="101"/>
      <c r="L614" s="101"/>
      <c r="M614" s="87"/>
      <c r="N614" s="87"/>
      <c r="O614" s="87"/>
      <c r="P614" s="87"/>
      <c r="Q614" s="87"/>
      <c r="R614" s="87"/>
      <c r="S614" s="87"/>
      <c r="T614" s="87"/>
      <c r="U614" s="87"/>
      <c r="V614" s="87"/>
      <c r="W614" s="87"/>
      <c r="X614" s="87"/>
      <c r="Y614" s="87"/>
      <c r="Z614" s="87"/>
    </row>
    <row r="615">
      <c r="A615" s="96"/>
      <c r="B615" s="96"/>
      <c r="C615" s="98"/>
      <c r="D615" s="98"/>
      <c r="E615" s="100"/>
      <c r="F615" s="100"/>
      <c r="G615" s="101"/>
      <c r="H615" s="100"/>
      <c r="I615" s="100"/>
      <c r="J615" s="46"/>
      <c r="K615" s="101"/>
      <c r="L615" s="101"/>
      <c r="M615" s="87"/>
      <c r="N615" s="87"/>
      <c r="O615" s="87"/>
      <c r="P615" s="87"/>
      <c r="Q615" s="87"/>
      <c r="R615" s="87"/>
      <c r="S615" s="87"/>
      <c r="T615" s="87"/>
      <c r="U615" s="87"/>
      <c r="V615" s="87"/>
      <c r="W615" s="87"/>
      <c r="X615" s="87"/>
      <c r="Y615" s="87"/>
      <c r="Z615" s="87"/>
    </row>
    <row r="616">
      <c r="A616" s="96"/>
      <c r="B616" s="96"/>
      <c r="C616" s="98"/>
      <c r="D616" s="98"/>
      <c r="E616" s="100"/>
      <c r="F616" s="100"/>
      <c r="G616" s="101"/>
      <c r="H616" s="100"/>
      <c r="I616" s="100"/>
      <c r="J616" s="46"/>
      <c r="K616" s="101"/>
      <c r="L616" s="101"/>
      <c r="M616" s="87"/>
      <c r="N616" s="87"/>
      <c r="O616" s="87"/>
      <c r="P616" s="87"/>
      <c r="Q616" s="87"/>
      <c r="R616" s="87"/>
      <c r="S616" s="87"/>
      <c r="T616" s="87"/>
      <c r="U616" s="87"/>
      <c r="V616" s="87"/>
      <c r="W616" s="87"/>
      <c r="X616" s="87"/>
      <c r="Y616" s="87"/>
      <c r="Z616" s="87"/>
    </row>
    <row r="617">
      <c r="A617" s="96"/>
      <c r="B617" s="96"/>
      <c r="C617" s="98"/>
      <c r="D617" s="98"/>
      <c r="E617" s="100"/>
      <c r="F617" s="100"/>
      <c r="G617" s="101"/>
      <c r="H617" s="100"/>
      <c r="I617" s="100"/>
      <c r="J617" s="46"/>
      <c r="K617" s="101"/>
      <c r="L617" s="101"/>
      <c r="M617" s="87"/>
      <c r="N617" s="87"/>
      <c r="O617" s="87"/>
      <c r="P617" s="87"/>
      <c r="Q617" s="87"/>
      <c r="R617" s="87"/>
      <c r="S617" s="87"/>
      <c r="T617" s="87"/>
      <c r="U617" s="87"/>
      <c r="V617" s="87"/>
      <c r="W617" s="87"/>
      <c r="X617" s="87"/>
      <c r="Y617" s="87"/>
      <c r="Z617" s="87"/>
    </row>
    <row r="618">
      <c r="A618" s="96"/>
      <c r="B618" s="96"/>
      <c r="C618" s="98"/>
      <c r="D618" s="98"/>
      <c r="E618" s="100"/>
      <c r="F618" s="100"/>
      <c r="G618" s="101"/>
      <c r="H618" s="100"/>
      <c r="I618" s="100"/>
      <c r="J618" s="46"/>
      <c r="K618" s="101"/>
      <c r="L618" s="101"/>
      <c r="M618" s="87"/>
      <c r="N618" s="87"/>
      <c r="O618" s="87"/>
      <c r="P618" s="87"/>
      <c r="Q618" s="87"/>
      <c r="R618" s="87"/>
      <c r="S618" s="87"/>
      <c r="T618" s="87"/>
      <c r="U618" s="87"/>
      <c r="V618" s="87"/>
      <c r="W618" s="87"/>
      <c r="X618" s="87"/>
      <c r="Y618" s="87"/>
      <c r="Z618" s="87"/>
    </row>
    <row r="619">
      <c r="A619" s="96"/>
      <c r="B619" s="96"/>
      <c r="C619" s="98"/>
      <c r="D619" s="98"/>
      <c r="E619" s="100"/>
      <c r="F619" s="100"/>
      <c r="G619" s="101"/>
      <c r="H619" s="100"/>
      <c r="I619" s="100"/>
      <c r="J619" s="46"/>
      <c r="K619" s="101"/>
      <c r="L619" s="101"/>
      <c r="M619" s="87"/>
      <c r="N619" s="87"/>
      <c r="O619" s="87"/>
      <c r="P619" s="87"/>
      <c r="Q619" s="87"/>
      <c r="R619" s="87"/>
      <c r="S619" s="87"/>
      <c r="T619" s="87"/>
      <c r="U619" s="87"/>
      <c r="V619" s="87"/>
      <c r="W619" s="87"/>
      <c r="X619" s="87"/>
      <c r="Y619" s="87"/>
      <c r="Z619" s="87"/>
    </row>
    <row r="620">
      <c r="A620" s="96"/>
      <c r="B620" s="96"/>
      <c r="C620" s="98"/>
      <c r="D620" s="98"/>
      <c r="E620" s="100"/>
      <c r="F620" s="100"/>
      <c r="G620" s="101"/>
      <c r="H620" s="100"/>
      <c r="I620" s="100"/>
      <c r="J620" s="46"/>
      <c r="K620" s="101"/>
      <c r="L620" s="101"/>
      <c r="M620" s="87"/>
      <c r="N620" s="87"/>
      <c r="O620" s="87"/>
      <c r="P620" s="87"/>
      <c r="Q620" s="87"/>
      <c r="R620" s="87"/>
      <c r="S620" s="87"/>
      <c r="T620" s="87"/>
      <c r="U620" s="87"/>
      <c r="V620" s="87"/>
      <c r="W620" s="87"/>
      <c r="X620" s="87"/>
      <c r="Y620" s="87"/>
      <c r="Z620" s="87"/>
    </row>
    <row r="621">
      <c r="A621" s="96"/>
      <c r="B621" s="96"/>
      <c r="C621" s="98"/>
      <c r="D621" s="98"/>
      <c r="E621" s="100"/>
      <c r="F621" s="100"/>
      <c r="G621" s="101"/>
      <c r="H621" s="100"/>
      <c r="I621" s="100"/>
      <c r="J621" s="46"/>
      <c r="K621" s="101"/>
      <c r="L621" s="101"/>
      <c r="M621" s="87"/>
      <c r="N621" s="87"/>
      <c r="O621" s="87"/>
      <c r="P621" s="87"/>
      <c r="Q621" s="87"/>
      <c r="R621" s="87"/>
      <c r="S621" s="87"/>
      <c r="T621" s="87"/>
      <c r="U621" s="87"/>
      <c r="V621" s="87"/>
      <c r="W621" s="87"/>
      <c r="X621" s="87"/>
      <c r="Y621" s="87"/>
      <c r="Z621" s="87"/>
    </row>
    <row r="622">
      <c r="A622" s="96"/>
      <c r="B622" s="96"/>
      <c r="C622" s="98"/>
      <c r="D622" s="98"/>
      <c r="E622" s="100"/>
      <c r="F622" s="100"/>
      <c r="G622" s="101"/>
      <c r="H622" s="100"/>
      <c r="I622" s="100"/>
      <c r="J622" s="46"/>
      <c r="K622" s="101"/>
      <c r="L622" s="101"/>
      <c r="M622" s="87"/>
      <c r="N622" s="87"/>
      <c r="O622" s="87"/>
      <c r="P622" s="87"/>
      <c r="Q622" s="87"/>
      <c r="R622" s="87"/>
      <c r="S622" s="87"/>
      <c r="T622" s="87"/>
      <c r="U622" s="87"/>
      <c r="V622" s="87"/>
      <c r="W622" s="87"/>
      <c r="X622" s="87"/>
      <c r="Y622" s="87"/>
      <c r="Z622" s="87"/>
    </row>
    <row r="623">
      <c r="A623" s="96"/>
      <c r="B623" s="96"/>
      <c r="C623" s="98"/>
      <c r="D623" s="98"/>
      <c r="E623" s="100"/>
      <c r="F623" s="100"/>
      <c r="G623" s="101"/>
      <c r="H623" s="100"/>
      <c r="I623" s="100"/>
      <c r="J623" s="46"/>
      <c r="K623" s="101"/>
      <c r="L623" s="101"/>
      <c r="M623" s="87"/>
      <c r="N623" s="87"/>
      <c r="O623" s="87"/>
      <c r="P623" s="87"/>
      <c r="Q623" s="87"/>
      <c r="R623" s="87"/>
      <c r="S623" s="87"/>
      <c r="T623" s="87"/>
      <c r="U623" s="87"/>
      <c r="V623" s="87"/>
      <c r="W623" s="87"/>
      <c r="X623" s="87"/>
      <c r="Y623" s="87"/>
      <c r="Z623" s="87"/>
    </row>
    <row r="624">
      <c r="A624" s="96"/>
      <c r="B624" s="96"/>
      <c r="C624" s="98"/>
      <c r="D624" s="98"/>
      <c r="E624" s="100"/>
      <c r="F624" s="100"/>
      <c r="G624" s="101"/>
      <c r="H624" s="100"/>
      <c r="I624" s="100"/>
      <c r="J624" s="46"/>
      <c r="K624" s="101"/>
      <c r="L624" s="101"/>
      <c r="M624" s="87"/>
      <c r="N624" s="87"/>
      <c r="O624" s="87"/>
      <c r="P624" s="87"/>
      <c r="Q624" s="87"/>
      <c r="R624" s="87"/>
      <c r="S624" s="87"/>
      <c r="T624" s="87"/>
      <c r="U624" s="87"/>
      <c r="V624" s="87"/>
      <c r="W624" s="87"/>
      <c r="X624" s="87"/>
      <c r="Y624" s="87"/>
      <c r="Z624" s="87"/>
    </row>
    <row r="625">
      <c r="A625" s="96"/>
      <c r="B625" s="96"/>
      <c r="C625" s="98"/>
      <c r="D625" s="98"/>
      <c r="E625" s="100"/>
      <c r="F625" s="100"/>
      <c r="G625" s="101"/>
      <c r="H625" s="100"/>
      <c r="I625" s="100"/>
      <c r="J625" s="46"/>
      <c r="K625" s="101"/>
      <c r="L625" s="101"/>
      <c r="M625" s="87"/>
      <c r="N625" s="87"/>
      <c r="O625" s="87"/>
      <c r="P625" s="87"/>
      <c r="Q625" s="87"/>
      <c r="R625" s="87"/>
      <c r="S625" s="87"/>
      <c r="T625" s="87"/>
      <c r="U625" s="87"/>
      <c r="V625" s="87"/>
      <c r="W625" s="87"/>
      <c r="X625" s="87"/>
      <c r="Y625" s="87"/>
      <c r="Z625" s="87"/>
    </row>
    <row r="626">
      <c r="A626" s="96"/>
      <c r="B626" s="96"/>
      <c r="C626" s="98"/>
      <c r="D626" s="98"/>
      <c r="E626" s="100"/>
      <c r="F626" s="100"/>
      <c r="G626" s="101"/>
      <c r="H626" s="100"/>
      <c r="I626" s="100"/>
      <c r="J626" s="46"/>
      <c r="K626" s="101"/>
      <c r="L626" s="101"/>
      <c r="M626" s="87"/>
      <c r="N626" s="87"/>
      <c r="O626" s="87"/>
      <c r="P626" s="87"/>
      <c r="Q626" s="87"/>
      <c r="R626" s="87"/>
      <c r="S626" s="87"/>
      <c r="T626" s="87"/>
      <c r="U626" s="87"/>
      <c r="V626" s="87"/>
      <c r="W626" s="87"/>
      <c r="X626" s="87"/>
      <c r="Y626" s="87"/>
      <c r="Z626" s="87"/>
    </row>
    <row r="627">
      <c r="A627" s="96"/>
      <c r="B627" s="96"/>
      <c r="C627" s="98"/>
      <c r="D627" s="98"/>
      <c r="E627" s="100"/>
      <c r="F627" s="100"/>
      <c r="G627" s="101"/>
      <c r="H627" s="100"/>
      <c r="I627" s="100"/>
      <c r="J627" s="46"/>
      <c r="K627" s="101"/>
      <c r="L627" s="101"/>
      <c r="M627" s="87"/>
      <c r="N627" s="87"/>
      <c r="O627" s="87"/>
      <c r="P627" s="87"/>
      <c r="Q627" s="87"/>
      <c r="R627" s="87"/>
      <c r="S627" s="87"/>
      <c r="T627" s="87"/>
      <c r="U627" s="87"/>
      <c r="V627" s="87"/>
      <c r="W627" s="87"/>
      <c r="X627" s="87"/>
      <c r="Y627" s="87"/>
      <c r="Z627" s="87"/>
    </row>
    <row r="628">
      <c r="A628" s="96"/>
      <c r="B628" s="96"/>
      <c r="C628" s="98"/>
      <c r="D628" s="98"/>
      <c r="E628" s="100"/>
      <c r="F628" s="100"/>
      <c r="G628" s="101"/>
      <c r="H628" s="100"/>
      <c r="I628" s="100"/>
      <c r="J628" s="46"/>
      <c r="K628" s="101"/>
      <c r="L628" s="101"/>
      <c r="M628" s="87"/>
      <c r="N628" s="87"/>
      <c r="O628" s="87"/>
      <c r="P628" s="87"/>
      <c r="Q628" s="87"/>
      <c r="R628" s="87"/>
      <c r="S628" s="87"/>
      <c r="T628" s="87"/>
      <c r="U628" s="87"/>
      <c r="V628" s="87"/>
      <c r="W628" s="87"/>
      <c r="X628" s="87"/>
      <c r="Y628" s="87"/>
      <c r="Z628" s="87"/>
    </row>
    <row r="629">
      <c r="A629" s="96"/>
      <c r="B629" s="96"/>
      <c r="C629" s="98"/>
      <c r="D629" s="98"/>
      <c r="E629" s="100"/>
      <c r="F629" s="100"/>
      <c r="G629" s="101"/>
      <c r="H629" s="100"/>
      <c r="I629" s="100"/>
      <c r="J629" s="46"/>
      <c r="K629" s="101"/>
      <c r="L629" s="101"/>
      <c r="M629" s="87"/>
      <c r="N629" s="87"/>
      <c r="O629" s="87"/>
      <c r="P629" s="87"/>
      <c r="Q629" s="87"/>
      <c r="R629" s="87"/>
      <c r="S629" s="87"/>
      <c r="T629" s="87"/>
      <c r="U629" s="87"/>
      <c r="V629" s="87"/>
      <c r="W629" s="87"/>
      <c r="X629" s="87"/>
      <c r="Y629" s="87"/>
      <c r="Z629" s="87"/>
    </row>
    <row r="630">
      <c r="A630" s="96"/>
      <c r="B630" s="96"/>
      <c r="C630" s="98"/>
      <c r="D630" s="98"/>
      <c r="E630" s="100"/>
      <c r="F630" s="100"/>
      <c r="G630" s="101"/>
      <c r="H630" s="100"/>
      <c r="I630" s="100"/>
      <c r="J630" s="46"/>
      <c r="K630" s="101"/>
      <c r="L630" s="101"/>
      <c r="M630" s="87"/>
      <c r="N630" s="87"/>
      <c r="O630" s="87"/>
      <c r="P630" s="87"/>
      <c r="Q630" s="87"/>
      <c r="R630" s="87"/>
      <c r="S630" s="87"/>
      <c r="T630" s="87"/>
      <c r="U630" s="87"/>
      <c r="V630" s="87"/>
      <c r="W630" s="87"/>
      <c r="X630" s="87"/>
      <c r="Y630" s="87"/>
      <c r="Z630" s="87"/>
    </row>
    <row r="631">
      <c r="A631" s="96"/>
      <c r="B631" s="96"/>
      <c r="C631" s="98"/>
      <c r="D631" s="98"/>
      <c r="E631" s="100"/>
      <c r="F631" s="100"/>
      <c r="G631" s="101"/>
      <c r="H631" s="100"/>
      <c r="I631" s="100"/>
      <c r="J631" s="46"/>
      <c r="K631" s="101"/>
      <c r="L631" s="101"/>
      <c r="M631" s="87"/>
      <c r="N631" s="87"/>
      <c r="O631" s="87"/>
      <c r="P631" s="87"/>
      <c r="Q631" s="87"/>
      <c r="R631" s="87"/>
      <c r="S631" s="87"/>
      <c r="T631" s="87"/>
      <c r="U631" s="87"/>
      <c r="V631" s="87"/>
      <c r="W631" s="87"/>
      <c r="X631" s="87"/>
      <c r="Y631" s="87"/>
      <c r="Z631" s="87"/>
    </row>
    <row r="632">
      <c r="A632" s="96"/>
      <c r="B632" s="96"/>
      <c r="C632" s="98"/>
      <c r="D632" s="98"/>
      <c r="E632" s="100"/>
      <c r="F632" s="100"/>
      <c r="G632" s="101"/>
      <c r="H632" s="100"/>
      <c r="I632" s="100"/>
      <c r="J632" s="46"/>
      <c r="K632" s="101"/>
      <c r="L632" s="101"/>
      <c r="M632" s="87"/>
      <c r="N632" s="87"/>
      <c r="O632" s="87"/>
      <c r="P632" s="87"/>
      <c r="Q632" s="87"/>
      <c r="R632" s="87"/>
      <c r="S632" s="87"/>
      <c r="T632" s="87"/>
      <c r="U632" s="87"/>
      <c r="V632" s="87"/>
      <c r="W632" s="87"/>
      <c r="X632" s="87"/>
      <c r="Y632" s="87"/>
      <c r="Z632" s="87"/>
    </row>
    <row r="633">
      <c r="A633" s="96"/>
      <c r="B633" s="96"/>
      <c r="C633" s="98"/>
      <c r="D633" s="98"/>
      <c r="E633" s="100"/>
      <c r="F633" s="100"/>
      <c r="G633" s="101"/>
      <c r="H633" s="100"/>
      <c r="I633" s="100"/>
      <c r="J633" s="46"/>
      <c r="K633" s="101"/>
      <c r="L633" s="101"/>
      <c r="M633" s="87"/>
      <c r="N633" s="87"/>
      <c r="O633" s="87"/>
      <c r="P633" s="87"/>
      <c r="Q633" s="87"/>
      <c r="R633" s="87"/>
      <c r="S633" s="87"/>
      <c r="T633" s="87"/>
      <c r="U633" s="87"/>
      <c r="V633" s="87"/>
      <c r="W633" s="87"/>
      <c r="X633" s="87"/>
      <c r="Y633" s="87"/>
      <c r="Z633" s="87"/>
    </row>
    <row r="634">
      <c r="A634" s="96"/>
      <c r="B634" s="96"/>
      <c r="C634" s="98"/>
      <c r="D634" s="98"/>
      <c r="E634" s="100"/>
      <c r="F634" s="100"/>
      <c r="G634" s="101"/>
      <c r="H634" s="100"/>
      <c r="I634" s="100"/>
      <c r="J634" s="46"/>
      <c r="K634" s="101"/>
      <c r="L634" s="101"/>
      <c r="M634" s="87"/>
      <c r="N634" s="87"/>
      <c r="O634" s="87"/>
      <c r="P634" s="87"/>
      <c r="Q634" s="87"/>
      <c r="R634" s="87"/>
      <c r="S634" s="87"/>
      <c r="T634" s="87"/>
      <c r="U634" s="87"/>
      <c r="V634" s="87"/>
      <c r="W634" s="87"/>
      <c r="X634" s="87"/>
      <c r="Y634" s="87"/>
      <c r="Z634" s="87"/>
    </row>
    <row r="635">
      <c r="A635" s="96"/>
      <c r="B635" s="96"/>
      <c r="C635" s="98"/>
      <c r="D635" s="98"/>
      <c r="E635" s="100"/>
      <c r="F635" s="100"/>
      <c r="G635" s="101"/>
      <c r="H635" s="100"/>
      <c r="I635" s="100"/>
      <c r="J635" s="46"/>
      <c r="K635" s="101"/>
      <c r="L635" s="101"/>
      <c r="M635" s="87"/>
      <c r="N635" s="87"/>
      <c r="O635" s="87"/>
      <c r="P635" s="87"/>
      <c r="Q635" s="87"/>
      <c r="R635" s="87"/>
      <c r="S635" s="87"/>
      <c r="T635" s="87"/>
      <c r="U635" s="87"/>
      <c r="V635" s="87"/>
      <c r="W635" s="87"/>
      <c r="X635" s="87"/>
      <c r="Y635" s="87"/>
      <c r="Z635" s="87"/>
    </row>
    <row r="636">
      <c r="A636" s="96"/>
      <c r="B636" s="96"/>
      <c r="C636" s="98"/>
      <c r="D636" s="98"/>
      <c r="E636" s="100"/>
      <c r="F636" s="100"/>
      <c r="G636" s="101"/>
      <c r="H636" s="100"/>
      <c r="I636" s="100"/>
      <c r="J636" s="46"/>
      <c r="K636" s="101"/>
      <c r="L636" s="101"/>
      <c r="M636" s="87"/>
      <c r="N636" s="87"/>
      <c r="O636" s="87"/>
      <c r="P636" s="87"/>
      <c r="Q636" s="87"/>
      <c r="R636" s="87"/>
      <c r="S636" s="87"/>
      <c r="T636" s="87"/>
      <c r="U636" s="87"/>
      <c r="V636" s="87"/>
      <c r="W636" s="87"/>
      <c r="X636" s="87"/>
      <c r="Y636" s="87"/>
      <c r="Z636" s="87"/>
    </row>
    <row r="637">
      <c r="A637" s="96"/>
      <c r="B637" s="96"/>
      <c r="C637" s="98"/>
      <c r="D637" s="98"/>
      <c r="E637" s="100"/>
      <c r="F637" s="100"/>
      <c r="G637" s="101"/>
      <c r="H637" s="100"/>
      <c r="I637" s="100"/>
      <c r="J637" s="46"/>
      <c r="K637" s="101"/>
      <c r="L637" s="101"/>
      <c r="M637" s="87"/>
      <c r="N637" s="87"/>
      <c r="O637" s="87"/>
      <c r="P637" s="87"/>
      <c r="Q637" s="87"/>
      <c r="R637" s="87"/>
      <c r="S637" s="87"/>
      <c r="T637" s="87"/>
      <c r="U637" s="87"/>
      <c r="V637" s="87"/>
      <c r="W637" s="87"/>
      <c r="X637" s="87"/>
      <c r="Y637" s="87"/>
      <c r="Z637" s="87"/>
    </row>
    <row r="638">
      <c r="A638" s="96"/>
      <c r="B638" s="96"/>
      <c r="C638" s="98"/>
      <c r="D638" s="98"/>
      <c r="E638" s="100"/>
      <c r="F638" s="100"/>
      <c r="G638" s="101"/>
      <c r="H638" s="100"/>
      <c r="I638" s="100"/>
      <c r="J638" s="46"/>
      <c r="K638" s="101"/>
      <c r="L638" s="101"/>
      <c r="M638" s="87"/>
      <c r="N638" s="87"/>
      <c r="O638" s="87"/>
      <c r="P638" s="87"/>
      <c r="Q638" s="87"/>
      <c r="R638" s="87"/>
      <c r="S638" s="87"/>
      <c r="T638" s="87"/>
      <c r="U638" s="87"/>
      <c r="V638" s="87"/>
      <c r="W638" s="87"/>
      <c r="X638" s="87"/>
      <c r="Y638" s="87"/>
      <c r="Z638" s="87"/>
    </row>
    <row r="639">
      <c r="A639" s="96"/>
      <c r="B639" s="96"/>
      <c r="C639" s="98"/>
      <c r="D639" s="98"/>
      <c r="E639" s="100"/>
      <c r="F639" s="100"/>
      <c r="G639" s="101"/>
      <c r="H639" s="100"/>
      <c r="I639" s="100"/>
      <c r="J639" s="46"/>
      <c r="K639" s="101"/>
      <c r="L639" s="101"/>
      <c r="M639" s="87"/>
      <c r="N639" s="87"/>
      <c r="O639" s="87"/>
      <c r="P639" s="87"/>
      <c r="Q639" s="87"/>
      <c r="R639" s="87"/>
      <c r="S639" s="87"/>
      <c r="T639" s="87"/>
      <c r="U639" s="87"/>
      <c r="V639" s="87"/>
      <c r="W639" s="87"/>
      <c r="X639" s="87"/>
      <c r="Y639" s="87"/>
      <c r="Z639" s="87"/>
    </row>
    <row r="640">
      <c r="A640" s="96"/>
      <c r="B640" s="96"/>
      <c r="C640" s="98"/>
      <c r="D640" s="98"/>
      <c r="E640" s="100"/>
      <c r="F640" s="100"/>
      <c r="G640" s="101"/>
      <c r="H640" s="100"/>
      <c r="I640" s="100"/>
      <c r="J640" s="46"/>
      <c r="K640" s="101"/>
      <c r="L640" s="101"/>
      <c r="M640" s="87"/>
      <c r="N640" s="87"/>
      <c r="O640" s="87"/>
      <c r="P640" s="87"/>
      <c r="Q640" s="87"/>
      <c r="R640" s="87"/>
      <c r="S640" s="87"/>
      <c r="T640" s="87"/>
      <c r="U640" s="87"/>
      <c r="V640" s="87"/>
      <c r="W640" s="87"/>
      <c r="X640" s="87"/>
      <c r="Y640" s="87"/>
      <c r="Z640" s="87"/>
    </row>
    <row r="641">
      <c r="A641" s="96"/>
      <c r="B641" s="96"/>
      <c r="C641" s="98"/>
      <c r="D641" s="98"/>
      <c r="E641" s="100"/>
      <c r="F641" s="100"/>
      <c r="G641" s="101"/>
      <c r="H641" s="100"/>
      <c r="I641" s="100"/>
      <c r="J641" s="46"/>
      <c r="K641" s="101"/>
      <c r="L641" s="101"/>
      <c r="M641" s="87"/>
      <c r="N641" s="87"/>
      <c r="O641" s="87"/>
      <c r="P641" s="87"/>
      <c r="Q641" s="87"/>
      <c r="R641" s="87"/>
      <c r="S641" s="87"/>
      <c r="T641" s="87"/>
      <c r="U641" s="87"/>
      <c r="V641" s="87"/>
      <c r="W641" s="87"/>
      <c r="X641" s="87"/>
      <c r="Y641" s="87"/>
      <c r="Z641" s="87"/>
    </row>
    <row r="642">
      <c r="A642" s="96"/>
      <c r="B642" s="96"/>
      <c r="C642" s="98"/>
      <c r="D642" s="98"/>
      <c r="E642" s="100"/>
      <c r="F642" s="100"/>
      <c r="G642" s="101"/>
      <c r="H642" s="100"/>
      <c r="I642" s="100"/>
      <c r="J642" s="46"/>
      <c r="K642" s="101"/>
      <c r="L642" s="101"/>
      <c r="M642" s="87"/>
      <c r="N642" s="87"/>
      <c r="O642" s="87"/>
      <c r="P642" s="87"/>
      <c r="Q642" s="87"/>
      <c r="R642" s="87"/>
      <c r="S642" s="87"/>
      <c r="T642" s="87"/>
      <c r="U642" s="87"/>
      <c r="V642" s="87"/>
      <c r="W642" s="87"/>
      <c r="X642" s="87"/>
      <c r="Y642" s="87"/>
      <c r="Z642" s="87"/>
    </row>
    <row r="643">
      <c r="A643" s="96"/>
      <c r="B643" s="96"/>
      <c r="C643" s="98"/>
      <c r="D643" s="98"/>
      <c r="E643" s="100"/>
      <c r="F643" s="100"/>
      <c r="G643" s="101"/>
      <c r="H643" s="100"/>
      <c r="I643" s="100"/>
      <c r="J643" s="46"/>
      <c r="K643" s="101"/>
      <c r="L643" s="101"/>
      <c r="M643" s="87"/>
      <c r="N643" s="87"/>
      <c r="O643" s="87"/>
      <c r="P643" s="87"/>
      <c r="Q643" s="87"/>
      <c r="R643" s="87"/>
      <c r="S643" s="87"/>
      <c r="T643" s="87"/>
      <c r="U643" s="87"/>
      <c r="V643" s="87"/>
      <c r="W643" s="87"/>
      <c r="X643" s="87"/>
      <c r="Y643" s="87"/>
      <c r="Z643" s="87"/>
    </row>
    <row r="644">
      <c r="A644" s="96"/>
      <c r="B644" s="96"/>
      <c r="C644" s="98"/>
      <c r="D644" s="98"/>
      <c r="E644" s="100"/>
      <c r="F644" s="100"/>
      <c r="G644" s="101"/>
      <c r="H644" s="100"/>
      <c r="I644" s="100"/>
      <c r="J644" s="46"/>
      <c r="K644" s="101"/>
      <c r="L644" s="101"/>
      <c r="M644" s="87"/>
      <c r="N644" s="87"/>
      <c r="O644" s="87"/>
      <c r="P644" s="87"/>
      <c r="Q644" s="87"/>
      <c r="R644" s="87"/>
      <c r="S644" s="87"/>
      <c r="T644" s="87"/>
      <c r="U644" s="87"/>
      <c r="V644" s="87"/>
      <c r="W644" s="87"/>
      <c r="X644" s="87"/>
      <c r="Y644" s="87"/>
      <c r="Z644" s="87"/>
    </row>
    <row r="645">
      <c r="A645" s="96"/>
      <c r="B645" s="96"/>
      <c r="C645" s="98"/>
      <c r="D645" s="98"/>
      <c r="E645" s="100"/>
      <c r="F645" s="100"/>
      <c r="G645" s="101"/>
      <c r="H645" s="100"/>
      <c r="I645" s="100"/>
      <c r="J645" s="46"/>
      <c r="K645" s="101"/>
      <c r="L645" s="101"/>
      <c r="M645" s="87"/>
      <c r="N645" s="87"/>
      <c r="O645" s="87"/>
      <c r="P645" s="87"/>
      <c r="Q645" s="87"/>
      <c r="R645" s="87"/>
      <c r="S645" s="87"/>
      <c r="T645" s="87"/>
      <c r="U645" s="87"/>
      <c r="V645" s="87"/>
      <c r="W645" s="87"/>
      <c r="X645" s="87"/>
      <c r="Y645" s="87"/>
      <c r="Z645" s="87"/>
    </row>
    <row r="646">
      <c r="A646" s="96"/>
      <c r="B646" s="96"/>
      <c r="C646" s="98"/>
      <c r="D646" s="98"/>
      <c r="E646" s="100"/>
      <c r="F646" s="100"/>
      <c r="G646" s="101"/>
      <c r="H646" s="100"/>
      <c r="I646" s="100"/>
      <c r="J646" s="46"/>
      <c r="K646" s="101"/>
      <c r="L646" s="101"/>
      <c r="M646" s="87"/>
      <c r="N646" s="87"/>
      <c r="O646" s="87"/>
      <c r="P646" s="87"/>
      <c r="Q646" s="87"/>
      <c r="R646" s="87"/>
      <c r="S646" s="87"/>
      <c r="T646" s="87"/>
      <c r="U646" s="87"/>
      <c r="V646" s="87"/>
      <c r="W646" s="87"/>
      <c r="X646" s="87"/>
      <c r="Y646" s="87"/>
      <c r="Z646" s="87"/>
    </row>
    <row r="647">
      <c r="A647" s="96"/>
      <c r="B647" s="96"/>
      <c r="C647" s="98"/>
      <c r="D647" s="98"/>
      <c r="E647" s="100"/>
      <c r="F647" s="100"/>
      <c r="G647" s="101"/>
      <c r="H647" s="100"/>
      <c r="I647" s="100"/>
      <c r="J647" s="46"/>
      <c r="K647" s="101"/>
      <c r="L647" s="101"/>
      <c r="M647" s="87"/>
      <c r="N647" s="87"/>
      <c r="O647" s="87"/>
      <c r="P647" s="87"/>
      <c r="Q647" s="87"/>
      <c r="R647" s="87"/>
      <c r="S647" s="87"/>
      <c r="T647" s="87"/>
      <c r="U647" s="87"/>
      <c r="V647" s="87"/>
      <c r="W647" s="87"/>
      <c r="X647" s="87"/>
      <c r="Y647" s="87"/>
      <c r="Z647" s="87"/>
    </row>
    <row r="648">
      <c r="A648" s="96"/>
      <c r="B648" s="96"/>
      <c r="C648" s="98"/>
      <c r="D648" s="98"/>
      <c r="E648" s="100"/>
      <c r="F648" s="100"/>
      <c r="G648" s="101"/>
      <c r="H648" s="100"/>
      <c r="I648" s="100"/>
      <c r="J648" s="46"/>
      <c r="K648" s="101"/>
      <c r="L648" s="101"/>
      <c r="M648" s="87"/>
      <c r="N648" s="87"/>
      <c r="O648" s="87"/>
      <c r="P648" s="87"/>
      <c r="Q648" s="87"/>
      <c r="R648" s="87"/>
      <c r="S648" s="87"/>
      <c r="T648" s="87"/>
      <c r="U648" s="87"/>
      <c r="V648" s="87"/>
      <c r="W648" s="87"/>
      <c r="X648" s="87"/>
      <c r="Y648" s="87"/>
      <c r="Z648" s="87"/>
    </row>
    <row r="649">
      <c r="A649" s="96"/>
      <c r="B649" s="96"/>
      <c r="C649" s="98"/>
      <c r="D649" s="98"/>
      <c r="E649" s="100"/>
      <c r="F649" s="100"/>
      <c r="G649" s="101"/>
      <c r="H649" s="100"/>
      <c r="I649" s="100"/>
      <c r="J649" s="46"/>
      <c r="K649" s="101"/>
      <c r="L649" s="101"/>
      <c r="M649" s="87"/>
      <c r="N649" s="87"/>
      <c r="O649" s="87"/>
      <c r="P649" s="87"/>
      <c r="Q649" s="87"/>
      <c r="R649" s="87"/>
      <c r="S649" s="87"/>
      <c r="T649" s="87"/>
      <c r="U649" s="87"/>
      <c r="V649" s="87"/>
      <c r="W649" s="87"/>
      <c r="X649" s="87"/>
      <c r="Y649" s="87"/>
      <c r="Z649" s="87"/>
    </row>
    <row r="650">
      <c r="A650" s="96"/>
      <c r="B650" s="96"/>
      <c r="C650" s="98"/>
      <c r="D650" s="98"/>
      <c r="E650" s="100"/>
      <c r="F650" s="100"/>
      <c r="G650" s="101"/>
      <c r="H650" s="100"/>
      <c r="I650" s="100"/>
      <c r="J650" s="46"/>
      <c r="K650" s="101"/>
      <c r="L650" s="101"/>
      <c r="M650" s="87"/>
      <c r="N650" s="87"/>
      <c r="O650" s="87"/>
      <c r="P650" s="87"/>
      <c r="Q650" s="87"/>
      <c r="R650" s="87"/>
      <c r="S650" s="87"/>
      <c r="T650" s="87"/>
      <c r="U650" s="87"/>
      <c r="V650" s="87"/>
      <c r="W650" s="87"/>
      <c r="X650" s="87"/>
      <c r="Y650" s="87"/>
      <c r="Z650" s="87"/>
    </row>
    <row r="651">
      <c r="A651" s="96"/>
      <c r="B651" s="96"/>
      <c r="C651" s="98"/>
      <c r="D651" s="98"/>
      <c r="E651" s="100"/>
      <c r="F651" s="100"/>
      <c r="G651" s="101"/>
      <c r="H651" s="100"/>
      <c r="I651" s="100"/>
      <c r="J651" s="46"/>
      <c r="K651" s="101"/>
      <c r="L651" s="101"/>
      <c r="M651" s="87"/>
      <c r="N651" s="87"/>
      <c r="O651" s="87"/>
      <c r="P651" s="87"/>
      <c r="Q651" s="87"/>
      <c r="R651" s="87"/>
      <c r="S651" s="87"/>
      <c r="T651" s="87"/>
      <c r="U651" s="87"/>
      <c r="V651" s="87"/>
      <c r="W651" s="87"/>
      <c r="X651" s="87"/>
      <c r="Y651" s="87"/>
      <c r="Z651" s="87"/>
    </row>
    <row r="652">
      <c r="A652" s="96"/>
      <c r="B652" s="96"/>
      <c r="C652" s="98"/>
      <c r="D652" s="98"/>
      <c r="E652" s="100"/>
      <c r="F652" s="100"/>
      <c r="G652" s="101"/>
      <c r="H652" s="100"/>
      <c r="I652" s="100"/>
      <c r="J652" s="46"/>
      <c r="K652" s="101"/>
      <c r="L652" s="101"/>
      <c r="M652" s="87"/>
      <c r="N652" s="87"/>
      <c r="O652" s="87"/>
      <c r="P652" s="87"/>
      <c r="Q652" s="87"/>
      <c r="R652" s="87"/>
      <c r="S652" s="87"/>
      <c r="T652" s="87"/>
      <c r="U652" s="87"/>
      <c r="V652" s="87"/>
      <c r="W652" s="87"/>
      <c r="X652" s="87"/>
      <c r="Y652" s="87"/>
      <c r="Z652" s="87"/>
    </row>
    <row r="653">
      <c r="A653" s="96"/>
      <c r="B653" s="96"/>
      <c r="C653" s="98"/>
      <c r="D653" s="98"/>
      <c r="E653" s="100"/>
      <c r="F653" s="100"/>
      <c r="G653" s="101"/>
      <c r="H653" s="100"/>
      <c r="I653" s="100"/>
      <c r="J653" s="46"/>
      <c r="K653" s="101"/>
      <c r="L653" s="101"/>
      <c r="M653" s="87"/>
      <c r="N653" s="87"/>
      <c r="O653" s="87"/>
      <c r="P653" s="87"/>
      <c r="Q653" s="87"/>
      <c r="R653" s="87"/>
      <c r="S653" s="87"/>
      <c r="T653" s="87"/>
      <c r="U653" s="87"/>
      <c r="V653" s="87"/>
      <c r="W653" s="87"/>
      <c r="X653" s="87"/>
      <c r="Y653" s="87"/>
      <c r="Z653" s="87"/>
    </row>
    <row r="654">
      <c r="A654" s="96"/>
      <c r="B654" s="96"/>
      <c r="C654" s="98"/>
      <c r="D654" s="98"/>
      <c r="E654" s="100"/>
      <c r="F654" s="100"/>
      <c r="G654" s="101"/>
      <c r="H654" s="100"/>
      <c r="I654" s="100"/>
      <c r="J654" s="46"/>
      <c r="K654" s="101"/>
      <c r="L654" s="101"/>
      <c r="M654" s="87"/>
      <c r="N654" s="87"/>
      <c r="O654" s="87"/>
      <c r="P654" s="87"/>
      <c r="Q654" s="87"/>
      <c r="R654" s="87"/>
      <c r="S654" s="87"/>
      <c r="T654" s="87"/>
      <c r="U654" s="87"/>
      <c r="V654" s="87"/>
      <c r="W654" s="87"/>
      <c r="X654" s="87"/>
      <c r="Y654" s="87"/>
      <c r="Z654" s="87"/>
    </row>
    <row r="655">
      <c r="A655" s="96"/>
      <c r="B655" s="96"/>
      <c r="C655" s="98"/>
      <c r="D655" s="98"/>
      <c r="E655" s="100"/>
      <c r="F655" s="100"/>
      <c r="G655" s="101"/>
      <c r="H655" s="100"/>
      <c r="I655" s="100"/>
      <c r="J655" s="46"/>
      <c r="K655" s="101"/>
      <c r="L655" s="101"/>
      <c r="M655" s="87"/>
      <c r="N655" s="87"/>
      <c r="O655" s="87"/>
      <c r="P655" s="87"/>
      <c r="Q655" s="87"/>
      <c r="R655" s="87"/>
      <c r="S655" s="87"/>
      <c r="T655" s="87"/>
      <c r="U655" s="87"/>
      <c r="V655" s="87"/>
      <c r="W655" s="87"/>
      <c r="X655" s="87"/>
      <c r="Y655" s="87"/>
      <c r="Z655" s="87"/>
    </row>
    <row r="656">
      <c r="A656" s="96"/>
      <c r="B656" s="96"/>
      <c r="C656" s="98"/>
      <c r="D656" s="98"/>
      <c r="E656" s="100"/>
      <c r="F656" s="100"/>
      <c r="G656" s="101"/>
      <c r="H656" s="100"/>
      <c r="I656" s="100"/>
      <c r="J656" s="46"/>
      <c r="K656" s="101"/>
      <c r="L656" s="101"/>
      <c r="M656" s="87"/>
      <c r="N656" s="87"/>
      <c r="O656" s="87"/>
      <c r="P656" s="87"/>
      <c r="Q656" s="87"/>
      <c r="R656" s="87"/>
      <c r="S656" s="87"/>
      <c r="T656" s="87"/>
      <c r="U656" s="87"/>
      <c r="V656" s="87"/>
      <c r="W656" s="87"/>
      <c r="X656" s="87"/>
      <c r="Y656" s="87"/>
      <c r="Z656" s="87"/>
    </row>
    <row r="657">
      <c r="A657" s="96"/>
      <c r="B657" s="96"/>
      <c r="C657" s="98"/>
      <c r="D657" s="98"/>
      <c r="E657" s="100"/>
      <c r="F657" s="100"/>
      <c r="G657" s="101"/>
      <c r="H657" s="100"/>
      <c r="I657" s="100"/>
      <c r="J657" s="46"/>
      <c r="K657" s="101"/>
      <c r="L657" s="101"/>
      <c r="M657" s="87"/>
      <c r="N657" s="87"/>
      <c r="O657" s="87"/>
      <c r="P657" s="87"/>
      <c r="Q657" s="87"/>
      <c r="R657" s="87"/>
      <c r="S657" s="87"/>
      <c r="T657" s="87"/>
      <c r="U657" s="87"/>
      <c r="V657" s="87"/>
      <c r="W657" s="87"/>
      <c r="X657" s="87"/>
      <c r="Y657" s="87"/>
      <c r="Z657" s="87"/>
    </row>
    <row r="658">
      <c r="A658" s="96"/>
      <c r="B658" s="96"/>
      <c r="C658" s="98"/>
      <c r="D658" s="98"/>
      <c r="E658" s="100"/>
      <c r="F658" s="100"/>
      <c r="G658" s="101"/>
      <c r="H658" s="100"/>
      <c r="I658" s="100"/>
      <c r="J658" s="46"/>
      <c r="K658" s="101"/>
      <c r="L658" s="101"/>
      <c r="M658" s="87"/>
      <c r="N658" s="87"/>
      <c r="O658" s="87"/>
      <c r="P658" s="87"/>
      <c r="Q658" s="87"/>
      <c r="R658" s="87"/>
      <c r="S658" s="87"/>
      <c r="T658" s="87"/>
      <c r="U658" s="87"/>
      <c r="V658" s="87"/>
      <c r="W658" s="87"/>
      <c r="X658" s="87"/>
      <c r="Y658" s="87"/>
      <c r="Z658" s="87"/>
    </row>
    <row r="659">
      <c r="A659" s="96"/>
      <c r="B659" s="96"/>
      <c r="C659" s="98"/>
      <c r="D659" s="98"/>
      <c r="E659" s="100"/>
      <c r="F659" s="100"/>
      <c r="G659" s="101"/>
      <c r="H659" s="100"/>
      <c r="I659" s="100"/>
      <c r="J659" s="46"/>
      <c r="K659" s="101"/>
      <c r="L659" s="101"/>
      <c r="M659" s="87"/>
      <c r="N659" s="87"/>
      <c r="O659" s="87"/>
      <c r="P659" s="87"/>
      <c r="Q659" s="87"/>
      <c r="R659" s="87"/>
      <c r="S659" s="87"/>
      <c r="T659" s="87"/>
      <c r="U659" s="87"/>
      <c r="V659" s="87"/>
      <c r="W659" s="87"/>
      <c r="X659" s="87"/>
      <c r="Y659" s="87"/>
      <c r="Z659" s="87"/>
    </row>
    <row r="660">
      <c r="A660" s="96"/>
      <c r="B660" s="96"/>
      <c r="C660" s="98"/>
      <c r="D660" s="98"/>
      <c r="E660" s="100"/>
      <c r="F660" s="100"/>
      <c r="G660" s="101"/>
      <c r="H660" s="100"/>
      <c r="I660" s="100"/>
      <c r="J660" s="46"/>
      <c r="K660" s="101"/>
      <c r="L660" s="101"/>
      <c r="M660" s="87"/>
      <c r="N660" s="87"/>
      <c r="O660" s="87"/>
      <c r="P660" s="87"/>
      <c r="Q660" s="87"/>
      <c r="R660" s="87"/>
      <c r="S660" s="87"/>
      <c r="T660" s="87"/>
      <c r="U660" s="87"/>
      <c r="V660" s="87"/>
      <c r="W660" s="87"/>
      <c r="X660" s="87"/>
      <c r="Y660" s="87"/>
      <c r="Z660" s="87"/>
    </row>
    <row r="661">
      <c r="A661" s="96"/>
      <c r="B661" s="96"/>
      <c r="C661" s="98"/>
      <c r="D661" s="98"/>
      <c r="E661" s="100"/>
      <c r="F661" s="100"/>
      <c r="G661" s="101"/>
      <c r="H661" s="100"/>
      <c r="I661" s="100"/>
      <c r="J661" s="46"/>
      <c r="K661" s="101"/>
      <c r="L661" s="101"/>
      <c r="M661" s="87"/>
      <c r="N661" s="87"/>
      <c r="O661" s="87"/>
      <c r="P661" s="87"/>
      <c r="Q661" s="87"/>
      <c r="R661" s="87"/>
      <c r="S661" s="87"/>
      <c r="T661" s="87"/>
      <c r="U661" s="87"/>
      <c r="V661" s="87"/>
      <c r="W661" s="87"/>
      <c r="X661" s="87"/>
      <c r="Y661" s="87"/>
      <c r="Z661" s="87"/>
    </row>
    <row r="662">
      <c r="A662" s="96"/>
      <c r="B662" s="96"/>
      <c r="C662" s="98"/>
      <c r="D662" s="98"/>
      <c r="E662" s="100"/>
      <c r="F662" s="100"/>
      <c r="G662" s="101"/>
      <c r="H662" s="100"/>
      <c r="I662" s="100"/>
      <c r="J662" s="46"/>
      <c r="K662" s="101"/>
      <c r="L662" s="101"/>
      <c r="M662" s="87"/>
      <c r="N662" s="87"/>
      <c r="O662" s="87"/>
      <c r="P662" s="87"/>
      <c r="Q662" s="87"/>
      <c r="R662" s="87"/>
      <c r="S662" s="87"/>
      <c r="T662" s="87"/>
      <c r="U662" s="87"/>
      <c r="V662" s="87"/>
      <c r="W662" s="87"/>
      <c r="X662" s="87"/>
      <c r="Y662" s="87"/>
      <c r="Z662" s="87"/>
    </row>
    <row r="663">
      <c r="A663" s="96"/>
      <c r="B663" s="96"/>
      <c r="C663" s="98"/>
      <c r="D663" s="98"/>
      <c r="E663" s="100"/>
      <c r="F663" s="100"/>
      <c r="G663" s="101"/>
      <c r="H663" s="100"/>
      <c r="I663" s="100"/>
      <c r="J663" s="46"/>
      <c r="K663" s="101"/>
      <c r="L663" s="101"/>
      <c r="M663" s="87"/>
      <c r="N663" s="87"/>
      <c r="O663" s="87"/>
      <c r="P663" s="87"/>
      <c r="Q663" s="87"/>
      <c r="R663" s="87"/>
      <c r="S663" s="87"/>
      <c r="T663" s="87"/>
      <c r="U663" s="87"/>
      <c r="V663" s="87"/>
      <c r="W663" s="87"/>
      <c r="X663" s="87"/>
      <c r="Y663" s="87"/>
      <c r="Z663" s="87"/>
    </row>
    <row r="664">
      <c r="A664" s="96"/>
      <c r="B664" s="96"/>
      <c r="C664" s="98"/>
      <c r="D664" s="98"/>
      <c r="E664" s="100"/>
      <c r="F664" s="100"/>
      <c r="G664" s="101"/>
      <c r="H664" s="100"/>
      <c r="I664" s="100"/>
      <c r="J664" s="46"/>
      <c r="K664" s="101"/>
      <c r="L664" s="101"/>
      <c r="M664" s="87"/>
      <c r="N664" s="87"/>
      <c r="O664" s="87"/>
      <c r="P664" s="87"/>
      <c r="Q664" s="87"/>
      <c r="R664" s="87"/>
      <c r="S664" s="87"/>
      <c r="T664" s="87"/>
      <c r="U664" s="87"/>
      <c r="V664" s="87"/>
      <c r="W664" s="87"/>
      <c r="X664" s="87"/>
      <c r="Y664" s="87"/>
      <c r="Z664" s="87"/>
    </row>
    <row r="665">
      <c r="A665" s="96"/>
      <c r="B665" s="96"/>
      <c r="C665" s="98"/>
      <c r="D665" s="98"/>
      <c r="E665" s="100"/>
      <c r="F665" s="100"/>
      <c r="G665" s="101"/>
      <c r="H665" s="100"/>
      <c r="I665" s="100"/>
      <c r="J665" s="46"/>
      <c r="K665" s="101"/>
      <c r="L665" s="101"/>
      <c r="M665" s="87"/>
      <c r="N665" s="87"/>
      <c r="O665" s="87"/>
      <c r="P665" s="87"/>
      <c r="Q665" s="87"/>
      <c r="R665" s="87"/>
      <c r="S665" s="87"/>
      <c r="T665" s="87"/>
      <c r="U665" s="87"/>
      <c r="V665" s="87"/>
      <c r="W665" s="87"/>
      <c r="X665" s="87"/>
      <c r="Y665" s="87"/>
      <c r="Z665" s="87"/>
    </row>
    <row r="666">
      <c r="A666" s="96"/>
      <c r="B666" s="96"/>
      <c r="C666" s="98"/>
      <c r="D666" s="98"/>
      <c r="E666" s="100"/>
      <c r="F666" s="100"/>
      <c r="G666" s="101"/>
      <c r="H666" s="100"/>
      <c r="I666" s="100"/>
      <c r="J666" s="46"/>
      <c r="K666" s="101"/>
      <c r="L666" s="101"/>
      <c r="M666" s="87"/>
      <c r="N666" s="87"/>
      <c r="O666" s="87"/>
      <c r="P666" s="87"/>
      <c r="Q666" s="87"/>
      <c r="R666" s="87"/>
      <c r="S666" s="87"/>
      <c r="T666" s="87"/>
      <c r="U666" s="87"/>
      <c r="V666" s="87"/>
      <c r="W666" s="87"/>
      <c r="X666" s="87"/>
      <c r="Y666" s="87"/>
      <c r="Z666" s="87"/>
    </row>
    <row r="667">
      <c r="A667" s="96"/>
      <c r="B667" s="96"/>
      <c r="C667" s="98"/>
      <c r="D667" s="98"/>
      <c r="E667" s="100"/>
      <c r="F667" s="100"/>
      <c r="G667" s="101"/>
      <c r="H667" s="100"/>
      <c r="I667" s="100"/>
      <c r="J667" s="46"/>
      <c r="K667" s="101"/>
      <c r="L667" s="101"/>
      <c r="M667" s="87"/>
      <c r="N667" s="87"/>
      <c r="O667" s="87"/>
      <c r="P667" s="87"/>
      <c r="Q667" s="87"/>
      <c r="R667" s="87"/>
      <c r="S667" s="87"/>
      <c r="T667" s="87"/>
      <c r="U667" s="87"/>
      <c r="V667" s="87"/>
      <c r="W667" s="87"/>
      <c r="X667" s="87"/>
      <c r="Y667" s="87"/>
      <c r="Z667" s="87"/>
    </row>
    <row r="668">
      <c r="A668" s="96"/>
      <c r="B668" s="96"/>
      <c r="C668" s="98"/>
      <c r="D668" s="98"/>
      <c r="E668" s="100"/>
      <c r="F668" s="100"/>
      <c r="G668" s="101"/>
      <c r="H668" s="100"/>
      <c r="I668" s="100"/>
      <c r="J668" s="46"/>
      <c r="K668" s="101"/>
      <c r="L668" s="101"/>
      <c r="M668" s="87"/>
      <c r="N668" s="87"/>
      <c r="O668" s="87"/>
      <c r="P668" s="87"/>
      <c r="Q668" s="87"/>
      <c r="R668" s="87"/>
      <c r="S668" s="87"/>
      <c r="T668" s="87"/>
      <c r="U668" s="87"/>
      <c r="V668" s="87"/>
      <c r="W668" s="87"/>
      <c r="X668" s="87"/>
      <c r="Y668" s="87"/>
      <c r="Z668" s="87"/>
    </row>
    <row r="669">
      <c r="A669" s="96"/>
      <c r="B669" s="96"/>
      <c r="C669" s="98"/>
      <c r="D669" s="98"/>
      <c r="E669" s="100"/>
      <c r="F669" s="100"/>
      <c r="G669" s="101"/>
      <c r="H669" s="100"/>
      <c r="I669" s="100"/>
      <c r="J669" s="46"/>
      <c r="K669" s="101"/>
      <c r="L669" s="101"/>
      <c r="M669" s="87"/>
      <c r="N669" s="87"/>
      <c r="O669" s="87"/>
      <c r="P669" s="87"/>
      <c r="Q669" s="87"/>
      <c r="R669" s="87"/>
      <c r="S669" s="87"/>
      <c r="T669" s="87"/>
      <c r="U669" s="87"/>
      <c r="V669" s="87"/>
      <c r="W669" s="87"/>
      <c r="X669" s="87"/>
      <c r="Y669" s="87"/>
      <c r="Z669" s="87"/>
    </row>
    <row r="670">
      <c r="A670" s="96"/>
      <c r="B670" s="96"/>
      <c r="C670" s="98"/>
      <c r="D670" s="98"/>
      <c r="E670" s="100"/>
      <c r="F670" s="100"/>
      <c r="G670" s="101"/>
      <c r="H670" s="100"/>
      <c r="I670" s="100"/>
      <c r="J670" s="46"/>
      <c r="K670" s="101"/>
      <c r="L670" s="101"/>
      <c r="M670" s="87"/>
      <c r="N670" s="87"/>
      <c r="O670" s="87"/>
      <c r="P670" s="87"/>
      <c r="Q670" s="87"/>
      <c r="R670" s="87"/>
      <c r="S670" s="87"/>
      <c r="T670" s="87"/>
      <c r="U670" s="87"/>
      <c r="V670" s="87"/>
      <c r="W670" s="87"/>
      <c r="X670" s="87"/>
      <c r="Y670" s="87"/>
      <c r="Z670" s="87"/>
    </row>
    <row r="671">
      <c r="A671" s="96"/>
      <c r="B671" s="96"/>
      <c r="C671" s="98"/>
      <c r="D671" s="98"/>
      <c r="E671" s="100"/>
      <c r="F671" s="100"/>
      <c r="G671" s="101"/>
      <c r="H671" s="100"/>
      <c r="I671" s="100"/>
      <c r="J671" s="46"/>
      <c r="K671" s="101"/>
      <c r="L671" s="101"/>
      <c r="M671" s="87"/>
      <c r="N671" s="87"/>
      <c r="O671" s="87"/>
      <c r="P671" s="87"/>
      <c r="Q671" s="87"/>
      <c r="R671" s="87"/>
      <c r="S671" s="87"/>
      <c r="T671" s="87"/>
      <c r="U671" s="87"/>
      <c r="V671" s="87"/>
      <c r="W671" s="87"/>
      <c r="X671" s="87"/>
      <c r="Y671" s="87"/>
      <c r="Z671" s="87"/>
    </row>
    <row r="672">
      <c r="A672" s="96"/>
      <c r="B672" s="96"/>
      <c r="C672" s="98"/>
      <c r="D672" s="98"/>
      <c r="E672" s="100"/>
      <c r="F672" s="100"/>
      <c r="G672" s="101"/>
      <c r="H672" s="100"/>
      <c r="I672" s="100"/>
      <c r="J672" s="46"/>
      <c r="K672" s="101"/>
      <c r="L672" s="101"/>
      <c r="M672" s="87"/>
      <c r="N672" s="87"/>
      <c r="O672" s="87"/>
      <c r="P672" s="87"/>
      <c r="Q672" s="87"/>
      <c r="R672" s="87"/>
      <c r="S672" s="87"/>
      <c r="T672" s="87"/>
      <c r="U672" s="87"/>
      <c r="V672" s="87"/>
      <c r="W672" s="87"/>
      <c r="X672" s="87"/>
      <c r="Y672" s="87"/>
      <c r="Z672" s="87"/>
    </row>
    <row r="673">
      <c r="A673" s="96"/>
      <c r="B673" s="96"/>
      <c r="C673" s="98"/>
      <c r="D673" s="98"/>
      <c r="E673" s="100"/>
      <c r="F673" s="100"/>
      <c r="G673" s="101"/>
      <c r="H673" s="100"/>
      <c r="I673" s="100"/>
      <c r="J673" s="46"/>
      <c r="K673" s="101"/>
      <c r="L673" s="101"/>
      <c r="M673" s="87"/>
      <c r="N673" s="87"/>
      <c r="O673" s="87"/>
      <c r="P673" s="87"/>
      <c r="Q673" s="87"/>
      <c r="R673" s="87"/>
      <c r="S673" s="87"/>
      <c r="T673" s="87"/>
      <c r="U673" s="87"/>
      <c r="V673" s="87"/>
      <c r="W673" s="87"/>
      <c r="X673" s="87"/>
      <c r="Y673" s="87"/>
      <c r="Z673" s="87"/>
    </row>
    <row r="674">
      <c r="A674" s="96"/>
      <c r="B674" s="96"/>
      <c r="C674" s="98"/>
      <c r="D674" s="98"/>
      <c r="E674" s="100"/>
      <c r="F674" s="100"/>
      <c r="G674" s="101"/>
      <c r="H674" s="100"/>
      <c r="I674" s="100"/>
      <c r="J674" s="46"/>
      <c r="K674" s="101"/>
      <c r="L674" s="101"/>
      <c r="M674" s="87"/>
      <c r="N674" s="87"/>
      <c r="O674" s="87"/>
      <c r="P674" s="87"/>
      <c r="Q674" s="87"/>
      <c r="R674" s="87"/>
      <c r="S674" s="87"/>
      <c r="T674" s="87"/>
      <c r="U674" s="87"/>
      <c r="V674" s="87"/>
      <c r="W674" s="87"/>
      <c r="X674" s="87"/>
      <c r="Y674" s="87"/>
      <c r="Z674" s="87"/>
    </row>
    <row r="675">
      <c r="A675" s="96"/>
      <c r="B675" s="96"/>
      <c r="C675" s="98"/>
      <c r="D675" s="98"/>
      <c r="E675" s="100"/>
      <c r="F675" s="100"/>
      <c r="G675" s="101"/>
      <c r="H675" s="100"/>
      <c r="I675" s="100"/>
      <c r="J675" s="46"/>
      <c r="K675" s="101"/>
      <c r="L675" s="101"/>
      <c r="M675" s="87"/>
      <c r="N675" s="87"/>
      <c r="O675" s="87"/>
      <c r="P675" s="87"/>
      <c r="Q675" s="87"/>
      <c r="R675" s="87"/>
      <c r="S675" s="87"/>
      <c r="T675" s="87"/>
      <c r="U675" s="87"/>
      <c r="V675" s="87"/>
      <c r="W675" s="87"/>
      <c r="X675" s="87"/>
      <c r="Y675" s="87"/>
      <c r="Z675" s="87"/>
    </row>
    <row r="676">
      <c r="A676" s="96"/>
      <c r="B676" s="96"/>
      <c r="C676" s="98"/>
      <c r="D676" s="98"/>
      <c r="E676" s="100"/>
      <c r="F676" s="100"/>
      <c r="G676" s="101"/>
      <c r="H676" s="100"/>
      <c r="I676" s="100"/>
      <c r="J676" s="46"/>
      <c r="K676" s="101"/>
      <c r="L676" s="101"/>
      <c r="M676" s="87"/>
      <c r="N676" s="87"/>
      <c r="O676" s="87"/>
      <c r="P676" s="87"/>
      <c r="Q676" s="87"/>
      <c r="R676" s="87"/>
      <c r="S676" s="87"/>
      <c r="T676" s="87"/>
      <c r="U676" s="87"/>
      <c r="V676" s="87"/>
      <c r="W676" s="87"/>
      <c r="X676" s="87"/>
      <c r="Y676" s="87"/>
      <c r="Z676" s="87"/>
    </row>
    <row r="677">
      <c r="A677" s="96"/>
      <c r="B677" s="96"/>
      <c r="C677" s="98"/>
      <c r="D677" s="98"/>
      <c r="E677" s="100"/>
      <c r="F677" s="100"/>
      <c r="G677" s="101"/>
      <c r="H677" s="100"/>
      <c r="I677" s="100"/>
      <c r="J677" s="46"/>
      <c r="K677" s="101"/>
      <c r="L677" s="101"/>
      <c r="M677" s="87"/>
      <c r="N677" s="87"/>
      <c r="O677" s="87"/>
      <c r="P677" s="87"/>
      <c r="Q677" s="87"/>
      <c r="R677" s="87"/>
      <c r="S677" s="87"/>
      <c r="T677" s="87"/>
      <c r="U677" s="87"/>
      <c r="V677" s="87"/>
      <c r="W677" s="87"/>
      <c r="X677" s="87"/>
      <c r="Y677" s="87"/>
      <c r="Z677" s="87"/>
    </row>
    <row r="678">
      <c r="A678" s="96"/>
      <c r="B678" s="96"/>
      <c r="C678" s="98"/>
      <c r="D678" s="98"/>
      <c r="E678" s="100"/>
      <c r="F678" s="100"/>
      <c r="G678" s="101"/>
      <c r="H678" s="100"/>
      <c r="I678" s="100"/>
      <c r="J678" s="46"/>
      <c r="K678" s="101"/>
      <c r="L678" s="101"/>
      <c r="M678" s="87"/>
      <c r="N678" s="87"/>
      <c r="O678" s="87"/>
      <c r="P678" s="87"/>
      <c r="Q678" s="87"/>
      <c r="R678" s="87"/>
      <c r="S678" s="87"/>
      <c r="T678" s="87"/>
      <c r="U678" s="87"/>
      <c r="V678" s="87"/>
      <c r="W678" s="87"/>
      <c r="X678" s="87"/>
      <c r="Y678" s="87"/>
      <c r="Z678" s="87"/>
    </row>
    <row r="679">
      <c r="A679" s="96"/>
      <c r="B679" s="96"/>
      <c r="C679" s="98"/>
      <c r="D679" s="98"/>
      <c r="E679" s="100"/>
      <c r="F679" s="100"/>
      <c r="G679" s="101"/>
      <c r="H679" s="100"/>
      <c r="I679" s="100"/>
      <c r="J679" s="46"/>
      <c r="K679" s="101"/>
      <c r="L679" s="101"/>
      <c r="M679" s="87"/>
      <c r="N679" s="87"/>
      <c r="O679" s="87"/>
      <c r="P679" s="87"/>
      <c r="Q679" s="87"/>
      <c r="R679" s="87"/>
      <c r="S679" s="87"/>
      <c r="T679" s="87"/>
      <c r="U679" s="87"/>
      <c r="V679" s="87"/>
      <c r="W679" s="87"/>
      <c r="X679" s="87"/>
      <c r="Y679" s="87"/>
      <c r="Z679" s="87"/>
    </row>
    <row r="680">
      <c r="A680" s="96"/>
      <c r="B680" s="96"/>
      <c r="C680" s="98"/>
      <c r="D680" s="98"/>
      <c r="E680" s="100"/>
      <c r="F680" s="100"/>
      <c r="G680" s="101"/>
      <c r="H680" s="100"/>
      <c r="I680" s="100"/>
      <c r="J680" s="46"/>
      <c r="K680" s="101"/>
      <c r="L680" s="101"/>
      <c r="M680" s="87"/>
      <c r="N680" s="87"/>
      <c r="O680" s="87"/>
      <c r="P680" s="87"/>
      <c r="Q680" s="87"/>
      <c r="R680" s="87"/>
      <c r="S680" s="87"/>
      <c r="T680" s="87"/>
      <c r="U680" s="87"/>
      <c r="V680" s="87"/>
      <c r="W680" s="87"/>
      <c r="X680" s="87"/>
      <c r="Y680" s="87"/>
      <c r="Z680" s="87"/>
    </row>
    <row r="681">
      <c r="A681" s="96"/>
      <c r="B681" s="96"/>
      <c r="C681" s="98"/>
      <c r="D681" s="98"/>
      <c r="E681" s="100"/>
      <c r="F681" s="100"/>
      <c r="G681" s="101"/>
      <c r="H681" s="100"/>
      <c r="I681" s="100"/>
      <c r="J681" s="46"/>
      <c r="K681" s="101"/>
      <c r="L681" s="101"/>
      <c r="M681" s="87"/>
      <c r="N681" s="87"/>
      <c r="O681" s="87"/>
      <c r="P681" s="87"/>
      <c r="Q681" s="87"/>
      <c r="R681" s="87"/>
      <c r="S681" s="87"/>
      <c r="T681" s="87"/>
      <c r="U681" s="87"/>
      <c r="V681" s="87"/>
      <c r="W681" s="87"/>
      <c r="X681" s="87"/>
      <c r="Y681" s="87"/>
      <c r="Z681" s="87"/>
    </row>
    <row r="682">
      <c r="A682" s="96"/>
      <c r="B682" s="96"/>
      <c r="C682" s="98"/>
      <c r="D682" s="98"/>
      <c r="E682" s="100"/>
      <c r="F682" s="100"/>
      <c r="G682" s="101"/>
      <c r="H682" s="100"/>
      <c r="I682" s="100"/>
      <c r="J682" s="46"/>
      <c r="K682" s="101"/>
      <c r="L682" s="101"/>
      <c r="M682" s="87"/>
      <c r="N682" s="87"/>
      <c r="O682" s="87"/>
      <c r="P682" s="87"/>
      <c r="Q682" s="87"/>
      <c r="R682" s="87"/>
      <c r="S682" s="87"/>
      <c r="T682" s="87"/>
      <c r="U682" s="87"/>
      <c r="V682" s="87"/>
      <c r="W682" s="87"/>
      <c r="X682" s="87"/>
      <c r="Y682" s="87"/>
      <c r="Z682" s="87"/>
    </row>
    <row r="683">
      <c r="A683" s="96"/>
      <c r="B683" s="96"/>
      <c r="C683" s="98"/>
      <c r="D683" s="98"/>
      <c r="E683" s="100"/>
      <c r="F683" s="100"/>
      <c r="G683" s="101"/>
      <c r="H683" s="100"/>
      <c r="I683" s="100"/>
      <c r="J683" s="46"/>
      <c r="K683" s="101"/>
      <c r="L683" s="101"/>
      <c r="M683" s="87"/>
      <c r="N683" s="87"/>
      <c r="O683" s="87"/>
      <c r="P683" s="87"/>
      <c r="Q683" s="87"/>
      <c r="R683" s="87"/>
      <c r="S683" s="87"/>
      <c r="T683" s="87"/>
      <c r="U683" s="87"/>
      <c r="V683" s="87"/>
      <c r="W683" s="87"/>
      <c r="X683" s="87"/>
      <c r="Y683" s="87"/>
      <c r="Z683" s="87"/>
    </row>
    <row r="684">
      <c r="A684" s="96"/>
      <c r="B684" s="96"/>
      <c r="C684" s="98"/>
      <c r="D684" s="98"/>
      <c r="E684" s="100"/>
      <c r="F684" s="100"/>
      <c r="G684" s="101"/>
      <c r="H684" s="100"/>
      <c r="I684" s="100"/>
      <c r="J684" s="46"/>
      <c r="K684" s="101"/>
      <c r="L684" s="101"/>
      <c r="M684" s="87"/>
      <c r="N684" s="87"/>
      <c r="O684" s="87"/>
      <c r="P684" s="87"/>
      <c r="Q684" s="87"/>
      <c r="R684" s="87"/>
      <c r="S684" s="87"/>
      <c r="T684" s="87"/>
      <c r="U684" s="87"/>
      <c r="V684" s="87"/>
      <c r="W684" s="87"/>
      <c r="X684" s="87"/>
      <c r="Y684" s="87"/>
      <c r="Z684" s="87"/>
    </row>
    <row r="685">
      <c r="A685" s="96"/>
      <c r="B685" s="96"/>
      <c r="C685" s="98"/>
      <c r="D685" s="98"/>
      <c r="E685" s="100"/>
      <c r="F685" s="100"/>
      <c r="G685" s="101"/>
      <c r="H685" s="100"/>
      <c r="I685" s="100"/>
      <c r="J685" s="46"/>
      <c r="K685" s="101"/>
      <c r="L685" s="101"/>
      <c r="M685" s="87"/>
      <c r="N685" s="87"/>
      <c r="O685" s="87"/>
      <c r="P685" s="87"/>
      <c r="Q685" s="87"/>
      <c r="R685" s="87"/>
      <c r="S685" s="87"/>
      <c r="T685" s="87"/>
      <c r="U685" s="87"/>
      <c r="V685" s="87"/>
      <c r="W685" s="87"/>
      <c r="X685" s="87"/>
      <c r="Y685" s="87"/>
      <c r="Z685" s="87"/>
    </row>
    <row r="686">
      <c r="A686" s="96"/>
      <c r="B686" s="96"/>
      <c r="C686" s="98"/>
      <c r="D686" s="98"/>
      <c r="E686" s="100"/>
      <c r="F686" s="100"/>
      <c r="G686" s="101"/>
      <c r="H686" s="100"/>
      <c r="I686" s="100"/>
      <c r="J686" s="46"/>
      <c r="K686" s="101"/>
      <c r="L686" s="101"/>
      <c r="M686" s="87"/>
      <c r="N686" s="87"/>
      <c r="O686" s="87"/>
      <c r="P686" s="87"/>
      <c r="Q686" s="87"/>
      <c r="R686" s="87"/>
      <c r="S686" s="87"/>
      <c r="T686" s="87"/>
      <c r="U686" s="87"/>
      <c r="V686" s="87"/>
      <c r="W686" s="87"/>
      <c r="X686" s="87"/>
      <c r="Y686" s="87"/>
      <c r="Z686" s="87"/>
    </row>
    <row r="687">
      <c r="A687" s="96"/>
      <c r="B687" s="96"/>
      <c r="C687" s="98"/>
      <c r="D687" s="98"/>
      <c r="E687" s="100"/>
      <c r="F687" s="100"/>
      <c r="G687" s="101"/>
      <c r="H687" s="100"/>
      <c r="I687" s="100"/>
      <c r="J687" s="46"/>
      <c r="K687" s="101"/>
      <c r="L687" s="101"/>
      <c r="M687" s="87"/>
      <c r="N687" s="87"/>
      <c r="O687" s="87"/>
      <c r="P687" s="87"/>
      <c r="Q687" s="87"/>
      <c r="R687" s="87"/>
      <c r="S687" s="87"/>
      <c r="T687" s="87"/>
      <c r="U687" s="87"/>
      <c r="V687" s="87"/>
      <c r="W687" s="87"/>
      <c r="X687" s="87"/>
      <c r="Y687" s="87"/>
      <c r="Z687" s="87"/>
    </row>
    <row r="688">
      <c r="A688" s="96"/>
      <c r="B688" s="96"/>
      <c r="C688" s="98"/>
      <c r="D688" s="98"/>
      <c r="E688" s="100"/>
      <c r="F688" s="100"/>
      <c r="G688" s="101"/>
      <c r="H688" s="100"/>
      <c r="I688" s="100"/>
      <c r="J688" s="46"/>
      <c r="K688" s="101"/>
      <c r="L688" s="101"/>
      <c r="M688" s="87"/>
      <c r="N688" s="87"/>
      <c r="O688" s="87"/>
      <c r="P688" s="87"/>
      <c r="Q688" s="87"/>
      <c r="R688" s="87"/>
      <c r="S688" s="87"/>
      <c r="T688" s="87"/>
      <c r="U688" s="87"/>
      <c r="V688" s="87"/>
      <c r="W688" s="87"/>
      <c r="X688" s="87"/>
      <c r="Y688" s="87"/>
      <c r="Z688" s="87"/>
    </row>
    <row r="689">
      <c r="A689" s="96"/>
      <c r="B689" s="96"/>
      <c r="C689" s="98"/>
      <c r="D689" s="98"/>
      <c r="E689" s="100"/>
      <c r="F689" s="100"/>
      <c r="G689" s="101"/>
      <c r="H689" s="100"/>
      <c r="I689" s="100"/>
      <c r="J689" s="46"/>
      <c r="K689" s="101"/>
      <c r="L689" s="101"/>
      <c r="M689" s="87"/>
      <c r="N689" s="87"/>
      <c r="O689" s="87"/>
      <c r="P689" s="87"/>
      <c r="Q689" s="87"/>
      <c r="R689" s="87"/>
      <c r="S689" s="87"/>
      <c r="T689" s="87"/>
      <c r="U689" s="87"/>
      <c r="V689" s="87"/>
      <c r="W689" s="87"/>
      <c r="X689" s="87"/>
      <c r="Y689" s="87"/>
      <c r="Z689" s="87"/>
    </row>
    <row r="690">
      <c r="A690" s="96"/>
      <c r="B690" s="96"/>
      <c r="C690" s="98"/>
      <c r="D690" s="98"/>
      <c r="E690" s="100"/>
      <c r="F690" s="100"/>
      <c r="G690" s="101"/>
      <c r="H690" s="100"/>
      <c r="I690" s="100"/>
      <c r="J690" s="46"/>
      <c r="K690" s="101"/>
      <c r="L690" s="101"/>
      <c r="M690" s="87"/>
      <c r="N690" s="87"/>
      <c r="O690" s="87"/>
      <c r="P690" s="87"/>
      <c r="Q690" s="87"/>
      <c r="R690" s="87"/>
      <c r="S690" s="87"/>
      <c r="T690" s="87"/>
      <c r="U690" s="87"/>
      <c r="V690" s="87"/>
      <c r="W690" s="87"/>
      <c r="X690" s="87"/>
      <c r="Y690" s="87"/>
      <c r="Z690" s="87"/>
    </row>
    <row r="691">
      <c r="A691" s="96"/>
      <c r="B691" s="96"/>
      <c r="C691" s="98"/>
      <c r="D691" s="98"/>
      <c r="E691" s="100"/>
      <c r="F691" s="100"/>
      <c r="G691" s="101"/>
      <c r="H691" s="100"/>
      <c r="I691" s="100"/>
      <c r="J691" s="46"/>
      <c r="K691" s="101"/>
      <c r="L691" s="101"/>
      <c r="M691" s="87"/>
      <c r="N691" s="87"/>
      <c r="O691" s="87"/>
      <c r="P691" s="87"/>
      <c r="Q691" s="87"/>
      <c r="R691" s="87"/>
      <c r="S691" s="87"/>
      <c r="T691" s="87"/>
      <c r="U691" s="87"/>
      <c r="V691" s="87"/>
      <c r="W691" s="87"/>
      <c r="X691" s="87"/>
      <c r="Y691" s="87"/>
      <c r="Z691" s="87"/>
    </row>
    <row r="692">
      <c r="A692" s="96"/>
      <c r="B692" s="96"/>
      <c r="C692" s="98"/>
      <c r="D692" s="98"/>
      <c r="E692" s="100"/>
      <c r="F692" s="100"/>
      <c r="G692" s="101"/>
      <c r="H692" s="100"/>
      <c r="I692" s="100"/>
      <c r="J692" s="46"/>
      <c r="K692" s="101"/>
      <c r="L692" s="101"/>
      <c r="M692" s="87"/>
      <c r="N692" s="87"/>
      <c r="O692" s="87"/>
      <c r="P692" s="87"/>
      <c r="Q692" s="87"/>
      <c r="R692" s="87"/>
      <c r="S692" s="87"/>
      <c r="T692" s="87"/>
      <c r="U692" s="87"/>
      <c r="V692" s="87"/>
      <c r="W692" s="87"/>
      <c r="X692" s="87"/>
      <c r="Y692" s="87"/>
      <c r="Z692" s="87"/>
    </row>
    <row r="693">
      <c r="A693" s="96"/>
      <c r="B693" s="96"/>
      <c r="C693" s="98"/>
      <c r="D693" s="98"/>
      <c r="E693" s="100"/>
      <c r="F693" s="100"/>
      <c r="G693" s="101"/>
      <c r="H693" s="100"/>
      <c r="I693" s="100"/>
      <c r="J693" s="46"/>
      <c r="K693" s="101"/>
      <c r="L693" s="101"/>
      <c r="M693" s="87"/>
      <c r="N693" s="87"/>
      <c r="O693" s="87"/>
      <c r="P693" s="87"/>
      <c r="Q693" s="87"/>
      <c r="R693" s="87"/>
      <c r="S693" s="87"/>
      <c r="T693" s="87"/>
      <c r="U693" s="87"/>
      <c r="V693" s="87"/>
      <c r="W693" s="87"/>
      <c r="X693" s="87"/>
      <c r="Y693" s="87"/>
      <c r="Z693" s="87"/>
    </row>
    <row r="694">
      <c r="A694" s="96"/>
      <c r="B694" s="96"/>
      <c r="C694" s="98"/>
      <c r="D694" s="98"/>
      <c r="E694" s="100"/>
      <c r="F694" s="100"/>
      <c r="G694" s="101"/>
      <c r="H694" s="100"/>
      <c r="I694" s="100"/>
      <c r="J694" s="46"/>
      <c r="K694" s="101"/>
      <c r="L694" s="101"/>
      <c r="M694" s="87"/>
      <c r="N694" s="87"/>
      <c r="O694" s="87"/>
      <c r="P694" s="87"/>
      <c r="Q694" s="87"/>
      <c r="R694" s="87"/>
      <c r="S694" s="87"/>
      <c r="T694" s="87"/>
      <c r="U694" s="87"/>
      <c r="V694" s="87"/>
      <c r="W694" s="87"/>
      <c r="X694" s="87"/>
      <c r="Y694" s="87"/>
      <c r="Z694" s="87"/>
    </row>
    <row r="695">
      <c r="A695" s="96"/>
      <c r="B695" s="96"/>
      <c r="C695" s="98"/>
      <c r="D695" s="98"/>
      <c r="E695" s="100"/>
      <c r="F695" s="100"/>
      <c r="G695" s="101"/>
      <c r="H695" s="100"/>
      <c r="I695" s="100"/>
      <c r="J695" s="46"/>
      <c r="K695" s="101"/>
      <c r="L695" s="101"/>
      <c r="M695" s="87"/>
      <c r="N695" s="87"/>
      <c r="O695" s="87"/>
      <c r="P695" s="87"/>
      <c r="Q695" s="87"/>
      <c r="R695" s="87"/>
      <c r="S695" s="87"/>
      <c r="T695" s="87"/>
      <c r="U695" s="87"/>
      <c r="V695" s="87"/>
      <c r="W695" s="87"/>
      <c r="X695" s="87"/>
      <c r="Y695" s="87"/>
      <c r="Z695" s="87"/>
    </row>
    <row r="696">
      <c r="A696" s="96"/>
      <c r="B696" s="96"/>
      <c r="C696" s="98"/>
      <c r="D696" s="98"/>
      <c r="E696" s="100"/>
      <c r="F696" s="100"/>
      <c r="G696" s="101"/>
      <c r="H696" s="100"/>
      <c r="I696" s="100"/>
      <c r="J696" s="46"/>
      <c r="K696" s="101"/>
      <c r="L696" s="101"/>
      <c r="M696" s="87"/>
      <c r="N696" s="87"/>
      <c r="O696" s="87"/>
      <c r="P696" s="87"/>
      <c r="Q696" s="87"/>
      <c r="R696" s="87"/>
      <c r="S696" s="87"/>
      <c r="T696" s="87"/>
      <c r="U696" s="87"/>
      <c r="V696" s="87"/>
      <c r="W696" s="87"/>
      <c r="X696" s="87"/>
      <c r="Y696" s="87"/>
      <c r="Z696" s="87"/>
    </row>
    <row r="697">
      <c r="A697" s="96"/>
      <c r="B697" s="96"/>
      <c r="C697" s="98"/>
      <c r="D697" s="98"/>
      <c r="E697" s="100"/>
      <c r="F697" s="100"/>
      <c r="G697" s="101"/>
      <c r="H697" s="100"/>
      <c r="I697" s="100"/>
      <c r="J697" s="46"/>
      <c r="K697" s="101"/>
      <c r="L697" s="101"/>
      <c r="M697" s="87"/>
      <c r="N697" s="87"/>
      <c r="O697" s="87"/>
      <c r="P697" s="87"/>
      <c r="Q697" s="87"/>
      <c r="R697" s="87"/>
      <c r="S697" s="87"/>
      <c r="T697" s="87"/>
      <c r="U697" s="87"/>
      <c r="V697" s="87"/>
      <c r="W697" s="87"/>
      <c r="X697" s="87"/>
      <c r="Y697" s="87"/>
      <c r="Z697" s="87"/>
    </row>
    <row r="698">
      <c r="A698" s="96"/>
      <c r="B698" s="96"/>
      <c r="C698" s="98"/>
      <c r="D698" s="98"/>
      <c r="E698" s="100"/>
      <c r="F698" s="100"/>
      <c r="G698" s="101"/>
      <c r="H698" s="100"/>
      <c r="I698" s="100"/>
      <c r="J698" s="46"/>
      <c r="K698" s="101"/>
      <c r="L698" s="101"/>
      <c r="M698" s="87"/>
      <c r="N698" s="87"/>
      <c r="O698" s="87"/>
      <c r="P698" s="87"/>
      <c r="Q698" s="87"/>
      <c r="R698" s="87"/>
      <c r="S698" s="87"/>
      <c r="T698" s="87"/>
      <c r="U698" s="87"/>
      <c r="V698" s="87"/>
      <c r="W698" s="87"/>
      <c r="X698" s="87"/>
      <c r="Y698" s="87"/>
      <c r="Z698" s="87"/>
    </row>
    <row r="699">
      <c r="A699" s="96"/>
      <c r="B699" s="96"/>
      <c r="C699" s="98"/>
      <c r="D699" s="98"/>
      <c r="E699" s="100"/>
      <c r="F699" s="100"/>
      <c r="G699" s="101"/>
      <c r="H699" s="100"/>
      <c r="I699" s="100"/>
      <c r="J699" s="46"/>
      <c r="K699" s="101"/>
      <c r="L699" s="101"/>
      <c r="M699" s="87"/>
      <c r="N699" s="87"/>
      <c r="O699" s="87"/>
      <c r="P699" s="87"/>
      <c r="Q699" s="87"/>
      <c r="R699" s="87"/>
      <c r="S699" s="87"/>
      <c r="T699" s="87"/>
      <c r="U699" s="87"/>
      <c r="V699" s="87"/>
      <c r="W699" s="87"/>
      <c r="X699" s="87"/>
      <c r="Y699" s="87"/>
      <c r="Z699" s="87"/>
    </row>
    <row r="700">
      <c r="A700" s="96"/>
      <c r="B700" s="96"/>
      <c r="C700" s="98"/>
      <c r="D700" s="98"/>
      <c r="E700" s="100"/>
      <c r="F700" s="100"/>
      <c r="G700" s="101"/>
      <c r="H700" s="100"/>
      <c r="I700" s="100"/>
      <c r="J700" s="46"/>
      <c r="K700" s="101"/>
      <c r="L700" s="101"/>
      <c r="M700" s="87"/>
      <c r="N700" s="87"/>
      <c r="O700" s="87"/>
      <c r="P700" s="87"/>
      <c r="Q700" s="87"/>
      <c r="R700" s="87"/>
      <c r="S700" s="87"/>
      <c r="T700" s="87"/>
      <c r="U700" s="87"/>
      <c r="V700" s="87"/>
      <c r="W700" s="87"/>
      <c r="X700" s="87"/>
      <c r="Y700" s="87"/>
      <c r="Z700" s="87"/>
    </row>
    <row r="701">
      <c r="A701" s="96"/>
      <c r="B701" s="96"/>
      <c r="C701" s="98"/>
      <c r="D701" s="98"/>
      <c r="E701" s="100"/>
      <c r="F701" s="100"/>
      <c r="G701" s="101"/>
      <c r="H701" s="100"/>
      <c r="I701" s="100"/>
      <c r="J701" s="46"/>
      <c r="K701" s="101"/>
      <c r="L701" s="101"/>
      <c r="M701" s="87"/>
      <c r="N701" s="87"/>
      <c r="O701" s="87"/>
      <c r="P701" s="87"/>
      <c r="Q701" s="87"/>
      <c r="R701" s="87"/>
      <c r="S701" s="87"/>
      <c r="T701" s="87"/>
      <c r="U701" s="87"/>
      <c r="V701" s="87"/>
      <c r="W701" s="87"/>
      <c r="X701" s="87"/>
      <c r="Y701" s="87"/>
      <c r="Z701" s="87"/>
    </row>
    <row r="702">
      <c r="A702" s="96"/>
      <c r="B702" s="96"/>
      <c r="C702" s="98"/>
      <c r="D702" s="98"/>
      <c r="E702" s="100"/>
      <c r="F702" s="100"/>
      <c r="G702" s="101"/>
      <c r="H702" s="100"/>
      <c r="I702" s="100"/>
      <c r="J702" s="46"/>
      <c r="K702" s="101"/>
      <c r="L702" s="101"/>
      <c r="M702" s="87"/>
      <c r="N702" s="87"/>
      <c r="O702" s="87"/>
      <c r="P702" s="87"/>
      <c r="Q702" s="87"/>
      <c r="R702" s="87"/>
      <c r="S702" s="87"/>
      <c r="T702" s="87"/>
      <c r="U702" s="87"/>
      <c r="V702" s="87"/>
      <c r="W702" s="87"/>
      <c r="X702" s="87"/>
      <c r="Y702" s="87"/>
      <c r="Z702" s="87"/>
    </row>
    <row r="703">
      <c r="A703" s="96"/>
      <c r="B703" s="96"/>
      <c r="C703" s="98"/>
      <c r="D703" s="98"/>
      <c r="E703" s="100"/>
      <c r="F703" s="100"/>
      <c r="G703" s="101"/>
      <c r="H703" s="100"/>
      <c r="I703" s="100"/>
      <c r="J703" s="46"/>
      <c r="K703" s="101"/>
      <c r="L703" s="101"/>
      <c r="M703" s="87"/>
      <c r="N703" s="87"/>
      <c r="O703" s="87"/>
      <c r="P703" s="87"/>
      <c r="Q703" s="87"/>
      <c r="R703" s="87"/>
      <c r="S703" s="87"/>
      <c r="T703" s="87"/>
      <c r="U703" s="87"/>
      <c r="V703" s="87"/>
      <c r="W703" s="87"/>
      <c r="X703" s="87"/>
      <c r="Y703" s="87"/>
      <c r="Z703" s="87"/>
    </row>
    <row r="704">
      <c r="A704" s="96"/>
      <c r="B704" s="96"/>
      <c r="C704" s="98"/>
      <c r="D704" s="98"/>
      <c r="E704" s="100"/>
      <c r="F704" s="100"/>
      <c r="G704" s="101"/>
      <c r="H704" s="100"/>
      <c r="I704" s="100"/>
      <c r="J704" s="46"/>
      <c r="K704" s="101"/>
      <c r="L704" s="101"/>
      <c r="M704" s="87"/>
      <c r="N704" s="87"/>
      <c r="O704" s="87"/>
      <c r="P704" s="87"/>
      <c r="Q704" s="87"/>
      <c r="R704" s="87"/>
      <c r="S704" s="87"/>
      <c r="T704" s="87"/>
      <c r="U704" s="87"/>
      <c r="V704" s="87"/>
      <c r="W704" s="87"/>
      <c r="X704" s="87"/>
      <c r="Y704" s="87"/>
      <c r="Z704" s="87"/>
    </row>
    <row r="705">
      <c r="A705" s="96"/>
      <c r="B705" s="96"/>
      <c r="C705" s="98"/>
      <c r="D705" s="98"/>
      <c r="E705" s="100"/>
      <c r="F705" s="100"/>
      <c r="G705" s="101"/>
      <c r="H705" s="100"/>
      <c r="I705" s="100"/>
      <c r="J705" s="46"/>
      <c r="K705" s="101"/>
      <c r="L705" s="101"/>
      <c r="M705" s="87"/>
      <c r="N705" s="87"/>
      <c r="O705" s="87"/>
      <c r="P705" s="87"/>
      <c r="Q705" s="87"/>
      <c r="R705" s="87"/>
      <c r="S705" s="87"/>
      <c r="T705" s="87"/>
      <c r="U705" s="87"/>
      <c r="V705" s="87"/>
      <c r="W705" s="87"/>
      <c r="X705" s="87"/>
      <c r="Y705" s="87"/>
      <c r="Z705" s="87"/>
    </row>
    <row r="706">
      <c r="A706" s="96"/>
      <c r="B706" s="96"/>
      <c r="C706" s="98"/>
      <c r="D706" s="98"/>
      <c r="E706" s="100"/>
      <c r="F706" s="100"/>
      <c r="G706" s="101"/>
      <c r="H706" s="100"/>
      <c r="I706" s="100"/>
      <c r="J706" s="46"/>
      <c r="K706" s="101"/>
      <c r="L706" s="101"/>
      <c r="M706" s="87"/>
      <c r="N706" s="87"/>
      <c r="O706" s="87"/>
      <c r="P706" s="87"/>
      <c r="Q706" s="87"/>
      <c r="R706" s="87"/>
      <c r="S706" s="87"/>
      <c r="T706" s="87"/>
      <c r="U706" s="87"/>
      <c r="V706" s="87"/>
      <c r="W706" s="87"/>
      <c r="X706" s="87"/>
      <c r="Y706" s="87"/>
      <c r="Z706" s="87"/>
    </row>
    <row r="707">
      <c r="A707" s="96"/>
      <c r="B707" s="96"/>
      <c r="C707" s="98"/>
      <c r="D707" s="98"/>
      <c r="E707" s="100"/>
      <c r="F707" s="100"/>
      <c r="G707" s="101"/>
      <c r="H707" s="100"/>
      <c r="I707" s="100"/>
      <c r="J707" s="46"/>
      <c r="K707" s="101"/>
      <c r="L707" s="101"/>
      <c r="M707" s="87"/>
      <c r="N707" s="87"/>
      <c r="O707" s="87"/>
      <c r="P707" s="87"/>
      <c r="Q707" s="87"/>
      <c r="R707" s="87"/>
      <c r="S707" s="87"/>
      <c r="T707" s="87"/>
      <c r="U707" s="87"/>
      <c r="V707" s="87"/>
      <c r="W707" s="87"/>
      <c r="X707" s="87"/>
      <c r="Y707" s="87"/>
      <c r="Z707" s="87"/>
    </row>
    <row r="708">
      <c r="A708" s="96"/>
      <c r="B708" s="96"/>
      <c r="C708" s="98"/>
      <c r="D708" s="98"/>
      <c r="E708" s="100"/>
      <c r="F708" s="100"/>
      <c r="G708" s="101"/>
      <c r="H708" s="100"/>
      <c r="I708" s="100"/>
      <c r="J708" s="46"/>
      <c r="K708" s="101"/>
      <c r="L708" s="101"/>
      <c r="M708" s="87"/>
      <c r="N708" s="87"/>
      <c r="O708" s="87"/>
      <c r="P708" s="87"/>
      <c r="Q708" s="87"/>
      <c r="R708" s="87"/>
      <c r="S708" s="87"/>
      <c r="T708" s="87"/>
      <c r="U708" s="87"/>
      <c r="V708" s="87"/>
      <c r="W708" s="87"/>
      <c r="X708" s="87"/>
      <c r="Y708" s="87"/>
      <c r="Z708" s="87"/>
    </row>
    <row r="709">
      <c r="A709" s="96"/>
      <c r="B709" s="96"/>
      <c r="C709" s="98"/>
      <c r="D709" s="98"/>
      <c r="E709" s="100"/>
      <c r="F709" s="100"/>
      <c r="G709" s="101"/>
      <c r="H709" s="100"/>
      <c r="I709" s="100"/>
      <c r="J709" s="46"/>
      <c r="K709" s="101"/>
      <c r="L709" s="101"/>
      <c r="M709" s="87"/>
      <c r="N709" s="87"/>
      <c r="O709" s="87"/>
      <c r="P709" s="87"/>
      <c r="Q709" s="87"/>
      <c r="R709" s="87"/>
      <c r="S709" s="87"/>
      <c r="T709" s="87"/>
      <c r="U709" s="87"/>
      <c r="V709" s="87"/>
      <c r="W709" s="87"/>
      <c r="X709" s="87"/>
      <c r="Y709" s="87"/>
      <c r="Z709" s="87"/>
    </row>
    <row r="710">
      <c r="A710" s="96"/>
      <c r="B710" s="96"/>
      <c r="C710" s="98"/>
      <c r="D710" s="98"/>
      <c r="E710" s="100"/>
      <c r="F710" s="100"/>
      <c r="G710" s="101"/>
      <c r="H710" s="100"/>
      <c r="I710" s="100"/>
      <c r="J710" s="46"/>
      <c r="K710" s="101"/>
      <c r="L710" s="101"/>
      <c r="M710" s="87"/>
      <c r="N710" s="87"/>
      <c r="O710" s="87"/>
      <c r="P710" s="87"/>
      <c r="Q710" s="87"/>
      <c r="R710" s="87"/>
      <c r="S710" s="87"/>
      <c r="T710" s="87"/>
      <c r="U710" s="87"/>
      <c r="V710" s="87"/>
      <c r="W710" s="87"/>
      <c r="X710" s="87"/>
      <c r="Y710" s="87"/>
      <c r="Z710" s="87"/>
    </row>
    <row r="711">
      <c r="A711" s="96"/>
      <c r="B711" s="96"/>
      <c r="C711" s="98"/>
      <c r="D711" s="98"/>
      <c r="E711" s="100"/>
      <c r="F711" s="100"/>
      <c r="G711" s="101"/>
      <c r="H711" s="100"/>
      <c r="I711" s="100"/>
      <c r="J711" s="46"/>
      <c r="K711" s="101"/>
      <c r="L711" s="101"/>
      <c r="M711" s="87"/>
      <c r="N711" s="87"/>
      <c r="O711" s="87"/>
      <c r="P711" s="87"/>
      <c r="Q711" s="87"/>
      <c r="R711" s="87"/>
      <c r="S711" s="87"/>
      <c r="T711" s="87"/>
      <c r="U711" s="87"/>
      <c r="V711" s="87"/>
      <c r="W711" s="87"/>
      <c r="X711" s="87"/>
      <c r="Y711" s="87"/>
      <c r="Z711" s="87"/>
    </row>
    <row r="712">
      <c r="A712" s="96"/>
      <c r="B712" s="96"/>
      <c r="C712" s="98"/>
      <c r="D712" s="98"/>
      <c r="E712" s="100"/>
      <c r="F712" s="100"/>
      <c r="G712" s="101"/>
      <c r="H712" s="100"/>
      <c r="I712" s="100"/>
      <c r="J712" s="46"/>
      <c r="K712" s="101"/>
      <c r="L712" s="101"/>
      <c r="M712" s="87"/>
      <c r="N712" s="87"/>
      <c r="O712" s="87"/>
      <c r="P712" s="87"/>
      <c r="Q712" s="87"/>
      <c r="R712" s="87"/>
      <c r="S712" s="87"/>
      <c r="T712" s="87"/>
      <c r="U712" s="87"/>
      <c r="V712" s="87"/>
      <c r="W712" s="87"/>
      <c r="X712" s="87"/>
      <c r="Y712" s="87"/>
      <c r="Z712" s="87"/>
    </row>
    <row r="713">
      <c r="A713" s="96"/>
      <c r="B713" s="96"/>
      <c r="C713" s="98"/>
      <c r="D713" s="98"/>
      <c r="E713" s="100"/>
      <c r="F713" s="100"/>
      <c r="G713" s="101"/>
      <c r="H713" s="100"/>
      <c r="I713" s="100"/>
      <c r="J713" s="46"/>
      <c r="K713" s="101"/>
      <c r="L713" s="101"/>
      <c r="M713" s="87"/>
      <c r="N713" s="87"/>
      <c r="O713" s="87"/>
      <c r="P713" s="87"/>
      <c r="Q713" s="87"/>
      <c r="R713" s="87"/>
      <c r="S713" s="87"/>
      <c r="T713" s="87"/>
      <c r="U713" s="87"/>
      <c r="V713" s="87"/>
      <c r="W713" s="87"/>
      <c r="X713" s="87"/>
      <c r="Y713" s="87"/>
      <c r="Z713" s="87"/>
    </row>
    <row r="714">
      <c r="A714" s="96"/>
      <c r="B714" s="96"/>
      <c r="C714" s="98"/>
      <c r="D714" s="98"/>
      <c r="E714" s="100"/>
      <c r="F714" s="100"/>
      <c r="G714" s="101"/>
      <c r="H714" s="100"/>
      <c r="I714" s="100"/>
      <c r="J714" s="46"/>
      <c r="K714" s="101"/>
      <c r="L714" s="101"/>
      <c r="M714" s="87"/>
      <c r="N714" s="87"/>
      <c r="O714" s="87"/>
      <c r="P714" s="87"/>
      <c r="Q714" s="87"/>
      <c r="R714" s="87"/>
      <c r="S714" s="87"/>
      <c r="T714" s="87"/>
      <c r="U714" s="87"/>
      <c r="V714" s="87"/>
      <c r="W714" s="87"/>
      <c r="X714" s="87"/>
      <c r="Y714" s="87"/>
      <c r="Z714" s="87"/>
    </row>
    <row r="715">
      <c r="A715" s="96"/>
      <c r="B715" s="96"/>
      <c r="C715" s="98"/>
      <c r="D715" s="98"/>
      <c r="E715" s="100"/>
      <c r="F715" s="100"/>
      <c r="G715" s="101"/>
      <c r="H715" s="100"/>
      <c r="I715" s="100"/>
      <c r="J715" s="46"/>
      <c r="K715" s="101"/>
      <c r="L715" s="101"/>
      <c r="M715" s="87"/>
      <c r="N715" s="87"/>
      <c r="O715" s="87"/>
      <c r="P715" s="87"/>
      <c r="Q715" s="87"/>
      <c r="R715" s="87"/>
      <c r="S715" s="87"/>
      <c r="T715" s="87"/>
      <c r="U715" s="87"/>
      <c r="V715" s="87"/>
      <c r="W715" s="87"/>
      <c r="X715" s="87"/>
      <c r="Y715" s="87"/>
      <c r="Z715" s="87"/>
    </row>
    <row r="716">
      <c r="A716" s="96"/>
      <c r="B716" s="96"/>
      <c r="C716" s="98"/>
      <c r="D716" s="98"/>
      <c r="E716" s="100"/>
      <c r="F716" s="100"/>
      <c r="G716" s="101"/>
      <c r="H716" s="100"/>
      <c r="I716" s="100"/>
      <c r="J716" s="46"/>
      <c r="K716" s="101"/>
      <c r="L716" s="101"/>
      <c r="M716" s="87"/>
      <c r="N716" s="87"/>
      <c r="O716" s="87"/>
      <c r="P716" s="87"/>
      <c r="Q716" s="87"/>
      <c r="R716" s="87"/>
      <c r="S716" s="87"/>
      <c r="T716" s="87"/>
      <c r="U716" s="87"/>
      <c r="V716" s="87"/>
      <c r="W716" s="87"/>
      <c r="X716" s="87"/>
      <c r="Y716" s="87"/>
      <c r="Z716" s="87"/>
    </row>
    <row r="717">
      <c r="A717" s="96"/>
      <c r="B717" s="96"/>
      <c r="C717" s="98"/>
      <c r="D717" s="98"/>
      <c r="E717" s="100"/>
      <c r="F717" s="100"/>
      <c r="G717" s="101"/>
      <c r="H717" s="100"/>
      <c r="I717" s="100"/>
      <c r="J717" s="46"/>
      <c r="K717" s="101"/>
      <c r="L717" s="101"/>
      <c r="M717" s="87"/>
      <c r="N717" s="87"/>
      <c r="O717" s="87"/>
      <c r="P717" s="87"/>
      <c r="Q717" s="87"/>
      <c r="R717" s="87"/>
      <c r="S717" s="87"/>
      <c r="T717" s="87"/>
      <c r="U717" s="87"/>
      <c r="V717" s="87"/>
      <c r="W717" s="87"/>
      <c r="X717" s="87"/>
      <c r="Y717" s="87"/>
      <c r="Z717" s="87"/>
    </row>
    <row r="718">
      <c r="A718" s="96"/>
      <c r="B718" s="96"/>
      <c r="C718" s="98"/>
      <c r="D718" s="98"/>
      <c r="E718" s="100"/>
      <c r="F718" s="100"/>
      <c r="G718" s="101"/>
      <c r="H718" s="100"/>
      <c r="I718" s="100"/>
      <c r="J718" s="46"/>
      <c r="K718" s="101"/>
      <c r="L718" s="101"/>
      <c r="M718" s="87"/>
      <c r="N718" s="87"/>
      <c r="O718" s="87"/>
      <c r="P718" s="87"/>
      <c r="Q718" s="87"/>
      <c r="R718" s="87"/>
      <c r="S718" s="87"/>
      <c r="T718" s="87"/>
      <c r="U718" s="87"/>
      <c r="V718" s="87"/>
      <c r="W718" s="87"/>
      <c r="X718" s="87"/>
      <c r="Y718" s="87"/>
      <c r="Z718" s="87"/>
    </row>
    <row r="719">
      <c r="A719" s="96"/>
      <c r="B719" s="96"/>
      <c r="C719" s="98"/>
      <c r="D719" s="98"/>
      <c r="E719" s="100"/>
      <c r="F719" s="100"/>
      <c r="G719" s="101"/>
      <c r="H719" s="100"/>
      <c r="I719" s="100"/>
      <c r="J719" s="46"/>
      <c r="K719" s="101"/>
      <c r="L719" s="101"/>
      <c r="M719" s="87"/>
      <c r="N719" s="87"/>
      <c r="O719" s="87"/>
      <c r="P719" s="87"/>
      <c r="Q719" s="87"/>
      <c r="R719" s="87"/>
      <c r="S719" s="87"/>
      <c r="T719" s="87"/>
      <c r="U719" s="87"/>
      <c r="V719" s="87"/>
      <c r="W719" s="87"/>
      <c r="X719" s="87"/>
      <c r="Y719" s="87"/>
      <c r="Z719" s="87"/>
    </row>
    <row r="720">
      <c r="A720" s="96"/>
      <c r="B720" s="96"/>
      <c r="C720" s="98"/>
      <c r="D720" s="98"/>
      <c r="E720" s="100"/>
      <c r="F720" s="100"/>
      <c r="G720" s="101"/>
      <c r="H720" s="100"/>
      <c r="I720" s="100"/>
      <c r="J720" s="46"/>
      <c r="K720" s="101"/>
      <c r="L720" s="101"/>
      <c r="M720" s="87"/>
      <c r="N720" s="87"/>
      <c r="O720" s="87"/>
      <c r="P720" s="87"/>
      <c r="Q720" s="87"/>
      <c r="R720" s="87"/>
      <c r="S720" s="87"/>
      <c r="T720" s="87"/>
      <c r="U720" s="87"/>
      <c r="V720" s="87"/>
      <c r="W720" s="87"/>
      <c r="X720" s="87"/>
      <c r="Y720" s="87"/>
      <c r="Z720" s="87"/>
    </row>
    <row r="721">
      <c r="A721" s="96"/>
      <c r="B721" s="96"/>
      <c r="C721" s="98"/>
      <c r="D721" s="98"/>
      <c r="E721" s="100"/>
      <c r="F721" s="100"/>
      <c r="G721" s="101"/>
      <c r="H721" s="100"/>
      <c r="I721" s="100"/>
      <c r="J721" s="46"/>
      <c r="K721" s="101"/>
      <c r="L721" s="101"/>
      <c r="M721" s="87"/>
      <c r="N721" s="87"/>
      <c r="O721" s="87"/>
      <c r="P721" s="87"/>
      <c r="Q721" s="87"/>
      <c r="R721" s="87"/>
      <c r="S721" s="87"/>
      <c r="T721" s="87"/>
      <c r="U721" s="87"/>
      <c r="V721" s="87"/>
      <c r="W721" s="87"/>
      <c r="X721" s="87"/>
      <c r="Y721" s="87"/>
      <c r="Z721" s="87"/>
    </row>
    <row r="722">
      <c r="A722" s="96"/>
      <c r="B722" s="96"/>
      <c r="C722" s="98"/>
      <c r="D722" s="98"/>
      <c r="E722" s="100"/>
      <c r="F722" s="100"/>
      <c r="G722" s="101"/>
      <c r="H722" s="100"/>
      <c r="I722" s="100"/>
      <c r="J722" s="46"/>
      <c r="K722" s="101"/>
      <c r="L722" s="101"/>
      <c r="M722" s="87"/>
      <c r="N722" s="87"/>
      <c r="O722" s="87"/>
      <c r="P722" s="87"/>
      <c r="Q722" s="87"/>
      <c r="R722" s="87"/>
      <c r="S722" s="87"/>
      <c r="T722" s="87"/>
      <c r="U722" s="87"/>
      <c r="V722" s="87"/>
      <c r="W722" s="87"/>
      <c r="X722" s="87"/>
      <c r="Y722" s="87"/>
      <c r="Z722" s="87"/>
    </row>
    <row r="723">
      <c r="A723" s="96"/>
      <c r="B723" s="96"/>
      <c r="C723" s="98"/>
      <c r="D723" s="98"/>
      <c r="E723" s="100"/>
      <c r="F723" s="100"/>
      <c r="G723" s="101"/>
      <c r="H723" s="100"/>
      <c r="I723" s="100"/>
      <c r="J723" s="46"/>
      <c r="K723" s="101"/>
      <c r="L723" s="101"/>
      <c r="M723" s="87"/>
      <c r="N723" s="87"/>
      <c r="O723" s="87"/>
      <c r="P723" s="87"/>
      <c r="Q723" s="87"/>
      <c r="R723" s="87"/>
      <c r="S723" s="87"/>
      <c r="T723" s="87"/>
      <c r="U723" s="87"/>
      <c r="V723" s="87"/>
      <c r="W723" s="87"/>
      <c r="X723" s="87"/>
      <c r="Y723" s="87"/>
      <c r="Z723" s="87"/>
    </row>
    <row r="724">
      <c r="A724" s="96"/>
      <c r="B724" s="96"/>
      <c r="C724" s="98"/>
      <c r="D724" s="98"/>
      <c r="E724" s="100"/>
      <c r="F724" s="100"/>
      <c r="G724" s="101"/>
      <c r="H724" s="100"/>
      <c r="I724" s="100"/>
      <c r="J724" s="46"/>
      <c r="K724" s="101"/>
      <c r="L724" s="101"/>
      <c r="M724" s="87"/>
      <c r="N724" s="87"/>
      <c r="O724" s="87"/>
      <c r="P724" s="87"/>
      <c r="Q724" s="87"/>
      <c r="R724" s="87"/>
      <c r="S724" s="87"/>
      <c r="T724" s="87"/>
      <c r="U724" s="87"/>
      <c r="V724" s="87"/>
      <c r="W724" s="87"/>
      <c r="X724" s="87"/>
      <c r="Y724" s="87"/>
      <c r="Z724" s="87"/>
    </row>
    <row r="725">
      <c r="A725" s="96"/>
      <c r="B725" s="96"/>
      <c r="C725" s="98"/>
      <c r="D725" s="98"/>
      <c r="E725" s="100"/>
      <c r="F725" s="100"/>
      <c r="G725" s="101"/>
      <c r="H725" s="100"/>
      <c r="I725" s="100"/>
      <c r="J725" s="46"/>
      <c r="K725" s="101"/>
      <c r="L725" s="101"/>
      <c r="M725" s="87"/>
      <c r="N725" s="87"/>
      <c r="O725" s="87"/>
      <c r="P725" s="87"/>
      <c r="Q725" s="87"/>
      <c r="R725" s="87"/>
      <c r="S725" s="87"/>
      <c r="T725" s="87"/>
      <c r="U725" s="87"/>
      <c r="V725" s="87"/>
      <c r="W725" s="87"/>
      <c r="X725" s="87"/>
      <c r="Y725" s="87"/>
      <c r="Z725" s="87"/>
    </row>
    <row r="726">
      <c r="A726" s="96"/>
      <c r="B726" s="96"/>
      <c r="C726" s="98"/>
      <c r="D726" s="98"/>
      <c r="E726" s="100"/>
      <c r="F726" s="100"/>
      <c r="G726" s="101"/>
      <c r="H726" s="100"/>
      <c r="I726" s="100"/>
      <c r="J726" s="46"/>
      <c r="K726" s="101"/>
      <c r="L726" s="101"/>
      <c r="M726" s="87"/>
      <c r="N726" s="87"/>
      <c r="O726" s="87"/>
      <c r="P726" s="87"/>
      <c r="Q726" s="87"/>
      <c r="R726" s="87"/>
      <c r="S726" s="87"/>
      <c r="T726" s="87"/>
      <c r="U726" s="87"/>
      <c r="V726" s="87"/>
      <c r="W726" s="87"/>
      <c r="X726" s="87"/>
      <c r="Y726" s="87"/>
      <c r="Z726" s="87"/>
    </row>
    <row r="727">
      <c r="A727" s="96"/>
      <c r="B727" s="96"/>
      <c r="C727" s="98"/>
      <c r="D727" s="98"/>
      <c r="E727" s="100"/>
      <c r="F727" s="100"/>
      <c r="G727" s="101"/>
      <c r="H727" s="100"/>
      <c r="I727" s="100"/>
      <c r="J727" s="46"/>
      <c r="K727" s="101"/>
      <c r="L727" s="101"/>
      <c r="M727" s="87"/>
      <c r="N727" s="87"/>
      <c r="O727" s="87"/>
      <c r="P727" s="87"/>
      <c r="Q727" s="87"/>
      <c r="R727" s="87"/>
      <c r="S727" s="87"/>
      <c r="T727" s="87"/>
      <c r="U727" s="87"/>
      <c r="V727" s="87"/>
      <c r="W727" s="87"/>
      <c r="X727" s="87"/>
      <c r="Y727" s="87"/>
      <c r="Z727" s="87"/>
    </row>
    <row r="728">
      <c r="A728" s="96"/>
      <c r="B728" s="96"/>
      <c r="C728" s="98"/>
      <c r="D728" s="98"/>
      <c r="E728" s="100"/>
      <c r="F728" s="100"/>
      <c r="G728" s="101"/>
      <c r="H728" s="100"/>
      <c r="I728" s="100"/>
      <c r="J728" s="46"/>
      <c r="K728" s="101"/>
      <c r="L728" s="101"/>
      <c r="M728" s="87"/>
      <c r="N728" s="87"/>
      <c r="O728" s="87"/>
      <c r="P728" s="87"/>
      <c r="Q728" s="87"/>
      <c r="R728" s="87"/>
      <c r="S728" s="87"/>
      <c r="T728" s="87"/>
      <c r="U728" s="87"/>
      <c r="V728" s="87"/>
      <c r="W728" s="87"/>
      <c r="X728" s="87"/>
      <c r="Y728" s="87"/>
      <c r="Z728" s="87"/>
    </row>
    <row r="729">
      <c r="A729" s="96"/>
      <c r="B729" s="96"/>
      <c r="C729" s="98"/>
      <c r="D729" s="98"/>
      <c r="E729" s="100"/>
      <c r="F729" s="100"/>
      <c r="G729" s="101"/>
      <c r="H729" s="100"/>
      <c r="I729" s="100"/>
      <c r="J729" s="46"/>
      <c r="K729" s="101"/>
      <c r="L729" s="101"/>
      <c r="M729" s="87"/>
      <c r="N729" s="87"/>
      <c r="O729" s="87"/>
      <c r="P729" s="87"/>
      <c r="Q729" s="87"/>
      <c r="R729" s="87"/>
      <c r="S729" s="87"/>
      <c r="T729" s="87"/>
      <c r="U729" s="87"/>
      <c r="V729" s="87"/>
      <c r="W729" s="87"/>
      <c r="X729" s="87"/>
      <c r="Y729" s="87"/>
      <c r="Z729" s="87"/>
    </row>
    <row r="730">
      <c r="A730" s="96"/>
      <c r="B730" s="96"/>
      <c r="C730" s="98"/>
      <c r="D730" s="98"/>
      <c r="E730" s="100"/>
      <c r="F730" s="100"/>
      <c r="G730" s="101"/>
      <c r="H730" s="100"/>
      <c r="I730" s="100"/>
      <c r="J730" s="46"/>
      <c r="K730" s="101"/>
      <c r="L730" s="101"/>
      <c r="M730" s="87"/>
      <c r="N730" s="87"/>
      <c r="O730" s="87"/>
      <c r="P730" s="87"/>
      <c r="Q730" s="87"/>
      <c r="R730" s="87"/>
      <c r="S730" s="87"/>
      <c r="T730" s="87"/>
      <c r="U730" s="87"/>
      <c r="V730" s="87"/>
      <c r="W730" s="87"/>
      <c r="X730" s="87"/>
      <c r="Y730" s="87"/>
      <c r="Z730" s="87"/>
    </row>
    <row r="731">
      <c r="A731" s="96"/>
      <c r="B731" s="96"/>
      <c r="C731" s="98"/>
      <c r="D731" s="98"/>
      <c r="E731" s="100"/>
      <c r="F731" s="100"/>
      <c r="G731" s="101"/>
      <c r="H731" s="100"/>
      <c r="I731" s="100"/>
      <c r="J731" s="46"/>
      <c r="K731" s="101"/>
      <c r="L731" s="101"/>
      <c r="M731" s="87"/>
      <c r="N731" s="87"/>
      <c r="O731" s="87"/>
      <c r="P731" s="87"/>
      <c r="Q731" s="87"/>
      <c r="R731" s="87"/>
      <c r="S731" s="87"/>
      <c r="T731" s="87"/>
      <c r="U731" s="87"/>
      <c r="V731" s="87"/>
      <c r="W731" s="87"/>
      <c r="X731" s="87"/>
      <c r="Y731" s="87"/>
      <c r="Z731" s="87"/>
    </row>
    <row r="732">
      <c r="A732" s="96"/>
      <c r="B732" s="96"/>
      <c r="C732" s="98"/>
      <c r="D732" s="98"/>
      <c r="E732" s="100"/>
      <c r="F732" s="100"/>
      <c r="G732" s="101"/>
      <c r="H732" s="100"/>
      <c r="I732" s="100"/>
      <c r="J732" s="46"/>
      <c r="K732" s="101"/>
      <c r="L732" s="101"/>
      <c r="M732" s="87"/>
      <c r="N732" s="87"/>
      <c r="O732" s="87"/>
      <c r="P732" s="87"/>
      <c r="Q732" s="87"/>
      <c r="R732" s="87"/>
      <c r="S732" s="87"/>
      <c r="T732" s="87"/>
      <c r="U732" s="87"/>
      <c r="V732" s="87"/>
      <c r="W732" s="87"/>
      <c r="X732" s="87"/>
      <c r="Y732" s="87"/>
      <c r="Z732" s="87"/>
    </row>
    <row r="733">
      <c r="A733" s="96"/>
      <c r="B733" s="96"/>
      <c r="C733" s="98"/>
      <c r="D733" s="98"/>
      <c r="E733" s="100"/>
      <c r="F733" s="100"/>
      <c r="G733" s="101"/>
      <c r="H733" s="100"/>
      <c r="I733" s="100"/>
      <c r="J733" s="46"/>
      <c r="K733" s="101"/>
      <c r="L733" s="101"/>
      <c r="M733" s="87"/>
      <c r="N733" s="87"/>
      <c r="O733" s="87"/>
      <c r="P733" s="87"/>
      <c r="Q733" s="87"/>
      <c r="R733" s="87"/>
      <c r="S733" s="87"/>
      <c r="T733" s="87"/>
      <c r="U733" s="87"/>
      <c r="V733" s="87"/>
      <c r="W733" s="87"/>
      <c r="X733" s="87"/>
      <c r="Y733" s="87"/>
      <c r="Z733" s="87"/>
    </row>
    <row r="734">
      <c r="A734" s="96"/>
      <c r="B734" s="96"/>
      <c r="C734" s="98"/>
      <c r="D734" s="98"/>
      <c r="E734" s="100"/>
      <c r="F734" s="100"/>
      <c r="G734" s="101"/>
      <c r="H734" s="100"/>
      <c r="I734" s="100"/>
      <c r="J734" s="46"/>
      <c r="K734" s="101"/>
      <c r="L734" s="101"/>
      <c r="M734" s="87"/>
      <c r="N734" s="87"/>
      <c r="O734" s="87"/>
      <c r="P734" s="87"/>
      <c r="Q734" s="87"/>
      <c r="R734" s="87"/>
      <c r="S734" s="87"/>
      <c r="T734" s="87"/>
      <c r="U734" s="87"/>
      <c r="V734" s="87"/>
      <c r="W734" s="87"/>
      <c r="X734" s="87"/>
      <c r="Y734" s="87"/>
      <c r="Z734" s="87"/>
    </row>
    <row r="735">
      <c r="A735" s="96"/>
      <c r="B735" s="96"/>
      <c r="C735" s="98"/>
      <c r="D735" s="98"/>
      <c r="E735" s="100"/>
      <c r="F735" s="100"/>
      <c r="G735" s="101"/>
      <c r="H735" s="100"/>
      <c r="I735" s="100"/>
      <c r="J735" s="46"/>
      <c r="K735" s="101"/>
      <c r="L735" s="101"/>
      <c r="M735" s="87"/>
      <c r="N735" s="87"/>
      <c r="O735" s="87"/>
      <c r="P735" s="87"/>
      <c r="Q735" s="87"/>
      <c r="R735" s="87"/>
      <c r="S735" s="87"/>
      <c r="T735" s="87"/>
      <c r="U735" s="87"/>
      <c r="V735" s="87"/>
      <c r="W735" s="87"/>
      <c r="X735" s="87"/>
      <c r="Y735" s="87"/>
      <c r="Z735" s="87"/>
    </row>
    <row r="736">
      <c r="A736" s="96"/>
      <c r="B736" s="96"/>
      <c r="C736" s="98"/>
      <c r="D736" s="98"/>
      <c r="E736" s="100"/>
      <c r="F736" s="100"/>
      <c r="G736" s="101"/>
      <c r="H736" s="100"/>
      <c r="I736" s="100"/>
      <c r="J736" s="46"/>
      <c r="K736" s="101"/>
      <c r="L736" s="101"/>
      <c r="M736" s="87"/>
      <c r="N736" s="87"/>
      <c r="O736" s="87"/>
      <c r="P736" s="87"/>
      <c r="Q736" s="87"/>
      <c r="R736" s="87"/>
      <c r="S736" s="87"/>
      <c r="T736" s="87"/>
      <c r="U736" s="87"/>
      <c r="V736" s="87"/>
      <c r="W736" s="87"/>
      <c r="X736" s="87"/>
      <c r="Y736" s="87"/>
      <c r="Z736" s="87"/>
    </row>
    <row r="737">
      <c r="A737" s="96"/>
      <c r="B737" s="96"/>
      <c r="C737" s="98"/>
      <c r="D737" s="98"/>
      <c r="E737" s="100"/>
      <c r="F737" s="100"/>
      <c r="G737" s="101"/>
      <c r="H737" s="100"/>
      <c r="I737" s="100"/>
      <c r="J737" s="46"/>
      <c r="K737" s="101"/>
      <c r="L737" s="101"/>
      <c r="M737" s="87"/>
      <c r="N737" s="87"/>
      <c r="O737" s="87"/>
      <c r="P737" s="87"/>
      <c r="Q737" s="87"/>
      <c r="R737" s="87"/>
      <c r="S737" s="87"/>
      <c r="T737" s="87"/>
      <c r="U737" s="87"/>
      <c r="V737" s="87"/>
      <c r="W737" s="87"/>
      <c r="X737" s="87"/>
      <c r="Y737" s="87"/>
      <c r="Z737" s="87"/>
    </row>
    <row r="738">
      <c r="A738" s="96"/>
      <c r="B738" s="96"/>
      <c r="C738" s="98"/>
      <c r="D738" s="98"/>
      <c r="E738" s="100"/>
      <c r="F738" s="100"/>
      <c r="G738" s="101"/>
      <c r="H738" s="100"/>
      <c r="I738" s="100"/>
      <c r="J738" s="46"/>
      <c r="K738" s="101"/>
      <c r="L738" s="101"/>
      <c r="M738" s="87"/>
      <c r="N738" s="87"/>
      <c r="O738" s="87"/>
      <c r="P738" s="87"/>
      <c r="Q738" s="87"/>
      <c r="R738" s="87"/>
      <c r="S738" s="87"/>
      <c r="T738" s="87"/>
      <c r="U738" s="87"/>
      <c r="V738" s="87"/>
      <c r="W738" s="87"/>
      <c r="X738" s="87"/>
      <c r="Y738" s="87"/>
      <c r="Z738" s="87"/>
    </row>
    <row r="739">
      <c r="A739" s="96"/>
      <c r="B739" s="96"/>
      <c r="C739" s="98"/>
      <c r="D739" s="98"/>
      <c r="E739" s="100"/>
      <c r="F739" s="100"/>
      <c r="G739" s="101"/>
      <c r="H739" s="100"/>
      <c r="I739" s="100"/>
      <c r="J739" s="46"/>
      <c r="K739" s="101"/>
      <c r="L739" s="101"/>
      <c r="M739" s="87"/>
      <c r="N739" s="87"/>
      <c r="O739" s="87"/>
      <c r="P739" s="87"/>
      <c r="Q739" s="87"/>
      <c r="R739" s="87"/>
      <c r="S739" s="87"/>
      <c r="T739" s="87"/>
      <c r="U739" s="87"/>
      <c r="V739" s="87"/>
      <c r="W739" s="87"/>
      <c r="X739" s="87"/>
      <c r="Y739" s="87"/>
      <c r="Z739" s="87"/>
    </row>
    <row r="740">
      <c r="A740" s="96"/>
      <c r="B740" s="96"/>
      <c r="C740" s="98"/>
      <c r="D740" s="98"/>
      <c r="E740" s="100"/>
      <c r="F740" s="100"/>
      <c r="G740" s="101"/>
      <c r="H740" s="100"/>
      <c r="I740" s="100"/>
      <c r="J740" s="46"/>
      <c r="K740" s="101"/>
      <c r="L740" s="101"/>
      <c r="M740" s="87"/>
      <c r="N740" s="87"/>
      <c r="O740" s="87"/>
      <c r="P740" s="87"/>
      <c r="Q740" s="87"/>
      <c r="R740" s="87"/>
      <c r="S740" s="87"/>
      <c r="T740" s="87"/>
      <c r="U740" s="87"/>
      <c r="V740" s="87"/>
      <c r="W740" s="87"/>
      <c r="X740" s="87"/>
      <c r="Y740" s="87"/>
      <c r="Z740" s="87"/>
    </row>
    <row r="741">
      <c r="A741" s="96"/>
      <c r="B741" s="96"/>
      <c r="C741" s="98"/>
      <c r="D741" s="98"/>
      <c r="E741" s="100"/>
      <c r="F741" s="100"/>
      <c r="G741" s="101"/>
      <c r="H741" s="100"/>
      <c r="I741" s="100"/>
      <c r="J741" s="46"/>
      <c r="K741" s="101"/>
      <c r="L741" s="101"/>
      <c r="M741" s="87"/>
      <c r="N741" s="87"/>
      <c r="O741" s="87"/>
      <c r="P741" s="87"/>
      <c r="Q741" s="87"/>
      <c r="R741" s="87"/>
      <c r="S741" s="87"/>
      <c r="T741" s="87"/>
      <c r="U741" s="87"/>
      <c r="V741" s="87"/>
      <c r="W741" s="87"/>
      <c r="X741" s="87"/>
      <c r="Y741" s="87"/>
      <c r="Z741" s="87"/>
    </row>
    <row r="742">
      <c r="A742" s="96"/>
      <c r="B742" s="96"/>
      <c r="C742" s="98"/>
      <c r="D742" s="98"/>
      <c r="E742" s="100"/>
      <c r="F742" s="100"/>
      <c r="G742" s="101"/>
      <c r="H742" s="100"/>
      <c r="I742" s="100"/>
      <c r="J742" s="46"/>
      <c r="K742" s="101"/>
      <c r="L742" s="101"/>
      <c r="M742" s="87"/>
      <c r="N742" s="87"/>
      <c r="O742" s="87"/>
      <c r="P742" s="87"/>
      <c r="Q742" s="87"/>
      <c r="R742" s="87"/>
      <c r="S742" s="87"/>
      <c r="T742" s="87"/>
      <c r="U742" s="87"/>
      <c r="V742" s="87"/>
      <c r="W742" s="87"/>
      <c r="X742" s="87"/>
      <c r="Y742" s="87"/>
      <c r="Z742" s="87"/>
    </row>
    <row r="743">
      <c r="A743" s="96"/>
      <c r="B743" s="96"/>
      <c r="C743" s="98"/>
      <c r="D743" s="98"/>
      <c r="E743" s="100"/>
      <c r="F743" s="100"/>
      <c r="G743" s="101"/>
      <c r="H743" s="100"/>
      <c r="I743" s="100"/>
      <c r="J743" s="46"/>
      <c r="K743" s="101"/>
      <c r="L743" s="101"/>
      <c r="M743" s="87"/>
      <c r="N743" s="87"/>
      <c r="O743" s="87"/>
      <c r="P743" s="87"/>
      <c r="Q743" s="87"/>
      <c r="R743" s="87"/>
      <c r="S743" s="87"/>
      <c r="T743" s="87"/>
      <c r="U743" s="87"/>
      <c r="V743" s="87"/>
      <c r="W743" s="87"/>
      <c r="X743" s="87"/>
      <c r="Y743" s="87"/>
      <c r="Z743" s="87"/>
    </row>
    <row r="744">
      <c r="A744" s="96"/>
      <c r="B744" s="96"/>
      <c r="C744" s="98"/>
      <c r="D744" s="98"/>
      <c r="E744" s="100"/>
      <c r="F744" s="100"/>
      <c r="G744" s="101"/>
      <c r="H744" s="100"/>
      <c r="I744" s="100"/>
      <c r="J744" s="46"/>
      <c r="K744" s="101"/>
      <c r="L744" s="101"/>
      <c r="M744" s="87"/>
      <c r="N744" s="87"/>
      <c r="O744" s="87"/>
      <c r="P744" s="87"/>
      <c r="Q744" s="87"/>
      <c r="R744" s="87"/>
      <c r="S744" s="87"/>
      <c r="T744" s="87"/>
      <c r="U744" s="87"/>
      <c r="V744" s="87"/>
      <c r="W744" s="87"/>
      <c r="X744" s="87"/>
      <c r="Y744" s="87"/>
      <c r="Z744" s="87"/>
    </row>
    <row r="745">
      <c r="A745" s="96"/>
      <c r="B745" s="96"/>
      <c r="C745" s="98"/>
      <c r="D745" s="98"/>
      <c r="E745" s="100"/>
      <c r="F745" s="100"/>
      <c r="G745" s="101"/>
      <c r="H745" s="100"/>
      <c r="I745" s="100"/>
      <c r="J745" s="46"/>
      <c r="K745" s="101"/>
      <c r="L745" s="101"/>
      <c r="M745" s="87"/>
      <c r="N745" s="87"/>
      <c r="O745" s="87"/>
      <c r="P745" s="87"/>
      <c r="Q745" s="87"/>
      <c r="R745" s="87"/>
      <c r="S745" s="87"/>
      <c r="T745" s="87"/>
      <c r="U745" s="87"/>
      <c r="V745" s="87"/>
      <c r="W745" s="87"/>
      <c r="X745" s="87"/>
      <c r="Y745" s="87"/>
      <c r="Z745" s="87"/>
    </row>
    <row r="746">
      <c r="A746" s="96"/>
      <c r="B746" s="96"/>
      <c r="C746" s="98"/>
      <c r="D746" s="98"/>
      <c r="E746" s="100"/>
      <c r="F746" s="100"/>
      <c r="G746" s="101"/>
      <c r="H746" s="100"/>
      <c r="I746" s="100"/>
      <c r="J746" s="46"/>
      <c r="K746" s="101"/>
      <c r="L746" s="101"/>
      <c r="M746" s="87"/>
      <c r="N746" s="87"/>
      <c r="O746" s="87"/>
      <c r="P746" s="87"/>
      <c r="Q746" s="87"/>
      <c r="R746" s="87"/>
      <c r="S746" s="87"/>
      <c r="T746" s="87"/>
      <c r="U746" s="87"/>
      <c r="V746" s="87"/>
      <c r="W746" s="87"/>
      <c r="X746" s="87"/>
      <c r="Y746" s="87"/>
      <c r="Z746" s="87"/>
    </row>
    <row r="747">
      <c r="A747" s="96"/>
      <c r="B747" s="96"/>
      <c r="C747" s="98"/>
      <c r="D747" s="98"/>
      <c r="E747" s="100"/>
      <c r="F747" s="100"/>
      <c r="G747" s="101"/>
      <c r="H747" s="100"/>
      <c r="I747" s="100"/>
      <c r="J747" s="46"/>
      <c r="K747" s="101"/>
      <c r="L747" s="101"/>
      <c r="M747" s="87"/>
      <c r="N747" s="87"/>
      <c r="O747" s="87"/>
      <c r="P747" s="87"/>
      <c r="Q747" s="87"/>
      <c r="R747" s="87"/>
      <c r="S747" s="87"/>
      <c r="T747" s="87"/>
      <c r="U747" s="87"/>
      <c r="V747" s="87"/>
      <c r="W747" s="87"/>
      <c r="X747" s="87"/>
      <c r="Y747" s="87"/>
      <c r="Z747" s="87"/>
    </row>
    <row r="748">
      <c r="A748" s="96"/>
      <c r="B748" s="96"/>
      <c r="C748" s="98"/>
      <c r="D748" s="98"/>
      <c r="E748" s="100"/>
      <c r="F748" s="100"/>
      <c r="G748" s="101"/>
      <c r="H748" s="100"/>
      <c r="I748" s="100"/>
      <c r="J748" s="46"/>
      <c r="K748" s="101"/>
      <c r="L748" s="101"/>
      <c r="M748" s="87"/>
      <c r="N748" s="87"/>
      <c r="O748" s="87"/>
      <c r="P748" s="87"/>
      <c r="Q748" s="87"/>
      <c r="R748" s="87"/>
      <c r="S748" s="87"/>
      <c r="T748" s="87"/>
      <c r="U748" s="87"/>
      <c r="V748" s="87"/>
      <c r="W748" s="87"/>
      <c r="X748" s="87"/>
      <c r="Y748" s="87"/>
      <c r="Z748" s="87"/>
    </row>
    <row r="749">
      <c r="A749" s="96"/>
      <c r="B749" s="96"/>
      <c r="C749" s="98"/>
      <c r="D749" s="98"/>
      <c r="E749" s="100"/>
      <c r="F749" s="100"/>
      <c r="G749" s="101"/>
      <c r="H749" s="100"/>
      <c r="I749" s="100"/>
      <c r="J749" s="46"/>
      <c r="K749" s="101"/>
      <c r="L749" s="101"/>
      <c r="M749" s="87"/>
      <c r="N749" s="87"/>
      <c r="O749" s="87"/>
      <c r="P749" s="87"/>
      <c r="Q749" s="87"/>
      <c r="R749" s="87"/>
      <c r="S749" s="87"/>
      <c r="T749" s="87"/>
      <c r="U749" s="87"/>
      <c r="V749" s="87"/>
      <c r="W749" s="87"/>
      <c r="X749" s="87"/>
      <c r="Y749" s="87"/>
      <c r="Z749" s="87"/>
    </row>
    <row r="750">
      <c r="A750" s="96"/>
      <c r="B750" s="96"/>
      <c r="C750" s="98"/>
      <c r="D750" s="98"/>
      <c r="E750" s="100"/>
      <c r="F750" s="100"/>
      <c r="G750" s="101"/>
      <c r="H750" s="100"/>
      <c r="I750" s="100"/>
      <c r="J750" s="46"/>
      <c r="K750" s="101"/>
      <c r="L750" s="101"/>
      <c r="M750" s="87"/>
      <c r="N750" s="87"/>
      <c r="O750" s="87"/>
      <c r="P750" s="87"/>
      <c r="Q750" s="87"/>
      <c r="R750" s="87"/>
      <c r="S750" s="87"/>
      <c r="T750" s="87"/>
      <c r="U750" s="87"/>
      <c r="V750" s="87"/>
      <c r="W750" s="87"/>
      <c r="X750" s="87"/>
      <c r="Y750" s="87"/>
      <c r="Z750" s="87"/>
    </row>
    <row r="751">
      <c r="A751" s="96"/>
      <c r="B751" s="96"/>
      <c r="C751" s="98"/>
      <c r="D751" s="98"/>
      <c r="E751" s="100"/>
      <c r="F751" s="100"/>
      <c r="G751" s="101"/>
      <c r="H751" s="100"/>
      <c r="I751" s="100"/>
      <c r="J751" s="46"/>
      <c r="K751" s="101"/>
      <c r="L751" s="101"/>
      <c r="M751" s="87"/>
      <c r="N751" s="87"/>
      <c r="O751" s="87"/>
      <c r="P751" s="87"/>
      <c r="Q751" s="87"/>
      <c r="R751" s="87"/>
      <c r="S751" s="87"/>
      <c r="T751" s="87"/>
      <c r="U751" s="87"/>
      <c r="V751" s="87"/>
      <c r="W751" s="87"/>
      <c r="X751" s="87"/>
      <c r="Y751" s="87"/>
      <c r="Z751" s="87"/>
    </row>
    <row r="752">
      <c r="A752" s="96"/>
      <c r="B752" s="96"/>
      <c r="C752" s="98"/>
      <c r="D752" s="98"/>
      <c r="E752" s="100"/>
      <c r="F752" s="100"/>
      <c r="G752" s="101"/>
      <c r="H752" s="100"/>
      <c r="I752" s="100"/>
      <c r="J752" s="46"/>
      <c r="K752" s="101"/>
      <c r="L752" s="101"/>
      <c r="M752" s="87"/>
      <c r="N752" s="87"/>
      <c r="O752" s="87"/>
      <c r="P752" s="87"/>
      <c r="Q752" s="87"/>
      <c r="R752" s="87"/>
      <c r="S752" s="87"/>
      <c r="T752" s="87"/>
      <c r="U752" s="87"/>
      <c r="V752" s="87"/>
      <c r="W752" s="87"/>
      <c r="X752" s="87"/>
      <c r="Y752" s="87"/>
      <c r="Z752" s="87"/>
    </row>
    <row r="753">
      <c r="A753" s="96"/>
      <c r="B753" s="96"/>
      <c r="C753" s="98"/>
      <c r="D753" s="98"/>
      <c r="E753" s="100"/>
      <c r="F753" s="100"/>
      <c r="G753" s="101"/>
      <c r="H753" s="100"/>
      <c r="I753" s="100"/>
      <c r="J753" s="46"/>
      <c r="K753" s="101"/>
      <c r="L753" s="101"/>
      <c r="M753" s="87"/>
      <c r="N753" s="87"/>
      <c r="O753" s="87"/>
      <c r="P753" s="87"/>
      <c r="Q753" s="87"/>
      <c r="R753" s="87"/>
      <c r="S753" s="87"/>
      <c r="T753" s="87"/>
      <c r="U753" s="87"/>
      <c r="V753" s="87"/>
      <c r="W753" s="87"/>
      <c r="X753" s="87"/>
      <c r="Y753" s="87"/>
      <c r="Z753" s="87"/>
    </row>
    <row r="754">
      <c r="A754" s="96"/>
      <c r="B754" s="96"/>
      <c r="C754" s="98"/>
      <c r="D754" s="98"/>
      <c r="E754" s="100"/>
      <c r="F754" s="100"/>
      <c r="G754" s="101"/>
      <c r="H754" s="100"/>
      <c r="I754" s="100"/>
      <c r="J754" s="46"/>
      <c r="K754" s="101"/>
      <c r="L754" s="101"/>
      <c r="M754" s="87"/>
      <c r="N754" s="87"/>
      <c r="O754" s="87"/>
      <c r="P754" s="87"/>
      <c r="Q754" s="87"/>
      <c r="R754" s="87"/>
      <c r="S754" s="87"/>
      <c r="T754" s="87"/>
      <c r="U754" s="87"/>
      <c r="V754" s="87"/>
      <c r="W754" s="87"/>
      <c r="X754" s="87"/>
      <c r="Y754" s="87"/>
      <c r="Z754" s="87"/>
    </row>
    <row r="755">
      <c r="A755" s="96"/>
      <c r="B755" s="96"/>
      <c r="C755" s="98"/>
      <c r="D755" s="98"/>
      <c r="E755" s="100"/>
      <c r="F755" s="100"/>
      <c r="G755" s="101"/>
      <c r="H755" s="100"/>
      <c r="I755" s="100"/>
      <c r="J755" s="46"/>
      <c r="K755" s="101"/>
      <c r="L755" s="101"/>
      <c r="M755" s="87"/>
      <c r="N755" s="87"/>
      <c r="O755" s="87"/>
      <c r="P755" s="87"/>
      <c r="Q755" s="87"/>
      <c r="R755" s="87"/>
      <c r="S755" s="87"/>
      <c r="T755" s="87"/>
      <c r="U755" s="87"/>
      <c r="V755" s="87"/>
      <c r="W755" s="87"/>
      <c r="X755" s="87"/>
      <c r="Y755" s="87"/>
      <c r="Z755" s="87"/>
    </row>
    <row r="756">
      <c r="A756" s="96"/>
      <c r="B756" s="96"/>
      <c r="C756" s="98"/>
      <c r="D756" s="98"/>
      <c r="E756" s="100"/>
      <c r="F756" s="100"/>
      <c r="G756" s="101"/>
      <c r="H756" s="100"/>
      <c r="I756" s="100"/>
      <c r="J756" s="46"/>
      <c r="K756" s="101"/>
      <c r="L756" s="101"/>
      <c r="M756" s="87"/>
      <c r="N756" s="87"/>
      <c r="O756" s="87"/>
      <c r="P756" s="87"/>
      <c r="Q756" s="87"/>
      <c r="R756" s="87"/>
      <c r="S756" s="87"/>
      <c r="T756" s="87"/>
      <c r="U756" s="87"/>
      <c r="V756" s="87"/>
      <c r="W756" s="87"/>
      <c r="X756" s="87"/>
      <c r="Y756" s="87"/>
      <c r="Z756" s="87"/>
    </row>
    <row r="757">
      <c r="A757" s="96"/>
      <c r="B757" s="96"/>
      <c r="C757" s="98"/>
      <c r="D757" s="98"/>
      <c r="E757" s="100"/>
      <c r="F757" s="100"/>
      <c r="G757" s="101"/>
      <c r="H757" s="100"/>
      <c r="I757" s="100"/>
      <c r="J757" s="46"/>
      <c r="K757" s="101"/>
      <c r="L757" s="101"/>
      <c r="M757" s="87"/>
      <c r="N757" s="87"/>
      <c r="O757" s="87"/>
      <c r="P757" s="87"/>
      <c r="Q757" s="87"/>
      <c r="R757" s="87"/>
      <c r="S757" s="87"/>
      <c r="T757" s="87"/>
      <c r="U757" s="87"/>
      <c r="V757" s="87"/>
      <c r="W757" s="87"/>
      <c r="X757" s="87"/>
      <c r="Y757" s="87"/>
      <c r="Z757" s="87"/>
    </row>
    <row r="758">
      <c r="A758" s="96"/>
      <c r="B758" s="96"/>
      <c r="C758" s="98"/>
      <c r="D758" s="98"/>
      <c r="E758" s="100"/>
      <c r="F758" s="100"/>
      <c r="G758" s="101"/>
      <c r="H758" s="100"/>
      <c r="I758" s="100"/>
      <c r="J758" s="46"/>
      <c r="K758" s="101"/>
      <c r="L758" s="101"/>
      <c r="M758" s="87"/>
      <c r="N758" s="87"/>
      <c r="O758" s="87"/>
      <c r="P758" s="87"/>
      <c r="Q758" s="87"/>
      <c r="R758" s="87"/>
      <c r="S758" s="87"/>
      <c r="T758" s="87"/>
      <c r="U758" s="87"/>
      <c r="V758" s="87"/>
      <c r="W758" s="87"/>
      <c r="X758" s="87"/>
      <c r="Y758" s="87"/>
      <c r="Z758" s="87"/>
    </row>
    <row r="759">
      <c r="A759" s="96"/>
      <c r="B759" s="96"/>
      <c r="C759" s="98"/>
      <c r="D759" s="98"/>
      <c r="E759" s="100"/>
      <c r="F759" s="100"/>
      <c r="G759" s="101"/>
      <c r="H759" s="100"/>
      <c r="I759" s="100"/>
      <c r="J759" s="46"/>
      <c r="K759" s="101"/>
      <c r="L759" s="101"/>
      <c r="M759" s="87"/>
      <c r="N759" s="87"/>
      <c r="O759" s="87"/>
      <c r="P759" s="87"/>
      <c r="Q759" s="87"/>
      <c r="R759" s="87"/>
      <c r="S759" s="87"/>
      <c r="T759" s="87"/>
      <c r="U759" s="87"/>
      <c r="V759" s="87"/>
      <c r="W759" s="87"/>
      <c r="X759" s="87"/>
      <c r="Y759" s="87"/>
      <c r="Z759" s="87"/>
    </row>
    <row r="760">
      <c r="A760" s="96"/>
      <c r="B760" s="96"/>
      <c r="C760" s="98"/>
      <c r="D760" s="98"/>
      <c r="E760" s="100"/>
      <c r="F760" s="100"/>
      <c r="G760" s="101"/>
      <c r="H760" s="100"/>
      <c r="I760" s="100"/>
      <c r="J760" s="46"/>
      <c r="K760" s="101"/>
      <c r="L760" s="101"/>
      <c r="M760" s="87"/>
      <c r="N760" s="87"/>
      <c r="O760" s="87"/>
      <c r="P760" s="87"/>
      <c r="Q760" s="87"/>
      <c r="R760" s="87"/>
      <c r="S760" s="87"/>
      <c r="T760" s="87"/>
      <c r="U760" s="87"/>
      <c r="V760" s="87"/>
      <c r="W760" s="87"/>
      <c r="X760" s="87"/>
      <c r="Y760" s="87"/>
      <c r="Z760" s="87"/>
    </row>
    <row r="761">
      <c r="A761" s="96"/>
      <c r="B761" s="96"/>
      <c r="C761" s="98"/>
      <c r="D761" s="98"/>
      <c r="E761" s="100"/>
      <c r="F761" s="100"/>
      <c r="G761" s="101"/>
      <c r="H761" s="100"/>
      <c r="I761" s="100"/>
      <c r="J761" s="46"/>
      <c r="K761" s="101"/>
      <c r="L761" s="101"/>
      <c r="M761" s="87"/>
      <c r="N761" s="87"/>
      <c r="O761" s="87"/>
      <c r="P761" s="87"/>
      <c r="Q761" s="87"/>
      <c r="R761" s="87"/>
      <c r="S761" s="87"/>
      <c r="T761" s="87"/>
      <c r="U761" s="87"/>
      <c r="V761" s="87"/>
      <c r="W761" s="87"/>
      <c r="X761" s="87"/>
      <c r="Y761" s="87"/>
      <c r="Z761" s="87"/>
    </row>
    <row r="762">
      <c r="A762" s="96"/>
      <c r="B762" s="96"/>
      <c r="C762" s="98"/>
      <c r="D762" s="98"/>
      <c r="E762" s="100"/>
      <c r="F762" s="100"/>
      <c r="G762" s="101"/>
      <c r="H762" s="100"/>
      <c r="I762" s="100"/>
      <c r="J762" s="46"/>
      <c r="K762" s="101"/>
      <c r="L762" s="101"/>
      <c r="M762" s="87"/>
      <c r="N762" s="87"/>
      <c r="O762" s="87"/>
      <c r="P762" s="87"/>
      <c r="Q762" s="87"/>
      <c r="R762" s="87"/>
      <c r="S762" s="87"/>
      <c r="T762" s="87"/>
      <c r="U762" s="87"/>
      <c r="V762" s="87"/>
      <c r="W762" s="87"/>
      <c r="X762" s="87"/>
      <c r="Y762" s="87"/>
      <c r="Z762" s="87"/>
    </row>
    <row r="763">
      <c r="A763" s="96"/>
      <c r="B763" s="96"/>
      <c r="C763" s="98"/>
      <c r="D763" s="98"/>
      <c r="E763" s="100"/>
      <c r="F763" s="100"/>
      <c r="G763" s="101"/>
      <c r="H763" s="100"/>
      <c r="I763" s="100"/>
      <c r="J763" s="46"/>
      <c r="K763" s="101"/>
      <c r="L763" s="101"/>
      <c r="M763" s="87"/>
      <c r="N763" s="87"/>
      <c r="O763" s="87"/>
      <c r="P763" s="87"/>
      <c r="Q763" s="87"/>
      <c r="R763" s="87"/>
      <c r="S763" s="87"/>
      <c r="T763" s="87"/>
      <c r="U763" s="87"/>
      <c r="V763" s="87"/>
      <c r="W763" s="87"/>
      <c r="X763" s="87"/>
      <c r="Y763" s="87"/>
      <c r="Z763" s="87"/>
    </row>
    <row r="764">
      <c r="A764" s="96"/>
      <c r="B764" s="96"/>
      <c r="C764" s="98"/>
      <c r="D764" s="98"/>
      <c r="E764" s="100"/>
      <c r="F764" s="100"/>
      <c r="G764" s="101"/>
      <c r="H764" s="100"/>
      <c r="I764" s="100"/>
      <c r="J764" s="46"/>
      <c r="K764" s="101"/>
      <c r="L764" s="101"/>
      <c r="M764" s="87"/>
      <c r="N764" s="87"/>
      <c r="O764" s="87"/>
      <c r="P764" s="87"/>
      <c r="Q764" s="87"/>
      <c r="R764" s="87"/>
      <c r="S764" s="87"/>
      <c r="T764" s="87"/>
      <c r="U764" s="87"/>
      <c r="V764" s="87"/>
      <c r="W764" s="87"/>
      <c r="X764" s="87"/>
      <c r="Y764" s="87"/>
      <c r="Z764" s="87"/>
    </row>
    <row r="765">
      <c r="A765" s="96"/>
      <c r="B765" s="96"/>
      <c r="C765" s="98"/>
      <c r="D765" s="98"/>
      <c r="E765" s="100"/>
      <c r="F765" s="100"/>
      <c r="G765" s="101"/>
      <c r="H765" s="100"/>
      <c r="I765" s="100"/>
      <c r="J765" s="46"/>
      <c r="K765" s="101"/>
      <c r="L765" s="101"/>
      <c r="M765" s="87"/>
      <c r="N765" s="87"/>
      <c r="O765" s="87"/>
      <c r="P765" s="87"/>
      <c r="Q765" s="87"/>
      <c r="R765" s="87"/>
      <c r="S765" s="87"/>
      <c r="T765" s="87"/>
      <c r="U765" s="87"/>
      <c r="V765" s="87"/>
      <c r="W765" s="87"/>
      <c r="X765" s="87"/>
      <c r="Y765" s="87"/>
      <c r="Z765" s="87"/>
    </row>
    <row r="766">
      <c r="A766" s="96"/>
      <c r="B766" s="96"/>
      <c r="C766" s="98"/>
      <c r="D766" s="98"/>
      <c r="E766" s="100"/>
      <c r="F766" s="100"/>
      <c r="G766" s="101"/>
      <c r="H766" s="100"/>
      <c r="I766" s="100"/>
      <c r="J766" s="46"/>
      <c r="K766" s="101"/>
      <c r="L766" s="101"/>
      <c r="M766" s="87"/>
      <c r="N766" s="87"/>
      <c r="O766" s="87"/>
      <c r="P766" s="87"/>
      <c r="Q766" s="87"/>
      <c r="R766" s="87"/>
      <c r="S766" s="87"/>
      <c r="T766" s="87"/>
      <c r="U766" s="87"/>
      <c r="V766" s="87"/>
      <c r="W766" s="87"/>
      <c r="X766" s="87"/>
      <c r="Y766" s="87"/>
      <c r="Z766" s="87"/>
    </row>
    <row r="767">
      <c r="A767" s="96"/>
      <c r="B767" s="96"/>
      <c r="C767" s="98"/>
      <c r="D767" s="98"/>
      <c r="E767" s="100"/>
      <c r="F767" s="100"/>
      <c r="G767" s="101"/>
      <c r="H767" s="100"/>
      <c r="I767" s="100"/>
      <c r="J767" s="46"/>
      <c r="K767" s="101"/>
      <c r="L767" s="101"/>
      <c r="M767" s="87"/>
      <c r="N767" s="87"/>
      <c r="O767" s="87"/>
      <c r="P767" s="87"/>
      <c r="Q767" s="87"/>
      <c r="R767" s="87"/>
      <c r="S767" s="87"/>
      <c r="T767" s="87"/>
      <c r="U767" s="87"/>
      <c r="V767" s="87"/>
      <c r="W767" s="87"/>
      <c r="X767" s="87"/>
      <c r="Y767" s="87"/>
      <c r="Z767" s="87"/>
    </row>
    <row r="768">
      <c r="A768" s="96"/>
      <c r="B768" s="96"/>
      <c r="C768" s="98"/>
      <c r="D768" s="98"/>
      <c r="E768" s="100"/>
      <c r="F768" s="100"/>
      <c r="G768" s="101"/>
      <c r="H768" s="100"/>
      <c r="I768" s="100"/>
      <c r="J768" s="46"/>
      <c r="K768" s="101"/>
      <c r="L768" s="101"/>
      <c r="M768" s="87"/>
      <c r="N768" s="87"/>
      <c r="O768" s="87"/>
      <c r="P768" s="87"/>
      <c r="Q768" s="87"/>
      <c r="R768" s="87"/>
      <c r="S768" s="87"/>
      <c r="T768" s="87"/>
      <c r="U768" s="87"/>
      <c r="V768" s="87"/>
      <c r="W768" s="87"/>
      <c r="X768" s="87"/>
      <c r="Y768" s="87"/>
      <c r="Z768" s="87"/>
    </row>
    <row r="769">
      <c r="A769" s="96"/>
      <c r="B769" s="96"/>
      <c r="C769" s="98"/>
      <c r="D769" s="98"/>
      <c r="E769" s="100"/>
      <c r="F769" s="100"/>
      <c r="G769" s="101"/>
      <c r="H769" s="100"/>
      <c r="I769" s="100"/>
      <c r="J769" s="46"/>
      <c r="K769" s="101"/>
      <c r="L769" s="101"/>
      <c r="M769" s="87"/>
      <c r="N769" s="87"/>
      <c r="O769" s="87"/>
      <c r="P769" s="87"/>
      <c r="Q769" s="87"/>
      <c r="R769" s="87"/>
      <c r="S769" s="87"/>
      <c r="T769" s="87"/>
      <c r="U769" s="87"/>
      <c r="V769" s="87"/>
      <c r="W769" s="87"/>
      <c r="X769" s="87"/>
      <c r="Y769" s="87"/>
      <c r="Z769" s="87"/>
    </row>
    <row r="770">
      <c r="A770" s="96"/>
      <c r="B770" s="96"/>
      <c r="C770" s="98"/>
      <c r="D770" s="98"/>
      <c r="E770" s="100"/>
      <c r="F770" s="100"/>
      <c r="G770" s="101"/>
      <c r="H770" s="100"/>
      <c r="I770" s="100"/>
      <c r="J770" s="46"/>
      <c r="K770" s="101"/>
      <c r="L770" s="101"/>
      <c r="M770" s="87"/>
      <c r="N770" s="87"/>
      <c r="O770" s="87"/>
      <c r="P770" s="87"/>
      <c r="Q770" s="87"/>
      <c r="R770" s="87"/>
      <c r="S770" s="87"/>
      <c r="T770" s="87"/>
      <c r="U770" s="87"/>
      <c r="V770" s="87"/>
      <c r="W770" s="87"/>
      <c r="X770" s="87"/>
      <c r="Y770" s="87"/>
      <c r="Z770" s="87"/>
    </row>
    <row r="771">
      <c r="A771" s="96"/>
      <c r="B771" s="96"/>
      <c r="C771" s="98"/>
      <c r="D771" s="98"/>
      <c r="E771" s="100"/>
      <c r="F771" s="100"/>
      <c r="G771" s="101"/>
      <c r="H771" s="100"/>
      <c r="I771" s="100"/>
      <c r="J771" s="46"/>
      <c r="K771" s="101"/>
      <c r="L771" s="101"/>
      <c r="M771" s="87"/>
      <c r="N771" s="87"/>
      <c r="O771" s="87"/>
      <c r="P771" s="87"/>
      <c r="Q771" s="87"/>
      <c r="R771" s="87"/>
      <c r="S771" s="87"/>
      <c r="T771" s="87"/>
      <c r="U771" s="87"/>
      <c r="V771" s="87"/>
      <c r="W771" s="87"/>
      <c r="X771" s="87"/>
      <c r="Y771" s="87"/>
      <c r="Z771" s="87"/>
    </row>
    <row r="772">
      <c r="A772" s="96"/>
      <c r="B772" s="96"/>
      <c r="C772" s="98"/>
      <c r="D772" s="98"/>
      <c r="E772" s="100"/>
      <c r="F772" s="100"/>
      <c r="G772" s="101"/>
      <c r="H772" s="100"/>
      <c r="I772" s="100"/>
      <c r="J772" s="46"/>
      <c r="K772" s="101"/>
      <c r="L772" s="101"/>
      <c r="M772" s="87"/>
      <c r="N772" s="87"/>
      <c r="O772" s="87"/>
      <c r="P772" s="87"/>
      <c r="Q772" s="87"/>
      <c r="R772" s="87"/>
      <c r="S772" s="87"/>
      <c r="T772" s="87"/>
      <c r="U772" s="87"/>
      <c r="V772" s="87"/>
      <c r="W772" s="87"/>
      <c r="X772" s="87"/>
      <c r="Y772" s="87"/>
      <c r="Z772" s="87"/>
    </row>
    <row r="773">
      <c r="A773" s="96"/>
      <c r="B773" s="96"/>
      <c r="C773" s="98"/>
      <c r="D773" s="98"/>
      <c r="E773" s="100"/>
      <c r="F773" s="100"/>
      <c r="G773" s="101"/>
      <c r="H773" s="100"/>
      <c r="I773" s="100"/>
      <c r="J773" s="46"/>
      <c r="K773" s="101"/>
      <c r="L773" s="101"/>
      <c r="M773" s="87"/>
      <c r="N773" s="87"/>
      <c r="O773" s="87"/>
      <c r="P773" s="87"/>
      <c r="Q773" s="87"/>
      <c r="R773" s="87"/>
      <c r="S773" s="87"/>
      <c r="T773" s="87"/>
      <c r="U773" s="87"/>
      <c r="V773" s="87"/>
      <c r="W773" s="87"/>
      <c r="X773" s="87"/>
      <c r="Y773" s="87"/>
      <c r="Z773" s="87"/>
    </row>
    <row r="774">
      <c r="A774" s="96"/>
      <c r="B774" s="96"/>
      <c r="C774" s="98"/>
      <c r="D774" s="98"/>
      <c r="E774" s="100"/>
      <c r="F774" s="100"/>
      <c r="G774" s="101"/>
      <c r="H774" s="100"/>
      <c r="I774" s="100"/>
      <c r="J774" s="46"/>
      <c r="K774" s="101"/>
      <c r="L774" s="101"/>
      <c r="M774" s="87"/>
      <c r="N774" s="87"/>
      <c r="O774" s="87"/>
      <c r="P774" s="87"/>
      <c r="Q774" s="87"/>
      <c r="R774" s="87"/>
      <c r="S774" s="87"/>
      <c r="T774" s="87"/>
      <c r="U774" s="87"/>
      <c r="V774" s="87"/>
      <c r="W774" s="87"/>
      <c r="X774" s="87"/>
      <c r="Y774" s="87"/>
      <c r="Z774" s="87"/>
    </row>
    <row r="775">
      <c r="A775" s="96"/>
      <c r="B775" s="96"/>
      <c r="C775" s="98"/>
      <c r="D775" s="98"/>
      <c r="E775" s="100"/>
      <c r="F775" s="100"/>
      <c r="G775" s="101"/>
      <c r="H775" s="100"/>
      <c r="I775" s="100"/>
      <c r="J775" s="46"/>
      <c r="K775" s="101"/>
      <c r="L775" s="101"/>
      <c r="M775" s="87"/>
      <c r="N775" s="87"/>
      <c r="O775" s="87"/>
      <c r="P775" s="87"/>
      <c r="Q775" s="87"/>
      <c r="R775" s="87"/>
      <c r="S775" s="87"/>
      <c r="T775" s="87"/>
      <c r="U775" s="87"/>
      <c r="V775" s="87"/>
      <c r="W775" s="87"/>
      <c r="X775" s="87"/>
      <c r="Y775" s="87"/>
      <c r="Z775" s="87"/>
    </row>
    <row r="776">
      <c r="A776" s="96"/>
      <c r="B776" s="96"/>
      <c r="C776" s="98"/>
      <c r="D776" s="98"/>
      <c r="E776" s="100"/>
      <c r="F776" s="100"/>
      <c r="G776" s="101"/>
      <c r="H776" s="100"/>
      <c r="I776" s="100"/>
      <c r="J776" s="46"/>
      <c r="K776" s="101"/>
      <c r="L776" s="101"/>
      <c r="M776" s="87"/>
      <c r="N776" s="87"/>
      <c r="O776" s="87"/>
      <c r="P776" s="87"/>
      <c r="Q776" s="87"/>
      <c r="R776" s="87"/>
      <c r="S776" s="87"/>
      <c r="T776" s="87"/>
      <c r="U776" s="87"/>
      <c r="V776" s="87"/>
      <c r="W776" s="87"/>
      <c r="X776" s="87"/>
      <c r="Y776" s="87"/>
      <c r="Z776" s="87"/>
    </row>
    <row r="777">
      <c r="A777" s="96"/>
      <c r="B777" s="96"/>
      <c r="C777" s="98"/>
      <c r="D777" s="98"/>
      <c r="E777" s="100"/>
      <c r="F777" s="100"/>
      <c r="G777" s="101"/>
      <c r="H777" s="100"/>
      <c r="I777" s="100"/>
      <c r="J777" s="46"/>
      <c r="K777" s="101"/>
      <c r="L777" s="101"/>
      <c r="M777" s="87"/>
      <c r="N777" s="87"/>
      <c r="O777" s="87"/>
      <c r="P777" s="87"/>
      <c r="Q777" s="87"/>
      <c r="R777" s="87"/>
      <c r="S777" s="87"/>
      <c r="T777" s="87"/>
      <c r="U777" s="87"/>
      <c r="V777" s="87"/>
      <c r="W777" s="87"/>
      <c r="X777" s="87"/>
      <c r="Y777" s="87"/>
      <c r="Z777" s="87"/>
    </row>
    <row r="778">
      <c r="A778" s="96"/>
      <c r="B778" s="96"/>
      <c r="C778" s="98"/>
      <c r="D778" s="98"/>
      <c r="E778" s="100"/>
      <c r="F778" s="100"/>
      <c r="G778" s="101"/>
      <c r="H778" s="100"/>
      <c r="I778" s="100"/>
      <c r="J778" s="46"/>
      <c r="K778" s="101"/>
      <c r="L778" s="101"/>
      <c r="M778" s="87"/>
      <c r="N778" s="87"/>
      <c r="O778" s="87"/>
      <c r="P778" s="87"/>
      <c r="Q778" s="87"/>
      <c r="R778" s="87"/>
      <c r="S778" s="87"/>
      <c r="T778" s="87"/>
      <c r="U778" s="87"/>
      <c r="V778" s="87"/>
      <c r="W778" s="87"/>
      <c r="X778" s="87"/>
      <c r="Y778" s="87"/>
      <c r="Z778" s="87"/>
    </row>
    <row r="779">
      <c r="A779" s="96"/>
      <c r="B779" s="96"/>
      <c r="C779" s="98"/>
      <c r="D779" s="98"/>
      <c r="E779" s="100"/>
      <c r="F779" s="100"/>
      <c r="G779" s="101"/>
      <c r="H779" s="100"/>
      <c r="I779" s="100"/>
      <c r="J779" s="46"/>
      <c r="K779" s="101"/>
      <c r="L779" s="101"/>
      <c r="M779" s="87"/>
      <c r="N779" s="87"/>
      <c r="O779" s="87"/>
      <c r="P779" s="87"/>
      <c r="Q779" s="87"/>
      <c r="R779" s="87"/>
      <c r="S779" s="87"/>
      <c r="T779" s="87"/>
      <c r="U779" s="87"/>
      <c r="V779" s="87"/>
      <c r="W779" s="87"/>
      <c r="X779" s="87"/>
      <c r="Y779" s="87"/>
      <c r="Z779" s="87"/>
    </row>
    <row r="780">
      <c r="A780" s="96"/>
      <c r="B780" s="96"/>
      <c r="C780" s="98"/>
      <c r="D780" s="98"/>
      <c r="E780" s="100"/>
      <c r="F780" s="100"/>
      <c r="G780" s="101"/>
      <c r="H780" s="100"/>
      <c r="I780" s="100"/>
      <c r="J780" s="46"/>
      <c r="K780" s="101"/>
      <c r="L780" s="101"/>
      <c r="M780" s="87"/>
      <c r="N780" s="87"/>
      <c r="O780" s="87"/>
      <c r="P780" s="87"/>
      <c r="Q780" s="87"/>
      <c r="R780" s="87"/>
      <c r="S780" s="87"/>
      <c r="T780" s="87"/>
      <c r="U780" s="87"/>
      <c r="V780" s="87"/>
      <c r="W780" s="87"/>
      <c r="X780" s="87"/>
      <c r="Y780" s="87"/>
      <c r="Z780" s="87"/>
    </row>
    <row r="781">
      <c r="A781" s="96"/>
      <c r="B781" s="96"/>
      <c r="C781" s="98"/>
      <c r="D781" s="98"/>
      <c r="E781" s="100"/>
      <c r="F781" s="100"/>
      <c r="G781" s="101"/>
      <c r="H781" s="100"/>
      <c r="I781" s="100"/>
      <c r="J781" s="46"/>
      <c r="K781" s="101"/>
      <c r="L781" s="101"/>
      <c r="M781" s="87"/>
      <c r="N781" s="87"/>
      <c r="O781" s="87"/>
      <c r="P781" s="87"/>
      <c r="Q781" s="87"/>
      <c r="R781" s="87"/>
      <c r="S781" s="87"/>
      <c r="T781" s="87"/>
      <c r="U781" s="87"/>
      <c r="V781" s="87"/>
      <c r="W781" s="87"/>
      <c r="X781" s="87"/>
      <c r="Y781" s="87"/>
      <c r="Z781" s="87"/>
    </row>
    <row r="782">
      <c r="A782" s="96"/>
      <c r="B782" s="96"/>
      <c r="C782" s="98"/>
      <c r="D782" s="98"/>
      <c r="E782" s="100"/>
      <c r="F782" s="100"/>
      <c r="G782" s="101"/>
      <c r="H782" s="100"/>
      <c r="I782" s="100"/>
      <c r="J782" s="46"/>
      <c r="K782" s="101"/>
      <c r="L782" s="101"/>
      <c r="M782" s="87"/>
      <c r="N782" s="87"/>
      <c r="O782" s="87"/>
      <c r="P782" s="87"/>
      <c r="Q782" s="87"/>
      <c r="R782" s="87"/>
      <c r="S782" s="87"/>
      <c r="T782" s="87"/>
      <c r="U782" s="87"/>
      <c r="V782" s="87"/>
      <c r="W782" s="87"/>
      <c r="X782" s="87"/>
      <c r="Y782" s="87"/>
      <c r="Z782" s="87"/>
    </row>
    <row r="783">
      <c r="A783" s="96"/>
      <c r="B783" s="96"/>
      <c r="C783" s="98"/>
      <c r="D783" s="98"/>
      <c r="E783" s="100"/>
      <c r="F783" s="100"/>
      <c r="G783" s="101"/>
      <c r="H783" s="100"/>
      <c r="I783" s="100"/>
      <c r="J783" s="46"/>
      <c r="K783" s="101"/>
      <c r="L783" s="101"/>
      <c r="M783" s="87"/>
      <c r="N783" s="87"/>
      <c r="O783" s="87"/>
      <c r="P783" s="87"/>
      <c r="Q783" s="87"/>
      <c r="R783" s="87"/>
      <c r="S783" s="87"/>
      <c r="T783" s="87"/>
      <c r="U783" s="87"/>
      <c r="V783" s="87"/>
      <c r="W783" s="87"/>
      <c r="X783" s="87"/>
      <c r="Y783" s="87"/>
      <c r="Z783" s="87"/>
    </row>
    <row r="784">
      <c r="A784" s="96"/>
      <c r="B784" s="96"/>
      <c r="C784" s="98"/>
      <c r="D784" s="98"/>
      <c r="E784" s="100"/>
      <c r="F784" s="100"/>
      <c r="G784" s="101"/>
      <c r="H784" s="100"/>
      <c r="I784" s="100"/>
      <c r="J784" s="46"/>
      <c r="K784" s="101"/>
      <c r="L784" s="101"/>
      <c r="M784" s="87"/>
      <c r="N784" s="87"/>
      <c r="O784" s="87"/>
      <c r="P784" s="87"/>
      <c r="Q784" s="87"/>
      <c r="R784" s="87"/>
      <c r="S784" s="87"/>
      <c r="T784" s="87"/>
      <c r="U784" s="87"/>
      <c r="V784" s="87"/>
      <c r="W784" s="87"/>
      <c r="X784" s="87"/>
      <c r="Y784" s="87"/>
      <c r="Z784" s="87"/>
    </row>
    <row r="785">
      <c r="A785" s="96"/>
      <c r="B785" s="96"/>
      <c r="C785" s="98"/>
      <c r="D785" s="98"/>
      <c r="E785" s="100"/>
      <c r="F785" s="100"/>
      <c r="G785" s="101"/>
      <c r="H785" s="100"/>
      <c r="I785" s="100"/>
      <c r="J785" s="46"/>
      <c r="K785" s="101"/>
      <c r="L785" s="101"/>
      <c r="M785" s="87"/>
      <c r="N785" s="87"/>
      <c r="O785" s="87"/>
      <c r="P785" s="87"/>
      <c r="Q785" s="87"/>
      <c r="R785" s="87"/>
      <c r="S785" s="87"/>
      <c r="T785" s="87"/>
      <c r="U785" s="87"/>
      <c r="V785" s="87"/>
      <c r="W785" s="87"/>
      <c r="X785" s="87"/>
      <c r="Y785" s="87"/>
      <c r="Z785" s="87"/>
    </row>
    <row r="786">
      <c r="A786" s="96"/>
      <c r="B786" s="96"/>
      <c r="C786" s="98"/>
      <c r="D786" s="98"/>
      <c r="E786" s="100"/>
      <c r="F786" s="100"/>
      <c r="G786" s="101"/>
      <c r="H786" s="100"/>
      <c r="I786" s="100"/>
      <c r="J786" s="46"/>
      <c r="K786" s="101"/>
      <c r="L786" s="101"/>
      <c r="M786" s="87"/>
      <c r="N786" s="87"/>
      <c r="O786" s="87"/>
      <c r="P786" s="87"/>
      <c r="Q786" s="87"/>
      <c r="R786" s="87"/>
      <c r="S786" s="87"/>
      <c r="T786" s="87"/>
      <c r="U786" s="87"/>
      <c r="V786" s="87"/>
      <c r="W786" s="87"/>
      <c r="X786" s="87"/>
      <c r="Y786" s="87"/>
      <c r="Z786" s="87"/>
    </row>
    <row r="787">
      <c r="A787" s="96"/>
      <c r="B787" s="96"/>
      <c r="C787" s="98"/>
      <c r="D787" s="98"/>
      <c r="E787" s="100"/>
      <c r="F787" s="100"/>
      <c r="G787" s="101"/>
      <c r="H787" s="100"/>
      <c r="I787" s="100"/>
      <c r="J787" s="46"/>
      <c r="K787" s="101"/>
      <c r="L787" s="101"/>
      <c r="M787" s="87"/>
      <c r="N787" s="87"/>
      <c r="O787" s="87"/>
      <c r="P787" s="87"/>
      <c r="Q787" s="87"/>
      <c r="R787" s="87"/>
      <c r="S787" s="87"/>
      <c r="T787" s="87"/>
      <c r="U787" s="87"/>
      <c r="V787" s="87"/>
      <c r="W787" s="87"/>
      <c r="X787" s="87"/>
      <c r="Y787" s="87"/>
      <c r="Z787" s="87"/>
    </row>
    <row r="788">
      <c r="A788" s="96"/>
      <c r="B788" s="96"/>
      <c r="C788" s="98"/>
      <c r="D788" s="98"/>
      <c r="E788" s="100"/>
      <c r="F788" s="100"/>
      <c r="G788" s="101"/>
      <c r="H788" s="100"/>
      <c r="I788" s="100"/>
      <c r="J788" s="46"/>
      <c r="K788" s="101"/>
      <c r="L788" s="101"/>
      <c r="M788" s="87"/>
      <c r="N788" s="87"/>
      <c r="O788" s="87"/>
      <c r="P788" s="87"/>
      <c r="Q788" s="87"/>
      <c r="R788" s="87"/>
      <c r="S788" s="87"/>
      <c r="T788" s="87"/>
      <c r="U788" s="87"/>
      <c r="V788" s="87"/>
      <c r="W788" s="87"/>
      <c r="X788" s="87"/>
      <c r="Y788" s="87"/>
      <c r="Z788" s="87"/>
    </row>
    <row r="789">
      <c r="A789" s="96"/>
      <c r="B789" s="96"/>
      <c r="C789" s="98"/>
      <c r="D789" s="98"/>
      <c r="E789" s="100"/>
      <c r="F789" s="100"/>
      <c r="G789" s="101"/>
      <c r="H789" s="100"/>
      <c r="I789" s="100"/>
      <c r="J789" s="46"/>
      <c r="K789" s="101"/>
      <c r="L789" s="101"/>
      <c r="M789" s="87"/>
      <c r="N789" s="87"/>
      <c r="O789" s="87"/>
      <c r="P789" s="87"/>
      <c r="Q789" s="87"/>
      <c r="R789" s="87"/>
      <c r="S789" s="87"/>
      <c r="T789" s="87"/>
      <c r="U789" s="87"/>
      <c r="V789" s="87"/>
      <c r="W789" s="87"/>
      <c r="X789" s="87"/>
      <c r="Y789" s="87"/>
      <c r="Z789" s="87"/>
    </row>
    <row r="790">
      <c r="A790" s="96"/>
      <c r="B790" s="96"/>
      <c r="C790" s="98"/>
      <c r="D790" s="98"/>
      <c r="E790" s="100"/>
      <c r="F790" s="100"/>
      <c r="G790" s="101"/>
      <c r="H790" s="100"/>
      <c r="I790" s="100"/>
      <c r="J790" s="46"/>
      <c r="K790" s="101"/>
      <c r="L790" s="101"/>
      <c r="M790" s="87"/>
      <c r="N790" s="87"/>
      <c r="O790" s="87"/>
      <c r="P790" s="87"/>
      <c r="Q790" s="87"/>
      <c r="R790" s="87"/>
      <c r="S790" s="87"/>
      <c r="T790" s="87"/>
      <c r="U790" s="87"/>
      <c r="V790" s="87"/>
      <c r="W790" s="87"/>
      <c r="X790" s="87"/>
      <c r="Y790" s="87"/>
      <c r="Z790" s="87"/>
    </row>
    <row r="791">
      <c r="A791" s="96"/>
      <c r="B791" s="96"/>
      <c r="C791" s="98"/>
      <c r="D791" s="98"/>
      <c r="E791" s="100"/>
      <c r="F791" s="100"/>
      <c r="G791" s="101"/>
      <c r="H791" s="100"/>
      <c r="I791" s="100"/>
      <c r="J791" s="46"/>
      <c r="K791" s="101"/>
      <c r="L791" s="101"/>
      <c r="M791" s="87"/>
      <c r="N791" s="87"/>
      <c r="O791" s="87"/>
      <c r="P791" s="87"/>
      <c r="Q791" s="87"/>
      <c r="R791" s="87"/>
      <c r="S791" s="87"/>
      <c r="T791" s="87"/>
      <c r="U791" s="87"/>
      <c r="V791" s="87"/>
      <c r="W791" s="87"/>
      <c r="X791" s="87"/>
      <c r="Y791" s="87"/>
      <c r="Z791" s="87"/>
    </row>
    <row r="792">
      <c r="A792" s="96"/>
      <c r="B792" s="96"/>
      <c r="C792" s="98"/>
      <c r="D792" s="98"/>
      <c r="E792" s="100"/>
      <c r="F792" s="100"/>
      <c r="G792" s="101"/>
      <c r="H792" s="100"/>
      <c r="I792" s="100"/>
      <c r="J792" s="46"/>
      <c r="K792" s="101"/>
      <c r="L792" s="101"/>
      <c r="M792" s="87"/>
      <c r="N792" s="87"/>
      <c r="O792" s="87"/>
      <c r="P792" s="87"/>
      <c r="Q792" s="87"/>
      <c r="R792" s="87"/>
      <c r="S792" s="87"/>
      <c r="T792" s="87"/>
      <c r="U792" s="87"/>
      <c r="V792" s="87"/>
      <c r="W792" s="87"/>
      <c r="X792" s="87"/>
      <c r="Y792" s="87"/>
      <c r="Z792" s="87"/>
    </row>
    <row r="793">
      <c r="A793" s="96"/>
      <c r="B793" s="96"/>
      <c r="C793" s="98"/>
      <c r="D793" s="98"/>
      <c r="E793" s="100"/>
      <c r="F793" s="100"/>
      <c r="G793" s="101"/>
      <c r="H793" s="100"/>
      <c r="I793" s="100"/>
      <c r="J793" s="46"/>
      <c r="K793" s="101"/>
      <c r="L793" s="101"/>
      <c r="M793" s="87"/>
      <c r="N793" s="87"/>
      <c r="O793" s="87"/>
      <c r="P793" s="87"/>
      <c r="Q793" s="87"/>
      <c r="R793" s="87"/>
      <c r="S793" s="87"/>
      <c r="T793" s="87"/>
      <c r="U793" s="87"/>
      <c r="V793" s="87"/>
      <c r="W793" s="87"/>
      <c r="X793" s="87"/>
      <c r="Y793" s="87"/>
      <c r="Z793" s="87"/>
    </row>
    <row r="794">
      <c r="A794" s="96"/>
      <c r="B794" s="96"/>
      <c r="C794" s="98"/>
      <c r="D794" s="98"/>
      <c r="E794" s="100"/>
      <c r="F794" s="100"/>
      <c r="G794" s="101"/>
      <c r="H794" s="100"/>
      <c r="I794" s="100"/>
      <c r="J794" s="46"/>
      <c r="K794" s="101"/>
      <c r="L794" s="101"/>
      <c r="M794" s="87"/>
      <c r="N794" s="87"/>
      <c r="O794" s="87"/>
      <c r="P794" s="87"/>
      <c r="Q794" s="87"/>
      <c r="R794" s="87"/>
      <c r="S794" s="87"/>
      <c r="T794" s="87"/>
      <c r="U794" s="87"/>
      <c r="V794" s="87"/>
      <c r="W794" s="87"/>
      <c r="X794" s="87"/>
      <c r="Y794" s="87"/>
      <c r="Z794" s="87"/>
    </row>
    <row r="795">
      <c r="A795" s="96"/>
      <c r="B795" s="96"/>
      <c r="C795" s="98"/>
      <c r="D795" s="98"/>
      <c r="E795" s="100"/>
      <c r="F795" s="100"/>
      <c r="G795" s="101"/>
      <c r="H795" s="100"/>
      <c r="I795" s="100"/>
      <c r="J795" s="46"/>
      <c r="K795" s="101"/>
      <c r="L795" s="101"/>
      <c r="M795" s="87"/>
      <c r="N795" s="87"/>
      <c r="O795" s="87"/>
      <c r="P795" s="87"/>
      <c r="Q795" s="87"/>
      <c r="R795" s="87"/>
      <c r="S795" s="87"/>
      <c r="T795" s="87"/>
      <c r="U795" s="87"/>
      <c r="V795" s="87"/>
      <c r="W795" s="87"/>
      <c r="X795" s="87"/>
      <c r="Y795" s="87"/>
      <c r="Z795" s="87"/>
    </row>
    <row r="796">
      <c r="A796" s="96"/>
      <c r="B796" s="96"/>
      <c r="C796" s="98"/>
      <c r="D796" s="98"/>
      <c r="E796" s="100"/>
      <c r="F796" s="100"/>
      <c r="G796" s="101"/>
      <c r="H796" s="100"/>
      <c r="I796" s="100"/>
      <c r="J796" s="46"/>
      <c r="K796" s="101"/>
      <c r="L796" s="101"/>
      <c r="M796" s="87"/>
      <c r="N796" s="87"/>
      <c r="O796" s="87"/>
      <c r="P796" s="87"/>
      <c r="Q796" s="87"/>
      <c r="R796" s="87"/>
      <c r="S796" s="87"/>
      <c r="T796" s="87"/>
      <c r="U796" s="87"/>
      <c r="V796" s="87"/>
      <c r="W796" s="87"/>
      <c r="X796" s="87"/>
      <c r="Y796" s="87"/>
      <c r="Z796" s="87"/>
    </row>
    <row r="797">
      <c r="A797" s="96"/>
      <c r="B797" s="96"/>
      <c r="C797" s="98"/>
      <c r="D797" s="98"/>
      <c r="E797" s="100"/>
      <c r="F797" s="100"/>
      <c r="G797" s="101"/>
      <c r="H797" s="100"/>
      <c r="I797" s="100"/>
      <c r="J797" s="46"/>
      <c r="K797" s="101"/>
      <c r="L797" s="101"/>
      <c r="M797" s="87"/>
      <c r="N797" s="87"/>
      <c r="O797" s="87"/>
      <c r="P797" s="87"/>
      <c r="Q797" s="87"/>
      <c r="R797" s="87"/>
      <c r="S797" s="87"/>
      <c r="T797" s="87"/>
      <c r="U797" s="87"/>
      <c r="V797" s="87"/>
      <c r="W797" s="87"/>
      <c r="X797" s="87"/>
      <c r="Y797" s="87"/>
      <c r="Z797" s="87"/>
    </row>
    <row r="798">
      <c r="A798" s="96"/>
      <c r="B798" s="96"/>
      <c r="C798" s="98"/>
      <c r="D798" s="98"/>
      <c r="E798" s="100"/>
      <c r="F798" s="100"/>
      <c r="G798" s="101"/>
      <c r="H798" s="100"/>
      <c r="I798" s="100"/>
      <c r="J798" s="46"/>
      <c r="K798" s="101"/>
      <c r="L798" s="101"/>
      <c r="M798" s="87"/>
      <c r="N798" s="87"/>
      <c r="O798" s="87"/>
      <c r="P798" s="87"/>
      <c r="Q798" s="87"/>
      <c r="R798" s="87"/>
      <c r="S798" s="87"/>
      <c r="T798" s="87"/>
      <c r="U798" s="87"/>
      <c r="V798" s="87"/>
      <c r="W798" s="87"/>
      <c r="X798" s="87"/>
      <c r="Y798" s="87"/>
      <c r="Z798" s="87"/>
    </row>
    <row r="799">
      <c r="A799" s="96"/>
      <c r="B799" s="96"/>
      <c r="C799" s="98"/>
      <c r="D799" s="98"/>
      <c r="E799" s="100"/>
      <c r="F799" s="100"/>
      <c r="G799" s="101"/>
      <c r="H799" s="100"/>
      <c r="I799" s="100"/>
      <c r="J799" s="46"/>
      <c r="K799" s="101"/>
      <c r="L799" s="101"/>
      <c r="M799" s="87"/>
      <c r="N799" s="87"/>
      <c r="O799" s="87"/>
      <c r="P799" s="87"/>
      <c r="Q799" s="87"/>
      <c r="R799" s="87"/>
      <c r="S799" s="87"/>
      <c r="T799" s="87"/>
      <c r="U799" s="87"/>
      <c r="V799" s="87"/>
      <c r="W799" s="87"/>
      <c r="X799" s="87"/>
      <c r="Y799" s="87"/>
      <c r="Z799" s="87"/>
    </row>
    <row r="800">
      <c r="A800" s="96"/>
      <c r="B800" s="96"/>
      <c r="C800" s="98"/>
      <c r="D800" s="98"/>
      <c r="E800" s="100"/>
      <c r="F800" s="100"/>
      <c r="G800" s="101"/>
      <c r="H800" s="100"/>
      <c r="I800" s="100"/>
      <c r="J800" s="46"/>
      <c r="K800" s="101"/>
      <c r="L800" s="101"/>
      <c r="M800" s="87"/>
      <c r="N800" s="87"/>
      <c r="O800" s="87"/>
      <c r="P800" s="87"/>
      <c r="Q800" s="87"/>
      <c r="R800" s="87"/>
      <c r="S800" s="87"/>
      <c r="T800" s="87"/>
      <c r="U800" s="87"/>
      <c r="V800" s="87"/>
      <c r="W800" s="87"/>
      <c r="X800" s="87"/>
      <c r="Y800" s="87"/>
      <c r="Z800" s="87"/>
    </row>
    <row r="801">
      <c r="A801" s="96"/>
      <c r="B801" s="96"/>
      <c r="C801" s="98"/>
      <c r="D801" s="98"/>
      <c r="E801" s="100"/>
      <c r="F801" s="100"/>
      <c r="G801" s="101"/>
      <c r="H801" s="100"/>
      <c r="I801" s="100"/>
      <c r="J801" s="46"/>
      <c r="K801" s="101"/>
      <c r="L801" s="101"/>
      <c r="M801" s="87"/>
      <c r="N801" s="87"/>
      <c r="O801" s="87"/>
      <c r="P801" s="87"/>
      <c r="Q801" s="87"/>
      <c r="R801" s="87"/>
      <c r="S801" s="87"/>
      <c r="T801" s="87"/>
      <c r="U801" s="87"/>
      <c r="V801" s="87"/>
      <c r="W801" s="87"/>
      <c r="X801" s="87"/>
      <c r="Y801" s="87"/>
      <c r="Z801" s="87"/>
    </row>
    <row r="802">
      <c r="A802" s="96"/>
      <c r="B802" s="96"/>
      <c r="C802" s="98"/>
      <c r="D802" s="98"/>
      <c r="E802" s="100"/>
      <c r="F802" s="100"/>
      <c r="G802" s="101"/>
      <c r="H802" s="100"/>
      <c r="I802" s="100"/>
      <c r="J802" s="46"/>
      <c r="K802" s="101"/>
      <c r="L802" s="101"/>
      <c r="M802" s="87"/>
      <c r="N802" s="87"/>
      <c r="O802" s="87"/>
      <c r="P802" s="87"/>
      <c r="Q802" s="87"/>
      <c r="R802" s="87"/>
      <c r="S802" s="87"/>
      <c r="T802" s="87"/>
      <c r="U802" s="87"/>
      <c r="V802" s="87"/>
      <c r="W802" s="87"/>
      <c r="X802" s="87"/>
      <c r="Y802" s="87"/>
      <c r="Z802" s="87"/>
    </row>
    <row r="803">
      <c r="A803" s="96"/>
      <c r="B803" s="96"/>
      <c r="C803" s="98"/>
      <c r="D803" s="98"/>
      <c r="E803" s="100"/>
      <c r="F803" s="100"/>
      <c r="G803" s="101"/>
      <c r="H803" s="100"/>
      <c r="I803" s="100"/>
      <c r="J803" s="46"/>
      <c r="K803" s="101"/>
      <c r="L803" s="101"/>
      <c r="M803" s="87"/>
      <c r="N803" s="87"/>
      <c r="O803" s="87"/>
      <c r="P803" s="87"/>
      <c r="Q803" s="87"/>
      <c r="R803" s="87"/>
      <c r="S803" s="87"/>
      <c r="T803" s="87"/>
      <c r="U803" s="87"/>
      <c r="V803" s="87"/>
      <c r="W803" s="87"/>
      <c r="X803" s="87"/>
      <c r="Y803" s="87"/>
      <c r="Z803" s="87"/>
    </row>
    <row r="804">
      <c r="A804" s="96"/>
      <c r="B804" s="96"/>
      <c r="C804" s="98"/>
      <c r="D804" s="98"/>
      <c r="E804" s="100"/>
      <c r="F804" s="100"/>
      <c r="G804" s="101"/>
      <c r="H804" s="100"/>
      <c r="I804" s="100"/>
      <c r="J804" s="46"/>
      <c r="K804" s="101"/>
      <c r="L804" s="101"/>
      <c r="M804" s="87"/>
      <c r="N804" s="87"/>
      <c r="O804" s="87"/>
      <c r="P804" s="87"/>
      <c r="Q804" s="87"/>
      <c r="R804" s="87"/>
      <c r="S804" s="87"/>
      <c r="T804" s="87"/>
      <c r="U804" s="87"/>
      <c r="V804" s="87"/>
      <c r="W804" s="87"/>
      <c r="X804" s="87"/>
      <c r="Y804" s="87"/>
      <c r="Z804" s="87"/>
    </row>
    <row r="805">
      <c r="A805" s="96"/>
      <c r="B805" s="96"/>
      <c r="C805" s="98"/>
      <c r="D805" s="98"/>
      <c r="E805" s="100"/>
      <c r="F805" s="100"/>
      <c r="G805" s="101"/>
      <c r="H805" s="100"/>
      <c r="I805" s="100"/>
      <c r="J805" s="46"/>
      <c r="K805" s="101"/>
      <c r="L805" s="101"/>
      <c r="M805" s="87"/>
      <c r="N805" s="87"/>
      <c r="O805" s="87"/>
      <c r="P805" s="87"/>
      <c r="Q805" s="87"/>
      <c r="R805" s="87"/>
      <c r="S805" s="87"/>
      <c r="T805" s="87"/>
      <c r="U805" s="87"/>
      <c r="V805" s="87"/>
      <c r="W805" s="87"/>
      <c r="X805" s="87"/>
      <c r="Y805" s="87"/>
      <c r="Z805" s="87"/>
    </row>
    <row r="806">
      <c r="A806" s="96"/>
      <c r="B806" s="96"/>
      <c r="C806" s="98"/>
      <c r="D806" s="98"/>
      <c r="E806" s="100"/>
      <c r="F806" s="100"/>
      <c r="G806" s="101"/>
      <c r="H806" s="100"/>
      <c r="I806" s="100"/>
      <c r="J806" s="46"/>
      <c r="K806" s="101"/>
      <c r="L806" s="101"/>
      <c r="M806" s="87"/>
      <c r="N806" s="87"/>
      <c r="O806" s="87"/>
      <c r="P806" s="87"/>
      <c r="Q806" s="87"/>
      <c r="R806" s="87"/>
      <c r="S806" s="87"/>
      <c r="T806" s="87"/>
      <c r="U806" s="87"/>
      <c r="V806" s="87"/>
      <c r="W806" s="87"/>
      <c r="X806" s="87"/>
      <c r="Y806" s="87"/>
      <c r="Z806" s="87"/>
    </row>
    <row r="807">
      <c r="A807" s="96"/>
      <c r="B807" s="96"/>
      <c r="C807" s="98"/>
      <c r="D807" s="98"/>
      <c r="E807" s="100"/>
      <c r="F807" s="100"/>
      <c r="G807" s="101"/>
      <c r="H807" s="100"/>
      <c r="I807" s="100"/>
      <c r="J807" s="46"/>
      <c r="K807" s="101"/>
      <c r="L807" s="101"/>
      <c r="M807" s="87"/>
      <c r="N807" s="87"/>
      <c r="O807" s="87"/>
      <c r="P807" s="87"/>
      <c r="Q807" s="87"/>
      <c r="R807" s="87"/>
      <c r="S807" s="87"/>
      <c r="T807" s="87"/>
      <c r="U807" s="87"/>
      <c r="V807" s="87"/>
      <c r="W807" s="87"/>
      <c r="X807" s="87"/>
      <c r="Y807" s="87"/>
      <c r="Z807" s="87"/>
    </row>
    <row r="808">
      <c r="A808" s="96"/>
      <c r="B808" s="96"/>
      <c r="C808" s="98"/>
      <c r="D808" s="98"/>
      <c r="E808" s="100"/>
      <c r="F808" s="100"/>
      <c r="G808" s="101"/>
      <c r="H808" s="100"/>
      <c r="I808" s="100"/>
      <c r="J808" s="46"/>
      <c r="K808" s="101"/>
      <c r="L808" s="101"/>
      <c r="M808" s="87"/>
      <c r="N808" s="87"/>
      <c r="O808" s="87"/>
      <c r="P808" s="87"/>
      <c r="Q808" s="87"/>
      <c r="R808" s="87"/>
      <c r="S808" s="87"/>
      <c r="T808" s="87"/>
      <c r="U808" s="87"/>
      <c r="V808" s="87"/>
      <c r="W808" s="87"/>
      <c r="X808" s="87"/>
      <c r="Y808" s="87"/>
      <c r="Z808" s="87"/>
    </row>
    <row r="809">
      <c r="A809" s="96"/>
      <c r="B809" s="96"/>
      <c r="C809" s="98"/>
      <c r="D809" s="98"/>
      <c r="E809" s="100"/>
      <c r="F809" s="100"/>
      <c r="G809" s="101"/>
      <c r="H809" s="100"/>
      <c r="I809" s="100"/>
      <c r="J809" s="46"/>
      <c r="K809" s="101"/>
      <c r="L809" s="101"/>
      <c r="M809" s="87"/>
      <c r="N809" s="87"/>
      <c r="O809" s="87"/>
      <c r="P809" s="87"/>
      <c r="Q809" s="87"/>
      <c r="R809" s="87"/>
      <c r="S809" s="87"/>
      <c r="T809" s="87"/>
      <c r="U809" s="87"/>
      <c r="V809" s="87"/>
      <c r="W809" s="87"/>
      <c r="X809" s="87"/>
      <c r="Y809" s="87"/>
      <c r="Z809" s="87"/>
    </row>
    <row r="810">
      <c r="A810" s="96"/>
      <c r="B810" s="96"/>
      <c r="C810" s="98"/>
      <c r="D810" s="98"/>
      <c r="E810" s="100"/>
      <c r="F810" s="100"/>
      <c r="G810" s="101"/>
      <c r="H810" s="100"/>
      <c r="I810" s="100"/>
      <c r="J810" s="46"/>
      <c r="K810" s="101"/>
      <c r="L810" s="101"/>
      <c r="M810" s="87"/>
      <c r="N810" s="87"/>
      <c r="O810" s="87"/>
      <c r="P810" s="87"/>
      <c r="Q810" s="87"/>
      <c r="R810" s="87"/>
      <c r="S810" s="87"/>
      <c r="T810" s="87"/>
      <c r="U810" s="87"/>
      <c r="V810" s="87"/>
      <c r="W810" s="87"/>
      <c r="X810" s="87"/>
      <c r="Y810" s="87"/>
      <c r="Z810" s="87"/>
    </row>
    <row r="811">
      <c r="A811" s="96"/>
      <c r="B811" s="96"/>
      <c r="C811" s="98"/>
      <c r="D811" s="98"/>
      <c r="E811" s="100"/>
      <c r="F811" s="100"/>
      <c r="G811" s="101"/>
      <c r="H811" s="100"/>
      <c r="I811" s="100"/>
      <c r="J811" s="46"/>
      <c r="K811" s="101"/>
      <c r="L811" s="101"/>
      <c r="M811" s="87"/>
      <c r="N811" s="87"/>
      <c r="O811" s="87"/>
      <c r="P811" s="87"/>
      <c r="Q811" s="87"/>
      <c r="R811" s="87"/>
      <c r="S811" s="87"/>
      <c r="T811" s="87"/>
      <c r="U811" s="87"/>
      <c r="V811" s="87"/>
      <c r="W811" s="87"/>
      <c r="X811" s="87"/>
      <c r="Y811" s="87"/>
      <c r="Z811" s="87"/>
    </row>
    <row r="812">
      <c r="A812" s="96"/>
      <c r="B812" s="96"/>
      <c r="C812" s="98"/>
      <c r="D812" s="98"/>
      <c r="E812" s="100"/>
      <c r="F812" s="100"/>
      <c r="G812" s="101"/>
      <c r="H812" s="100"/>
      <c r="I812" s="100"/>
      <c r="J812" s="46"/>
      <c r="K812" s="101"/>
      <c r="L812" s="101"/>
      <c r="M812" s="87"/>
      <c r="N812" s="87"/>
      <c r="O812" s="87"/>
      <c r="P812" s="87"/>
      <c r="Q812" s="87"/>
      <c r="R812" s="87"/>
      <c r="S812" s="87"/>
      <c r="T812" s="87"/>
      <c r="U812" s="87"/>
      <c r="V812" s="87"/>
      <c r="W812" s="87"/>
      <c r="X812" s="87"/>
      <c r="Y812" s="87"/>
      <c r="Z812" s="87"/>
    </row>
    <row r="813">
      <c r="A813" s="96"/>
      <c r="B813" s="96"/>
      <c r="C813" s="98"/>
      <c r="D813" s="98"/>
      <c r="E813" s="100"/>
      <c r="F813" s="100"/>
      <c r="G813" s="101"/>
      <c r="H813" s="100"/>
      <c r="I813" s="100"/>
      <c r="J813" s="46"/>
      <c r="K813" s="101"/>
      <c r="L813" s="101"/>
      <c r="M813" s="87"/>
      <c r="N813" s="87"/>
      <c r="O813" s="87"/>
      <c r="P813" s="87"/>
      <c r="Q813" s="87"/>
      <c r="R813" s="87"/>
      <c r="S813" s="87"/>
      <c r="T813" s="87"/>
      <c r="U813" s="87"/>
      <c r="V813" s="87"/>
      <c r="W813" s="87"/>
      <c r="X813" s="87"/>
      <c r="Y813" s="87"/>
      <c r="Z813" s="87"/>
    </row>
    <row r="814">
      <c r="A814" s="96"/>
      <c r="B814" s="96"/>
      <c r="C814" s="98"/>
      <c r="D814" s="98"/>
      <c r="E814" s="100"/>
      <c r="F814" s="100"/>
      <c r="G814" s="101"/>
      <c r="H814" s="100"/>
      <c r="I814" s="100"/>
      <c r="J814" s="46"/>
      <c r="K814" s="101"/>
      <c r="L814" s="101"/>
      <c r="M814" s="87"/>
      <c r="N814" s="87"/>
      <c r="O814" s="87"/>
      <c r="P814" s="87"/>
      <c r="Q814" s="87"/>
      <c r="R814" s="87"/>
      <c r="S814" s="87"/>
      <c r="T814" s="87"/>
      <c r="U814" s="87"/>
      <c r="V814" s="87"/>
      <c r="W814" s="87"/>
      <c r="X814" s="87"/>
      <c r="Y814" s="87"/>
      <c r="Z814" s="87"/>
    </row>
    <row r="815">
      <c r="A815" s="96"/>
      <c r="B815" s="96"/>
      <c r="C815" s="98"/>
      <c r="D815" s="98"/>
      <c r="E815" s="100"/>
      <c r="F815" s="100"/>
      <c r="G815" s="101"/>
      <c r="H815" s="100"/>
      <c r="I815" s="100"/>
      <c r="J815" s="46"/>
      <c r="K815" s="101"/>
      <c r="L815" s="101"/>
      <c r="M815" s="87"/>
      <c r="N815" s="87"/>
      <c r="O815" s="87"/>
      <c r="P815" s="87"/>
      <c r="Q815" s="87"/>
      <c r="R815" s="87"/>
      <c r="S815" s="87"/>
      <c r="T815" s="87"/>
      <c r="U815" s="87"/>
      <c r="V815" s="87"/>
      <c r="W815" s="87"/>
      <c r="X815" s="87"/>
      <c r="Y815" s="87"/>
      <c r="Z815" s="87"/>
    </row>
    <row r="816">
      <c r="A816" s="96"/>
      <c r="B816" s="96"/>
      <c r="C816" s="98"/>
      <c r="D816" s="98"/>
      <c r="E816" s="100"/>
      <c r="F816" s="100"/>
      <c r="G816" s="101"/>
      <c r="H816" s="100"/>
      <c r="I816" s="100"/>
      <c r="J816" s="46"/>
      <c r="K816" s="101"/>
      <c r="L816" s="101"/>
      <c r="M816" s="87"/>
      <c r="N816" s="87"/>
      <c r="O816" s="87"/>
      <c r="P816" s="87"/>
      <c r="Q816" s="87"/>
      <c r="R816" s="87"/>
      <c r="S816" s="87"/>
      <c r="T816" s="87"/>
      <c r="U816" s="87"/>
      <c r="V816" s="87"/>
      <c r="W816" s="87"/>
      <c r="X816" s="87"/>
      <c r="Y816" s="87"/>
      <c r="Z816" s="87"/>
    </row>
    <row r="817">
      <c r="A817" s="96"/>
      <c r="B817" s="96"/>
      <c r="C817" s="98"/>
      <c r="D817" s="98"/>
      <c r="E817" s="100"/>
      <c r="F817" s="100"/>
      <c r="G817" s="101"/>
      <c r="H817" s="100"/>
      <c r="I817" s="100"/>
      <c r="J817" s="46"/>
      <c r="K817" s="101"/>
      <c r="L817" s="101"/>
      <c r="M817" s="87"/>
      <c r="N817" s="87"/>
      <c r="O817" s="87"/>
      <c r="P817" s="87"/>
      <c r="Q817" s="87"/>
      <c r="R817" s="87"/>
      <c r="S817" s="87"/>
      <c r="T817" s="87"/>
      <c r="U817" s="87"/>
      <c r="V817" s="87"/>
      <c r="W817" s="87"/>
      <c r="X817" s="87"/>
      <c r="Y817" s="87"/>
      <c r="Z817" s="87"/>
    </row>
    <row r="818">
      <c r="A818" s="96"/>
      <c r="B818" s="96"/>
      <c r="C818" s="98"/>
      <c r="D818" s="98"/>
      <c r="E818" s="100"/>
      <c r="F818" s="100"/>
      <c r="G818" s="101"/>
      <c r="H818" s="100"/>
      <c r="I818" s="100"/>
      <c r="J818" s="46"/>
      <c r="K818" s="101"/>
      <c r="L818" s="101"/>
      <c r="M818" s="87"/>
      <c r="N818" s="87"/>
      <c r="O818" s="87"/>
      <c r="P818" s="87"/>
      <c r="Q818" s="87"/>
      <c r="R818" s="87"/>
      <c r="S818" s="87"/>
      <c r="T818" s="87"/>
      <c r="U818" s="87"/>
      <c r="V818" s="87"/>
      <c r="W818" s="87"/>
      <c r="X818" s="87"/>
      <c r="Y818" s="87"/>
      <c r="Z818" s="87"/>
    </row>
    <row r="819">
      <c r="A819" s="96"/>
      <c r="B819" s="96"/>
      <c r="C819" s="98"/>
      <c r="D819" s="98"/>
      <c r="E819" s="100"/>
      <c r="F819" s="100"/>
      <c r="G819" s="101"/>
      <c r="H819" s="100"/>
      <c r="I819" s="100"/>
      <c r="J819" s="46"/>
      <c r="K819" s="101"/>
      <c r="L819" s="101"/>
      <c r="M819" s="87"/>
      <c r="N819" s="87"/>
      <c r="O819" s="87"/>
      <c r="P819" s="87"/>
      <c r="Q819" s="87"/>
      <c r="R819" s="87"/>
      <c r="S819" s="87"/>
      <c r="T819" s="87"/>
      <c r="U819" s="87"/>
      <c r="V819" s="87"/>
      <c r="W819" s="87"/>
      <c r="X819" s="87"/>
      <c r="Y819" s="87"/>
      <c r="Z819" s="87"/>
    </row>
    <row r="820">
      <c r="A820" s="96"/>
      <c r="B820" s="96"/>
      <c r="C820" s="98"/>
      <c r="D820" s="98"/>
      <c r="E820" s="100"/>
      <c r="F820" s="100"/>
      <c r="G820" s="101"/>
      <c r="H820" s="100"/>
      <c r="I820" s="100"/>
      <c r="J820" s="46"/>
      <c r="K820" s="101"/>
      <c r="L820" s="101"/>
      <c r="M820" s="87"/>
      <c r="N820" s="87"/>
      <c r="O820" s="87"/>
      <c r="P820" s="87"/>
      <c r="Q820" s="87"/>
      <c r="R820" s="87"/>
      <c r="S820" s="87"/>
      <c r="T820" s="87"/>
      <c r="U820" s="87"/>
      <c r="V820" s="87"/>
      <c r="W820" s="87"/>
      <c r="X820" s="87"/>
      <c r="Y820" s="87"/>
      <c r="Z820" s="87"/>
    </row>
    <row r="821">
      <c r="A821" s="96"/>
      <c r="B821" s="96"/>
      <c r="C821" s="98"/>
      <c r="D821" s="98"/>
      <c r="E821" s="100"/>
      <c r="F821" s="100"/>
      <c r="G821" s="101"/>
      <c r="H821" s="100"/>
      <c r="I821" s="100"/>
      <c r="J821" s="46"/>
      <c r="K821" s="101"/>
      <c r="L821" s="101"/>
      <c r="M821" s="87"/>
      <c r="N821" s="87"/>
      <c r="O821" s="87"/>
      <c r="P821" s="87"/>
      <c r="Q821" s="87"/>
      <c r="R821" s="87"/>
      <c r="S821" s="87"/>
      <c r="T821" s="87"/>
      <c r="U821" s="87"/>
      <c r="V821" s="87"/>
      <c r="W821" s="87"/>
      <c r="X821" s="87"/>
      <c r="Y821" s="87"/>
      <c r="Z821" s="87"/>
    </row>
    <row r="822">
      <c r="A822" s="96"/>
      <c r="B822" s="96"/>
      <c r="C822" s="98"/>
      <c r="D822" s="98"/>
      <c r="E822" s="100"/>
      <c r="F822" s="100"/>
      <c r="G822" s="101"/>
      <c r="H822" s="100"/>
      <c r="I822" s="100"/>
      <c r="J822" s="46"/>
      <c r="K822" s="101"/>
      <c r="L822" s="101"/>
      <c r="M822" s="87"/>
      <c r="N822" s="87"/>
      <c r="O822" s="87"/>
      <c r="P822" s="87"/>
      <c r="Q822" s="87"/>
      <c r="R822" s="87"/>
      <c r="S822" s="87"/>
      <c r="T822" s="87"/>
      <c r="U822" s="87"/>
      <c r="V822" s="87"/>
      <c r="W822" s="87"/>
      <c r="X822" s="87"/>
      <c r="Y822" s="87"/>
      <c r="Z822" s="87"/>
    </row>
    <row r="823">
      <c r="A823" s="96"/>
      <c r="B823" s="96"/>
      <c r="C823" s="98"/>
      <c r="D823" s="98"/>
      <c r="E823" s="100"/>
      <c r="F823" s="100"/>
      <c r="G823" s="101"/>
      <c r="H823" s="100"/>
      <c r="I823" s="100"/>
      <c r="J823" s="46"/>
      <c r="K823" s="101"/>
      <c r="L823" s="101"/>
      <c r="M823" s="87"/>
      <c r="N823" s="87"/>
      <c r="O823" s="87"/>
      <c r="P823" s="87"/>
      <c r="Q823" s="87"/>
      <c r="R823" s="87"/>
      <c r="S823" s="87"/>
      <c r="T823" s="87"/>
      <c r="U823" s="87"/>
      <c r="V823" s="87"/>
      <c r="W823" s="87"/>
      <c r="X823" s="87"/>
      <c r="Y823" s="87"/>
      <c r="Z823" s="87"/>
    </row>
    <row r="824">
      <c r="A824" s="96"/>
      <c r="B824" s="96"/>
      <c r="C824" s="98"/>
      <c r="D824" s="98"/>
      <c r="E824" s="100"/>
      <c r="F824" s="100"/>
      <c r="G824" s="101"/>
      <c r="H824" s="100"/>
      <c r="I824" s="100"/>
      <c r="J824" s="46"/>
      <c r="K824" s="101"/>
      <c r="L824" s="101"/>
      <c r="M824" s="87"/>
      <c r="N824" s="87"/>
      <c r="O824" s="87"/>
      <c r="P824" s="87"/>
      <c r="Q824" s="87"/>
      <c r="R824" s="87"/>
      <c r="S824" s="87"/>
      <c r="T824" s="87"/>
      <c r="U824" s="87"/>
      <c r="V824" s="87"/>
      <c r="W824" s="87"/>
      <c r="X824" s="87"/>
      <c r="Y824" s="87"/>
      <c r="Z824" s="87"/>
    </row>
    <row r="825">
      <c r="A825" s="96"/>
      <c r="B825" s="96"/>
      <c r="C825" s="98"/>
      <c r="D825" s="98"/>
      <c r="E825" s="100"/>
      <c r="F825" s="100"/>
      <c r="G825" s="101"/>
      <c r="H825" s="100"/>
      <c r="I825" s="100"/>
      <c r="J825" s="46"/>
      <c r="K825" s="101"/>
      <c r="L825" s="101"/>
      <c r="M825" s="87"/>
      <c r="N825" s="87"/>
      <c r="O825" s="87"/>
      <c r="P825" s="87"/>
      <c r="Q825" s="87"/>
      <c r="R825" s="87"/>
      <c r="S825" s="87"/>
      <c r="T825" s="87"/>
      <c r="U825" s="87"/>
      <c r="V825" s="87"/>
      <c r="W825" s="87"/>
      <c r="X825" s="87"/>
      <c r="Y825" s="87"/>
      <c r="Z825" s="87"/>
    </row>
    <row r="826">
      <c r="A826" s="96"/>
      <c r="B826" s="96"/>
      <c r="C826" s="98"/>
      <c r="D826" s="98"/>
      <c r="E826" s="100"/>
      <c r="F826" s="100"/>
      <c r="G826" s="101"/>
      <c r="H826" s="100"/>
      <c r="I826" s="100"/>
      <c r="J826" s="46"/>
      <c r="K826" s="101"/>
      <c r="L826" s="101"/>
      <c r="M826" s="87"/>
      <c r="N826" s="87"/>
      <c r="O826" s="87"/>
      <c r="P826" s="87"/>
      <c r="Q826" s="87"/>
      <c r="R826" s="87"/>
      <c r="S826" s="87"/>
      <c r="T826" s="87"/>
      <c r="U826" s="87"/>
      <c r="V826" s="87"/>
      <c r="W826" s="87"/>
      <c r="X826" s="87"/>
      <c r="Y826" s="87"/>
      <c r="Z826" s="87"/>
    </row>
    <row r="827">
      <c r="A827" s="96"/>
      <c r="B827" s="96"/>
      <c r="C827" s="98"/>
      <c r="D827" s="98"/>
      <c r="E827" s="100"/>
      <c r="F827" s="100"/>
      <c r="G827" s="101"/>
      <c r="H827" s="100"/>
      <c r="I827" s="100"/>
      <c r="J827" s="46"/>
      <c r="K827" s="101"/>
      <c r="L827" s="101"/>
      <c r="M827" s="87"/>
      <c r="N827" s="87"/>
      <c r="O827" s="87"/>
      <c r="P827" s="87"/>
      <c r="Q827" s="87"/>
      <c r="R827" s="87"/>
      <c r="S827" s="87"/>
      <c r="T827" s="87"/>
      <c r="U827" s="87"/>
      <c r="V827" s="87"/>
      <c r="W827" s="87"/>
      <c r="X827" s="87"/>
      <c r="Y827" s="87"/>
      <c r="Z827" s="87"/>
    </row>
    <row r="828">
      <c r="A828" s="96"/>
      <c r="B828" s="96"/>
      <c r="C828" s="98"/>
      <c r="D828" s="98"/>
      <c r="E828" s="100"/>
      <c r="F828" s="100"/>
      <c r="G828" s="101"/>
      <c r="H828" s="100"/>
      <c r="I828" s="100"/>
      <c r="J828" s="46"/>
      <c r="K828" s="101"/>
      <c r="L828" s="101"/>
      <c r="M828" s="87"/>
      <c r="N828" s="87"/>
      <c r="O828" s="87"/>
      <c r="P828" s="87"/>
      <c r="Q828" s="87"/>
      <c r="R828" s="87"/>
      <c r="S828" s="87"/>
      <c r="T828" s="87"/>
      <c r="U828" s="87"/>
      <c r="V828" s="87"/>
      <c r="W828" s="87"/>
      <c r="X828" s="87"/>
      <c r="Y828" s="87"/>
      <c r="Z828" s="87"/>
    </row>
    <row r="829">
      <c r="A829" s="96"/>
      <c r="B829" s="96"/>
      <c r="C829" s="98"/>
      <c r="D829" s="98"/>
      <c r="E829" s="100"/>
      <c r="F829" s="100"/>
      <c r="G829" s="101"/>
      <c r="H829" s="100"/>
      <c r="I829" s="100"/>
      <c r="J829" s="46"/>
      <c r="K829" s="101"/>
      <c r="L829" s="101"/>
      <c r="M829" s="87"/>
      <c r="N829" s="87"/>
      <c r="O829" s="87"/>
      <c r="P829" s="87"/>
      <c r="Q829" s="87"/>
      <c r="R829" s="87"/>
      <c r="S829" s="87"/>
      <c r="T829" s="87"/>
      <c r="U829" s="87"/>
      <c r="V829" s="87"/>
      <c r="W829" s="87"/>
      <c r="X829" s="87"/>
      <c r="Y829" s="87"/>
      <c r="Z829" s="87"/>
    </row>
    <row r="830">
      <c r="A830" s="96"/>
      <c r="B830" s="96"/>
      <c r="C830" s="98"/>
      <c r="D830" s="98"/>
      <c r="E830" s="100"/>
      <c r="F830" s="100"/>
      <c r="G830" s="101"/>
      <c r="H830" s="100"/>
      <c r="I830" s="100"/>
      <c r="J830" s="46"/>
      <c r="K830" s="101"/>
      <c r="L830" s="101"/>
      <c r="M830" s="87"/>
      <c r="N830" s="87"/>
      <c r="O830" s="87"/>
      <c r="P830" s="87"/>
      <c r="Q830" s="87"/>
      <c r="R830" s="87"/>
      <c r="S830" s="87"/>
      <c r="T830" s="87"/>
      <c r="U830" s="87"/>
      <c r="V830" s="87"/>
      <c r="W830" s="87"/>
      <c r="X830" s="87"/>
      <c r="Y830" s="87"/>
      <c r="Z830" s="87"/>
    </row>
    <row r="831">
      <c r="A831" s="96"/>
      <c r="B831" s="96"/>
      <c r="C831" s="98"/>
      <c r="D831" s="98"/>
      <c r="E831" s="100"/>
      <c r="F831" s="100"/>
      <c r="G831" s="101"/>
      <c r="H831" s="100"/>
      <c r="I831" s="100"/>
      <c r="J831" s="46"/>
      <c r="K831" s="101"/>
      <c r="L831" s="101"/>
      <c r="M831" s="87"/>
      <c r="N831" s="87"/>
      <c r="O831" s="87"/>
      <c r="P831" s="87"/>
      <c r="Q831" s="87"/>
      <c r="R831" s="87"/>
      <c r="S831" s="87"/>
      <c r="T831" s="87"/>
      <c r="U831" s="87"/>
      <c r="V831" s="87"/>
      <c r="W831" s="87"/>
      <c r="X831" s="87"/>
      <c r="Y831" s="87"/>
      <c r="Z831" s="87"/>
    </row>
    <row r="832">
      <c r="A832" s="96"/>
      <c r="B832" s="96"/>
      <c r="C832" s="98"/>
      <c r="D832" s="98"/>
      <c r="E832" s="100"/>
      <c r="F832" s="100"/>
      <c r="G832" s="101"/>
      <c r="H832" s="100"/>
      <c r="I832" s="100"/>
      <c r="J832" s="46"/>
      <c r="K832" s="101"/>
      <c r="L832" s="101"/>
      <c r="M832" s="87"/>
      <c r="N832" s="87"/>
      <c r="O832" s="87"/>
      <c r="P832" s="87"/>
      <c r="Q832" s="87"/>
      <c r="R832" s="87"/>
      <c r="S832" s="87"/>
      <c r="T832" s="87"/>
      <c r="U832" s="87"/>
      <c r="V832" s="87"/>
      <c r="W832" s="87"/>
      <c r="X832" s="87"/>
      <c r="Y832" s="87"/>
      <c r="Z832" s="87"/>
    </row>
    <row r="833">
      <c r="A833" s="96"/>
      <c r="B833" s="96"/>
      <c r="C833" s="98"/>
      <c r="D833" s="98"/>
      <c r="E833" s="100"/>
      <c r="F833" s="100"/>
      <c r="G833" s="101"/>
      <c r="H833" s="100"/>
      <c r="I833" s="100"/>
      <c r="J833" s="46"/>
      <c r="K833" s="101"/>
      <c r="L833" s="101"/>
      <c r="M833" s="87"/>
      <c r="N833" s="87"/>
      <c r="O833" s="87"/>
      <c r="P833" s="87"/>
      <c r="Q833" s="87"/>
      <c r="R833" s="87"/>
      <c r="S833" s="87"/>
      <c r="T833" s="87"/>
      <c r="U833" s="87"/>
      <c r="V833" s="87"/>
      <c r="W833" s="87"/>
      <c r="X833" s="87"/>
      <c r="Y833" s="87"/>
      <c r="Z833" s="87"/>
    </row>
    <row r="834">
      <c r="A834" s="96"/>
      <c r="B834" s="96"/>
      <c r="C834" s="98"/>
      <c r="D834" s="98"/>
      <c r="E834" s="100"/>
      <c r="F834" s="100"/>
      <c r="G834" s="101"/>
      <c r="H834" s="100"/>
      <c r="I834" s="100"/>
      <c r="J834" s="46"/>
      <c r="K834" s="101"/>
      <c r="L834" s="101"/>
      <c r="M834" s="87"/>
      <c r="N834" s="87"/>
      <c r="O834" s="87"/>
      <c r="P834" s="87"/>
      <c r="Q834" s="87"/>
      <c r="R834" s="87"/>
      <c r="S834" s="87"/>
      <c r="T834" s="87"/>
      <c r="U834" s="87"/>
      <c r="V834" s="87"/>
      <c r="W834" s="87"/>
      <c r="X834" s="87"/>
      <c r="Y834" s="87"/>
      <c r="Z834" s="87"/>
    </row>
    <row r="835">
      <c r="A835" s="96"/>
      <c r="B835" s="96"/>
      <c r="C835" s="98"/>
      <c r="D835" s="98"/>
      <c r="E835" s="100"/>
      <c r="F835" s="100"/>
      <c r="G835" s="101"/>
      <c r="H835" s="100"/>
      <c r="I835" s="100"/>
      <c r="J835" s="46"/>
      <c r="K835" s="101"/>
      <c r="L835" s="101"/>
      <c r="M835" s="87"/>
      <c r="N835" s="87"/>
      <c r="O835" s="87"/>
      <c r="P835" s="87"/>
      <c r="Q835" s="87"/>
      <c r="R835" s="87"/>
      <c r="S835" s="87"/>
      <c r="T835" s="87"/>
      <c r="U835" s="87"/>
      <c r="V835" s="87"/>
      <c r="W835" s="87"/>
      <c r="X835" s="87"/>
      <c r="Y835" s="87"/>
      <c r="Z835" s="87"/>
    </row>
    <row r="836">
      <c r="A836" s="96"/>
      <c r="B836" s="96"/>
      <c r="C836" s="98"/>
      <c r="D836" s="98"/>
      <c r="E836" s="100"/>
      <c r="F836" s="100"/>
      <c r="G836" s="101"/>
      <c r="H836" s="100"/>
      <c r="I836" s="100"/>
      <c r="J836" s="46"/>
      <c r="K836" s="101"/>
      <c r="L836" s="101"/>
      <c r="M836" s="87"/>
      <c r="N836" s="87"/>
      <c r="O836" s="87"/>
      <c r="P836" s="87"/>
      <c r="Q836" s="87"/>
      <c r="R836" s="87"/>
      <c r="S836" s="87"/>
      <c r="T836" s="87"/>
      <c r="U836" s="87"/>
      <c r="V836" s="87"/>
      <c r="W836" s="87"/>
      <c r="X836" s="87"/>
      <c r="Y836" s="87"/>
      <c r="Z836" s="87"/>
    </row>
    <row r="837">
      <c r="A837" s="96"/>
      <c r="B837" s="96"/>
      <c r="C837" s="98"/>
      <c r="D837" s="98"/>
      <c r="E837" s="100"/>
      <c r="F837" s="100"/>
      <c r="G837" s="101"/>
      <c r="H837" s="100"/>
      <c r="I837" s="100"/>
      <c r="J837" s="46"/>
      <c r="K837" s="101"/>
      <c r="L837" s="101"/>
      <c r="M837" s="87"/>
      <c r="N837" s="87"/>
      <c r="O837" s="87"/>
      <c r="P837" s="87"/>
      <c r="Q837" s="87"/>
      <c r="R837" s="87"/>
      <c r="S837" s="87"/>
      <c r="T837" s="87"/>
      <c r="U837" s="87"/>
      <c r="V837" s="87"/>
      <c r="W837" s="87"/>
      <c r="X837" s="87"/>
      <c r="Y837" s="87"/>
      <c r="Z837" s="87"/>
    </row>
    <row r="838">
      <c r="A838" s="96"/>
      <c r="B838" s="96"/>
      <c r="C838" s="98"/>
      <c r="D838" s="98"/>
      <c r="E838" s="100"/>
      <c r="F838" s="100"/>
      <c r="G838" s="101"/>
      <c r="H838" s="100"/>
      <c r="I838" s="100"/>
      <c r="J838" s="46"/>
      <c r="K838" s="101"/>
      <c r="L838" s="101"/>
      <c r="M838" s="87"/>
      <c r="N838" s="87"/>
      <c r="O838" s="87"/>
      <c r="P838" s="87"/>
      <c r="Q838" s="87"/>
      <c r="R838" s="87"/>
      <c r="S838" s="87"/>
      <c r="T838" s="87"/>
      <c r="U838" s="87"/>
      <c r="V838" s="87"/>
      <c r="W838" s="87"/>
      <c r="X838" s="87"/>
      <c r="Y838" s="87"/>
      <c r="Z838" s="87"/>
    </row>
    <row r="839">
      <c r="A839" s="96"/>
      <c r="B839" s="96"/>
      <c r="C839" s="98"/>
      <c r="D839" s="98"/>
      <c r="E839" s="100"/>
      <c r="F839" s="100"/>
      <c r="G839" s="101"/>
      <c r="H839" s="100"/>
      <c r="I839" s="100"/>
      <c r="J839" s="46"/>
      <c r="K839" s="101"/>
      <c r="L839" s="101"/>
      <c r="M839" s="87"/>
      <c r="N839" s="87"/>
      <c r="O839" s="87"/>
      <c r="P839" s="87"/>
      <c r="Q839" s="87"/>
      <c r="R839" s="87"/>
      <c r="S839" s="87"/>
      <c r="T839" s="87"/>
      <c r="U839" s="87"/>
      <c r="V839" s="87"/>
      <c r="W839" s="87"/>
      <c r="X839" s="87"/>
      <c r="Y839" s="87"/>
      <c r="Z839" s="87"/>
    </row>
    <row r="840">
      <c r="A840" s="96"/>
      <c r="B840" s="96"/>
      <c r="C840" s="98"/>
      <c r="D840" s="98"/>
      <c r="E840" s="100"/>
      <c r="F840" s="100"/>
      <c r="G840" s="101"/>
      <c r="H840" s="100"/>
      <c r="I840" s="100"/>
      <c r="J840" s="46"/>
      <c r="K840" s="101"/>
      <c r="L840" s="101"/>
      <c r="M840" s="87"/>
      <c r="N840" s="87"/>
      <c r="O840" s="87"/>
      <c r="P840" s="87"/>
      <c r="Q840" s="87"/>
      <c r="R840" s="87"/>
      <c r="S840" s="87"/>
      <c r="T840" s="87"/>
      <c r="U840" s="87"/>
      <c r="V840" s="87"/>
      <c r="W840" s="87"/>
      <c r="X840" s="87"/>
      <c r="Y840" s="87"/>
      <c r="Z840" s="87"/>
    </row>
    <row r="841">
      <c r="A841" s="96"/>
      <c r="B841" s="96"/>
      <c r="C841" s="98"/>
      <c r="D841" s="98"/>
      <c r="E841" s="100"/>
      <c r="F841" s="100"/>
      <c r="G841" s="101"/>
      <c r="H841" s="100"/>
      <c r="I841" s="100"/>
      <c r="J841" s="46"/>
      <c r="K841" s="101"/>
      <c r="L841" s="101"/>
      <c r="M841" s="87"/>
      <c r="N841" s="87"/>
      <c r="O841" s="87"/>
      <c r="P841" s="87"/>
      <c r="Q841" s="87"/>
      <c r="R841" s="87"/>
      <c r="S841" s="87"/>
      <c r="T841" s="87"/>
      <c r="U841" s="87"/>
      <c r="V841" s="87"/>
      <c r="W841" s="87"/>
      <c r="X841" s="87"/>
      <c r="Y841" s="87"/>
      <c r="Z841" s="87"/>
    </row>
    <row r="842">
      <c r="A842" s="96"/>
      <c r="B842" s="96"/>
      <c r="C842" s="98"/>
      <c r="D842" s="98"/>
      <c r="E842" s="100"/>
      <c r="F842" s="100"/>
      <c r="G842" s="101"/>
      <c r="H842" s="100"/>
      <c r="I842" s="100"/>
      <c r="J842" s="46"/>
      <c r="K842" s="101"/>
      <c r="L842" s="101"/>
      <c r="M842" s="87"/>
      <c r="N842" s="87"/>
      <c r="O842" s="87"/>
      <c r="P842" s="87"/>
      <c r="Q842" s="87"/>
      <c r="R842" s="87"/>
      <c r="S842" s="87"/>
      <c r="T842" s="87"/>
      <c r="U842" s="87"/>
      <c r="V842" s="87"/>
      <c r="W842" s="87"/>
      <c r="X842" s="87"/>
      <c r="Y842" s="87"/>
      <c r="Z842" s="87"/>
    </row>
    <row r="843">
      <c r="A843" s="96"/>
      <c r="B843" s="96"/>
      <c r="C843" s="98"/>
      <c r="D843" s="98"/>
      <c r="E843" s="100"/>
      <c r="F843" s="100"/>
      <c r="G843" s="101"/>
      <c r="H843" s="100"/>
      <c r="I843" s="100"/>
      <c r="J843" s="46"/>
      <c r="K843" s="101"/>
      <c r="L843" s="101"/>
      <c r="M843" s="87"/>
      <c r="N843" s="87"/>
      <c r="O843" s="87"/>
      <c r="P843" s="87"/>
      <c r="Q843" s="87"/>
      <c r="R843" s="87"/>
      <c r="S843" s="87"/>
      <c r="T843" s="87"/>
      <c r="U843" s="87"/>
      <c r="V843" s="87"/>
      <c r="W843" s="87"/>
      <c r="X843" s="87"/>
      <c r="Y843" s="87"/>
      <c r="Z843" s="87"/>
    </row>
    <row r="844">
      <c r="A844" s="96"/>
      <c r="B844" s="96"/>
      <c r="C844" s="98"/>
      <c r="D844" s="98"/>
      <c r="E844" s="100"/>
      <c r="F844" s="100"/>
      <c r="G844" s="101"/>
      <c r="H844" s="100"/>
      <c r="I844" s="100"/>
      <c r="J844" s="46"/>
      <c r="K844" s="101"/>
      <c r="L844" s="101"/>
      <c r="M844" s="87"/>
      <c r="N844" s="87"/>
      <c r="O844" s="87"/>
      <c r="P844" s="87"/>
      <c r="Q844" s="87"/>
      <c r="R844" s="87"/>
      <c r="S844" s="87"/>
      <c r="T844" s="87"/>
      <c r="U844" s="87"/>
      <c r="V844" s="87"/>
      <c r="W844" s="87"/>
      <c r="X844" s="87"/>
      <c r="Y844" s="87"/>
      <c r="Z844" s="87"/>
    </row>
    <row r="845">
      <c r="A845" s="96"/>
      <c r="B845" s="96"/>
      <c r="C845" s="98"/>
      <c r="D845" s="98"/>
      <c r="E845" s="100"/>
      <c r="F845" s="100"/>
      <c r="G845" s="101"/>
      <c r="H845" s="100"/>
      <c r="I845" s="100"/>
      <c r="J845" s="46"/>
      <c r="K845" s="101"/>
      <c r="L845" s="101"/>
      <c r="M845" s="87"/>
      <c r="N845" s="87"/>
      <c r="O845" s="87"/>
      <c r="P845" s="87"/>
      <c r="Q845" s="87"/>
      <c r="R845" s="87"/>
      <c r="S845" s="87"/>
      <c r="T845" s="87"/>
      <c r="U845" s="87"/>
      <c r="V845" s="87"/>
      <c r="W845" s="87"/>
      <c r="X845" s="87"/>
      <c r="Y845" s="87"/>
      <c r="Z845" s="87"/>
    </row>
    <row r="846">
      <c r="A846" s="96"/>
      <c r="B846" s="96"/>
      <c r="C846" s="98"/>
      <c r="D846" s="98"/>
      <c r="E846" s="100"/>
      <c r="F846" s="100"/>
      <c r="G846" s="101"/>
      <c r="H846" s="100"/>
      <c r="I846" s="100"/>
      <c r="J846" s="46"/>
      <c r="K846" s="101"/>
      <c r="L846" s="101"/>
      <c r="M846" s="87"/>
      <c r="N846" s="87"/>
      <c r="O846" s="87"/>
      <c r="P846" s="87"/>
      <c r="Q846" s="87"/>
      <c r="R846" s="87"/>
      <c r="S846" s="87"/>
      <c r="T846" s="87"/>
      <c r="U846" s="87"/>
      <c r="V846" s="87"/>
      <c r="W846" s="87"/>
      <c r="X846" s="87"/>
      <c r="Y846" s="87"/>
      <c r="Z846" s="87"/>
    </row>
    <row r="847">
      <c r="A847" s="96"/>
      <c r="B847" s="96"/>
      <c r="C847" s="98"/>
      <c r="D847" s="98"/>
      <c r="E847" s="100"/>
      <c r="F847" s="100"/>
      <c r="G847" s="101"/>
      <c r="H847" s="100"/>
      <c r="I847" s="100"/>
      <c r="J847" s="46"/>
      <c r="K847" s="101"/>
      <c r="L847" s="101"/>
      <c r="M847" s="87"/>
      <c r="N847" s="87"/>
      <c r="O847" s="87"/>
      <c r="P847" s="87"/>
      <c r="Q847" s="87"/>
      <c r="R847" s="87"/>
      <c r="S847" s="87"/>
      <c r="T847" s="87"/>
      <c r="U847" s="87"/>
      <c r="V847" s="87"/>
      <c r="W847" s="87"/>
      <c r="X847" s="87"/>
      <c r="Y847" s="87"/>
      <c r="Z847" s="87"/>
    </row>
    <row r="848">
      <c r="A848" s="96"/>
      <c r="B848" s="96"/>
      <c r="C848" s="98"/>
      <c r="D848" s="98"/>
      <c r="E848" s="100"/>
      <c r="F848" s="100"/>
      <c r="G848" s="101"/>
      <c r="H848" s="100"/>
      <c r="I848" s="100"/>
      <c r="J848" s="46"/>
      <c r="K848" s="101"/>
      <c r="L848" s="101"/>
      <c r="M848" s="87"/>
      <c r="N848" s="87"/>
      <c r="O848" s="87"/>
      <c r="P848" s="87"/>
      <c r="Q848" s="87"/>
      <c r="R848" s="87"/>
      <c r="S848" s="87"/>
      <c r="T848" s="87"/>
      <c r="U848" s="87"/>
      <c r="V848" s="87"/>
      <c r="W848" s="87"/>
      <c r="X848" s="87"/>
      <c r="Y848" s="87"/>
      <c r="Z848" s="87"/>
    </row>
    <row r="849">
      <c r="A849" s="96"/>
      <c r="B849" s="96"/>
      <c r="C849" s="98"/>
      <c r="D849" s="98"/>
      <c r="E849" s="100"/>
      <c r="F849" s="100"/>
      <c r="G849" s="101"/>
      <c r="H849" s="100"/>
      <c r="I849" s="100"/>
      <c r="J849" s="46"/>
      <c r="K849" s="101"/>
      <c r="L849" s="101"/>
      <c r="M849" s="87"/>
      <c r="N849" s="87"/>
      <c r="O849" s="87"/>
      <c r="P849" s="87"/>
      <c r="Q849" s="87"/>
      <c r="R849" s="87"/>
      <c r="S849" s="87"/>
      <c r="T849" s="87"/>
      <c r="U849" s="87"/>
      <c r="V849" s="87"/>
      <c r="W849" s="87"/>
      <c r="X849" s="87"/>
      <c r="Y849" s="87"/>
      <c r="Z849" s="87"/>
    </row>
    <row r="850">
      <c r="A850" s="96"/>
      <c r="B850" s="96"/>
      <c r="C850" s="98"/>
      <c r="D850" s="98"/>
      <c r="E850" s="100"/>
      <c r="F850" s="100"/>
      <c r="G850" s="101"/>
      <c r="H850" s="100"/>
      <c r="I850" s="100"/>
      <c r="J850" s="46"/>
      <c r="K850" s="101"/>
      <c r="L850" s="101"/>
      <c r="M850" s="87"/>
      <c r="N850" s="87"/>
      <c r="O850" s="87"/>
      <c r="P850" s="87"/>
      <c r="Q850" s="87"/>
      <c r="R850" s="87"/>
      <c r="S850" s="87"/>
      <c r="T850" s="87"/>
      <c r="U850" s="87"/>
      <c r="V850" s="87"/>
      <c r="W850" s="87"/>
      <c r="X850" s="87"/>
      <c r="Y850" s="87"/>
      <c r="Z850" s="87"/>
    </row>
    <row r="851">
      <c r="A851" s="96"/>
      <c r="B851" s="96"/>
      <c r="C851" s="98"/>
      <c r="D851" s="98"/>
      <c r="E851" s="100"/>
      <c r="F851" s="100"/>
      <c r="G851" s="101"/>
      <c r="H851" s="100"/>
      <c r="I851" s="100"/>
      <c r="J851" s="46"/>
      <c r="K851" s="101"/>
      <c r="L851" s="101"/>
      <c r="M851" s="87"/>
      <c r="N851" s="87"/>
      <c r="O851" s="87"/>
      <c r="P851" s="87"/>
      <c r="Q851" s="87"/>
      <c r="R851" s="87"/>
      <c r="S851" s="87"/>
      <c r="T851" s="87"/>
      <c r="U851" s="87"/>
      <c r="V851" s="87"/>
      <c r="W851" s="87"/>
      <c r="X851" s="87"/>
      <c r="Y851" s="87"/>
      <c r="Z851" s="87"/>
    </row>
    <row r="852">
      <c r="A852" s="96"/>
      <c r="B852" s="96"/>
      <c r="C852" s="98"/>
      <c r="D852" s="98"/>
      <c r="E852" s="100"/>
      <c r="F852" s="100"/>
      <c r="G852" s="101"/>
      <c r="H852" s="100"/>
      <c r="I852" s="100"/>
      <c r="J852" s="46"/>
      <c r="K852" s="101"/>
      <c r="L852" s="101"/>
      <c r="M852" s="87"/>
      <c r="N852" s="87"/>
      <c r="O852" s="87"/>
      <c r="P852" s="87"/>
      <c r="Q852" s="87"/>
      <c r="R852" s="87"/>
      <c r="S852" s="87"/>
      <c r="T852" s="87"/>
      <c r="U852" s="87"/>
      <c r="V852" s="87"/>
      <c r="W852" s="87"/>
      <c r="X852" s="87"/>
      <c r="Y852" s="87"/>
      <c r="Z852" s="87"/>
    </row>
    <row r="853">
      <c r="A853" s="96"/>
      <c r="B853" s="96"/>
      <c r="C853" s="98"/>
      <c r="D853" s="98"/>
      <c r="E853" s="100"/>
      <c r="F853" s="100"/>
      <c r="G853" s="101"/>
      <c r="H853" s="100"/>
      <c r="I853" s="100"/>
      <c r="J853" s="46"/>
      <c r="K853" s="101"/>
      <c r="L853" s="101"/>
      <c r="M853" s="87"/>
      <c r="N853" s="87"/>
      <c r="O853" s="87"/>
      <c r="P853" s="87"/>
      <c r="Q853" s="87"/>
      <c r="R853" s="87"/>
      <c r="S853" s="87"/>
      <c r="T853" s="87"/>
      <c r="U853" s="87"/>
      <c r="V853" s="87"/>
      <c r="W853" s="87"/>
      <c r="X853" s="87"/>
      <c r="Y853" s="87"/>
      <c r="Z853" s="87"/>
    </row>
    <row r="854">
      <c r="A854" s="96"/>
      <c r="B854" s="96"/>
      <c r="C854" s="98"/>
      <c r="D854" s="98"/>
      <c r="E854" s="100"/>
      <c r="F854" s="100"/>
      <c r="G854" s="101"/>
      <c r="H854" s="100"/>
      <c r="I854" s="100"/>
      <c r="J854" s="46"/>
      <c r="K854" s="101"/>
      <c r="L854" s="101"/>
      <c r="M854" s="87"/>
      <c r="N854" s="87"/>
      <c r="O854" s="87"/>
      <c r="P854" s="87"/>
      <c r="Q854" s="87"/>
      <c r="R854" s="87"/>
      <c r="S854" s="87"/>
      <c r="T854" s="87"/>
      <c r="U854" s="87"/>
      <c r="V854" s="87"/>
      <c r="W854" s="87"/>
      <c r="X854" s="87"/>
      <c r="Y854" s="87"/>
      <c r="Z854" s="87"/>
    </row>
    <row r="855">
      <c r="A855" s="96"/>
      <c r="B855" s="96"/>
      <c r="C855" s="98"/>
      <c r="D855" s="98"/>
      <c r="E855" s="100"/>
      <c r="F855" s="100"/>
      <c r="G855" s="101"/>
      <c r="H855" s="100"/>
      <c r="I855" s="100"/>
      <c r="J855" s="46"/>
      <c r="K855" s="101"/>
      <c r="L855" s="101"/>
      <c r="M855" s="87"/>
      <c r="N855" s="87"/>
      <c r="O855" s="87"/>
      <c r="P855" s="87"/>
      <c r="Q855" s="87"/>
      <c r="R855" s="87"/>
      <c r="S855" s="87"/>
      <c r="T855" s="87"/>
      <c r="U855" s="87"/>
      <c r="V855" s="87"/>
      <c r="W855" s="87"/>
      <c r="X855" s="87"/>
      <c r="Y855" s="87"/>
      <c r="Z855" s="87"/>
    </row>
    <row r="856">
      <c r="A856" s="96"/>
      <c r="B856" s="96"/>
      <c r="C856" s="98"/>
      <c r="D856" s="98"/>
      <c r="E856" s="100"/>
      <c r="F856" s="100"/>
      <c r="G856" s="101"/>
      <c r="H856" s="100"/>
      <c r="I856" s="100"/>
      <c r="J856" s="46"/>
      <c r="K856" s="101"/>
      <c r="L856" s="101"/>
      <c r="M856" s="87"/>
      <c r="N856" s="87"/>
      <c r="O856" s="87"/>
      <c r="P856" s="87"/>
      <c r="Q856" s="87"/>
      <c r="R856" s="87"/>
      <c r="S856" s="87"/>
      <c r="T856" s="87"/>
      <c r="U856" s="87"/>
      <c r="V856" s="87"/>
      <c r="W856" s="87"/>
      <c r="X856" s="87"/>
      <c r="Y856" s="87"/>
      <c r="Z856" s="87"/>
    </row>
    <row r="857">
      <c r="A857" s="96"/>
      <c r="B857" s="96"/>
      <c r="C857" s="98"/>
      <c r="D857" s="98"/>
      <c r="E857" s="100"/>
      <c r="F857" s="100"/>
      <c r="G857" s="101"/>
      <c r="H857" s="100"/>
      <c r="I857" s="100"/>
      <c r="J857" s="46"/>
      <c r="K857" s="101"/>
      <c r="L857" s="101"/>
      <c r="M857" s="87"/>
      <c r="N857" s="87"/>
      <c r="O857" s="87"/>
      <c r="P857" s="87"/>
      <c r="Q857" s="87"/>
      <c r="R857" s="87"/>
      <c r="S857" s="87"/>
      <c r="T857" s="87"/>
      <c r="U857" s="87"/>
      <c r="V857" s="87"/>
      <c r="W857" s="87"/>
      <c r="X857" s="87"/>
      <c r="Y857" s="87"/>
      <c r="Z857" s="87"/>
    </row>
    <row r="858">
      <c r="A858" s="96"/>
      <c r="B858" s="96"/>
      <c r="C858" s="98"/>
      <c r="D858" s="98"/>
      <c r="E858" s="100"/>
      <c r="F858" s="100"/>
      <c r="G858" s="101"/>
      <c r="H858" s="100"/>
      <c r="I858" s="100"/>
      <c r="J858" s="46"/>
      <c r="K858" s="101"/>
      <c r="L858" s="101"/>
      <c r="M858" s="87"/>
      <c r="N858" s="87"/>
      <c r="O858" s="87"/>
      <c r="P858" s="87"/>
      <c r="Q858" s="87"/>
      <c r="R858" s="87"/>
      <c r="S858" s="87"/>
      <c r="T858" s="87"/>
      <c r="U858" s="87"/>
      <c r="V858" s="87"/>
      <c r="W858" s="87"/>
      <c r="X858" s="87"/>
      <c r="Y858" s="87"/>
      <c r="Z858" s="87"/>
    </row>
    <row r="859">
      <c r="A859" s="96"/>
      <c r="B859" s="96"/>
      <c r="C859" s="98"/>
      <c r="D859" s="98"/>
      <c r="E859" s="100"/>
      <c r="F859" s="100"/>
      <c r="G859" s="101"/>
      <c r="H859" s="100"/>
      <c r="I859" s="100"/>
      <c r="J859" s="46"/>
      <c r="K859" s="101"/>
      <c r="L859" s="101"/>
      <c r="M859" s="87"/>
      <c r="N859" s="87"/>
      <c r="O859" s="87"/>
      <c r="P859" s="87"/>
      <c r="Q859" s="87"/>
      <c r="R859" s="87"/>
      <c r="S859" s="87"/>
      <c r="T859" s="87"/>
      <c r="U859" s="87"/>
      <c r="V859" s="87"/>
      <c r="W859" s="87"/>
      <c r="X859" s="87"/>
      <c r="Y859" s="87"/>
      <c r="Z859" s="87"/>
    </row>
    <row r="860">
      <c r="A860" s="96"/>
      <c r="B860" s="96"/>
      <c r="C860" s="98"/>
      <c r="D860" s="98"/>
      <c r="E860" s="100"/>
      <c r="F860" s="100"/>
      <c r="G860" s="101"/>
      <c r="H860" s="100"/>
      <c r="I860" s="100"/>
      <c r="J860" s="46"/>
      <c r="K860" s="101"/>
      <c r="L860" s="101"/>
      <c r="M860" s="87"/>
      <c r="N860" s="87"/>
      <c r="O860" s="87"/>
      <c r="P860" s="87"/>
      <c r="Q860" s="87"/>
      <c r="R860" s="87"/>
      <c r="S860" s="87"/>
      <c r="T860" s="87"/>
      <c r="U860" s="87"/>
      <c r="V860" s="87"/>
      <c r="W860" s="87"/>
      <c r="X860" s="87"/>
      <c r="Y860" s="87"/>
      <c r="Z860" s="87"/>
    </row>
    <row r="861">
      <c r="A861" s="96"/>
      <c r="B861" s="96"/>
      <c r="C861" s="98"/>
      <c r="D861" s="98"/>
      <c r="E861" s="100"/>
      <c r="F861" s="100"/>
      <c r="G861" s="101"/>
      <c r="H861" s="100"/>
      <c r="I861" s="100"/>
      <c r="J861" s="46"/>
      <c r="K861" s="101"/>
      <c r="L861" s="101"/>
      <c r="M861" s="87"/>
      <c r="N861" s="87"/>
      <c r="O861" s="87"/>
      <c r="P861" s="87"/>
      <c r="Q861" s="87"/>
      <c r="R861" s="87"/>
      <c r="S861" s="87"/>
      <c r="T861" s="87"/>
      <c r="U861" s="87"/>
      <c r="V861" s="87"/>
      <c r="W861" s="87"/>
      <c r="X861" s="87"/>
      <c r="Y861" s="87"/>
      <c r="Z861" s="87"/>
    </row>
    <row r="862">
      <c r="A862" s="96"/>
      <c r="B862" s="96"/>
      <c r="C862" s="98"/>
      <c r="D862" s="98"/>
      <c r="E862" s="100"/>
      <c r="F862" s="100"/>
      <c r="G862" s="101"/>
      <c r="H862" s="100"/>
      <c r="I862" s="100"/>
      <c r="J862" s="46"/>
      <c r="K862" s="101"/>
      <c r="L862" s="101"/>
      <c r="M862" s="87"/>
      <c r="N862" s="87"/>
      <c r="O862" s="87"/>
      <c r="P862" s="87"/>
      <c r="Q862" s="87"/>
      <c r="R862" s="87"/>
      <c r="S862" s="87"/>
      <c r="T862" s="87"/>
      <c r="U862" s="87"/>
      <c r="V862" s="87"/>
      <c r="W862" s="87"/>
      <c r="X862" s="87"/>
      <c r="Y862" s="87"/>
      <c r="Z862" s="87"/>
    </row>
    <row r="863">
      <c r="A863" s="96"/>
      <c r="B863" s="96"/>
      <c r="C863" s="98"/>
      <c r="D863" s="98"/>
      <c r="E863" s="100"/>
      <c r="F863" s="100"/>
      <c r="G863" s="101"/>
      <c r="H863" s="100"/>
      <c r="I863" s="100"/>
      <c r="J863" s="46"/>
      <c r="K863" s="101"/>
      <c r="L863" s="101"/>
      <c r="M863" s="87"/>
      <c r="N863" s="87"/>
      <c r="O863" s="87"/>
      <c r="P863" s="87"/>
      <c r="Q863" s="87"/>
      <c r="R863" s="87"/>
      <c r="S863" s="87"/>
      <c r="T863" s="87"/>
      <c r="U863" s="87"/>
      <c r="V863" s="87"/>
      <c r="W863" s="87"/>
      <c r="X863" s="87"/>
      <c r="Y863" s="87"/>
      <c r="Z863" s="87"/>
    </row>
    <row r="864">
      <c r="A864" s="96"/>
      <c r="B864" s="96"/>
      <c r="C864" s="98"/>
      <c r="D864" s="98"/>
      <c r="E864" s="100"/>
      <c r="F864" s="100"/>
      <c r="G864" s="101"/>
      <c r="H864" s="100"/>
      <c r="I864" s="100"/>
      <c r="J864" s="46"/>
      <c r="K864" s="101"/>
      <c r="L864" s="101"/>
      <c r="M864" s="87"/>
      <c r="N864" s="87"/>
      <c r="O864" s="87"/>
      <c r="P864" s="87"/>
      <c r="Q864" s="87"/>
      <c r="R864" s="87"/>
      <c r="S864" s="87"/>
      <c r="T864" s="87"/>
      <c r="U864" s="87"/>
      <c r="V864" s="87"/>
      <c r="W864" s="87"/>
      <c r="X864" s="87"/>
      <c r="Y864" s="87"/>
      <c r="Z864" s="87"/>
    </row>
    <row r="865">
      <c r="A865" s="96"/>
      <c r="B865" s="96"/>
      <c r="C865" s="98"/>
      <c r="D865" s="98"/>
      <c r="E865" s="100"/>
      <c r="F865" s="100"/>
      <c r="G865" s="101"/>
      <c r="H865" s="100"/>
      <c r="I865" s="100"/>
      <c r="J865" s="46"/>
      <c r="K865" s="101"/>
      <c r="L865" s="101"/>
      <c r="M865" s="87"/>
      <c r="N865" s="87"/>
      <c r="O865" s="87"/>
      <c r="P865" s="87"/>
      <c r="Q865" s="87"/>
      <c r="R865" s="87"/>
      <c r="S865" s="87"/>
      <c r="T865" s="87"/>
      <c r="U865" s="87"/>
      <c r="V865" s="87"/>
      <c r="W865" s="87"/>
      <c r="X865" s="87"/>
      <c r="Y865" s="87"/>
      <c r="Z865" s="87"/>
    </row>
    <row r="866">
      <c r="A866" s="96"/>
      <c r="B866" s="96"/>
      <c r="C866" s="98"/>
      <c r="D866" s="98"/>
      <c r="E866" s="100"/>
      <c r="F866" s="100"/>
      <c r="G866" s="101"/>
      <c r="H866" s="100"/>
      <c r="I866" s="100"/>
      <c r="J866" s="46"/>
      <c r="K866" s="101"/>
      <c r="L866" s="101"/>
      <c r="M866" s="87"/>
      <c r="N866" s="87"/>
      <c r="O866" s="87"/>
      <c r="P866" s="87"/>
      <c r="Q866" s="87"/>
      <c r="R866" s="87"/>
      <c r="S866" s="87"/>
      <c r="T866" s="87"/>
      <c r="U866" s="87"/>
      <c r="V866" s="87"/>
      <c r="W866" s="87"/>
      <c r="X866" s="87"/>
      <c r="Y866" s="87"/>
      <c r="Z866" s="87"/>
    </row>
    <row r="867">
      <c r="A867" s="96"/>
      <c r="B867" s="96"/>
      <c r="C867" s="98"/>
      <c r="D867" s="98"/>
      <c r="E867" s="100"/>
      <c r="F867" s="100"/>
      <c r="G867" s="101"/>
      <c r="H867" s="100"/>
      <c r="I867" s="100"/>
      <c r="J867" s="46"/>
      <c r="K867" s="101"/>
      <c r="L867" s="101"/>
      <c r="M867" s="87"/>
      <c r="N867" s="87"/>
      <c r="O867" s="87"/>
      <c r="P867" s="87"/>
      <c r="Q867" s="87"/>
      <c r="R867" s="87"/>
      <c r="S867" s="87"/>
      <c r="T867" s="87"/>
      <c r="U867" s="87"/>
      <c r="V867" s="87"/>
      <c r="W867" s="87"/>
      <c r="X867" s="87"/>
      <c r="Y867" s="87"/>
      <c r="Z867" s="87"/>
    </row>
    <row r="868">
      <c r="A868" s="96"/>
      <c r="B868" s="96"/>
      <c r="C868" s="98"/>
      <c r="D868" s="98"/>
      <c r="E868" s="100"/>
      <c r="F868" s="100"/>
      <c r="G868" s="101"/>
      <c r="H868" s="100"/>
      <c r="I868" s="100"/>
      <c r="J868" s="46"/>
      <c r="K868" s="101"/>
      <c r="L868" s="101"/>
      <c r="M868" s="87"/>
      <c r="N868" s="87"/>
      <c r="O868" s="87"/>
      <c r="P868" s="87"/>
      <c r="Q868" s="87"/>
      <c r="R868" s="87"/>
      <c r="S868" s="87"/>
      <c r="T868" s="87"/>
      <c r="U868" s="87"/>
      <c r="V868" s="87"/>
      <c r="W868" s="87"/>
      <c r="X868" s="87"/>
      <c r="Y868" s="87"/>
      <c r="Z868" s="87"/>
    </row>
    <row r="869">
      <c r="A869" s="96"/>
      <c r="B869" s="96"/>
      <c r="C869" s="98"/>
      <c r="D869" s="98"/>
      <c r="E869" s="100"/>
      <c r="F869" s="100"/>
      <c r="G869" s="101"/>
      <c r="H869" s="100"/>
      <c r="I869" s="100"/>
      <c r="J869" s="46"/>
      <c r="K869" s="101"/>
      <c r="L869" s="101"/>
      <c r="M869" s="87"/>
      <c r="N869" s="87"/>
      <c r="O869" s="87"/>
      <c r="P869" s="87"/>
      <c r="Q869" s="87"/>
      <c r="R869" s="87"/>
      <c r="S869" s="87"/>
      <c r="T869" s="87"/>
      <c r="U869" s="87"/>
      <c r="V869" s="87"/>
      <c r="W869" s="87"/>
      <c r="X869" s="87"/>
      <c r="Y869" s="87"/>
      <c r="Z869" s="87"/>
    </row>
    <row r="870">
      <c r="A870" s="96"/>
      <c r="B870" s="96"/>
      <c r="C870" s="98"/>
      <c r="D870" s="98"/>
      <c r="E870" s="100"/>
      <c r="F870" s="100"/>
      <c r="G870" s="101"/>
      <c r="H870" s="100"/>
      <c r="I870" s="100"/>
      <c r="J870" s="46"/>
      <c r="K870" s="101"/>
      <c r="L870" s="101"/>
      <c r="M870" s="87"/>
      <c r="N870" s="87"/>
      <c r="O870" s="87"/>
      <c r="P870" s="87"/>
      <c r="Q870" s="87"/>
      <c r="R870" s="87"/>
      <c r="S870" s="87"/>
      <c r="T870" s="87"/>
      <c r="U870" s="87"/>
      <c r="V870" s="87"/>
      <c r="W870" s="87"/>
      <c r="X870" s="87"/>
      <c r="Y870" s="87"/>
      <c r="Z870" s="87"/>
    </row>
    <row r="871">
      <c r="A871" s="96"/>
      <c r="B871" s="96"/>
      <c r="C871" s="98"/>
      <c r="D871" s="98"/>
      <c r="E871" s="100"/>
      <c r="F871" s="100"/>
      <c r="G871" s="101"/>
      <c r="H871" s="100"/>
      <c r="I871" s="100"/>
      <c r="J871" s="46"/>
      <c r="K871" s="101"/>
      <c r="L871" s="101"/>
      <c r="M871" s="87"/>
      <c r="N871" s="87"/>
      <c r="O871" s="87"/>
      <c r="P871" s="87"/>
      <c r="Q871" s="87"/>
      <c r="R871" s="87"/>
      <c r="S871" s="87"/>
      <c r="T871" s="87"/>
      <c r="U871" s="87"/>
      <c r="V871" s="87"/>
      <c r="W871" s="87"/>
      <c r="X871" s="87"/>
      <c r="Y871" s="87"/>
      <c r="Z871" s="87"/>
    </row>
    <row r="872">
      <c r="A872" s="96"/>
      <c r="B872" s="96"/>
      <c r="C872" s="98"/>
      <c r="D872" s="98"/>
      <c r="E872" s="100"/>
      <c r="F872" s="100"/>
      <c r="G872" s="101"/>
      <c r="H872" s="100"/>
      <c r="I872" s="100"/>
      <c r="J872" s="46"/>
      <c r="K872" s="101"/>
      <c r="L872" s="101"/>
      <c r="M872" s="87"/>
      <c r="N872" s="87"/>
      <c r="O872" s="87"/>
      <c r="P872" s="87"/>
      <c r="Q872" s="87"/>
      <c r="R872" s="87"/>
      <c r="S872" s="87"/>
      <c r="T872" s="87"/>
      <c r="U872" s="87"/>
      <c r="V872" s="87"/>
      <c r="W872" s="87"/>
      <c r="X872" s="87"/>
      <c r="Y872" s="87"/>
      <c r="Z872" s="87"/>
    </row>
    <row r="873">
      <c r="A873" s="96"/>
      <c r="B873" s="96"/>
      <c r="C873" s="98"/>
      <c r="D873" s="98"/>
      <c r="E873" s="100"/>
      <c r="F873" s="100"/>
      <c r="G873" s="101"/>
      <c r="H873" s="100"/>
      <c r="I873" s="100"/>
      <c r="J873" s="46"/>
      <c r="K873" s="101"/>
      <c r="L873" s="101"/>
      <c r="M873" s="87"/>
      <c r="N873" s="87"/>
      <c r="O873" s="87"/>
      <c r="P873" s="87"/>
      <c r="Q873" s="87"/>
      <c r="R873" s="87"/>
      <c r="S873" s="87"/>
      <c r="T873" s="87"/>
      <c r="U873" s="87"/>
      <c r="V873" s="87"/>
      <c r="W873" s="87"/>
      <c r="X873" s="87"/>
      <c r="Y873" s="87"/>
      <c r="Z873" s="87"/>
    </row>
    <row r="874">
      <c r="A874" s="96"/>
      <c r="B874" s="96"/>
      <c r="C874" s="98"/>
      <c r="D874" s="98"/>
      <c r="E874" s="100"/>
      <c r="F874" s="100"/>
      <c r="G874" s="101"/>
      <c r="H874" s="100"/>
      <c r="I874" s="100"/>
      <c r="J874" s="46"/>
      <c r="K874" s="101"/>
      <c r="L874" s="101"/>
      <c r="M874" s="87"/>
      <c r="N874" s="87"/>
      <c r="O874" s="87"/>
      <c r="P874" s="87"/>
      <c r="Q874" s="87"/>
      <c r="R874" s="87"/>
      <c r="S874" s="87"/>
      <c r="T874" s="87"/>
      <c r="U874" s="87"/>
      <c r="V874" s="87"/>
      <c r="W874" s="87"/>
      <c r="X874" s="87"/>
      <c r="Y874" s="87"/>
      <c r="Z874" s="87"/>
    </row>
    <row r="875">
      <c r="A875" s="96"/>
      <c r="B875" s="96"/>
      <c r="C875" s="98"/>
      <c r="D875" s="98"/>
      <c r="E875" s="100"/>
      <c r="F875" s="100"/>
      <c r="G875" s="101"/>
      <c r="H875" s="100"/>
      <c r="I875" s="100"/>
      <c r="J875" s="46"/>
      <c r="K875" s="101"/>
      <c r="L875" s="101"/>
      <c r="M875" s="87"/>
      <c r="N875" s="87"/>
      <c r="O875" s="87"/>
      <c r="P875" s="87"/>
      <c r="Q875" s="87"/>
      <c r="R875" s="87"/>
      <c r="S875" s="87"/>
      <c r="T875" s="87"/>
      <c r="U875" s="87"/>
      <c r="V875" s="87"/>
      <c r="W875" s="87"/>
      <c r="X875" s="87"/>
      <c r="Y875" s="87"/>
      <c r="Z875" s="87"/>
    </row>
    <row r="876">
      <c r="A876" s="96"/>
      <c r="B876" s="96"/>
      <c r="C876" s="98"/>
      <c r="D876" s="98"/>
      <c r="E876" s="100"/>
      <c r="F876" s="100"/>
      <c r="G876" s="101"/>
      <c r="H876" s="100"/>
      <c r="I876" s="100"/>
      <c r="J876" s="46"/>
      <c r="K876" s="101"/>
      <c r="L876" s="101"/>
      <c r="M876" s="87"/>
      <c r="N876" s="87"/>
      <c r="O876" s="87"/>
      <c r="P876" s="87"/>
      <c r="Q876" s="87"/>
      <c r="R876" s="87"/>
      <c r="S876" s="87"/>
      <c r="T876" s="87"/>
      <c r="U876" s="87"/>
      <c r="V876" s="87"/>
      <c r="W876" s="87"/>
      <c r="X876" s="87"/>
      <c r="Y876" s="87"/>
      <c r="Z876" s="87"/>
    </row>
    <row r="877">
      <c r="A877" s="96"/>
      <c r="B877" s="96"/>
      <c r="C877" s="98"/>
      <c r="D877" s="98"/>
      <c r="E877" s="100"/>
      <c r="F877" s="100"/>
      <c r="G877" s="101"/>
      <c r="H877" s="100"/>
      <c r="I877" s="100"/>
      <c r="J877" s="46"/>
      <c r="K877" s="101"/>
      <c r="L877" s="101"/>
      <c r="M877" s="87"/>
      <c r="N877" s="87"/>
      <c r="O877" s="87"/>
      <c r="P877" s="87"/>
      <c r="Q877" s="87"/>
      <c r="R877" s="87"/>
      <c r="S877" s="87"/>
      <c r="T877" s="87"/>
      <c r="U877" s="87"/>
      <c r="V877" s="87"/>
      <c r="W877" s="87"/>
      <c r="X877" s="87"/>
      <c r="Y877" s="87"/>
      <c r="Z877" s="87"/>
    </row>
    <row r="878">
      <c r="A878" s="96"/>
      <c r="B878" s="96"/>
      <c r="C878" s="98"/>
      <c r="D878" s="98"/>
      <c r="E878" s="100"/>
      <c r="F878" s="100"/>
      <c r="G878" s="101"/>
      <c r="H878" s="100"/>
      <c r="I878" s="100"/>
      <c r="J878" s="46"/>
      <c r="K878" s="101"/>
      <c r="L878" s="101"/>
      <c r="M878" s="87"/>
      <c r="N878" s="87"/>
      <c r="O878" s="87"/>
      <c r="P878" s="87"/>
      <c r="Q878" s="87"/>
      <c r="R878" s="87"/>
      <c r="S878" s="87"/>
      <c r="T878" s="87"/>
      <c r="U878" s="87"/>
      <c r="V878" s="87"/>
      <c r="W878" s="87"/>
      <c r="X878" s="87"/>
      <c r="Y878" s="87"/>
      <c r="Z878" s="87"/>
    </row>
    <row r="879">
      <c r="A879" s="96"/>
      <c r="B879" s="96"/>
      <c r="C879" s="98"/>
      <c r="D879" s="98"/>
      <c r="E879" s="100"/>
      <c r="F879" s="100"/>
      <c r="G879" s="101"/>
      <c r="H879" s="100"/>
      <c r="I879" s="100"/>
      <c r="J879" s="46"/>
      <c r="K879" s="101"/>
      <c r="L879" s="101"/>
      <c r="M879" s="87"/>
      <c r="N879" s="87"/>
      <c r="O879" s="87"/>
      <c r="P879" s="87"/>
      <c r="Q879" s="87"/>
      <c r="R879" s="87"/>
      <c r="S879" s="87"/>
      <c r="T879" s="87"/>
      <c r="U879" s="87"/>
      <c r="V879" s="87"/>
      <c r="W879" s="87"/>
      <c r="X879" s="87"/>
      <c r="Y879" s="87"/>
      <c r="Z879" s="87"/>
    </row>
    <row r="880">
      <c r="A880" s="96"/>
      <c r="B880" s="96"/>
      <c r="C880" s="98"/>
      <c r="D880" s="98"/>
      <c r="E880" s="100"/>
      <c r="F880" s="100"/>
      <c r="G880" s="101"/>
      <c r="H880" s="100"/>
      <c r="I880" s="100"/>
      <c r="J880" s="46"/>
      <c r="K880" s="101"/>
      <c r="L880" s="101"/>
      <c r="M880" s="87"/>
      <c r="N880" s="87"/>
      <c r="O880" s="87"/>
      <c r="P880" s="87"/>
      <c r="Q880" s="87"/>
      <c r="R880" s="87"/>
      <c r="S880" s="87"/>
      <c r="T880" s="87"/>
      <c r="U880" s="87"/>
      <c r="V880" s="87"/>
      <c r="W880" s="87"/>
      <c r="X880" s="87"/>
      <c r="Y880" s="87"/>
      <c r="Z880" s="87"/>
    </row>
    <row r="881">
      <c r="A881" s="96"/>
      <c r="B881" s="96"/>
      <c r="C881" s="98"/>
      <c r="D881" s="98"/>
      <c r="E881" s="100"/>
      <c r="F881" s="100"/>
      <c r="G881" s="101"/>
      <c r="H881" s="100"/>
      <c r="I881" s="100"/>
      <c r="J881" s="46"/>
      <c r="K881" s="101"/>
      <c r="L881" s="101"/>
      <c r="M881" s="87"/>
      <c r="N881" s="87"/>
      <c r="O881" s="87"/>
      <c r="P881" s="87"/>
      <c r="Q881" s="87"/>
      <c r="R881" s="87"/>
      <c r="S881" s="87"/>
      <c r="T881" s="87"/>
      <c r="U881" s="87"/>
      <c r="V881" s="87"/>
      <c r="W881" s="87"/>
      <c r="X881" s="87"/>
      <c r="Y881" s="87"/>
      <c r="Z881" s="87"/>
    </row>
    <row r="882">
      <c r="A882" s="96"/>
      <c r="B882" s="96"/>
      <c r="C882" s="98"/>
      <c r="D882" s="98"/>
      <c r="E882" s="100"/>
      <c r="F882" s="100"/>
      <c r="G882" s="101"/>
      <c r="H882" s="100"/>
      <c r="I882" s="100"/>
      <c r="J882" s="46"/>
      <c r="K882" s="101"/>
      <c r="L882" s="101"/>
      <c r="M882" s="87"/>
      <c r="N882" s="87"/>
      <c r="O882" s="87"/>
      <c r="P882" s="87"/>
      <c r="Q882" s="87"/>
      <c r="R882" s="87"/>
      <c r="S882" s="87"/>
      <c r="T882" s="87"/>
      <c r="U882" s="87"/>
      <c r="V882" s="87"/>
      <c r="W882" s="87"/>
      <c r="X882" s="87"/>
      <c r="Y882" s="87"/>
      <c r="Z882" s="87"/>
    </row>
    <row r="883">
      <c r="A883" s="96"/>
      <c r="B883" s="96"/>
      <c r="C883" s="98"/>
      <c r="D883" s="98"/>
      <c r="E883" s="100"/>
      <c r="F883" s="100"/>
      <c r="G883" s="101"/>
      <c r="H883" s="100"/>
      <c r="I883" s="100"/>
      <c r="J883" s="46"/>
      <c r="K883" s="101"/>
      <c r="L883" s="101"/>
      <c r="M883" s="87"/>
      <c r="N883" s="87"/>
      <c r="O883" s="87"/>
      <c r="P883" s="87"/>
      <c r="Q883" s="87"/>
      <c r="R883" s="87"/>
      <c r="S883" s="87"/>
      <c r="T883" s="87"/>
      <c r="U883" s="87"/>
      <c r="V883" s="87"/>
      <c r="W883" s="87"/>
      <c r="X883" s="87"/>
      <c r="Y883" s="87"/>
      <c r="Z883" s="87"/>
    </row>
    <row r="884">
      <c r="A884" s="96"/>
      <c r="B884" s="96"/>
      <c r="C884" s="98"/>
      <c r="D884" s="98"/>
      <c r="E884" s="100"/>
      <c r="F884" s="100"/>
      <c r="G884" s="101"/>
      <c r="H884" s="100"/>
      <c r="I884" s="100"/>
      <c r="J884" s="46"/>
      <c r="K884" s="101"/>
      <c r="L884" s="101"/>
      <c r="M884" s="87"/>
      <c r="N884" s="87"/>
      <c r="O884" s="87"/>
      <c r="P884" s="87"/>
      <c r="Q884" s="87"/>
      <c r="R884" s="87"/>
      <c r="S884" s="87"/>
      <c r="T884" s="87"/>
      <c r="U884" s="87"/>
      <c r="V884" s="87"/>
      <c r="W884" s="87"/>
      <c r="X884" s="87"/>
      <c r="Y884" s="87"/>
      <c r="Z884" s="87"/>
    </row>
    <row r="885">
      <c r="A885" s="96"/>
      <c r="B885" s="96"/>
      <c r="C885" s="98"/>
      <c r="D885" s="98"/>
      <c r="E885" s="100"/>
      <c r="F885" s="100"/>
      <c r="G885" s="101"/>
      <c r="H885" s="100"/>
      <c r="I885" s="100"/>
      <c r="J885" s="46"/>
      <c r="K885" s="101"/>
      <c r="L885" s="101"/>
      <c r="M885" s="87"/>
      <c r="N885" s="87"/>
      <c r="O885" s="87"/>
      <c r="P885" s="87"/>
      <c r="Q885" s="87"/>
      <c r="R885" s="87"/>
      <c r="S885" s="87"/>
      <c r="T885" s="87"/>
      <c r="U885" s="87"/>
      <c r="V885" s="87"/>
      <c r="W885" s="87"/>
      <c r="X885" s="87"/>
      <c r="Y885" s="87"/>
      <c r="Z885" s="87"/>
    </row>
    <row r="886">
      <c r="A886" s="96"/>
      <c r="B886" s="96"/>
      <c r="C886" s="98"/>
      <c r="D886" s="98"/>
      <c r="E886" s="100"/>
      <c r="F886" s="100"/>
      <c r="G886" s="101"/>
      <c r="H886" s="100"/>
      <c r="I886" s="100"/>
      <c r="J886" s="46"/>
      <c r="K886" s="101"/>
      <c r="L886" s="101"/>
      <c r="M886" s="87"/>
      <c r="N886" s="87"/>
      <c r="O886" s="87"/>
      <c r="P886" s="87"/>
      <c r="Q886" s="87"/>
      <c r="R886" s="87"/>
      <c r="S886" s="87"/>
      <c r="T886" s="87"/>
      <c r="U886" s="87"/>
      <c r="V886" s="87"/>
      <c r="W886" s="87"/>
      <c r="X886" s="87"/>
      <c r="Y886" s="87"/>
      <c r="Z886" s="87"/>
    </row>
    <row r="887">
      <c r="A887" s="96"/>
      <c r="B887" s="96"/>
      <c r="C887" s="98"/>
      <c r="D887" s="98"/>
      <c r="E887" s="100"/>
      <c r="F887" s="100"/>
      <c r="G887" s="101"/>
      <c r="H887" s="100"/>
      <c r="I887" s="100"/>
      <c r="J887" s="46"/>
      <c r="K887" s="101"/>
      <c r="L887" s="101"/>
      <c r="M887" s="87"/>
      <c r="N887" s="87"/>
      <c r="O887" s="87"/>
      <c r="P887" s="87"/>
      <c r="Q887" s="87"/>
      <c r="R887" s="87"/>
      <c r="S887" s="87"/>
      <c r="T887" s="87"/>
      <c r="U887" s="87"/>
      <c r="V887" s="87"/>
      <c r="W887" s="87"/>
      <c r="X887" s="87"/>
      <c r="Y887" s="87"/>
      <c r="Z887" s="87"/>
    </row>
    <row r="888">
      <c r="A888" s="96"/>
      <c r="B888" s="96"/>
      <c r="C888" s="98"/>
      <c r="D888" s="98"/>
      <c r="E888" s="100"/>
      <c r="F888" s="100"/>
      <c r="G888" s="101"/>
      <c r="H888" s="100"/>
      <c r="I888" s="100"/>
      <c r="J888" s="46"/>
      <c r="K888" s="101"/>
      <c r="L888" s="101"/>
      <c r="M888" s="87"/>
      <c r="N888" s="87"/>
      <c r="O888" s="87"/>
      <c r="P888" s="87"/>
      <c r="Q888" s="87"/>
      <c r="R888" s="87"/>
      <c r="S888" s="87"/>
      <c r="T888" s="87"/>
      <c r="U888" s="87"/>
      <c r="V888" s="87"/>
      <c r="W888" s="87"/>
      <c r="X888" s="87"/>
      <c r="Y888" s="87"/>
      <c r="Z888" s="87"/>
    </row>
    <row r="889">
      <c r="A889" s="96"/>
      <c r="B889" s="96"/>
      <c r="C889" s="98"/>
      <c r="D889" s="98"/>
      <c r="E889" s="100"/>
      <c r="F889" s="100"/>
      <c r="G889" s="101"/>
      <c r="H889" s="100"/>
      <c r="I889" s="100"/>
      <c r="J889" s="46"/>
      <c r="K889" s="101"/>
      <c r="L889" s="101"/>
      <c r="M889" s="87"/>
      <c r="N889" s="87"/>
      <c r="O889" s="87"/>
      <c r="P889" s="87"/>
      <c r="Q889" s="87"/>
      <c r="R889" s="87"/>
      <c r="S889" s="87"/>
      <c r="T889" s="87"/>
      <c r="U889" s="87"/>
      <c r="V889" s="87"/>
      <c r="W889" s="87"/>
      <c r="X889" s="87"/>
      <c r="Y889" s="87"/>
      <c r="Z889" s="87"/>
    </row>
    <row r="890">
      <c r="A890" s="96"/>
      <c r="B890" s="96"/>
      <c r="C890" s="98"/>
      <c r="D890" s="98"/>
      <c r="E890" s="100"/>
      <c r="F890" s="100"/>
      <c r="G890" s="101"/>
      <c r="H890" s="100"/>
      <c r="I890" s="100"/>
      <c r="J890" s="46"/>
      <c r="K890" s="101"/>
      <c r="L890" s="101"/>
      <c r="M890" s="87"/>
      <c r="N890" s="87"/>
      <c r="O890" s="87"/>
      <c r="P890" s="87"/>
      <c r="Q890" s="87"/>
      <c r="R890" s="87"/>
      <c r="S890" s="87"/>
      <c r="T890" s="87"/>
      <c r="U890" s="87"/>
      <c r="V890" s="87"/>
      <c r="W890" s="87"/>
      <c r="X890" s="87"/>
      <c r="Y890" s="87"/>
      <c r="Z890" s="87"/>
    </row>
    <row r="891">
      <c r="A891" s="96"/>
      <c r="B891" s="96"/>
      <c r="C891" s="98"/>
      <c r="D891" s="98"/>
      <c r="E891" s="100"/>
      <c r="F891" s="100"/>
      <c r="G891" s="101"/>
      <c r="H891" s="100"/>
      <c r="I891" s="100"/>
      <c r="J891" s="46"/>
      <c r="K891" s="101"/>
      <c r="L891" s="101"/>
      <c r="M891" s="87"/>
      <c r="N891" s="87"/>
      <c r="O891" s="87"/>
      <c r="P891" s="87"/>
      <c r="Q891" s="87"/>
      <c r="R891" s="87"/>
      <c r="S891" s="87"/>
      <c r="T891" s="87"/>
      <c r="U891" s="87"/>
      <c r="V891" s="87"/>
      <c r="W891" s="87"/>
      <c r="X891" s="87"/>
      <c r="Y891" s="87"/>
      <c r="Z891" s="87"/>
    </row>
    <row r="892">
      <c r="A892" s="96"/>
      <c r="B892" s="96"/>
      <c r="C892" s="98"/>
      <c r="D892" s="98"/>
      <c r="E892" s="100"/>
      <c r="F892" s="100"/>
      <c r="G892" s="101"/>
      <c r="H892" s="100"/>
      <c r="I892" s="100"/>
      <c r="J892" s="46"/>
      <c r="K892" s="101"/>
      <c r="L892" s="101"/>
      <c r="M892" s="87"/>
      <c r="N892" s="87"/>
      <c r="O892" s="87"/>
      <c r="P892" s="87"/>
      <c r="Q892" s="87"/>
      <c r="R892" s="87"/>
      <c r="S892" s="87"/>
      <c r="T892" s="87"/>
      <c r="U892" s="87"/>
      <c r="V892" s="87"/>
      <c r="W892" s="87"/>
      <c r="X892" s="87"/>
      <c r="Y892" s="87"/>
      <c r="Z892" s="87"/>
    </row>
    <row r="893">
      <c r="A893" s="96"/>
      <c r="B893" s="96"/>
      <c r="C893" s="98"/>
      <c r="D893" s="98"/>
      <c r="E893" s="100"/>
      <c r="F893" s="100"/>
      <c r="G893" s="101"/>
      <c r="H893" s="100"/>
      <c r="I893" s="100"/>
      <c r="J893" s="46"/>
      <c r="K893" s="101"/>
      <c r="L893" s="101"/>
      <c r="M893" s="87"/>
      <c r="N893" s="87"/>
      <c r="O893" s="87"/>
      <c r="P893" s="87"/>
      <c r="Q893" s="87"/>
      <c r="R893" s="87"/>
      <c r="S893" s="87"/>
      <c r="T893" s="87"/>
      <c r="U893" s="87"/>
      <c r="V893" s="87"/>
      <c r="W893" s="87"/>
      <c r="X893" s="87"/>
      <c r="Y893" s="87"/>
      <c r="Z893" s="87"/>
    </row>
    <row r="894">
      <c r="A894" s="96"/>
      <c r="B894" s="96"/>
      <c r="C894" s="98"/>
      <c r="D894" s="98"/>
      <c r="E894" s="100"/>
      <c r="F894" s="100"/>
      <c r="G894" s="101"/>
      <c r="H894" s="100"/>
      <c r="I894" s="100"/>
      <c r="J894" s="46"/>
      <c r="K894" s="101"/>
      <c r="L894" s="101"/>
      <c r="M894" s="87"/>
      <c r="N894" s="87"/>
      <c r="O894" s="87"/>
      <c r="P894" s="87"/>
      <c r="Q894" s="87"/>
      <c r="R894" s="87"/>
      <c r="S894" s="87"/>
      <c r="T894" s="87"/>
      <c r="U894" s="87"/>
      <c r="V894" s="87"/>
      <c r="W894" s="87"/>
      <c r="X894" s="87"/>
      <c r="Y894" s="87"/>
      <c r="Z894" s="87"/>
    </row>
    <row r="895">
      <c r="A895" s="96"/>
      <c r="B895" s="96"/>
      <c r="C895" s="98"/>
      <c r="D895" s="98"/>
      <c r="E895" s="100"/>
      <c r="F895" s="100"/>
      <c r="G895" s="101"/>
      <c r="H895" s="100"/>
      <c r="I895" s="100"/>
      <c r="J895" s="46"/>
      <c r="K895" s="101"/>
      <c r="L895" s="101"/>
      <c r="M895" s="87"/>
      <c r="N895" s="87"/>
      <c r="O895" s="87"/>
      <c r="P895" s="87"/>
      <c r="Q895" s="87"/>
      <c r="R895" s="87"/>
      <c r="S895" s="87"/>
      <c r="T895" s="87"/>
      <c r="U895" s="87"/>
      <c r="V895" s="87"/>
      <c r="W895" s="87"/>
      <c r="X895" s="87"/>
      <c r="Y895" s="87"/>
      <c r="Z895" s="87"/>
    </row>
    <row r="896">
      <c r="A896" s="96"/>
      <c r="B896" s="96"/>
      <c r="C896" s="98"/>
      <c r="D896" s="98"/>
      <c r="E896" s="100"/>
      <c r="F896" s="100"/>
      <c r="G896" s="101"/>
      <c r="H896" s="100"/>
      <c r="I896" s="100"/>
      <c r="J896" s="46"/>
      <c r="K896" s="101"/>
      <c r="L896" s="101"/>
      <c r="M896" s="87"/>
      <c r="N896" s="87"/>
      <c r="O896" s="87"/>
      <c r="P896" s="87"/>
      <c r="Q896" s="87"/>
      <c r="R896" s="87"/>
      <c r="S896" s="87"/>
      <c r="T896" s="87"/>
      <c r="U896" s="87"/>
      <c r="V896" s="87"/>
      <c r="W896" s="87"/>
      <c r="X896" s="87"/>
      <c r="Y896" s="87"/>
      <c r="Z896" s="87"/>
    </row>
    <row r="897">
      <c r="A897" s="96"/>
      <c r="B897" s="96"/>
      <c r="C897" s="98"/>
      <c r="D897" s="98"/>
      <c r="E897" s="100"/>
      <c r="F897" s="100"/>
      <c r="G897" s="101"/>
      <c r="H897" s="100"/>
      <c r="I897" s="100"/>
      <c r="J897" s="46"/>
      <c r="K897" s="101"/>
      <c r="L897" s="101"/>
      <c r="M897" s="87"/>
      <c r="N897" s="87"/>
      <c r="O897" s="87"/>
      <c r="P897" s="87"/>
      <c r="Q897" s="87"/>
      <c r="R897" s="87"/>
      <c r="S897" s="87"/>
      <c r="T897" s="87"/>
      <c r="U897" s="87"/>
      <c r="V897" s="87"/>
      <c r="W897" s="87"/>
      <c r="X897" s="87"/>
      <c r="Y897" s="87"/>
      <c r="Z897" s="87"/>
    </row>
    <row r="898">
      <c r="A898" s="96"/>
      <c r="B898" s="96"/>
      <c r="C898" s="98"/>
      <c r="D898" s="98"/>
      <c r="E898" s="100"/>
      <c r="F898" s="100"/>
      <c r="G898" s="101"/>
      <c r="H898" s="100"/>
      <c r="I898" s="100"/>
      <c r="J898" s="46"/>
      <c r="K898" s="101"/>
      <c r="L898" s="101"/>
      <c r="M898" s="87"/>
      <c r="N898" s="87"/>
      <c r="O898" s="87"/>
      <c r="P898" s="87"/>
      <c r="Q898" s="87"/>
      <c r="R898" s="87"/>
      <c r="S898" s="87"/>
      <c r="T898" s="87"/>
      <c r="U898" s="87"/>
      <c r="V898" s="87"/>
      <c r="W898" s="87"/>
      <c r="X898" s="87"/>
      <c r="Y898" s="87"/>
      <c r="Z898" s="87"/>
    </row>
    <row r="899">
      <c r="A899" s="96"/>
      <c r="B899" s="96"/>
      <c r="C899" s="98"/>
      <c r="D899" s="98"/>
      <c r="E899" s="100"/>
      <c r="F899" s="100"/>
      <c r="G899" s="101"/>
      <c r="H899" s="100"/>
      <c r="I899" s="100"/>
      <c r="J899" s="46"/>
      <c r="K899" s="101"/>
      <c r="L899" s="101"/>
      <c r="M899" s="87"/>
      <c r="N899" s="87"/>
      <c r="O899" s="87"/>
      <c r="P899" s="87"/>
      <c r="Q899" s="87"/>
      <c r="R899" s="87"/>
      <c r="S899" s="87"/>
      <c r="T899" s="87"/>
      <c r="U899" s="87"/>
      <c r="V899" s="87"/>
      <c r="W899" s="87"/>
      <c r="X899" s="87"/>
      <c r="Y899" s="87"/>
      <c r="Z899" s="87"/>
    </row>
    <row r="900">
      <c r="A900" s="96"/>
      <c r="B900" s="96"/>
      <c r="C900" s="98"/>
      <c r="D900" s="98"/>
      <c r="E900" s="100"/>
      <c r="F900" s="100"/>
      <c r="G900" s="101"/>
      <c r="H900" s="100"/>
      <c r="I900" s="100"/>
      <c r="J900" s="46"/>
      <c r="K900" s="101"/>
      <c r="L900" s="101"/>
      <c r="M900" s="87"/>
      <c r="N900" s="87"/>
      <c r="O900" s="87"/>
      <c r="P900" s="87"/>
      <c r="Q900" s="87"/>
      <c r="R900" s="87"/>
      <c r="S900" s="87"/>
      <c r="T900" s="87"/>
      <c r="U900" s="87"/>
      <c r="V900" s="87"/>
      <c r="W900" s="87"/>
      <c r="X900" s="87"/>
      <c r="Y900" s="87"/>
      <c r="Z900" s="87"/>
    </row>
    <row r="901">
      <c r="A901" s="96"/>
      <c r="B901" s="96"/>
      <c r="C901" s="98"/>
      <c r="D901" s="98"/>
      <c r="E901" s="100"/>
      <c r="F901" s="100"/>
      <c r="G901" s="101"/>
      <c r="H901" s="100"/>
      <c r="I901" s="100"/>
      <c r="J901" s="46"/>
      <c r="K901" s="101"/>
      <c r="L901" s="101"/>
      <c r="M901" s="87"/>
      <c r="N901" s="87"/>
      <c r="O901" s="87"/>
      <c r="P901" s="87"/>
      <c r="Q901" s="87"/>
      <c r="R901" s="87"/>
      <c r="S901" s="87"/>
      <c r="T901" s="87"/>
      <c r="U901" s="87"/>
      <c r="V901" s="87"/>
      <c r="W901" s="87"/>
      <c r="X901" s="87"/>
      <c r="Y901" s="87"/>
      <c r="Z901" s="87"/>
    </row>
    <row r="902">
      <c r="A902" s="96"/>
      <c r="B902" s="96"/>
      <c r="C902" s="98"/>
      <c r="D902" s="98"/>
      <c r="E902" s="100"/>
      <c r="F902" s="100"/>
      <c r="G902" s="101"/>
      <c r="H902" s="100"/>
      <c r="I902" s="100"/>
      <c r="J902" s="46"/>
      <c r="K902" s="101"/>
      <c r="L902" s="101"/>
      <c r="M902" s="87"/>
      <c r="N902" s="87"/>
      <c r="O902" s="87"/>
      <c r="P902" s="87"/>
      <c r="Q902" s="87"/>
      <c r="R902" s="87"/>
      <c r="S902" s="87"/>
      <c r="T902" s="87"/>
      <c r="U902" s="87"/>
      <c r="V902" s="87"/>
      <c r="W902" s="87"/>
      <c r="X902" s="87"/>
      <c r="Y902" s="87"/>
      <c r="Z902" s="87"/>
    </row>
    <row r="903">
      <c r="A903" s="96"/>
      <c r="B903" s="96"/>
      <c r="C903" s="98"/>
      <c r="D903" s="98"/>
      <c r="E903" s="100"/>
      <c r="F903" s="100"/>
      <c r="G903" s="101"/>
      <c r="H903" s="100"/>
      <c r="I903" s="100"/>
      <c r="J903" s="46"/>
      <c r="K903" s="101"/>
      <c r="L903" s="101"/>
      <c r="M903" s="87"/>
      <c r="N903" s="87"/>
      <c r="O903" s="87"/>
      <c r="P903" s="87"/>
      <c r="Q903" s="87"/>
      <c r="R903" s="87"/>
      <c r="S903" s="87"/>
      <c r="T903" s="87"/>
      <c r="U903" s="87"/>
      <c r="V903" s="87"/>
      <c r="W903" s="87"/>
      <c r="X903" s="87"/>
      <c r="Y903" s="87"/>
      <c r="Z903" s="87"/>
    </row>
    <row r="904">
      <c r="A904" s="96"/>
      <c r="B904" s="96"/>
      <c r="C904" s="98"/>
      <c r="D904" s="98"/>
      <c r="E904" s="100"/>
      <c r="F904" s="100"/>
      <c r="G904" s="101"/>
      <c r="H904" s="100"/>
      <c r="I904" s="100"/>
      <c r="J904" s="46"/>
      <c r="K904" s="101"/>
      <c r="L904" s="101"/>
      <c r="M904" s="87"/>
      <c r="N904" s="87"/>
      <c r="O904" s="87"/>
      <c r="P904" s="87"/>
      <c r="Q904" s="87"/>
      <c r="R904" s="87"/>
      <c r="S904" s="87"/>
      <c r="T904" s="87"/>
      <c r="U904" s="87"/>
      <c r="V904" s="87"/>
      <c r="W904" s="87"/>
      <c r="X904" s="87"/>
      <c r="Y904" s="87"/>
      <c r="Z904" s="87"/>
    </row>
    <row r="905">
      <c r="A905" s="96"/>
      <c r="B905" s="96"/>
      <c r="C905" s="98"/>
      <c r="D905" s="98"/>
      <c r="E905" s="100"/>
      <c r="F905" s="100"/>
      <c r="G905" s="101"/>
      <c r="H905" s="100"/>
      <c r="I905" s="100"/>
      <c r="J905" s="46"/>
      <c r="K905" s="101"/>
      <c r="L905" s="101"/>
      <c r="M905" s="87"/>
      <c r="N905" s="87"/>
      <c r="O905" s="87"/>
      <c r="P905" s="87"/>
      <c r="Q905" s="87"/>
      <c r="R905" s="87"/>
      <c r="S905" s="87"/>
      <c r="T905" s="87"/>
      <c r="U905" s="87"/>
      <c r="V905" s="87"/>
      <c r="W905" s="87"/>
      <c r="X905" s="87"/>
      <c r="Y905" s="87"/>
      <c r="Z905" s="87"/>
    </row>
    <row r="906">
      <c r="A906" s="96"/>
      <c r="B906" s="96"/>
      <c r="C906" s="98"/>
      <c r="D906" s="98"/>
      <c r="E906" s="100"/>
      <c r="F906" s="100"/>
      <c r="G906" s="101"/>
      <c r="H906" s="100"/>
      <c r="I906" s="100"/>
      <c r="J906" s="46"/>
      <c r="K906" s="101"/>
      <c r="L906" s="101"/>
      <c r="M906" s="87"/>
      <c r="N906" s="87"/>
      <c r="O906" s="87"/>
      <c r="P906" s="87"/>
      <c r="Q906" s="87"/>
      <c r="R906" s="87"/>
      <c r="S906" s="87"/>
      <c r="T906" s="87"/>
      <c r="U906" s="87"/>
      <c r="V906" s="87"/>
      <c r="W906" s="87"/>
      <c r="X906" s="87"/>
      <c r="Y906" s="87"/>
      <c r="Z906" s="87"/>
    </row>
    <row r="907">
      <c r="A907" s="96"/>
      <c r="B907" s="96"/>
      <c r="C907" s="98"/>
      <c r="D907" s="98"/>
      <c r="E907" s="100"/>
      <c r="F907" s="100"/>
      <c r="G907" s="101"/>
      <c r="H907" s="100"/>
      <c r="I907" s="100"/>
      <c r="J907" s="46"/>
      <c r="K907" s="101"/>
      <c r="L907" s="101"/>
      <c r="M907" s="87"/>
      <c r="N907" s="87"/>
      <c r="O907" s="87"/>
      <c r="P907" s="87"/>
      <c r="Q907" s="87"/>
      <c r="R907" s="87"/>
      <c r="S907" s="87"/>
      <c r="T907" s="87"/>
      <c r="U907" s="87"/>
      <c r="V907" s="87"/>
      <c r="W907" s="87"/>
      <c r="X907" s="87"/>
      <c r="Y907" s="87"/>
      <c r="Z907" s="87"/>
    </row>
    <row r="908">
      <c r="A908" s="96"/>
      <c r="B908" s="96"/>
      <c r="C908" s="98"/>
      <c r="D908" s="98"/>
      <c r="E908" s="100"/>
      <c r="F908" s="100"/>
      <c r="G908" s="101"/>
      <c r="H908" s="100"/>
      <c r="I908" s="100"/>
      <c r="J908" s="46"/>
      <c r="K908" s="101"/>
      <c r="L908" s="101"/>
      <c r="M908" s="87"/>
      <c r="N908" s="87"/>
      <c r="O908" s="87"/>
      <c r="P908" s="87"/>
      <c r="Q908" s="87"/>
      <c r="R908" s="87"/>
      <c r="S908" s="87"/>
      <c r="T908" s="87"/>
      <c r="U908" s="87"/>
      <c r="V908" s="87"/>
      <c r="W908" s="87"/>
      <c r="X908" s="87"/>
      <c r="Y908" s="87"/>
      <c r="Z908" s="87"/>
    </row>
    <row r="909">
      <c r="A909" s="96"/>
      <c r="B909" s="96"/>
      <c r="C909" s="98"/>
      <c r="D909" s="98"/>
      <c r="E909" s="100"/>
      <c r="F909" s="100"/>
      <c r="G909" s="101"/>
      <c r="H909" s="100"/>
      <c r="I909" s="100"/>
      <c r="J909" s="46"/>
      <c r="K909" s="101"/>
      <c r="L909" s="101"/>
      <c r="M909" s="87"/>
      <c r="N909" s="87"/>
      <c r="O909" s="87"/>
      <c r="P909" s="87"/>
      <c r="Q909" s="87"/>
      <c r="R909" s="87"/>
      <c r="S909" s="87"/>
      <c r="T909" s="87"/>
      <c r="U909" s="87"/>
      <c r="V909" s="87"/>
      <c r="W909" s="87"/>
      <c r="X909" s="87"/>
      <c r="Y909" s="87"/>
      <c r="Z909" s="87"/>
    </row>
    <row r="910">
      <c r="A910" s="96"/>
      <c r="B910" s="96"/>
      <c r="C910" s="98"/>
      <c r="D910" s="98"/>
      <c r="E910" s="100"/>
      <c r="F910" s="100"/>
      <c r="G910" s="101"/>
      <c r="H910" s="100"/>
      <c r="I910" s="100"/>
      <c r="J910" s="46"/>
      <c r="K910" s="101"/>
      <c r="L910" s="101"/>
      <c r="M910" s="87"/>
      <c r="N910" s="87"/>
      <c r="O910" s="87"/>
      <c r="P910" s="87"/>
      <c r="Q910" s="87"/>
      <c r="R910" s="87"/>
      <c r="S910" s="87"/>
      <c r="T910" s="87"/>
      <c r="U910" s="87"/>
      <c r="V910" s="87"/>
      <c r="W910" s="87"/>
      <c r="X910" s="87"/>
      <c r="Y910" s="87"/>
      <c r="Z910" s="87"/>
    </row>
    <row r="911">
      <c r="A911" s="96"/>
      <c r="B911" s="96"/>
      <c r="C911" s="98"/>
      <c r="D911" s="98"/>
      <c r="E911" s="100"/>
      <c r="F911" s="100"/>
      <c r="G911" s="101"/>
      <c r="H911" s="100"/>
      <c r="I911" s="100"/>
      <c r="J911" s="46"/>
      <c r="K911" s="101"/>
      <c r="L911" s="101"/>
      <c r="M911" s="87"/>
      <c r="N911" s="87"/>
      <c r="O911" s="87"/>
      <c r="P911" s="87"/>
      <c r="Q911" s="87"/>
      <c r="R911" s="87"/>
      <c r="S911" s="87"/>
      <c r="T911" s="87"/>
      <c r="U911" s="87"/>
      <c r="V911" s="87"/>
      <c r="W911" s="87"/>
      <c r="X911" s="87"/>
      <c r="Y911" s="87"/>
      <c r="Z911" s="87"/>
    </row>
    <row r="912">
      <c r="A912" s="96"/>
      <c r="B912" s="96"/>
      <c r="C912" s="98"/>
      <c r="D912" s="98"/>
      <c r="E912" s="100"/>
      <c r="F912" s="100"/>
      <c r="G912" s="101"/>
      <c r="H912" s="100"/>
      <c r="I912" s="100"/>
      <c r="J912" s="46"/>
      <c r="K912" s="101"/>
      <c r="L912" s="101"/>
      <c r="M912" s="87"/>
      <c r="N912" s="87"/>
      <c r="O912" s="87"/>
      <c r="P912" s="87"/>
      <c r="Q912" s="87"/>
      <c r="R912" s="87"/>
      <c r="S912" s="87"/>
      <c r="T912" s="87"/>
      <c r="U912" s="87"/>
      <c r="V912" s="87"/>
      <c r="W912" s="87"/>
      <c r="X912" s="87"/>
      <c r="Y912" s="87"/>
      <c r="Z912" s="87"/>
    </row>
    <row r="913">
      <c r="A913" s="96"/>
      <c r="B913" s="96"/>
      <c r="C913" s="98"/>
      <c r="D913" s="98"/>
      <c r="E913" s="100"/>
      <c r="F913" s="100"/>
      <c r="G913" s="101"/>
      <c r="H913" s="100"/>
      <c r="I913" s="100"/>
      <c r="J913" s="46"/>
      <c r="K913" s="101"/>
      <c r="L913" s="101"/>
      <c r="M913" s="87"/>
      <c r="N913" s="87"/>
      <c r="O913" s="87"/>
      <c r="P913" s="87"/>
      <c r="Q913" s="87"/>
      <c r="R913" s="87"/>
      <c r="S913" s="87"/>
      <c r="T913" s="87"/>
      <c r="U913" s="87"/>
      <c r="V913" s="87"/>
      <c r="W913" s="87"/>
      <c r="X913" s="87"/>
      <c r="Y913" s="87"/>
      <c r="Z913" s="87"/>
    </row>
    <row r="914">
      <c r="A914" s="96"/>
      <c r="B914" s="96"/>
      <c r="C914" s="98"/>
      <c r="D914" s="98"/>
      <c r="E914" s="100"/>
      <c r="F914" s="100"/>
      <c r="G914" s="101"/>
      <c r="H914" s="100"/>
      <c r="I914" s="100"/>
      <c r="J914" s="46"/>
      <c r="K914" s="101"/>
      <c r="L914" s="101"/>
      <c r="M914" s="87"/>
      <c r="N914" s="87"/>
      <c r="O914" s="87"/>
      <c r="P914" s="87"/>
      <c r="Q914" s="87"/>
      <c r="R914" s="87"/>
      <c r="S914" s="87"/>
      <c r="T914" s="87"/>
      <c r="U914" s="87"/>
      <c r="V914" s="87"/>
      <c r="W914" s="87"/>
      <c r="X914" s="87"/>
      <c r="Y914" s="87"/>
      <c r="Z914" s="87"/>
    </row>
    <row r="915">
      <c r="A915" s="96"/>
      <c r="B915" s="96"/>
      <c r="C915" s="98"/>
      <c r="D915" s="98"/>
      <c r="E915" s="100"/>
      <c r="F915" s="100"/>
      <c r="G915" s="101"/>
      <c r="H915" s="100"/>
      <c r="I915" s="100"/>
      <c r="J915" s="46"/>
      <c r="K915" s="101"/>
      <c r="L915" s="101"/>
      <c r="M915" s="87"/>
      <c r="N915" s="87"/>
      <c r="O915" s="87"/>
      <c r="P915" s="87"/>
      <c r="Q915" s="87"/>
      <c r="R915" s="87"/>
      <c r="S915" s="87"/>
      <c r="T915" s="87"/>
      <c r="U915" s="87"/>
      <c r="V915" s="87"/>
      <c r="W915" s="87"/>
      <c r="X915" s="87"/>
      <c r="Y915" s="87"/>
      <c r="Z915" s="87"/>
    </row>
    <row r="916">
      <c r="A916" s="96"/>
      <c r="B916" s="96"/>
      <c r="C916" s="98"/>
      <c r="D916" s="98"/>
      <c r="E916" s="100"/>
      <c r="F916" s="100"/>
      <c r="G916" s="101"/>
      <c r="H916" s="100"/>
      <c r="I916" s="100"/>
      <c r="J916" s="46"/>
      <c r="K916" s="101"/>
      <c r="L916" s="101"/>
      <c r="M916" s="87"/>
      <c r="N916" s="87"/>
      <c r="O916" s="87"/>
      <c r="P916" s="87"/>
      <c r="Q916" s="87"/>
      <c r="R916" s="87"/>
      <c r="S916" s="87"/>
      <c r="T916" s="87"/>
      <c r="U916" s="87"/>
      <c r="V916" s="87"/>
      <c r="W916" s="87"/>
      <c r="X916" s="87"/>
      <c r="Y916" s="87"/>
      <c r="Z916" s="87"/>
    </row>
    <row r="917">
      <c r="A917" s="96"/>
      <c r="B917" s="96"/>
      <c r="C917" s="98"/>
      <c r="D917" s="98"/>
      <c r="E917" s="100"/>
      <c r="F917" s="100"/>
      <c r="G917" s="101"/>
      <c r="H917" s="100"/>
      <c r="I917" s="100"/>
      <c r="J917" s="46"/>
      <c r="K917" s="101"/>
      <c r="L917" s="101"/>
      <c r="M917" s="87"/>
      <c r="N917" s="87"/>
      <c r="O917" s="87"/>
      <c r="P917" s="87"/>
      <c r="Q917" s="87"/>
      <c r="R917" s="87"/>
      <c r="S917" s="87"/>
      <c r="T917" s="87"/>
      <c r="U917" s="87"/>
      <c r="V917" s="87"/>
      <c r="W917" s="87"/>
      <c r="X917" s="87"/>
      <c r="Y917" s="87"/>
      <c r="Z917" s="87"/>
    </row>
    <row r="918">
      <c r="A918" s="96"/>
      <c r="B918" s="96"/>
      <c r="C918" s="98"/>
      <c r="D918" s="98"/>
      <c r="E918" s="100"/>
      <c r="F918" s="100"/>
      <c r="G918" s="101"/>
      <c r="H918" s="100"/>
      <c r="I918" s="100"/>
      <c r="J918" s="46"/>
      <c r="K918" s="101"/>
      <c r="L918" s="101"/>
      <c r="M918" s="87"/>
      <c r="N918" s="87"/>
      <c r="O918" s="87"/>
      <c r="P918" s="87"/>
      <c r="Q918" s="87"/>
      <c r="R918" s="87"/>
      <c r="S918" s="87"/>
      <c r="T918" s="87"/>
      <c r="U918" s="87"/>
      <c r="V918" s="87"/>
      <c r="W918" s="87"/>
      <c r="X918" s="87"/>
      <c r="Y918" s="87"/>
      <c r="Z918" s="87"/>
    </row>
    <row r="919">
      <c r="A919" s="96"/>
      <c r="B919" s="96"/>
      <c r="C919" s="98"/>
      <c r="D919" s="98"/>
      <c r="E919" s="100"/>
      <c r="F919" s="100"/>
      <c r="G919" s="101"/>
      <c r="H919" s="100"/>
      <c r="I919" s="100"/>
      <c r="J919" s="46"/>
      <c r="K919" s="101"/>
      <c r="L919" s="101"/>
      <c r="M919" s="87"/>
      <c r="N919" s="87"/>
      <c r="O919" s="87"/>
      <c r="P919" s="87"/>
      <c r="Q919" s="87"/>
      <c r="R919" s="87"/>
      <c r="S919" s="87"/>
      <c r="T919" s="87"/>
      <c r="U919" s="87"/>
      <c r="V919" s="87"/>
      <c r="W919" s="87"/>
      <c r="X919" s="87"/>
      <c r="Y919" s="87"/>
      <c r="Z919" s="87"/>
    </row>
    <row r="920">
      <c r="A920" s="96"/>
      <c r="B920" s="96"/>
      <c r="C920" s="98"/>
      <c r="D920" s="98"/>
      <c r="E920" s="100"/>
      <c r="F920" s="100"/>
      <c r="G920" s="101"/>
      <c r="H920" s="100"/>
      <c r="I920" s="100"/>
      <c r="J920" s="46"/>
      <c r="K920" s="101"/>
      <c r="L920" s="101"/>
      <c r="M920" s="87"/>
      <c r="N920" s="87"/>
      <c r="O920" s="87"/>
      <c r="P920" s="87"/>
      <c r="Q920" s="87"/>
      <c r="R920" s="87"/>
      <c r="S920" s="87"/>
      <c r="T920" s="87"/>
      <c r="U920" s="87"/>
      <c r="V920" s="87"/>
      <c r="W920" s="87"/>
      <c r="X920" s="87"/>
      <c r="Y920" s="87"/>
      <c r="Z920" s="87"/>
    </row>
    <row r="921">
      <c r="A921" s="96"/>
      <c r="B921" s="96"/>
      <c r="C921" s="98"/>
      <c r="D921" s="98"/>
      <c r="E921" s="100"/>
      <c r="F921" s="100"/>
      <c r="G921" s="101"/>
      <c r="H921" s="100"/>
      <c r="I921" s="100"/>
      <c r="J921" s="46"/>
      <c r="K921" s="101"/>
      <c r="L921" s="101"/>
      <c r="M921" s="87"/>
      <c r="N921" s="87"/>
      <c r="O921" s="87"/>
      <c r="P921" s="87"/>
      <c r="Q921" s="87"/>
      <c r="R921" s="87"/>
      <c r="S921" s="87"/>
      <c r="T921" s="87"/>
      <c r="U921" s="87"/>
      <c r="V921" s="87"/>
      <c r="W921" s="87"/>
      <c r="X921" s="87"/>
      <c r="Y921" s="87"/>
      <c r="Z921" s="87"/>
    </row>
    <row r="922">
      <c r="A922" s="96"/>
      <c r="B922" s="96"/>
      <c r="C922" s="98"/>
      <c r="D922" s="98"/>
      <c r="E922" s="100"/>
      <c r="F922" s="100"/>
      <c r="G922" s="101"/>
      <c r="H922" s="100"/>
      <c r="I922" s="100"/>
      <c r="J922" s="46"/>
      <c r="K922" s="101"/>
      <c r="L922" s="101"/>
      <c r="M922" s="87"/>
      <c r="N922" s="87"/>
      <c r="O922" s="87"/>
      <c r="P922" s="87"/>
      <c r="Q922" s="87"/>
      <c r="R922" s="87"/>
      <c r="S922" s="87"/>
      <c r="T922" s="87"/>
      <c r="U922" s="87"/>
      <c r="V922" s="87"/>
      <c r="W922" s="87"/>
      <c r="X922" s="87"/>
      <c r="Y922" s="87"/>
      <c r="Z922" s="87"/>
    </row>
    <row r="923">
      <c r="A923" s="96"/>
      <c r="B923" s="96"/>
      <c r="C923" s="98"/>
      <c r="D923" s="98"/>
      <c r="E923" s="100"/>
      <c r="F923" s="100"/>
      <c r="G923" s="101"/>
      <c r="H923" s="100"/>
      <c r="I923" s="100"/>
      <c r="J923" s="46"/>
      <c r="K923" s="101"/>
      <c r="L923" s="101"/>
      <c r="M923" s="87"/>
      <c r="N923" s="87"/>
      <c r="O923" s="87"/>
      <c r="P923" s="87"/>
      <c r="Q923" s="87"/>
      <c r="R923" s="87"/>
      <c r="S923" s="87"/>
      <c r="T923" s="87"/>
      <c r="U923" s="87"/>
      <c r="V923" s="87"/>
      <c r="W923" s="87"/>
      <c r="X923" s="87"/>
      <c r="Y923" s="87"/>
      <c r="Z923" s="87"/>
    </row>
    <row r="924">
      <c r="A924" s="96"/>
      <c r="B924" s="96"/>
      <c r="C924" s="98"/>
      <c r="D924" s="98"/>
      <c r="E924" s="100"/>
      <c r="F924" s="100"/>
      <c r="G924" s="101"/>
      <c r="H924" s="100"/>
      <c r="I924" s="100"/>
      <c r="J924" s="46"/>
      <c r="K924" s="101"/>
      <c r="L924" s="101"/>
      <c r="M924" s="87"/>
      <c r="N924" s="87"/>
      <c r="O924" s="87"/>
      <c r="P924" s="87"/>
      <c r="Q924" s="87"/>
      <c r="R924" s="87"/>
      <c r="S924" s="87"/>
      <c r="T924" s="87"/>
      <c r="U924" s="87"/>
      <c r="V924" s="87"/>
      <c r="W924" s="87"/>
      <c r="X924" s="87"/>
      <c r="Y924" s="87"/>
      <c r="Z924" s="87"/>
    </row>
    <row r="925">
      <c r="A925" s="96"/>
      <c r="B925" s="96"/>
      <c r="C925" s="98"/>
      <c r="D925" s="98"/>
      <c r="E925" s="100"/>
      <c r="F925" s="100"/>
      <c r="G925" s="101"/>
      <c r="H925" s="100"/>
      <c r="I925" s="100"/>
      <c r="J925" s="46"/>
      <c r="K925" s="101"/>
      <c r="L925" s="101"/>
      <c r="M925" s="87"/>
      <c r="N925" s="87"/>
      <c r="O925" s="87"/>
      <c r="P925" s="87"/>
      <c r="Q925" s="87"/>
      <c r="R925" s="87"/>
      <c r="S925" s="87"/>
      <c r="T925" s="87"/>
      <c r="U925" s="87"/>
      <c r="V925" s="87"/>
      <c r="W925" s="87"/>
      <c r="X925" s="87"/>
      <c r="Y925" s="87"/>
      <c r="Z925" s="87"/>
    </row>
    <row r="926">
      <c r="A926" s="96"/>
      <c r="B926" s="96"/>
      <c r="C926" s="98"/>
      <c r="D926" s="98"/>
      <c r="E926" s="100"/>
      <c r="F926" s="100"/>
      <c r="G926" s="101"/>
      <c r="H926" s="100"/>
      <c r="I926" s="100"/>
      <c r="J926" s="46"/>
      <c r="K926" s="101"/>
      <c r="L926" s="101"/>
      <c r="M926" s="87"/>
      <c r="N926" s="87"/>
      <c r="O926" s="87"/>
      <c r="P926" s="87"/>
      <c r="Q926" s="87"/>
      <c r="R926" s="87"/>
      <c r="S926" s="87"/>
      <c r="T926" s="87"/>
      <c r="U926" s="87"/>
      <c r="V926" s="87"/>
      <c r="W926" s="87"/>
      <c r="X926" s="87"/>
      <c r="Y926" s="87"/>
      <c r="Z926" s="87"/>
    </row>
    <row r="927">
      <c r="A927" s="96"/>
      <c r="B927" s="96"/>
      <c r="C927" s="98"/>
      <c r="D927" s="98"/>
      <c r="E927" s="100"/>
      <c r="F927" s="100"/>
      <c r="G927" s="101"/>
      <c r="H927" s="100"/>
      <c r="I927" s="100"/>
      <c r="J927" s="46"/>
      <c r="K927" s="101"/>
      <c r="L927" s="101"/>
      <c r="M927" s="87"/>
      <c r="N927" s="87"/>
      <c r="O927" s="87"/>
      <c r="P927" s="87"/>
      <c r="Q927" s="87"/>
      <c r="R927" s="87"/>
      <c r="S927" s="87"/>
      <c r="T927" s="87"/>
      <c r="U927" s="87"/>
      <c r="V927" s="87"/>
      <c r="W927" s="87"/>
      <c r="X927" s="87"/>
      <c r="Y927" s="87"/>
      <c r="Z927" s="87"/>
    </row>
    <row r="928">
      <c r="A928" s="96"/>
      <c r="B928" s="96"/>
      <c r="C928" s="98"/>
      <c r="D928" s="98"/>
      <c r="E928" s="100"/>
      <c r="F928" s="100"/>
      <c r="G928" s="101"/>
      <c r="H928" s="100"/>
      <c r="I928" s="100"/>
      <c r="J928" s="46"/>
      <c r="K928" s="101"/>
      <c r="L928" s="101"/>
      <c r="M928" s="87"/>
      <c r="N928" s="87"/>
      <c r="O928" s="87"/>
      <c r="P928" s="87"/>
      <c r="Q928" s="87"/>
      <c r="R928" s="87"/>
      <c r="S928" s="87"/>
      <c r="T928" s="87"/>
      <c r="U928" s="87"/>
      <c r="V928" s="87"/>
      <c r="W928" s="87"/>
      <c r="X928" s="87"/>
      <c r="Y928" s="87"/>
      <c r="Z928" s="87"/>
    </row>
    <row r="929">
      <c r="A929" s="96"/>
      <c r="B929" s="96"/>
      <c r="C929" s="98"/>
      <c r="D929" s="98"/>
      <c r="E929" s="100"/>
      <c r="F929" s="100"/>
      <c r="G929" s="101"/>
      <c r="H929" s="100"/>
      <c r="I929" s="100"/>
      <c r="J929" s="46"/>
      <c r="K929" s="101"/>
      <c r="L929" s="101"/>
      <c r="M929" s="87"/>
      <c r="N929" s="87"/>
      <c r="O929" s="87"/>
      <c r="P929" s="87"/>
      <c r="Q929" s="87"/>
      <c r="R929" s="87"/>
      <c r="S929" s="87"/>
      <c r="T929" s="87"/>
      <c r="U929" s="87"/>
      <c r="V929" s="87"/>
      <c r="W929" s="87"/>
      <c r="X929" s="87"/>
      <c r="Y929" s="87"/>
      <c r="Z929" s="87"/>
    </row>
    <row r="930">
      <c r="A930" s="96"/>
      <c r="B930" s="96"/>
      <c r="C930" s="98"/>
      <c r="D930" s="98"/>
      <c r="E930" s="100"/>
      <c r="F930" s="100"/>
      <c r="G930" s="101"/>
      <c r="H930" s="100"/>
      <c r="I930" s="100"/>
      <c r="J930" s="46"/>
      <c r="K930" s="101"/>
      <c r="L930" s="101"/>
      <c r="M930" s="87"/>
      <c r="N930" s="87"/>
      <c r="O930" s="87"/>
      <c r="P930" s="87"/>
      <c r="Q930" s="87"/>
      <c r="R930" s="87"/>
      <c r="S930" s="87"/>
      <c r="T930" s="87"/>
      <c r="U930" s="87"/>
      <c r="V930" s="87"/>
      <c r="W930" s="87"/>
      <c r="X930" s="87"/>
      <c r="Y930" s="87"/>
      <c r="Z930" s="87"/>
    </row>
    <row r="931">
      <c r="A931" s="96"/>
      <c r="B931" s="96"/>
      <c r="C931" s="98"/>
      <c r="D931" s="98"/>
      <c r="E931" s="100"/>
      <c r="F931" s="100"/>
      <c r="G931" s="101"/>
      <c r="H931" s="100"/>
      <c r="I931" s="100"/>
      <c r="J931" s="46"/>
      <c r="K931" s="101"/>
      <c r="L931" s="101"/>
      <c r="M931" s="87"/>
      <c r="N931" s="87"/>
      <c r="O931" s="87"/>
      <c r="P931" s="87"/>
      <c r="Q931" s="87"/>
      <c r="R931" s="87"/>
      <c r="S931" s="87"/>
      <c r="T931" s="87"/>
      <c r="U931" s="87"/>
      <c r="V931" s="87"/>
      <c r="W931" s="87"/>
      <c r="X931" s="87"/>
      <c r="Y931" s="87"/>
      <c r="Z931" s="87"/>
    </row>
    <row r="932">
      <c r="A932" s="96"/>
      <c r="B932" s="96"/>
      <c r="C932" s="98"/>
      <c r="D932" s="98"/>
      <c r="E932" s="100"/>
      <c r="F932" s="100"/>
      <c r="G932" s="101"/>
      <c r="H932" s="100"/>
      <c r="I932" s="100"/>
      <c r="J932" s="46"/>
      <c r="K932" s="101"/>
      <c r="L932" s="101"/>
      <c r="M932" s="87"/>
      <c r="N932" s="87"/>
      <c r="O932" s="87"/>
      <c r="P932" s="87"/>
      <c r="Q932" s="87"/>
      <c r="R932" s="87"/>
      <c r="S932" s="87"/>
      <c r="T932" s="87"/>
      <c r="U932" s="87"/>
      <c r="V932" s="87"/>
      <c r="W932" s="87"/>
      <c r="X932" s="87"/>
      <c r="Y932" s="87"/>
      <c r="Z932" s="87"/>
    </row>
    <row r="933">
      <c r="A933" s="96"/>
      <c r="B933" s="96"/>
      <c r="C933" s="98"/>
      <c r="D933" s="98"/>
      <c r="E933" s="100"/>
      <c r="F933" s="100"/>
      <c r="G933" s="101"/>
      <c r="H933" s="100"/>
      <c r="I933" s="100"/>
      <c r="J933" s="46"/>
      <c r="K933" s="101"/>
      <c r="L933" s="101"/>
      <c r="M933" s="87"/>
      <c r="N933" s="87"/>
      <c r="O933" s="87"/>
      <c r="P933" s="87"/>
      <c r="Q933" s="87"/>
      <c r="R933" s="87"/>
      <c r="S933" s="87"/>
      <c r="T933" s="87"/>
      <c r="U933" s="87"/>
      <c r="V933" s="87"/>
      <c r="W933" s="87"/>
      <c r="X933" s="87"/>
      <c r="Y933" s="87"/>
      <c r="Z933" s="87"/>
    </row>
    <row r="934">
      <c r="A934" s="96"/>
      <c r="B934" s="96"/>
      <c r="C934" s="98"/>
      <c r="D934" s="98"/>
      <c r="E934" s="100"/>
      <c r="F934" s="100"/>
      <c r="G934" s="101"/>
      <c r="H934" s="100"/>
      <c r="I934" s="100"/>
      <c r="J934" s="46"/>
      <c r="K934" s="101"/>
      <c r="L934" s="101"/>
      <c r="M934" s="87"/>
      <c r="N934" s="87"/>
      <c r="O934" s="87"/>
      <c r="P934" s="87"/>
      <c r="Q934" s="87"/>
      <c r="R934" s="87"/>
      <c r="S934" s="87"/>
      <c r="T934" s="87"/>
      <c r="U934" s="87"/>
      <c r="V934" s="87"/>
      <c r="W934" s="87"/>
      <c r="X934" s="87"/>
      <c r="Y934" s="87"/>
      <c r="Z934" s="87"/>
    </row>
    <row r="935">
      <c r="A935" s="96"/>
      <c r="B935" s="96"/>
      <c r="C935" s="98"/>
      <c r="D935" s="98"/>
      <c r="E935" s="100"/>
      <c r="F935" s="100"/>
      <c r="G935" s="101"/>
      <c r="H935" s="100"/>
      <c r="I935" s="100"/>
      <c r="J935" s="46"/>
      <c r="K935" s="101"/>
      <c r="L935" s="101"/>
      <c r="M935" s="87"/>
      <c r="N935" s="87"/>
      <c r="O935" s="87"/>
      <c r="P935" s="87"/>
      <c r="Q935" s="87"/>
      <c r="R935" s="87"/>
      <c r="S935" s="87"/>
      <c r="T935" s="87"/>
      <c r="U935" s="87"/>
      <c r="V935" s="87"/>
      <c r="W935" s="87"/>
      <c r="X935" s="87"/>
      <c r="Y935" s="87"/>
      <c r="Z935" s="87"/>
    </row>
    <row r="936">
      <c r="A936" s="96"/>
      <c r="B936" s="96"/>
      <c r="C936" s="98"/>
      <c r="D936" s="98"/>
      <c r="E936" s="100"/>
      <c r="F936" s="100"/>
      <c r="G936" s="101"/>
      <c r="H936" s="100"/>
      <c r="I936" s="100"/>
      <c r="J936" s="46"/>
      <c r="K936" s="101"/>
      <c r="L936" s="101"/>
      <c r="M936" s="87"/>
      <c r="N936" s="87"/>
      <c r="O936" s="87"/>
      <c r="P936" s="87"/>
      <c r="Q936" s="87"/>
      <c r="R936" s="87"/>
      <c r="S936" s="87"/>
      <c r="T936" s="87"/>
      <c r="U936" s="87"/>
      <c r="V936" s="87"/>
      <c r="W936" s="87"/>
      <c r="X936" s="87"/>
      <c r="Y936" s="87"/>
      <c r="Z936" s="87"/>
    </row>
    <row r="937">
      <c r="A937" s="96"/>
      <c r="B937" s="96"/>
      <c r="C937" s="98"/>
      <c r="D937" s="98"/>
      <c r="E937" s="100"/>
      <c r="F937" s="100"/>
      <c r="G937" s="101"/>
      <c r="H937" s="100"/>
      <c r="I937" s="100"/>
      <c r="J937" s="46"/>
      <c r="K937" s="101"/>
      <c r="L937" s="101"/>
      <c r="M937" s="87"/>
      <c r="N937" s="87"/>
      <c r="O937" s="87"/>
      <c r="P937" s="87"/>
      <c r="Q937" s="87"/>
      <c r="R937" s="87"/>
      <c r="S937" s="87"/>
      <c r="T937" s="87"/>
      <c r="U937" s="87"/>
      <c r="V937" s="87"/>
      <c r="W937" s="87"/>
      <c r="X937" s="87"/>
      <c r="Y937" s="87"/>
      <c r="Z937" s="87"/>
    </row>
    <row r="938">
      <c r="A938" s="96"/>
      <c r="B938" s="96"/>
      <c r="C938" s="98"/>
      <c r="D938" s="98"/>
      <c r="E938" s="100"/>
      <c r="F938" s="100"/>
      <c r="G938" s="101"/>
      <c r="H938" s="100"/>
      <c r="I938" s="100"/>
      <c r="J938" s="46"/>
      <c r="K938" s="101"/>
      <c r="L938" s="101"/>
      <c r="M938" s="87"/>
      <c r="N938" s="87"/>
      <c r="O938" s="87"/>
      <c r="P938" s="87"/>
      <c r="Q938" s="87"/>
      <c r="R938" s="87"/>
      <c r="S938" s="87"/>
      <c r="T938" s="87"/>
      <c r="U938" s="87"/>
      <c r="V938" s="87"/>
      <c r="W938" s="87"/>
      <c r="X938" s="87"/>
      <c r="Y938" s="87"/>
      <c r="Z938" s="87"/>
    </row>
    <row r="939">
      <c r="A939" s="96"/>
      <c r="B939" s="96"/>
      <c r="C939" s="98"/>
      <c r="D939" s="98"/>
      <c r="E939" s="100"/>
      <c r="F939" s="100"/>
      <c r="G939" s="101"/>
      <c r="H939" s="100"/>
      <c r="I939" s="100"/>
      <c r="J939" s="46"/>
      <c r="K939" s="101"/>
      <c r="L939" s="101"/>
      <c r="M939" s="87"/>
      <c r="N939" s="87"/>
      <c r="O939" s="87"/>
      <c r="P939" s="87"/>
      <c r="Q939" s="87"/>
      <c r="R939" s="87"/>
      <c r="S939" s="87"/>
      <c r="T939" s="87"/>
      <c r="U939" s="87"/>
      <c r="V939" s="87"/>
      <c r="W939" s="87"/>
      <c r="X939" s="87"/>
      <c r="Y939" s="87"/>
      <c r="Z939" s="87"/>
    </row>
    <row r="940">
      <c r="A940" s="96"/>
      <c r="B940" s="96"/>
      <c r="C940" s="98"/>
      <c r="D940" s="98"/>
      <c r="E940" s="100"/>
      <c r="F940" s="100"/>
      <c r="G940" s="101"/>
      <c r="H940" s="100"/>
      <c r="I940" s="100"/>
      <c r="J940" s="46"/>
      <c r="K940" s="101"/>
      <c r="L940" s="101"/>
      <c r="M940" s="87"/>
      <c r="N940" s="87"/>
      <c r="O940" s="87"/>
      <c r="P940" s="87"/>
      <c r="Q940" s="87"/>
      <c r="R940" s="87"/>
      <c r="S940" s="87"/>
      <c r="T940" s="87"/>
      <c r="U940" s="87"/>
      <c r="V940" s="87"/>
      <c r="W940" s="87"/>
      <c r="X940" s="87"/>
      <c r="Y940" s="87"/>
      <c r="Z940" s="87"/>
    </row>
    <row r="941">
      <c r="A941" s="96"/>
      <c r="B941" s="96"/>
      <c r="C941" s="98"/>
      <c r="D941" s="98"/>
      <c r="E941" s="100"/>
      <c r="F941" s="100"/>
      <c r="G941" s="101"/>
      <c r="H941" s="100"/>
      <c r="I941" s="100"/>
      <c r="J941" s="46"/>
      <c r="K941" s="101"/>
      <c r="L941" s="101"/>
      <c r="M941" s="87"/>
      <c r="N941" s="87"/>
      <c r="O941" s="87"/>
      <c r="P941" s="87"/>
      <c r="Q941" s="87"/>
      <c r="R941" s="87"/>
      <c r="S941" s="87"/>
      <c r="T941" s="87"/>
      <c r="U941" s="87"/>
      <c r="V941" s="87"/>
      <c r="W941" s="87"/>
      <c r="X941" s="87"/>
      <c r="Y941" s="87"/>
      <c r="Z941" s="87"/>
    </row>
    <row r="942">
      <c r="A942" s="96"/>
      <c r="B942" s="96"/>
      <c r="C942" s="98"/>
      <c r="D942" s="98"/>
      <c r="E942" s="100"/>
      <c r="F942" s="100"/>
      <c r="G942" s="101"/>
      <c r="H942" s="100"/>
      <c r="I942" s="100"/>
      <c r="J942" s="46"/>
      <c r="K942" s="101"/>
      <c r="L942" s="101"/>
      <c r="M942" s="87"/>
      <c r="N942" s="87"/>
      <c r="O942" s="87"/>
      <c r="P942" s="87"/>
      <c r="Q942" s="87"/>
      <c r="R942" s="87"/>
      <c r="S942" s="87"/>
      <c r="T942" s="87"/>
      <c r="U942" s="87"/>
      <c r="V942" s="87"/>
      <c r="W942" s="87"/>
      <c r="X942" s="87"/>
      <c r="Y942" s="87"/>
      <c r="Z942" s="87"/>
    </row>
    <row r="943">
      <c r="A943" s="96"/>
      <c r="B943" s="96"/>
      <c r="C943" s="98"/>
      <c r="D943" s="98"/>
      <c r="E943" s="100"/>
      <c r="F943" s="100"/>
      <c r="G943" s="101"/>
      <c r="H943" s="100"/>
      <c r="I943" s="100"/>
      <c r="J943" s="46"/>
      <c r="K943" s="101"/>
      <c r="L943" s="101"/>
      <c r="M943" s="87"/>
      <c r="N943" s="87"/>
      <c r="O943" s="87"/>
      <c r="P943" s="87"/>
      <c r="Q943" s="87"/>
      <c r="R943" s="87"/>
      <c r="S943" s="87"/>
      <c r="T943" s="87"/>
      <c r="U943" s="87"/>
      <c r="V943" s="87"/>
      <c r="W943" s="87"/>
      <c r="X943" s="87"/>
      <c r="Y943" s="87"/>
      <c r="Z943" s="87"/>
    </row>
    <row r="944">
      <c r="A944" s="96"/>
      <c r="B944" s="96"/>
      <c r="C944" s="98"/>
      <c r="D944" s="98"/>
      <c r="E944" s="100"/>
      <c r="F944" s="100"/>
      <c r="G944" s="101"/>
      <c r="H944" s="100"/>
      <c r="I944" s="100"/>
      <c r="J944" s="46"/>
      <c r="K944" s="101"/>
      <c r="L944" s="101"/>
      <c r="M944" s="87"/>
      <c r="N944" s="87"/>
      <c r="O944" s="87"/>
      <c r="P944" s="87"/>
      <c r="Q944" s="87"/>
      <c r="R944" s="87"/>
      <c r="S944" s="87"/>
      <c r="T944" s="87"/>
      <c r="U944" s="87"/>
      <c r="V944" s="87"/>
      <c r="W944" s="87"/>
      <c r="X944" s="87"/>
      <c r="Y944" s="87"/>
      <c r="Z944" s="87"/>
    </row>
    <row r="945">
      <c r="A945" s="96"/>
      <c r="B945" s="96"/>
      <c r="C945" s="98"/>
      <c r="D945" s="98"/>
      <c r="E945" s="100"/>
      <c r="F945" s="100"/>
      <c r="G945" s="101"/>
      <c r="H945" s="100"/>
      <c r="I945" s="100"/>
      <c r="J945" s="46"/>
      <c r="K945" s="101"/>
      <c r="L945" s="101"/>
      <c r="M945" s="87"/>
      <c r="N945" s="87"/>
      <c r="O945" s="87"/>
      <c r="P945" s="87"/>
      <c r="Q945" s="87"/>
      <c r="R945" s="87"/>
      <c r="S945" s="87"/>
      <c r="T945" s="87"/>
      <c r="U945" s="87"/>
      <c r="V945" s="87"/>
      <c r="W945" s="87"/>
      <c r="X945" s="87"/>
      <c r="Y945" s="87"/>
      <c r="Z945" s="87"/>
    </row>
    <row r="946">
      <c r="A946" s="96"/>
      <c r="B946" s="96"/>
      <c r="C946" s="98"/>
      <c r="D946" s="98"/>
      <c r="E946" s="100"/>
      <c r="F946" s="100"/>
      <c r="G946" s="101"/>
      <c r="H946" s="100"/>
      <c r="I946" s="100"/>
      <c r="J946" s="46"/>
      <c r="K946" s="101"/>
      <c r="L946" s="101"/>
      <c r="M946" s="87"/>
      <c r="N946" s="87"/>
      <c r="O946" s="87"/>
      <c r="P946" s="87"/>
      <c r="Q946" s="87"/>
      <c r="R946" s="87"/>
      <c r="S946" s="87"/>
      <c r="T946" s="87"/>
      <c r="U946" s="87"/>
      <c r="V946" s="87"/>
      <c r="W946" s="87"/>
      <c r="X946" s="87"/>
      <c r="Y946" s="87"/>
      <c r="Z946" s="87"/>
    </row>
    <row r="947">
      <c r="A947" s="96"/>
      <c r="B947" s="96"/>
      <c r="C947" s="98"/>
      <c r="D947" s="98"/>
      <c r="E947" s="100"/>
      <c r="F947" s="100"/>
      <c r="G947" s="101"/>
      <c r="H947" s="100"/>
      <c r="I947" s="100"/>
      <c r="J947" s="46"/>
      <c r="K947" s="101"/>
      <c r="L947" s="101"/>
      <c r="M947" s="87"/>
      <c r="N947" s="87"/>
      <c r="O947" s="87"/>
      <c r="P947" s="87"/>
      <c r="Q947" s="87"/>
      <c r="R947" s="87"/>
      <c r="S947" s="87"/>
      <c r="T947" s="87"/>
      <c r="U947" s="87"/>
      <c r="V947" s="87"/>
      <c r="W947" s="87"/>
      <c r="X947" s="87"/>
      <c r="Y947" s="87"/>
      <c r="Z947" s="87"/>
    </row>
    <row r="948">
      <c r="A948" s="96"/>
      <c r="B948" s="96"/>
      <c r="C948" s="98"/>
      <c r="D948" s="98"/>
      <c r="E948" s="100"/>
      <c r="F948" s="100"/>
      <c r="G948" s="101"/>
      <c r="H948" s="100"/>
      <c r="I948" s="100"/>
      <c r="J948" s="46"/>
      <c r="K948" s="101"/>
      <c r="L948" s="101"/>
      <c r="M948" s="87"/>
      <c r="N948" s="87"/>
      <c r="O948" s="87"/>
      <c r="P948" s="87"/>
      <c r="Q948" s="87"/>
      <c r="R948" s="87"/>
      <c r="S948" s="87"/>
      <c r="T948" s="87"/>
      <c r="U948" s="87"/>
      <c r="V948" s="87"/>
      <c r="W948" s="87"/>
      <c r="X948" s="87"/>
      <c r="Y948" s="87"/>
      <c r="Z948" s="87"/>
    </row>
    <row r="949">
      <c r="A949" s="96"/>
      <c r="B949" s="96"/>
      <c r="C949" s="98"/>
      <c r="D949" s="98"/>
      <c r="E949" s="100"/>
      <c r="F949" s="100"/>
      <c r="G949" s="101"/>
      <c r="H949" s="100"/>
      <c r="I949" s="100"/>
      <c r="J949" s="46"/>
      <c r="K949" s="101"/>
      <c r="L949" s="101"/>
      <c r="M949" s="87"/>
      <c r="N949" s="87"/>
      <c r="O949" s="87"/>
      <c r="P949" s="87"/>
      <c r="Q949" s="87"/>
      <c r="R949" s="87"/>
      <c r="S949" s="87"/>
      <c r="T949" s="87"/>
      <c r="U949" s="87"/>
      <c r="V949" s="87"/>
      <c r="W949" s="87"/>
      <c r="X949" s="87"/>
      <c r="Y949" s="87"/>
      <c r="Z949" s="87"/>
    </row>
    <row r="950">
      <c r="A950" s="96"/>
      <c r="B950" s="96"/>
      <c r="C950" s="98"/>
      <c r="D950" s="98"/>
      <c r="E950" s="100"/>
      <c r="F950" s="100"/>
      <c r="G950" s="101"/>
      <c r="H950" s="100"/>
      <c r="I950" s="100"/>
      <c r="J950" s="46"/>
      <c r="K950" s="101"/>
      <c r="L950" s="101"/>
      <c r="M950" s="87"/>
      <c r="N950" s="87"/>
      <c r="O950" s="87"/>
      <c r="P950" s="87"/>
      <c r="Q950" s="87"/>
      <c r="R950" s="87"/>
      <c r="S950" s="87"/>
      <c r="T950" s="87"/>
      <c r="U950" s="87"/>
      <c r="V950" s="87"/>
      <c r="W950" s="87"/>
      <c r="X950" s="87"/>
      <c r="Y950" s="87"/>
      <c r="Z950" s="87"/>
    </row>
    <row r="951">
      <c r="A951" s="96"/>
      <c r="B951" s="96"/>
      <c r="C951" s="98"/>
      <c r="D951" s="98"/>
      <c r="E951" s="100"/>
      <c r="F951" s="100"/>
      <c r="G951" s="101"/>
      <c r="H951" s="100"/>
      <c r="I951" s="100"/>
      <c r="J951" s="46"/>
      <c r="K951" s="101"/>
      <c r="L951" s="101"/>
      <c r="M951" s="87"/>
      <c r="N951" s="87"/>
      <c r="O951" s="87"/>
      <c r="P951" s="87"/>
      <c r="Q951" s="87"/>
      <c r="R951" s="87"/>
      <c r="S951" s="87"/>
      <c r="T951" s="87"/>
      <c r="U951" s="87"/>
      <c r="V951" s="87"/>
      <c r="W951" s="87"/>
      <c r="X951" s="87"/>
      <c r="Y951" s="87"/>
      <c r="Z951" s="87"/>
    </row>
    <row r="952">
      <c r="A952" s="96"/>
      <c r="B952" s="96"/>
      <c r="C952" s="98"/>
      <c r="D952" s="98"/>
      <c r="E952" s="100"/>
      <c r="F952" s="100"/>
      <c r="G952" s="101"/>
      <c r="H952" s="100"/>
      <c r="I952" s="100"/>
      <c r="J952" s="46"/>
      <c r="K952" s="101"/>
      <c r="L952" s="101"/>
      <c r="M952" s="87"/>
      <c r="N952" s="87"/>
      <c r="O952" s="87"/>
      <c r="P952" s="87"/>
      <c r="Q952" s="87"/>
      <c r="R952" s="87"/>
      <c r="S952" s="87"/>
      <c r="T952" s="87"/>
      <c r="U952" s="87"/>
      <c r="V952" s="87"/>
      <c r="W952" s="87"/>
      <c r="X952" s="87"/>
      <c r="Y952" s="87"/>
      <c r="Z952" s="87"/>
    </row>
    <row r="953">
      <c r="A953" s="96"/>
      <c r="B953" s="96"/>
      <c r="C953" s="98"/>
      <c r="D953" s="98"/>
      <c r="E953" s="100"/>
      <c r="F953" s="100"/>
      <c r="G953" s="101"/>
      <c r="H953" s="100"/>
      <c r="I953" s="100"/>
      <c r="J953" s="46"/>
      <c r="K953" s="101"/>
      <c r="L953" s="101"/>
      <c r="M953" s="87"/>
      <c r="N953" s="87"/>
      <c r="O953" s="87"/>
      <c r="P953" s="87"/>
      <c r="Q953" s="87"/>
      <c r="R953" s="87"/>
      <c r="S953" s="87"/>
      <c r="T953" s="87"/>
      <c r="U953" s="87"/>
      <c r="V953" s="87"/>
      <c r="W953" s="87"/>
      <c r="X953" s="87"/>
      <c r="Y953" s="87"/>
      <c r="Z953" s="87"/>
    </row>
    <row r="954">
      <c r="A954" s="96"/>
      <c r="B954" s="96"/>
      <c r="C954" s="98"/>
      <c r="D954" s="98"/>
      <c r="E954" s="100"/>
      <c r="F954" s="100"/>
      <c r="G954" s="101"/>
      <c r="H954" s="100"/>
      <c r="I954" s="100"/>
      <c r="J954" s="46"/>
      <c r="K954" s="101"/>
      <c r="L954" s="101"/>
      <c r="M954" s="87"/>
      <c r="N954" s="87"/>
      <c r="O954" s="87"/>
      <c r="P954" s="87"/>
      <c r="Q954" s="87"/>
      <c r="R954" s="87"/>
      <c r="S954" s="87"/>
      <c r="T954" s="87"/>
      <c r="U954" s="87"/>
      <c r="V954" s="87"/>
      <c r="W954" s="87"/>
      <c r="X954" s="87"/>
      <c r="Y954" s="87"/>
      <c r="Z954" s="87"/>
    </row>
    <row r="955">
      <c r="A955" s="96"/>
      <c r="B955" s="96"/>
      <c r="C955" s="98"/>
      <c r="D955" s="98"/>
      <c r="E955" s="100"/>
      <c r="F955" s="100"/>
      <c r="G955" s="101"/>
      <c r="H955" s="100"/>
      <c r="I955" s="100"/>
      <c r="J955" s="46"/>
      <c r="K955" s="101"/>
      <c r="L955" s="101"/>
      <c r="M955" s="87"/>
      <c r="N955" s="87"/>
      <c r="O955" s="87"/>
      <c r="P955" s="87"/>
      <c r="Q955" s="87"/>
      <c r="R955" s="87"/>
      <c r="S955" s="87"/>
      <c r="T955" s="87"/>
      <c r="U955" s="87"/>
      <c r="V955" s="87"/>
      <c r="W955" s="87"/>
      <c r="X955" s="87"/>
      <c r="Y955" s="87"/>
      <c r="Z955" s="87"/>
    </row>
    <row r="956">
      <c r="A956" s="96"/>
      <c r="B956" s="96"/>
      <c r="C956" s="98"/>
      <c r="D956" s="98"/>
      <c r="E956" s="100"/>
      <c r="F956" s="100"/>
      <c r="G956" s="101"/>
      <c r="H956" s="100"/>
      <c r="I956" s="100"/>
      <c r="J956" s="46"/>
      <c r="K956" s="101"/>
      <c r="L956" s="101"/>
      <c r="M956" s="87"/>
      <c r="N956" s="87"/>
      <c r="O956" s="87"/>
      <c r="P956" s="87"/>
      <c r="Q956" s="87"/>
      <c r="R956" s="87"/>
      <c r="S956" s="87"/>
      <c r="T956" s="87"/>
      <c r="U956" s="87"/>
      <c r="V956" s="87"/>
      <c r="W956" s="87"/>
      <c r="X956" s="87"/>
      <c r="Y956" s="87"/>
      <c r="Z956" s="87"/>
    </row>
    <row r="957">
      <c r="A957" s="96"/>
      <c r="B957" s="96"/>
      <c r="C957" s="98"/>
      <c r="D957" s="98"/>
      <c r="E957" s="100"/>
      <c r="F957" s="100"/>
      <c r="G957" s="101"/>
      <c r="H957" s="100"/>
      <c r="I957" s="100"/>
      <c r="J957" s="46"/>
      <c r="K957" s="101"/>
      <c r="L957" s="101"/>
      <c r="M957" s="87"/>
      <c r="N957" s="87"/>
      <c r="O957" s="87"/>
      <c r="P957" s="87"/>
      <c r="Q957" s="87"/>
      <c r="R957" s="87"/>
      <c r="S957" s="87"/>
      <c r="T957" s="87"/>
      <c r="U957" s="87"/>
      <c r="V957" s="87"/>
      <c r="W957" s="87"/>
      <c r="X957" s="87"/>
      <c r="Y957" s="87"/>
      <c r="Z957" s="87"/>
    </row>
    <row r="958">
      <c r="A958" s="96"/>
      <c r="B958" s="96"/>
      <c r="C958" s="98"/>
      <c r="D958" s="98"/>
      <c r="E958" s="100"/>
      <c r="F958" s="100"/>
      <c r="G958" s="101"/>
      <c r="H958" s="100"/>
      <c r="I958" s="100"/>
      <c r="J958" s="46"/>
      <c r="K958" s="101"/>
      <c r="L958" s="101"/>
      <c r="M958" s="87"/>
      <c r="N958" s="87"/>
      <c r="O958" s="87"/>
      <c r="P958" s="87"/>
      <c r="Q958" s="87"/>
      <c r="R958" s="87"/>
      <c r="S958" s="87"/>
      <c r="T958" s="87"/>
      <c r="U958" s="87"/>
      <c r="V958" s="87"/>
      <c r="W958" s="87"/>
      <c r="X958" s="87"/>
      <c r="Y958" s="87"/>
      <c r="Z958" s="87"/>
    </row>
    <row r="959">
      <c r="A959" s="96"/>
      <c r="B959" s="96"/>
      <c r="C959" s="98"/>
      <c r="D959" s="98"/>
      <c r="E959" s="100"/>
      <c r="F959" s="100"/>
      <c r="G959" s="101"/>
      <c r="H959" s="100"/>
      <c r="I959" s="100"/>
      <c r="J959" s="46"/>
      <c r="K959" s="101"/>
      <c r="L959" s="101"/>
      <c r="M959" s="87"/>
      <c r="N959" s="87"/>
      <c r="O959" s="87"/>
      <c r="P959" s="87"/>
      <c r="Q959" s="87"/>
      <c r="R959" s="87"/>
      <c r="S959" s="87"/>
      <c r="T959" s="87"/>
      <c r="U959" s="87"/>
      <c r="V959" s="87"/>
      <c r="W959" s="87"/>
      <c r="X959" s="87"/>
      <c r="Y959" s="87"/>
      <c r="Z959" s="87"/>
    </row>
    <row r="960">
      <c r="A960" s="96"/>
      <c r="B960" s="96"/>
      <c r="C960" s="98"/>
      <c r="D960" s="98"/>
      <c r="E960" s="100"/>
      <c r="F960" s="100"/>
      <c r="G960" s="101"/>
      <c r="H960" s="100"/>
      <c r="I960" s="100"/>
      <c r="J960" s="46"/>
      <c r="K960" s="101"/>
      <c r="L960" s="101"/>
      <c r="M960" s="87"/>
      <c r="N960" s="87"/>
      <c r="O960" s="87"/>
      <c r="P960" s="87"/>
      <c r="Q960" s="87"/>
      <c r="R960" s="87"/>
      <c r="S960" s="87"/>
      <c r="T960" s="87"/>
      <c r="U960" s="87"/>
      <c r="V960" s="87"/>
      <c r="W960" s="87"/>
      <c r="X960" s="87"/>
      <c r="Y960" s="87"/>
      <c r="Z960" s="87"/>
    </row>
    <row r="961">
      <c r="A961" s="96"/>
      <c r="B961" s="96"/>
      <c r="C961" s="98"/>
      <c r="D961" s="98"/>
      <c r="E961" s="100"/>
      <c r="F961" s="100"/>
      <c r="G961" s="101"/>
      <c r="H961" s="100"/>
      <c r="I961" s="100"/>
      <c r="J961" s="46"/>
      <c r="K961" s="101"/>
      <c r="L961" s="101"/>
      <c r="M961" s="87"/>
      <c r="N961" s="87"/>
      <c r="O961" s="87"/>
      <c r="P961" s="87"/>
      <c r="Q961" s="87"/>
      <c r="R961" s="87"/>
      <c r="S961" s="87"/>
      <c r="T961" s="87"/>
      <c r="U961" s="87"/>
      <c r="V961" s="87"/>
      <c r="W961" s="87"/>
      <c r="X961" s="87"/>
      <c r="Y961" s="87"/>
      <c r="Z961" s="87"/>
    </row>
    <row r="962">
      <c r="A962" s="96"/>
      <c r="B962" s="96"/>
      <c r="C962" s="98"/>
      <c r="D962" s="98"/>
      <c r="E962" s="100"/>
      <c r="F962" s="100"/>
      <c r="G962" s="101"/>
      <c r="H962" s="100"/>
      <c r="I962" s="100"/>
      <c r="J962" s="46"/>
      <c r="K962" s="101"/>
      <c r="L962" s="101"/>
      <c r="M962" s="87"/>
      <c r="N962" s="87"/>
      <c r="O962" s="87"/>
      <c r="P962" s="87"/>
      <c r="Q962" s="87"/>
      <c r="R962" s="87"/>
      <c r="S962" s="87"/>
      <c r="T962" s="87"/>
      <c r="U962" s="87"/>
      <c r="V962" s="87"/>
      <c r="W962" s="87"/>
      <c r="X962" s="87"/>
      <c r="Y962" s="87"/>
      <c r="Z962" s="87"/>
    </row>
    <row r="963">
      <c r="A963" s="96"/>
      <c r="B963" s="96"/>
      <c r="C963" s="98"/>
      <c r="D963" s="98"/>
      <c r="E963" s="100"/>
      <c r="F963" s="100"/>
      <c r="G963" s="101"/>
      <c r="H963" s="100"/>
      <c r="I963" s="100"/>
      <c r="J963" s="46"/>
      <c r="K963" s="101"/>
      <c r="L963" s="101"/>
      <c r="M963" s="87"/>
      <c r="N963" s="87"/>
      <c r="O963" s="87"/>
      <c r="P963" s="87"/>
      <c r="Q963" s="87"/>
      <c r="R963" s="87"/>
      <c r="S963" s="87"/>
      <c r="T963" s="87"/>
      <c r="U963" s="87"/>
      <c r="V963" s="87"/>
      <c r="W963" s="87"/>
      <c r="X963" s="87"/>
      <c r="Y963" s="87"/>
      <c r="Z963" s="87"/>
    </row>
    <row r="964">
      <c r="A964" s="96"/>
      <c r="B964" s="96"/>
      <c r="C964" s="98"/>
      <c r="D964" s="98"/>
      <c r="E964" s="100"/>
      <c r="F964" s="100"/>
      <c r="G964" s="101"/>
      <c r="H964" s="100"/>
      <c r="I964" s="100"/>
      <c r="J964" s="46"/>
      <c r="K964" s="101"/>
      <c r="L964" s="101"/>
      <c r="M964" s="87"/>
      <c r="N964" s="87"/>
      <c r="O964" s="87"/>
      <c r="P964" s="87"/>
      <c r="Q964" s="87"/>
      <c r="R964" s="87"/>
      <c r="S964" s="87"/>
      <c r="T964" s="87"/>
      <c r="U964" s="87"/>
      <c r="V964" s="87"/>
      <c r="W964" s="87"/>
      <c r="X964" s="87"/>
      <c r="Y964" s="87"/>
      <c r="Z964" s="87"/>
    </row>
    <row r="965">
      <c r="A965" s="96"/>
      <c r="B965" s="96"/>
      <c r="C965" s="98"/>
      <c r="D965" s="98"/>
      <c r="E965" s="100"/>
      <c r="F965" s="100"/>
      <c r="G965" s="101"/>
      <c r="H965" s="100"/>
      <c r="I965" s="100"/>
      <c r="J965" s="46"/>
      <c r="K965" s="101"/>
      <c r="L965" s="101"/>
      <c r="M965" s="87"/>
      <c r="N965" s="87"/>
      <c r="O965" s="87"/>
      <c r="P965" s="87"/>
      <c r="Q965" s="87"/>
      <c r="R965" s="87"/>
      <c r="S965" s="87"/>
      <c r="T965" s="87"/>
      <c r="U965" s="87"/>
      <c r="V965" s="87"/>
      <c r="W965" s="87"/>
      <c r="X965" s="87"/>
      <c r="Y965" s="87"/>
      <c r="Z965" s="87"/>
    </row>
    <row r="966">
      <c r="A966" s="96"/>
      <c r="B966" s="96"/>
      <c r="C966" s="98"/>
      <c r="D966" s="98"/>
      <c r="E966" s="100"/>
      <c r="F966" s="100"/>
      <c r="G966" s="101"/>
      <c r="H966" s="100"/>
      <c r="I966" s="100"/>
      <c r="J966" s="46"/>
      <c r="K966" s="101"/>
      <c r="L966" s="101"/>
      <c r="M966" s="87"/>
      <c r="N966" s="87"/>
      <c r="O966" s="87"/>
      <c r="P966" s="87"/>
      <c r="Q966" s="87"/>
      <c r="R966" s="87"/>
      <c r="S966" s="87"/>
      <c r="T966" s="87"/>
      <c r="U966" s="87"/>
      <c r="V966" s="87"/>
      <c r="W966" s="87"/>
      <c r="X966" s="87"/>
      <c r="Y966" s="87"/>
      <c r="Z966" s="87"/>
    </row>
    <row r="967">
      <c r="A967" s="96"/>
      <c r="B967" s="96"/>
      <c r="C967" s="98"/>
      <c r="D967" s="98"/>
      <c r="E967" s="100"/>
      <c r="F967" s="100"/>
      <c r="G967" s="101"/>
      <c r="H967" s="100"/>
      <c r="I967" s="100"/>
      <c r="J967" s="46"/>
      <c r="K967" s="101"/>
      <c r="L967" s="101"/>
      <c r="M967" s="87"/>
      <c r="N967" s="87"/>
      <c r="O967" s="87"/>
      <c r="P967" s="87"/>
      <c r="Q967" s="87"/>
      <c r="R967" s="87"/>
      <c r="S967" s="87"/>
      <c r="T967" s="87"/>
      <c r="U967" s="87"/>
      <c r="V967" s="87"/>
      <c r="W967" s="87"/>
      <c r="X967" s="87"/>
      <c r="Y967" s="87"/>
      <c r="Z967" s="87"/>
    </row>
    <row r="968">
      <c r="A968" s="96"/>
      <c r="B968" s="96"/>
      <c r="C968" s="98"/>
      <c r="D968" s="98"/>
      <c r="E968" s="100"/>
      <c r="F968" s="100"/>
      <c r="G968" s="101"/>
      <c r="H968" s="100"/>
      <c r="I968" s="100"/>
      <c r="J968" s="46"/>
      <c r="K968" s="101"/>
      <c r="L968" s="101"/>
      <c r="M968" s="87"/>
      <c r="N968" s="87"/>
      <c r="O968" s="87"/>
      <c r="P968" s="87"/>
      <c r="Q968" s="87"/>
      <c r="R968" s="87"/>
      <c r="S968" s="87"/>
      <c r="T968" s="87"/>
      <c r="U968" s="87"/>
      <c r="V968" s="87"/>
      <c r="W968" s="87"/>
      <c r="X968" s="87"/>
      <c r="Y968" s="87"/>
      <c r="Z968" s="87"/>
    </row>
    <row r="969">
      <c r="A969" s="96"/>
      <c r="B969" s="96"/>
      <c r="C969" s="98"/>
      <c r="D969" s="98"/>
      <c r="E969" s="100"/>
      <c r="F969" s="100"/>
      <c r="G969" s="101"/>
      <c r="H969" s="100"/>
      <c r="I969" s="100"/>
      <c r="J969" s="46"/>
      <c r="K969" s="101"/>
      <c r="L969" s="101"/>
      <c r="M969" s="87"/>
      <c r="N969" s="87"/>
      <c r="O969" s="87"/>
      <c r="P969" s="87"/>
      <c r="Q969" s="87"/>
      <c r="R969" s="87"/>
      <c r="S969" s="87"/>
      <c r="T969" s="87"/>
      <c r="U969" s="87"/>
      <c r="V969" s="87"/>
      <c r="W969" s="87"/>
      <c r="X969" s="87"/>
      <c r="Y969" s="87"/>
      <c r="Z969" s="87"/>
    </row>
    <row r="970">
      <c r="A970" s="96"/>
      <c r="B970" s="96"/>
      <c r="C970" s="98"/>
      <c r="D970" s="98"/>
      <c r="E970" s="100"/>
      <c r="F970" s="100"/>
      <c r="G970" s="101"/>
      <c r="H970" s="100"/>
      <c r="I970" s="100"/>
      <c r="J970" s="46"/>
      <c r="K970" s="101"/>
      <c r="L970" s="101"/>
      <c r="M970" s="87"/>
      <c r="N970" s="87"/>
      <c r="O970" s="87"/>
      <c r="P970" s="87"/>
      <c r="Q970" s="87"/>
      <c r="R970" s="87"/>
      <c r="S970" s="87"/>
      <c r="T970" s="87"/>
      <c r="U970" s="87"/>
      <c r="V970" s="87"/>
      <c r="W970" s="87"/>
      <c r="X970" s="87"/>
      <c r="Y970" s="87"/>
      <c r="Z970" s="87"/>
    </row>
    <row r="971">
      <c r="A971" s="96"/>
      <c r="B971" s="96"/>
      <c r="C971" s="98"/>
      <c r="D971" s="98"/>
      <c r="E971" s="100"/>
      <c r="F971" s="100"/>
      <c r="G971" s="101"/>
      <c r="H971" s="100"/>
      <c r="I971" s="100"/>
      <c r="J971" s="46"/>
      <c r="K971" s="101"/>
      <c r="L971" s="101"/>
      <c r="M971" s="87"/>
      <c r="N971" s="87"/>
      <c r="O971" s="87"/>
      <c r="P971" s="87"/>
      <c r="Q971" s="87"/>
      <c r="R971" s="87"/>
      <c r="S971" s="87"/>
      <c r="T971" s="87"/>
      <c r="U971" s="87"/>
      <c r="V971" s="87"/>
      <c r="W971" s="87"/>
      <c r="X971" s="87"/>
      <c r="Y971" s="87"/>
      <c r="Z971" s="87"/>
    </row>
    <row r="972">
      <c r="A972" s="96"/>
      <c r="B972" s="96"/>
      <c r="C972" s="98"/>
      <c r="D972" s="98"/>
      <c r="E972" s="100"/>
      <c r="F972" s="100"/>
      <c r="G972" s="101"/>
      <c r="H972" s="100"/>
      <c r="I972" s="100"/>
      <c r="J972" s="46"/>
      <c r="K972" s="101"/>
      <c r="L972" s="101"/>
      <c r="M972" s="87"/>
      <c r="N972" s="87"/>
      <c r="O972" s="87"/>
      <c r="P972" s="87"/>
      <c r="Q972" s="87"/>
      <c r="R972" s="87"/>
      <c r="S972" s="87"/>
      <c r="T972" s="87"/>
      <c r="U972" s="87"/>
      <c r="V972" s="87"/>
      <c r="W972" s="87"/>
      <c r="X972" s="87"/>
      <c r="Y972" s="87"/>
      <c r="Z972" s="87"/>
    </row>
    <row r="973">
      <c r="A973" s="96"/>
      <c r="B973" s="96"/>
      <c r="C973" s="98"/>
      <c r="D973" s="98"/>
      <c r="E973" s="100"/>
      <c r="F973" s="100"/>
      <c r="G973" s="101"/>
      <c r="H973" s="100"/>
      <c r="I973" s="100"/>
      <c r="J973" s="46"/>
      <c r="K973" s="101"/>
      <c r="L973" s="101"/>
      <c r="M973" s="87"/>
      <c r="N973" s="87"/>
      <c r="O973" s="87"/>
      <c r="P973" s="87"/>
      <c r="Q973" s="87"/>
      <c r="R973" s="87"/>
      <c r="S973" s="87"/>
      <c r="T973" s="87"/>
      <c r="U973" s="87"/>
      <c r="V973" s="87"/>
      <c r="W973" s="87"/>
      <c r="X973" s="87"/>
      <c r="Y973" s="87"/>
      <c r="Z973" s="87"/>
    </row>
    <row r="974">
      <c r="A974" s="96"/>
      <c r="B974" s="96"/>
      <c r="C974" s="98"/>
      <c r="D974" s="98"/>
      <c r="E974" s="100"/>
      <c r="F974" s="100"/>
      <c r="G974" s="101"/>
      <c r="H974" s="100"/>
      <c r="I974" s="100"/>
      <c r="J974" s="46"/>
      <c r="K974" s="101"/>
      <c r="L974" s="101"/>
      <c r="M974" s="87"/>
      <c r="N974" s="87"/>
      <c r="O974" s="87"/>
      <c r="P974" s="87"/>
      <c r="Q974" s="87"/>
      <c r="R974" s="87"/>
      <c r="S974" s="87"/>
      <c r="T974" s="87"/>
      <c r="U974" s="87"/>
      <c r="V974" s="87"/>
      <c r="W974" s="87"/>
      <c r="X974" s="87"/>
      <c r="Y974" s="87"/>
      <c r="Z974" s="87"/>
    </row>
    <row r="975">
      <c r="A975" s="96"/>
      <c r="B975" s="96"/>
      <c r="C975" s="98"/>
      <c r="D975" s="98"/>
      <c r="E975" s="100"/>
      <c r="F975" s="100"/>
      <c r="G975" s="101"/>
      <c r="H975" s="100"/>
      <c r="I975" s="100"/>
      <c r="J975" s="46"/>
      <c r="K975" s="101"/>
      <c r="L975" s="101"/>
      <c r="M975" s="87"/>
      <c r="N975" s="87"/>
      <c r="O975" s="87"/>
      <c r="P975" s="87"/>
      <c r="Q975" s="87"/>
      <c r="R975" s="87"/>
      <c r="S975" s="87"/>
      <c r="T975" s="87"/>
      <c r="U975" s="87"/>
      <c r="V975" s="87"/>
      <c r="W975" s="87"/>
      <c r="X975" s="87"/>
      <c r="Y975" s="87"/>
      <c r="Z975" s="87"/>
    </row>
    <row r="976">
      <c r="A976" s="96"/>
      <c r="B976" s="96"/>
      <c r="C976" s="98"/>
      <c r="D976" s="98"/>
      <c r="E976" s="100"/>
      <c r="F976" s="100"/>
      <c r="G976" s="101"/>
      <c r="H976" s="100"/>
      <c r="I976" s="100"/>
      <c r="J976" s="46"/>
      <c r="K976" s="101"/>
      <c r="L976" s="101"/>
      <c r="M976" s="87"/>
      <c r="N976" s="87"/>
      <c r="O976" s="87"/>
      <c r="P976" s="87"/>
      <c r="Q976" s="87"/>
      <c r="R976" s="87"/>
      <c r="S976" s="87"/>
      <c r="T976" s="87"/>
      <c r="U976" s="87"/>
      <c r="V976" s="87"/>
      <c r="W976" s="87"/>
      <c r="X976" s="87"/>
      <c r="Y976" s="87"/>
      <c r="Z976" s="87"/>
    </row>
    <row r="977">
      <c r="A977" s="96"/>
      <c r="B977" s="96"/>
      <c r="C977" s="98"/>
      <c r="D977" s="98"/>
      <c r="E977" s="100"/>
      <c r="F977" s="100"/>
      <c r="G977" s="101"/>
      <c r="H977" s="100"/>
      <c r="I977" s="100"/>
      <c r="J977" s="46"/>
      <c r="K977" s="101"/>
      <c r="L977" s="101"/>
      <c r="M977" s="87"/>
      <c r="N977" s="87"/>
      <c r="O977" s="87"/>
      <c r="P977" s="87"/>
      <c r="Q977" s="87"/>
      <c r="R977" s="87"/>
      <c r="S977" s="87"/>
      <c r="T977" s="87"/>
      <c r="U977" s="87"/>
      <c r="V977" s="87"/>
      <c r="W977" s="87"/>
      <c r="X977" s="87"/>
      <c r="Y977" s="87"/>
      <c r="Z977" s="87"/>
    </row>
    <row r="978">
      <c r="A978" s="96"/>
      <c r="B978" s="96"/>
      <c r="C978" s="98"/>
      <c r="D978" s="98"/>
      <c r="E978" s="100"/>
      <c r="F978" s="100"/>
      <c r="G978" s="101"/>
      <c r="H978" s="100"/>
      <c r="I978" s="100"/>
      <c r="J978" s="46"/>
      <c r="K978" s="101"/>
      <c r="L978" s="101"/>
      <c r="M978" s="87"/>
      <c r="N978" s="87"/>
      <c r="O978" s="87"/>
      <c r="P978" s="87"/>
      <c r="Q978" s="87"/>
      <c r="R978" s="87"/>
      <c r="S978" s="87"/>
      <c r="T978" s="87"/>
      <c r="U978" s="87"/>
      <c r="V978" s="87"/>
      <c r="W978" s="87"/>
      <c r="X978" s="87"/>
      <c r="Y978" s="87"/>
      <c r="Z978" s="87"/>
    </row>
    <row r="979">
      <c r="A979" s="96"/>
      <c r="B979" s="96"/>
      <c r="C979" s="98"/>
      <c r="D979" s="98"/>
      <c r="E979" s="100"/>
      <c r="F979" s="100"/>
      <c r="G979" s="101"/>
      <c r="H979" s="100"/>
      <c r="I979" s="100"/>
      <c r="J979" s="46"/>
      <c r="K979" s="101"/>
      <c r="L979" s="101"/>
      <c r="M979" s="87"/>
      <c r="N979" s="87"/>
      <c r="O979" s="87"/>
      <c r="P979" s="87"/>
      <c r="Q979" s="87"/>
      <c r="R979" s="87"/>
      <c r="S979" s="87"/>
      <c r="T979" s="87"/>
      <c r="U979" s="87"/>
      <c r="V979" s="87"/>
      <c r="W979" s="87"/>
      <c r="X979" s="87"/>
      <c r="Y979" s="87"/>
      <c r="Z979" s="87"/>
    </row>
    <row r="980">
      <c r="A980" s="96"/>
      <c r="B980" s="96"/>
      <c r="C980" s="98"/>
      <c r="D980" s="98"/>
      <c r="E980" s="100"/>
      <c r="F980" s="100"/>
      <c r="G980" s="101"/>
      <c r="H980" s="100"/>
      <c r="I980" s="100"/>
      <c r="J980" s="46"/>
      <c r="K980" s="101"/>
      <c r="L980" s="101"/>
      <c r="M980" s="87"/>
      <c r="N980" s="87"/>
      <c r="O980" s="87"/>
      <c r="P980" s="87"/>
      <c r="Q980" s="87"/>
      <c r="R980" s="87"/>
      <c r="S980" s="87"/>
      <c r="T980" s="87"/>
      <c r="U980" s="87"/>
      <c r="V980" s="87"/>
      <c r="W980" s="87"/>
      <c r="X980" s="87"/>
      <c r="Y980" s="87"/>
      <c r="Z980" s="87"/>
    </row>
    <row r="981">
      <c r="A981" s="96"/>
      <c r="B981" s="96"/>
      <c r="C981" s="98"/>
      <c r="D981" s="98"/>
      <c r="E981" s="100"/>
      <c r="F981" s="100"/>
      <c r="G981" s="101"/>
      <c r="H981" s="100"/>
      <c r="I981" s="100"/>
      <c r="J981" s="46"/>
      <c r="K981" s="101"/>
      <c r="L981" s="101"/>
      <c r="M981" s="87"/>
      <c r="N981" s="87"/>
      <c r="O981" s="87"/>
      <c r="P981" s="87"/>
      <c r="Q981" s="87"/>
      <c r="R981" s="87"/>
      <c r="S981" s="87"/>
      <c r="T981" s="87"/>
      <c r="U981" s="87"/>
      <c r="V981" s="87"/>
      <c r="W981" s="87"/>
      <c r="X981" s="87"/>
      <c r="Y981" s="87"/>
      <c r="Z981" s="87"/>
    </row>
    <row r="982">
      <c r="A982" s="96"/>
      <c r="B982" s="96"/>
      <c r="C982" s="98"/>
      <c r="D982" s="98"/>
      <c r="E982" s="100"/>
      <c r="F982" s="100"/>
      <c r="G982" s="101"/>
      <c r="H982" s="100"/>
      <c r="I982" s="100"/>
      <c r="J982" s="46"/>
      <c r="K982" s="101"/>
      <c r="L982" s="101"/>
      <c r="M982" s="87"/>
      <c r="N982" s="87"/>
      <c r="O982" s="87"/>
      <c r="P982" s="87"/>
      <c r="Q982" s="87"/>
      <c r="R982" s="87"/>
      <c r="S982" s="87"/>
      <c r="T982" s="87"/>
      <c r="U982" s="87"/>
      <c r="V982" s="87"/>
      <c r="W982" s="87"/>
      <c r="X982" s="87"/>
      <c r="Y982" s="87"/>
      <c r="Z982" s="87"/>
    </row>
    <row r="983">
      <c r="A983" s="96"/>
      <c r="B983" s="96"/>
      <c r="C983" s="98"/>
      <c r="D983" s="98"/>
      <c r="E983" s="100"/>
      <c r="F983" s="100"/>
      <c r="G983" s="101"/>
      <c r="H983" s="100"/>
      <c r="I983" s="100"/>
      <c r="J983" s="46"/>
      <c r="K983" s="101"/>
      <c r="L983" s="101"/>
      <c r="M983" s="87"/>
      <c r="N983" s="87"/>
      <c r="O983" s="87"/>
      <c r="P983" s="87"/>
      <c r="Q983" s="87"/>
      <c r="R983" s="87"/>
      <c r="S983" s="87"/>
      <c r="T983" s="87"/>
      <c r="U983" s="87"/>
      <c r="V983" s="87"/>
      <c r="W983" s="87"/>
      <c r="X983" s="87"/>
      <c r="Y983" s="87"/>
      <c r="Z983" s="87"/>
    </row>
    <row r="984">
      <c r="A984" s="96"/>
      <c r="B984" s="96"/>
      <c r="C984" s="98"/>
      <c r="D984" s="98"/>
      <c r="E984" s="100"/>
      <c r="F984" s="100"/>
      <c r="G984" s="101"/>
      <c r="H984" s="100"/>
      <c r="I984" s="100"/>
      <c r="J984" s="46"/>
      <c r="K984" s="101"/>
      <c r="L984" s="101"/>
      <c r="M984" s="87"/>
      <c r="N984" s="87"/>
      <c r="O984" s="87"/>
      <c r="P984" s="87"/>
      <c r="Q984" s="87"/>
      <c r="R984" s="87"/>
      <c r="S984" s="87"/>
      <c r="T984" s="87"/>
      <c r="U984" s="87"/>
      <c r="V984" s="87"/>
      <c r="W984" s="87"/>
      <c r="X984" s="87"/>
      <c r="Y984" s="87"/>
      <c r="Z984" s="87"/>
    </row>
    <row r="985">
      <c r="A985" s="96"/>
      <c r="B985" s="96"/>
      <c r="C985" s="98"/>
      <c r="D985" s="98"/>
      <c r="E985" s="100"/>
      <c r="F985" s="100"/>
      <c r="G985" s="101"/>
      <c r="H985" s="100"/>
      <c r="I985" s="100"/>
      <c r="J985" s="46"/>
      <c r="K985" s="101"/>
      <c r="L985" s="101"/>
      <c r="M985" s="87"/>
      <c r="N985" s="87"/>
      <c r="O985" s="87"/>
      <c r="P985" s="87"/>
      <c r="Q985" s="87"/>
      <c r="R985" s="87"/>
      <c r="S985" s="87"/>
      <c r="T985" s="87"/>
      <c r="U985" s="87"/>
      <c r="V985" s="87"/>
      <c r="W985" s="87"/>
      <c r="X985" s="87"/>
      <c r="Y985" s="87"/>
      <c r="Z985" s="87"/>
    </row>
    <row r="986">
      <c r="A986" s="96"/>
      <c r="B986" s="96"/>
      <c r="C986" s="98"/>
      <c r="D986" s="98"/>
      <c r="E986" s="100"/>
      <c r="F986" s="100"/>
      <c r="G986" s="101"/>
      <c r="H986" s="100"/>
      <c r="I986" s="100"/>
      <c r="J986" s="46"/>
      <c r="K986" s="101"/>
      <c r="L986" s="101"/>
      <c r="M986" s="87"/>
      <c r="N986" s="87"/>
      <c r="O986" s="87"/>
      <c r="P986" s="87"/>
      <c r="Q986" s="87"/>
      <c r="R986" s="87"/>
      <c r="S986" s="87"/>
      <c r="T986" s="87"/>
      <c r="U986" s="87"/>
      <c r="V986" s="87"/>
      <c r="W986" s="87"/>
      <c r="X986" s="87"/>
      <c r="Y986" s="87"/>
      <c r="Z986" s="87"/>
    </row>
    <row r="987">
      <c r="A987" s="96"/>
      <c r="B987" s="96"/>
      <c r="C987" s="98"/>
      <c r="D987" s="98"/>
      <c r="E987" s="100"/>
      <c r="F987" s="100"/>
      <c r="G987" s="101"/>
      <c r="H987" s="100"/>
      <c r="I987" s="100"/>
      <c r="J987" s="46"/>
      <c r="K987" s="101"/>
      <c r="L987" s="101"/>
      <c r="M987" s="87"/>
      <c r="N987" s="87"/>
      <c r="O987" s="87"/>
      <c r="P987" s="87"/>
      <c r="Q987" s="87"/>
      <c r="R987" s="87"/>
      <c r="S987" s="87"/>
      <c r="T987" s="87"/>
      <c r="U987" s="87"/>
      <c r="V987" s="87"/>
      <c r="W987" s="87"/>
      <c r="X987" s="87"/>
      <c r="Y987" s="87"/>
      <c r="Z987" s="87"/>
    </row>
    <row r="988">
      <c r="A988" s="96"/>
      <c r="B988" s="96"/>
      <c r="C988" s="98"/>
      <c r="D988" s="98"/>
      <c r="E988" s="100"/>
      <c r="F988" s="100"/>
      <c r="G988" s="101"/>
      <c r="H988" s="100"/>
      <c r="I988" s="100"/>
      <c r="J988" s="46"/>
      <c r="K988" s="101"/>
      <c r="L988" s="101"/>
      <c r="M988" s="87"/>
      <c r="N988" s="87"/>
      <c r="O988" s="87"/>
      <c r="P988" s="87"/>
      <c r="Q988" s="87"/>
      <c r="R988" s="87"/>
      <c r="S988" s="87"/>
      <c r="T988" s="87"/>
      <c r="U988" s="87"/>
      <c r="V988" s="87"/>
      <c r="W988" s="87"/>
      <c r="X988" s="87"/>
      <c r="Y988" s="87"/>
      <c r="Z988" s="87"/>
    </row>
    <row r="989">
      <c r="A989" s="96"/>
      <c r="B989" s="96"/>
      <c r="C989" s="98"/>
      <c r="D989" s="98"/>
      <c r="E989" s="100"/>
      <c r="F989" s="100"/>
      <c r="G989" s="101"/>
      <c r="H989" s="100"/>
      <c r="I989" s="100"/>
      <c r="J989" s="46"/>
      <c r="K989" s="101"/>
      <c r="L989" s="101"/>
      <c r="M989" s="87"/>
      <c r="N989" s="87"/>
      <c r="O989" s="87"/>
      <c r="P989" s="87"/>
      <c r="Q989" s="87"/>
      <c r="R989" s="87"/>
      <c r="S989" s="87"/>
      <c r="T989" s="87"/>
      <c r="U989" s="87"/>
      <c r="V989" s="87"/>
      <c r="W989" s="87"/>
      <c r="X989" s="87"/>
      <c r="Y989" s="87"/>
      <c r="Z989" s="87"/>
    </row>
    <row r="990">
      <c r="A990" s="96"/>
      <c r="B990" s="96"/>
      <c r="C990" s="98"/>
      <c r="D990" s="98"/>
      <c r="E990" s="100"/>
      <c r="F990" s="100"/>
      <c r="G990" s="101"/>
      <c r="H990" s="100"/>
      <c r="I990" s="100"/>
      <c r="J990" s="46"/>
      <c r="K990" s="101"/>
      <c r="L990" s="101"/>
      <c r="M990" s="87"/>
      <c r="N990" s="87"/>
      <c r="O990" s="87"/>
      <c r="P990" s="87"/>
      <c r="Q990" s="87"/>
      <c r="R990" s="87"/>
      <c r="S990" s="87"/>
      <c r="T990" s="87"/>
      <c r="U990" s="87"/>
      <c r="V990" s="87"/>
      <c r="W990" s="87"/>
      <c r="X990" s="87"/>
      <c r="Y990" s="87"/>
      <c r="Z990" s="87"/>
    </row>
    <row r="991">
      <c r="A991" s="96"/>
      <c r="B991" s="96"/>
      <c r="C991" s="98"/>
      <c r="D991" s="98"/>
      <c r="E991" s="100"/>
      <c r="F991" s="100"/>
      <c r="G991" s="101"/>
      <c r="H991" s="100"/>
      <c r="I991" s="100"/>
      <c r="J991" s="46"/>
      <c r="K991" s="101"/>
      <c r="L991" s="101"/>
      <c r="M991" s="87"/>
      <c r="N991" s="87"/>
      <c r="O991" s="87"/>
      <c r="P991" s="87"/>
      <c r="Q991" s="87"/>
      <c r="R991" s="87"/>
      <c r="S991" s="87"/>
      <c r="T991" s="87"/>
      <c r="U991" s="87"/>
      <c r="V991" s="87"/>
      <c r="W991" s="87"/>
      <c r="X991" s="87"/>
      <c r="Y991" s="87"/>
      <c r="Z991" s="87"/>
    </row>
    <row r="992">
      <c r="A992" s="96"/>
      <c r="B992" s="96"/>
      <c r="C992" s="98"/>
      <c r="D992" s="98"/>
      <c r="E992" s="100"/>
      <c r="F992" s="100"/>
      <c r="G992" s="101"/>
      <c r="H992" s="100"/>
      <c r="I992" s="100"/>
      <c r="J992" s="46"/>
      <c r="K992" s="101"/>
      <c r="L992" s="101"/>
      <c r="M992" s="87"/>
      <c r="N992" s="87"/>
      <c r="O992" s="87"/>
      <c r="P992" s="87"/>
      <c r="Q992" s="87"/>
      <c r="R992" s="87"/>
      <c r="S992" s="87"/>
      <c r="T992" s="87"/>
      <c r="U992" s="87"/>
      <c r="V992" s="87"/>
      <c r="W992" s="87"/>
      <c r="X992" s="87"/>
      <c r="Y992" s="87"/>
      <c r="Z992" s="87"/>
    </row>
    <row r="993">
      <c r="A993" s="96"/>
      <c r="B993" s="96"/>
      <c r="C993" s="98"/>
      <c r="D993" s="98"/>
      <c r="E993" s="100"/>
      <c r="F993" s="100"/>
      <c r="G993" s="101"/>
      <c r="H993" s="100"/>
      <c r="I993" s="100"/>
      <c r="J993" s="46"/>
      <c r="K993" s="101"/>
      <c r="L993" s="101"/>
      <c r="M993" s="87"/>
      <c r="N993" s="87"/>
      <c r="O993" s="87"/>
      <c r="P993" s="87"/>
      <c r="Q993" s="87"/>
      <c r="R993" s="87"/>
      <c r="S993" s="87"/>
      <c r="T993" s="87"/>
      <c r="U993" s="87"/>
      <c r="V993" s="87"/>
      <c r="W993" s="87"/>
      <c r="X993" s="87"/>
      <c r="Y993" s="87"/>
      <c r="Z993" s="87"/>
    </row>
    <row r="994">
      <c r="A994" s="96"/>
      <c r="B994" s="96"/>
      <c r="C994" s="98"/>
      <c r="D994" s="98"/>
      <c r="E994" s="100"/>
      <c r="F994" s="100"/>
      <c r="G994" s="101"/>
      <c r="H994" s="100"/>
      <c r="I994" s="100"/>
      <c r="J994" s="46"/>
      <c r="K994" s="101"/>
      <c r="L994" s="101"/>
      <c r="M994" s="87"/>
      <c r="N994" s="87"/>
      <c r="O994" s="87"/>
      <c r="P994" s="87"/>
      <c r="Q994" s="87"/>
      <c r="R994" s="87"/>
      <c r="S994" s="87"/>
      <c r="T994" s="87"/>
      <c r="U994" s="87"/>
      <c r="V994" s="87"/>
      <c r="W994" s="87"/>
      <c r="X994" s="87"/>
      <c r="Y994" s="87"/>
      <c r="Z994" s="87"/>
    </row>
    <row r="995">
      <c r="A995" s="96"/>
      <c r="B995" s="96"/>
      <c r="C995" s="98"/>
      <c r="D995" s="98"/>
      <c r="E995" s="100"/>
      <c r="F995" s="100"/>
      <c r="G995" s="101"/>
      <c r="H995" s="100"/>
      <c r="I995" s="100"/>
      <c r="J995" s="46"/>
      <c r="K995" s="101"/>
      <c r="L995" s="101"/>
      <c r="M995" s="87"/>
      <c r="N995" s="87"/>
      <c r="O995" s="87"/>
      <c r="P995" s="87"/>
      <c r="Q995" s="87"/>
      <c r="R995" s="87"/>
      <c r="S995" s="87"/>
      <c r="T995" s="87"/>
      <c r="U995" s="87"/>
      <c r="V995" s="87"/>
      <c r="W995" s="87"/>
      <c r="X995" s="87"/>
      <c r="Y995" s="87"/>
      <c r="Z995" s="87"/>
    </row>
    <row r="996">
      <c r="A996" s="96"/>
      <c r="B996" s="96"/>
      <c r="C996" s="98"/>
      <c r="D996" s="98"/>
      <c r="E996" s="100"/>
      <c r="F996" s="100"/>
      <c r="G996" s="101"/>
      <c r="H996" s="100"/>
      <c r="I996" s="100"/>
      <c r="J996" s="46"/>
      <c r="K996" s="101"/>
      <c r="L996" s="101"/>
      <c r="M996" s="87"/>
      <c r="N996" s="87"/>
      <c r="O996" s="87"/>
      <c r="P996" s="87"/>
      <c r="Q996" s="87"/>
      <c r="R996" s="87"/>
      <c r="S996" s="87"/>
      <c r="T996" s="87"/>
      <c r="U996" s="87"/>
      <c r="V996" s="87"/>
      <c r="W996" s="87"/>
      <c r="X996" s="87"/>
      <c r="Y996" s="87"/>
      <c r="Z996" s="87"/>
    </row>
    <row r="997">
      <c r="A997" s="96"/>
      <c r="B997" s="96"/>
      <c r="C997" s="98"/>
      <c r="D997" s="98"/>
      <c r="E997" s="100"/>
      <c r="F997" s="100"/>
      <c r="G997" s="101"/>
      <c r="H997" s="100"/>
      <c r="I997" s="100"/>
      <c r="J997" s="46"/>
      <c r="K997" s="101"/>
      <c r="L997" s="101"/>
      <c r="M997" s="87"/>
      <c r="N997" s="87"/>
      <c r="O997" s="87"/>
      <c r="P997" s="87"/>
      <c r="Q997" s="87"/>
      <c r="R997" s="87"/>
      <c r="S997" s="87"/>
      <c r="T997" s="87"/>
      <c r="U997" s="87"/>
      <c r="V997" s="87"/>
      <c r="W997" s="87"/>
      <c r="X997" s="87"/>
      <c r="Y997" s="87"/>
      <c r="Z997" s="87"/>
    </row>
    <row r="998">
      <c r="A998" s="96"/>
      <c r="B998" s="96"/>
      <c r="C998" s="98"/>
      <c r="D998" s="98"/>
      <c r="E998" s="100"/>
      <c r="F998" s="100"/>
      <c r="G998" s="101"/>
      <c r="H998" s="100"/>
      <c r="I998" s="100"/>
      <c r="J998" s="46"/>
      <c r="K998" s="101"/>
      <c r="L998" s="101"/>
      <c r="M998" s="87"/>
      <c r="N998" s="87"/>
      <c r="O998" s="87"/>
      <c r="P998" s="87"/>
      <c r="Q998" s="87"/>
      <c r="R998" s="87"/>
      <c r="S998" s="87"/>
      <c r="T998" s="87"/>
      <c r="U998" s="87"/>
      <c r="V998" s="87"/>
      <c r="W998" s="87"/>
      <c r="X998" s="87"/>
      <c r="Y998" s="87"/>
      <c r="Z998" s="87"/>
    </row>
    <row r="999">
      <c r="A999" s="96"/>
      <c r="B999" s="96"/>
      <c r="C999" s="98"/>
      <c r="D999" s="98"/>
      <c r="E999" s="100"/>
      <c r="F999" s="100"/>
      <c r="G999" s="101"/>
      <c r="H999" s="100"/>
      <c r="I999" s="100"/>
      <c r="J999" s="46"/>
      <c r="K999" s="101"/>
      <c r="L999" s="101"/>
      <c r="M999" s="87"/>
      <c r="N999" s="87"/>
      <c r="O999" s="87"/>
      <c r="P999" s="87"/>
      <c r="Q999" s="87"/>
      <c r="R999" s="87"/>
      <c r="S999" s="87"/>
      <c r="T999" s="87"/>
      <c r="U999" s="87"/>
      <c r="V999" s="87"/>
      <c r="W999" s="87"/>
      <c r="X999" s="87"/>
      <c r="Y999" s="87"/>
      <c r="Z999" s="87"/>
    </row>
    <row r="1000">
      <c r="A1000" s="96"/>
      <c r="B1000" s="96"/>
      <c r="C1000" s="98"/>
      <c r="D1000" s="98"/>
      <c r="E1000" s="100"/>
      <c r="F1000" s="100"/>
      <c r="G1000" s="101"/>
      <c r="H1000" s="100"/>
      <c r="I1000" s="100"/>
      <c r="J1000" s="46"/>
      <c r="K1000" s="101"/>
      <c r="L1000" s="101"/>
      <c r="M1000" s="87"/>
      <c r="N1000" s="87"/>
      <c r="O1000" s="87"/>
      <c r="P1000" s="87"/>
      <c r="Q1000" s="87"/>
      <c r="R1000" s="87"/>
      <c r="S1000" s="87"/>
      <c r="T1000" s="87"/>
      <c r="U1000" s="87"/>
      <c r="V1000" s="87"/>
      <c r="W1000" s="87"/>
      <c r="X1000" s="87"/>
      <c r="Y1000" s="87"/>
      <c r="Z1000" s="87"/>
    </row>
    <row r="1001">
      <c r="A1001" s="96"/>
      <c r="B1001" s="96"/>
      <c r="C1001" s="98"/>
      <c r="D1001" s="98"/>
      <c r="E1001" s="100"/>
      <c r="F1001" s="100"/>
      <c r="G1001" s="101"/>
      <c r="H1001" s="100"/>
      <c r="I1001" s="100"/>
      <c r="J1001" s="46"/>
      <c r="K1001" s="101"/>
      <c r="L1001" s="101"/>
      <c r="M1001" s="87"/>
      <c r="N1001" s="87"/>
      <c r="O1001" s="87"/>
      <c r="P1001" s="87"/>
      <c r="Q1001" s="87"/>
      <c r="R1001" s="87"/>
      <c r="S1001" s="87"/>
      <c r="T1001" s="87"/>
      <c r="U1001" s="87"/>
      <c r="V1001" s="87"/>
      <c r="W1001" s="87"/>
      <c r="X1001" s="87"/>
      <c r="Y1001" s="87"/>
      <c r="Z1001" s="87"/>
    </row>
    <row r="1002">
      <c r="A1002" s="96"/>
      <c r="B1002" s="96"/>
      <c r="C1002" s="98"/>
      <c r="D1002" s="98"/>
      <c r="E1002" s="100"/>
      <c r="F1002" s="100"/>
      <c r="G1002" s="101"/>
      <c r="H1002" s="100"/>
      <c r="I1002" s="100"/>
      <c r="J1002" s="46"/>
      <c r="K1002" s="101"/>
      <c r="L1002" s="101"/>
      <c r="M1002" s="87"/>
      <c r="N1002" s="87"/>
      <c r="O1002" s="87"/>
      <c r="P1002" s="87"/>
      <c r="Q1002" s="87"/>
      <c r="R1002" s="87"/>
      <c r="S1002" s="87"/>
      <c r="T1002" s="87"/>
      <c r="U1002" s="87"/>
      <c r="V1002" s="87"/>
      <c r="W1002" s="87"/>
      <c r="X1002" s="87"/>
      <c r="Y1002" s="87"/>
      <c r="Z1002" s="87"/>
    </row>
    <row r="1003">
      <c r="A1003" s="96"/>
      <c r="B1003" s="96"/>
      <c r="C1003" s="98"/>
      <c r="D1003" s="98"/>
      <c r="E1003" s="100"/>
      <c r="F1003" s="100"/>
      <c r="G1003" s="101"/>
      <c r="H1003" s="100"/>
      <c r="I1003" s="100"/>
      <c r="J1003" s="46"/>
      <c r="K1003" s="101"/>
      <c r="L1003" s="101"/>
      <c r="M1003" s="87"/>
      <c r="N1003" s="87"/>
      <c r="O1003" s="87"/>
      <c r="P1003" s="87"/>
      <c r="Q1003" s="87"/>
      <c r="R1003" s="87"/>
      <c r="S1003" s="87"/>
      <c r="T1003" s="87"/>
      <c r="U1003" s="87"/>
      <c r="V1003" s="87"/>
      <c r="W1003" s="87"/>
      <c r="X1003" s="87"/>
      <c r="Y1003" s="87"/>
      <c r="Z1003" s="87"/>
    </row>
    <row r="1004">
      <c r="A1004" s="96"/>
      <c r="B1004" s="96"/>
      <c r="C1004" s="98"/>
      <c r="D1004" s="98"/>
      <c r="E1004" s="100"/>
      <c r="F1004" s="100"/>
      <c r="G1004" s="101"/>
      <c r="H1004" s="100"/>
      <c r="I1004" s="100"/>
      <c r="J1004" s="46"/>
      <c r="K1004" s="101"/>
      <c r="L1004" s="101"/>
      <c r="M1004" s="87"/>
      <c r="N1004" s="87"/>
      <c r="O1004" s="87"/>
      <c r="P1004" s="87"/>
      <c r="Q1004" s="87"/>
      <c r="R1004" s="87"/>
      <c r="S1004" s="87"/>
      <c r="T1004" s="87"/>
      <c r="U1004" s="87"/>
      <c r="V1004" s="87"/>
      <c r="W1004" s="87"/>
      <c r="X1004" s="87"/>
      <c r="Y1004" s="87"/>
      <c r="Z1004" s="87"/>
    </row>
    <row r="1005">
      <c r="A1005" s="96"/>
      <c r="B1005" s="96"/>
      <c r="C1005" s="98"/>
      <c r="D1005" s="98"/>
      <c r="E1005" s="100"/>
      <c r="F1005" s="100"/>
      <c r="G1005" s="101"/>
      <c r="H1005" s="100"/>
      <c r="I1005" s="100"/>
      <c r="J1005" s="46"/>
      <c r="K1005" s="101"/>
      <c r="L1005" s="101"/>
      <c r="M1005" s="87"/>
      <c r="N1005" s="87"/>
      <c r="O1005" s="87"/>
      <c r="P1005" s="87"/>
      <c r="Q1005" s="87"/>
      <c r="R1005" s="87"/>
      <c r="S1005" s="87"/>
      <c r="T1005" s="87"/>
      <c r="U1005" s="87"/>
      <c r="V1005" s="87"/>
      <c r="W1005" s="87"/>
      <c r="X1005" s="87"/>
      <c r="Y1005" s="87"/>
      <c r="Z1005" s="87"/>
    </row>
    <row r="1006">
      <c r="A1006" s="96"/>
      <c r="B1006" s="96"/>
      <c r="C1006" s="98"/>
      <c r="D1006" s="98"/>
      <c r="E1006" s="100"/>
      <c r="F1006" s="100"/>
      <c r="G1006" s="101"/>
      <c r="H1006" s="100"/>
      <c r="I1006" s="100"/>
      <c r="J1006" s="46"/>
      <c r="K1006" s="101"/>
      <c r="L1006" s="101"/>
      <c r="M1006" s="87"/>
      <c r="N1006" s="87"/>
      <c r="O1006" s="87"/>
      <c r="P1006" s="87"/>
      <c r="Q1006" s="87"/>
      <c r="R1006" s="87"/>
      <c r="S1006" s="87"/>
      <c r="T1006" s="87"/>
      <c r="U1006" s="87"/>
      <c r="V1006" s="87"/>
      <c r="W1006" s="87"/>
      <c r="X1006" s="87"/>
      <c r="Y1006" s="87"/>
      <c r="Z1006" s="87"/>
    </row>
    <row r="1007">
      <c r="A1007" s="96"/>
      <c r="B1007" s="96"/>
      <c r="C1007" s="98"/>
      <c r="D1007" s="98"/>
      <c r="E1007" s="100"/>
      <c r="F1007" s="100"/>
      <c r="G1007" s="101"/>
      <c r="H1007" s="100"/>
      <c r="I1007" s="100"/>
      <c r="J1007" s="46"/>
      <c r="K1007" s="101"/>
      <c r="L1007" s="101"/>
      <c r="M1007" s="87"/>
      <c r="N1007" s="87"/>
      <c r="O1007" s="87"/>
      <c r="P1007" s="87"/>
      <c r="Q1007" s="87"/>
      <c r="R1007" s="87"/>
      <c r="S1007" s="87"/>
      <c r="T1007" s="87"/>
      <c r="U1007" s="87"/>
      <c r="V1007" s="87"/>
      <c r="W1007" s="87"/>
      <c r="X1007" s="87"/>
      <c r="Y1007" s="87"/>
      <c r="Z1007" s="87"/>
    </row>
    <row r="1008">
      <c r="A1008" s="96"/>
      <c r="B1008" s="96"/>
      <c r="C1008" s="98"/>
      <c r="D1008" s="98"/>
      <c r="E1008" s="100"/>
      <c r="F1008" s="100"/>
      <c r="G1008" s="101"/>
      <c r="H1008" s="100"/>
      <c r="I1008" s="100"/>
      <c r="J1008" s="46"/>
      <c r="K1008" s="101"/>
      <c r="L1008" s="101"/>
      <c r="M1008" s="87"/>
      <c r="N1008" s="87"/>
      <c r="O1008" s="87"/>
      <c r="P1008" s="87"/>
      <c r="Q1008" s="87"/>
      <c r="R1008" s="87"/>
      <c r="S1008" s="87"/>
      <c r="T1008" s="87"/>
      <c r="U1008" s="87"/>
      <c r="V1008" s="87"/>
      <c r="W1008" s="87"/>
      <c r="X1008" s="87"/>
      <c r="Y1008" s="87"/>
      <c r="Z1008" s="87"/>
    </row>
    <row r="1009">
      <c r="A1009" s="96"/>
      <c r="B1009" s="96"/>
      <c r="C1009" s="98"/>
      <c r="D1009" s="98"/>
      <c r="E1009" s="100"/>
      <c r="F1009" s="100"/>
      <c r="G1009" s="101"/>
      <c r="H1009" s="100"/>
      <c r="I1009" s="100"/>
      <c r="J1009" s="46"/>
      <c r="K1009" s="101"/>
      <c r="L1009" s="101"/>
      <c r="M1009" s="87"/>
      <c r="N1009" s="87"/>
      <c r="O1009" s="87"/>
      <c r="P1009" s="87"/>
      <c r="Q1009" s="87"/>
      <c r="R1009" s="87"/>
      <c r="S1009" s="87"/>
      <c r="T1009" s="87"/>
      <c r="U1009" s="87"/>
      <c r="V1009" s="87"/>
      <c r="W1009" s="87"/>
      <c r="X1009" s="87"/>
      <c r="Y1009" s="87"/>
      <c r="Z1009" s="87"/>
    </row>
    <row r="1010">
      <c r="A1010" s="96"/>
      <c r="B1010" s="96"/>
      <c r="C1010" s="98"/>
      <c r="D1010" s="98"/>
      <c r="E1010" s="100"/>
      <c r="F1010" s="100"/>
      <c r="G1010" s="101"/>
      <c r="H1010" s="100"/>
      <c r="I1010" s="100"/>
      <c r="J1010" s="46"/>
      <c r="K1010" s="101"/>
      <c r="L1010" s="101"/>
      <c r="M1010" s="87"/>
      <c r="N1010" s="87"/>
      <c r="O1010" s="87"/>
      <c r="P1010" s="87"/>
      <c r="Q1010" s="87"/>
      <c r="R1010" s="87"/>
      <c r="S1010" s="87"/>
      <c r="T1010" s="87"/>
      <c r="U1010" s="87"/>
      <c r="V1010" s="87"/>
      <c r="W1010" s="87"/>
      <c r="X1010" s="87"/>
      <c r="Y1010" s="87"/>
      <c r="Z1010" s="87"/>
    </row>
    <row r="1011">
      <c r="A1011" s="96"/>
      <c r="B1011" s="96"/>
      <c r="C1011" s="98"/>
      <c r="D1011" s="98"/>
      <c r="E1011" s="100"/>
      <c r="F1011" s="100"/>
      <c r="G1011" s="101"/>
      <c r="H1011" s="100"/>
      <c r="I1011" s="100"/>
      <c r="J1011" s="46"/>
      <c r="K1011" s="101"/>
      <c r="L1011" s="101"/>
      <c r="M1011" s="87"/>
      <c r="N1011" s="87"/>
      <c r="O1011" s="87"/>
      <c r="P1011" s="87"/>
      <c r="Q1011" s="87"/>
      <c r="R1011" s="87"/>
      <c r="S1011" s="87"/>
      <c r="T1011" s="87"/>
      <c r="U1011" s="87"/>
      <c r="V1011" s="87"/>
      <c r="W1011" s="87"/>
      <c r="X1011" s="87"/>
      <c r="Y1011" s="87"/>
      <c r="Z1011" s="87"/>
    </row>
    <row r="1012">
      <c r="A1012" s="96"/>
      <c r="B1012" s="96"/>
      <c r="C1012" s="98"/>
      <c r="D1012" s="98"/>
      <c r="E1012" s="100"/>
      <c r="F1012" s="100"/>
      <c r="G1012" s="101"/>
      <c r="H1012" s="100"/>
      <c r="I1012" s="100"/>
      <c r="J1012" s="46"/>
      <c r="K1012" s="101"/>
      <c r="L1012" s="101"/>
      <c r="M1012" s="87"/>
      <c r="N1012" s="87"/>
      <c r="O1012" s="87"/>
      <c r="P1012" s="87"/>
      <c r="Q1012" s="87"/>
      <c r="R1012" s="87"/>
      <c r="S1012" s="87"/>
      <c r="T1012" s="87"/>
      <c r="U1012" s="87"/>
      <c r="V1012" s="87"/>
      <c r="W1012" s="87"/>
      <c r="X1012" s="87"/>
      <c r="Y1012" s="87"/>
      <c r="Z1012" s="87"/>
    </row>
    <row r="1013">
      <c r="A1013" s="96"/>
      <c r="B1013" s="96"/>
      <c r="C1013" s="98"/>
      <c r="D1013" s="98"/>
      <c r="E1013" s="100"/>
      <c r="F1013" s="100"/>
      <c r="G1013" s="101"/>
      <c r="H1013" s="100"/>
      <c r="I1013" s="100"/>
      <c r="J1013" s="46"/>
      <c r="K1013" s="101"/>
      <c r="L1013" s="101"/>
      <c r="M1013" s="87"/>
      <c r="N1013" s="87"/>
      <c r="O1013" s="87"/>
      <c r="P1013" s="87"/>
      <c r="Q1013" s="87"/>
      <c r="R1013" s="87"/>
      <c r="S1013" s="87"/>
      <c r="T1013" s="87"/>
      <c r="U1013" s="87"/>
      <c r="V1013" s="87"/>
      <c r="W1013" s="87"/>
      <c r="X1013" s="87"/>
      <c r="Y1013" s="87"/>
      <c r="Z1013" s="87"/>
    </row>
    <row r="1014">
      <c r="A1014" s="96"/>
      <c r="B1014" s="96"/>
      <c r="C1014" s="98"/>
      <c r="D1014" s="98"/>
      <c r="E1014" s="100"/>
      <c r="F1014" s="100"/>
      <c r="G1014" s="101"/>
      <c r="H1014" s="100"/>
      <c r="I1014" s="100"/>
      <c r="J1014" s="46"/>
      <c r="K1014" s="101"/>
      <c r="L1014" s="101"/>
      <c r="M1014" s="87"/>
      <c r="N1014" s="87"/>
      <c r="O1014" s="87"/>
      <c r="P1014" s="87"/>
      <c r="Q1014" s="87"/>
      <c r="R1014" s="87"/>
      <c r="S1014" s="87"/>
      <c r="T1014" s="87"/>
      <c r="U1014" s="87"/>
      <c r="V1014" s="87"/>
      <c r="W1014" s="87"/>
      <c r="X1014" s="87"/>
      <c r="Y1014" s="87"/>
      <c r="Z1014" s="87"/>
    </row>
    <row r="1015">
      <c r="A1015" s="96"/>
      <c r="B1015" s="96"/>
      <c r="C1015" s="98"/>
      <c r="D1015" s="98"/>
      <c r="E1015" s="100"/>
      <c r="F1015" s="100"/>
      <c r="G1015" s="101"/>
      <c r="H1015" s="100"/>
      <c r="I1015" s="100"/>
      <c r="J1015" s="46"/>
      <c r="K1015" s="101"/>
      <c r="L1015" s="101"/>
      <c r="M1015" s="87"/>
      <c r="N1015" s="87"/>
      <c r="O1015" s="87"/>
      <c r="P1015" s="87"/>
      <c r="Q1015" s="87"/>
      <c r="R1015" s="87"/>
      <c r="S1015" s="87"/>
      <c r="T1015" s="87"/>
      <c r="U1015" s="87"/>
      <c r="V1015" s="87"/>
      <c r="W1015" s="87"/>
      <c r="X1015" s="87"/>
      <c r="Y1015" s="87"/>
      <c r="Z1015" s="87"/>
    </row>
    <row r="1016">
      <c r="A1016" s="96"/>
      <c r="B1016" s="96"/>
      <c r="C1016" s="98"/>
      <c r="D1016" s="98"/>
      <c r="E1016" s="100"/>
      <c r="F1016" s="100"/>
      <c r="G1016" s="101"/>
      <c r="H1016" s="100"/>
      <c r="I1016" s="100"/>
      <c r="J1016" s="46"/>
      <c r="K1016" s="101"/>
      <c r="L1016" s="101"/>
      <c r="M1016" s="87"/>
      <c r="N1016" s="87"/>
      <c r="O1016" s="87"/>
      <c r="P1016" s="87"/>
      <c r="Q1016" s="87"/>
      <c r="R1016" s="87"/>
      <c r="S1016" s="87"/>
      <c r="T1016" s="87"/>
      <c r="U1016" s="87"/>
      <c r="V1016" s="87"/>
      <c r="W1016" s="87"/>
      <c r="X1016" s="87"/>
      <c r="Y1016" s="87"/>
      <c r="Z1016" s="87"/>
    </row>
    <row r="1017">
      <c r="A1017" s="96"/>
      <c r="B1017" s="96"/>
      <c r="C1017" s="98"/>
      <c r="D1017" s="98"/>
      <c r="E1017" s="100"/>
      <c r="F1017" s="100"/>
      <c r="G1017" s="101"/>
      <c r="H1017" s="100"/>
      <c r="I1017" s="100"/>
      <c r="J1017" s="46"/>
      <c r="K1017" s="101"/>
      <c r="L1017" s="101"/>
      <c r="M1017" s="87"/>
      <c r="N1017" s="87"/>
      <c r="O1017" s="87"/>
      <c r="P1017" s="87"/>
      <c r="Q1017" s="87"/>
      <c r="R1017" s="87"/>
      <c r="S1017" s="87"/>
      <c r="T1017" s="87"/>
      <c r="U1017" s="87"/>
      <c r="V1017" s="87"/>
      <c r="W1017" s="87"/>
      <c r="X1017" s="87"/>
      <c r="Y1017" s="87"/>
      <c r="Z1017" s="87"/>
    </row>
    <row r="1018">
      <c r="A1018" s="96"/>
      <c r="B1018" s="96"/>
      <c r="C1018" s="98"/>
      <c r="D1018" s="98"/>
      <c r="E1018" s="100"/>
      <c r="F1018" s="100"/>
      <c r="G1018" s="101"/>
      <c r="H1018" s="100"/>
      <c r="I1018" s="100"/>
      <c r="J1018" s="46"/>
      <c r="K1018" s="101"/>
      <c r="L1018" s="101"/>
      <c r="M1018" s="87"/>
      <c r="N1018" s="87"/>
      <c r="O1018" s="87"/>
      <c r="P1018" s="87"/>
      <c r="Q1018" s="87"/>
      <c r="R1018" s="87"/>
      <c r="S1018" s="87"/>
      <c r="T1018" s="87"/>
      <c r="U1018" s="87"/>
      <c r="V1018" s="87"/>
      <c r="W1018" s="87"/>
      <c r="X1018" s="87"/>
      <c r="Y1018" s="87"/>
      <c r="Z1018" s="87"/>
    </row>
    <row r="1019">
      <c r="A1019" s="96"/>
      <c r="B1019" s="96"/>
      <c r="C1019" s="98"/>
      <c r="D1019" s="98"/>
      <c r="E1019" s="100"/>
      <c r="F1019" s="100"/>
      <c r="G1019" s="101"/>
      <c r="H1019" s="100"/>
      <c r="I1019" s="100"/>
      <c r="J1019" s="46"/>
      <c r="K1019" s="101"/>
      <c r="L1019" s="101"/>
      <c r="M1019" s="87"/>
      <c r="N1019" s="87"/>
      <c r="O1019" s="87"/>
      <c r="P1019" s="87"/>
      <c r="Q1019" s="87"/>
      <c r="R1019" s="87"/>
      <c r="S1019" s="87"/>
      <c r="T1019" s="87"/>
      <c r="U1019" s="87"/>
      <c r="V1019" s="87"/>
      <c r="W1019" s="87"/>
      <c r="X1019" s="87"/>
      <c r="Y1019" s="87"/>
      <c r="Z1019" s="87"/>
    </row>
    <row r="1020">
      <c r="A1020" s="96"/>
      <c r="B1020" s="96"/>
      <c r="C1020" s="98"/>
      <c r="D1020" s="98"/>
      <c r="E1020" s="100"/>
      <c r="F1020" s="100"/>
      <c r="G1020" s="101"/>
      <c r="H1020" s="100"/>
      <c r="I1020" s="100"/>
      <c r="J1020" s="46"/>
      <c r="K1020" s="101"/>
      <c r="L1020" s="101"/>
      <c r="M1020" s="87"/>
      <c r="N1020" s="87"/>
      <c r="O1020" s="87"/>
      <c r="P1020" s="87"/>
      <c r="Q1020" s="87"/>
      <c r="R1020" s="87"/>
      <c r="S1020" s="87"/>
      <c r="T1020" s="87"/>
      <c r="U1020" s="87"/>
      <c r="V1020" s="87"/>
      <c r="W1020" s="87"/>
      <c r="X1020" s="87"/>
      <c r="Y1020" s="87"/>
      <c r="Z1020" s="87"/>
    </row>
    <row r="1021">
      <c r="A1021" s="96"/>
      <c r="B1021" s="96"/>
      <c r="C1021" s="98"/>
      <c r="D1021" s="98"/>
      <c r="E1021" s="100"/>
      <c r="F1021" s="100"/>
      <c r="G1021" s="101"/>
      <c r="H1021" s="100"/>
      <c r="I1021" s="100"/>
      <c r="J1021" s="46"/>
      <c r="K1021" s="101"/>
      <c r="L1021" s="101"/>
      <c r="M1021" s="87"/>
      <c r="N1021" s="87"/>
      <c r="O1021" s="87"/>
      <c r="P1021" s="87"/>
      <c r="Q1021" s="87"/>
      <c r="R1021" s="87"/>
      <c r="S1021" s="87"/>
      <c r="T1021" s="87"/>
      <c r="U1021" s="87"/>
      <c r="V1021" s="87"/>
      <c r="W1021" s="87"/>
      <c r="X1021" s="87"/>
      <c r="Y1021" s="87"/>
      <c r="Z1021" s="87"/>
    </row>
    <row r="1022">
      <c r="A1022" s="96"/>
      <c r="B1022" s="96"/>
      <c r="C1022" s="98"/>
      <c r="D1022" s="98"/>
      <c r="E1022" s="100"/>
      <c r="F1022" s="100"/>
      <c r="G1022" s="101"/>
      <c r="H1022" s="100"/>
      <c r="I1022" s="100"/>
      <c r="J1022" s="46"/>
      <c r="K1022" s="101"/>
      <c r="L1022" s="101"/>
      <c r="M1022" s="87"/>
      <c r="N1022" s="87"/>
      <c r="O1022" s="87"/>
      <c r="P1022" s="87"/>
      <c r="Q1022" s="87"/>
      <c r="R1022" s="87"/>
      <c r="S1022" s="87"/>
      <c r="T1022" s="87"/>
      <c r="U1022" s="87"/>
      <c r="V1022" s="87"/>
      <c r="W1022" s="87"/>
      <c r="X1022" s="87"/>
      <c r="Y1022" s="87"/>
      <c r="Z1022" s="87"/>
    </row>
    <row r="1023">
      <c r="A1023" s="96"/>
      <c r="B1023" s="96"/>
      <c r="C1023" s="98"/>
      <c r="D1023" s="98"/>
      <c r="E1023" s="100"/>
      <c r="F1023" s="100"/>
      <c r="G1023" s="101"/>
      <c r="H1023" s="100"/>
      <c r="I1023" s="100"/>
      <c r="J1023" s="46"/>
      <c r="K1023" s="101"/>
      <c r="L1023" s="101"/>
      <c r="M1023" s="87"/>
      <c r="N1023" s="87"/>
      <c r="O1023" s="87"/>
      <c r="P1023" s="87"/>
      <c r="Q1023" s="87"/>
      <c r="R1023" s="87"/>
      <c r="S1023" s="87"/>
      <c r="T1023" s="87"/>
      <c r="U1023" s="87"/>
      <c r="V1023" s="87"/>
      <c r="W1023" s="87"/>
      <c r="X1023" s="87"/>
      <c r="Y1023" s="87"/>
      <c r="Z1023" s="87"/>
    </row>
    <row r="1024">
      <c r="A1024" s="96"/>
      <c r="B1024" s="96"/>
      <c r="C1024" s="98"/>
      <c r="D1024" s="98"/>
      <c r="E1024" s="100"/>
      <c r="F1024" s="100"/>
      <c r="G1024" s="101"/>
      <c r="H1024" s="100"/>
      <c r="I1024" s="100"/>
      <c r="J1024" s="46"/>
      <c r="K1024" s="101"/>
      <c r="L1024" s="101"/>
      <c r="M1024" s="87"/>
      <c r="N1024" s="87"/>
      <c r="O1024" s="87"/>
      <c r="P1024" s="87"/>
      <c r="Q1024" s="87"/>
      <c r="R1024" s="87"/>
      <c r="S1024" s="87"/>
      <c r="T1024" s="87"/>
      <c r="U1024" s="87"/>
      <c r="V1024" s="87"/>
      <c r="W1024" s="87"/>
      <c r="X1024" s="87"/>
      <c r="Y1024" s="87"/>
      <c r="Z1024" s="87"/>
    </row>
    <row r="1025">
      <c r="A1025" s="96"/>
      <c r="B1025" s="96"/>
      <c r="C1025" s="98"/>
      <c r="D1025" s="98"/>
      <c r="E1025" s="100"/>
      <c r="F1025" s="100"/>
      <c r="G1025" s="101"/>
      <c r="H1025" s="100"/>
      <c r="I1025" s="100"/>
      <c r="J1025" s="46"/>
      <c r="K1025" s="101"/>
      <c r="L1025" s="101"/>
      <c r="M1025" s="87"/>
      <c r="N1025" s="87"/>
      <c r="O1025" s="87"/>
      <c r="P1025" s="87"/>
      <c r="Q1025" s="87"/>
      <c r="R1025" s="87"/>
      <c r="S1025" s="87"/>
      <c r="T1025" s="87"/>
      <c r="U1025" s="87"/>
      <c r="V1025" s="87"/>
      <c r="W1025" s="87"/>
      <c r="X1025" s="87"/>
      <c r="Y1025" s="87"/>
      <c r="Z1025" s="87"/>
    </row>
    <row r="1026">
      <c r="A1026" s="96"/>
      <c r="B1026" s="96"/>
      <c r="C1026" s="98"/>
      <c r="D1026" s="98"/>
      <c r="E1026" s="100"/>
      <c r="F1026" s="100"/>
      <c r="G1026" s="101"/>
      <c r="H1026" s="100"/>
      <c r="I1026" s="100"/>
      <c r="J1026" s="46"/>
      <c r="K1026" s="101"/>
      <c r="L1026" s="101"/>
      <c r="M1026" s="87"/>
      <c r="N1026" s="87"/>
      <c r="O1026" s="87"/>
      <c r="P1026" s="87"/>
      <c r="Q1026" s="87"/>
      <c r="R1026" s="87"/>
      <c r="S1026" s="87"/>
      <c r="T1026" s="87"/>
      <c r="U1026" s="87"/>
      <c r="V1026" s="87"/>
      <c r="W1026" s="87"/>
      <c r="X1026" s="87"/>
      <c r="Y1026" s="87"/>
      <c r="Z1026" s="87"/>
    </row>
    <row r="1027">
      <c r="A1027" s="96"/>
      <c r="B1027" s="96"/>
      <c r="C1027" s="98"/>
      <c r="D1027" s="98"/>
      <c r="E1027" s="100"/>
      <c r="F1027" s="100"/>
      <c r="G1027" s="101"/>
      <c r="H1027" s="100"/>
      <c r="I1027" s="100"/>
      <c r="J1027" s="46"/>
      <c r="K1027" s="101"/>
      <c r="L1027" s="101"/>
      <c r="M1027" s="87"/>
      <c r="N1027" s="87"/>
      <c r="O1027" s="87"/>
      <c r="P1027" s="87"/>
      <c r="Q1027" s="87"/>
      <c r="R1027" s="87"/>
      <c r="S1027" s="87"/>
      <c r="T1027" s="87"/>
      <c r="U1027" s="87"/>
      <c r="V1027" s="87"/>
      <c r="W1027" s="87"/>
      <c r="X1027" s="87"/>
      <c r="Y1027" s="87"/>
      <c r="Z1027" s="87"/>
    </row>
    <row r="1028">
      <c r="A1028" s="96"/>
      <c r="B1028" s="96"/>
      <c r="C1028" s="98"/>
      <c r="D1028" s="98"/>
      <c r="E1028" s="100"/>
      <c r="F1028" s="100"/>
      <c r="G1028" s="101"/>
      <c r="H1028" s="100"/>
      <c r="I1028" s="100"/>
      <c r="J1028" s="46"/>
      <c r="K1028" s="101"/>
      <c r="L1028" s="101"/>
      <c r="M1028" s="87"/>
      <c r="N1028" s="87"/>
      <c r="O1028" s="87"/>
      <c r="P1028" s="87"/>
      <c r="Q1028" s="87"/>
      <c r="R1028" s="87"/>
      <c r="S1028" s="87"/>
      <c r="T1028" s="87"/>
      <c r="U1028" s="87"/>
      <c r="V1028" s="87"/>
      <c r="W1028" s="87"/>
      <c r="X1028" s="87"/>
      <c r="Y1028" s="87"/>
      <c r="Z1028" s="87"/>
    </row>
    <row r="1029">
      <c r="A1029" s="96"/>
      <c r="B1029" s="96"/>
      <c r="C1029" s="98"/>
      <c r="D1029" s="98"/>
      <c r="E1029" s="100"/>
      <c r="F1029" s="100"/>
      <c r="G1029" s="101"/>
      <c r="H1029" s="100"/>
      <c r="I1029" s="100"/>
      <c r="J1029" s="46"/>
      <c r="K1029" s="101"/>
      <c r="L1029" s="101"/>
      <c r="M1029" s="87"/>
      <c r="N1029" s="87"/>
      <c r="O1029" s="87"/>
      <c r="P1029" s="87"/>
      <c r="Q1029" s="87"/>
      <c r="R1029" s="87"/>
      <c r="S1029" s="87"/>
      <c r="T1029" s="87"/>
      <c r="U1029" s="87"/>
      <c r="V1029" s="87"/>
      <c r="W1029" s="87"/>
      <c r="X1029" s="87"/>
      <c r="Y1029" s="87"/>
      <c r="Z1029" s="87"/>
    </row>
    <row r="1030">
      <c r="A1030" s="96"/>
      <c r="B1030" s="96"/>
      <c r="C1030" s="98"/>
      <c r="D1030" s="98"/>
      <c r="E1030" s="100"/>
      <c r="F1030" s="100"/>
      <c r="G1030" s="101"/>
      <c r="H1030" s="100"/>
      <c r="I1030" s="100"/>
      <c r="J1030" s="46"/>
      <c r="K1030" s="101"/>
      <c r="L1030" s="101"/>
      <c r="M1030" s="87"/>
      <c r="N1030" s="87"/>
      <c r="O1030" s="87"/>
      <c r="P1030" s="87"/>
      <c r="Q1030" s="87"/>
      <c r="R1030" s="87"/>
      <c r="S1030" s="87"/>
      <c r="T1030" s="87"/>
      <c r="U1030" s="87"/>
      <c r="V1030" s="87"/>
      <c r="W1030" s="87"/>
      <c r="X1030" s="87"/>
      <c r="Y1030" s="87"/>
      <c r="Z1030" s="87"/>
    </row>
    <row r="1031">
      <c r="A1031" s="96"/>
      <c r="B1031" s="96"/>
      <c r="C1031" s="98"/>
      <c r="D1031" s="98"/>
      <c r="E1031" s="100"/>
      <c r="F1031" s="100"/>
      <c r="G1031" s="101"/>
      <c r="H1031" s="100"/>
      <c r="I1031" s="100"/>
      <c r="J1031" s="46"/>
      <c r="K1031" s="101"/>
      <c r="L1031" s="101"/>
      <c r="M1031" s="87"/>
      <c r="N1031" s="87"/>
      <c r="O1031" s="87"/>
      <c r="P1031" s="87"/>
      <c r="Q1031" s="87"/>
      <c r="R1031" s="87"/>
      <c r="S1031" s="87"/>
      <c r="T1031" s="87"/>
      <c r="U1031" s="87"/>
      <c r="V1031" s="87"/>
      <c r="W1031" s="87"/>
      <c r="X1031" s="87"/>
      <c r="Y1031" s="87"/>
      <c r="Z1031" s="87"/>
    </row>
    <row r="1032">
      <c r="A1032" s="96"/>
      <c r="B1032" s="96"/>
      <c r="C1032" s="98"/>
      <c r="D1032" s="98"/>
      <c r="E1032" s="100"/>
      <c r="F1032" s="100"/>
      <c r="G1032" s="101"/>
      <c r="H1032" s="100"/>
      <c r="I1032" s="100"/>
      <c r="J1032" s="46"/>
      <c r="K1032" s="101"/>
      <c r="L1032" s="101"/>
      <c r="M1032" s="87"/>
      <c r="N1032" s="87"/>
      <c r="O1032" s="87"/>
      <c r="P1032" s="87"/>
      <c r="Q1032" s="87"/>
      <c r="R1032" s="87"/>
      <c r="S1032" s="87"/>
      <c r="T1032" s="87"/>
      <c r="U1032" s="87"/>
      <c r="V1032" s="87"/>
      <c r="W1032" s="87"/>
      <c r="X1032" s="87"/>
      <c r="Y1032" s="87"/>
      <c r="Z1032" s="87"/>
    </row>
    <row r="1033">
      <c r="A1033" s="96"/>
      <c r="B1033" s="96"/>
      <c r="C1033" s="98"/>
      <c r="D1033" s="98"/>
      <c r="E1033" s="100"/>
      <c r="F1033" s="100"/>
      <c r="G1033" s="101"/>
      <c r="H1033" s="100"/>
      <c r="I1033" s="100"/>
      <c r="J1033" s="46"/>
      <c r="K1033" s="101"/>
      <c r="L1033" s="101"/>
      <c r="M1033" s="87"/>
      <c r="N1033" s="87"/>
      <c r="O1033" s="87"/>
      <c r="P1033" s="87"/>
      <c r="Q1033" s="87"/>
      <c r="R1033" s="87"/>
      <c r="S1033" s="87"/>
      <c r="T1033" s="87"/>
      <c r="U1033" s="87"/>
      <c r="V1033" s="87"/>
      <c r="W1033" s="87"/>
      <c r="X1033" s="87"/>
      <c r="Y1033" s="87"/>
      <c r="Z1033" s="87"/>
    </row>
    <row r="1034">
      <c r="A1034" s="96"/>
      <c r="B1034" s="96"/>
      <c r="C1034" s="98"/>
      <c r="D1034" s="98"/>
      <c r="E1034" s="100"/>
      <c r="F1034" s="100"/>
      <c r="G1034" s="101"/>
      <c r="H1034" s="100"/>
      <c r="I1034" s="100"/>
      <c r="J1034" s="46"/>
      <c r="K1034" s="101"/>
      <c r="L1034" s="101"/>
      <c r="M1034" s="87"/>
      <c r="N1034" s="87"/>
      <c r="O1034" s="87"/>
      <c r="P1034" s="87"/>
      <c r="Q1034" s="87"/>
      <c r="R1034" s="87"/>
      <c r="S1034" s="87"/>
      <c r="T1034" s="87"/>
      <c r="U1034" s="87"/>
      <c r="V1034" s="87"/>
      <c r="W1034" s="87"/>
      <c r="X1034" s="87"/>
      <c r="Y1034" s="87"/>
      <c r="Z1034" s="87"/>
    </row>
    <row r="1035">
      <c r="A1035" s="96"/>
      <c r="B1035" s="96"/>
      <c r="C1035" s="98"/>
      <c r="D1035" s="98"/>
      <c r="E1035" s="100"/>
      <c r="F1035" s="100"/>
      <c r="G1035" s="101"/>
      <c r="H1035" s="100"/>
      <c r="I1035" s="100"/>
      <c r="J1035" s="46"/>
      <c r="K1035" s="101"/>
      <c r="L1035" s="101"/>
      <c r="M1035" s="87"/>
      <c r="N1035" s="87"/>
      <c r="O1035" s="87"/>
      <c r="P1035" s="87"/>
      <c r="Q1035" s="87"/>
      <c r="R1035" s="87"/>
      <c r="S1035" s="87"/>
      <c r="T1035" s="87"/>
      <c r="U1035" s="87"/>
      <c r="V1035" s="87"/>
      <c r="W1035" s="87"/>
      <c r="X1035" s="87"/>
      <c r="Y1035" s="87"/>
      <c r="Z1035" s="87"/>
    </row>
    <row r="1036">
      <c r="A1036" s="96"/>
      <c r="B1036" s="96"/>
      <c r="C1036" s="98"/>
      <c r="D1036" s="98"/>
      <c r="E1036" s="100"/>
      <c r="F1036" s="100"/>
      <c r="G1036" s="96"/>
      <c r="H1036" s="100"/>
      <c r="I1036" s="100"/>
      <c r="J1036" s="102"/>
      <c r="K1036" s="96"/>
      <c r="L1036" s="96"/>
      <c r="M1036" s="87"/>
      <c r="N1036" s="87"/>
      <c r="O1036" s="87"/>
      <c r="P1036" s="87"/>
      <c r="Q1036" s="87"/>
      <c r="R1036" s="87"/>
      <c r="S1036" s="87"/>
      <c r="T1036" s="87"/>
      <c r="U1036" s="87"/>
      <c r="V1036" s="87"/>
      <c r="W1036" s="87"/>
      <c r="X1036" s="87"/>
      <c r="Y1036" s="87"/>
      <c r="Z1036" s="87"/>
    </row>
    <row r="1037">
      <c r="A1037" s="96"/>
      <c r="B1037" s="96"/>
      <c r="C1037" s="98"/>
      <c r="D1037" s="98"/>
      <c r="E1037" s="100"/>
      <c r="F1037" s="100"/>
      <c r="G1037" s="96"/>
      <c r="H1037" s="100"/>
      <c r="I1037" s="100"/>
      <c r="J1037" s="102"/>
      <c r="K1037" s="96"/>
      <c r="L1037" s="96"/>
      <c r="M1037" s="87"/>
      <c r="N1037" s="87"/>
      <c r="O1037" s="87"/>
      <c r="P1037" s="87"/>
      <c r="Q1037" s="87"/>
      <c r="R1037" s="87"/>
      <c r="S1037" s="87"/>
      <c r="T1037" s="87"/>
      <c r="U1037" s="87"/>
      <c r="V1037" s="87"/>
      <c r="W1037" s="87"/>
      <c r="X1037" s="87"/>
      <c r="Y1037" s="87"/>
      <c r="Z1037" s="87"/>
    </row>
    <row r="1038">
      <c r="A1038" s="96"/>
      <c r="B1038" s="96"/>
      <c r="C1038" s="98"/>
      <c r="D1038" s="98"/>
      <c r="E1038" s="100"/>
      <c r="F1038" s="100"/>
      <c r="G1038" s="96"/>
      <c r="H1038" s="100"/>
      <c r="I1038" s="100"/>
      <c r="J1038" s="102"/>
      <c r="K1038" s="96"/>
      <c r="L1038" s="96"/>
      <c r="M1038" s="87"/>
      <c r="N1038" s="87"/>
      <c r="O1038" s="87"/>
      <c r="P1038" s="87"/>
      <c r="Q1038" s="87"/>
      <c r="R1038" s="87"/>
      <c r="S1038" s="87"/>
      <c r="T1038" s="87"/>
      <c r="U1038" s="87"/>
      <c r="V1038" s="87"/>
      <c r="W1038" s="87"/>
      <c r="X1038" s="87"/>
      <c r="Y1038" s="87"/>
      <c r="Z1038" s="87"/>
    </row>
    <row r="1039">
      <c r="A1039" s="96"/>
      <c r="B1039" s="96"/>
      <c r="C1039" s="98"/>
      <c r="D1039" s="98"/>
      <c r="E1039" s="100"/>
      <c r="F1039" s="100"/>
      <c r="G1039" s="96"/>
      <c r="H1039" s="100"/>
      <c r="I1039" s="100"/>
      <c r="J1039" s="102"/>
      <c r="K1039" s="96"/>
      <c r="L1039" s="96"/>
      <c r="M1039" s="87"/>
      <c r="N1039" s="87"/>
      <c r="O1039" s="87"/>
      <c r="P1039" s="87"/>
      <c r="Q1039" s="87"/>
      <c r="R1039" s="87"/>
      <c r="S1039" s="87"/>
      <c r="T1039" s="87"/>
      <c r="U1039" s="87"/>
      <c r="V1039" s="87"/>
      <c r="W1039" s="87"/>
      <c r="X1039" s="87"/>
      <c r="Y1039" s="87"/>
      <c r="Z1039" s="87"/>
    </row>
    <row r="1040">
      <c r="A1040" s="96"/>
      <c r="B1040" s="96"/>
      <c r="C1040" s="98"/>
      <c r="D1040" s="98"/>
      <c r="E1040" s="100"/>
      <c r="F1040" s="100"/>
      <c r="G1040" s="96"/>
      <c r="H1040" s="100"/>
      <c r="I1040" s="100"/>
      <c r="J1040" s="102"/>
      <c r="K1040" s="96"/>
      <c r="L1040" s="96"/>
      <c r="M1040" s="87"/>
      <c r="N1040" s="87"/>
      <c r="O1040" s="87"/>
      <c r="P1040" s="87"/>
      <c r="Q1040" s="87"/>
      <c r="R1040" s="87"/>
      <c r="S1040" s="87"/>
      <c r="T1040" s="87"/>
      <c r="U1040" s="87"/>
      <c r="V1040" s="87"/>
      <c r="W1040" s="87"/>
      <c r="X1040" s="87"/>
      <c r="Y1040" s="87"/>
      <c r="Z1040" s="87"/>
    </row>
    <row r="1041">
      <c r="A1041" s="96"/>
      <c r="B1041" s="96"/>
      <c r="C1041" s="98"/>
      <c r="D1041" s="98"/>
      <c r="E1041" s="100"/>
      <c r="F1041" s="100"/>
      <c r="G1041" s="96"/>
      <c r="H1041" s="100"/>
      <c r="I1041" s="100"/>
      <c r="J1041" s="102"/>
      <c r="K1041" s="96"/>
      <c r="L1041" s="96"/>
      <c r="M1041" s="87"/>
      <c r="N1041" s="87"/>
      <c r="O1041" s="87"/>
      <c r="P1041" s="87"/>
      <c r="Q1041" s="87"/>
      <c r="R1041" s="87"/>
      <c r="S1041" s="87"/>
      <c r="T1041" s="87"/>
      <c r="U1041" s="87"/>
      <c r="V1041" s="87"/>
      <c r="W1041" s="87"/>
      <c r="X1041" s="87"/>
      <c r="Y1041" s="87"/>
      <c r="Z1041" s="87"/>
    </row>
    <row r="1042">
      <c r="A1042" s="96"/>
      <c r="B1042" s="96"/>
      <c r="C1042" s="98"/>
      <c r="D1042" s="98"/>
      <c r="E1042" s="100"/>
      <c r="F1042" s="100"/>
      <c r="G1042" s="96"/>
      <c r="H1042" s="100"/>
      <c r="I1042" s="100"/>
      <c r="J1042" s="102"/>
      <c r="K1042" s="96"/>
      <c r="L1042" s="96"/>
      <c r="M1042" s="87"/>
      <c r="N1042" s="87"/>
      <c r="O1042" s="87"/>
      <c r="P1042" s="87"/>
      <c r="Q1042" s="87"/>
      <c r="R1042" s="87"/>
      <c r="S1042" s="87"/>
      <c r="T1042" s="87"/>
      <c r="U1042" s="87"/>
      <c r="V1042" s="87"/>
      <c r="W1042" s="87"/>
      <c r="X1042" s="87"/>
      <c r="Y1042" s="87"/>
      <c r="Z1042" s="87"/>
    </row>
    <row r="1043">
      <c r="A1043" s="96"/>
      <c r="B1043" s="96"/>
      <c r="C1043" s="98"/>
      <c r="D1043" s="98"/>
      <c r="E1043" s="100"/>
      <c r="F1043" s="100"/>
      <c r="G1043" s="96"/>
      <c r="H1043" s="100"/>
      <c r="I1043" s="100"/>
      <c r="J1043" s="102"/>
      <c r="K1043" s="96"/>
      <c r="L1043" s="96"/>
      <c r="M1043" s="87"/>
      <c r="N1043" s="87"/>
      <c r="O1043" s="87"/>
      <c r="P1043" s="87"/>
      <c r="Q1043" s="87"/>
      <c r="R1043" s="87"/>
      <c r="S1043" s="87"/>
      <c r="T1043" s="87"/>
      <c r="U1043" s="87"/>
      <c r="V1043" s="87"/>
      <c r="W1043" s="87"/>
      <c r="X1043" s="87"/>
      <c r="Y1043" s="87"/>
      <c r="Z1043" s="87"/>
    </row>
    <row r="1044">
      <c r="A1044" s="96"/>
      <c r="B1044" s="96"/>
      <c r="C1044" s="98"/>
      <c r="D1044" s="98"/>
      <c r="E1044" s="100"/>
      <c r="F1044" s="100"/>
      <c r="G1044" s="96"/>
      <c r="H1044" s="100"/>
      <c r="I1044" s="100"/>
      <c r="J1044" s="102"/>
      <c r="K1044" s="96"/>
      <c r="L1044" s="96"/>
      <c r="M1044" s="87"/>
      <c r="N1044" s="87"/>
      <c r="O1044" s="87"/>
      <c r="P1044" s="87"/>
      <c r="Q1044" s="87"/>
      <c r="R1044" s="87"/>
      <c r="S1044" s="87"/>
      <c r="T1044" s="87"/>
      <c r="U1044" s="87"/>
      <c r="V1044" s="87"/>
      <c r="W1044" s="87"/>
      <c r="X1044" s="87"/>
      <c r="Y1044" s="87"/>
      <c r="Z1044" s="87"/>
    </row>
    <row r="1045">
      <c r="A1045" s="96"/>
      <c r="B1045" s="96"/>
      <c r="C1045" s="98"/>
      <c r="D1045" s="98"/>
      <c r="E1045" s="100"/>
      <c r="F1045" s="100"/>
      <c r="G1045" s="96"/>
      <c r="H1045" s="100"/>
      <c r="I1045" s="100"/>
      <c r="J1045" s="102"/>
      <c r="K1045" s="96"/>
      <c r="L1045" s="96"/>
      <c r="M1045" s="87"/>
      <c r="N1045" s="87"/>
      <c r="O1045" s="87"/>
      <c r="P1045" s="87"/>
      <c r="Q1045" s="87"/>
      <c r="R1045" s="87"/>
      <c r="S1045" s="87"/>
      <c r="T1045" s="87"/>
      <c r="U1045" s="87"/>
      <c r="V1045" s="87"/>
      <c r="W1045" s="87"/>
      <c r="X1045" s="87"/>
      <c r="Y1045" s="87"/>
      <c r="Z1045" s="87"/>
    </row>
    <row r="1046">
      <c r="A1046" s="96"/>
      <c r="B1046" s="96"/>
      <c r="C1046" s="98"/>
      <c r="D1046" s="98"/>
      <c r="E1046" s="100"/>
      <c r="F1046" s="100"/>
      <c r="G1046" s="96"/>
      <c r="H1046" s="100"/>
      <c r="I1046" s="100"/>
      <c r="J1046" s="102"/>
      <c r="K1046" s="96"/>
      <c r="L1046" s="96"/>
      <c r="M1046" s="87"/>
      <c r="N1046" s="87"/>
      <c r="O1046" s="87"/>
      <c r="P1046" s="87"/>
      <c r="Q1046" s="87"/>
      <c r="R1046" s="87"/>
      <c r="S1046" s="87"/>
      <c r="T1046" s="87"/>
      <c r="U1046" s="87"/>
      <c r="V1046" s="87"/>
      <c r="W1046" s="87"/>
      <c r="X1046" s="87"/>
      <c r="Y1046" s="87"/>
      <c r="Z1046" s="87"/>
    </row>
    <row r="1047">
      <c r="A1047" s="96"/>
      <c r="B1047" s="96"/>
      <c r="C1047" s="98"/>
      <c r="D1047" s="98"/>
      <c r="E1047" s="100"/>
      <c r="F1047" s="100"/>
      <c r="G1047" s="96"/>
      <c r="H1047" s="100"/>
      <c r="I1047" s="100"/>
      <c r="J1047" s="102"/>
      <c r="K1047" s="96"/>
      <c r="L1047" s="96"/>
      <c r="M1047" s="87"/>
      <c r="N1047" s="87"/>
      <c r="O1047" s="87"/>
      <c r="P1047" s="87"/>
      <c r="Q1047" s="87"/>
      <c r="R1047" s="87"/>
      <c r="S1047" s="87"/>
      <c r="T1047" s="87"/>
      <c r="U1047" s="87"/>
      <c r="V1047" s="87"/>
      <c r="W1047" s="87"/>
      <c r="X1047" s="87"/>
      <c r="Y1047" s="87"/>
      <c r="Z1047" s="87"/>
    </row>
    <row r="1048">
      <c r="A1048" s="96"/>
      <c r="B1048" s="96"/>
      <c r="C1048" s="98"/>
      <c r="D1048" s="98"/>
      <c r="E1048" s="100"/>
      <c r="F1048" s="100"/>
      <c r="G1048" s="96"/>
      <c r="H1048" s="100"/>
      <c r="I1048" s="100"/>
      <c r="J1048" s="102"/>
      <c r="K1048" s="96"/>
      <c r="L1048" s="96"/>
      <c r="M1048" s="87"/>
      <c r="N1048" s="87"/>
      <c r="O1048" s="87"/>
      <c r="P1048" s="87"/>
      <c r="Q1048" s="87"/>
      <c r="R1048" s="87"/>
      <c r="S1048" s="87"/>
      <c r="T1048" s="87"/>
      <c r="U1048" s="87"/>
      <c r="V1048" s="87"/>
      <c r="W1048" s="87"/>
      <c r="X1048" s="87"/>
      <c r="Y1048" s="87"/>
      <c r="Z1048" s="87"/>
    </row>
    <row r="1049">
      <c r="A1049" s="96"/>
      <c r="B1049" s="96"/>
      <c r="C1049" s="98"/>
      <c r="D1049" s="98"/>
      <c r="E1049" s="100"/>
      <c r="F1049" s="100"/>
      <c r="G1049" s="96"/>
      <c r="H1049" s="100"/>
      <c r="I1049" s="100"/>
      <c r="J1049" s="102"/>
      <c r="K1049" s="96"/>
      <c r="L1049" s="96"/>
      <c r="M1049" s="87"/>
      <c r="N1049" s="87"/>
      <c r="O1049" s="87"/>
      <c r="P1049" s="87"/>
      <c r="Q1049" s="87"/>
      <c r="R1049" s="87"/>
      <c r="S1049" s="87"/>
      <c r="T1049" s="87"/>
      <c r="U1049" s="87"/>
      <c r="V1049" s="87"/>
      <c r="W1049" s="87"/>
      <c r="X1049" s="87"/>
      <c r="Y1049" s="87"/>
      <c r="Z1049" s="87"/>
    </row>
    <row r="1050">
      <c r="A1050" s="96"/>
      <c r="B1050" s="96"/>
      <c r="C1050" s="98"/>
      <c r="D1050" s="98"/>
      <c r="E1050" s="100"/>
      <c r="F1050" s="100"/>
      <c r="G1050" s="96"/>
      <c r="H1050" s="100"/>
      <c r="I1050" s="100"/>
      <c r="J1050" s="102"/>
      <c r="K1050" s="96"/>
      <c r="L1050" s="96"/>
      <c r="M1050" s="87"/>
      <c r="N1050" s="87"/>
      <c r="O1050" s="87"/>
      <c r="P1050" s="87"/>
      <c r="Q1050" s="87"/>
      <c r="R1050" s="87"/>
      <c r="S1050" s="87"/>
      <c r="T1050" s="87"/>
      <c r="U1050" s="87"/>
      <c r="V1050" s="87"/>
      <c r="W1050" s="87"/>
      <c r="X1050" s="87"/>
      <c r="Y1050" s="87"/>
      <c r="Z1050" s="87"/>
    </row>
    <row r="1051">
      <c r="A1051" s="96"/>
      <c r="B1051" s="96"/>
      <c r="C1051" s="98"/>
      <c r="D1051" s="98"/>
      <c r="E1051" s="100"/>
      <c r="F1051" s="100"/>
      <c r="G1051" s="96"/>
      <c r="H1051" s="100"/>
      <c r="I1051" s="100"/>
      <c r="J1051" s="102"/>
      <c r="K1051" s="96"/>
      <c r="L1051" s="96"/>
      <c r="M1051" s="87"/>
      <c r="N1051" s="87"/>
      <c r="O1051" s="87"/>
      <c r="P1051" s="87"/>
      <c r="Q1051" s="87"/>
      <c r="R1051" s="87"/>
      <c r="S1051" s="87"/>
      <c r="T1051" s="87"/>
      <c r="U1051" s="87"/>
      <c r="V1051" s="87"/>
      <c r="W1051" s="87"/>
      <c r="X1051" s="87"/>
      <c r="Y1051" s="87"/>
      <c r="Z1051" s="87"/>
    </row>
    <row r="1052">
      <c r="A1052" s="96"/>
      <c r="B1052" s="96"/>
      <c r="C1052" s="98"/>
      <c r="D1052" s="98"/>
      <c r="E1052" s="100"/>
      <c r="F1052" s="100"/>
      <c r="G1052" s="96"/>
      <c r="H1052" s="100"/>
      <c r="I1052" s="100"/>
      <c r="J1052" s="102"/>
      <c r="K1052" s="96"/>
      <c r="L1052" s="96"/>
      <c r="M1052" s="87"/>
      <c r="N1052" s="87"/>
      <c r="O1052" s="87"/>
      <c r="P1052" s="87"/>
      <c r="Q1052" s="87"/>
      <c r="R1052" s="87"/>
      <c r="S1052" s="87"/>
      <c r="T1052" s="87"/>
      <c r="U1052" s="87"/>
      <c r="V1052" s="87"/>
      <c r="W1052" s="87"/>
      <c r="X1052" s="87"/>
      <c r="Y1052" s="87"/>
      <c r="Z1052" s="87"/>
    </row>
    <row r="1053">
      <c r="A1053" s="96"/>
      <c r="B1053" s="96"/>
      <c r="C1053" s="98"/>
      <c r="D1053" s="98"/>
      <c r="E1053" s="100"/>
      <c r="F1053" s="100"/>
      <c r="G1053" s="96"/>
      <c r="H1053" s="100"/>
      <c r="I1053" s="100"/>
      <c r="J1053" s="102"/>
      <c r="K1053" s="96"/>
      <c r="L1053" s="96"/>
      <c r="M1053" s="87"/>
      <c r="N1053" s="87"/>
      <c r="O1053" s="87"/>
      <c r="P1053" s="87"/>
      <c r="Q1053" s="87"/>
      <c r="R1053" s="87"/>
      <c r="S1053" s="87"/>
      <c r="T1053" s="87"/>
      <c r="U1053" s="87"/>
      <c r="V1053" s="87"/>
      <c r="W1053" s="87"/>
      <c r="X1053" s="87"/>
      <c r="Y1053" s="87"/>
      <c r="Z1053" s="87"/>
    </row>
    <row r="1054">
      <c r="A1054" s="96"/>
      <c r="B1054" s="96"/>
      <c r="C1054" s="98"/>
      <c r="D1054" s="98"/>
      <c r="E1054" s="100"/>
      <c r="F1054" s="100"/>
      <c r="G1054" s="96"/>
      <c r="H1054" s="100"/>
      <c r="I1054" s="100"/>
      <c r="J1054" s="102"/>
      <c r="K1054" s="96"/>
      <c r="L1054" s="96"/>
      <c r="M1054" s="87"/>
      <c r="N1054" s="87"/>
      <c r="O1054" s="87"/>
      <c r="P1054" s="87"/>
      <c r="Q1054" s="87"/>
      <c r="R1054" s="87"/>
      <c r="S1054" s="87"/>
      <c r="T1054" s="87"/>
      <c r="U1054" s="87"/>
      <c r="V1054" s="87"/>
      <c r="W1054" s="87"/>
      <c r="X1054" s="87"/>
      <c r="Y1054" s="87"/>
      <c r="Z1054" s="87"/>
    </row>
    <row r="1055">
      <c r="A1055" s="96"/>
      <c r="B1055" s="96"/>
      <c r="C1055" s="98"/>
      <c r="D1055" s="98"/>
      <c r="E1055" s="100"/>
      <c r="F1055" s="100"/>
      <c r="G1055" s="96"/>
      <c r="H1055" s="100"/>
      <c r="I1055" s="100"/>
      <c r="J1055" s="102"/>
      <c r="K1055" s="96"/>
      <c r="L1055" s="96"/>
      <c r="M1055" s="87"/>
      <c r="N1055" s="87"/>
      <c r="O1055" s="87"/>
      <c r="P1055" s="87"/>
      <c r="Q1055" s="87"/>
      <c r="R1055" s="87"/>
      <c r="S1055" s="87"/>
      <c r="T1055" s="87"/>
      <c r="U1055" s="87"/>
      <c r="V1055" s="87"/>
      <c r="W1055" s="87"/>
      <c r="X1055" s="87"/>
      <c r="Y1055" s="87"/>
      <c r="Z1055" s="87"/>
    </row>
    <row r="1056">
      <c r="A1056" s="96"/>
      <c r="B1056" s="96"/>
      <c r="C1056" s="98"/>
      <c r="D1056" s="98"/>
      <c r="E1056" s="100"/>
      <c r="F1056" s="100"/>
      <c r="G1056" s="96"/>
      <c r="H1056" s="100"/>
      <c r="I1056" s="100"/>
      <c r="J1056" s="102"/>
      <c r="K1056" s="96"/>
      <c r="L1056" s="96"/>
      <c r="M1056" s="87"/>
      <c r="N1056" s="87"/>
      <c r="O1056" s="87"/>
      <c r="P1056" s="87"/>
      <c r="Q1056" s="87"/>
      <c r="R1056" s="87"/>
      <c r="S1056" s="87"/>
      <c r="T1056" s="87"/>
      <c r="U1056" s="87"/>
      <c r="V1056" s="87"/>
      <c r="W1056" s="87"/>
      <c r="X1056" s="87"/>
      <c r="Y1056" s="87"/>
      <c r="Z1056" s="87"/>
    </row>
    <row r="1057">
      <c r="A1057" s="96"/>
      <c r="B1057" s="96"/>
      <c r="C1057" s="98"/>
      <c r="D1057" s="98"/>
      <c r="E1057" s="100"/>
      <c r="F1057" s="100"/>
      <c r="G1057" s="96"/>
      <c r="H1057" s="100"/>
      <c r="I1057" s="100"/>
      <c r="J1057" s="102"/>
      <c r="K1057" s="96"/>
      <c r="L1057" s="96"/>
      <c r="M1057" s="87"/>
      <c r="N1057" s="87"/>
      <c r="O1057" s="87"/>
      <c r="P1057" s="87"/>
      <c r="Q1057" s="87"/>
      <c r="R1057" s="87"/>
      <c r="S1057" s="87"/>
      <c r="T1057" s="87"/>
      <c r="U1057" s="87"/>
      <c r="V1057" s="87"/>
      <c r="W1057" s="87"/>
      <c r="X1057" s="87"/>
      <c r="Y1057" s="87"/>
      <c r="Z1057" s="87"/>
    </row>
    <row r="1058">
      <c r="A1058" s="96"/>
      <c r="B1058" s="96"/>
      <c r="C1058" s="98"/>
      <c r="D1058" s="98"/>
      <c r="E1058" s="100"/>
      <c r="F1058" s="100"/>
      <c r="G1058" s="96"/>
      <c r="H1058" s="100"/>
      <c r="I1058" s="100"/>
      <c r="J1058" s="102"/>
      <c r="K1058" s="96"/>
      <c r="L1058" s="96"/>
      <c r="M1058" s="87"/>
      <c r="N1058" s="87"/>
      <c r="O1058" s="87"/>
      <c r="P1058" s="87"/>
      <c r="Q1058" s="87"/>
      <c r="R1058" s="87"/>
      <c r="S1058" s="87"/>
      <c r="T1058" s="87"/>
      <c r="U1058" s="87"/>
      <c r="V1058" s="87"/>
      <c r="W1058" s="87"/>
      <c r="X1058" s="87"/>
      <c r="Y1058" s="87"/>
      <c r="Z1058" s="87"/>
    </row>
    <row r="1059">
      <c r="A1059" s="96"/>
      <c r="B1059" s="96"/>
      <c r="C1059" s="98"/>
      <c r="D1059" s="98"/>
      <c r="E1059" s="100"/>
      <c r="F1059" s="100"/>
      <c r="G1059" s="96"/>
      <c r="H1059" s="100"/>
      <c r="I1059" s="100"/>
      <c r="J1059" s="102"/>
      <c r="K1059" s="96"/>
      <c r="L1059" s="96"/>
      <c r="M1059" s="87"/>
      <c r="N1059" s="87"/>
      <c r="O1059" s="87"/>
      <c r="P1059" s="87"/>
      <c r="Q1059" s="87"/>
      <c r="R1059" s="87"/>
      <c r="S1059" s="87"/>
      <c r="T1059" s="87"/>
      <c r="U1059" s="87"/>
      <c r="V1059" s="87"/>
      <c r="W1059" s="87"/>
      <c r="X1059" s="87"/>
      <c r="Y1059" s="87"/>
      <c r="Z1059" s="87"/>
    </row>
    <row r="1060">
      <c r="A1060" s="96"/>
      <c r="B1060" s="96"/>
      <c r="C1060" s="98"/>
      <c r="D1060" s="98"/>
      <c r="E1060" s="100"/>
      <c r="F1060" s="100"/>
      <c r="G1060" s="96"/>
      <c r="H1060" s="100"/>
      <c r="I1060" s="100"/>
      <c r="J1060" s="102"/>
      <c r="K1060" s="96"/>
      <c r="L1060" s="96"/>
      <c r="M1060" s="87"/>
      <c r="N1060" s="87"/>
      <c r="O1060" s="87"/>
      <c r="P1060" s="87"/>
      <c r="Q1060" s="87"/>
      <c r="R1060" s="87"/>
      <c r="S1060" s="87"/>
      <c r="T1060" s="87"/>
      <c r="U1060" s="87"/>
      <c r="V1060" s="87"/>
      <c r="W1060" s="87"/>
      <c r="X1060" s="87"/>
      <c r="Y1060" s="87"/>
      <c r="Z1060" s="87"/>
    </row>
    <row r="1061">
      <c r="A1061" s="96"/>
      <c r="B1061" s="96"/>
      <c r="C1061" s="98"/>
      <c r="D1061" s="98"/>
      <c r="E1061" s="100"/>
      <c r="F1061" s="100"/>
      <c r="G1061" s="96"/>
      <c r="H1061" s="100"/>
      <c r="I1061" s="100"/>
      <c r="J1061" s="102"/>
      <c r="K1061" s="96"/>
      <c r="L1061" s="96"/>
      <c r="M1061" s="87"/>
      <c r="N1061" s="87"/>
      <c r="O1061" s="87"/>
      <c r="P1061" s="87"/>
      <c r="Q1061" s="87"/>
      <c r="R1061" s="87"/>
      <c r="S1061" s="87"/>
      <c r="T1061" s="87"/>
      <c r="U1061" s="87"/>
      <c r="V1061" s="87"/>
      <c r="W1061" s="87"/>
      <c r="X1061" s="87"/>
      <c r="Y1061" s="87"/>
      <c r="Z1061" s="87"/>
    </row>
    <row r="1062">
      <c r="A1062" s="96"/>
      <c r="B1062" s="96"/>
      <c r="C1062" s="98"/>
      <c r="D1062" s="98"/>
      <c r="E1062" s="100"/>
      <c r="F1062" s="100"/>
      <c r="G1062" s="96"/>
      <c r="H1062" s="100"/>
      <c r="I1062" s="100"/>
      <c r="J1062" s="102"/>
      <c r="K1062" s="96"/>
      <c r="L1062" s="96"/>
      <c r="M1062" s="87"/>
      <c r="N1062" s="87"/>
      <c r="O1062" s="87"/>
      <c r="P1062" s="87"/>
      <c r="Q1062" s="87"/>
      <c r="R1062" s="87"/>
      <c r="S1062" s="87"/>
      <c r="T1062" s="87"/>
      <c r="U1062" s="87"/>
      <c r="V1062" s="87"/>
      <c r="W1062" s="87"/>
      <c r="X1062" s="87"/>
      <c r="Y1062" s="87"/>
      <c r="Z1062" s="87"/>
    </row>
    <row r="1063">
      <c r="A1063" s="96"/>
      <c r="B1063" s="96"/>
      <c r="C1063" s="98"/>
      <c r="D1063" s="98"/>
      <c r="E1063" s="100"/>
      <c r="F1063" s="100"/>
      <c r="G1063" s="96"/>
      <c r="H1063" s="100"/>
      <c r="I1063" s="100"/>
      <c r="J1063" s="102"/>
      <c r="K1063" s="96"/>
      <c r="L1063" s="96"/>
      <c r="M1063" s="87"/>
      <c r="N1063" s="87"/>
      <c r="O1063" s="87"/>
      <c r="P1063" s="87"/>
      <c r="Q1063" s="87"/>
      <c r="R1063" s="87"/>
      <c r="S1063" s="87"/>
      <c r="T1063" s="87"/>
      <c r="U1063" s="87"/>
      <c r="V1063" s="87"/>
      <c r="W1063" s="87"/>
      <c r="X1063" s="87"/>
      <c r="Y1063" s="87"/>
      <c r="Z1063" s="87"/>
    </row>
    <row r="1064">
      <c r="A1064" s="96"/>
      <c r="B1064" s="96"/>
      <c r="C1064" s="98"/>
      <c r="D1064" s="98"/>
      <c r="E1064" s="100"/>
      <c r="F1064" s="100"/>
      <c r="G1064" s="96"/>
      <c r="H1064" s="100"/>
      <c r="I1064" s="100"/>
      <c r="J1064" s="102"/>
      <c r="K1064" s="96"/>
      <c r="L1064" s="96"/>
      <c r="M1064" s="87"/>
      <c r="N1064" s="87"/>
      <c r="O1064" s="87"/>
      <c r="P1064" s="87"/>
      <c r="Q1064" s="87"/>
      <c r="R1064" s="87"/>
      <c r="S1064" s="87"/>
      <c r="T1064" s="87"/>
      <c r="U1064" s="87"/>
      <c r="V1064" s="87"/>
      <c r="W1064" s="87"/>
      <c r="X1064" s="87"/>
      <c r="Y1064" s="87"/>
      <c r="Z1064" s="87"/>
    </row>
    <row r="1065">
      <c r="A1065" s="96"/>
      <c r="B1065" s="96"/>
      <c r="C1065" s="98"/>
      <c r="D1065" s="98"/>
      <c r="E1065" s="100"/>
      <c r="F1065" s="100"/>
      <c r="G1065" s="96"/>
      <c r="H1065" s="100"/>
      <c r="I1065" s="100"/>
      <c r="J1065" s="102"/>
      <c r="K1065" s="96"/>
      <c r="L1065" s="96"/>
      <c r="M1065" s="87"/>
      <c r="N1065" s="87"/>
      <c r="O1065" s="87"/>
      <c r="P1065" s="87"/>
      <c r="Q1065" s="87"/>
      <c r="R1065" s="87"/>
      <c r="S1065" s="87"/>
      <c r="T1065" s="87"/>
      <c r="U1065" s="87"/>
      <c r="V1065" s="87"/>
      <c r="W1065" s="87"/>
      <c r="X1065" s="87"/>
      <c r="Y1065" s="87"/>
      <c r="Z1065" s="87"/>
    </row>
    <row r="1066">
      <c r="A1066" s="96"/>
      <c r="B1066" s="96"/>
      <c r="C1066" s="98"/>
      <c r="D1066" s="98"/>
      <c r="E1066" s="100"/>
      <c r="F1066" s="100"/>
      <c r="G1066" s="96"/>
      <c r="H1066" s="100"/>
      <c r="I1066" s="100"/>
      <c r="J1066" s="102"/>
      <c r="K1066" s="96"/>
      <c r="L1066" s="96"/>
      <c r="M1066" s="87"/>
      <c r="N1066" s="87"/>
      <c r="O1066" s="87"/>
      <c r="P1066" s="87"/>
      <c r="Q1066" s="87"/>
      <c r="R1066" s="87"/>
      <c r="S1066" s="87"/>
      <c r="T1066" s="87"/>
      <c r="U1066" s="87"/>
      <c r="V1066" s="87"/>
      <c r="W1066" s="87"/>
      <c r="X1066" s="87"/>
      <c r="Y1066" s="87"/>
      <c r="Z1066" s="87"/>
    </row>
    <row r="1067">
      <c r="A1067" s="96"/>
      <c r="B1067" s="96"/>
      <c r="C1067" s="98"/>
      <c r="D1067" s="98"/>
      <c r="E1067" s="100"/>
      <c r="F1067" s="100"/>
      <c r="G1067" s="96"/>
      <c r="H1067" s="100"/>
      <c r="I1067" s="100"/>
      <c r="J1067" s="102"/>
      <c r="K1067" s="96"/>
      <c r="L1067" s="96"/>
      <c r="M1067" s="87"/>
      <c r="N1067" s="87"/>
      <c r="O1067" s="87"/>
      <c r="P1067" s="87"/>
      <c r="Q1067" s="87"/>
      <c r="R1067" s="87"/>
      <c r="S1067" s="87"/>
      <c r="T1067" s="87"/>
      <c r="U1067" s="87"/>
      <c r="V1067" s="87"/>
      <c r="W1067" s="87"/>
      <c r="X1067" s="87"/>
      <c r="Y1067" s="87"/>
      <c r="Z1067" s="87"/>
    </row>
    <row r="1068">
      <c r="A1068" s="96"/>
      <c r="B1068" s="96"/>
      <c r="C1068" s="98"/>
      <c r="D1068" s="98"/>
      <c r="E1068" s="100"/>
      <c r="F1068" s="100"/>
      <c r="G1068" s="96"/>
      <c r="H1068" s="100"/>
      <c r="I1068" s="100"/>
      <c r="J1068" s="102"/>
      <c r="K1068" s="96"/>
      <c r="L1068" s="96"/>
      <c r="M1068" s="87"/>
      <c r="N1068" s="87"/>
      <c r="O1068" s="87"/>
      <c r="P1068" s="87"/>
      <c r="Q1068" s="87"/>
      <c r="R1068" s="87"/>
      <c r="S1068" s="87"/>
      <c r="T1068" s="87"/>
      <c r="U1068" s="87"/>
      <c r="V1068" s="87"/>
      <c r="W1068" s="87"/>
      <c r="X1068" s="87"/>
      <c r="Y1068" s="87"/>
      <c r="Z1068" s="87"/>
    </row>
    <row r="1069">
      <c r="A1069" s="96"/>
      <c r="B1069" s="96"/>
      <c r="C1069" s="98"/>
      <c r="D1069" s="98"/>
      <c r="E1069" s="100"/>
      <c r="F1069" s="100"/>
      <c r="G1069" s="96"/>
      <c r="H1069" s="100"/>
      <c r="I1069" s="100"/>
      <c r="J1069" s="102"/>
      <c r="K1069" s="96"/>
      <c r="L1069" s="96"/>
      <c r="M1069" s="87"/>
      <c r="N1069" s="87"/>
      <c r="O1069" s="87"/>
      <c r="P1069" s="87"/>
      <c r="Q1069" s="87"/>
      <c r="R1069" s="87"/>
      <c r="S1069" s="87"/>
      <c r="T1069" s="87"/>
      <c r="U1069" s="87"/>
      <c r="V1069" s="87"/>
      <c r="W1069" s="87"/>
      <c r="X1069" s="87"/>
      <c r="Y1069" s="87"/>
      <c r="Z1069" s="87"/>
    </row>
    <row r="1070">
      <c r="A1070" s="96"/>
      <c r="B1070" s="96"/>
      <c r="C1070" s="98"/>
      <c r="D1070" s="98"/>
      <c r="E1070" s="100"/>
      <c r="F1070" s="100"/>
      <c r="G1070" s="96"/>
      <c r="H1070" s="100"/>
      <c r="I1070" s="100"/>
      <c r="J1070" s="102"/>
      <c r="K1070" s="96"/>
      <c r="L1070" s="96"/>
      <c r="M1070" s="87"/>
      <c r="N1070" s="87"/>
      <c r="O1070" s="87"/>
      <c r="P1070" s="87"/>
      <c r="Q1070" s="87"/>
      <c r="R1070" s="87"/>
      <c r="S1070" s="87"/>
      <c r="T1070" s="87"/>
      <c r="U1070" s="87"/>
      <c r="V1070" s="87"/>
      <c r="W1070" s="87"/>
      <c r="X1070" s="87"/>
      <c r="Y1070" s="87"/>
      <c r="Z1070" s="87"/>
    </row>
    <row r="1071">
      <c r="A1071" s="96"/>
      <c r="B1071" s="96"/>
      <c r="C1071" s="98"/>
      <c r="D1071" s="98"/>
      <c r="E1071" s="100"/>
      <c r="F1071" s="100"/>
      <c r="G1071" s="96"/>
      <c r="H1071" s="100"/>
      <c r="I1071" s="100"/>
      <c r="J1071" s="102"/>
      <c r="K1071" s="96"/>
      <c r="L1071" s="96"/>
      <c r="M1071" s="87"/>
      <c r="N1071" s="87"/>
      <c r="O1071" s="87"/>
      <c r="P1071" s="87"/>
      <c r="Q1071" s="87"/>
      <c r="R1071" s="87"/>
      <c r="S1071" s="87"/>
      <c r="T1071" s="87"/>
      <c r="U1071" s="87"/>
      <c r="V1071" s="87"/>
      <c r="W1071" s="87"/>
      <c r="X1071" s="87"/>
      <c r="Y1071" s="87"/>
      <c r="Z1071" s="87"/>
    </row>
    <row r="1072">
      <c r="A1072" s="96"/>
      <c r="B1072" s="96"/>
      <c r="C1072" s="98"/>
      <c r="D1072" s="98"/>
      <c r="E1072" s="100"/>
      <c r="F1072" s="100"/>
      <c r="G1072" s="96"/>
      <c r="H1072" s="100"/>
      <c r="I1072" s="100"/>
      <c r="J1072" s="102"/>
      <c r="K1072" s="96"/>
      <c r="L1072" s="96"/>
      <c r="M1072" s="87"/>
      <c r="N1072" s="87"/>
      <c r="O1072" s="87"/>
      <c r="P1072" s="87"/>
      <c r="Q1072" s="87"/>
      <c r="R1072" s="87"/>
      <c r="S1072" s="87"/>
      <c r="T1072" s="87"/>
      <c r="U1072" s="87"/>
      <c r="V1072" s="87"/>
      <c r="W1072" s="87"/>
      <c r="X1072" s="87"/>
      <c r="Y1072" s="87"/>
      <c r="Z1072" s="87"/>
    </row>
    <row r="1073">
      <c r="A1073" s="96"/>
      <c r="B1073" s="96"/>
      <c r="C1073" s="98"/>
      <c r="D1073" s="98"/>
      <c r="E1073" s="100"/>
      <c r="F1073" s="100"/>
      <c r="G1073" s="96"/>
      <c r="H1073" s="100"/>
      <c r="I1073" s="100"/>
      <c r="J1073" s="102"/>
      <c r="K1073" s="96"/>
      <c r="L1073" s="96"/>
      <c r="M1073" s="87"/>
      <c r="N1073" s="87"/>
      <c r="O1073" s="87"/>
      <c r="P1073" s="87"/>
      <c r="Q1073" s="87"/>
      <c r="R1073" s="87"/>
      <c r="S1073" s="87"/>
      <c r="T1073" s="87"/>
      <c r="U1073" s="87"/>
      <c r="V1073" s="87"/>
      <c r="W1073" s="87"/>
      <c r="X1073" s="87"/>
      <c r="Y1073" s="87"/>
      <c r="Z1073" s="87"/>
    </row>
    <row r="1074">
      <c r="A1074" s="96"/>
      <c r="B1074" s="96"/>
      <c r="C1074" s="98"/>
      <c r="D1074" s="98"/>
      <c r="E1074" s="100"/>
      <c r="F1074" s="100"/>
      <c r="G1074" s="96"/>
      <c r="H1074" s="100"/>
      <c r="I1074" s="100"/>
      <c r="J1074" s="102"/>
      <c r="K1074" s="96"/>
      <c r="L1074" s="96"/>
      <c r="M1074" s="87"/>
      <c r="N1074" s="87"/>
      <c r="O1074" s="87"/>
      <c r="P1074" s="87"/>
      <c r="Q1074" s="87"/>
      <c r="R1074" s="87"/>
      <c r="S1074" s="87"/>
      <c r="T1074" s="87"/>
      <c r="U1074" s="87"/>
      <c r="V1074" s="87"/>
      <c r="W1074" s="87"/>
      <c r="X1074" s="87"/>
      <c r="Y1074" s="87"/>
      <c r="Z1074" s="87"/>
    </row>
    <row r="1075">
      <c r="A1075" s="96"/>
      <c r="B1075" s="96"/>
      <c r="C1075" s="98"/>
      <c r="D1075" s="98"/>
      <c r="E1075" s="100"/>
      <c r="F1075" s="100"/>
      <c r="G1075" s="96"/>
      <c r="H1075" s="100"/>
      <c r="I1075" s="100"/>
      <c r="J1075" s="102"/>
      <c r="K1075" s="96"/>
      <c r="L1075" s="96"/>
      <c r="M1075" s="87"/>
      <c r="N1075" s="87"/>
      <c r="O1075" s="87"/>
      <c r="P1075" s="87"/>
      <c r="Q1075" s="87"/>
      <c r="R1075" s="87"/>
      <c r="S1075" s="87"/>
      <c r="T1075" s="87"/>
      <c r="U1075" s="87"/>
      <c r="V1075" s="87"/>
      <c r="W1075" s="87"/>
      <c r="X1075" s="87"/>
      <c r="Y1075" s="87"/>
      <c r="Z1075" s="87"/>
    </row>
    <row r="1076">
      <c r="A1076" s="96"/>
      <c r="B1076" s="96"/>
      <c r="C1076" s="98"/>
      <c r="D1076" s="98"/>
      <c r="E1076" s="100"/>
      <c r="F1076" s="100"/>
      <c r="G1076" s="96"/>
      <c r="H1076" s="100"/>
      <c r="I1076" s="100"/>
      <c r="J1076" s="102"/>
      <c r="K1076" s="96"/>
      <c r="L1076" s="96"/>
      <c r="M1076" s="87"/>
      <c r="N1076" s="87"/>
      <c r="O1076" s="87"/>
      <c r="P1076" s="87"/>
      <c r="Q1076" s="87"/>
      <c r="R1076" s="87"/>
      <c r="S1076" s="87"/>
      <c r="T1076" s="87"/>
      <c r="U1076" s="87"/>
      <c r="V1076" s="87"/>
      <c r="W1076" s="87"/>
      <c r="X1076" s="87"/>
      <c r="Y1076" s="87"/>
      <c r="Z1076" s="87"/>
    </row>
    <row r="1077">
      <c r="A1077" s="96"/>
      <c r="B1077" s="96"/>
      <c r="C1077" s="98"/>
      <c r="D1077" s="98"/>
      <c r="E1077" s="100"/>
      <c r="F1077" s="100"/>
      <c r="G1077" s="96"/>
      <c r="H1077" s="100"/>
      <c r="I1077" s="100"/>
      <c r="J1077" s="102"/>
      <c r="K1077" s="96"/>
      <c r="L1077" s="96"/>
      <c r="M1077" s="87"/>
      <c r="N1077" s="87"/>
      <c r="O1077" s="87"/>
      <c r="P1077" s="87"/>
      <c r="Q1077" s="87"/>
      <c r="R1077" s="87"/>
      <c r="S1077" s="87"/>
      <c r="T1077" s="87"/>
      <c r="U1077" s="87"/>
      <c r="V1077" s="87"/>
      <c r="W1077" s="87"/>
      <c r="X1077" s="87"/>
      <c r="Y1077" s="87"/>
      <c r="Z1077" s="87"/>
    </row>
    <row r="1078">
      <c r="A1078" s="96"/>
      <c r="B1078" s="96"/>
      <c r="C1078" s="98"/>
      <c r="D1078" s="98"/>
      <c r="E1078" s="100"/>
      <c r="F1078" s="100"/>
      <c r="G1078" s="96"/>
      <c r="H1078" s="100"/>
      <c r="I1078" s="100"/>
      <c r="J1078" s="102"/>
      <c r="K1078" s="96"/>
      <c r="L1078" s="96"/>
      <c r="M1078" s="87"/>
      <c r="N1078" s="87"/>
      <c r="O1078" s="87"/>
      <c r="P1078" s="87"/>
      <c r="Q1078" s="87"/>
      <c r="R1078" s="87"/>
      <c r="S1078" s="87"/>
      <c r="T1078" s="87"/>
      <c r="U1078" s="87"/>
      <c r="V1078" s="87"/>
      <c r="W1078" s="87"/>
      <c r="X1078" s="87"/>
      <c r="Y1078" s="87"/>
      <c r="Z1078" s="87"/>
    </row>
    <row r="1079">
      <c r="A1079" s="96"/>
      <c r="B1079" s="96"/>
      <c r="C1079" s="98"/>
      <c r="D1079" s="98"/>
      <c r="E1079" s="100"/>
      <c r="F1079" s="100"/>
      <c r="G1079" s="96"/>
      <c r="H1079" s="100"/>
      <c r="I1079" s="100"/>
      <c r="J1079" s="102"/>
      <c r="K1079" s="96"/>
      <c r="L1079" s="96"/>
      <c r="M1079" s="87"/>
      <c r="N1079" s="87"/>
      <c r="O1079" s="87"/>
      <c r="P1079" s="87"/>
      <c r="Q1079" s="87"/>
      <c r="R1079" s="87"/>
      <c r="S1079" s="87"/>
      <c r="T1079" s="87"/>
      <c r="U1079" s="87"/>
      <c r="V1079" s="87"/>
      <c r="W1079" s="87"/>
      <c r="X1079" s="87"/>
      <c r="Y1079" s="87"/>
      <c r="Z1079" s="87"/>
    </row>
    <row r="1080">
      <c r="A1080" s="96"/>
      <c r="B1080" s="96"/>
      <c r="C1080" s="98"/>
      <c r="D1080" s="98"/>
      <c r="E1080" s="100"/>
      <c r="F1080" s="100"/>
      <c r="G1080" s="96"/>
      <c r="H1080" s="100"/>
      <c r="I1080" s="100"/>
      <c r="J1080" s="102"/>
      <c r="K1080" s="96"/>
      <c r="L1080" s="96"/>
      <c r="M1080" s="87"/>
      <c r="N1080" s="87"/>
      <c r="O1080" s="87"/>
      <c r="P1080" s="87"/>
      <c r="Q1080" s="87"/>
      <c r="R1080" s="87"/>
      <c r="S1080" s="87"/>
      <c r="T1080" s="87"/>
      <c r="U1080" s="87"/>
      <c r="V1080" s="87"/>
      <c r="W1080" s="87"/>
      <c r="X1080" s="87"/>
      <c r="Y1080" s="87"/>
      <c r="Z1080" s="87"/>
    </row>
    <row r="1081">
      <c r="A1081" s="96"/>
      <c r="B1081" s="96"/>
      <c r="C1081" s="98"/>
      <c r="D1081" s="98"/>
      <c r="E1081" s="100"/>
      <c r="F1081" s="100"/>
      <c r="G1081" s="96"/>
      <c r="H1081" s="100"/>
      <c r="I1081" s="100"/>
      <c r="J1081" s="102"/>
      <c r="K1081" s="96"/>
      <c r="L1081" s="96"/>
      <c r="M1081" s="87"/>
      <c r="N1081" s="87"/>
      <c r="O1081" s="87"/>
      <c r="P1081" s="87"/>
      <c r="Q1081" s="87"/>
      <c r="R1081" s="87"/>
      <c r="S1081" s="87"/>
      <c r="T1081" s="87"/>
      <c r="U1081" s="87"/>
      <c r="V1081" s="87"/>
      <c r="W1081" s="87"/>
      <c r="X1081" s="87"/>
      <c r="Y1081" s="87"/>
      <c r="Z1081" s="87"/>
    </row>
    <row r="1082">
      <c r="A1082" s="96"/>
      <c r="B1082" s="96"/>
      <c r="C1082" s="98"/>
      <c r="D1082" s="98"/>
      <c r="E1082" s="100"/>
      <c r="F1082" s="100"/>
      <c r="G1082" s="96"/>
      <c r="H1082" s="100"/>
      <c r="I1082" s="100"/>
      <c r="J1082" s="102"/>
      <c r="K1082" s="96"/>
      <c r="L1082" s="96"/>
      <c r="M1082" s="87"/>
      <c r="N1082" s="87"/>
      <c r="O1082" s="87"/>
      <c r="P1082" s="87"/>
      <c r="Q1082" s="87"/>
      <c r="R1082" s="87"/>
      <c r="S1082" s="87"/>
      <c r="T1082" s="87"/>
      <c r="U1082" s="87"/>
      <c r="V1082" s="87"/>
      <c r="W1082" s="87"/>
      <c r="X1082" s="87"/>
      <c r="Y1082" s="87"/>
      <c r="Z1082" s="87"/>
    </row>
    <row r="1083">
      <c r="A1083" s="96"/>
      <c r="B1083" s="96"/>
      <c r="C1083" s="98"/>
      <c r="D1083" s="98"/>
      <c r="E1083" s="100"/>
      <c r="F1083" s="100"/>
      <c r="G1083" s="96"/>
      <c r="H1083" s="100"/>
      <c r="I1083" s="100"/>
      <c r="J1083" s="102"/>
      <c r="K1083" s="96"/>
      <c r="L1083" s="96"/>
      <c r="M1083" s="87"/>
      <c r="N1083" s="87"/>
      <c r="O1083" s="87"/>
      <c r="P1083" s="87"/>
      <c r="Q1083" s="87"/>
      <c r="R1083" s="87"/>
      <c r="S1083" s="87"/>
      <c r="T1083" s="87"/>
      <c r="U1083" s="87"/>
      <c r="V1083" s="87"/>
      <c r="W1083" s="87"/>
      <c r="X1083" s="87"/>
      <c r="Y1083" s="87"/>
      <c r="Z1083" s="87"/>
    </row>
    <row r="1084">
      <c r="A1084" s="96"/>
      <c r="B1084" s="96"/>
      <c r="C1084" s="98"/>
      <c r="D1084" s="98"/>
      <c r="E1084" s="100"/>
      <c r="F1084" s="100"/>
      <c r="G1084" s="96"/>
      <c r="H1084" s="100"/>
      <c r="I1084" s="100"/>
      <c r="J1084" s="102"/>
      <c r="K1084" s="96"/>
      <c r="L1084" s="96"/>
      <c r="M1084" s="87"/>
      <c r="N1084" s="87"/>
      <c r="O1084" s="87"/>
      <c r="P1084" s="87"/>
      <c r="Q1084" s="87"/>
      <c r="R1084" s="87"/>
      <c r="S1084" s="87"/>
      <c r="T1084" s="87"/>
      <c r="U1084" s="87"/>
      <c r="V1084" s="87"/>
      <c r="W1084" s="87"/>
      <c r="X1084" s="87"/>
      <c r="Y1084" s="87"/>
      <c r="Z1084" s="87"/>
    </row>
    <row r="1085">
      <c r="A1085" s="96"/>
      <c r="B1085" s="96"/>
      <c r="C1085" s="98"/>
      <c r="D1085" s="98"/>
      <c r="E1085" s="100"/>
      <c r="F1085" s="100"/>
      <c r="G1085" s="96"/>
      <c r="H1085" s="100"/>
      <c r="I1085" s="100"/>
      <c r="J1085" s="102"/>
      <c r="K1085" s="96"/>
      <c r="L1085" s="96"/>
      <c r="M1085" s="87"/>
      <c r="N1085" s="87"/>
      <c r="O1085" s="87"/>
      <c r="P1085" s="87"/>
      <c r="Q1085" s="87"/>
      <c r="R1085" s="87"/>
      <c r="S1085" s="87"/>
      <c r="T1085" s="87"/>
      <c r="U1085" s="87"/>
      <c r="V1085" s="87"/>
      <c r="W1085" s="87"/>
      <c r="X1085" s="87"/>
      <c r="Y1085" s="87"/>
      <c r="Z1085" s="87"/>
    </row>
    <row r="1086">
      <c r="A1086" s="96"/>
      <c r="B1086" s="96"/>
      <c r="C1086" s="98"/>
      <c r="D1086" s="98"/>
      <c r="E1086" s="100"/>
      <c r="F1086" s="100"/>
      <c r="G1086" s="96"/>
      <c r="H1086" s="100"/>
      <c r="I1086" s="100"/>
      <c r="J1086" s="102"/>
      <c r="K1086" s="96"/>
      <c r="L1086" s="96"/>
      <c r="M1086" s="87"/>
      <c r="N1086" s="87"/>
      <c r="O1086" s="87"/>
      <c r="P1086" s="87"/>
      <c r="Q1086" s="87"/>
      <c r="R1086" s="87"/>
      <c r="S1086" s="87"/>
      <c r="T1086" s="87"/>
      <c r="U1086" s="87"/>
      <c r="V1086" s="87"/>
      <c r="W1086" s="87"/>
      <c r="X1086" s="87"/>
      <c r="Y1086" s="87"/>
      <c r="Z1086" s="87"/>
    </row>
    <row r="1087">
      <c r="A1087" s="96"/>
      <c r="B1087" s="96"/>
      <c r="C1087" s="98"/>
      <c r="D1087" s="98"/>
      <c r="E1087" s="100"/>
      <c r="F1087" s="100"/>
      <c r="G1087" s="96"/>
      <c r="H1087" s="100"/>
      <c r="I1087" s="100"/>
      <c r="J1087" s="102"/>
      <c r="K1087" s="96"/>
      <c r="L1087" s="96"/>
      <c r="M1087" s="87"/>
      <c r="N1087" s="87"/>
      <c r="O1087" s="87"/>
      <c r="P1087" s="87"/>
      <c r="Q1087" s="87"/>
      <c r="R1087" s="87"/>
      <c r="S1087" s="87"/>
      <c r="T1087" s="87"/>
      <c r="U1087" s="87"/>
      <c r="V1087" s="87"/>
      <c r="W1087" s="87"/>
      <c r="X1087" s="87"/>
      <c r="Y1087" s="87"/>
      <c r="Z1087" s="87"/>
    </row>
    <row r="1088">
      <c r="A1088" s="96"/>
      <c r="B1088" s="96"/>
      <c r="C1088" s="98"/>
      <c r="D1088" s="98"/>
      <c r="E1088" s="100"/>
      <c r="F1088" s="100"/>
      <c r="G1088" s="96"/>
      <c r="H1088" s="100"/>
      <c r="I1088" s="100"/>
      <c r="J1088" s="102"/>
      <c r="K1088" s="96"/>
      <c r="L1088" s="96"/>
      <c r="M1088" s="87"/>
      <c r="N1088" s="87"/>
      <c r="O1088" s="87"/>
      <c r="P1088" s="87"/>
      <c r="Q1088" s="87"/>
      <c r="R1088" s="87"/>
      <c r="S1088" s="87"/>
      <c r="T1088" s="87"/>
      <c r="U1088" s="87"/>
      <c r="V1088" s="87"/>
      <c r="W1088" s="87"/>
      <c r="X1088" s="87"/>
      <c r="Y1088" s="87"/>
      <c r="Z1088" s="87"/>
    </row>
    <row r="1089">
      <c r="A1089" s="96"/>
      <c r="B1089" s="96"/>
      <c r="C1089" s="98"/>
      <c r="D1089" s="98"/>
      <c r="E1089" s="100"/>
      <c r="F1089" s="100"/>
      <c r="G1089" s="96"/>
      <c r="H1089" s="100"/>
      <c r="I1089" s="100"/>
      <c r="J1089" s="102"/>
      <c r="K1089" s="96"/>
      <c r="L1089" s="96"/>
      <c r="M1089" s="87"/>
      <c r="N1089" s="87"/>
      <c r="O1089" s="87"/>
      <c r="P1089" s="87"/>
      <c r="Q1089" s="87"/>
      <c r="R1089" s="87"/>
      <c r="S1089" s="87"/>
      <c r="T1089" s="87"/>
      <c r="U1089" s="87"/>
      <c r="V1089" s="87"/>
      <c r="W1089" s="87"/>
      <c r="X1089" s="87"/>
      <c r="Y1089" s="87"/>
      <c r="Z1089" s="87"/>
    </row>
    <row r="1090">
      <c r="A1090" s="96"/>
      <c r="B1090" s="96"/>
      <c r="C1090" s="98"/>
      <c r="D1090" s="98"/>
      <c r="E1090" s="100"/>
      <c r="F1090" s="100"/>
      <c r="G1090" s="96"/>
      <c r="H1090" s="100"/>
      <c r="I1090" s="100"/>
      <c r="J1090" s="102"/>
      <c r="K1090" s="96"/>
      <c r="L1090" s="96"/>
      <c r="M1090" s="87"/>
      <c r="N1090" s="87"/>
      <c r="O1090" s="87"/>
      <c r="P1090" s="87"/>
      <c r="Q1090" s="87"/>
      <c r="R1090" s="87"/>
      <c r="S1090" s="87"/>
      <c r="T1090" s="87"/>
      <c r="U1090" s="87"/>
      <c r="V1090" s="87"/>
      <c r="W1090" s="87"/>
      <c r="X1090" s="87"/>
      <c r="Y1090" s="87"/>
      <c r="Z1090" s="87"/>
    </row>
    <row r="1091">
      <c r="A1091" s="96"/>
      <c r="B1091" s="96"/>
      <c r="C1091" s="98"/>
      <c r="D1091" s="98"/>
      <c r="E1091" s="100"/>
      <c r="F1091" s="100"/>
      <c r="G1091" s="96"/>
      <c r="H1091" s="100"/>
      <c r="I1091" s="100"/>
      <c r="J1091" s="102"/>
      <c r="K1091" s="96"/>
      <c r="L1091" s="96"/>
      <c r="M1091" s="87"/>
      <c r="N1091" s="87"/>
      <c r="O1091" s="87"/>
      <c r="P1091" s="87"/>
      <c r="Q1091" s="87"/>
      <c r="R1091" s="87"/>
      <c r="S1091" s="87"/>
      <c r="T1091" s="87"/>
      <c r="U1091" s="87"/>
      <c r="V1091" s="87"/>
      <c r="W1091" s="87"/>
      <c r="X1091" s="87"/>
      <c r="Y1091" s="87"/>
      <c r="Z1091" s="87"/>
    </row>
    <row r="1092">
      <c r="A1092" s="96"/>
      <c r="B1092" s="96"/>
      <c r="C1092" s="98"/>
      <c r="D1092" s="98"/>
      <c r="E1092" s="100"/>
      <c r="F1092" s="100"/>
      <c r="G1092" s="96"/>
      <c r="H1092" s="100"/>
      <c r="I1092" s="100"/>
      <c r="J1092" s="102"/>
      <c r="K1092" s="96"/>
      <c r="L1092" s="96"/>
      <c r="M1092" s="87"/>
      <c r="N1092" s="87"/>
      <c r="O1092" s="87"/>
      <c r="P1092" s="87"/>
      <c r="Q1092" s="87"/>
      <c r="R1092" s="87"/>
      <c r="S1092" s="87"/>
      <c r="T1092" s="87"/>
      <c r="U1092" s="87"/>
      <c r="V1092" s="87"/>
      <c r="W1092" s="87"/>
      <c r="X1092" s="87"/>
      <c r="Y1092" s="87"/>
      <c r="Z1092" s="87"/>
    </row>
    <row r="1093">
      <c r="A1093" s="96"/>
      <c r="B1093" s="96"/>
      <c r="C1093" s="98"/>
      <c r="D1093" s="98"/>
      <c r="E1093" s="100"/>
      <c r="F1093" s="100"/>
      <c r="G1093" s="96"/>
      <c r="H1093" s="100"/>
      <c r="I1093" s="100"/>
      <c r="J1093" s="102"/>
      <c r="K1093" s="96"/>
      <c r="L1093" s="96"/>
      <c r="M1093" s="87"/>
      <c r="N1093" s="87"/>
      <c r="O1093" s="87"/>
      <c r="P1093" s="87"/>
      <c r="Q1093" s="87"/>
      <c r="R1093" s="87"/>
      <c r="S1093" s="87"/>
      <c r="T1093" s="87"/>
      <c r="U1093" s="87"/>
      <c r="V1093" s="87"/>
      <c r="W1093" s="87"/>
      <c r="X1093" s="87"/>
      <c r="Y1093" s="87"/>
      <c r="Z1093" s="87"/>
    </row>
    <row r="1094">
      <c r="A1094" s="96"/>
      <c r="B1094" s="96"/>
      <c r="C1094" s="98"/>
      <c r="D1094" s="98"/>
      <c r="E1094" s="100"/>
      <c r="F1094" s="100"/>
      <c r="G1094" s="96"/>
      <c r="H1094" s="100"/>
      <c r="I1094" s="100"/>
      <c r="J1094" s="102"/>
      <c r="K1094" s="96"/>
      <c r="L1094" s="96"/>
      <c r="M1094" s="87"/>
      <c r="N1094" s="87"/>
      <c r="O1094" s="87"/>
      <c r="P1094" s="87"/>
      <c r="Q1094" s="87"/>
      <c r="R1094" s="87"/>
      <c r="S1094" s="87"/>
      <c r="T1094" s="87"/>
      <c r="U1094" s="87"/>
      <c r="V1094" s="87"/>
      <c r="W1094" s="87"/>
      <c r="X1094" s="87"/>
      <c r="Y1094" s="87"/>
      <c r="Z1094" s="87"/>
    </row>
    <row r="1095">
      <c r="A1095" s="96"/>
      <c r="B1095" s="96"/>
      <c r="C1095" s="98"/>
      <c r="D1095" s="98"/>
      <c r="E1095" s="100"/>
      <c r="F1095" s="100"/>
      <c r="G1095" s="96"/>
      <c r="H1095" s="100"/>
      <c r="I1095" s="100"/>
      <c r="J1095" s="102"/>
      <c r="K1095" s="96"/>
      <c r="L1095" s="96"/>
      <c r="M1095" s="87"/>
      <c r="N1095" s="87"/>
      <c r="O1095" s="87"/>
      <c r="P1095" s="87"/>
      <c r="Q1095" s="87"/>
      <c r="R1095" s="87"/>
      <c r="S1095" s="87"/>
      <c r="T1095" s="87"/>
      <c r="U1095" s="87"/>
      <c r="V1095" s="87"/>
      <c r="W1095" s="87"/>
      <c r="X1095" s="87"/>
      <c r="Y1095" s="87"/>
      <c r="Z1095" s="87"/>
    </row>
    <row r="1096">
      <c r="A1096" s="96"/>
      <c r="B1096" s="96"/>
      <c r="C1096" s="98"/>
      <c r="D1096" s="98"/>
      <c r="E1096" s="100"/>
      <c r="F1096" s="100"/>
      <c r="G1096" s="96"/>
      <c r="H1096" s="100"/>
      <c r="I1096" s="100"/>
      <c r="J1096" s="102"/>
      <c r="K1096" s="96"/>
      <c r="L1096" s="96"/>
      <c r="M1096" s="87"/>
      <c r="N1096" s="87"/>
      <c r="O1096" s="87"/>
      <c r="P1096" s="87"/>
      <c r="Q1096" s="87"/>
      <c r="R1096" s="87"/>
      <c r="S1096" s="87"/>
      <c r="T1096" s="87"/>
      <c r="U1096" s="87"/>
      <c r="V1096" s="87"/>
      <c r="W1096" s="87"/>
      <c r="X1096" s="87"/>
      <c r="Y1096" s="87"/>
      <c r="Z1096" s="87"/>
    </row>
    <row r="1097">
      <c r="A1097" s="96"/>
      <c r="B1097" s="96"/>
      <c r="C1097" s="98"/>
      <c r="D1097" s="98"/>
      <c r="E1097" s="100"/>
      <c r="F1097" s="100"/>
      <c r="G1097" s="96"/>
      <c r="H1097" s="100"/>
      <c r="I1097" s="100"/>
      <c r="J1097" s="102"/>
      <c r="K1097" s="96"/>
      <c r="L1097" s="96"/>
      <c r="M1097" s="87"/>
      <c r="N1097" s="87"/>
      <c r="O1097" s="87"/>
      <c r="P1097" s="87"/>
      <c r="Q1097" s="87"/>
      <c r="R1097" s="87"/>
      <c r="S1097" s="87"/>
      <c r="T1097" s="87"/>
      <c r="U1097" s="87"/>
      <c r="V1097" s="87"/>
      <c r="W1097" s="87"/>
      <c r="X1097" s="87"/>
      <c r="Y1097" s="87"/>
      <c r="Z1097" s="87"/>
    </row>
    <row r="1098">
      <c r="A1098" s="96"/>
      <c r="B1098" s="96"/>
      <c r="C1098" s="98"/>
      <c r="D1098" s="98"/>
      <c r="E1098" s="100"/>
      <c r="F1098" s="100"/>
      <c r="G1098" s="96"/>
      <c r="H1098" s="100"/>
      <c r="I1098" s="100"/>
      <c r="J1098" s="102"/>
      <c r="K1098" s="96"/>
      <c r="L1098" s="96"/>
      <c r="M1098" s="87"/>
      <c r="N1098" s="87"/>
      <c r="O1098" s="87"/>
      <c r="P1098" s="87"/>
      <c r="Q1098" s="87"/>
      <c r="R1098" s="87"/>
      <c r="S1098" s="87"/>
      <c r="T1098" s="87"/>
      <c r="U1098" s="87"/>
      <c r="V1098" s="87"/>
      <c r="W1098" s="87"/>
      <c r="X1098" s="87"/>
      <c r="Y1098" s="87"/>
      <c r="Z1098" s="87"/>
    </row>
    <row r="1099">
      <c r="A1099" s="96"/>
      <c r="B1099" s="96"/>
      <c r="C1099" s="98"/>
      <c r="D1099" s="98"/>
      <c r="E1099" s="100"/>
      <c r="F1099" s="100"/>
      <c r="G1099" s="96"/>
      <c r="H1099" s="100"/>
      <c r="I1099" s="100"/>
      <c r="J1099" s="102"/>
      <c r="K1099" s="96"/>
      <c r="L1099" s="96"/>
      <c r="M1099" s="87"/>
      <c r="N1099" s="87"/>
      <c r="O1099" s="87"/>
      <c r="P1099" s="87"/>
      <c r="Q1099" s="87"/>
      <c r="R1099" s="87"/>
      <c r="S1099" s="87"/>
      <c r="T1099" s="87"/>
      <c r="U1099" s="87"/>
      <c r="V1099" s="87"/>
      <c r="W1099" s="87"/>
      <c r="X1099" s="87"/>
      <c r="Y1099" s="87"/>
      <c r="Z1099" s="87"/>
    </row>
    <row r="1100">
      <c r="A1100" s="96"/>
      <c r="B1100" s="96"/>
      <c r="C1100" s="98"/>
      <c r="D1100" s="98"/>
      <c r="E1100" s="100"/>
      <c r="F1100" s="100"/>
      <c r="G1100" s="96"/>
      <c r="H1100" s="100"/>
      <c r="I1100" s="100"/>
      <c r="J1100" s="102"/>
      <c r="K1100" s="96"/>
      <c r="L1100" s="96"/>
      <c r="M1100" s="87"/>
      <c r="N1100" s="87"/>
      <c r="O1100" s="87"/>
      <c r="P1100" s="87"/>
      <c r="Q1100" s="87"/>
      <c r="R1100" s="87"/>
      <c r="S1100" s="87"/>
      <c r="T1100" s="87"/>
      <c r="U1100" s="87"/>
      <c r="V1100" s="87"/>
      <c r="W1100" s="87"/>
      <c r="X1100" s="87"/>
      <c r="Y1100" s="87"/>
      <c r="Z1100" s="87"/>
    </row>
    <row r="1101">
      <c r="A1101" s="96"/>
      <c r="B1101" s="96"/>
      <c r="C1101" s="98"/>
      <c r="D1101" s="98"/>
      <c r="E1101" s="100"/>
      <c r="F1101" s="100"/>
      <c r="G1101" s="96"/>
      <c r="H1101" s="100"/>
      <c r="I1101" s="100"/>
      <c r="J1101" s="102"/>
      <c r="K1101" s="96"/>
      <c r="L1101" s="96"/>
      <c r="M1101" s="87"/>
      <c r="N1101" s="87"/>
      <c r="O1101" s="87"/>
      <c r="P1101" s="87"/>
      <c r="Q1101" s="87"/>
      <c r="R1101" s="87"/>
      <c r="S1101" s="87"/>
      <c r="T1101" s="87"/>
      <c r="U1101" s="87"/>
      <c r="V1101" s="87"/>
      <c r="W1101" s="87"/>
      <c r="X1101" s="87"/>
      <c r="Y1101" s="87"/>
      <c r="Z1101" s="87"/>
    </row>
    <row r="1102">
      <c r="A1102" s="96"/>
      <c r="B1102" s="96"/>
      <c r="C1102" s="98"/>
      <c r="D1102" s="98"/>
      <c r="E1102" s="100"/>
      <c r="F1102" s="100"/>
      <c r="G1102" s="96"/>
      <c r="H1102" s="100"/>
      <c r="I1102" s="100"/>
      <c r="J1102" s="102"/>
      <c r="K1102" s="96"/>
      <c r="L1102" s="96"/>
      <c r="M1102" s="87"/>
      <c r="N1102" s="87"/>
      <c r="O1102" s="87"/>
      <c r="P1102" s="87"/>
      <c r="Q1102" s="87"/>
      <c r="R1102" s="87"/>
      <c r="S1102" s="87"/>
      <c r="T1102" s="87"/>
      <c r="U1102" s="87"/>
      <c r="V1102" s="87"/>
      <c r="W1102" s="87"/>
      <c r="X1102" s="87"/>
      <c r="Y1102" s="87"/>
      <c r="Z1102" s="87"/>
    </row>
    <row r="1103">
      <c r="A1103" s="96"/>
      <c r="B1103" s="96"/>
      <c r="C1103" s="98"/>
      <c r="D1103" s="98"/>
      <c r="E1103" s="100"/>
      <c r="F1103" s="100"/>
      <c r="G1103" s="96"/>
      <c r="H1103" s="100"/>
      <c r="I1103" s="100"/>
      <c r="J1103" s="102"/>
      <c r="K1103" s="96"/>
      <c r="L1103" s="96"/>
      <c r="M1103" s="87"/>
      <c r="N1103" s="87"/>
      <c r="O1103" s="87"/>
      <c r="P1103" s="87"/>
      <c r="Q1103" s="87"/>
      <c r="R1103" s="87"/>
      <c r="S1103" s="87"/>
      <c r="T1103" s="87"/>
      <c r="U1103" s="87"/>
      <c r="V1103" s="87"/>
      <c r="W1103" s="87"/>
      <c r="X1103" s="87"/>
      <c r="Y1103" s="87"/>
      <c r="Z1103" s="87"/>
    </row>
    <row r="1104">
      <c r="A1104" s="96"/>
      <c r="B1104" s="96"/>
      <c r="C1104" s="98"/>
      <c r="D1104" s="98"/>
      <c r="E1104" s="100"/>
      <c r="F1104" s="100"/>
      <c r="G1104" s="96"/>
      <c r="H1104" s="100"/>
      <c r="I1104" s="100"/>
      <c r="J1104" s="102"/>
      <c r="K1104" s="96"/>
      <c r="L1104" s="96"/>
      <c r="M1104" s="87"/>
      <c r="N1104" s="87"/>
      <c r="O1104" s="87"/>
      <c r="P1104" s="87"/>
      <c r="Q1104" s="87"/>
      <c r="R1104" s="87"/>
      <c r="S1104" s="87"/>
      <c r="T1104" s="87"/>
      <c r="U1104" s="87"/>
      <c r="V1104" s="87"/>
      <c r="W1104" s="87"/>
      <c r="X1104" s="87"/>
      <c r="Y1104" s="87"/>
      <c r="Z1104" s="87"/>
    </row>
    <row r="1105">
      <c r="A1105" s="96"/>
      <c r="B1105" s="96"/>
      <c r="C1105" s="98"/>
      <c r="D1105" s="98"/>
      <c r="E1105" s="100"/>
      <c r="F1105" s="100"/>
      <c r="G1105" s="96"/>
      <c r="H1105" s="100"/>
      <c r="I1105" s="100"/>
      <c r="J1105" s="102"/>
      <c r="K1105" s="96"/>
      <c r="L1105" s="96"/>
      <c r="M1105" s="87"/>
      <c r="N1105" s="87"/>
      <c r="O1105" s="87"/>
      <c r="P1105" s="87"/>
      <c r="Q1105" s="87"/>
      <c r="R1105" s="87"/>
      <c r="S1105" s="87"/>
      <c r="T1105" s="87"/>
      <c r="U1105" s="87"/>
      <c r="V1105" s="87"/>
      <c r="W1105" s="87"/>
      <c r="X1105" s="87"/>
      <c r="Y1105" s="87"/>
      <c r="Z1105" s="87"/>
    </row>
    <row r="1106">
      <c r="A1106" s="96"/>
      <c r="B1106" s="96"/>
      <c r="C1106" s="98"/>
      <c r="D1106" s="98"/>
      <c r="E1106" s="100"/>
      <c r="F1106" s="100"/>
      <c r="G1106" s="96"/>
      <c r="H1106" s="100"/>
      <c r="I1106" s="100"/>
      <c r="J1106" s="102"/>
      <c r="K1106" s="96"/>
      <c r="L1106" s="96"/>
      <c r="M1106" s="87"/>
      <c r="N1106" s="87"/>
      <c r="O1106" s="87"/>
      <c r="P1106" s="87"/>
      <c r="Q1106" s="87"/>
      <c r="R1106" s="87"/>
      <c r="S1106" s="87"/>
      <c r="T1106" s="87"/>
      <c r="U1106" s="87"/>
      <c r="V1106" s="87"/>
      <c r="W1106" s="87"/>
      <c r="X1106" s="87"/>
      <c r="Y1106" s="87"/>
      <c r="Z1106" s="87"/>
    </row>
    <row r="1107">
      <c r="A1107" s="96"/>
      <c r="B1107" s="96"/>
      <c r="C1107" s="98"/>
      <c r="D1107" s="98"/>
      <c r="E1107" s="100"/>
      <c r="F1107" s="100"/>
      <c r="G1107" s="96"/>
      <c r="H1107" s="100"/>
      <c r="I1107" s="100"/>
      <c r="J1107" s="102"/>
      <c r="K1107" s="96"/>
      <c r="L1107" s="96"/>
      <c r="M1107" s="87"/>
      <c r="N1107" s="87"/>
      <c r="O1107" s="87"/>
      <c r="P1107" s="87"/>
      <c r="Q1107" s="87"/>
      <c r="R1107" s="87"/>
      <c r="S1107" s="87"/>
      <c r="T1107" s="87"/>
      <c r="U1107" s="87"/>
      <c r="V1107" s="87"/>
      <c r="W1107" s="87"/>
      <c r="X1107" s="87"/>
      <c r="Y1107" s="87"/>
      <c r="Z1107" s="87"/>
    </row>
    <row r="1108">
      <c r="A1108" s="96"/>
      <c r="B1108" s="96"/>
      <c r="C1108" s="98"/>
      <c r="D1108" s="98"/>
      <c r="E1108" s="100"/>
      <c r="F1108" s="100"/>
      <c r="G1108" s="96"/>
      <c r="H1108" s="100"/>
      <c r="I1108" s="100"/>
      <c r="J1108" s="102"/>
      <c r="K1108" s="96"/>
      <c r="L1108" s="96"/>
      <c r="M1108" s="87"/>
      <c r="N1108" s="87"/>
      <c r="O1108" s="87"/>
      <c r="P1108" s="87"/>
      <c r="Q1108" s="87"/>
      <c r="R1108" s="87"/>
      <c r="S1108" s="87"/>
      <c r="T1108" s="87"/>
      <c r="U1108" s="87"/>
      <c r="V1108" s="87"/>
      <c r="W1108" s="87"/>
      <c r="X1108" s="87"/>
      <c r="Y1108" s="87"/>
      <c r="Z1108" s="87"/>
    </row>
    <row r="1109">
      <c r="A1109" s="96"/>
      <c r="B1109" s="96"/>
      <c r="C1109" s="98"/>
      <c r="D1109" s="98"/>
      <c r="E1109" s="100"/>
      <c r="F1109" s="100"/>
      <c r="G1109" s="96"/>
      <c r="H1109" s="100"/>
      <c r="I1109" s="100"/>
      <c r="J1109" s="102"/>
      <c r="K1109" s="96"/>
      <c r="L1109" s="96"/>
      <c r="M1109" s="87"/>
      <c r="N1109" s="87"/>
      <c r="O1109" s="87"/>
      <c r="P1109" s="87"/>
      <c r="Q1109" s="87"/>
      <c r="R1109" s="87"/>
      <c r="S1109" s="87"/>
      <c r="T1109" s="87"/>
      <c r="U1109" s="87"/>
      <c r="V1109" s="87"/>
      <c r="W1109" s="87"/>
      <c r="X1109" s="87"/>
      <c r="Y1109" s="87"/>
      <c r="Z1109" s="87"/>
    </row>
    <row r="1110">
      <c r="A1110" s="96"/>
      <c r="B1110" s="96"/>
      <c r="C1110" s="98"/>
      <c r="D1110" s="98"/>
      <c r="E1110" s="100"/>
      <c r="F1110" s="100"/>
      <c r="G1110" s="96"/>
      <c r="H1110" s="100"/>
      <c r="I1110" s="100"/>
      <c r="J1110" s="102"/>
      <c r="K1110" s="96"/>
      <c r="L1110" s="96"/>
      <c r="M1110" s="87"/>
      <c r="N1110" s="87"/>
      <c r="O1110" s="87"/>
      <c r="P1110" s="87"/>
      <c r="Q1110" s="87"/>
      <c r="R1110" s="87"/>
      <c r="S1110" s="87"/>
      <c r="T1110" s="87"/>
      <c r="U1110" s="87"/>
      <c r="V1110" s="87"/>
      <c r="W1110" s="87"/>
      <c r="X1110" s="87"/>
      <c r="Y1110" s="87"/>
      <c r="Z1110" s="87"/>
    </row>
    <row r="1111">
      <c r="A1111" s="96"/>
      <c r="B1111" s="96"/>
      <c r="C1111" s="98"/>
      <c r="D1111" s="98"/>
      <c r="E1111" s="100"/>
      <c r="F1111" s="100"/>
      <c r="G1111" s="96"/>
      <c r="H1111" s="100"/>
      <c r="I1111" s="100"/>
      <c r="J1111" s="102"/>
      <c r="K1111" s="96"/>
      <c r="L1111" s="96"/>
      <c r="M1111" s="87"/>
      <c r="N1111" s="87"/>
      <c r="O1111" s="87"/>
      <c r="P1111" s="87"/>
      <c r="Q1111" s="87"/>
      <c r="R1111" s="87"/>
      <c r="S1111" s="87"/>
      <c r="T1111" s="87"/>
      <c r="U1111" s="87"/>
      <c r="V1111" s="87"/>
      <c r="W1111" s="87"/>
      <c r="X1111" s="87"/>
      <c r="Y1111" s="87"/>
      <c r="Z1111" s="87"/>
    </row>
    <row r="1112">
      <c r="A1112" s="96"/>
      <c r="B1112" s="96"/>
      <c r="C1112" s="98"/>
      <c r="D1112" s="98"/>
      <c r="E1112" s="100"/>
      <c r="F1112" s="100"/>
      <c r="G1112" s="96"/>
      <c r="H1112" s="100"/>
      <c r="I1112" s="100"/>
      <c r="J1112" s="102"/>
      <c r="K1112" s="96"/>
      <c r="L1112" s="96"/>
      <c r="M1112" s="87"/>
      <c r="N1112" s="87"/>
      <c r="O1112" s="87"/>
      <c r="P1112" s="87"/>
      <c r="Q1112" s="87"/>
      <c r="R1112" s="87"/>
      <c r="S1112" s="87"/>
      <c r="T1112" s="87"/>
      <c r="U1112" s="87"/>
      <c r="V1112" s="87"/>
      <c r="W1112" s="87"/>
      <c r="X1112" s="87"/>
      <c r="Y1112" s="87"/>
      <c r="Z1112" s="87"/>
    </row>
    <row r="1113">
      <c r="A1113" s="96"/>
      <c r="B1113" s="96"/>
      <c r="C1113" s="98"/>
      <c r="D1113" s="98"/>
      <c r="E1113" s="100"/>
      <c r="F1113" s="100"/>
      <c r="G1113" s="96"/>
      <c r="H1113" s="100"/>
      <c r="I1113" s="100"/>
      <c r="J1113" s="102"/>
      <c r="K1113" s="96"/>
      <c r="L1113" s="96"/>
      <c r="M1113" s="87"/>
      <c r="N1113" s="87"/>
      <c r="O1113" s="87"/>
      <c r="P1113" s="87"/>
      <c r="Q1113" s="87"/>
      <c r="R1113" s="87"/>
      <c r="S1113" s="87"/>
      <c r="T1113" s="87"/>
      <c r="U1113" s="87"/>
      <c r="V1113" s="87"/>
      <c r="W1113" s="87"/>
      <c r="X1113" s="87"/>
      <c r="Y1113" s="87"/>
      <c r="Z1113" s="87"/>
    </row>
    <row r="1114">
      <c r="A1114" s="96"/>
      <c r="B1114" s="96"/>
      <c r="C1114" s="98"/>
      <c r="D1114" s="98"/>
      <c r="E1114" s="100"/>
      <c r="F1114" s="100"/>
      <c r="G1114" s="96"/>
      <c r="H1114" s="100"/>
      <c r="I1114" s="100"/>
      <c r="J1114" s="102"/>
      <c r="K1114" s="96"/>
      <c r="L1114" s="96"/>
      <c r="M1114" s="87"/>
      <c r="N1114" s="87"/>
      <c r="O1114" s="87"/>
      <c r="P1114" s="87"/>
      <c r="Q1114" s="87"/>
      <c r="R1114" s="87"/>
      <c r="S1114" s="87"/>
      <c r="T1114" s="87"/>
      <c r="U1114" s="87"/>
      <c r="V1114" s="87"/>
      <c r="W1114" s="87"/>
      <c r="X1114" s="87"/>
      <c r="Y1114" s="87"/>
      <c r="Z1114" s="87"/>
    </row>
    <row r="1115">
      <c r="A1115" s="96"/>
      <c r="B1115" s="96"/>
      <c r="C1115" s="98"/>
      <c r="D1115" s="98"/>
      <c r="E1115" s="100"/>
      <c r="F1115" s="100"/>
      <c r="G1115" s="96"/>
      <c r="H1115" s="100"/>
      <c r="I1115" s="100"/>
      <c r="J1115" s="102"/>
      <c r="K1115" s="96"/>
      <c r="L1115" s="96"/>
      <c r="M1115" s="87"/>
      <c r="N1115" s="87"/>
      <c r="O1115" s="87"/>
      <c r="P1115" s="87"/>
      <c r="Q1115" s="87"/>
      <c r="R1115" s="87"/>
      <c r="S1115" s="87"/>
      <c r="T1115" s="87"/>
      <c r="U1115" s="87"/>
      <c r="V1115" s="87"/>
      <c r="W1115" s="87"/>
      <c r="X1115" s="87"/>
      <c r="Y1115" s="87"/>
      <c r="Z1115" s="87"/>
    </row>
    <row r="1116">
      <c r="A1116" s="96"/>
      <c r="B1116" s="96"/>
      <c r="C1116" s="98"/>
      <c r="D1116" s="98"/>
      <c r="E1116" s="100"/>
      <c r="F1116" s="100"/>
      <c r="G1116" s="96"/>
      <c r="H1116" s="100"/>
      <c r="I1116" s="100"/>
      <c r="J1116" s="102"/>
      <c r="K1116" s="96"/>
      <c r="L1116" s="96"/>
      <c r="M1116" s="87"/>
      <c r="N1116" s="87"/>
      <c r="O1116" s="87"/>
      <c r="P1116" s="87"/>
      <c r="Q1116" s="87"/>
      <c r="R1116" s="87"/>
      <c r="S1116" s="87"/>
      <c r="T1116" s="87"/>
      <c r="U1116" s="87"/>
      <c r="V1116" s="87"/>
      <c r="W1116" s="87"/>
      <c r="X1116" s="87"/>
      <c r="Y1116" s="87"/>
      <c r="Z1116" s="87"/>
    </row>
    <row r="1117">
      <c r="A1117" s="96"/>
      <c r="B1117" s="96"/>
      <c r="C1117" s="98"/>
      <c r="D1117" s="98"/>
      <c r="E1117" s="100"/>
      <c r="F1117" s="100"/>
      <c r="G1117" s="96"/>
      <c r="H1117" s="100"/>
      <c r="I1117" s="100"/>
      <c r="J1117" s="102"/>
      <c r="K1117" s="96"/>
      <c r="L1117" s="96"/>
      <c r="M1117" s="87"/>
      <c r="N1117" s="87"/>
      <c r="O1117" s="87"/>
      <c r="P1117" s="87"/>
      <c r="Q1117" s="87"/>
      <c r="R1117" s="87"/>
      <c r="S1117" s="87"/>
      <c r="T1117" s="87"/>
      <c r="U1117" s="87"/>
      <c r="V1117" s="87"/>
      <c r="W1117" s="87"/>
      <c r="X1117" s="87"/>
      <c r="Y1117" s="87"/>
      <c r="Z1117" s="87"/>
    </row>
    <row r="1118">
      <c r="A1118" s="96"/>
      <c r="B1118" s="96"/>
      <c r="C1118" s="98"/>
      <c r="D1118" s="98"/>
      <c r="E1118" s="100"/>
      <c r="F1118" s="100"/>
      <c r="G1118" s="96"/>
      <c r="H1118" s="100"/>
      <c r="I1118" s="100"/>
      <c r="J1118" s="102"/>
      <c r="K1118" s="96"/>
      <c r="L1118" s="96"/>
      <c r="M1118" s="87"/>
      <c r="N1118" s="87"/>
      <c r="O1118" s="87"/>
      <c r="P1118" s="87"/>
      <c r="Q1118" s="87"/>
      <c r="R1118" s="87"/>
      <c r="S1118" s="87"/>
      <c r="T1118" s="87"/>
      <c r="U1118" s="87"/>
      <c r="V1118" s="87"/>
      <c r="W1118" s="87"/>
      <c r="X1118" s="87"/>
      <c r="Y1118" s="87"/>
      <c r="Z1118" s="87"/>
    </row>
    <row r="1119">
      <c r="A1119" s="96"/>
      <c r="B1119" s="96"/>
      <c r="C1119" s="98"/>
      <c r="D1119" s="98"/>
      <c r="E1119" s="100"/>
      <c r="F1119" s="100"/>
      <c r="G1119" s="96"/>
      <c r="H1119" s="100"/>
      <c r="I1119" s="100"/>
      <c r="J1119" s="102"/>
      <c r="K1119" s="96"/>
      <c r="L1119" s="96"/>
      <c r="M1119" s="87"/>
      <c r="N1119" s="87"/>
      <c r="O1119" s="87"/>
      <c r="P1119" s="87"/>
      <c r="Q1119" s="87"/>
      <c r="R1119" s="87"/>
      <c r="S1119" s="87"/>
      <c r="T1119" s="87"/>
      <c r="U1119" s="87"/>
      <c r="V1119" s="87"/>
      <c r="W1119" s="87"/>
      <c r="X1119" s="87"/>
      <c r="Y1119" s="87"/>
      <c r="Z1119" s="87"/>
    </row>
    <row r="1120">
      <c r="A1120" s="96"/>
      <c r="B1120" s="96"/>
      <c r="C1120" s="98"/>
      <c r="D1120" s="98"/>
      <c r="E1120" s="100"/>
      <c r="F1120" s="100"/>
      <c r="G1120" s="96"/>
      <c r="H1120" s="100"/>
      <c r="I1120" s="100"/>
      <c r="J1120" s="102"/>
      <c r="K1120" s="96"/>
      <c r="L1120" s="96"/>
      <c r="M1120" s="87"/>
      <c r="N1120" s="87"/>
      <c r="O1120" s="87"/>
      <c r="P1120" s="87"/>
      <c r="Q1120" s="87"/>
      <c r="R1120" s="87"/>
      <c r="S1120" s="87"/>
      <c r="T1120" s="87"/>
      <c r="U1120" s="87"/>
      <c r="V1120" s="87"/>
      <c r="W1120" s="87"/>
      <c r="X1120" s="87"/>
      <c r="Y1120" s="87"/>
      <c r="Z1120" s="87"/>
    </row>
    <row r="1121">
      <c r="A1121" s="96"/>
      <c r="B1121" s="96"/>
      <c r="C1121" s="98"/>
      <c r="D1121" s="98"/>
      <c r="E1121" s="100"/>
      <c r="F1121" s="100"/>
      <c r="G1121" s="96"/>
      <c r="H1121" s="100"/>
      <c r="I1121" s="100"/>
      <c r="J1121" s="102"/>
      <c r="K1121" s="96"/>
      <c r="L1121" s="96"/>
      <c r="M1121" s="87"/>
      <c r="N1121" s="87"/>
      <c r="O1121" s="87"/>
      <c r="P1121" s="87"/>
      <c r="Q1121" s="87"/>
      <c r="R1121" s="87"/>
      <c r="S1121" s="87"/>
      <c r="T1121" s="87"/>
      <c r="U1121" s="87"/>
      <c r="V1121" s="87"/>
      <c r="W1121" s="87"/>
      <c r="X1121" s="87"/>
      <c r="Y1121" s="87"/>
      <c r="Z1121" s="87"/>
    </row>
    <row r="1122">
      <c r="A1122" s="96"/>
      <c r="B1122" s="96"/>
      <c r="C1122" s="98"/>
      <c r="D1122" s="98"/>
      <c r="E1122" s="100"/>
      <c r="F1122" s="100"/>
      <c r="G1122" s="96"/>
      <c r="H1122" s="100"/>
      <c r="I1122" s="100"/>
      <c r="J1122" s="102"/>
      <c r="K1122" s="96"/>
      <c r="L1122" s="96"/>
      <c r="M1122" s="87"/>
      <c r="N1122" s="87"/>
      <c r="O1122" s="87"/>
      <c r="P1122" s="87"/>
      <c r="Q1122" s="87"/>
      <c r="R1122" s="87"/>
      <c r="S1122" s="87"/>
      <c r="T1122" s="87"/>
      <c r="U1122" s="87"/>
      <c r="V1122" s="87"/>
      <c r="W1122" s="87"/>
      <c r="X1122" s="87"/>
      <c r="Y1122" s="87"/>
      <c r="Z1122" s="87"/>
    </row>
    <row r="1123">
      <c r="A1123" s="96"/>
      <c r="B1123" s="96"/>
      <c r="C1123" s="98"/>
      <c r="D1123" s="98"/>
      <c r="E1123" s="100"/>
      <c r="F1123" s="100"/>
      <c r="G1123" s="96"/>
      <c r="H1123" s="100"/>
      <c r="I1123" s="100"/>
      <c r="J1123" s="102"/>
      <c r="K1123" s="96"/>
      <c r="L1123" s="96"/>
      <c r="M1123" s="87"/>
      <c r="N1123" s="87"/>
      <c r="O1123" s="87"/>
      <c r="P1123" s="87"/>
      <c r="Q1123" s="87"/>
      <c r="R1123" s="87"/>
      <c r="S1123" s="87"/>
      <c r="T1123" s="87"/>
      <c r="U1123" s="87"/>
      <c r="V1123" s="87"/>
      <c r="W1123" s="87"/>
      <c r="X1123" s="87"/>
      <c r="Y1123" s="87"/>
      <c r="Z1123" s="87"/>
    </row>
    <row r="1124">
      <c r="A1124" s="96"/>
      <c r="B1124" s="96"/>
      <c r="C1124" s="98"/>
      <c r="D1124" s="98"/>
      <c r="E1124" s="100"/>
      <c r="F1124" s="100"/>
      <c r="G1124" s="96"/>
      <c r="H1124" s="100"/>
      <c r="I1124" s="100"/>
      <c r="J1124" s="102"/>
      <c r="K1124" s="96"/>
      <c r="L1124" s="96"/>
      <c r="M1124" s="87"/>
      <c r="N1124" s="87"/>
      <c r="O1124" s="87"/>
      <c r="P1124" s="87"/>
      <c r="Q1124" s="87"/>
      <c r="R1124" s="87"/>
      <c r="S1124" s="87"/>
      <c r="T1124" s="87"/>
      <c r="U1124" s="87"/>
      <c r="V1124" s="87"/>
      <c r="W1124" s="87"/>
      <c r="X1124" s="87"/>
      <c r="Y1124" s="87"/>
      <c r="Z1124" s="87"/>
    </row>
    <row r="1125">
      <c r="A1125" s="96"/>
      <c r="B1125" s="96"/>
      <c r="C1125" s="98"/>
      <c r="D1125" s="98"/>
      <c r="E1125" s="100"/>
      <c r="F1125" s="100"/>
      <c r="G1125" s="96"/>
      <c r="H1125" s="100"/>
      <c r="I1125" s="100"/>
      <c r="J1125" s="102"/>
      <c r="K1125" s="96"/>
      <c r="L1125" s="96"/>
      <c r="M1125" s="87"/>
      <c r="N1125" s="87"/>
      <c r="O1125" s="87"/>
      <c r="P1125" s="87"/>
      <c r="Q1125" s="87"/>
      <c r="R1125" s="87"/>
      <c r="S1125" s="87"/>
      <c r="T1125" s="87"/>
      <c r="U1125" s="87"/>
      <c r="V1125" s="87"/>
      <c r="W1125" s="87"/>
      <c r="X1125" s="87"/>
      <c r="Y1125" s="87"/>
      <c r="Z1125" s="87"/>
    </row>
    <row r="1126">
      <c r="A1126" s="96"/>
      <c r="B1126" s="96"/>
      <c r="C1126" s="98"/>
      <c r="D1126" s="98"/>
      <c r="E1126" s="100"/>
      <c r="F1126" s="100"/>
      <c r="G1126" s="96"/>
      <c r="H1126" s="100"/>
      <c r="I1126" s="100"/>
      <c r="J1126" s="102"/>
      <c r="K1126" s="96"/>
      <c r="L1126" s="96"/>
      <c r="M1126" s="87"/>
      <c r="N1126" s="87"/>
      <c r="O1126" s="87"/>
      <c r="P1126" s="87"/>
      <c r="Q1126" s="87"/>
      <c r="R1126" s="87"/>
      <c r="S1126" s="87"/>
      <c r="T1126" s="87"/>
      <c r="U1126" s="87"/>
      <c r="V1126" s="87"/>
      <c r="W1126" s="87"/>
      <c r="X1126" s="87"/>
      <c r="Y1126" s="87"/>
      <c r="Z1126" s="87"/>
    </row>
    <row r="1127">
      <c r="A1127" s="96"/>
      <c r="B1127" s="96"/>
      <c r="C1127" s="98"/>
      <c r="D1127" s="98"/>
      <c r="E1127" s="100"/>
      <c r="F1127" s="100"/>
      <c r="G1127" s="96"/>
      <c r="H1127" s="100"/>
      <c r="I1127" s="100"/>
      <c r="J1127" s="102"/>
      <c r="K1127" s="96"/>
      <c r="L1127" s="96"/>
      <c r="M1127" s="87"/>
      <c r="N1127" s="87"/>
      <c r="O1127" s="87"/>
      <c r="P1127" s="87"/>
      <c r="Q1127" s="87"/>
      <c r="R1127" s="87"/>
      <c r="S1127" s="87"/>
      <c r="T1127" s="87"/>
      <c r="U1127" s="87"/>
      <c r="V1127" s="87"/>
      <c r="W1127" s="87"/>
      <c r="X1127" s="87"/>
      <c r="Y1127" s="87"/>
      <c r="Z1127" s="87"/>
    </row>
    <row r="1128">
      <c r="A1128" s="96"/>
      <c r="B1128" s="96"/>
      <c r="C1128" s="98"/>
      <c r="D1128" s="98"/>
      <c r="E1128" s="100"/>
      <c r="F1128" s="100"/>
      <c r="G1128" s="96"/>
      <c r="H1128" s="100"/>
      <c r="I1128" s="100"/>
      <c r="J1128" s="102"/>
      <c r="K1128" s="96"/>
      <c r="L1128" s="96"/>
      <c r="M1128" s="87"/>
      <c r="N1128" s="87"/>
      <c r="O1128" s="87"/>
      <c r="P1128" s="87"/>
      <c r="Q1128" s="87"/>
      <c r="R1128" s="87"/>
      <c r="S1128" s="87"/>
      <c r="T1128" s="87"/>
      <c r="U1128" s="87"/>
      <c r="V1128" s="87"/>
      <c r="W1128" s="87"/>
      <c r="X1128" s="87"/>
      <c r="Y1128" s="87"/>
      <c r="Z1128" s="87"/>
    </row>
    <row r="1129">
      <c r="A1129" s="96"/>
      <c r="B1129" s="96"/>
      <c r="C1129" s="98"/>
      <c r="D1129" s="98"/>
      <c r="E1129" s="100"/>
      <c r="F1129" s="100"/>
      <c r="G1129" s="96"/>
      <c r="H1129" s="100"/>
      <c r="I1129" s="100"/>
      <c r="J1129" s="102"/>
      <c r="K1129" s="96"/>
      <c r="L1129" s="96"/>
      <c r="M1129" s="87"/>
      <c r="N1129" s="87"/>
      <c r="O1129" s="87"/>
      <c r="P1129" s="87"/>
      <c r="Q1129" s="87"/>
      <c r="R1129" s="87"/>
      <c r="S1129" s="87"/>
      <c r="T1129" s="87"/>
      <c r="U1129" s="87"/>
      <c r="V1129" s="87"/>
      <c r="W1129" s="87"/>
      <c r="X1129" s="87"/>
      <c r="Y1129" s="87"/>
      <c r="Z1129" s="87"/>
    </row>
    <row r="1130">
      <c r="A1130" s="96"/>
      <c r="B1130" s="96"/>
      <c r="C1130" s="98"/>
      <c r="D1130" s="98"/>
      <c r="E1130" s="100"/>
      <c r="F1130" s="100"/>
      <c r="G1130" s="96"/>
      <c r="H1130" s="100"/>
      <c r="I1130" s="100"/>
      <c r="J1130" s="102"/>
      <c r="K1130" s="96"/>
      <c r="L1130" s="96"/>
      <c r="M1130" s="87"/>
      <c r="N1130" s="87"/>
      <c r="O1130" s="87"/>
      <c r="P1130" s="87"/>
      <c r="Q1130" s="87"/>
      <c r="R1130" s="87"/>
      <c r="S1130" s="87"/>
      <c r="T1130" s="87"/>
      <c r="U1130" s="87"/>
      <c r="V1130" s="87"/>
      <c r="W1130" s="87"/>
      <c r="X1130" s="87"/>
      <c r="Y1130" s="87"/>
      <c r="Z1130" s="87"/>
    </row>
    <row r="1131">
      <c r="A1131" s="96"/>
      <c r="B1131" s="96"/>
      <c r="C1131" s="98"/>
      <c r="D1131" s="98"/>
      <c r="E1131" s="100"/>
      <c r="F1131" s="100"/>
      <c r="G1131" s="96"/>
      <c r="H1131" s="100"/>
      <c r="I1131" s="100"/>
      <c r="J1131" s="102"/>
      <c r="K1131" s="96"/>
      <c r="L1131" s="96"/>
      <c r="M1131" s="87"/>
      <c r="N1131" s="87"/>
      <c r="O1131" s="87"/>
      <c r="P1131" s="87"/>
      <c r="Q1131" s="87"/>
      <c r="R1131" s="87"/>
      <c r="S1131" s="87"/>
      <c r="T1131" s="87"/>
      <c r="U1131" s="87"/>
      <c r="V1131" s="87"/>
      <c r="W1131" s="87"/>
      <c r="X1131" s="87"/>
      <c r="Y1131" s="87"/>
      <c r="Z1131" s="87"/>
    </row>
    <row r="1132">
      <c r="A1132" s="96"/>
      <c r="B1132" s="96"/>
      <c r="C1132" s="98"/>
      <c r="D1132" s="98"/>
      <c r="E1132" s="100"/>
      <c r="F1132" s="100"/>
      <c r="G1132" s="96"/>
      <c r="H1132" s="100"/>
      <c r="I1132" s="100"/>
      <c r="J1132" s="102"/>
      <c r="K1132" s="96"/>
      <c r="L1132" s="96"/>
      <c r="M1132" s="87"/>
      <c r="N1132" s="87"/>
      <c r="O1132" s="87"/>
      <c r="P1132" s="87"/>
      <c r="Q1132" s="87"/>
      <c r="R1132" s="87"/>
      <c r="S1132" s="87"/>
      <c r="T1132" s="87"/>
      <c r="U1132" s="87"/>
      <c r="V1132" s="87"/>
      <c r="W1132" s="87"/>
      <c r="X1132" s="87"/>
      <c r="Y1132" s="87"/>
      <c r="Z1132" s="87"/>
    </row>
    <row r="1133">
      <c r="A1133" s="96"/>
      <c r="B1133" s="96"/>
      <c r="C1133" s="98"/>
      <c r="D1133" s="98"/>
      <c r="E1133" s="100"/>
      <c r="F1133" s="100"/>
      <c r="G1133" s="96"/>
      <c r="H1133" s="100"/>
      <c r="I1133" s="100"/>
      <c r="J1133" s="102"/>
      <c r="K1133" s="96"/>
      <c r="L1133" s="96"/>
      <c r="M1133" s="87"/>
      <c r="N1133" s="87"/>
      <c r="O1133" s="87"/>
      <c r="P1133" s="87"/>
      <c r="Q1133" s="87"/>
      <c r="R1133" s="87"/>
      <c r="S1133" s="87"/>
      <c r="T1133" s="87"/>
      <c r="U1133" s="87"/>
      <c r="V1133" s="87"/>
      <c r="W1133" s="87"/>
      <c r="X1133" s="87"/>
      <c r="Y1133" s="87"/>
      <c r="Z1133" s="87"/>
    </row>
    <row r="1134">
      <c r="A1134" s="96"/>
      <c r="B1134" s="96"/>
      <c r="C1134" s="98"/>
      <c r="D1134" s="98"/>
      <c r="E1134" s="100"/>
      <c r="F1134" s="100"/>
      <c r="G1134" s="96"/>
      <c r="H1134" s="100"/>
      <c r="I1134" s="100"/>
      <c r="J1134" s="102"/>
      <c r="K1134" s="96"/>
      <c r="L1134" s="96"/>
      <c r="M1134" s="87"/>
      <c r="N1134" s="87"/>
      <c r="O1134" s="87"/>
      <c r="P1134" s="87"/>
      <c r="Q1134" s="87"/>
      <c r="R1134" s="87"/>
      <c r="S1134" s="87"/>
      <c r="T1134" s="87"/>
      <c r="U1134" s="87"/>
      <c r="V1134" s="87"/>
      <c r="W1134" s="87"/>
      <c r="X1134" s="87"/>
      <c r="Y1134" s="87"/>
      <c r="Z1134" s="87"/>
    </row>
    <row r="1135">
      <c r="A1135" s="96"/>
      <c r="B1135" s="96"/>
      <c r="C1135" s="98"/>
      <c r="D1135" s="98"/>
      <c r="E1135" s="100"/>
      <c r="F1135" s="100"/>
      <c r="G1135" s="96"/>
      <c r="H1135" s="100"/>
      <c r="I1135" s="100"/>
      <c r="J1135" s="102"/>
      <c r="K1135" s="96"/>
      <c r="L1135" s="96"/>
      <c r="M1135" s="87"/>
      <c r="N1135" s="87"/>
      <c r="O1135" s="87"/>
      <c r="P1135" s="87"/>
      <c r="Q1135" s="87"/>
      <c r="R1135" s="87"/>
      <c r="S1135" s="87"/>
      <c r="T1135" s="87"/>
      <c r="U1135" s="87"/>
      <c r="V1135" s="87"/>
      <c r="W1135" s="87"/>
      <c r="X1135" s="87"/>
      <c r="Y1135" s="87"/>
      <c r="Z1135" s="87"/>
    </row>
  </sheetData>
  <hyperlinks>
    <hyperlink r:id="rId1" ref="A4"/>
    <hyperlink r:id="rId2" ref="C4"/>
    <hyperlink r:id="rId3" ref="G4"/>
    <hyperlink r:id="rId4" ref="H4"/>
    <hyperlink r:id="rId5" ref="J4"/>
    <hyperlink r:id="rId6" ref="K4"/>
    <hyperlink r:id="rId7" ref="L4"/>
    <hyperlink r:id="rId8" ref="A5"/>
    <hyperlink r:id="rId9" ref="B5"/>
    <hyperlink r:id="rId10" ref="C5"/>
    <hyperlink r:id="rId11" ref="D5"/>
    <hyperlink r:id="rId12" ref="E5"/>
    <hyperlink r:id="rId13" ref="F5"/>
    <hyperlink r:id="rId14" ref="G5"/>
    <hyperlink r:id="rId15" ref="H5"/>
    <hyperlink r:id="rId16" ref="I5"/>
    <hyperlink r:id="rId17" ref="J5"/>
    <hyperlink r:id="rId18" ref="K5"/>
    <hyperlink r:id="rId19" ref="L5"/>
    <hyperlink r:id="rId20" ref="A8"/>
    <hyperlink r:id="rId21" ref="B8"/>
    <hyperlink r:id="rId22" ref="C8"/>
    <hyperlink r:id="rId23" ref="D8"/>
    <hyperlink r:id="rId24" ref="E8"/>
    <hyperlink r:id="rId25" ref="F8"/>
    <hyperlink r:id="rId26" ref="G8"/>
    <hyperlink r:id="rId27" ref="H8"/>
    <hyperlink r:id="rId28" ref="I8"/>
    <hyperlink r:id="rId29" ref="J8"/>
    <hyperlink r:id="rId30" ref="K8"/>
    <hyperlink r:id="rId31" ref="L8"/>
    <hyperlink r:id="rId32" ref="A10"/>
    <hyperlink r:id="rId33" ref="B10"/>
    <hyperlink r:id="rId34" ref="C10"/>
    <hyperlink r:id="rId35" ref="D10"/>
    <hyperlink r:id="rId36" ref="E10"/>
    <hyperlink r:id="rId37" ref="F10"/>
    <hyperlink r:id="rId38" ref="G10"/>
    <hyperlink r:id="rId39" ref="H10"/>
    <hyperlink r:id="rId40" ref="I10"/>
    <hyperlink r:id="rId41" ref="J10"/>
    <hyperlink r:id="rId42" ref="K10"/>
    <hyperlink r:id="rId43" ref="L10"/>
    <hyperlink r:id="rId44" ref="A11"/>
    <hyperlink r:id="rId45" ref="B11"/>
    <hyperlink r:id="rId46" ref="C11"/>
    <hyperlink r:id="rId47" ref="D11"/>
    <hyperlink r:id="rId48" ref="E11"/>
    <hyperlink r:id="rId49" ref="F11"/>
    <hyperlink r:id="rId50" ref="G11"/>
    <hyperlink r:id="rId51" ref="H11"/>
    <hyperlink r:id="rId52" ref="I11"/>
    <hyperlink r:id="rId53" ref="J11"/>
    <hyperlink r:id="rId54" ref="K11"/>
    <hyperlink r:id="rId55" ref="L11"/>
    <hyperlink r:id="rId56" ref="A12"/>
    <hyperlink r:id="rId57" ref="B12"/>
    <hyperlink r:id="rId58" ref="C12"/>
    <hyperlink r:id="rId59" ref="D12"/>
    <hyperlink r:id="rId60" ref="E12"/>
    <hyperlink r:id="rId61" ref="F12"/>
    <hyperlink r:id="rId62" ref="G12"/>
    <hyperlink r:id="rId63" ref="H12"/>
    <hyperlink r:id="rId64" ref="I12"/>
    <hyperlink r:id="rId65" ref="J12"/>
    <hyperlink r:id="rId66" ref="K12"/>
    <hyperlink r:id="rId67" ref="L12"/>
    <hyperlink r:id="rId68" ref="A13"/>
    <hyperlink r:id="rId69" ref="B13"/>
    <hyperlink r:id="rId70" ref="C13"/>
    <hyperlink r:id="rId71" ref="D13"/>
    <hyperlink r:id="rId72" ref="E13"/>
    <hyperlink r:id="rId73" ref="F13"/>
    <hyperlink r:id="rId74" ref="G13"/>
    <hyperlink r:id="rId75" ref="H13"/>
    <hyperlink r:id="rId76" ref="J13"/>
    <hyperlink r:id="rId77" ref="K13"/>
    <hyperlink r:id="rId78" ref="L13"/>
    <hyperlink r:id="rId79" ref="A14"/>
    <hyperlink r:id="rId80" ref="B14"/>
    <hyperlink r:id="rId81" ref="C14"/>
    <hyperlink r:id="rId82" ref="D14"/>
    <hyperlink r:id="rId83" ref="E14"/>
    <hyperlink r:id="rId84" ref="F14"/>
    <hyperlink r:id="rId85" ref="G14"/>
    <hyperlink r:id="rId86" ref="H14"/>
    <hyperlink r:id="rId87" ref="I14"/>
    <hyperlink r:id="rId88" ref="J14"/>
    <hyperlink r:id="rId89" ref="L14"/>
    <hyperlink r:id="rId90" ref="A15"/>
    <hyperlink r:id="rId91" ref="B15"/>
    <hyperlink r:id="rId92" ref="C15"/>
    <hyperlink r:id="rId93" ref="D15"/>
    <hyperlink r:id="rId94" ref="E15"/>
    <hyperlink r:id="rId95" ref="F15"/>
    <hyperlink r:id="rId96" ref="G15"/>
    <hyperlink r:id="rId97" ref="H15"/>
    <hyperlink r:id="rId98" ref="I15"/>
    <hyperlink r:id="rId99" ref="J15"/>
    <hyperlink r:id="rId100" ref="L15"/>
    <hyperlink r:id="rId101" ref="A16"/>
    <hyperlink r:id="rId102" ref="B16"/>
    <hyperlink r:id="rId103" ref="C16"/>
    <hyperlink r:id="rId104" ref="D16"/>
    <hyperlink r:id="rId105" ref="F16"/>
    <hyperlink r:id="rId106" ref="G16"/>
    <hyperlink r:id="rId107" ref="H16"/>
    <hyperlink r:id="rId108" ref="I16"/>
    <hyperlink r:id="rId109" ref="J16"/>
    <hyperlink r:id="rId110" ref="K16"/>
    <hyperlink r:id="rId111" ref="L16"/>
    <hyperlink r:id="rId112" ref="A19"/>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9"/>
    <hyperlink r:id="rId113" ref="G19"/>
    <hyperlink r:id="rId114" ref="H19"/>
    <hyperlink r:id="rId115" ref="J19"/>
    <hyperlink r:id="rId116" ref="K19"/>
    <hyperlink r:id="rId117" ref="L19"/>
    <hyperlink r:id="rId118" ref="C98"/>
    <hyperlink r:id="rId119" ref="G98"/>
    <hyperlink r:id="rId120" ref="K98"/>
    <hyperlink r:id="rId121" ref="J113"/>
    <hyperlink r:id="rId122" ref="K113"/>
  </hyperlinks>
  <drawing r:id="rId1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25"/>
    <col customWidth="1" min="26" max="26" width="18.38"/>
    <col customWidth="1" min="27" max="27" width="46.13"/>
    <col customWidth="1" min="28" max="28" width="27.38"/>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33.63"/>
    <col customWidth="1" min="37" max="37" width="5.38"/>
    <col customWidth="1" min="38" max="38" width="18.5"/>
    <col customWidth="1" min="39" max="39" width="48.75"/>
    <col customWidth="1" min="40" max="40" width="23.75"/>
    <col customWidth="1" min="41" max="41" width="5.25"/>
    <col customWidth="1" min="42" max="42" width="18.38"/>
    <col customWidth="1" min="43" max="43" width="46.13"/>
    <col customWidth="1" min="44" max="44" width="24.25"/>
    <col customWidth="1" min="45" max="45" width="5.25"/>
    <col customWidth="1" min="46" max="46" width="18.38"/>
    <col customWidth="1" min="47" max="47" width="46.13"/>
    <col customWidth="1" min="48" max="48" width="24.25"/>
    <col customWidth="1" min="49" max="50" width="23.75"/>
  </cols>
  <sheetData>
    <row r="1">
      <c r="A1" s="103" t="s">
        <v>730</v>
      </c>
      <c r="B1" s="104" t="s">
        <v>731</v>
      </c>
      <c r="C1" s="105" t="s">
        <v>732</v>
      </c>
      <c r="D1" s="106" t="s">
        <v>733</v>
      </c>
      <c r="E1" s="103" t="s">
        <v>730</v>
      </c>
      <c r="F1" s="107" t="s">
        <v>734</v>
      </c>
      <c r="G1" s="108" t="s">
        <v>735</v>
      </c>
      <c r="H1" s="109" t="s">
        <v>733</v>
      </c>
      <c r="I1" s="103" t="s">
        <v>730</v>
      </c>
      <c r="J1" s="107" t="s">
        <v>736</v>
      </c>
      <c r="K1" s="105" t="s">
        <v>737</v>
      </c>
      <c r="L1" s="106" t="s">
        <v>738</v>
      </c>
      <c r="M1" s="110" t="str">
        <f>IFERROR(__xludf.DUMMYFUNCTION("GOOGLETRANSLATE(E1,""zh-tw"",""en"")"),"NO.")</f>
        <v>NO.</v>
      </c>
      <c r="N1" s="111" t="str">
        <f>IFERROR(__xludf.DUMMYFUNCTION("GOOGLETRANSLATE(B1,""zh-tw"",""zh"")"),"SLG事件")</f>
        <v>SLG事件</v>
      </c>
      <c r="O1" s="112" t="str">
        <f>IFERROR(__xludf.DUMMYFUNCTION("GOOGLETRANSLATE(C1,""zh-tw"",""zh"")"),"说明")</f>
        <v>说明</v>
      </c>
      <c r="P1" s="113" t="str">
        <f>IFERROR(__xludf.DUMMYFUNCTION("GOOGLETRANSLATE(D1,""zh-tw"",""zh"")"),"结果")</f>
        <v>结果</v>
      </c>
      <c r="Q1" s="110" t="s">
        <v>730</v>
      </c>
      <c r="R1" s="107" t="s">
        <v>739</v>
      </c>
      <c r="S1" s="108" t="s">
        <v>740</v>
      </c>
      <c r="T1" s="109" t="s">
        <v>741</v>
      </c>
      <c r="U1" s="110" t="s">
        <v>730</v>
      </c>
      <c r="V1" s="111" t="str">
        <f>IFERROR(__xludf.DUMMYFUNCTION("GOOGLETRANSLATE(B1,""zh-tw"",""KO"")"),"SLG 사건")</f>
        <v>SLG 사건</v>
      </c>
      <c r="W1" s="112" t="str">
        <f>IFERROR(__xludf.DUMMYFUNCTION("GOOGLETRANSLATE(C1,""zh-tw"",""KO"")"),"설명하다")</f>
        <v>설명하다</v>
      </c>
      <c r="X1" s="113" t="str">
        <f>IFERROR(__xludf.DUMMYFUNCTION("GOOGLETRANSLATE(D1,""zh-tw"",""KO"")"),"결과")</f>
        <v>결과</v>
      </c>
      <c r="Y1" s="103" t="s">
        <v>730</v>
      </c>
      <c r="Z1" s="104" t="s">
        <v>742</v>
      </c>
      <c r="AA1" s="105" t="s">
        <v>743</v>
      </c>
      <c r="AB1" s="106" t="s">
        <v>744</v>
      </c>
      <c r="AC1" s="103" t="s">
        <v>730</v>
      </c>
      <c r="AD1" s="104" t="s">
        <v>745</v>
      </c>
      <c r="AE1" s="105" t="s">
        <v>746</v>
      </c>
      <c r="AF1" s="106" t="s">
        <v>744</v>
      </c>
      <c r="AG1" s="103" t="s">
        <v>730</v>
      </c>
      <c r="AH1" s="114" t="s">
        <v>747</v>
      </c>
      <c r="AI1" s="105" t="s">
        <v>748</v>
      </c>
      <c r="AJ1" s="109" t="s">
        <v>749</v>
      </c>
      <c r="AK1" s="115" t="s">
        <v>750</v>
      </c>
      <c r="AL1" s="116" t="s">
        <v>751</v>
      </c>
      <c r="AM1" s="117" t="s">
        <v>752</v>
      </c>
      <c r="AN1" s="118" t="s">
        <v>753</v>
      </c>
      <c r="AO1" s="103" t="s">
        <v>730</v>
      </c>
      <c r="AP1" s="104" t="s">
        <v>754</v>
      </c>
      <c r="AQ1" s="105" t="s">
        <v>755</v>
      </c>
      <c r="AR1" s="106" t="s">
        <v>741</v>
      </c>
      <c r="AS1" s="119" t="s">
        <v>756</v>
      </c>
      <c r="AT1" s="107" t="s">
        <v>757</v>
      </c>
      <c r="AU1" s="108" t="s">
        <v>758</v>
      </c>
      <c r="AV1" s="109" t="s">
        <v>759</v>
      </c>
      <c r="AW1" s="106"/>
      <c r="AX1" s="106"/>
    </row>
    <row r="2">
      <c r="A2" s="120"/>
      <c r="B2" s="121"/>
      <c r="C2" s="121"/>
      <c r="D2" s="121"/>
      <c r="E2" s="120"/>
      <c r="F2" s="121"/>
      <c r="G2" s="121"/>
      <c r="H2" s="121"/>
      <c r="I2" s="120"/>
      <c r="J2" s="121"/>
      <c r="K2" s="121"/>
      <c r="L2" s="121"/>
      <c r="M2" s="122"/>
      <c r="N2" s="123"/>
      <c r="O2" s="123"/>
      <c r="P2" s="121"/>
      <c r="Q2" s="122"/>
      <c r="R2" s="121"/>
      <c r="S2" s="123"/>
      <c r="T2" s="123"/>
      <c r="U2" s="122"/>
      <c r="V2" s="121"/>
      <c r="W2" s="121"/>
      <c r="X2" s="121"/>
      <c r="Y2" s="124"/>
      <c r="Z2" s="124"/>
      <c r="AA2" s="124"/>
      <c r="AB2" s="124"/>
      <c r="AC2" s="125"/>
      <c r="AD2" s="126"/>
      <c r="AE2" s="126"/>
      <c r="AF2" s="126"/>
      <c r="AG2" s="120"/>
      <c r="AH2" s="121"/>
      <c r="AI2" s="121"/>
      <c r="AJ2" s="121"/>
      <c r="AK2" s="127"/>
      <c r="AL2" s="128"/>
      <c r="AM2" s="127"/>
      <c r="AN2" s="127"/>
      <c r="AO2" s="124"/>
      <c r="AP2" s="124"/>
      <c r="AQ2" s="124"/>
      <c r="AR2" s="124"/>
      <c r="AS2" s="124"/>
      <c r="AT2" s="124"/>
      <c r="AU2" s="124"/>
      <c r="AV2" s="124"/>
      <c r="AW2" s="121"/>
      <c r="AX2" s="121"/>
    </row>
    <row r="3">
      <c r="A3" s="129" t="s">
        <v>760</v>
      </c>
      <c r="B3" s="129" t="s">
        <v>761</v>
      </c>
      <c r="E3" s="129" t="s">
        <v>760</v>
      </c>
      <c r="F3" s="129" t="s">
        <v>762</v>
      </c>
      <c r="I3" s="129" t="s">
        <v>760</v>
      </c>
      <c r="J3" s="129" t="s">
        <v>763</v>
      </c>
      <c r="M3" s="129" t="s">
        <v>760</v>
      </c>
      <c r="N3" s="130" t="str">
        <f>IFERROR(__xludf.DUMMYFUNCTION("GOOGLETRANSLATE(B3,""zh-tw"",""zh"")"),"平时相关")</f>
        <v>平时相关</v>
      </c>
      <c r="Q3" s="129" t="s">
        <v>760</v>
      </c>
      <c r="R3" s="129" t="s">
        <v>764</v>
      </c>
      <c r="U3" s="129" t="s">
        <v>760</v>
      </c>
      <c r="V3" s="129" t="s">
        <v>765</v>
      </c>
      <c r="Y3" s="131" t="s">
        <v>760</v>
      </c>
      <c r="Z3" s="132" t="s">
        <v>766</v>
      </c>
      <c r="AC3" s="130" t="s">
        <v>760</v>
      </c>
      <c r="AD3" s="130" t="s">
        <v>767</v>
      </c>
      <c r="AG3" s="129" t="s">
        <v>760</v>
      </c>
      <c r="AH3" s="129" t="s">
        <v>768</v>
      </c>
      <c r="AK3" s="133" t="s">
        <v>760</v>
      </c>
      <c r="AL3" s="134" t="s">
        <v>769</v>
      </c>
      <c r="AO3" s="130" t="s">
        <v>760</v>
      </c>
      <c r="AP3" s="130" t="s">
        <v>770</v>
      </c>
      <c r="AS3" s="129" t="s">
        <v>760</v>
      </c>
      <c r="AT3" s="129" t="s">
        <v>771</v>
      </c>
      <c r="AW3" s="130"/>
      <c r="AX3" s="130"/>
    </row>
    <row r="4">
      <c r="A4" s="135">
        <v>1.0</v>
      </c>
      <c r="B4" s="136" t="s">
        <v>772</v>
      </c>
      <c r="C4" s="137" t="s">
        <v>773</v>
      </c>
      <c r="D4" s="138" t="s">
        <v>774</v>
      </c>
      <c r="E4" s="135">
        <v>1.0</v>
      </c>
      <c r="F4" s="136" t="s">
        <v>775</v>
      </c>
      <c r="G4" s="139" t="s">
        <v>776</v>
      </c>
      <c r="H4" s="138" t="s">
        <v>777</v>
      </c>
      <c r="I4" s="135">
        <v>1.0</v>
      </c>
      <c r="J4" s="136" t="s">
        <v>778</v>
      </c>
      <c r="K4" s="137" t="s">
        <v>779</v>
      </c>
      <c r="L4" s="138" t="s">
        <v>780</v>
      </c>
      <c r="M4" s="135">
        <v>1.0</v>
      </c>
      <c r="N4" s="140" t="s">
        <v>781</v>
      </c>
      <c r="O4" s="139" t="s">
        <v>773</v>
      </c>
      <c r="P4" s="100" t="s">
        <v>782</v>
      </c>
      <c r="Q4" s="135">
        <v>1.0</v>
      </c>
      <c r="R4" s="136" t="s">
        <v>783</v>
      </c>
      <c r="S4" s="139" t="s">
        <v>784</v>
      </c>
      <c r="T4" s="97" t="s">
        <v>785</v>
      </c>
      <c r="U4" s="135">
        <v>1.0</v>
      </c>
      <c r="V4" s="136" t="s">
        <v>786</v>
      </c>
      <c r="W4" s="137" t="s">
        <v>787</v>
      </c>
      <c r="X4" s="138" t="s">
        <v>788</v>
      </c>
      <c r="Y4" s="141">
        <v>1.0</v>
      </c>
      <c r="Z4" s="142" t="s">
        <v>789</v>
      </c>
      <c r="AA4" s="143" t="s">
        <v>790</v>
      </c>
      <c r="AB4" s="144" t="s">
        <v>791</v>
      </c>
      <c r="AC4" s="135">
        <v>1.0</v>
      </c>
      <c r="AD4" s="145" t="s">
        <v>792</v>
      </c>
      <c r="AE4" s="146" t="s">
        <v>793</v>
      </c>
      <c r="AF4" s="147" t="s">
        <v>794</v>
      </c>
      <c r="AG4" s="135">
        <v>1.0</v>
      </c>
      <c r="AH4" s="136" t="s">
        <v>795</v>
      </c>
      <c r="AI4" s="137" t="s">
        <v>796</v>
      </c>
      <c r="AJ4" s="138" t="s">
        <v>797</v>
      </c>
      <c r="AK4" s="148">
        <v>1.0</v>
      </c>
      <c r="AL4" s="149" t="s">
        <v>798</v>
      </c>
      <c r="AM4" s="150" t="s">
        <v>799</v>
      </c>
      <c r="AN4" s="89" t="s">
        <v>800</v>
      </c>
      <c r="AO4" s="135">
        <v>1.0</v>
      </c>
      <c r="AP4" s="151" t="s">
        <v>801</v>
      </c>
      <c r="AQ4" s="152" t="s">
        <v>802</v>
      </c>
      <c r="AR4" s="153" t="s">
        <v>803</v>
      </c>
      <c r="AS4" s="135">
        <v>1.0</v>
      </c>
      <c r="AT4" s="140" t="s">
        <v>804</v>
      </c>
      <c r="AU4" s="139" t="s">
        <v>805</v>
      </c>
      <c r="AV4" s="97" t="s">
        <v>806</v>
      </c>
      <c r="AW4" s="138"/>
      <c r="AX4" s="138"/>
    </row>
    <row r="5">
      <c r="C5" s="137" t="s">
        <v>807</v>
      </c>
      <c r="D5" s="138" t="s">
        <v>808</v>
      </c>
      <c r="G5" s="137" t="s">
        <v>809</v>
      </c>
      <c r="H5" s="138" t="s">
        <v>810</v>
      </c>
      <c r="K5" s="137" t="s">
        <v>811</v>
      </c>
      <c r="L5" s="138" t="s">
        <v>812</v>
      </c>
      <c r="O5" s="154" t="str">
        <f>IFERROR(__xludf.DUMMYFUNCTION("GOOGLETRANSLATE(C5,""zh-tw"",""zh"")"),"没事-&gt;小时候")</f>
        <v>没事-&gt;小时候</v>
      </c>
      <c r="P5" s="97" t="s">
        <v>813</v>
      </c>
      <c r="S5" s="154" t="str">
        <f>IFERROR(__xludf.DUMMYFUNCTION("GOOGLETRANSLATE(C5,""zh-tw"",""es-MX"")"),"Está bien -&gt; cuando yo era niño")</f>
        <v>Está bien -&gt; cuando yo era niño</v>
      </c>
      <c r="T5" s="97" t="s">
        <v>814</v>
      </c>
      <c r="W5" s="139" t="s">
        <v>815</v>
      </c>
      <c r="X5" s="97" t="s">
        <v>816</v>
      </c>
      <c r="AA5" s="143" t="s">
        <v>817</v>
      </c>
      <c r="AB5" s="144" t="s">
        <v>818</v>
      </c>
      <c r="AE5" s="146" t="s">
        <v>819</v>
      </c>
      <c r="AF5" s="147" t="s">
        <v>820</v>
      </c>
      <c r="AI5" s="137" t="s">
        <v>821</v>
      </c>
      <c r="AJ5" s="138" t="s">
        <v>822</v>
      </c>
      <c r="AM5" s="150" t="s">
        <v>823</v>
      </c>
      <c r="AN5" s="89" t="s">
        <v>824</v>
      </c>
      <c r="AQ5" s="152" t="s">
        <v>825</v>
      </c>
      <c r="AR5" s="153" t="s">
        <v>826</v>
      </c>
      <c r="AU5" s="139" t="s">
        <v>827</v>
      </c>
      <c r="AV5" s="97" t="s">
        <v>828</v>
      </c>
      <c r="AW5" s="138"/>
      <c r="AX5" s="138"/>
    </row>
    <row r="6">
      <c r="C6" s="137" t="s">
        <v>829</v>
      </c>
      <c r="D6" s="138" t="s">
        <v>830</v>
      </c>
      <c r="G6" s="137" t="s">
        <v>831</v>
      </c>
      <c r="H6" s="138" t="s">
        <v>832</v>
      </c>
      <c r="K6" s="137" t="s">
        <v>833</v>
      </c>
      <c r="L6" s="138" t="s">
        <v>834</v>
      </c>
      <c r="O6" s="154" t="str">
        <f>IFERROR(__xludf.DUMMYFUNCTION("GOOGLETRANSLATE(C6,""zh-tw"",""zh"")"),"没事-&gt;牛排餐")</f>
        <v>没事-&gt;牛排餐</v>
      </c>
      <c r="P6" s="100" t="str">
        <f>IFERROR(__xludf.DUMMYFUNCTION("GOOGLETRANSLATE(D6,""zh-tw"",""zh"")"),"约定:肉料理")</f>
        <v>约定:肉料理</v>
      </c>
      <c r="S6" s="154" t="str">
        <f>IFERROR(__xludf.DUMMYFUNCTION("GOOGLETRANSLATE(C6,""zh-tw"",""es-MX"")"),"Nada -&gt; Comida de bistec")</f>
        <v>Nada -&gt; Comida de bistec</v>
      </c>
      <c r="T6" s="97" t="s">
        <v>835</v>
      </c>
      <c r="W6" s="139" t="s">
        <v>836</v>
      </c>
      <c r="X6" s="97" t="s">
        <v>837</v>
      </c>
      <c r="AA6" s="143" t="s">
        <v>838</v>
      </c>
      <c r="AB6" s="144" t="s">
        <v>839</v>
      </c>
      <c r="AE6" s="146" t="s">
        <v>840</v>
      </c>
      <c r="AF6" s="147" t="s">
        <v>841</v>
      </c>
      <c r="AI6" s="137" t="s">
        <v>842</v>
      </c>
      <c r="AJ6" s="138" t="s">
        <v>843</v>
      </c>
      <c r="AM6" s="150" t="s">
        <v>844</v>
      </c>
      <c r="AN6" s="89" t="s">
        <v>845</v>
      </c>
      <c r="AQ6" s="152" t="s">
        <v>846</v>
      </c>
      <c r="AR6" s="153" t="s">
        <v>847</v>
      </c>
      <c r="AU6" s="139" t="s">
        <v>848</v>
      </c>
      <c r="AV6" s="97" t="s">
        <v>849</v>
      </c>
      <c r="AW6" s="138"/>
      <c r="AX6" s="138"/>
    </row>
    <row r="7">
      <c r="C7" s="137" t="s">
        <v>850</v>
      </c>
      <c r="D7" s="138" t="s">
        <v>851</v>
      </c>
      <c r="G7" s="137" t="s">
        <v>852</v>
      </c>
      <c r="H7" s="138" t="s">
        <v>853</v>
      </c>
      <c r="K7" s="137" t="s">
        <v>854</v>
      </c>
      <c r="L7" s="138" t="s">
        <v>855</v>
      </c>
      <c r="O7" s="154" t="str">
        <f>IFERROR(__xludf.DUMMYFUNCTION("GOOGLETRANSLATE(C7,""zh-tw"",""zh"")"),"没事-&gt;忘光光")</f>
        <v>没事-&gt;忘光光</v>
      </c>
      <c r="P7" s="138" t="str">
        <f>IFERROR(__xludf.DUMMYFUNCTION("GOOGLETRANSLATE(D7,""zh-tw"",""zh"")"),"获得状态:总有一天会想起")</f>
        <v>获得状态:总有一天会想起</v>
      </c>
      <c r="S7" s="154" t="str">
        <f>IFERROR(__xludf.DUMMYFUNCTION("GOOGLETRANSLATE(C7,""zh-tw"",""es-MX"")"),"Está bien -&gt; Lo olvidé todo")</f>
        <v>Está bien -&gt; Lo olvidé todo</v>
      </c>
      <c r="T7" s="155" t="s">
        <v>856</v>
      </c>
      <c r="W7" s="139" t="s">
        <v>857</v>
      </c>
      <c r="X7" s="97" t="s">
        <v>858</v>
      </c>
      <c r="AA7" s="143" t="s">
        <v>859</v>
      </c>
      <c r="AB7" s="144" t="s">
        <v>860</v>
      </c>
      <c r="AE7" s="146" t="s">
        <v>861</v>
      </c>
      <c r="AF7" s="147" t="s">
        <v>862</v>
      </c>
      <c r="AI7" s="137" t="s">
        <v>863</v>
      </c>
      <c r="AJ7" s="138" t="s">
        <v>864</v>
      </c>
      <c r="AM7" s="150" t="s">
        <v>865</v>
      </c>
      <c r="AN7" s="89" t="s">
        <v>866</v>
      </c>
      <c r="AQ7" s="152" t="s">
        <v>867</v>
      </c>
      <c r="AR7" s="153" t="s">
        <v>868</v>
      </c>
      <c r="AU7" s="139" t="s">
        <v>869</v>
      </c>
      <c r="AV7" s="97" t="s">
        <v>870</v>
      </c>
      <c r="AW7" s="138"/>
      <c r="AX7" s="138"/>
    </row>
    <row r="8">
      <c r="A8" s="135">
        <v>2.0</v>
      </c>
      <c r="B8" s="136" t="s">
        <v>871</v>
      </c>
      <c r="C8" s="137" t="s">
        <v>872</v>
      </c>
      <c r="D8" s="138" t="s">
        <v>873</v>
      </c>
      <c r="E8" s="135">
        <v>2.0</v>
      </c>
      <c r="F8" s="136" t="s">
        <v>874</v>
      </c>
      <c r="G8" s="137" t="s">
        <v>875</v>
      </c>
      <c r="H8" s="138" t="s">
        <v>876</v>
      </c>
      <c r="I8" s="135">
        <v>2.0</v>
      </c>
      <c r="J8" s="136" t="s">
        <v>877</v>
      </c>
      <c r="K8" s="137" t="s">
        <v>878</v>
      </c>
      <c r="L8" s="138" t="s">
        <v>879</v>
      </c>
      <c r="M8" s="135">
        <v>2.0</v>
      </c>
      <c r="N8" s="136" t="str">
        <f>IFERROR(__xludf.DUMMYFUNCTION("GOOGLETRANSLATE(B8,""zh-tw"",""zh"")"),"第一次的探险")</f>
        <v>第一次的探险</v>
      </c>
      <c r="O8" s="154" t="str">
        <f>IFERROR(__xludf.DUMMYFUNCTION("GOOGLETRANSLATE(C8,""zh-tw"",""zh"")"),"第一次开始探险时，妹妹会有特殊的对话")</f>
        <v>第一次开始探险时，妹妹会有特殊的对话</v>
      </c>
      <c r="P8" s="100" t="str">
        <f>IFERROR(__xludf.DUMMYFUNCTION("GOOGLETRANSLATE(D8,""zh-tw"",""zh"")"),"特殊对话")</f>
        <v>特殊对话</v>
      </c>
      <c r="Q8" s="135">
        <v>2.0</v>
      </c>
      <c r="R8" s="156" t="str">
        <f>IFERROR(__xludf.DUMMYFUNCTION("GOOGLETRANSLATE(B8,""zh-tw"",""es-MX"")"),"Primera expedición")</f>
        <v>Primera expedición</v>
      </c>
      <c r="S8" s="137" t="str">
        <f>IFERROR(__xludf.DUMMYFUNCTION("GOOGLETRANSLATE(C8,""zh-tw"",""es-MX"")"),"La hermana menor tendrá un diálogo especial cuando comience la aventura por primera vez.")</f>
        <v>La hermana menor tendrá un diálogo especial cuando comience la aventura por primera vez.</v>
      </c>
      <c r="T8" s="97" t="s">
        <v>880</v>
      </c>
      <c r="U8" s="135">
        <v>2.0</v>
      </c>
      <c r="V8" s="156" t="s">
        <v>881</v>
      </c>
      <c r="W8" s="139" t="s">
        <v>882</v>
      </c>
      <c r="X8" s="97" t="s">
        <v>883</v>
      </c>
      <c r="Y8" s="141">
        <v>2.0</v>
      </c>
      <c r="Z8" s="142" t="s">
        <v>884</v>
      </c>
      <c r="AA8" s="143" t="s">
        <v>885</v>
      </c>
      <c r="AB8" s="144" t="s">
        <v>886</v>
      </c>
      <c r="AC8" s="135">
        <v>2.0</v>
      </c>
      <c r="AD8" s="145" t="s">
        <v>887</v>
      </c>
      <c r="AE8" s="146" t="s">
        <v>888</v>
      </c>
      <c r="AF8" s="147" t="s">
        <v>889</v>
      </c>
      <c r="AG8" s="135">
        <v>2.0</v>
      </c>
      <c r="AH8" s="136" t="s">
        <v>890</v>
      </c>
      <c r="AI8" s="137" t="s">
        <v>891</v>
      </c>
      <c r="AJ8" s="138" t="s">
        <v>892</v>
      </c>
      <c r="AK8" s="148">
        <v>2.0</v>
      </c>
      <c r="AL8" s="157" t="s">
        <v>893</v>
      </c>
      <c r="AM8" s="158" t="s">
        <v>894</v>
      </c>
      <c r="AN8" s="159" t="s">
        <v>895</v>
      </c>
      <c r="AO8" s="135">
        <v>2.0</v>
      </c>
      <c r="AP8" s="151" t="s">
        <v>896</v>
      </c>
      <c r="AQ8" s="152" t="s">
        <v>897</v>
      </c>
      <c r="AR8" s="153" t="s">
        <v>898</v>
      </c>
      <c r="AS8" s="135">
        <v>2.0</v>
      </c>
      <c r="AT8" s="160" t="s">
        <v>877</v>
      </c>
      <c r="AU8" s="161" t="s">
        <v>899</v>
      </c>
      <c r="AV8" s="162" t="s">
        <v>900</v>
      </c>
      <c r="AW8" s="138"/>
      <c r="AX8" s="138"/>
    </row>
    <row r="9">
      <c r="A9" s="135">
        <v>3.0</v>
      </c>
      <c r="B9" s="136" t="s">
        <v>830</v>
      </c>
      <c r="C9" s="137" t="s">
        <v>901</v>
      </c>
      <c r="D9" s="138" t="s">
        <v>902</v>
      </c>
      <c r="E9" s="135">
        <v>3.0</v>
      </c>
      <c r="F9" s="136" t="s">
        <v>903</v>
      </c>
      <c r="G9" s="137" t="s">
        <v>904</v>
      </c>
      <c r="H9" s="138" t="s">
        <v>905</v>
      </c>
      <c r="I9" s="135">
        <v>3.0</v>
      </c>
      <c r="J9" s="136" t="s">
        <v>906</v>
      </c>
      <c r="K9" s="137" t="s">
        <v>907</v>
      </c>
      <c r="L9" s="138" t="s">
        <v>908</v>
      </c>
      <c r="M9" s="135">
        <v>3.0</v>
      </c>
      <c r="N9" s="136" t="str">
        <f>IFERROR(__xludf.DUMMYFUNCTION("GOOGLETRANSLATE(B9,""zh-tw"",""zh"")"),"约定:肉料理")</f>
        <v>约定:肉料理</v>
      </c>
      <c r="O9" s="137" t="str">
        <f>IFERROR(__xludf.DUMMYFUNCTION("GOOGLETRANSLATE(C9,""zh-tw"",""zh"")"),"制作肉料理")</f>
        <v>制作肉料理</v>
      </c>
      <c r="P9" s="100" t="str">
        <f>IFERROR(__xludf.DUMMYFUNCTION("GOOGLETRANSLATE(D9,""zh-tw"",""zh"")"),"获得""少女的笑容""装备")</f>
        <v>获得"少女的笑容"装备</v>
      </c>
      <c r="Q9" s="135">
        <v>3.0</v>
      </c>
      <c r="R9" s="156" t="str">
        <f>IFERROR(__xludf.DUMMYFUNCTION("GOOGLETRANSLATE(B9,""zh-tw"",""es-MX"")"),"Acuerdo: Platos de carne")</f>
        <v>Acuerdo: Platos de carne</v>
      </c>
      <c r="S9" s="154" t="str">
        <f>IFERROR(__xludf.DUMMYFUNCTION("GOOGLETRANSLATE(C9,""zh-tw"",""es-MX"")"),"Preparar platos de carne")</f>
        <v>Preparar platos de carne</v>
      </c>
      <c r="T9" s="97" t="s">
        <v>909</v>
      </c>
      <c r="U9" s="135">
        <v>3.0</v>
      </c>
      <c r="V9" s="140" t="s">
        <v>910</v>
      </c>
      <c r="W9" s="139" t="s">
        <v>911</v>
      </c>
      <c r="X9" s="138" t="s">
        <v>912</v>
      </c>
      <c r="Y9" s="141">
        <v>3.0</v>
      </c>
      <c r="Z9" s="142" t="s">
        <v>913</v>
      </c>
      <c r="AA9" s="143" t="s">
        <v>914</v>
      </c>
      <c r="AB9" s="144" t="s">
        <v>915</v>
      </c>
      <c r="AC9" s="135">
        <v>3.0</v>
      </c>
      <c r="AD9" s="145" t="s">
        <v>916</v>
      </c>
      <c r="AE9" s="146" t="s">
        <v>917</v>
      </c>
      <c r="AF9" s="147" t="s">
        <v>918</v>
      </c>
      <c r="AG9" s="135">
        <v>3.0</v>
      </c>
      <c r="AH9" s="136" t="s">
        <v>919</v>
      </c>
      <c r="AI9" s="137" t="s">
        <v>920</v>
      </c>
      <c r="AJ9" s="138" t="s">
        <v>921</v>
      </c>
      <c r="AK9" s="148">
        <v>3.0</v>
      </c>
      <c r="AL9" s="157" t="s">
        <v>922</v>
      </c>
      <c r="AM9" s="163" t="s">
        <v>923</v>
      </c>
      <c r="AN9" s="159" t="s">
        <v>924</v>
      </c>
      <c r="AO9" s="135">
        <v>3.0</v>
      </c>
      <c r="AP9" s="151" t="s">
        <v>925</v>
      </c>
      <c r="AQ9" s="152" t="s">
        <v>926</v>
      </c>
      <c r="AR9" s="164" t="s">
        <v>927</v>
      </c>
      <c r="AS9" s="135">
        <v>3.0</v>
      </c>
      <c r="AT9" s="160" t="s">
        <v>906</v>
      </c>
      <c r="AU9" s="161" t="s">
        <v>928</v>
      </c>
      <c r="AV9" s="162" t="s">
        <v>929</v>
      </c>
      <c r="AW9" s="138"/>
      <c r="AX9" s="138"/>
    </row>
    <row r="10">
      <c r="A10" s="135">
        <v>4.0</v>
      </c>
      <c r="B10" s="136" t="s">
        <v>930</v>
      </c>
      <c r="C10" s="137" t="s">
        <v>931</v>
      </c>
      <c r="D10" s="138" t="s">
        <v>932</v>
      </c>
      <c r="E10" s="135">
        <v>4.0</v>
      </c>
      <c r="F10" s="136" t="s">
        <v>933</v>
      </c>
      <c r="G10" s="139" t="s">
        <v>934</v>
      </c>
      <c r="H10" s="138" t="s">
        <v>935</v>
      </c>
      <c r="I10" s="135">
        <v>4.0</v>
      </c>
      <c r="J10" s="136" t="s">
        <v>936</v>
      </c>
      <c r="K10" s="137" t="s">
        <v>937</v>
      </c>
      <c r="L10" s="97" t="s">
        <v>938</v>
      </c>
      <c r="M10" s="135">
        <v>4.0</v>
      </c>
      <c r="N10" s="136" t="str">
        <f>IFERROR(__xludf.DUMMYFUNCTION("GOOGLETRANSLATE(B10,""zh-tw"",""zh"")"),"约定:别受伤")</f>
        <v>约定:别受伤</v>
      </c>
      <c r="O10" s="139" t="s">
        <v>939</v>
      </c>
      <c r="P10" s="138" t="str">
        <f>IFERROR(__xludf.DUMMYFUNCTION("GOOGLETRANSLATE(D10,""zh-tw"",""zh"")"),"获得""什么都行券""道具
后续未实装")</f>
        <v>获得"什么都行券"道具
后续未实装</v>
      </c>
      <c r="Q10" s="135">
        <v>4.0</v>
      </c>
      <c r="R10" s="136" t="str">
        <f>IFERROR(__xludf.DUMMYFUNCTION("GOOGLETRANSLATE(B10,""zh-tw"",""es-MX"")"),"Acuerdo: No te hagas daño")</f>
        <v>Acuerdo: No te hagas daño</v>
      </c>
      <c r="S10" s="154" t="s">
        <v>940</v>
      </c>
      <c r="T10" s="97" t="s">
        <v>941</v>
      </c>
      <c r="U10" s="135">
        <v>4.0</v>
      </c>
      <c r="V10" s="136" t="str">
        <f>IFERROR(__xludf.DUMMYFUNCTION("GOOGLETRANSLATE(B10,""zh-tw"",""KO"")"),"약속: 다치지 말자")</f>
        <v>약속: 다치지 말자</v>
      </c>
      <c r="W10" s="137" t="s">
        <v>942</v>
      </c>
      <c r="X10" s="138" t="s">
        <v>943</v>
      </c>
      <c r="Y10" s="141">
        <v>4.0</v>
      </c>
      <c r="Z10" s="142" t="s">
        <v>944</v>
      </c>
      <c r="AA10" s="143" t="s">
        <v>945</v>
      </c>
      <c r="AB10" s="144" t="s">
        <v>946</v>
      </c>
      <c r="AC10" s="135">
        <v>4.0</v>
      </c>
      <c r="AD10" s="145" t="s">
        <v>947</v>
      </c>
      <c r="AE10" s="146" t="s">
        <v>948</v>
      </c>
      <c r="AF10" s="147" t="s">
        <v>949</v>
      </c>
      <c r="AG10" s="135">
        <v>4.0</v>
      </c>
      <c r="AH10" s="136" t="s">
        <v>950</v>
      </c>
      <c r="AI10" s="137" t="s">
        <v>951</v>
      </c>
      <c r="AJ10" s="138" t="s">
        <v>952</v>
      </c>
      <c r="AK10" s="148">
        <v>4.0</v>
      </c>
      <c r="AL10" s="157" t="s">
        <v>953</v>
      </c>
      <c r="AM10" s="158" t="s">
        <v>954</v>
      </c>
      <c r="AN10" s="159" t="s">
        <v>955</v>
      </c>
      <c r="AO10" s="135">
        <v>4.0</v>
      </c>
      <c r="AP10" s="151" t="s">
        <v>956</v>
      </c>
      <c r="AQ10" s="152" t="s">
        <v>957</v>
      </c>
      <c r="AR10" s="153" t="s">
        <v>958</v>
      </c>
      <c r="AS10" s="135">
        <v>4.0</v>
      </c>
      <c r="AT10" s="160" t="s">
        <v>936</v>
      </c>
      <c r="AU10" s="161" t="s">
        <v>959</v>
      </c>
      <c r="AV10" s="162" t="s">
        <v>960</v>
      </c>
      <c r="AW10" s="138"/>
      <c r="AX10" s="138"/>
    </row>
    <row r="11">
      <c r="A11" s="135">
        <v>5.0</v>
      </c>
      <c r="B11" s="136" t="s">
        <v>961</v>
      </c>
      <c r="C11" s="137" t="s">
        <v>962</v>
      </c>
      <c r="D11" s="138" t="s">
        <v>963</v>
      </c>
      <c r="E11" s="135">
        <v>5.0</v>
      </c>
      <c r="F11" s="136" t="s">
        <v>964</v>
      </c>
      <c r="G11" s="137" t="s">
        <v>965</v>
      </c>
      <c r="H11" s="138" t="s">
        <v>966</v>
      </c>
      <c r="I11" s="135">
        <v>5.0</v>
      </c>
      <c r="J11" s="136" t="s">
        <v>967</v>
      </c>
      <c r="K11" s="139" t="s">
        <v>968</v>
      </c>
      <c r="L11" s="97" t="s">
        <v>969</v>
      </c>
      <c r="M11" s="135">
        <v>5.0</v>
      </c>
      <c r="N11" s="136" t="str">
        <f>IFERROR(__xludf.DUMMYFUNCTION("GOOGLETRANSLATE(B11,""zh-tw"",""zh"")"),"约定:草莓牛奶")</f>
        <v>约定:草莓牛奶</v>
      </c>
      <c r="O11" s="154"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38" t="str">
        <f>IFERROR(__xludf.DUMMYFUNCTION("GOOGLETRANSLATE(D11,""zh-tw"",""zh"")"),"需要在一日之内达成约定的承诺，否则妹妹的❤️ 会转为🖤
(未实装)")</f>
        <v>需要在一日之内达成约定的承诺，否则妹妹的❤️ 会转为🖤
(未实装)</v>
      </c>
      <c r="Q11" s="135">
        <v>5.0</v>
      </c>
      <c r="R11" s="136" t="s">
        <v>970</v>
      </c>
      <c r="S11" s="139" t="s">
        <v>971</v>
      </c>
      <c r="T11" s="97" t="s">
        <v>972</v>
      </c>
      <c r="U11" s="135">
        <v>5.0</v>
      </c>
      <c r="V11" s="140" t="s">
        <v>973</v>
      </c>
      <c r="W11" s="139" t="s">
        <v>974</v>
      </c>
      <c r="X11" s="97" t="s">
        <v>975</v>
      </c>
      <c r="Y11" s="141">
        <v>5.0</v>
      </c>
      <c r="Z11" s="142" t="s">
        <v>976</v>
      </c>
      <c r="AA11" s="143" t="s">
        <v>977</v>
      </c>
      <c r="AB11" s="144" t="s">
        <v>978</v>
      </c>
      <c r="AC11" s="135">
        <v>5.0</v>
      </c>
      <c r="AD11" s="145" t="s">
        <v>979</v>
      </c>
      <c r="AE11" s="146" t="s">
        <v>980</v>
      </c>
      <c r="AF11" s="147" t="s">
        <v>981</v>
      </c>
      <c r="AG11" s="135">
        <v>5.0</v>
      </c>
      <c r="AH11" s="136" t="s">
        <v>982</v>
      </c>
      <c r="AI11" s="137" t="s">
        <v>983</v>
      </c>
      <c r="AJ11" s="138" t="s">
        <v>984</v>
      </c>
      <c r="AK11" s="148">
        <v>5.0</v>
      </c>
      <c r="AL11" s="157" t="s">
        <v>985</v>
      </c>
      <c r="AM11" s="163" t="s">
        <v>986</v>
      </c>
      <c r="AN11" s="159" t="s">
        <v>987</v>
      </c>
      <c r="AO11" s="135">
        <v>5.0</v>
      </c>
      <c r="AP11" s="151" t="s">
        <v>988</v>
      </c>
      <c r="AQ11" s="165" t="s">
        <v>989</v>
      </c>
      <c r="AR11" s="164" t="s">
        <v>990</v>
      </c>
      <c r="AS11" s="135">
        <v>5.0</v>
      </c>
      <c r="AT11" s="160" t="s">
        <v>991</v>
      </c>
      <c r="AU11" s="161" t="s">
        <v>992</v>
      </c>
      <c r="AV11" s="162" t="s">
        <v>993</v>
      </c>
      <c r="AW11" s="138"/>
      <c r="AX11" s="138"/>
    </row>
    <row r="12" ht="69.0" customHeight="1">
      <c r="A12" s="135">
        <v>6.0</v>
      </c>
      <c r="B12" s="136" t="s">
        <v>994</v>
      </c>
      <c r="C12" s="137" t="s">
        <v>995</v>
      </c>
      <c r="D12" s="138" t="s">
        <v>996</v>
      </c>
      <c r="E12" s="135">
        <v>6.0</v>
      </c>
      <c r="F12" s="136" t="s">
        <v>997</v>
      </c>
      <c r="G12" s="137" t="s">
        <v>998</v>
      </c>
      <c r="H12" s="138" t="s">
        <v>999</v>
      </c>
      <c r="I12" s="135">
        <v>6.0</v>
      </c>
      <c r="J12" s="136" t="s">
        <v>1000</v>
      </c>
      <c r="K12" s="137" t="s">
        <v>1001</v>
      </c>
      <c r="L12" s="138" t="s">
        <v>1002</v>
      </c>
      <c r="M12" s="135">
        <v>6.0</v>
      </c>
      <c r="N12" s="136" t="str">
        <f>IFERROR(__xludf.DUMMYFUNCTION("GOOGLETRANSLATE(B12,""zh-tw"",""zh"")"),"第一次带饮料")</f>
        <v>第一次带饮料</v>
      </c>
      <c r="O12" s="154" t="s">
        <v>1003</v>
      </c>
      <c r="P12" s="100" t="str">
        <f>IFERROR(__xludf.DUMMYFUNCTION("GOOGLETRANSLATE(D12,""zh-tw"",""zh"")"),"解锁""喝点什么""选项")</f>
        <v>解锁"喝点什么"选项</v>
      </c>
      <c r="Q12" s="135">
        <v>6.0</v>
      </c>
      <c r="R12" s="156" t="str">
        <f>IFERROR(__xludf.DUMMYFUNCTION("GOOGLETRANSLATE(B12,""zh-tw"",""es-MX"")"),"Primera vez que traigo bebidas")</f>
        <v>Primera vez que traigo bebidas</v>
      </c>
      <c r="S12" s="154" t="str">
        <f>IFERROR(__xludf.DUMMYFUNCTION("GOOGLETRANSLATE(C12,""zh-tw"",""es-MX"")"),"Hay un diálogo especial cuando llevas una bebida a casa por primera vez. Hay otro diálogo si rompes accidentalmente la máquina expendedora.")</f>
        <v>Hay un diálogo especial cuando llevas una bebida a casa por primera vez. Hay otro diálogo si rompes accidentalmente la máquina expendedora.</v>
      </c>
      <c r="T12" s="97" t="s">
        <v>1004</v>
      </c>
      <c r="U12" s="135">
        <v>6.0</v>
      </c>
      <c r="V12" s="136" t="s">
        <v>1005</v>
      </c>
      <c r="W12" s="139" t="s">
        <v>1006</v>
      </c>
      <c r="X12" s="138" t="s">
        <v>1007</v>
      </c>
      <c r="Y12" s="141">
        <v>6.0</v>
      </c>
      <c r="Z12" s="142" t="s">
        <v>1008</v>
      </c>
      <c r="AA12" s="143" t="s">
        <v>1009</v>
      </c>
      <c r="AB12" s="144" t="s">
        <v>1010</v>
      </c>
      <c r="AC12" s="135">
        <v>6.0</v>
      </c>
      <c r="AD12" s="145" t="s">
        <v>1011</v>
      </c>
      <c r="AE12" s="146" t="s">
        <v>1012</v>
      </c>
      <c r="AF12" s="166" t="s">
        <v>1013</v>
      </c>
      <c r="AG12" s="135">
        <v>6.0</v>
      </c>
      <c r="AH12" s="136" t="s">
        <v>1014</v>
      </c>
      <c r="AI12" s="137" t="s">
        <v>1015</v>
      </c>
      <c r="AJ12" s="138" t="s">
        <v>1016</v>
      </c>
      <c r="AK12" s="148">
        <v>6.0</v>
      </c>
      <c r="AL12" s="157" t="s">
        <v>1017</v>
      </c>
      <c r="AM12" s="150" t="s">
        <v>1018</v>
      </c>
      <c r="AN12" s="89" t="s">
        <v>1019</v>
      </c>
      <c r="AO12" s="135">
        <v>6.0</v>
      </c>
      <c r="AP12" s="151" t="s">
        <v>1020</v>
      </c>
      <c r="AQ12" s="152" t="s">
        <v>1021</v>
      </c>
      <c r="AR12" s="153" t="s">
        <v>1022</v>
      </c>
      <c r="AS12" s="135">
        <v>6.0</v>
      </c>
      <c r="AT12" s="160" t="s">
        <v>1023</v>
      </c>
      <c r="AU12" s="161" t="s">
        <v>1024</v>
      </c>
      <c r="AV12" s="162" t="s">
        <v>1025</v>
      </c>
      <c r="AW12" s="138"/>
      <c r="AX12" s="138"/>
    </row>
    <row r="13">
      <c r="A13" s="135">
        <v>7.0</v>
      </c>
      <c r="B13" s="136" t="s">
        <v>1026</v>
      </c>
      <c r="C13" s="137" t="s">
        <v>1027</v>
      </c>
      <c r="D13" s="138" t="s">
        <v>1028</v>
      </c>
      <c r="E13" s="135">
        <v>7.0</v>
      </c>
      <c r="F13" s="136" t="s">
        <v>1029</v>
      </c>
      <c r="G13" s="137" t="s">
        <v>1030</v>
      </c>
      <c r="H13" s="138" t="s">
        <v>1031</v>
      </c>
      <c r="I13" s="135">
        <v>7.0</v>
      </c>
      <c r="J13" s="136" t="s">
        <v>1032</v>
      </c>
      <c r="K13" s="137" t="s">
        <v>1033</v>
      </c>
      <c r="L13" s="138" t="s">
        <v>1034</v>
      </c>
      <c r="M13" s="135">
        <v>7.0</v>
      </c>
      <c r="N13" s="136" t="str">
        <f>IFERROR(__xludf.DUMMYFUNCTION("GOOGLETRANSLATE(B13,""zh-tw"",""zh"")"),"第一次死亡")</f>
        <v>第一次死亡</v>
      </c>
      <c r="O13" s="137" t="str">
        <f>IFERROR(__xludf.DUMMYFUNCTION("GOOGLETRANSLATE(C13,""zh-tw"",""zh"")"),"第一次死亡后，吃到妹妹料理")</f>
        <v>第一次死亡后，吃到妹妹料理</v>
      </c>
      <c r="P13" s="100" t="s">
        <v>1035</v>
      </c>
      <c r="Q13" s="135">
        <v>7.0</v>
      </c>
      <c r="R13" s="156" t="s">
        <v>1036</v>
      </c>
      <c r="S13" s="139" t="s">
        <v>1037</v>
      </c>
      <c r="T13" s="97" t="s">
        <v>1038</v>
      </c>
      <c r="U13" s="135">
        <v>7.0</v>
      </c>
      <c r="V13" s="156" t="s">
        <v>1039</v>
      </c>
      <c r="W13" s="139" t="s">
        <v>1040</v>
      </c>
      <c r="X13" s="97" t="s">
        <v>1041</v>
      </c>
      <c r="Y13" s="141">
        <v>7.0</v>
      </c>
      <c r="Z13" s="142" t="s">
        <v>1042</v>
      </c>
      <c r="AA13" s="143" t="s">
        <v>1043</v>
      </c>
      <c r="AB13" s="144" t="s">
        <v>1044</v>
      </c>
      <c r="AC13" s="135">
        <v>7.0</v>
      </c>
      <c r="AD13" s="145" t="s">
        <v>1045</v>
      </c>
      <c r="AE13" s="146" t="s">
        <v>1046</v>
      </c>
      <c r="AF13" s="147" t="s">
        <v>1047</v>
      </c>
      <c r="AG13" s="135">
        <v>7.0</v>
      </c>
      <c r="AH13" s="136" t="s">
        <v>1048</v>
      </c>
      <c r="AI13" s="137" t="s">
        <v>1049</v>
      </c>
      <c r="AJ13" s="138" t="s">
        <v>1050</v>
      </c>
      <c r="AK13" s="148">
        <v>7.0</v>
      </c>
      <c r="AL13" s="167" t="s">
        <v>1051</v>
      </c>
      <c r="AM13" s="150" t="s">
        <v>1052</v>
      </c>
      <c r="AN13" s="89" t="s">
        <v>1053</v>
      </c>
      <c r="AO13" s="135">
        <v>7.0</v>
      </c>
      <c r="AP13" s="151" t="s">
        <v>1054</v>
      </c>
      <c r="AQ13" s="165" t="s">
        <v>1055</v>
      </c>
      <c r="AR13" s="153" t="s">
        <v>1056</v>
      </c>
      <c r="AS13" s="135">
        <v>7.0</v>
      </c>
      <c r="AT13" s="160" t="s">
        <v>1057</v>
      </c>
      <c r="AU13" s="161" t="s">
        <v>1058</v>
      </c>
      <c r="AV13" s="162" t="s">
        <v>1059</v>
      </c>
      <c r="AW13" s="138"/>
      <c r="AX13" s="138"/>
    </row>
    <row r="14">
      <c r="A14" s="135">
        <v>8.0</v>
      </c>
      <c r="B14" s="136" t="s">
        <v>1060</v>
      </c>
      <c r="C14" s="137" t="s">
        <v>1061</v>
      </c>
      <c r="D14" s="138" t="s">
        <v>1062</v>
      </c>
      <c r="E14" s="135">
        <v>8.0</v>
      </c>
      <c r="F14" s="136" t="s">
        <v>1063</v>
      </c>
      <c r="G14" s="137" t="s">
        <v>1064</v>
      </c>
      <c r="H14" s="138" t="s">
        <v>1065</v>
      </c>
      <c r="I14" s="135">
        <v>8.0</v>
      </c>
      <c r="J14" s="136" t="s">
        <v>1066</v>
      </c>
      <c r="K14" s="137" t="s">
        <v>1067</v>
      </c>
      <c r="L14" s="97" t="s">
        <v>1068</v>
      </c>
      <c r="M14" s="135">
        <v>8.0</v>
      </c>
      <c r="N14" s="136" t="str">
        <f>IFERROR(__xludf.DUMMYFUNCTION("GOOGLETRANSLATE(B14,""zh-tw"",""zh"")"),"妹妹的料理")</f>
        <v>妹妹的料理</v>
      </c>
      <c r="O14" s="139" t="s">
        <v>1069</v>
      </c>
      <c r="P14" s="138" t="str">
        <f>IFERROR(__xludf.DUMMYFUNCTION("GOOGLETRANSLATE(D14,""zh-tw"",""zh"")"),"产生料理
P.S.想要吃掉你的选项，未实装")</f>
        <v>产生料理
P.S.想要吃掉你的选项，未实装</v>
      </c>
      <c r="Q14" s="135">
        <v>8.0</v>
      </c>
      <c r="R14" s="156" t="str">
        <f>IFERROR(__xludf.DUMMYFUNCTION("GOOGLETRANSLATE(B14,""zh-tw"",""es-MX"")"),"La cocina de mi hermana")</f>
        <v>La cocina de mi hermana</v>
      </c>
      <c r="S14" s="139" t="s">
        <v>1070</v>
      </c>
      <c r="T14" s="100" t="str">
        <f>IFERROR(__xludf.DUMMYFUNCTION("GOOGLETRANSLATE(D14,""zh-tw"",""es-MX"")"),"Se generará comida.
P.D.: La opción de ""querer comerte"" aún no está implementada.")</f>
        <v>Se generará comida.
P.D.: La opción de "querer comerte" aún no está implementada.</v>
      </c>
      <c r="U14" s="135">
        <v>8.0</v>
      </c>
      <c r="V14" s="140" t="s">
        <v>1071</v>
      </c>
      <c r="W14" s="139" t="s">
        <v>1072</v>
      </c>
      <c r="X14" s="97" t="s">
        <v>1073</v>
      </c>
      <c r="Y14" s="141">
        <v>8.0</v>
      </c>
      <c r="Z14" s="142" t="s">
        <v>1074</v>
      </c>
      <c r="AA14" s="143" t="s">
        <v>1075</v>
      </c>
      <c r="AB14" s="144" t="s">
        <v>1076</v>
      </c>
      <c r="AC14" s="135">
        <v>8.0</v>
      </c>
      <c r="AD14" s="145" t="s">
        <v>1077</v>
      </c>
      <c r="AE14" s="146" t="s">
        <v>1078</v>
      </c>
      <c r="AF14" s="147" t="s">
        <v>1079</v>
      </c>
      <c r="AG14" s="135">
        <v>8.0</v>
      </c>
      <c r="AH14" s="136" t="s">
        <v>1080</v>
      </c>
      <c r="AI14" s="137" t="s">
        <v>1081</v>
      </c>
      <c r="AJ14" s="138" t="s">
        <v>1082</v>
      </c>
      <c r="AK14" s="148">
        <v>8.0</v>
      </c>
      <c r="AL14" s="157" t="s">
        <v>1083</v>
      </c>
      <c r="AM14" s="168" t="s">
        <v>1084</v>
      </c>
      <c r="AN14" s="89" t="s">
        <v>1085</v>
      </c>
      <c r="AO14" s="135">
        <v>8.0</v>
      </c>
      <c r="AP14" s="151" t="s">
        <v>1086</v>
      </c>
      <c r="AQ14" s="165" t="s">
        <v>1087</v>
      </c>
      <c r="AR14" s="164" t="s">
        <v>1088</v>
      </c>
      <c r="AS14" s="135">
        <v>8.0</v>
      </c>
      <c r="AT14" s="160" t="s">
        <v>1089</v>
      </c>
      <c r="AU14" s="161" t="s">
        <v>1090</v>
      </c>
      <c r="AV14" s="162" t="s">
        <v>1091</v>
      </c>
      <c r="AW14" s="138"/>
      <c r="AX14" s="138"/>
    </row>
    <row r="15">
      <c r="A15" s="135">
        <v>9.0</v>
      </c>
      <c r="B15" s="136" t="s">
        <v>1092</v>
      </c>
      <c r="C15" s="137" t="s">
        <v>1093</v>
      </c>
      <c r="D15" s="138" t="s">
        <v>1094</v>
      </c>
      <c r="E15" s="135">
        <v>9.0</v>
      </c>
      <c r="F15" s="136" t="s">
        <v>1095</v>
      </c>
      <c r="G15" s="137" t="s">
        <v>1096</v>
      </c>
      <c r="H15" s="138" t="s">
        <v>1097</v>
      </c>
      <c r="I15" s="135">
        <v>9.0</v>
      </c>
      <c r="J15" s="136" t="s">
        <v>1098</v>
      </c>
      <c r="K15" s="137" t="s">
        <v>1099</v>
      </c>
      <c r="L15" s="138" t="s">
        <v>1100</v>
      </c>
      <c r="M15" s="135">
        <v>9.0</v>
      </c>
      <c r="N15" s="136" t="str">
        <f>IFERROR(__xludf.DUMMYFUNCTION("GOOGLETRANSLATE(B15,""zh-tw"",""zh"")"),"制作辣料理")</f>
        <v>制作辣料理</v>
      </c>
      <c r="O15" s="154" t="str">
        <f>IFERROR(__xludf.DUMMYFUNCTION("GOOGLETRANSLATE(C15,""zh-tw"",""zh"")"),"妹妹被辣哭")</f>
        <v>妹妹被辣哭</v>
      </c>
      <c r="P15" s="138" t="str">
        <f>IFERROR(__xludf.DUMMYFUNCTION("GOOGLETRANSLATE(D15,""zh-tw"",""zh"")"),"触发被辣哭的剧情")</f>
        <v>触发被辣哭的剧情</v>
      </c>
      <c r="Q15" s="135">
        <v>9.0</v>
      </c>
      <c r="R15" s="136" t="s">
        <v>1101</v>
      </c>
      <c r="S15" s="139" t="s">
        <v>1102</v>
      </c>
      <c r="T15" s="100" t="s">
        <v>1103</v>
      </c>
      <c r="U15" s="135">
        <v>9.0</v>
      </c>
      <c r="V15" s="140" t="s">
        <v>1104</v>
      </c>
      <c r="W15" s="139" t="s">
        <v>1105</v>
      </c>
      <c r="X15" s="97" t="s">
        <v>1106</v>
      </c>
      <c r="Y15" s="141">
        <v>9.0</v>
      </c>
      <c r="Z15" s="142" t="s">
        <v>1107</v>
      </c>
      <c r="AA15" s="143" t="s">
        <v>1108</v>
      </c>
      <c r="AB15" s="144" t="s">
        <v>1109</v>
      </c>
      <c r="AC15" s="135">
        <v>9.0</v>
      </c>
      <c r="AD15" s="145" t="s">
        <v>1110</v>
      </c>
      <c r="AE15" s="146" t="s">
        <v>1111</v>
      </c>
      <c r="AF15" s="147" t="s">
        <v>1112</v>
      </c>
      <c r="AG15" s="135">
        <v>9.0</v>
      </c>
      <c r="AH15" s="136" t="s">
        <v>1113</v>
      </c>
      <c r="AI15" s="137" t="s">
        <v>1114</v>
      </c>
      <c r="AJ15" s="138" t="s">
        <v>1115</v>
      </c>
      <c r="AK15" s="148">
        <v>9.0</v>
      </c>
      <c r="AL15" s="149" t="s">
        <v>1116</v>
      </c>
      <c r="AM15" s="169" t="s">
        <v>1117</v>
      </c>
      <c r="AN15" s="170" t="s">
        <v>1118</v>
      </c>
      <c r="AO15" s="135">
        <v>9.0</v>
      </c>
      <c r="AP15" s="151" t="s">
        <v>1119</v>
      </c>
      <c r="AQ15" s="152" t="s">
        <v>1120</v>
      </c>
      <c r="AR15" s="153" t="s">
        <v>1121</v>
      </c>
      <c r="AS15" s="135">
        <v>9.0</v>
      </c>
      <c r="AT15" s="160" t="s">
        <v>1122</v>
      </c>
      <c r="AU15" s="161" t="s">
        <v>1123</v>
      </c>
      <c r="AV15" s="162" t="s">
        <v>1124</v>
      </c>
      <c r="AW15" s="138"/>
      <c r="AX15" s="138"/>
    </row>
    <row r="16">
      <c r="A16" s="135">
        <v>10.0</v>
      </c>
      <c r="B16" s="136" t="s">
        <v>1125</v>
      </c>
      <c r="C16" s="139" t="s">
        <v>1126</v>
      </c>
      <c r="D16" s="138" t="s">
        <v>1127</v>
      </c>
      <c r="E16" s="135">
        <v>10.0</v>
      </c>
      <c r="F16" s="136" t="s">
        <v>1128</v>
      </c>
      <c r="G16" s="137" t="s">
        <v>1129</v>
      </c>
      <c r="H16" s="138" t="s">
        <v>1130</v>
      </c>
      <c r="I16" s="135">
        <v>10.0</v>
      </c>
      <c r="J16" s="136" t="s">
        <v>1131</v>
      </c>
      <c r="K16" s="137" t="s">
        <v>1132</v>
      </c>
      <c r="L16" s="138" t="s">
        <v>1133</v>
      </c>
      <c r="M16" s="135">
        <v>10.0</v>
      </c>
      <c r="N16" s="136" t="str">
        <f>IFERROR(__xludf.DUMMYFUNCTION("GOOGLETRANSLATE(B16,""zh-tw"",""zh"")"),"解除辣味危机")</f>
        <v>解除辣味危机</v>
      </c>
      <c r="O16" s="154" t="str">
        <f>IFERROR(__xludf.DUMMYFUNCTION("GOOGLETRANSLATE(C16,""zh-tw"",""zh"")"),"妹妹会被辣到趴在床上，需要解除辣味")</f>
        <v>妹妹会被辣到趴在床上，需要解除辣味</v>
      </c>
      <c r="P16" s="138" t="str">
        <f>IFERROR(__xludf.DUMMYFUNCTION("GOOGLETRANSLATE(D16,""zh-tw"",""zh"")"),"触发解除辣味的选项")</f>
        <v>触发解除辣味的选项</v>
      </c>
      <c r="Q16" s="135">
        <v>10.0</v>
      </c>
      <c r="R16" s="136" t="s">
        <v>1134</v>
      </c>
      <c r="S16" s="137" t="s">
        <v>1135</v>
      </c>
      <c r="T16" s="100" t="s">
        <v>1136</v>
      </c>
      <c r="U16" s="135">
        <v>10.0</v>
      </c>
      <c r="V16" s="140" t="s">
        <v>1137</v>
      </c>
      <c r="W16" s="139" t="s">
        <v>1138</v>
      </c>
      <c r="X16" s="97" t="s">
        <v>1139</v>
      </c>
      <c r="Y16" s="141">
        <v>10.0</v>
      </c>
      <c r="Z16" s="142" t="s">
        <v>1140</v>
      </c>
      <c r="AA16" s="143" t="s">
        <v>1141</v>
      </c>
      <c r="AB16" s="144" t="s">
        <v>1142</v>
      </c>
      <c r="AC16" s="135">
        <v>10.0</v>
      </c>
      <c r="AD16" s="145" t="s">
        <v>1143</v>
      </c>
      <c r="AE16" s="146" t="s">
        <v>1144</v>
      </c>
      <c r="AF16" s="147" t="s">
        <v>1145</v>
      </c>
      <c r="AG16" s="135">
        <v>10.0</v>
      </c>
      <c r="AH16" s="136" t="s">
        <v>1146</v>
      </c>
      <c r="AI16" s="137" t="s">
        <v>1147</v>
      </c>
      <c r="AJ16" s="138" t="s">
        <v>1148</v>
      </c>
      <c r="AK16" s="148">
        <v>10.0</v>
      </c>
      <c r="AL16" s="171" t="s">
        <v>1149</v>
      </c>
      <c r="AM16" s="169" t="s">
        <v>1150</v>
      </c>
      <c r="AN16" s="172" t="s">
        <v>1151</v>
      </c>
      <c r="AO16" s="135">
        <v>10.0</v>
      </c>
      <c r="AP16" s="151" t="s">
        <v>1152</v>
      </c>
      <c r="AQ16" s="152" t="s">
        <v>1153</v>
      </c>
      <c r="AR16" s="153" t="s">
        <v>1154</v>
      </c>
      <c r="AS16" s="135">
        <v>10.0</v>
      </c>
      <c r="AT16" s="160" t="s">
        <v>1155</v>
      </c>
      <c r="AU16" s="161" t="s">
        <v>1156</v>
      </c>
      <c r="AV16" s="162" t="s">
        <v>1157</v>
      </c>
      <c r="AW16" s="138"/>
      <c r="AX16" s="138"/>
    </row>
    <row r="17">
      <c r="A17" s="135">
        <v>11.0</v>
      </c>
      <c r="B17" s="136" t="s">
        <v>1158</v>
      </c>
      <c r="C17" s="137" t="s">
        <v>1159</v>
      </c>
      <c r="D17" s="138" t="s">
        <v>1160</v>
      </c>
      <c r="E17" s="135">
        <v>11.0</v>
      </c>
      <c r="F17" s="136" t="s">
        <v>1161</v>
      </c>
      <c r="G17" s="139" t="s">
        <v>1162</v>
      </c>
      <c r="H17" s="138" t="s">
        <v>1163</v>
      </c>
      <c r="I17" s="135">
        <v>11.0</v>
      </c>
      <c r="J17" s="136" t="s">
        <v>1164</v>
      </c>
      <c r="K17" s="137" t="s">
        <v>1165</v>
      </c>
      <c r="L17" s="138" t="s">
        <v>1166</v>
      </c>
      <c r="M17" s="135">
        <v>11.0</v>
      </c>
      <c r="N17" s="136" t="str">
        <f>IFERROR(__xludf.DUMMYFUNCTION("GOOGLETRANSLATE(B17,""zh-tw"",""zh"")"),"红肿的小嘴-1")</f>
        <v>红肿的小嘴-1</v>
      </c>
      <c r="O17" s="154"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38" t="str">
        <f>IFERROR(__xludf.DUMMYFUNCTION("GOOGLETRANSLATE(D17,""zh-tw"",""zh"")"),"触发被拒绝检查口腔的剧情")</f>
        <v>触发被拒绝检查口腔的剧情</v>
      </c>
      <c r="Q17" s="135">
        <v>11.0</v>
      </c>
      <c r="R17" s="136" t="s">
        <v>1167</v>
      </c>
      <c r="S17" s="137" t="s">
        <v>1168</v>
      </c>
      <c r="T17" s="100" t="s">
        <v>1169</v>
      </c>
      <c r="U17" s="135">
        <v>11.0</v>
      </c>
      <c r="V17" s="140" t="s">
        <v>1170</v>
      </c>
      <c r="W17" s="139" t="s">
        <v>1171</v>
      </c>
      <c r="X17" s="97" t="s">
        <v>1172</v>
      </c>
      <c r="Y17" s="141">
        <v>11.0</v>
      </c>
      <c r="Z17" s="142" t="s">
        <v>1173</v>
      </c>
      <c r="AA17" s="143" t="s">
        <v>1174</v>
      </c>
      <c r="AB17" s="144" t="s">
        <v>1175</v>
      </c>
      <c r="AC17" s="135">
        <v>11.0</v>
      </c>
      <c r="AD17" s="145" t="s">
        <v>1176</v>
      </c>
      <c r="AE17" s="146" t="s">
        <v>1177</v>
      </c>
      <c r="AF17" s="147" t="s">
        <v>1178</v>
      </c>
      <c r="AG17" s="135">
        <v>11.0</v>
      </c>
      <c r="AH17" s="136" t="s">
        <v>1179</v>
      </c>
      <c r="AI17" s="137" t="s">
        <v>1180</v>
      </c>
      <c r="AJ17" s="138" t="s">
        <v>1181</v>
      </c>
      <c r="AK17" s="148">
        <v>11.0</v>
      </c>
      <c r="AL17" s="149" t="s">
        <v>1182</v>
      </c>
      <c r="AM17" s="173" t="s">
        <v>1183</v>
      </c>
      <c r="AN17" s="172" t="s">
        <v>1184</v>
      </c>
      <c r="AO17" s="135">
        <v>11.0</v>
      </c>
      <c r="AP17" s="151" t="s">
        <v>1185</v>
      </c>
      <c r="AQ17" s="165" t="s">
        <v>1186</v>
      </c>
      <c r="AR17" s="153" t="s">
        <v>1187</v>
      </c>
      <c r="AS17" s="135">
        <v>11.0</v>
      </c>
      <c r="AT17" s="160" t="s">
        <v>1188</v>
      </c>
      <c r="AU17" s="161" t="s">
        <v>1189</v>
      </c>
      <c r="AV17" s="162" t="s">
        <v>1190</v>
      </c>
      <c r="AW17" s="138"/>
      <c r="AX17" s="138"/>
    </row>
    <row r="18">
      <c r="A18" s="135">
        <v>12.0</v>
      </c>
      <c r="B18" s="136" t="s">
        <v>1191</v>
      </c>
      <c r="C18" s="137" t="s">
        <v>1192</v>
      </c>
      <c r="D18" s="138" t="s">
        <v>1193</v>
      </c>
      <c r="E18" s="135">
        <v>12.0</v>
      </c>
      <c r="F18" s="136" t="s">
        <v>1194</v>
      </c>
      <c r="G18" s="139" t="s">
        <v>1195</v>
      </c>
      <c r="H18" s="138" t="s">
        <v>1196</v>
      </c>
      <c r="I18" s="135">
        <v>12.0</v>
      </c>
      <c r="J18" s="136" t="s">
        <v>1197</v>
      </c>
      <c r="K18" s="137" t="s">
        <v>1198</v>
      </c>
      <c r="L18" s="97" t="s">
        <v>1199</v>
      </c>
      <c r="M18" s="135">
        <v>12.0</v>
      </c>
      <c r="N18" s="136" t="str">
        <f>IFERROR(__xludf.DUMMYFUNCTION("GOOGLETRANSLATE(B18,""zh-tw"",""zh"")"),"红肿的小嘴-2")</f>
        <v>红肿的小嘴-2</v>
      </c>
      <c r="O18" s="154" t="str">
        <f>IFERROR(__xludf.DUMMYFUNCTION("GOOGLETRANSLATE(C18,""zh-tw"",""zh"")"),"同上，妹妹紫心高于3时，可以触发口腔检查的后续剧情")</f>
        <v>同上，妹妹紫心高于3时，可以触发口腔检查的后续剧情</v>
      </c>
      <c r="P18" s="138" t="str">
        <f>IFERROR(__xludf.DUMMYFUNCTION("GOOGLETRANSLATE(D18,""zh-tw"",""zh"")"),"触发检查口腔的剧情")</f>
        <v>触发检查口腔的剧情</v>
      </c>
      <c r="Q18" s="135">
        <v>12.0</v>
      </c>
      <c r="R18" s="136" t="s">
        <v>1200</v>
      </c>
      <c r="S18" s="137" t="s">
        <v>1201</v>
      </c>
      <c r="T18" s="100" t="s">
        <v>1202</v>
      </c>
      <c r="U18" s="135">
        <v>12.0</v>
      </c>
      <c r="V18" s="140" t="s">
        <v>1203</v>
      </c>
      <c r="W18" s="139" t="s">
        <v>1204</v>
      </c>
      <c r="X18" s="97" t="s">
        <v>1205</v>
      </c>
      <c r="Y18" s="141">
        <v>12.0</v>
      </c>
      <c r="Z18" s="142" t="s">
        <v>1206</v>
      </c>
      <c r="AA18" s="143" t="s">
        <v>1207</v>
      </c>
      <c r="AB18" s="144" t="s">
        <v>1208</v>
      </c>
      <c r="AC18" s="135">
        <v>12.0</v>
      </c>
      <c r="AD18" s="145" t="s">
        <v>1209</v>
      </c>
      <c r="AE18" s="146" t="s">
        <v>1210</v>
      </c>
      <c r="AF18" s="147" t="s">
        <v>1211</v>
      </c>
      <c r="AG18" s="135">
        <v>12.0</v>
      </c>
      <c r="AH18" s="136" t="s">
        <v>1212</v>
      </c>
      <c r="AI18" s="137" t="s">
        <v>1213</v>
      </c>
      <c r="AJ18" s="138" t="s">
        <v>1214</v>
      </c>
      <c r="AK18" s="148">
        <v>12.0</v>
      </c>
      <c r="AL18" s="149" t="s">
        <v>1215</v>
      </c>
      <c r="AM18" s="173" t="s">
        <v>1216</v>
      </c>
      <c r="AN18" s="172" t="s">
        <v>1217</v>
      </c>
      <c r="AO18" s="135">
        <v>12.0</v>
      </c>
      <c r="AP18" s="151" t="s">
        <v>1218</v>
      </c>
      <c r="AQ18" s="152" t="s">
        <v>1219</v>
      </c>
      <c r="AR18" s="153" t="s">
        <v>1220</v>
      </c>
      <c r="AS18" s="135">
        <v>12.0</v>
      </c>
      <c r="AT18" s="160" t="s">
        <v>1221</v>
      </c>
      <c r="AU18" s="161" t="s">
        <v>1222</v>
      </c>
      <c r="AV18" s="162" t="s">
        <v>1223</v>
      </c>
      <c r="AW18" s="138"/>
      <c r="AX18" s="138"/>
    </row>
    <row r="19">
      <c r="A19" s="135">
        <v>13.0</v>
      </c>
      <c r="B19" s="136" t="s">
        <v>1224</v>
      </c>
      <c r="C19" s="139" t="s">
        <v>1225</v>
      </c>
      <c r="D19" s="138" t="s">
        <v>1226</v>
      </c>
      <c r="E19" s="135">
        <v>13.0</v>
      </c>
      <c r="F19" s="136" t="s">
        <v>1227</v>
      </c>
      <c r="G19" s="137" t="s">
        <v>1228</v>
      </c>
      <c r="H19" s="138" t="s">
        <v>1229</v>
      </c>
      <c r="I19" s="135">
        <v>13.0</v>
      </c>
      <c r="J19" s="136" t="s">
        <v>1230</v>
      </c>
      <c r="K19" s="139" t="s">
        <v>1231</v>
      </c>
      <c r="L19" s="138" t="s">
        <v>1232</v>
      </c>
      <c r="M19" s="135">
        <v>13.0</v>
      </c>
      <c r="N19" s="136" t="str">
        <f>IFERROR(__xludf.DUMMYFUNCTION("GOOGLETRANSLATE(B19,""zh-tw"",""zh"")"),"呆毛")</f>
        <v>呆毛</v>
      </c>
      <c r="O19" s="154"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100" t="s">
        <v>1233</v>
      </c>
      <c r="Q19" s="135">
        <v>13.0</v>
      </c>
      <c r="R19" s="156" t="s">
        <v>1230</v>
      </c>
      <c r="S19" s="154" t="s">
        <v>1234</v>
      </c>
      <c r="T19" s="97" t="s">
        <v>1235</v>
      </c>
      <c r="U19" s="135">
        <v>13.0</v>
      </c>
      <c r="V19" s="136" t="s">
        <v>1236</v>
      </c>
      <c r="W19" s="139" t="s">
        <v>1237</v>
      </c>
      <c r="X19" s="97" t="s">
        <v>1238</v>
      </c>
      <c r="Y19" s="141">
        <v>13.0</v>
      </c>
      <c r="Z19" s="142" t="s">
        <v>1239</v>
      </c>
      <c r="AA19" s="143" t="s">
        <v>1240</v>
      </c>
      <c r="AB19" s="144" t="s">
        <v>1241</v>
      </c>
      <c r="AC19" s="135">
        <v>13.0</v>
      </c>
      <c r="AD19" s="145" t="s">
        <v>1239</v>
      </c>
      <c r="AE19" s="146" t="s">
        <v>1242</v>
      </c>
      <c r="AF19" s="147" t="s">
        <v>1243</v>
      </c>
      <c r="AG19" s="135">
        <v>13.0</v>
      </c>
      <c r="AH19" s="136" t="s">
        <v>1244</v>
      </c>
      <c r="AI19" s="137" t="s">
        <v>1245</v>
      </c>
      <c r="AJ19" s="138" t="s">
        <v>1246</v>
      </c>
      <c r="AK19" s="148">
        <v>13.0</v>
      </c>
      <c r="AL19" s="149" t="s">
        <v>1230</v>
      </c>
      <c r="AM19" s="173" t="s">
        <v>1247</v>
      </c>
      <c r="AN19" s="172" t="s">
        <v>1248</v>
      </c>
      <c r="AO19" s="135">
        <v>13.0</v>
      </c>
      <c r="AP19" s="151" t="s">
        <v>1230</v>
      </c>
      <c r="AQ19" s="165" t="s">
        <v>1249</v>
      </c>
      <c r="AR19" s="153" t="s">
        <v>1250</v>
      </c>
      <c r="AS19" s="135">
        <v>13.0</v>
      </c>
      <c r="AT19" s="140" t="s">
        <v>1251</v>
      </c>
      <c r="AU19" s="139" t="s">
        <v>1252</v>
      </c>
      <c r="AV19" s="97" t="s">
        <v>1253</v>
      </c>
      <c r="AW19" s="138"/>
      <c r="AX19" s="138"/>
    </row>
    <row r="20">
      <c r="A20" s="135">
        <v>14.0</v>
      </c>
      <c r="B20" s="136" t="s">
        <v>1254</v>
      </c>
      <c r="C20" s="137" t="s">
        <v>1255</v>
      </c>
      <c r="D20" s="138" t="s">
        <v>1256</v>
      </c>
      <c r="E20" s="135">
        <v>14.0</v>
      </c>
      <c r="F20" s="136" t="s">
        <v>1257</v>
      </c>
      <c r="G20" s="137" t="s">
        <v>1258</v>
      </c>
      <c r="H20" s="138" t="s">
        <v>1259</v>
      </c>
      <c r="I20" s="135">
        <v>14.0</v>
      </c>
      <c r="J20" s="136" t="s">
        <v>1260</v>
      </c>
      <c r="K20" s="137" t="s">
        <v>1261</v>
      </c>
      <c r="L20" s="138" t="s">
        <v>1262</v>
      </c>
      <c r="M20" s="135">
        <v>14.0</v>
      </c>
      <c r="N20" s="136" t="str">
        <f>IFERROR(__xludf.DUMMYFUNCTION("GOOGLETRANSLATE(B20,""zh-tw"",""zh"")"),"浑身恶臭-1")</f>
        <v>浑身恶臭-1</v>
      </c>
      <c r="O20" s="154" t="str">
        <f>IFERROR(__xludf.DUMMYFUNCTION("GOOGLETRANSLATE(C20,""zh-tw"",""zh"")"),"装备""臭鱼骨""回家时可触发")</f>
        <v>装备"臭鱼骨"回家时可触发</v>
      </c>
      <c r="P20" s="138" t="str">
        <f>IFERROR(__xludf.DUMMYFUNCTION("GOOGLETRANSLATE(D20,""zh-tw"",""zh"")"),"触发""哥哥好臭""事件")</f>
        <v>触发"哥哥好臭"事件</v>
      </c>
      <c r="Q20" s="135">
        <v>14.0</v>
      </c>
      <c r="R20" s="156" t="s">
        <v>1263</v>
      </c>
      <c r="S20" s="139" t="s">
        <v>1264</v>
      </c>
      <c r="T20" s="97" t="s">
        <v>1265</v>
      </c>
      <c r="U20" s="135">
        <v>14.0</v>
      </c>
      <c r="V20" s="140" t="s">
        <v>1266</v>
      </c>
      <c r="W20" s="139" t="s">
        <v>1267</v>
      </c>
      <c r="X20" s="97" t="s">
        <v>1268</v>
      </c>
      <c r="Y20" s="141">
        <v>14.0</v>
      </c>
      <c r="Z20" s="142" t="s">
        <v>1269</v>
      </c>
      <c r="AA20" s="174" t="s">
        <v>1270</v>
      </c>
      <c r="AB20" s="144" t="s">
        <v>1271</v>
      </c>
      <c r="AC20" s="135">
        <v>14.0</v>
      </c>
      <c r="AD20" s="145" t="s">
        <v>1272</v>
      </c>
      <c r="AE20" s="146" t="s">
        <v>1273</v>
      </c>
      <c r="AF20" s="147" t="s">
        <v>1274</v>
      </c>
      <c r="AG20" s="135">
        <v>14.0</v>
      </c>
      <c r="AH20" s="136" t="s">
        <v>1275</v>
      </c>
      <c r="AI20" s="137" t="s">
        <v>1276</v>
      </c>
      <c r="AJ20" s="138" t="s">
        <v>1277</v>
      </c>
      <c r="AK20" s="148">
        <v>14.0</v>
      </c>
      <c r="AL20" s="171" t="s">
        <v>1278</v>
      </c>
      <c r="AM20" s="173" t="s">
        <v>1279</v>
      </c>
      <c r="AN20" s="170" t="s">
        <v>1280</v>
      </c>
      <c r="AO20" s="135">
        <v>14.0</v>
      </c>
      <c r="AP20" s="151" t="s">
        <v>1281</v>
      </c>
      <c r="AQ20" s="152" t="s">
        <v>1282</v>
      </c>
      <c r="AR20" s="153" t="s">
        <v>1283</v>
      </c>
      <c r="AS20" s="135">
        <v>14.0</v>
      </c>
      <c r="AT20" s="140" t="s">
        <v>1284</v>
      </c>
      <c r="AU20" s="139" t="s">
        <v>1285</v>
      </c>
      <c r="AV20" s="97" t="s">
        <v>1286</v>
      </c>
      <c r="AW20" s="138"/>
      <c r="AX20" s="138"/>
    </row>
    <row r="21">
      <c r="A21" s="135">
        <v>15.0</v>
      </c>
      <c r="B21" s="136" t="s">
        <v>1287</v>
      </c>
      <c r="C21" s="137" t="s">
        <v>1288</v>
      </c>
      <c r="D21" s="138" t="s">
        <v>1289</v>
      </c>
      <c r="E21" s="135">
        <v>15.0</v>
      </c>
      <c r="F21" s="136" t="s">
        <v>1290</v>
      </c>
      <c r="G21" s="137" t="s">
        <v>1291</v>
      </c>
      <c r="H21" s="138" t="s">
        <v>1292</v>
      </c>
      <c r="I21" s="135">
        <v>15.0</v>
      </c>
      <c r="J21" s="136" t="s">
        <v>1293</v>
      </c>
      <c r="K21" s="137" t="s">
        <v>1294</v>
      </c>
      <c r="L21" s="138" t="s">
        <v>1295</v>
      </c>
      <c r="M21" s="135">
        <v>15.0</v>
      </c>
      <c r="N21" s="136" t="str">
        <f>IFERROR(__xludf.DUMMYFUNCTION("GOOGLETRANSLATE(B21,""zh-tw"",""zh"")"),"浑身恶臭-2")</f>
        <v>浑身恶臭-2</v>
      </c>
      <c r="O21" s="154" t="str">
        <f>IFERROR(__xludf.DUMMYFUNCTION("GOOGLETRANSLATE(C21,""zh-tw"",""zh"")"),"哥哥不洗澡一段时间")</f>
        <v>哥哥不洗澡一段时间</v>
      </c>
      <c r="P21" s="100" t="str">
        <f>IFERROR(__xludf.DUMMYFUNCTION("GOOGLETRANSLATE(D21,""zh-tw"",""zh"")"),"未实装")</f>
        <v>未实装</v>
      </c>
      <c r="Q21" s="135">
        <v>15.0</v>
      </c>
      <c r="R21" s="136" t="s">
        <v>1296</v>
      </c>
      <c r="S21" s="139" t="s">
        <v>1297</v>
      </c>
      <c r="T21" s="97" t="s">
        <v>1298</v>
      </c>
      <c r="U21" s="135">
        <v>15.0</v>
      </c>
      <c r="V21" s="140" t="s">
        <v>1299</v>
      </c>
      <c r="W21" s="139" t="s">
        <v>1300</v>
      </c>
      <c r="X21" s="86" t="s">
        <v>1301</v>
      </c>
      <c r="Y21" s="141">
        <v>15.0</v>
      </c>
      <c r="Z21" s="142" t="s">
        <v>1302</v>
      </c>
      <c r="AA21" s="143" t="s">
        <v>1303</v>
      </c>
      <c r="AB21" s="144" t="s">
        <v>1304</v>
      </c>
      <c r="AC21" s="135">
        <v>15.0</v>
      </c>
      <c r="AD21" s="145" t="s">
        <v>1305</v>
      </c>
      <c r="AE21" s="146" t="s">
        <v>1306</v>
      </c>
      <c r="AF21" s="147" t="s">
        <v>1307</v>
      </c>
      <c r="AG21" s="135">
        <v>15.0</v>
      </c>
      <c r="AH21" s="136" t="s">
        <v>1308</v>
      </c>
      <c r="AI21" s="137" t="s">
        <v>1309</v>
      </c>
      <c r="AJ21" s="138" t="s">
        <v>1310</v>
      </c>
      <c r="AK21" s="148">
        <v>15.0</v>
      </c>
      <c r="AL21" s="171" t="s">
        <v>1311</v>
      </c>
      <c r="AM21" s="169" t="s">
        <v>1312</v>
      </c>
      <c r="AN21" s="172" t="s">
        <v>1313</v>
      </c>
      <c r="AO21" s="135">
        <v>15.0</v>
      </c>
      <c r="AP21" s="151" t="s">
        <v>1314</v>
      </c>
      <c r="AQ21" s="152" t="s">
        <v>1315</v>
      </c>
      <c r="AR21" s="153" t="s">
        <v>1316</v>
      </c>
      <c r="AS21" s="135">
        <v>15.0</v>
      </c>
      <c r="AT21" s="140" t="s">
        <v>1317</v>
      </c>
      <c r="AU21" s="139" t="s">
        <v>1318</v>
      </c>
      <c r="AV21" s="97" t="s">
        <v>1319</v>
      </c>
      <c r="AW21" s="138"/>
      <c r="AX21" s="138"/>
    </row>
    <row r="22">
      <c r="A22" s="135">
        <v>16.0</v>
      </c>
      <c r="B22" s="136" t="s">
        <v>1320</v>
      </c>
      <c r="C22" s="137" t="s">
        <v>1321</v>
      </c>
      <c r="D22" s="138" t="s">
        <v>1322</v>
      </c>
      <c r="E22" s="135">
        <v>16.0</v>
      </c>
      <c r="F22" s="136" t="s">
        <v>1323</v>
      </c>
      <c r="G22" s="137" t="s">
        <v>1324</v>
      </c>
      <c r="H22" s="138" t="s">
        <v>1325</v>
      </c>
      <c r="I22" s="135">
        <v>16.0</v>
      </c>
      <c r="J22" s="136" t="s">
        <v>1326</v>
      </c>
      <c r="K22" s="137" t="s">
        <v>1327</v>
      </c>
      <c r="L22" s="138" t="s">
        <v>1328</v>
      </c>
      <c r="M22" s="135">
        <v>16.0</v>
      </c>
      <c r="N22" s="136" t="str">
        <f>IFERROR(__xludf.DUMMYFUNCTION("GOOGLETRANSLATE(B22,""zh-tw"",""zh"")"),"洗完澡来喝点")</f>
        <v>洗完澡来喝点</v>
      </c>
      <c r="O22" s="154" t="str">
        <f>IFERROR(__xludf.DUMMYFUNCTION("GOOGLETRANSLATE(C22,""zh-tw"",""zh"")"),"当身上有牛奶时，洗澡后机率触发喝牛奶")</f>
        <v>当身上有牛奶时，洗澡后机率触发喝牛奶</v>
      </c>
      <c r="P22" s="100" t="str">
        <f>IFERROR(__xludf.DUMMYFUNCTION("GOOGLETRANSLATE(D22,""zh-tw"",""zh"")"),"特殊动画")</f>
        <v>特殊动画</v>
      </c>
      <c r="Q22" s="135">
        <v>16.0</v>
      </c>
      <c r="R22" s="140" t="s">
        <v>1329</v>
      </c>
      <c r="S22" s="154" t="s">
        <v>1330</v>
      </c>
      <c r="T22" s="97" t="s">
        <v>1331</v>
      </c>
      <c r="U22" s="135">
        <v>16.0</v>
      </c>
      <c r="V22" s="140" t="s">
        <v>1332</v>
      </c>
      <c r="W22" s="139" t="s">
        <v>1333</v>
      </c>
      <c r="X22" s="97" t="s">
        <v>1334</v>
      </c>
      <c r="Y22" s="141">
        <v>16.0</v>
      </c>
      <c r="Z22" s="142" t="s">
        <v>1335</v>
      </c>
      <c r="AA22" s="143" t="s">
        <v>1336</v>
      </c>
      <c r="AB22" s="144" t="s">
        <v>1337</v>
      </c>
      <c r="AC22" s="135">
        <v>16.0</v>
      </c>
      <c r="AD22" s="145" t="s">
        <v>1338</v>
      </c>
      <c r="AE22" s="146" t="s">
        <v>1339</v>
      </c>
      <c r="AF22" s="147" t="s">
        <v>1340</v>
      </c>
      <c r="AG22" s="135">
        <v>16.0</v>
      </c>
      <c r="AH22" s="136" t="s">
        <v>1341</v>
      </c>
      <c r="AI22" s="137" t="s">
        <v>1342</v>
      </c>
      <c r="AJ22" s="138" t="s">
        <v>1343</v>
      </c>
      <c r="AK22" s="148">
        <v>16.0</v>
      </c>
      <c r="AL22" s="171" t="s">
        <v>1344</v>
      </c>
      <c r="AM22" s="169" t="s">
        <v>1345</v>
      </c>
      <c r="AN22" s="172" t="s">
        <v>1346</v>
      </c>
      <c r="AO22" s="135">
        <v>16.0</v>
      </c>
      <c r="AP22" s="151" t="s">
        <v>1347</v>
      </c>
      <c r="AQ22" s="152" t="s">
        <v>1348</v>
      </c>
      <c r="AR22" s="164" t="s">
        <v>1349</v>
      </c>
      <c r="AS22" s="135">
        <v>16.0</v>
      </c>
      <c r="AT22" s="140" t="s">
        <v>1350</v>
      </c>
      <c r="AU22" s="139" t="s">
        <v>1351</v>
      </c>
      <c r="AV22" s="97" t="s">
        <v>1352</v>
      </c>
      <c r="AW22" s="138"/>
      <c r="AX22" s="138"/>
    </row>
    <row r="23">
      <c r="A23" s="135">
        <v>17.0</v>
      </c>
      <c r="B23" s="136" t="s">
        <v>1353</v>
      </c>
      <c r="C23" s="137" t="s">
        <v>1354</v>
      </c>
      <c r="D23" s="138" t="s">
        <v>1355</v>
      </c>
      <c r="E23" s="135">
        <v>17.0</v>
      </c>
      <c r="F23" s="136" t="s">
        <v>1356</v>
      </c>
      <c r="G23" s="137" t="s">
        <v>1357</v>
      </c>
      <c r="H23" s="138" t="s">
        <v>1358</v>
      </c>
      <c r="I23" s="135">
        <v>17.0</v>
      </c>
      <c r="J23" s="136" t="s">
        <v>1359</v>
      </c>
      <c r="K23" s="137" t="s">
        <v>1360</v>
      </c>
      <c r="L23" s="138" t="s">
        <v>1361</v>
      </c>
      <c r="M23" s="135">
        <v>17.0</v>
      </c>
      <c r="N23" s="136" t="str">
        <f>IFERROR(__xludf.DUMMYFUNCTION("GOOGLETRANSLATE(B23,""zh-tw"",""zh"")"),"喧嚣的风儿")</f>
        <v>喧嚣的风儿</v>
      </c>
      <c r="O23" s="154" t="str">
        <f>IFERROR(__xludf.DUMMYFUNCTION("GOOGLETRANSLATE(C23,""zh-tw"",""zh"")"),"第一次与妹妹共浴之后，可以帮妹妹吹头发")</f>
        <v>第一次与妹妹共浴之后，可以帮妹妹吹头发</v>
      </c>
      <c r="P23" s="138" t="str">
        <f>IFERROR(__xludf.DUMMYFUNCTION("GOOGLETRANSLATE(D23,""zh-tw"",""zh"")"),"解锁""吹头发""选项")</f>
        <v>解锁"吹头发"选项</v>
      </c>
      <c r="Q23" s="135">
        <v>17.0</v>
      </c>
      <c r="R23" s="136" t="s">
        <v>1362</v>
      </c>
      <c r="S23" s="139" t="s">
        <v>1363</v>
      </c>
      <c r="T23" s="97" t="s">
        <v>1364</v>
      </c>
      <c r="U23" s="135">
        <v>17.0</v>
      </c>
      <c r="V23" s="175" t="s">
        <v>1365</v>
      </c>
      <c r="W23" s="139" t="s">
        <v>1366</v>
      </c>
      <c r="X23" s="97" t="s">
        <v>1367</v>
      </c>
      <c r="Y23" s="141">
        <v>17.0</v>
      </c>
      <c r="Z23" s="142" t="s">
        <v>1368</v>
      </c>
      <c r="AA23" s="143" t="s">
        <v>1369</v>
      </c>
      <c r="AB23" s="144" t="s">
        <v>1370</v>
      </c>
      <c r="AC23" s="135">
        <v>17.0</v>
      </c>
      <c r="AD23" s="145" t="s">
        <v>1371</v>
      </c>
      <c r="AE23" s="146" t="s">
        <v>1372</v>
      </c>
      <c r="AF23" s="147" t="s">
        <v>1373</v>
      </c>
      <c r="AG23" s="135">
        <v>17.0</v>
      </c>
      <c r="AH23" s="136" t="s">
        <v>1374</v>
      </c>
      <c r="AI23" s="137" t="s">
        <v>1375</v>
      </c>
      <c r="AJ23" s="138" t="s">
        <v>1376</v>
      </c>
      <c r="AK23" s="148">
        <v>17.0</v>
      </c>
      <c r="AL23" s="149" t="s">
        <v>1377</v>
      </c>
      <c r="AM23" s="173" t="s">
        <v>1378</v>
      </c>
      <c r="AN23" s="170" t="s">
        <v>1379</v>
      </c>
      <c r="AO23" s="135">
        <v>17.0</v>
      </c>
      <c r="AP23" s="151" t="s">
        <v>1380</v>
      </c>
      <c r="AQ23" s="152" t="s">
        <v>1381</v>
      </c>
      <c r="AR23" s="153" t="s">
        <v>1382</v>
      </c>
      <c r="AS23" s="135">
        <v>17.0</v>
      </c>
      <c r="AT23" s="140" t="s">
        <v>1383</v>
      </c>
      <c r="AU23" s="139" t="s">
        <v>1384</v>
      </c>
      <c r="AV23" s="97" t="s">
        <v>1385</v>
      </c>
      <c r="AW23" s="138"/>
      <c r="AX23" s="138"/>
    </row>
    <row r="24">
      <c r="A24" s="135">
        <v>18.0</v>
      </c>
      <c r="B24" s="136" t="s">
        <v>1386</v>
      </c>
      <c r="C24" s="137" t="s">
        <v>1387</v>
      </c>
      <c r="D24" s="138" t="s">
        <v>1388</v>
      </c>
      <c r="E24" s="135">
        <v>18.0</v>
      </c>
      <c r="F24" s="136" t="s">
        <v>1389</v>
      </c>
      <c r="G24" s="137" t="s">
        <v>1390</v>
      </c>
      <c r="H24" s="138" t="s">
        <v>1391</v>
      </c>
      <c r="I24" s="135">
        <v>18.0</v>
      </c>
      <c r="J24" s="136" t="s">
        <v>1392</v>
      </c>
      <c r="K24" s="137" t="s">
        <v>1393</v>
      </c>
      <c r="L24" s="97" t="s">
        <v>1394</v>
      </c>
      <c r="M24" s="135">
        <v>18.0</v>
      </c>
      <c r="N24" s="136" t="str">
        <f>IFERROR(__xludf.DUMMYFUNCTION("GOOGLETRANSLATE(B24,""zh-tw"",""zh"")"),"哥困了")</f>
        <v>哥困了</v>
      </c>
      <c r="O24" s="154" t="str">
        <f>IFERROR(__xludf.DUMMYFUNCTION("GOOGLETRANSLATE(C24,""zh-tw"",""zh"")"),"提前睡觉")</f>
        <v>提前睡觉</v>
      </c>
      <c r="P24" s="100" t="s">
        <v>1395</v>
      </c>
      <c r="Q24" s="135">
        <v>18.0</v>
      </c>
      <c r="R24" s="140" t="s">
        <v>1396</v>
      </c>
      <c r="S24" s="139" t="s">
        <v>1397</v>
      </c>
      <c r="T24" s="97" t="s">
        <v>1398</v>
      </c>
      <c r="U24" s="135">
        <v>18.0</v>
      </c>
      <c r="V24" s="175" t="s">
        <v>1399</v>
      </c>
      <c r="W24" s="139" t="s">
        <v>1400</v>
      </c>
      <c r="X24" s="97" t="s">
        <v>1401</v>
      </c>
      <c r="Y24" s="141">
        <v>18.0</v>
      </c>
      <c r="Z24" s="142" t="s">
        <v>1402</v>
      </c>
      <c r="AA24" s="143" t="s">
        <v>1403</v>
      </c>
      <c r="AB24" s="144" t="s">
        <v>1404</v>
      </c>
      <c r="AC24" s="135">
        <v>18.0</v>
      </c>
      <c r="AD24" s="145" t="s">
        <v>1405</v>
      </c>
      <c r="AE24" s="146" t="s">
        <v>1406</v>
      </c>
      <c r="AF24" s="147" t="s">
        <v>1407</v>
      </c>
      <c r="AG24" s="135">
        <v>18.0</v>
      </c>
      <c r="AH24" s="136" t="s">
        <v>1408</v>
      </c>
      <c r="AI24" s="137" t="s">
        <v>1409</v>
      </c>
      <c r="AJ24" s="138" t="s">
        <v>1410</v>
      </c>
      <c r="AK24" s="148">
        <v>18.0</v>
      </c>
      <c r="AL24" s="149" t="s">
        <v>1411</v>
      </c>
      <c r="AM24" s="169" t="s">
        <v>1412</v>
      </c>
      <c r="AN24" s="172" t="s">
        <v>1413</v>
      </c>
      <c r="AO24" s="135">
        <v>18.0</v>
      </c>
      <c r="AP24" s="151" t="s">
        <v>1414</v>
      </c>
      <c r="AQ24" s="152" t="s">
        <v>1415</v>
      </c>
      <c r="AR24" s="153" t="s">
        <v>1416</v>
      </c>
      <c r="AS24" s="135">
        <v>18.0</v>
      </c>
      <c r="AT24" s="140" t="s">
        <v>1417</v>
      </c>
      <c r="AU24" s="139" t="s">
        <v>1418</v>
      </c>
      <c r="AV24" s="97" t="s">
        <v>1419</v>
      </c>
      <c r="AW24" s="138"/>
      <c r="AX24" s="138"/>
    </row>
    <row r="25">
      <c r="A25" s="135">
        <v>19.0</v>
      </c>
      <c r="B25" s="136" t="s">
        <v>1420</v>
      </c>
      <c r="C25" s="137" t="s">
        <v>1421</v>
      </c>
      <c r="D25" s="138" t="s">
        <v>1422</v>
      </c>
      <c r="E25" s="135">
        <v>19.0</v>
      </c>
      <c r="F25" s="136" t="s">
        <v>1423</v>
      </c>
      <c r="G25" s="137" t="s">
        <v>1424</v>
      </c>
      <c r="H25" s="138" t="s">
        <v>1425</v>
      </c>
      <c r="I25" s="135">
        <v>19.0</v>
      </c>
      <c r="J25" s="136" t="s">
        <v>1426</v>
      </c>
      <c r="K25" s="137" t="s">
        <v>1427</v>
      </c>
      <c r="L25" s="138" t="s">
        <v>1428</v>
      </c>
      <c r="M25" s="135">
        <v>19.0</v>
      </c>
      <c r="N25" s="136" t="str">
        <f>IFERROR(__xludf.DUMMYFUNCTION("GOOGLETRANSLATE(B25,""zh-tw"",""zh"")"),"起床啰")</f>
        <v>起床啰</v>
      </c>
      <c r="O25" s="154"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100" t="str">
        <f>IFERROR(__xludf.DUMMYFUNCTION("GOOGLETRANSLATE(D25,""zh-tw"",""zh"")"),"机率解锁""强行叫醒""动画
被强行叫醒的妹妹，不会彻底醒来，而是会重新回去睡")</f>
        <v>机率解锁"强行叫醒"动画
被强行叫醒的妹妹，不会彻底醒来，而是会重新回去睡</v>
      </c>
      <c r="Q25" s="135">
        <v>19.0</v>
      </c>
      <c r="R25" s="140" t="s">
        <v>1429</v>
      </c>
      <c r="S25" s="154" t="s">
        <v>1430</v>
      </c>
      <c r="T25" s="155" t="s">
        <v>1431</v>
      </c>
      <c r="U25" s="135">
        <v>19.0</v>
      </c>
      <c r="V25" s="140" t="s">
        <v>1432</v>
      </c>
      <c r="W25" s="139" t="s">
        <v>1433</v>
      </c>
      <c r="X25" s="97" t="s">
        <v>1434</v>
      </c>
      <c r="Y25" s="141">
        <v>19.0</v>
      </c>
      <c r="Z25" s="142" t="s">
        <v>1435</v>
      </c>
      <c r="AA25" s="143" t="s">
        <v>1436</v>
      </c>
      <c r="AB25" s="144" t="s">
        <v>1437</v>
      </c>
      <c r="AC25" s="135">
        <v>19.0</v>
      </c>
      <c r="AD25" s="145" t="s">
        <v>1438</v>
      </c>
      <c r="AE25" s="146" t="s">
        <v>1439</v>
      </c>
      <c r="AF25" s="147" t="s">
        <v>1440</v>
      </c>
      <c r="AG25" s="135">
        <v>19.0</v>
      </c>
      <c r="AH25" s="136" t="s">
        <v>1441</v>
      </c>
      <c r="AI25" s="137" t="s">
        <v>1442</v>
      </c>
      <c r="AJ25" s="138" t="s">
        <v>1443</v>
      </c>
      <c r="AK25" s="148">
        <v>19.0</v>
      </c>
      <c r="AL25" s="149" t="s">
        <v>1444</v>
      </c>
      <c r="AM25" s="173" t="s">
        <v>1445</v>
      </c>
      <c r="AN25" s="172" t="s">
        <v>1446</v>
      </c>
      <c r="AO25" s="135">
        <v>19.0</v>
      </c>
      <c r="AP25" s="151" t="s">
        <v>1447</v>
      </c>
      <c r="AQ25" s="152" t="s">
        <v>1448</v>
      </c>
      <c r="AR25" s="153" t="s">
        <v>1449</v>
      </c>
      <c r="AS25" s="135">
        <v>19.0</v>
      </c>
      <c r="AT25" s="140" t="s">
        <v>1450</v>
      </c>
      <c r="AU25" s="139" t="s">
        <v>1451</v>
      </c>
      <c r="AV25" s="97" t="s">
        <v>1452</v>
      </c>
      <c r="AW25" s="138"/>
      <c r="AX25" s="138"/>
    </row>
    <row r="26">
      <c r="A26" s="176">
        <v>20.0</v>
      </c>
      <c r="B26" s="136" t="s">
        <v>1453</v>
      </c>
      <c r="C26" s="137" t="s">
        <v>1454</v>
      </c>
      <c r="D26" s="138" t="s">
        <v>1455</v>
      </c>
      <c r="E26" s="177"/>
      <c r="F26" s="136" t="s">
        <v>1456</v>
      </c>
      <c r="G26" s="137" t="s">
        <v>1457</v>
      </c>
      <c r="H26" s="138" t="s">
        <v>1458</v>
      </c>
      <c r="I26" s="176">
        <v>20.0</v>
      </c>
      <c r="J26" s="136" t="s">
        <v>1459</v>
      </c>
      <c r="K26" s="137" t="s">
        <v>1460</v>
      </c>
      <c r="L26" s="138" t="s">
        <v>1461</v>
      </c>
      <c r="M26" s="176">
        <v>20.0</v>
      </c>
      <c r="N26" s="136" t="s">
        <v>1462</v>
      </c>
      <c r="O26" s="154" t="s">
        <v>1463</v>
      </c>
      <c r="P26" s="100" t="s">
        <v>1464</v>
      </c>
      <c r="Q26" s="178">
        <v>20.0</v>
      </c>
      <c r="R26" s="156" t="str">
        <f>IFERROR(__xludf.DUMMYFUNCTION("GOOGLETRANSLATE(B26,""zh-tw"",""es-mx"")"),"Hermana sanadora")</f>
        <v>Hermana sanadora</v>
      </c>
      <c r="S26" s="139" t="s">
        <v>1465</v>
      </c>
      <c r="T26" s="97" t="s">
        <v>1466</v>
      </c>
      <c r="U26" s="178">
        <v>20.0</v>
      </c>
      <c r="V26" s="179" t="str">
        <f>IFERROR(__xludf.DUMMYFUNCTION("GOOGLETRANSLATE(B26,""zh-tw"",""KO"")"),"치유하는 자매")</f>
        <v>치유하는 자매</v>
      </c>
      <c r="W26" s="180"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81"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41">
        <v>20.0</v>
      </c>
      <c r="Z26" s="182" t="s">
        <v>1467</v>
      </c>
      <c r="AA26" s="183" t="s">
        <v>1468</v>
      </c>
      <c r="AB26" s="184" t="s">
        <v>1469</v>
      </c>
      <c r="AC26" s="135">
        <v>20.0</v>
      </c>
      <c r="AD26" s="145" t="s">
        <v>1470</v>
      </c>
      <c r="AE26" s="146" t="s">
        <v>1471</v>
      </c>
      <c r="AF26" s="147" t="s">
        <v>1472</v>
      </c>
      <c r="AG26" s="176">
        <v>20.0</v>
      </c>
      <c r="AH26" s="136" t="s">
        <v>1473</v>
      </c>
      <c r="AI26" s="137" t="s">
        <v>1474</v>
      </c>
      <c r="AJ26" s="138" t="s">
        <v>1475</v>
      </c>
      <c r="AK26" s="185">
        <v>20.0</v>
      </c>
      <c r="AL26" s="157" t="s">
        <v>1476</v>
      </c>
      <c r="AM26" s="150" t="s">
        <v>1477</v>
      </c>
      <c r="AN26" s="186" t="s">
        <v>1478</v>
      </c>
      <c r="AO26" s="176">
        <v>20.0</v>
      </c>
      <c r="AP26" s="136" t="s">
        <v>1479</v>
      </c>
      <c r="AQ26" s="137" t="s">
        <v>1480</v>
      </c>
      <c r="AR26" s="138" t="s">
        <v>1481</v>
      </c>
      <c r="AS26" s="177">
        <v>20.0</v>
      </c>
      <c r="AT26" s="187" t="s">
        <v>1482</v>
      </c>
      <c r="AU26" s="168" t="s">
        <v>1483</v>
      </c>
      <c r="AV26" s="89" t="s">
        <v>1484</v>
      </c>
      <c r="AW26" s="89"/>
      <c r="AX26" s="89"/>
    </row>
    <row r="27">
      <c r="A27" s="135">
        <v>21.0</v>
      </c>
      <c r="B27" s="140" t="s">
        <v>1485</v>
      </c>
      <c r="C27" s="137" t="s">
        <v>1486</v>
      </c>
      <c r="D27" s="138" t="s">
        <v>1289</v>
      </c>
      <c r="E27" s="135">
        <v>21.0</v>
      </c>
      <c r="F27" s="140" t="s">
        <v>1485</v>
      </c>
      <c r="G27" s="137" t="s">
        <v>1487</v>
      </c>
      <c r="H27" s="138" t="s">
        <v>1292</v>
      </c>
      <c r="I27" s="135">
        <v>21.0</v>
      </c>
      <c r="J27" s="140" t="s">
        <v>1485</v>
      </c>
      <c r="K27" s="137" t="s">
        <v>1488</v>
      </c>
      <c r="L27" s="97" t="s">
        <v>1489</v>
      </c>
      <c r="M27" s="135">
        <v>21.0</v>
      </c>
      <c r="N27" s="136" t="str">
        <f>IFERROR(__xludf.DUMMYFUNCTION("GOOGLETRANSLATE(B27,""zh-tw"",""zh"")"),"-")</f>
        <v>-</v>
      </c>
      <c r="O27" s="154" t="str">
        <f>IFERROR(__xludf.DUMMYFUNCTION("GOOGLETRANSLATE(C27,""zh-tw"",""zh"")"),"「喝点什么」给妹妹喂一颗""蓝色金平糖""和一颗""粉色金平糖""后，会使妹妹进入??状态")</f>
        <v>「喝点什么」给妹妹喂一颗"蓝色金平糖"和一颗"粉色金平糖"后，会使妹妹进入??状态</v>
      </c>
      <c r="P27" s="100" t="str">
        <f>IFERROR(__xludf.DUMMYFUNCTION("GOOGLETRANSLATE(D27,""zh-tw"",""zh"")"),"未实装")</f>
        <v>未实装</v>
      </c>
      <c r="Q27" s="135">
        <v>21.0</v>
      </c>
      <c r="R27" s="140" t="s">
        <v>1485</v>
      </c>
      <c r="S27" s="139" t="s">
        <v>1490</v>
      </c>
      <c r="T27" s="100" t="str">
        <f>IFERROR(__xludf.DUMMYFUNCTION("GOOGLETRANSLATE(D27,""zh-tw"",""es-MX"")"),"No implementado")</f>
        <v>No implementado</v>
      </c>
      <c r="U27" s="135">
        <v>21.0</v>
      </c>
      <c r="V27" s="140" t="s">
        <v>1485</v>
      </c>
      <c r="W27" s="139" t="s">
        <v>1491</v>
      </c>
      <c r="X27" s="188" t="s">
        <v>1301</v>
      </c>
      <c r="Y27" s="141">
        <v>21.0</v>
      </c>
      <c r="Z27" s="142" t="s">
        <v>1485</v>
      </c>
      <c r="AA27" s="143" t="s">
        <v>1492</v>
      </c>
      <c r="AB27" s="144" t="s">
        <v>1493</v>
      </c>
      <c r="AC27" s="135">
        <v>21.0</v>
      </c>
      <c r="AD27" s="145" t="s">
        <v>1485</v>
      </c>
      <c r="AE27" s="146" t="s">
        <v>1494</v>
      </c>
      <c r="AF27" s="147" t="s">
        <v>1495</v>
      </c>
      <c r="AG27" s="135">
        <v>21.0</v>
      </c>
      <c r="AH27" s="140" t="s">
        <v>1485</v>
      </c>
      <c r="AI27" s="137" t="s">
        <v>1496</v>
      </c>
      <c r="AJ27" s="138" t="s">
        <v>1310</v>
      </c>
      <c r="AK27" s="148">
        <v>21.0</v>
      </c>
      <c r="AL27" s="149" t="s">
        <v>1485</v>
      </c>
      <c r="AM27" s="169" t="s">
        <v>1497</v>
      </c>
      <c r="AN27" s="170" t="s">
        <v>1498</v>
      </c>
      <c r="AO27" s="135">
        <v>21.0</v>
      </c>
      <c r="AP27" s="151" t="s">
        <v>1485</v>
      </c>
      <c r="AQ27" s="152" t="s">
        <v>1499</v>
      </c>
      <c r="AR27" s="153" t="s">
        <v>1316</v>
      </c>
      <c r="AS27" s="135">
        <v>21.0</v>
      </c>
      <c r="AT27" s="140" t="s">
        <v>1485</v>
      </c>
      <c r="AU27" s="139" t="s">
        <v>1500</v>
      </c>
      <c r="AV27" s="97" t="s">
        <v>1319</v>
      </c>
      <c r="AW27" s="138"/>
      <c r="AX27" s="138"/>
    </row>
    <row r="28">
      <c r="A28" s="135">
        <v>22.0</v>
      </c>
      <c r="B28" s="136" t="s">
        <v>1501</v>
      </c>
      <c r="C28" s="137" t="s">
        <v>1502</v>
      </c>
      <c r="D28" s="138" t="s">
        <v>1503</v>
      </c>
      <c r="E28" s="135">
        <v>22.0</v>
      </c>
      <c r="F28" s="136" t="s">
        <v>1504</v>
      </c>
      <c r="G28" s="139" t="s">
        <v>1505</v>
      </c>
      <c r="H28" s="138" t="s">
        <v>1506</v>
      </c>
      <c r="I28" s="135">
        <v>22.0</v>
      </c>
      <c r="J28" s="136" t="s">
        <v>1507</v>
      </c>
      <c r="K28" s="139" t="s">
        <v>1508</v>
      </c>
      <c r="L28" s="138" t="s">
        <v>1509</v>
      </c>
      <c r="M28" s="135">
        <v>22.0</v>
      </c>
      <c r="N28" s="136" t="str">
        <f>IFERROR(__xludf.DUMMYFUNCTION("GOOGLETRANSLATE(B28,""zh-tw"",""zh"")"),"恶梦")</f>
        <v>恶梦</v>
      </c>
      <c r="O28" s="154"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100" t="str">
        <f>IFERROR(__xludf.DUMMYFUNCTION("GOOGLETRANSLATE(D28,""zh-tw"",""zh"")"),"触发恶梦动画")</f>
        <v>触发恶梦动画</v>
      </c>
      <c r="Q28" s="135">
        <v>22.0</v>
      </c>
      <c r="R28" s="156" t="s">
        <v>1510</v>
      </c>
      <c r="S28" s="139" t="s">
        <v>1511</v>
      </c>
      <c r="T28" s="97" t="s">
        <v>1512</v>
      </c>
      <c r="U28" s="135">
        <v>22.0</v>
      </c>
      <c r="V28" s="140" t="s">
        <v>1513</v>
      </c>
      <c r="W28" s="139" t="s">
        <v>1514</v>
      </c>
      <c r="X28" s="97" t="s">
        <v>1515</v>
      </c>
      <c r="Y28" s="141">
        <v>22.0</v>
      </c>
      <c r="Z28" s="142" t="s">
        <v>1516</v>
      </c>
      <c r="AA28" s="143" t="s">
        <v>1517</v>
      </c>
      <c r="AB28" s="144" t="s">
        <v>1518</v>
      </c>
      <c r="AC28" s="135">
        <v>22.0</v>
      </c>
      <c r="AD28" s="145" t="s">
        <v>1516</v>
      </c>
      <c r="AE28" s="146" t="s">
        <v>1519</v>
      </c>
      <c r="AF28" s="147" t="s">
        <v>1520</v>
      </c>
      <c r="AG28" s="135">
        <v>22.0</v>
      </c>
      <c r="AH28" s="136" t="s">
        <v>1521</v>
      </c>
      <c r="AI28" s="139" t="s">
        <v>1522</v>
      </c>
      <c r="AJ28" s="97" t="s">
        <v>1523</v>
      </c>
      <c r="AK28" s="148">
        <v>22.0</v>
      </c>
      <c r="AL28" s="149" t="s">
        <v>1524</v>
      </c>
      <c r="AM28" s="169" t="s">
        <v>1525</v>
      </c>
      <c r="AN28" s="172" t="s">
        <v>1526</v>
      </c>
      <c r="AO28" s="135">
        <v>22.0</v>
      </c>
      <c r="AP28" s="151" t="s">
        <v>1527</v>
      </c>
      <c r="AQ28" s="152" t="s">
        <v>1528</v>
      </c>
      <c r="AR28" s="153" t="s">
        <v>1529</v>
      </c>
      <c r="AS28" s="135">
        <v>22.0</v>
      </c>
      <c r="AT28" s="136" t="s">
        <v>1507</v>
      </c>
      <c r="AU28" s="139" t="s">
        <v>1508</v>
      </c>
      <c r="AV28" s="138" t="s">
        <v>1509</v>
      </c>
      <c r="AW28" s="138"/>
      <c r="AX28" s="138"/>
    </row>
    <row r="29">
      <c r="A29" s="178">
        <v>23.0</v>
      </c>
      <c r="B29" s="136" t="s">
        <v>1530</v>
      </c>
      <c r="C29" s="137" t="s">
        <v>1531</v>
      </c>
      <c r="D29" s="138" t="s">
        <v>1532</v>
      </c>
      <c r="E29" s="178">
        <v>23.0</v>
      </c>
      <c r="F29" s="136" t="s">
        <v>1533</v>
      </c>
      <c r="G29" s="137" t="s">
        <v>1534</v>
      </c>
      <c r="H29" s="138" t="s">
        <v>1535</v>
      </c>
      <c r="I29" s="178">
        <v>23.0</v>
      </c>
      <c r="J29" s="136" t="s">
        <v>1536</v>
      </c>
      <c r="K29" s="139" t="s">
        <v>1537</v>
      </c>
      <c r="L29" s="138" t="s">
        <v>1538</v>
      </c>
      <c r="M29" s="178">
        <v>23.0</v>
      </c>
      <c r="N29" s="136" t="str">
        <f>IFERROR(__xludf.DUMMYFUNCTION("GOOGLETRANSLATE(B29,""zh-tw"",""zh"")"),"和妹妹撒娇")</f>
        <v>和妹妹撒娇</v>
      </c>
      <c r="O29" s="154" t="str">
        <f>IFERROR(__xludf.DUMMYFUNCTION("GOOGLETRANSLATE(C29,""zh-tw"",""zh"")"),"拥有""什么都行券""，平时要和""妹妹做点什么""时，会新增一个选项")</f>
        <v>拥有"什么都行券"，平时要和"妹妹做点什么"时，会新增一个选项</v>
      </c>
      <c r="P29" s="100" t="str">
        <f>IFERROR(__xludf.DUMMYFUNCTION("GOOGLETRANSLATE(D29,""zh-tw"",""zh"")"),"新增选项：向妹妹撒娇吧！
*目前尚无后续")</f>
        <v>新增选项：向妹妹撒娇吧！
*目前尚无后续</v>
      </c>
      <c r="Q29" s="178">
        <v>23.0</v>
      </c>
      <c r="R29" s="140" t="s">
        <v>1539</v>
      </c>
      <c r="S29" s="139" t="s">
        <v>1540</v>
      </c>
      <c r="T29" s="97" t="s">
        <v>1541</v>
      </c>
      <c r="U29" s="178">
        <v>23.0</v>
      </c>
      <c r="V29" s="140" t="s">
        <v>1542</v>
      </c>
      <c r="W29" s="139" t="s">
        <v>1543</v>
      </c>
      <c r="X29" s="97" t="s">
        <v>1544</v>
      </c>
      <c r="Y29" s="141">
        <v>23.0</v>
      </c>
      <c r="Z29" s="142" t="s">
        <v>1545</v>
      </c>
      <c r="AA29" s="143" t="s">
        <v>1546</v>
      </c>
      <c r="AB29" s="144" t="s">
        <v>1547</v>
      </c>
      <c r="AC29" s="135">
        <v>23.0</v>
      </c>
      <c r="AD29" s="189" t="s">
        <v>1548</v>
      </c>
      <c r="AE29" s="190" t="s">
        <v>1549</v>
      </c>
      <c r="AF29" s="166" t="s">
        <v>1550</v>
      </c>
      <c r="AG29" s="178">
        <v>23.0</v>
      </c>
      <c r="AH29" s="136" t="s">
        <v>1551</v>
      </c>
      <c r="AI29" s="137" t="s">
        <v>1552</v>
      </c>
      <c r="AJ29" s="138" t="s">
        <v>1553</v>
      </c>
      <c r="AK29" s="191">
        <v>23.0</v>
      </c>
      <c r="AL29" s="171" t="s">
        <v>1554</v>
      </c>
      <c r="AM29" s="173" t="s">
        <v>1555</v>
      </c>
      <c r="AN29" s="170" t="s">
        <v>1556</v>
      </c>
      <c r="AO29" s="178">
        <v>23.0</v>
      </c>
      <c r="AP29" s="151" t="s">
        <v>1557</v>
      </c>
      <c r="AQ29" s="152" t="s">
        <v>1558</v>
      </c>
      <c r="AR29" s="153" t="s">
        <v>1559</v>
      </c>
      <c r="AS29" s="178">
        <v>23.0</v>
      </c>
      <c r="AT29" s="136" t="s">
        <v>1536</v>
      </c>
      <c r="AU29" s="139" t="s">
        <v>1537</v>
      </c>
      <c r="AV29" s="138" t="s">
        <v>1538</v>
      </c>
      <c r="AW29" s="138"/>
      <c r="AX29" s="138"/>
    </row>
    <row r="30">
      <c r="A30" s="135">
        <v>24.0</v>
      </c>
      <c r="B30" s="151" t="s">
        <v>1560</v>
      </c>
      <c r="C30" s="152" t="s">
        <v>1561</v>
      </c>
      <c r="D30" s="153" t="s">
        <v>1562</v>
      </c>
      <c r="E30" s="135">
        <v>24.0</v>
      </c>
      <c r="F30" s="192" t="s">
        <v>1563</v>
      </c>
      <c r="G30" s="193" t="s">
        <v>1564</v>
      </c>
      <c r="H30" s="194" t="s">
        <v>1565</v>
      </c>
      <c r="I30" s="135">
        <v>24.0</v>
      </c>
      <c r="J30" s="136" t="s">
        <v>1566</v>
      </c>
      <c r="K30" s="193" t="s">
        <v>1567</v>
      </c>
      <c r="L30" s="194" t="s">
        <v>1568</v>
      </c>
      <c r="M30" s="135">
        <v>24.0</v>
      </c>
      <c r="N30" s="151" t="s">
        <v>1569</v>
      </c>
      <c r="O30" s="180" t="s">
        <v>1570</v>
      </c>
      <c r="P30" s="181" t="s">
        <v>1571</v>
      </c>
      <c r="Q30" s="135">
        <v>24.0</v>
      </c>
      <c r="R30" s="179" t="str">
        <f>IFERROR(__xludf.DUMMYFUNCTION("GOOGLETRANSLATE(B30,""zh-tw"",""es-MX"")"),"dormilón")</f>
        <v>dormilón</v>
      </c>
      <c r="S30" s="165" t="s">
        <v>1572</v>
      </c>
      <c r="T30" s="181" t="str">
        <f>IFERROR(__xludf.DUMMYFUNCTION("GOOGLETRANSLATE(D30,""zh-tw"",""es-MX"")"),"Puedes interactuar con tu hermana dormida (actualmente solo se puede interactuar con su rostro).")</f>
        <v>Puedes interactuar con tu hermana dormida (actualmente solo se puede interactuar con su rostro).</v>
      </c>
      <c r="U30" s="135">
        <v>24.0</v>
      </c>
      <c r="V30" s="195" t="s">
        <v>1573</v>
      </c>
      <c r="W30" s="165" t="s">
        <v>1574</v>
      </c>
      <c r="X30" s="164" t="s">
        <v>1575</v>
      </c>
      <c r="Y30" s="141">
        <v>24.0</v>
      </c>
      <c r="Z30" s="142" t="s">
        <v>1576</v>
      </c>
      <c r="AA30" s="143" t="s">
        <v>1577</v>
      </c>
      <c r="AB30" s="144" t="s">
        <v>1578</v>
      </c>
      <c r="AC30" s="135">
        <v>24.0</v>
      </c>
      <c r="AD30" s="189" t="s">
        <v>1576</v>
      </c>
      <c r="AE30" s="190" t="s">
        <v>1579</v>
      </c>
      <c r="AF30" s="166" t="s">
        <v>1580</v>
      </c>
      <c r="AG30" s="135">
        <v>24.0</v>
      </c>
      <c r="AH30" s="136" t="s">
        <v>1581</v>
      </c>
      <c r="AI30" s="193" t="s">
        <v>1582</v>
      </c>
      <c r="AJ30" s="194" t="s">
        <v>1583</v>
      </c>
      <c r="AK30" s="148">
        <v>24.0</v>
      </c>
      <c r="AL30" s="196" t="s">
        <v>1584</v>
      </c>
      <c r="AM30" s="197" t="s">
        <v>1585</v>
      </c>
      <c r="AN30" s="198" t="s">
        <v>1586</v>
      </c>
      <c r="AO30" s="135">
        <v>24.0</v>
      </c>
      <c r="AP30" s="151" t="s">
        <v>1587</v>
      </c>
      <c r="AQ30" s="152" t="s">
        <v>1588</v>
      </c>
      <c r="AR30" s="153" t="s">
        <v>1589</v>
      </c>
      <c r="AS30" s="135">
        <v>24.0</v>
      </c>
      <c r="AT30" s="136" t="s">
        <v>1566</v>
      </c>
      <c r="AU30" s="193" t="s">
        <v>1567</v>
      </c>
      <c r="AV30" s="194" t="s">
        <v>1568</v>
      </c>
      <c r="AW30" s="153"/>
      <c r="AX30" s="153"/>
    </row>
    <row r="31">
      <c r="A31" s="178">
        <v>25.0</v>
      </c>
      <c r="B31" s="151" t="s">
        <v>1590</v>
      </c>
      <c r="C31" s="165" t="s">
        <v>1591</v>
      </c>
      <c r="D31" s="153" t="s">
        <v>1592</v>
      </c>
      <c r="E31" s="178">
        <v>25.0</v>
      </c>
      <c r="F31" s="199" t="s">
        <v>1593</v>
      </c>
      <c r="G31" s="165" t="s">
        <v>1594</v>
      </c>
      <c r="H31" s="164" t="s">
        <v>1595</v>
      </c>
      <c r="I31" s="178">
        <v>25.0</v>
      </c>
      <c r="J31" s="136" t="s">
        <v>1596</v>
      </c>
      <c r="K31" s="200" t="s">
        <v>1597</v>
      </c>
      <c r="L31" s="194" t="s">
        <v>1598</v>
      </c>
      <c r="M31" s="178">
        <v>25.0</v>
      </c>
      <c r="N31" s="151" t="s">
        <v>1599</v>
      </c>
      <c r="O31" s="165" t="s">
        <v>1600</v>
      </c>
      <c r="P31" s="181" t="s">
        <v>1601</v>
      </c>
      <c r="Q31" s="178">
        <v>25.0</v>
      </c>
      <c r="R31" s="199" t="s">
        <v>1602</v>
      </c>
      <c r="S31" s="165" t="s">
        <v>1603</v>
      </c>
      <c r="T31" s="181" t="str">
        <f>IFERROR(__xludf.DUMMYFUNCTION("GOOGLETRANSLATE(D31,""zh-tw"",""es-MX"")"),"Si se produce la bancarrota, la hermana menor empezará a resentir a su hermano mayor por no ser ahorrativo.")</f>
        <v>Si se produce la bancarrota, la hermana menor empezará a resentir a su hermano mayor por no ser ahorrativo.</v>
      </c>
      <c r="U31" s="178">
        <v>25.0</v>
      </c>
      <c r="V31" s="199" t="s">
        <v>1604</v>
      </c>
      <c r="W31" s="165" t="s">
        <v>1605</v>
      </c>
      <c r="X31" s="164" t="s">
        <v>1606</v>
      </c>
      <c r="Y31" s="141">
        <v>25.0</v>
      </c>
      <c r="Z31" s="142" t="s">
        <v>1607</v>
      </c>
      <c r="AA31" s="174" t="s">
        <v>1608</v>
      </c>
      <c r="AB31" s="144" t="s">
        <v>1609</v>
      </c>
      <c r="AC31" s="135">
        <v>25.0</v>
      </c>
      <c r="AD31" s="189" t="s">
        <v>1610</v>
      </c>
      <c r="AE31" s="190" t="s">
        <v>1611</v>
      </c>
      <c r="AF31" s="166" t="s">
        <v>1612</v>
      </c>
      <c r="AG31" s="178">
        <v>25.0</v>
      </c>
      <c r="AH31" s="175" t="s">
        <v>1613</v>
      </c>
      <c r="AI31" s="201" t="s">
        <v>1614</v>
      </c>
      <c r="AJ31" s="202" t="s">
        <v>1615</v>
      </c>
      <c r="AK31" s="191">
        <v>25.0</v>
      </c>
      <c r="AL31" s="171" t="s">
        <v>1616</v>
      </c>
      <c r="AM31" s="203" t="s">
        <v>1617</v>
      </c>
      <c r="AN31" s="7" t="s">
        <v>1618</v>
      </c>
      <c r="AO31" s="178">
        <v>25.0</v>
      </c>
      <c r="AP31" s="204" t="s">
        <v>1619</v>
      </c>
      <c r="AQ31" s="200" t="s">
        <v>1620</v>
      </c>
      <c r="AR31" s="205" t="s">
        <v>1621</v>
      </c>
      <c r="AS31" s="178">
        <v>25.0</v>
      </c>
      <c r="AT31" s="136" t="s">
        <v>1596</v>
      </c>
      <c r="AU31" s="193" t="s">
        <v>1622</v>
      </c>
      <c r="AV31" s="194" t="s">
        <v>1598</v>
      </c>
      <c r="AW31" s="153"/>
      <c r="AX31" s="153"/>
    </row>
    <row r="32">
      <c r="A32" s="135">
        <v>26.0</v>
      </c>
      <c r="B32" s="151" t="s">
        <v>1623</v>
      </c>
      <c r="C32" s="165" t="s">
        <v>1624</v>
      </c>
      <c r="D32" s="153" t="s">
        <v>1625</v>
      </c>
      <c r="E32" s="135">
        <v>26.0</v>
      </c>
      <c r="F32" s="199" t="s">
        <v>1626</v>
      </c>
      <c r="G32" s="165" t="s">
        <v>1627</v>
      </c>
      <c r="H32" s="164" t="s">
        <v>1628</v>
      </c>
      <c r="I32" s="135">
        <v>26.0</v>
      </c>
      <c r="J32" s="136" t="s">
        <v>1629</v>
      </c>
      <c r="K32" s="200" t="s">
        <v>1630</v>
      </c>
      <c r="L32" s="205" t="s">
        <v>1631</v>
      </c>
      <c r="M32" s="135">
        <v>26.0</v>
      </c>
      <c r="N32" s="151" t="s">
        <v>1632</v>
      </c>
      <c r="O32" s="165" t="s">
        <v>1633</v>
      </c>
      <c r="P32" s="164" t="s">
        <v>1634</v>
      </c>
      <c r="Q32" s="135">
        <v>26.0</v>
      </c>
      <c r="R32" s="179" t="str">
        <f>IFERROR(__xludf.DUMMYFUNCTION("GOOGLETRANSLATE(B32,""zh-tw"",""es-MX"")"),"Dale dinero de bolsillo a mi hermana pequeña")</f>
        <v>Dale dinero de bolsillo a mi hermana pequeña</v>
      </c>
      <c r="S32" s="165" t="s">
        <v>1635</v>
      </c>
      <c r="T32" s="181" t="str">
        <f>IFERROR(__xludf.DUMMYFUNCTION("GOOGLETRANSLATE(D32,""zh-tw"",""es-MX"")"),"Actualmente, el corazón amarillo no tiene ninguna utilidad práctica; su función aún no se ha implementado. Por el momento, un corazón amarillo equivale a un corazón rojo.")</f>
        <v>Actualmente, el corazón amarillo no tiene ninguna utilidad práctica; su función aún no se ha implementado. Por el momento, un corazón amarillo equivale a un corazón rojo.</v>
      </c>
      <c r="U32" s="135">
        <v>26.0</v>
      </c>
      <c r="V32" s="199" t="s">
        <v>1636</v>
      </c>
      <c r="W32" s="165" t="s">
        <v>1637</v>
      </c>
      <c r="X32" s="164" t="s">
        <v>1638</v>
      </c>
      <c r="Y32" s="141">
        <v>26.0</v>
      </c>
      <c r="Z32" s="142" t="s">
        <v>1639</v>
      </c>
      <c r="AA32" s="174" t="s">
        <v>1640</v>
      </c>
      <c r="AB32" s="144" t="s">
        <v>1641</v>
      </c>
      <c r="AC32" s="135">
        <v>26.0</v>
      </c>
      <c r="AD32" s="189" t="s">
        <v>1642</v>
      </c>
      <c r="AE32" s="190" t="s">
        <v>1643</v>
      </c>
      <c r="AF32" s="166" t="s">
        <v>1644</v>
      </c>
      <c r="AG32" s="135">
        <v>26.0</v>
      </c>
      <c r="AH32" s="175" t="s">
        <v>1645</v>
      </c>
      <c r="AI32" s="201" t="s">
        <v>1646</v>
      </c>
      <c r="AJ32" s="206" t="str">
        <f>IFERROR(__xludf.DUMMYFUNCTION("IF(P32="""", """", GOOGLETRANSLATE(L32,""en"",""DE""))"),"Aktuell hat das gelbe Herz keine Verwendung. Seine Funktion ist noch nicht implementiert und momentan entspricht 1 gelbes Herz 1 rotem Herz.")</f>
        <v>Aktuell hat das gelbe Herz keine Verwendung. Seine Funktion ist noch nicht implementiert und momentan entspricht 1 gelbes Herz 1 rotem Herz.</v>
      </c>
      <c r="AK32" s="148">
        <v>26.0</v>
      </c>
      <c r="AL32" s="171" t="s">
        <v>1647</v>
      </c>
      <c r="AM32" s="207" t="s">
        <v>1648</v>
      </c>
      <c r="AN32" s="7" t="s">
        <v>1649</v>
      </c>
      <c r="AO32" s="135">
        <v>26.0</v>
      </c>
      <c r="AP32" s="204" t="s">
        <v>1650</v>
      </c>
      <c r="AQ32" s="200" t="s">
        <v>1651</v>
      </c>
      <c r="AR32" s="205" t="s">
        <v>1652</v>
      </c>
      <c r="AS32" s="135">
        <v>26.0</v>
      </c>
      <c r="AT32" s="136" t="s">
        <v>1629</v>
      </c>
      <c r="AU32" s="200" t="s">
        <v>1653</v>
      </c>
      <c r="AV32" s="205" t="s">
        <v>1631</v>
      </c>
      <c r="AW32" s="153"/>
      <c r="AX32" s="153"/>
    </row>
    <row r="33">
      <c r="A33" s="135">
        <v>27.0</v>
      </c>
      <c r="B33" s="151" t="s">
        <v>1654</v>
      </c>
      <c r="C33" s="165" t="s">
        <v>1655</v>
      </c>
      <c r="D33" s="153" t="s">
        <v>1289</v>
      </c>
      <c r="E33" s="135">
        <v>27.0</v>
      </c>
      <c r="F33" s="199" t="s">
        <v>1656</v>
      </c>
      <c r="G33" s="165" t="s">
        <v>1657</v>
      </c>
      <c r="H33" s="164" t="s">
        <v>1292</v>
      </c>
      <c r="I33" s="135">
        <v>27.0</v>
      </c>
      <c r="J33" s="136" t="s">
        <v>1658</v>
      </c>
      <c r="K33" s="200" t="s">
        <v>1659</v>
      </c>
      <c r="L33" s="205" t="s">
        <v>1660</v>
      </c>
      <c r="M33" s="135">
        <v>27.0</v>
      </c>
      <c r="N33" s="151" t="str">
        <f>IFERROR(__xludf.DUMMYFUNCTION("GOOGLETRANSLATE(B33,""zh-tw"",""zh"")"),"撒娇吧-妹妹的告白")</f>
        <v>撒娇吧-妹妹的告白</v>
      </c>
      <c r="O33" s="165" t="str">
        <f>IFERROR(__xludf.DUMMYFUNCTION("GOOGLETRANSLATE(C33,""zh-tw"",""zh"")"),"于""向妹妹撒娇吧""中，选择妹妹的告白")</f>
        <v>于"向妹妹撒娇吧"中，选择妹妹的告白</v>
      </c>
      <c r="P33" s="164" t="str">
        <f>IFERROR(__xludf.DUMMYFUNCTION("GOOGLETRANSLATE(D33,""zh-tw"",""zh"")"),"未实装")</f>
        <v>未实装</v>
      </c>
      <c r="Q33" s="135">
        <v>27.0</v>
      </c>
      <c r="R33" s="199" t="s">
        <v>1661</v>
      </c>
      <c r="S33" s="165" t="s">
        <v>1662</v>
      </c>
      <c r="T33" s="181" t="str">
        <f>IFERROR(__xludf.DUMMYFUNCTION("GOOGLETRANSLATE(D33,""zh-tw"",""es-MX"")"),"No implementado")</f>
        <v>No implementado</v>
      </c>
      <c r="U33" s="135">
        <v>27.0</v>
      </c>
      <c r="V33" s="199" t="str">
        <f>IFERROR(__xludf.DUMMYFUNCTION("GOOGLETRANSLATE(B33,""zh-tw"",""KO"")"),"귀엽게 행동해 - 내 여동생의 고백")</f>
        <v>귀엽게 행동해 - 내 여동생의 고백</v>
      </c>
      <c r="W33" s="165" t="str">
        <f>IFERROR(__xludf.DUMMYFUNCTION("GOOGLETRANSLATE(C33,""zh-tw"",""KO"")"),"""여동생에게 귀엽게 대하기"" 섹션에서 여동생의 고백을 선택하세요.")</f>
        <v>"여동생에게 귀엽게 대하기" 섹션에서 여동생의 고백을 선택하세요.</v>
      </c>
      <c r="X33" s="164" t="str">
        <f>IFERROR(__xludf.DUMMYFUNCTION("GOOGLETRANSLATE(D33,""zh-tw"",""KO"")"),"구현되지 않음")</f>
        <v>구현되지 않음</v>
      </c>
      <c r="Y33" s="141">
        <v>27.0</v>
      </c>
      <c r="Z33" s="142" t="s">
        <v>1663</v>
      </c>
      <c r="AA33" s="143" t="s">
        <v>1664</v>
      </c>
      <c r="AB33" s="144" t="s">
        <v>1665</v>
      </c>
      <c r="AC33" s="135">
        <v>27.0</v>
      </c>
      <c r="AD33" s="189" t="s">
        <v>1666</v>
      </c>
      <c r="AE33" s="190" t="s">
        <v>1667</v>
      </c>
      <c r="AF33" s="166" t="s">
        <v>1668</v>
      </c>
      <c r="AG33" s="135">
        <v>27.0</v>
      </c>
      <c r="AH33" s="175" t="s">
        <v>1669</v>
      </c>
      <c r="AI33" s="201" t="s">
        <v>1670</v>
      </c>
      <c r="AJ33" s="206" t="s">
        <v>1310</v>
      </c>
      <c r="AK33" s="148">
        <v>27.0</v>
      </c>
      <c r="AL33" s="171" t="s">
        <v>1671</v>
      </c>
      <c r="AM33" s="203" t="s">
        <v>1672</v>
      </c>
      <c r="AN33" s="7" t="s">
        <v>1673</v>
      </c>
      <c r="AO33" s="135">
        <v>27.0</v>
      </c>
      <c r="AP33" s="204" t="s">
        <v>1674</v>
      </c>
      <c r="AQ33" s="200" t="s">
        <v>1675</v>
      </c>
      <c r="AR33" s="205" t="s">
        <v>1676</v>
      </c>
      <c r="AS33" s="135">
        <v>27.0</v>
      </c>
      <c r="AT33" s="136" t="s">
        <v>1677</v>
      </c>
      <c r="AU33" s="200" t="s">
        <v>1678</v>
      </c>
      <c r="AV33" s="205" t="s">
        <v>1679</v>
      </c>
      <c r="AW33" s="153"/>
      <c r="AX33" s="153"/>
    </row>
    <row r="34">
      <c r="A34" s="135">
        <v>28.0</v>
      </c>
      <c r="B34" s="151" t="s">
        <v>1680</v>
      </c>
      <c r="C34" s="165" t="s">
        <v>1681</v>
      </c>
      <c r="D34" s="153" t="s">
        <v>1289</v>
      </c>
      <c r="E34" s="135">
        <v>28.0</v>
      </c>
      <c r="F34" s="199" t="s">
        <v>1682</v>
      </c>
      <c r="G34" s="165" t="s">
        <v>1683</v>
      </c>
      <c r="H34" s="164" t="s">
        <v>1292</v>
      </c>
      <c r="I34" s="135">
        <v>28.0</v>
      </c>
      <c r="J34" s="136" t="s">
        <v>1684</v>
      </c>
      <c r="K34" s="200" t="s">
        <v>1685</v>
      </c>
      <c r="L34" s="205" t="s">
        <v>1660</v>
      </c>
      <c r="M34" s="135">
        <v>28.0</v>
      </c>
      <c r="N34" s="151" t="str">
        <f>IFERROR(__xludf.DUMMYFUNCTION("GOOGLETRANSLATE(B34,""zh-tw"",""zh"")"),"撒娇吧-和妹妹亲吻")</f>
        <v>撒娇吧-和妹妹亲吻</v>
      </c>
      <c r="O34" s="165" t="str">
        <f>IFERROR(__xludf.DUMMYFUNCTION("GOOGLETRANSLATE(C34,""zh-tw"",""zh"")"),"于""向妹妹撒娇吧""中，选择和妹妹亲吻")</f>
        <v>于"向妹妹撒娇吧"中，选择和妹妹亲吻</v>
      </c>
      <c r="P34" s="164" t="str">
        <f>IFERROR(__xludf.DUMMYFUNCTION("GOOGLETRANSLATE(D34,""zh-tw"",""zh"")"),"未实装")</f>
        <v>未实装</v>
      </c>
      <c r="Q34" s="135">
        <v>28.0</v>
      </c>
      <c r="R34" s="199" t="s">
        <v>1686</v>
      </c>
      <c r="S34" s="165" t="s">
        <v>1687</v>
      </c>
      <c r="T34" s="181" t="str">
        <f>IFERROR(__xludf.DUMMYFUNCTION("GOOGLETRANSLATE(D34,""zh-tw"",""es-MX"")"),"No implementado")</f>
        <v>No implementado</v>
      </c>
      <c r="U34" s="135">
        <v>28.0</v>
      </c>
      <c r="V34" s="199" t="str">
        <f>IFERROR(__xludf.DUMMYFUNCTION("GOOGLETRANSLATE(B34,""zh-tw"",""KO"")"),"애정을 표현하세요 - 여동생에게 뽀뽀해 주세요")</f>
        <v>애정을 표현하세요 - 여동생에게 뽀뽀해 주세요</v>
      </c>
      <c r="W34" s="165" t="str">
        <f>IFERROR(__xludf.DUMMYFUNCTION("GOOGLETRANSLATE(C34,""zh-tw"",""KO"")"),"""여동생에게 애정을 표현하세요"" 시나리오에서 여동생에게 키스하는 것을 선택하세요.")</f>
        <v>"여동생에게 애정을 표현하세요" 시나리오에서 여동생에게 키스하는 것을 선택하세요.</v>
      </c>
      <c r="X34" s="164" t="str">
        <f>IFERROR(__xludf.DUMMYFUNCTION("GOOGLETRANSLATE(D34,""zh-tw"",""KO"")"),"구현되지 않음")</f>
        <v>구현되지 않음</v>
      </c>
      <c r="Y34" s="141">
        <v>28.0</v>
      </c>
      <c r="Z34" s="142" t="s">
        <v>1688</v>
      </c>
      <c r="AA34" s="143" t="s">
        <v>1689</v>
      </c>
      <c r="AB34" s="144" t="s">
        <v>1665</v>
      </c>
      <c r="AC34" s="135">
        <v>28.0</v>
      </c>
      <c r="AD34" s="189" t="s">
        <v>1690</v>
      </c>
      <c r="AE34" s="190" t="s">
        <v>1691</v>
      </c>
      <c r="AF34" s="166" t="s">
        <v>1668</v>
      </c>
      <c r="AG34" s="135">
        <v>28.0</v>
      </c>
      <c r="AH34" s="175" t="s">
        <v>1692</v>
      </c>
      <c r="AI34" s="201" t="s">
        <v>1693</v>
      </c>
      <c r="AJ34" s="206" t="s">
        <v>1310</v>
      </c>
      <c r="AK34" s="148">
        <v>28.0</v>
      </c>
      <c r="AL34" s="171" t="s">
        <v>1694</v>
      </c>
      <c r="AM34" s="203" t="s">
        <v>1695</v>
      </c>
      <c r="AN34" s="7" t="s">
        <v>1673</v>
      </c>
      <c r="AO34" s="135">
        <v>28.0</v>
      </c>
      <c r="AP34" s="204" t="s">
        <v>1696</v>
      </c>
      <c r="AQ34" s="200" t="s">
        <v>1697</v>
      </c>
      <c r="AR34" s="205" t="s">
        <v>1676</v>
      </c>
      <c r="AS34" s="135">
        <v>28.0</v>
      </c>
      <c r="AT34" s="136" t="s">
        <v>1698</v>
      </c>
      <c r="AU34" s="200" t="s">
        <v>1699</v>
      </c>
      <c r="AV34" s="205" t="s">
        <v>1679</v>
      </c>
      <c r="AW34" s="153"/>
      <c r="AX34" s="153"/>
    </row>
    <row r="35">
      <c r="A35" s="135">
        <v>29.0</v>
      </c>
      <c r="B35" s="151" t="s">
        <v>1700</v>
      </c>
      <c r="C35" s="165" t="s">
        <v>1701</v>
      </c>
      <c r="D35" s="153" t="s">
        <v>1702</v>
      </c>
      <c r="E35" s="135">
        <v>29.0</v>
      </c>
      <c r="F35" s="199" t="s">
        <v>1703</v>
      </c>
      <c r="G35" s="165" t="s">
        <v>1704</v>
      </c>
      <c r="H35" s="164" t="s">
        <v>1705</v>
      </c>
      <c r="I35" s="135">
        <v>29.0</v>
      </c>
      <c r="J35" s="136" t="s">
        <v>1706</v>
      </c>
      <c r="K35" s="200" t="s">
        <v>1707</v>
      </c>
      <c r="L35" s="205" t="s">
        <v>1708</v>
      </c>
      <c r="M35" s="135">
        <v>29.0</v>
      </c>
      <c r="N35" s="151" t="str">
        <f>IFERROR(__xludf.DUMMYFUNCTION("GOOGLETRANSLATE(B35,""zh-tw"",""zh"")"),"撒娇吧-妹妹的膝枕")</f>
        <v>撒娇吧-妹妹的膝枕</v>
      </c>
      <c r="O35" s="165" t="str">
        <f>IFERROR(__xludf.DUMMYFUNCTION("GOOGLETRANSLATE(C35,""zh-tw"",""zh"")"),"于""向妹妹撒娇吧""中，选择妹妹的膝枕，使用""妹妹使用券""即可触发")</f>
        <v>于"向妹妹撒娇吧"中，选择妹妹的膝枕，使用"妹妹使用券"即可触发</v>
      </c>
      <c r="P35" s="164" t="str">
        <f>IFERROR(__xludf.DUMMYFUNCTION("GOOGLETRANSLATE(D35,""zh-tw"",""zh"")"),"触发剧情
(目前版本必须使用道具，无法平时触发)")</f>
        <v>触发剧情
(目前版本必须使用道具，无法平时触发)</v>
      </c>
      <c r="Q35" s="135">
        <v>29.0</v>
      </c>
      <c r="R35" s="199" t="s">
        <v>1709</v>
      </c>
      <c r="S35" s="165" t="s">
        <v>1710</v>
      </c>
      <c r="T35" s="181" t="str">
        <f>IFERROR(__xludf.DUMMYFUNCTION("GOOGLETRANSLATE(D35,""zh-tw"",""es-MX"")"),"Activar el evento
(Actualmente, esto requiere el uso de un objeto y no se puede activar de forma normal).")</f>
        <v>Activar el evento
(Actualmente, esto requiere el uso de un objeto y no se puede activar de forma normal).</v>
      </c>
      <c r="U35" s="135">
        <v>29.0</v>
      </c>
      <c r="V35" s="199" t="str">
        <f>IFERROR(__xludf.DUMMYFUNCTION("GOOGLETRANSLATE(B35,""zh-tw"",""KO"")"),"귀여워라 - 여동생 무릎베개")</f>
        <v>귀여워라 - 여동생 무릎베개</v>
      </c>
      <c r="W35" s="165" t="str">
        <f>IFERROR(__xludf.DUMMYFUNCTION("GOOGLETRANSLATE(C35,""zh-tw"",""KO"")"),"""여동생에게 귀엽게 대해줘"" 이벤트에서 여동생의 무릎베개를 선택하고 ""여동생 사용 쿠폰""을 사용하면 이벤트가 발생합니다.")</f>
        <v>"여동생에게 귀엽게 대해줘" 이벤트에서 여동생의 무릎베개를 선택하고 "여동생 사용 쿠폰"을 사용하면 이벤트가 발생합니다.</v>
      </c>
      <c r="X35" s="164" t="str">
        <f>IFERROR(__xludf.DUMMYFUNCTION("GOOGLETRANSLATE(D35,""zh-tw"",""KO"")"),"이벤트 발생
(현재는 아이템을 사용해야 하며, 일반적인 방법으로는 발생시킬 수 없습니다.)")</f>
        <v>이벤트 발생
(현재는 아이템을 사용해야 하며, 일반적인 방법으로는 발생시킬 수 없습니다.)</v>
      </c>
      <c r="Y35" s="141">
        <v>29.0</v>
      </c>
      <c r="Z35" s="142" t="s">
        <v>1711</v>
      </c>
      <c r="AA35" s="143" t="s">
        <v>1712</v>
      </c>
      <c r="AB35" s="208" t="s">
        <v>1713</v>
      </c>
      <c r="AC35" s="135">
        <v>29.0</v>
      </c>
      <c r="AD35" s="189" t="s">
        <v>1714</v>
      </c>
      <c r="AE35" s="190" t="s">
        <v>1715</v>
      </c>
      <c r="AF35" s="166" t="s">
        <v>1716</v>
      </c>
      <c r="AG35" s="135">
        <v>29.0</v>
      </c>
      <c r="AH35" s="175" t="s">
        <v>1717</v>
      </c>
      <c r="AI35" s="201" t="s">
        <v>1718</v>
      </c>
      <c r="AJ35" s="206" t="s">
        <v>1719</v>
      </c>
      <c r="AK35" s="148">
        <v>29.0</v>
      </c>
      <c r="AL35" s="171" t="s">
        <v>1720</v>
      </c>
      <c r="AM35" s="203" t="s">
        <v>1721</v>
      </c>
      <c r="AN35" s="7" t="s">
        <v>1722</v>
      </c>
      <c r="AO35" s="135">
        <v>29.0</v>
      </c>
      <c r="AP35" s="204" t="s">
        <v>1723</v>
      </c>
      <c r="AQ35" s="200" t="s">
        <v>1724</v>
      </c>
      <c r="AR35" s="205" t="s">
        <v>1725</v>
      </c>
      <c r="AS35" s="135">
        <v>29.0</v>
      </c>
      <c r="AT35" s="136" t="s">
        <v>1726</v>
      </c>
      <c r="AU35" s="200" t="s">
        <v>1727</v>
      </c>
      <c r="AV35" s="205" t="s">
        <v>1728</v>
      </c>
      <c r="AW35" s="153"/>
      <c r="AX35" s="153"/>
    </row>
    <row r="36">
      <c r="A36" s="209"/>
      <c r="B36" s="210"/>
      <c r="C36" s="210"/>
      <c r="D36" s="210"/>
      <c r="E36" s="209"/>
      <c r="F36" s="210"/>
      <c r="G36" s="210"/>
      <c r="H36" s="210"/>
      <c r="I36" s="209"/>
      <c r="J36" s="210"/>
      <c r="K36" s="210"/>
      <c r="L36" s="210"/>
      <c r="M36" s="209"/>
      <c r="N36" s="210"/>
      <c r="O36" s="87"/>
      <c r="P36" s="87"/>
      <c r="Q36" s="209"/>
      <c r="R36" s="87"/>
      <c r="S36" s="210"/>
      <c r="T36" s="87"/>
      <c r="U36" s="209"/>
      <c r="V36" s="87"/>
      <c r="W36" s="87"/>
      <c r="X36" s="87"/>
      <c r="Y36" s="211"/>
      <c r="Z36" s="211"/>
      <c r="AA36" s="211"/>
      <c r="AB36" s="211"/>
      <c r="AC36" s="212"/>
      <c r="AD36" s="213"/>
      <c r="AE36" s="213"/>
      <c r="AF36" s="213"/>
      <c r="AG36" s="209"/>
      <c r="AH36" s="210"/>
      <c r="AI36" s="210"/>
      <c r="AJ36" s="210"/>
      <c r="AK36" s="214"/>
      <c r="AL36" s="214"/>
      <c r="AM36" s="215"/>
      <c r="AN36" s="215"/>
      <c r="AO36" s="211"/>
      <c r="AP36" s="211"/>
      <c r="AQ36" s="211"/>
      <c r="AR36" s="211"/>
      <c r="AS36" s="211"/>
      <c r="AT36" s="211"/>
      <c r="AU36" s="211"/>
      <c r="AV36" s="211"/>
      <c r="AW36" s="210"/>
      <c r="AX36" s="210"/>
    </row>
    <row r="37">
      <c r="A37" s="129" t="s">
        <v>1729</v>
      </c>
      <c r="B37" s="130" t="s">
        <v>1730</v>
      </c>
      <c r="E37" s="129" t="s">
        <v>1729</v>
      </c>
      <c r="F37" s="129" t="s">
        <v>1731</v>
      </c>
      <c r="I37" s="129" t="s">
        <v>1729</v>
      </c>
      <c r="J37" s="129" t="s">
        <v>1732</v>
      </c>
      <c r="M37" s="129" t="s">
        <v>1729</v>
      </c>
      <c r="N37" s="130" t="str">
        <f>IFERROR(__xludf.DUMMYFUNCTION("GOOGLETRANSLATE(B37,""zh-tw"",""zh"")"),"厕所相关")</f>
        <v>厕所相关</v>
      </c>
      <c r="Q37" s="129" t="s">
        <v>1729</v>
      </c>
      <c r="R37" s="129" t="s">
        <v>1733</v>
      </c>
      <c r="U37" s="129" t="s">
        <v>1729</v>
      </c>
      <c r="V37" s="129" t="s">
        <v>1734</v>
      </c>
      <c r="Y37" s="216" t="s">
        <v>1729</v>
      </c>
      <c r="Z37" s="216" t="s">
        <v>1735</v>
      </c>
      <c r="AC37" s="130" t="s">
        <v>1729</v>
      </c>
      <c r="AD37" s="130" t="s">
        <v>1736</v>
      </c>
      <c r="AG37" s="129" t="s">
        <v>1729</v>
      </c>
      <c r="AH37" s="217" t="s">
        <v>1737</v>
      </c>
      <c r="AK37" s="218" t="s">
        <v>1729</v>
      </c>
      <c r="AL37" s="134" t="s">
        <v>1738</v>
      </c>
      <c r="AO37" s="130" t="s">
        <v>1729</v>
      </c>
      <c r="AP37" s="129" t="s">
        <v>1739</v>
      </c>
      <c r="AS37" s="129" t="s">
        <v>1729</v>
      </c>
      <c r="AT37" s="129" t="s">
        <v>1740</v>
      </c>
      <c r="AW37" s="130"/>
      <c r="AX37" s="130"/>
    </row>
    <row r="38">
      <c r="A38" s="135">
        <v>1.0</v>
      </c>
      <c r="B38" s="136" t="s">
        <v>1741</v>
      </c>
      <c r="C38" s="137" t="s">
        <v>1742</v>
      </c>
      <c r="D38" s="138" t="s">
        <v>1743</v>
      </c>
      <c r="E38" s="135">
        <v>1.0</v>
      </c>
      <c r="F38" s="136" t="s">
        <v>1744</v>
      </c>
      <c r="G38" s="137" t="s">
        <v>1745</v>
      </c>
      <c r="H38" s="138" t="s">
        <v>1746</v>
      </c>
      <c r="I38" s="135">
        <v>1.0</v>
      </c>
      <c r="J38" s="136" t="s">
        <v>1747</v>
      </c>
      <c r="K38" s="137" t="s">
        <v>1748</v>
      </c>
      <c r="L38" s="138" t="s">
        <v>1749</v>
      </c>
      <c r="M38" s="135">
        <v>1.0</v>
      </c>
      <c r="N38" s="136" t="str">
        <f>IFERROR(__xludf.DUMMYFUNCTION("GOOGLETRANSLATE(B38,""zh-tw"",""zh"")"),"哥要加油")</f>
        <v>哥要加油</v>
      </c>
      <c r="O38" s="154" t="str">
        <f>IFERROR(__xludf.DUMMYFUNCTION("GOOGLETRANSLATE(C38,""zh-tw"",""zh"")"),"于厕所待的时间过长，并持续N天")</f>
        <v>于厕所待的时间过长，并持续N天</v>
      </c>
      <c r="P38" s="100" t="s">
        <v>1750</v>
      </c>
      <c r="Q38" s="135">
        <v>1.0</v>
      </c>
      <c r="R38" s="136" t="s">
        <v>1751</v>
      </c>
      <c r="S38" s="139" t="s">
        <v>1752</v>
      </c>
      <c r="T38" s="100" t="str">
        <f>IFERROR(__xludf.DUMMYFUNCTION("GOOGLETRANSLATE(D38,""zh-tw"",""es-MX"")"),"Alrededor del cuarto día, la hermana menor malinterpretará la situación y pensará que su hermano está enfermo. (No hay más detalles sobre el juego disponibles).")</f>
        <v>Alrededor del cuarto día, la hermana menor malinterpretará la situación y pensará que su hermano está enfermo. (No hay más detalles sobre el juego disponibles).</v>
      </c>
      <c r="U38" s="135">
        <v>1.0</v>
      </c>
      <c r="V38" s="156" t="s">
        <v>1753</v>
      </c>
      <c r="W38" s="154" t="s">
        <v>1754</v>
      </c>
      <c r="X38" s="100" t="s">
        <v>1755</v>
      </c>
      <c r="Y38" s="135">
        <v>1.0</v>
      </c>
      <c r="Z38" s="219" t="s">
        <v>1756</v>
      </c>
      <c r="AA38" s="220" t="s">
        <v>1757</v>
      </c>
      <c r="AB38" s="85" t="s">
        <v>1758</v>
      </c>
      <c r="AC38" s="135">
        <v>1.0</v>
      </c>
      <c r="AD38" s="145" t="s">
        <v>1759</v>
      </c>
      <c r="AE38" s="146" t="s">
        <v>1760</v>
      </c>
      <c r="AF38" s="147" t="s">
        <v>1761</v>
      </c>
      <c r="AG38" s="135">
        <v>1.0</v>
      </c>
      <c r="AH38" s="136" t="s">
        <v>1762</v>
      </c>
      <c r="AI38" s="137" t="s">
        <v>1763</v>
      </c>
      <c r="AJ38" s="138" t="s">
        <v>1764</v>
      </c>
      <c r="AK38" s="148">
        <v>1.0</v>
      </c>
      <c r="AL38" s="149" t="s">
        <v>1765</v>
      </c>
      <c r="AM38" s="173" t="s">
        <v>1766</v>
      </c>
      <c r="AN38" s="172" t="s">
        <v>1767</v>
      </c>
      <c r="AO38" s="135">
        <v>1.0</v>
      </c>
      <c r="AP38" s="151" t="s">
        <v>1768</v>
      </c>
      <c r="AQ38" s="165" t="s">
        <v>1769</v>
      </c>
      <c r="AR38" s="153" t="s">
        <v>1770</v>
      </c>
      <c r="AS38" s="135">
        <v>1.0</v>
      </c>
      <c r="AT38" s="140" t="s">
        <v>1771</v>
      </c>
      <c r="AU38" s="137" t="s">
        <v>1772</v>
      </c>
      <c r="AV38" s="97" t="s">
        <v>1773</v>
      </c>
      <c r="AW38" s="138"/>
      <c r="AX38" s="138"/>
    </row>
    <row r="39">
      <c r="A39" s="178">
        <v>2.0</v>
      </c>
      <c r="B39" s="136" t="s">
        <v>1774</v>
      </c>
      <c r="C39" s="137" t="s">
        <v>1775</v>
      </c>
      <c r="D39" s="138" t="s">
        <v>1776</v>
      </c>
      <c r="E39" s="178">
        <v>2.0</v>
      </c>
      <c r="F39" s="136" t="s">
        <v>1777</v>
      </c>
      <c r="G39" s="137" t="s">
        <v>1778</v>
      </c>
      <c r="H39" s="138" t="s">
        <v>1779</v>
      </c>
      <c r="I39" s="178">
        <v>2.0</v>
      </c>
      <c r="J39" s="136" t="s">
        <v>1780</v>
      </c>
      <c r="K39" s="137" t="s">
        <v>1781</v>
      </c>
      <c r="L39" s="138" t="s">
        <v>1782</v>
      </c>
      <c r="M39" s="178">
        <v>2.0</v>
      </c>
      <c r="N39" s="136" t="str">
        <f>IFERROR(__xludf.DUMMYFUNCTION("GOOGLETRANSLATE(B39,""zh-tw"",""zh"")"),"发情的妹妹-1")</f>
        <v>发情的妹妹-1</v>
      </c>
      <c r="O39" s="154" t="str">
        <f>IFERROR(__xludf.DUMMYFUNCTION("GOOGLETRANSLATE(C39,""zh-tw"",""zh"")"),"「喝点什么」给妹妹喂「粉色金平糖」后，第一次必定触发，然后请点选空白处回到召唤妹妹的画面，会触发剧情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9" s="100" t="str">
        <f>IFERROR(__xludf.DUMMYFUNCTION("GOOGLETRANSLATE(D39,""zh-tw"",""zh"")"),"触发妹妹在厕所解决需求的剧情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9" s="178">
        <v>2.0</v>
      </c>
      <c r="R39" s="136" t="s">
        <v>1783</v>
      </c>
      <c r="S39" s="154" t="s">
        <v>1784</v>
      </c>
      <c r="T39" s="100" t="s">
        <v>1785</v>
      </c>
      <c r="U39" s="178">
        <v>2.0</v>
      </c>
      <c r="V39" s="140" t="s">
        <v>1786</v>
      </c>
      <c r="W39" s="139" t="s">
        <v>1787</v>
      </c>
      <c r="X39" s="97" t="s">
        <v>1788</v>
      </c>
      <c r="Y39" s="135">
        <v>2.0</v>
      </c>
      <c r="Z39" s="219" t="s">
        <v>1789</v>
      </c>
      <c r="AA39" s="220" t="s">
        <v>1790</v>
      </c>
      <c r="AB39" s="221" t="s">
        <v>1791</v>
      </c>
      <c r="AC39" s="135">
        <v>2.0</v>
      </c>
      <c r="AD39" s="145" t="s">
        <v>1792</v>
      </c>
      <c r="AE39" s="146" t="s">
        <v>1793</v>
      </c>
      <c r="AF39" s="147" t="s">
        <v>1794</v>
      </c>
      <c r="AG39" s="178">
        <v>2.0</v>
      </c>
      <c r="AH39" s="140" t="s">
        <v>1795</v>
      </c>
      <c r="AI39" s="137" t="s">
        <v>1796</v>
      </c>
      <c r="AJ39" s="138" t="s">
        <v>1797</v>
      </c>
      <c r="AK39" s="191">
        <v>2.0</v>
      </c>
      <c r="AL39" s="149" t="s">
        <v>1798</v>
      </c>
      <c r="AM39" s="169" t="s">
        <v>1799</v>
      </c>
      <c r="AN39" s="172" t="s">
        <v>1800</v>
      </c>
      <c r="AO39" s="135">
        <v>2.0</v>
      </c>
      <c r="AP39" s="151" t="s">
        <v>1801</v>
      </c>
      <c r="AQ39" s="165" t="s">
        <v>1802</v>
      </c>
      <c r="AR39" s="164" t="s">
        <v>1803</v>
      </c>
      <c r="AS39" s="135">
        <v>2.0</v>
      </c>
      <c r="AT39" s="140" t="s">
        <v>1804</v>
      </c>
      <c r="AU39" s="137" t="s">
        <v>1805</v>
      </c>
      <c r="AV39" s="97" t="s">
        <v>1806</v>
      </c>
      <c r="AW39" s="138"/>
      <c r="AX39" s="138"/>
    </row>
    <row r="40">
      <c r="A40" s="135">
        <v>3.0</v>
      </c>
      <c r="B40" s="136" t="s">
        <v>1807</v>
      </c>
      <c r="C40" s="137" t="s">
        <v>1808</v>
      </c>
      <c r="D40" s="138" t="s">
        <v>1809</v>
      </c>
      <c r="E40" s="135">
        <v>3.0</v>
      </c>
      <c r="F40" s="136" t="s">
        <v>1810</v>
      </c>
      <c r="G40" s="137" t="s">
        <v>1811</v>
      </c>
      <c r="H40" s="138" t="s">
        <v>1812</v>
      </c>
      <c r="I40" s="135">
        <v>3.0</v>
      </c>
      <c r="J40" s="136" t="s">
        <v>1813</v>
      </c>
      <c r="K40" s="139" t="s">
        <v>1814</v>
      </c>
      <c r="L40" s="138" t="s">
        <v>1815</v>
      </c>
      <c r="M40" s="135">
        <v>3.0</v>
      </c>
      <c r="N40" s="136" t="str">
        <f>IFERROR(__xludf.DUMMYFUNCTION("GOOGLETRANSLATE(B40,""zh-tw"",""zh"")"),"发情的妹妹-2")</f>
        <v>发情的妹妹-2</v>
      </c>
      <c r="O40" s="154" t="str">
        <f>IFERROR(__xludf.DUMMYFUNCTION("GOOGLETRANSLATE(C40,""zh-tw"",""zh"")"),"承上，当紫心达到一定程度后，哥哥能进入并且让妹妹服务。")</f>
        <v>承上，当紫心达到一定程度后，哥哥能进入并且让妹妹服务。</v>
      </c>
      <c r="P40" s="100" t="str">
        <f>IFERROR(__xludf.DUMMYFUNCTION("GOOGLETRANSLATE(D40,""zh-tw"",""zh"")"),"使用手部进行特殊剧情")</f>
        <v>使用手部进行特殊剧情</v>
      </c>
      <c r="Q40" s="135">
        <v>3.0</v>
      </c>
      <c r="R40" s="156" t="s">
        <v>1816</v>
      </c>
      <c r="S40" s="137" t="s">
        <v>1817</v>
      </c>
      <c r="T40" s="100" t="s">
        <v>1818</v>
      </c>
      <c r="U40" s="135">
        <v>3.0</v>
      </c>
      <c r="V40" s="140" t="s">
        <v>1819</v>
      </c>
      <c r="W40" s="139" t="s">
        <v>1820</v>
      </c>
      <c r="X40" s="97" t="s">
        <v>1821</v>
      </c>
      <c r="Y40" s="135">
        <v>3.0</v>
      </c>
      <c r="Z40" s="219" t="s">
        <v>1822</v>
      </c>
      <c r="AA40" s="220" t="s">
        <v>1823</v>
      </c>
      <c r="AB40" s="221" t="s">
        <v>1824</v>
      </c>
      <c r="AC40" s="135">
        <v>3.0</v>
      </c>
      <c r="AD40" s="145" t="s">
        <v>1825</v>
      </c>
      <c r="AE40" s="146" t="s">
        <v>1826</v>
      </c>
      <c r="AF40" s="147" t="s">
        <v>1827</v>
      </c>
      <c r="AG40" s="135">
        <v>3.0</v>
      </c>
      <c r="AH40" s="140" t="s">
        <v>1828</v>
      </c>
      <c r="AI40" s="137" t="s">
        <v>1829</v>
      </c>
      <c r="AJ40" s="138" t="s">
        <v>1830</v>
      </c>
      <c r="AK40" s="148">
        <v>3.0</v>
      </c>
      <c r="AL40" s="171" t="s">
        <v>1831</v>
      </c>
      <c r="AM40" s="169" t="s">
        <v>1832</v>
      </c>
      <c r="AN40" s="172" t="s">
        <v>1833</v>
      </c>
      <c r="AO40" s="135">
        <v>3.0</v>
      </c>
      <c r="AP40" s="151" t="s">
        <v>1834</v>
      </c>
      <c r="AQ40" s="165" t="s">
        <v>1835</v>
      </c>
      <c r="AR40" s="153" t="s">
        <v>1836</v>
      </c>
      <c r="AS40" s="135">
        <v>3.0</v>
      </c>
      <c r="AT40" s="140" t="s">
        <v>1837</v>
      </c>
      <c r="AU40" s="139" t="s">
        <v>1838</v>
      </c>
      <c r="AV40" s="138" t="s">
        <v>1839</v>
      </c>
      <c r="AW40" s="138"/>
      <c r="AX40" s="138"/>
    </row>
    <row r="41">
      <c r="A41" s="178">
        <v>4.0</v>
      </c>
      <c r="B41" s="136" t="s">
        <v>1840</v>
      </c>
      <c r="C41" s="137" t="s">
        <v>1841</v>
      </c>
      <c r="D41" s="97" t="s">
        <v>1842</v>
      </c>
      <c r="E41" s="178">
        <v>4.0</v>
      </c>
      <c r="F41" s="136" t="s">
        <v>1843</v>
      </c>
      <c r="G41" s="137" t="s">
        <v>1844</v>
      </c>
      <c r="H41" s="138" t="s">
        <v>1845</v>
      </c>
      <c r="I41" s="178">
        <v>4.0</v>
      </c>
      <c r="J41" s="136" t="s">
        <v>1846</v>
      </c>
      <c r="K41" s="137" t="s">
        <v>1847</v>
      </c>
      <c r="L41" s="97" t="s">
        <v>1848</v>
      </c>
      <c r="M41" s="178">
        <v>4.0</v>
      </c>
      <c r="N41" s="136" t="str">
        <f>IFERROR(__xludf.DUMMYFUNCTION("GOOGLETRANSLATE(B41,""zh-tw"",""zh"")"),"发情的妹妹-3")</f>
        <v>发情的妹妹-3</v>
      </c>
      <c r="O41" s="154" t="str">
        <f>IFERROR(__xludf.DUMMYFUNCTION("GOOGLETRANSLATE(C41,""zh-tw"",""zh"")"),"承第1点，若此时遇到蟑螂的突击，触发一种分歧")</f>
        <v>承第1点，若此时遇到蟑螂的突击，触发一种分歧</v>
      </c>
      <c r="P41" s="100" t="str">
        <f>IFERROR(__xludf.DUMMYFUNCTION("GOOGLETRANSLATE(D41,""zh-tw"",""zh"")"),"触发打蟑螂剧情
备注：无须发现Z的前置操作
(未实装)")</f>
        <v>触发打蟑螂剧情
备注：无须发现Z的前置操作
(未实装)</v>
      </c>
      <c r="Q41" s="178">
        <v>4.0</v>
      </c>
      <c r="R41" s="156" t="s">
        <v>1849</v>
      </c>
      <c r="S41" s="137" t="s">
        <v>1850</v>
      </c>
      <c r="T41" s="100" t="s">
        <v>1851</v>
      </c>
      <c r="U41" s="178">
        <v>4.0</v>
      </c>
      <c r="V41" s="140" t="s">
        <v>1852</v>
      </c>
      <c r="W41" s="139" t="s">
        <v>1853</v>
      </c>
      <c r="X41" s="97" t="s">
        <v>1854</v>
      </c>
      <c r="Y41" s="135">
        <v>4.0</v>
      </c>
      <c r="Z41" s="219" t="s">
        <v>1855</v>
      </c>
      <c r="AA41" s="220" t="s">
        <v>1856</v>
      </c>
      <c r="AB41" s="221" t="s">
        <v>1857</v>
      </c>
      <c r="AC41" s="135">
        <v>4.0</v>
      </c>
      <c r="AD41" s="145" t="s">
        <v>1858</v>
      </c>
      <c r="AE41" s="146" t="s">
        <v>1859</v>
      </c>
      <c r="AF41" s="147" t="s">
        <v>1860</v>
      </c>
      <c r="AG41" s="178">
        <v>4.0</v>
      </c>
      <c r="AH41" s="140" t="s">
        <v>1861</v>
      </c>
      <c r="AI41" s="137" t="s">
        <v>1862</v>
      </c>
      <c r="AJ41" s="138" t="s">
        <v>1863</v>
      </c>
      <c r="AK41" s="191">
        <v>4.0</v>
      </c>
      <c r="AL41" s="171" t="s">
        <v>1864</v>
      </c>
      <c r="AM41" s="173" t="s">
        <v>1865</v>
      </c>
      <c r="AN41" s="170" t="s">
        <v>1866</v>
      </c>
      <c r="AO41" s="135">
        <v>4.0</v>
      </c>
      <c r="AP41" s="151" t="s">
        <v>1867</v>
      </c>
      <c r="AQ41" s="152" t="s">
        <v>1868</v>
      </c>
      <c r="AR41" s="153" t="s">
        <v>1869</v>
      </c>
      <c r="AS41" s="135">
        <v>4.0</v>
      </c>
      <c r="AT41" s="140" t="s">
        <v>1870</v>
      </c>
      <c r="AU41" s="139" t="s">
        <v>1871</v>
      </c>
      <c r="AV41" s="97" t="s">
        <v>1872</v>
      </c>
      <c r="AW41" s="97"/>
      <c r="AX41" s="97"/>
    </row>
    <row r="42">
      <c r="A42" s="135">
        <v>5.0</v>
      </c>
      <c r="B42" s="136" t="s">
        <v>1873</v>
      </c>
      <c r="C42" s="137" t="s">
        <v>1874</v>
      </c>
      <c r="D42" s="138" t="s">
        <v>1875</v>
      </c>
      <c r="E42" s="135">
        <v>5.0</v>
      </c>
      <c r="F42" s="136" t="s">
        <v>1876</v>
      </c>
      <c r="G42" s="137" t="s">
        <v>1877</v>
      </c>
      <c r="H42" s="138" t="s">
        <v>1878</v>
      </c>
      <c r="I42" s="135">
        <v>5.0</v>
      </c>
      <c r="J42" s="136" t="s">
        <v>1879</v>
      </c>
      <c r="K42" s="137" t="s">
        <v>1880</v>
      </c>
      <c r="L42" s="138" t="s">
        <v>1881</v>
      </c>
      <c r="M42" s="135">
        <v>5.0</v>
      </c>
      <c r="N42" s="136" t="str">
        <f>IFERROR(__xludf.DUMMYFUNCTION("GOOGLETRANSLATE(B42,""zh-tw"",""zh"")"),"憋不住了-1")</f>
        <v>憋不住了-1</v>
      </c>
      <c r="O42" s="139" t="s">
        <v>1882</v>
      </c>
      <c r="P42" s="100" t="str">
        <f>IFERROR(__xludf.DUMMYFUNCTION("GOOGLETRANSLATE(D42,""zh-tw"",""zh"")"),"一段时间后强制触发腹泻事件，大量损失体力并减少夜晚的自由活动时间。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2" s="135">
        <v>5.0</v>
      </c>
      <c r="R42" s="136" t="s">
        <v>1883</v>
      </c>
      <c r="S42" s="139" t="s">
        <v>1884</v>
      </c>
      <c r="T42" s="100" t="str">
        <f>IFERROR(__xludf.DUMMYFUNCTION("GOOGLETRANSLATE(D42,""zh-tw"",""es-MX"")"),"Tras un tiempo, se desencadenará un episodio de diarrea, lo que provocará una importante pérdida de energía y reducirá el tiempo libre durante la noche.
Además, existe la posibilidad de que la hermana menor retenga la orina al mismo tiempo.")</f>
        <v>Tras un tiempo, se desencadenará un episodio de diarrea, lo que provocará una importante pérdida de energía y reducirá el tiempo libre durante la noche.
Además, existe la posibilidad de que la hermana menor retenga la orina al mismo tiempo.</v>
      </c>
      <c r="U42" s="135">
        <v>5.0</v>
      </c>
      <c r="V42" s="140" t="s">
        <v>1885</v>
      </c>
      <c r="W42" s="139" t="s">
        <v>1886</v>
      </c>
      <c r="X42" s="97" t="s">
        <v>1887</v>
      </c>
      <c r="Y42" s="135">
        <v>5.0</v>
      </c>
      <c r="Z42" s="219" t="s">
        <v>1888</v>
      </c>
      <c r="AA42" s="220" t="s">
        <v>1889</v>
      </c>
      <c r="AB42" s="221" t="s">
        <v>1890</v>
      </c>
      <c r="AC42" s="135">
        <v>5.0</v>
      </c>
      <c r="AD42" s="145" t="s">
        <v>1891</v>
      </c>
      <c r="AE42" s="146" t="s">
        <v>1892</v>
      </c>
      <c r="AF42" s="147" t="s">
        <v>1893</v>
      </c>
      <c r="AG42" s="135">
        <v>5.0</v>
      </c>
      <c r="AH42" s="136" t="s">
        <v>1894</v>
      </c>
      <c r="AI42" s="137" t="s">
        <v>1895</v>
      </c>
      <c r="AJ42" s="138" t="s">
        <v>1896</v>
      </c>
      <c r="AK42" s="148">
        <v>5.0</v>
      </c>
      <c r="AL42" s="149" t="s">
        <v>1897</v>
      </c>
      <c r="AM42" s="169" t="s">
        <v>1898</v>
      </c>
      <c r="AN42" s="172" t="s">
        <v>1899</v>
      </c>
      <c r="AO42" s="135">
        <v>5.0</v>
      </c>
      <c r="AP42" s="151" t="s">
        <v>1900</v>
      </c>
      <c r="AQ42" s="152" t="s">
        <v>1901</v>
      </c>
      <c r="AR42" s="153" t="s">
        <v>1902</v>
      </c>
      <c r="AS42" s="135">
        <v>5.0</v>
      </c>
      <c r="AT42" s="140" t="s">
        <v>1903</v>
      </c>
      <c r="AU42" s="137" t="s">
        <v>1904</v>
      </c>
      <c r="AV42" s="97" t="s">
        <v>1905</v>
      </c>
      <c r="AW42" s="138"/>
      <c r="AX42" s="138"/>
    </row>
    <row r="43">
      <c r="A43" s="178">
        <v>6.0</v>
      </c>
      <c r="B43" s="136" t="s">
        <v>1906</v>
      </c>
      <c r="C43" s="137" t="s">
        <v>1907</v>
      </c>
      <c r="D43" s="138" t="s">
        <v>1908</v>
      </c>
      <c r="E43" s="178">
        <v>6.0</v>
      </c>
      <c r="F43" s="136" t="s">
        <v>1909</v>
      </c>
      <c r="G43" s="137" t="s">
        <v>1910</v>
      </c>
      <c r="H43" s="138" t="s">
        <v>1911</v>
      </c>
      <c r="I43" s="178">
        <v>6.0</v>
      </c>
      <c r="J43" s="136" t="s">
        <v>1912</v>
      </c>
      <c r="K43" s="137" t="s">
        <v>1913</v>
      </c>
      <c r="L43" s="138" t="s">
        <v>1914</v>
      </c>
      <c r="M43" s="178">
        <v>6.0</v>
      </c>
      <c r="N43" s="136" t="str">
        <f>IFERROR(__xludf.DUMMYFUNCTION("GOOGLETRANSLATE(B43,""zh-tw"",""zh"")"),"憋不住了-2")</f>
        <v>憋不住了-2</v>
      </c>
      <c r="O43" s="154" t="str">
        <f>IFERROR(__xludf.DUMMYFUNCTION("GOOGLETRANSLATE(C43,""zh-tw"",""zh"")"),"如果食材还混入了辣椒，会进一步强化腹泻的副作用")</f>
        <v>如果食材还混入了辣椒，会进一步强化腹泻的副作用</v>
      </c>
      <c r="P43" s="100" t="str">
        <f>IFERROR(__xludf.DUMMYFUNCTION("GOOGLETRANSLATE(D43,""zh-tw"",""zh"")"),"隔天冒险时，哥哥会因为屁股痛无法奔跑。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3" s="178">
        <v>6.0</v>
      </c>
      <c r="R43" s="136" t="s">
        <v>1915</v>
      </c>
      <c r="S43" s="139" t="s">
        <v>1916</v>
      </c>
      <c r="T43" s="100" t="str">
        <f>IFERROR(__xludf.DUMMYFUNCTION("GOOGLETRANSLATE(D43,""zh-tw"",""es-MX"")"),"Al día siguiente, durante la aventura, el hermano mayor no podrá correr debido a un fuerte dolor en el trasero.
※Este es un estado anormal que se puede solucionar con cartas del tarot y leche de zanahoria.
※En la versión actual, este estado es permanent"&amp;"e; en el futuro se eliminará periódicamente.")</f>
        <v>Al día siguiente, durante la aventura, el hermano mayor no podrá correr debido a un fuerte dolor en el trasero.
※Este es un estado anormal que se puede solucionar con cartas del tarot y leche de zanahoria.
※En la versión actual, este estado es permanente; en el futuro se eliminará periódicamente.</v>
      </c>
      <c r="U43" s="178">
        <v>6.0</v>
      </c>
      <c r="V43" s="140" t="s">
        <v>1917</v>
      </c>
      <c r="W43" s="139" t="s">
        <v>1918</v>
      </c>
      <c r="X43" s="97" t="s">
        <v>1919</v>
      </c>
      <c r="Y43" s="135">
        <v>6.0</v>
      </c>
      <c r="Z43" s="219" t="s">
        <v>1920</v>
      </c>
      <c r="AA43" s="220" t="s">
        <v>1921</v>
      </c>
      <c r="AB43" s="144" t="s">
        <v>1922</v>
      </c>
      <c r="AC43" s="135">
        <v>6.0</v>
      </c>
      <c r="AD43" s="145" t="s">
        <v>1923</v>
      </c>
      <c r="AE43" s="146" t="s">
        <v>1924</v>
      </c>
      <c r="AF43" s="147" t="s">
        <v>1925</v>
      </c>
      <c r="AG43" s="178">
        <v>6.0</v>
      </c>
      <c r="AH43" s="136" t="s">
        <v>1926</v>
      </c>
      <c r="AI43" s="137" t="s">
        <v>1927</v>
      </c>
      <c r="AJ43" s="138" t="s">
        <v>1928</v>
      </c>
      <c r="AK43" s="191">
        <v>6.0</v>
      </c>
      <c r="AL43" s="149" t="s">
        <v>1929</v>
      </c>
      <c r="AM43" s="169" t="s">
        <v>1930</v>
      </c>
      <c r="AN43" s="172" t="s">
        <v>1931</v>
      </c>
      <c r="AO43" s="135">
        <v>6.0</v>
      </c>
      <c r="AP43" s="151" t="s">
        <v>1932</v>
      </c>
      <c r="AQ43" s="152" t="s">
        <v>1933</v>
      </c>
      <c r="AR43" s="164" t="s">
        <v>1934</v>
      </c>
      <c r="AS43" s="135">
        <v>6.0</v>
      </c>
      <c r="AT43" s="140" t="s">
        <v>1935</v>
      </c>
      <c r="AU43" s="137" t="s">
        <v>1936</v>
      </c>
      <c r="AV43" s="97" t="s">
        <v>1937</v>
      </c>
      <c r="AW43" s="138"/>
      <c r="AX43" s="138"/>
    </row>
    <row r="44">
      <c r="A44" s="135">
        <v>7.0</v>
      </c>
      <c r="B44" s="136" t="s">
        <v>1938</v>
      </c>
      <c r="C44" s="137" t="s">
        <v>1939</v>
      </c>
      <c r="D44" s="138" t="s">
        <v>1289</v>
      </c>
      <c r="E44" s="135">
        <v>7.0</v>
      </c>
      <c r="F44" s="136" t="s">
        <v>1940</v>
      </c>
      <c r="G44" s="137" t="s">
        <v>1941</v>
      </c>
      <c r="H44" s="138" t="s">
        <v>1292</v>
      </c>
      <c r="I44" s="135">
        <v>7.0</v>
      </c>
      <c r="J44" s="136" t="s">
        <v>1942</v>
      </c>
      <c r="K44" s="137" t="s">
        <v>1943</v>
      </c>
      <c r="L44" s="138" t="s">
        <v>1944</v>
      </c>
      <c r="M44" s="135">
        <v>7.0</v>
      </c>
      <c r="N44" s="136" t="str">
        <f>IFERROR(__xludf.DUMMYFUNCTION("GOOGLETRANSLATE(B44,""zh-tw"",""zh"")"),"气息消除-4")</f>
        <v>气息消除-4</v>
      </c>
      <c r="O44" s="154" t="str">
        <f>IFERROR(__xludf.DUMMYFUNCTION("GOOGLETRANSLATE(C44,""zh-tw"",""zh"")"),"厕所门改造")</f>
        <v>厕所门改造</v>
      </c>
      <c r="P44" s="100" t="str">
        <f>IFERROR(__xludf.DUMMYFUNCTION("GOOGLETRANSLATE(D44,""zh-tw"",""zh"")"),"未实装")</f>
        <v>未实装</v>
      </c>
      <c r="Q44" s="135">
        <v>7.0</v>
      </c>
      <c r="R44" s="136" t="str">
        <f>IFERROR(__xludf.DUMMYFUNCTION("GOOGLETRANSLATE(B44,""zh-tw"",""es-MX"")"),"Eliminación de olores -4")</f>
        <v>Eliminación de olores -4</v>
      </c>
      <c r="S44" s="139" t="s">
        <v>1945</v>
      </c>
      <c r="T44" s="100" t="str">
        <f>IFERROR(__xludf.DUMMYFUNCTION("GOOGLETRANSLATE(D44,""zh-tw"",""es-MX"")"),"No implementado")</f>
        <v>No implementado</v>
      </c>
      <c r="U44" s="135">
        <v>7.0</v>
      </c>
      <c r="V44" s="140" t="s">
        <v>1946</v>
      </c>
      <c r="W44" s="139" t="s">
        <v>1947</v>
      </c>
      <c r="X44" s="97" t="s">
        <v>1301</v>
      </c>
      <c r="Y44" s="135">
        <v>7.0</v>
      </c>
      <c r="Z44" s="219" t="s">
        <v>1948</v>
      </c>
      <c r="AA44" s="220" t="s">
        <v>1949</v>
      </c>
      <c r="AB44" s="221" t="s">
        <v>1950</v>
      </c>
      <c r="AC44" s="135">
        <v>7.0</v>
      </c>
      <c r="AD44" s="145" t="s">
        <v>1951</v>
      </c>
      <c r="AE44" s="146" t="s">
        <v>1952</v>
      </c>
      <c r="AF44" s="147" t="s">
        <v>1953</v>
      </c>
      <c r="AG44" s="135">
        <v>7.0</v>
      </c>
      <c r="AH44" s="136" t="s">
        <v>1954</v>
      </c>
      <c r="AI44" s="137" t="s">
        <v>1955</v>
      </c>
      <c r="AJ44" s="138" t="s">
        <v>1956</v>
      </c>
      <c r="AK44" s="148">
        <v>7.0</v>
      </c>
      <c r="AL44" s="149" t="s">
        <v>1957</v>
      </c>
      <c r="AM44" s="169" t="s">
        <v>1958</v>
      </c>
      <c r="AN44" s="172" t="s">
        <v>1959</v>
      </c>
      <c r="AO44" s="135">
        <v>7.0</v>
      </c>
      <c r="AP44" s="151" t="s">
        <v>1960</v>
      </c>
      <c r="AQ44" s="165" t="s">
        <v>1961</v>
      </c>
      <c r="AR44" s="153" t="s">
        <v>1962</v>
      </c>
      <c r="AS44" s="135">
        <v>7.0</v>
      </c>
      <c r="AT44" s="136" t="s">
        <v>1963</v>
      </c>
      <c r="AU44" s="137" t="s">
        <v>1964</v>
      </c>
      <c r="AV44" s="97" t="s">
        <v>1965</v>
      </c>
      <c r="AW44" s="138"/>
      <c r="AX44" s="138"/>
    </row>
    <row r="45">
      <c r="A45" s="178">
        <v>8.0</v>
      </c>
      <c r="B45" s="136" t="s">
        <v>1966</v>
      </c>
      <c r="C45" s="139" t="s">
        <v>1967</v>
      </c>
      <c r="D45" s="97" t="s">
        <v>1968</v>
      </c>
      <c r="E45" s="178">
        <v>8.0</v>
      </c>
      <c r="F45" s="136" t="s">
        <v>1969</v>
      </c>
      <c r="G45" s="137" t="s">
        <v>1970</v>
      </c>
      <c r="H45" s="97" t="s">
        <v>1971</v>
      </c>
      <c r="I45" s="178">
        <v>8.0</v>
      </c>
      <c r="J45" s="136" t="s">
        <v>1972</v>
      </c>
      <c r="K45" s="139" t="s">
        <v>1973</v>
      </c>
      <c r="L45" s="97" t="s">
        <v>1974</v>
      </c>
      <c r="M45" s="178">
        <v>8.0</v>
      </c>
      <c r="N45" s="136" t="str">
        <f>IFERROR(__xludf.DUMMYFUNCTION("GOOGLETRANSLATE(B45,""zh-tw"",""zh"")"),"想上厕所...1")</f>
        <v>想上厕所...1</v>
      </c>
      <c r="O45" s="154" t="str">
        <f>IFERROR(__xludf.DUMMYFUNCTION("GOOGLETRANSLATE(C45,""zh-tw"",""zh"")"),"在迷失森林中，被Z(蟑螂)缠住，让它跟着你回家。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5" s="100" t="str">
        <f>IFERROR(__xludf.DUMMYFUNCTION("GOOGLETRANSLATE(D45,""zh-tw"",""zh"")"),"妹妹在不同紫心时，触发后会有不同演出
※只能触发一次※")</f>
        <v>妹妹在不同紫心时，触发后会有不同演出
※只能触发一次※</v>
      </c>
      <c r="Q45" s="178">
        <v>8.0</v>
      </c>
      <c r="R45" s="156" t="s">
        <v>1975</v>
      </c>
      <c r="S45" s="154" t="s">
        <v>1976</v>
      </c>
      <c r="T45" s="100" t="s">
        <v>1977</v>
      </c>
      <c r="U45" s="178">
        <v>8.0</v>
      </c>
      <c r="V45" s="140" t="s">
        <v>1978</v>
      </c>
      <c r="W45" s="139" t="s">
        <v>1979</v>
      </c>
      <c r="X45" s="97" t="s">
        <v>1980</v>
      </c>
      <c r="Y45" s="135">
        <v>8.0</v>
      </c>
      <c r="Z45" s="219" t="s">
        <v>1981</v>
      </c>
      <c r="AA45" s="220" t="s">
        <v>1982</v>
      </c>
      <c r="AB45" s="221" t="s">
        <v>1983</v>
      </c>
      <c r="AC45" s="135">
        <v>8.0</v>
      </c>
      <c r="AD45" s="145" t="s">
        <v>1984</v>
      </c>
      <c r="AE45" s="146" t="s">
        <v>1985</v>
      </c>
      <c r="AF45" s="147" t="s">
        <v>1986</v>
      </c>
      <c r="AG45" s="178">
        <v>8.0</v>
      </c>
      <c r="AH45" s="136" t="s">
        <v>1987</v>
      </c>
      <c r="AI45" s="137" t="s">
        <v>1988</v>
      </c>
      <c r="AJ45" s="97" t="s">
        <v>1989</v>
      </c>
      <c r="AK45" s="191">
        <v>8.0</v>
      </c>
      <c r="AL45" s="171" t="s">
        <v>1990</v>
      </c>
      <c r="AM45" s="173" t="s">
        <v>1991</v>
      </c>
      <c r="AN45" s="172" t="s">
        <v>1992</v>
      </c>
      <c r="AO45" s="135">
        <v>8.0</v>
      </c>
      <c r="AP45" s="151" t="s">
        <v>1993</v>
      </c>
      <c r="AQ45" s="165" t="s">
        <v>1994</v>
      </c>
      <c r="AR45" s="164" t="s">
        <v>1995</v>
      </c>
      <c r="AS45" s="135">
        <v>8.0</v>
      </c>
      <c r="AT45" s="140" t="s">
        <v>1996</v>
      </c>
      <c r="AU45" s="139" t="s">
        <v>1997</v>
      </c>
      <c r="AV45" s="97" t="s">
        <v>1998</v>
      </c>
      <c r="AW45" s="97"/>
      <c r="AX45" s="97"/>
    </row>
    <row r="46">
      <c r="A46" s="135">
        <v>9.0</v>
      </c>
      <c r="B46" s="136" t="s">
        <v>1999</v>
      </c>
      <c r="C46" s="137" t="s">
        <v>2000</v>
      </c>
      <c r="D46" s="97" t="s">
        <v>2001</v>
      </c>
      <c r="E46" s="135">
        <v>9.0</v>
      </c>
      <c r="F46" s="136" t="s">
        <v>2002</v>
      </c>
      <c r="G46" s="137" t="s">
        <v>2003</v>
      </c>
      <c r="H46" s="97" t="s">
        <v>2004</v>
      </c>
      <c r="I46" s="135">
        <v>9.0</v>
      </c>
      <c r="J46" s="136" t="s">
        <v>2005</v>
      </c>
      <c r="K46" s="137" t="s">
        <v>2006</v>
      </c>
      <c r="L46" s="97" t="s">
        <v>2007</v>
      </c>
      <c r="M46" s="135">
        <v>9.0</v>
      </c>
      <c r="N46" s="136" t="str">
        <f>IFERROR(__xludf.DUMMYFUNCTION("GOOGLETRANSLATE(B46,""zh-tw"",""zh"")"),"想上厕所...2")</f>
        <v>想上厕所...2</v>
      </c>
      <c r="O46" s="154" t="str">
        <f>IFERROR(__xludf.DUMMYFUNCTION("GOOGLETRANSLATE(C46,""zh-tw"",""zh"")"),"妹妹平常时，有小概率触发上厕所的事件，喝饮料的话会增加概率。")</f>
        <v>妹妹平常时，有小概率触发上厕所的事件，喝饮料的话会增加概率。</v>
      </c>
      <c r="P46" s="100" t="str">
        <f>IFERROR(__xludf.DUMMYFUNCTION("GOOGLETRANSLATE(D46,""zh-tw"",""zh"")"),"触发是否前往厕所偷看的选项
※未实装")</f>
        <v>触发是否前往厕所偷看的选项
※未实装</v>
      </c>
      <c r="Q46" s="135">
        <v>9.0</v>
      </c>
      <c r="R46" s="156" t="s">
        <v>2008</v>
      </c>
      <c r="S46" s="154" t="s">
        <v>2009</v>
      </c>
      <c r="T46" s="97" t="s">
        <v>2010</v>
      </c>
      <c r="U46" s="135">
        <v>9.0</v>
      </c>
      <c r="V46" s="140" t="s">
        <v>2011</v>
      </c>
      <c r="W46" s="139" t="s">
        <v>2012</v>
      </c>
      <c r="X46" s="97" t="s">
        <v>2013</v>
      </c>
      <c r="Y46" s="135">
        <v>9.0</v>
      </c>
      <c r="Z46" s="219" t="s">
        <v>2014</v>
      </c>
      <c r="AA46" s="220" t="s">
        <v>2015</v>
      </c>
      <c r="AB46" s="221" t="s">
        <v>2016</v>
      </c>
      <c r="AC46" s="135">
        <v>9.0</v>
      </c>
      <c r="AD46" s="145" t="s">
        <v>2017</v>
      </c>
      <c r="AE46" s="146" t="s">
        <v>2018</v>
      </c>
      <c r="AF46" s="147" t="s">
        <v>2019</v>
      </c>
      <c r="AG46" s="135">
        <v>9.0</v>
      </c>
      <c r="AH46" s="136" t="s">
        <v>2020</v>
      </c>
      <c r="AI46" s="137" t="s">
        <v>2021</v>
      </c>
      <c r="AJ46" s="138" t="s">
        <v>2022</v>
      </c>
      <c r="AK46" s="148">
        <v>9.0</v>
      </c>
      <c r="AL46" s="171" t="s">
        <v>2023</v>
      </c>
      <c r="AM46" s="169" t="s">
        <v>2024</v>
      </c>
      <c r="AN46" s="172" t="s">
        <v>2025</v>
      </c>
      <c r="AO46" s="135">
        <v>9.0</v>
      </c>
      <c r="AP46" s="151" t="s">
        <v>2026</v>
      </c>
      <c r="AQ46" s="165" t="s">
        <v>2027</v>
      </c>
      <c r="AR46" s="164" t="s">
        <v>2028</v>
      </c>
      <c r="AS46" s="135">
        <v>9.0</v>
      </c>
      <c r="AT46" s="140" t="s">
        <v>2029</v>
      </c>
      <c r="AU46" s="139" t="s">
        <v>2030</v>
      </c>
      <c r="AV46" s="97" t="s">
        <v>2031</v>
      </c>
      <c r="AW46" s="97"/>
      <c r="AX46" s="97"/>
    </row>
    <row r="47">
      <c r="A47" s="178">
        <v>10.0</v>
      </c>
      <c r="B47" s="140" t="s">
        <v>2032</v>
      </c>
      <c r="C47" s="139" t="s">
        <v>2033</v>
      </c>
      <c r="D47" s="97" t="s">
        <v>2034</v>
      </c>
      <c r="E47" s="178">
        <v>10.0</v>
      </c>
      <c r="F47" s="140" t="s">
        <v>2035</v>
      </c>
      <c r="G47" s="137" t="s">
        <v>2036</v>
      </c>
      <c r="H47" s="97" t="s">
        <v>2037</v>
      </c>
      <c r="I47" s="178">
        <v>10.0</v>
      </c>
      <c r="J47" s="136" t="s">
        <v>2038</v>
      </c>
      <c r="K47" s="139" t="s">
        <v>2039</v>
      </c>
      <c r="L47" s="97" t="s">
        <v>2040</v>
      </c>
      <c r="M47" s="178">
        <v>10.0</v>
      </c>
      <c r="N47" s="136" t="str">
        <f>IFERROR(__xludf.DUMMYFUNCTION("GOOGLETRANSLATE(B47,""zh-tw"",""zh"")"),"厕所Play-1")</f>
        <v>厕所Play-1</v>
      </c>
      <c r="O47" s="139" t="s">
        <v>2041</v>
      </c>
      <c r="P47" s="100" t="str">
        <f>IFERROR(__xludf.DUMMYFUNCTION("GOOGLETRANSLATE(D47,""zh-tw"",""zh"")"),"触发剧情
※目前尚未实装被发现的相关剧情")</f>
        <v>触发剧情
※目前尚未实装被发现的相关剧情</v>
      </c>
      <c r="Q47" s="178">
        <v>10.0</v>
      </c>
      <c r="R47" s="156" t="s">
        <v>2042</v>
      </c>
      <c r="S47" s="154" t="s">
        <v>2043</v>
      </c>
      <c r="T47" s="100" t="s">
        <v>2044</v>
      </c>
      <c r="U47" s="178">
        <v>10.0</v>
      </c>
      <c r="V47" s="140" t="s">
        <v>2045</v>
      </c>
      <c r="W47" s="139" t="s">
        <v>2046</v>
      </c>
      <c r="X47" s="97" t="s">
        <v>2047</v>
      </c>
      <c r="Y47" s="135">
        <v>10.0</v>
      </c>
      <c r="Z47" s="219" t="s">
        <v>2048</v>
      </c>
      <c r="AA47" s="220" t="s">
        <v>2049</v>
      </c>
      <c r="AB47" s="221" t="s">
        <v>2050</v>
      </c>
      <c r="AC47" s="135">
        <v>10.0</v>
      </c>
      <c r="AD47" s="145" t="s">
        <v>2051</v>
      </c>
      <c r="AE47" s="146" t="s">
        <v>2052</v>
      </c>
      <c r="AF47" s="147" t="s">
        <v>2053</v>
      </c>
      <c r="AG47" s="178">
        <v>10.0</v>
      </c>
      <c r="AH47" s="140" t="s">
        <v>2054</v>
      </c>
      <c r="AI47" s="137" t="s">
        <v>2055</v>
      </c>
      <c r="AJ47" s="138" t="s">
        <v>2056</v>
      </c>
      <c r="AK47" s="191">
        <v>10.0</v>
      </c>
      <c r="AL47" s="149" t="s">
        <v>2057</v>
      </c>
      <c r="AM47" s="169" t="s">
        <v>2058</v>
      </c>
      <c r="AN47" s="172" t="s">
        <v>2059</v>
      </c>
      <c r="AO47" s="135">
        <v>10.0</v>
      </c>
      <c r="AP47" s="151" t="s">
        <v>2060</v>
      </c>
      <c r="AQ47" s="165" t="s">
        <v>2061</v>
      </c>
      <c r="AR47" s="164" t="s">
        <v>2062</v>
      </c>
      <c r="AS47" s="135">
        <v>10.0</v>
      </c>
      <c r="AT47" s="140" t="s">
        <v>2063</v>
      </c>
      <c r="AU47" s="139" t="s">
        <v>2064</v>
      </c>
      <c r="AV47" s="97" t="s">
        <v>2065</v>
      </c>
      <c r="AW47" s="97"/>
      <c r="AX47" s="97"/>
    </row>
    <row r="48">
      <c r="A48" s="135">
        <v>11.0</v>
      </c>
      <c r="B48" s="140" t="s">
        <v>2066</v>
      </c>
      <c r="C48" s="139" t="s">
        <v>2067</v>
      </c>
      <c r="D48" s="97" t="s">
        <v>2068</v>
      </c>
      <c r="E48" s="135">
        <v>11.0</v>
      </c>
      <c r="F48" s="140" t="s">
        <v>2069</v>
      </c>
      <c r="G48" s="139" t="s">
        <v>2070</v>
      </c>
      <c r="H48" s="97" t="s">
        <v>2071</v>
      </c>
      <c r="I48" s="135">
        <v>11.0</v>
      </c>
      <c r="J48" s="140" t="s">
        <v>2072</v>
      </c>
      <c r="K48" s="139" t="s">
        <v>2073</v>
      </c>
      <c r="L48" s="97" t="s">
        <v>2074</v>
      </c>
      <c r="M48" s="135">
        <v>11.0</v>
      </c>
      <c r="N48" s="136" t="str">
        <f>IFERROR(__xludf.DUMMYFUNCTION("GOOGLETRANSLATE(B48,""zh-tw"",""zh"")"),"厕所Play-2")</f>
        <v>厕所Play-2</v>
      </c>
      <c r="O48" s="139" t="s">
        <v>2075</v>
      </c>
      <c r="P48" s="100" t="str">
        <f>IFERROR(__xludf.DUMMYFUNCTION("GOOGLETRANSLATE(D48,""zh-tw"",""zh"")"),"触发相关剧情
※目前尚未实装被发现的相关剧情")</f>
        <v>触发相关剧情
※目前尚未实装被发现的相关剧情</v>
      </c>
      <c r="Q48" s="135">
        <v>11.0</v>
      </c>
      <c r="R48" s="140" t="s">
        <v>2076</v>
      </c>
      <c r="S48" s="154" t="s">
        <v>2077</v>
      </c>
      <c r="T48" s="100" t="s">
        <v>2078</v>
      </c>
      <c r="U48" s="135">
        <v>11.0</v>
      </c>
      <c r="V48" s="140" t="s">
        <v>2079</v>
      </c>
      <c r="W48" s="139" t="s">
        <v>2080</v>
      </c>
      <c r="X48" s="97" t="s">
        <v>2081</v>
      </c>
      <c r="Y48" s="135">
        <v>11.0</v>
      </c>
      <c r="Z48" s="219" t="s">
        <v>2082</v>
      </c>
      <c r="AA48" s="220" t="s">
        <v>2083</v>
      </c>
      <c r="AB48" s="221" t="s">
        <v>2084</v>
      </c>
      <c r="AC48" s="135">
        <v>11.0</v>
      </c>
      <c r="AD48" s="145" t="s">
        <v>2085</v>
      </c>
      <c r="AE48" s="146" t="s">
        <v>2086</v>
      </c>
      <c r="AF48" s="147" t="s">
        <v>2087</v>
      </c>
      <c r="AG48" s="135">
        <v>11.0</v>
      </c>
      <c r="AH48" s="140" t="s">
        <v>2088</v>
      </c>
      <c r="AI48" s="137" t="s">
        <v>2089</v>
      </c>
      <c r="AJ48" s="138" t="s">
        <v>2090</v>
      </c>
      <c r="AK48" s="148">
        <v>11.0</v>
      </c>
      <c r="AL48" s="149" t="s">
        <v>2091</v>
      </c>
      <c r="AM48" s="169" t="s">
        <v>2092</v>
      </c>
      <c r="AN48" s="172" t="s">
        <v>2093</v>
      </c>
      <c r="AO48" s="135">
        <v>11.0</v>
      </c>
      <c r="AP48" s="151" t="s">
        <v>2094</v>
      </c>
      <c r="AQ48" s="165" t="s">
        <v>2095</v>
      </c>
      <c r="AR48" s="153" t="s">
        <v>2096</v>
      </c>
      <c r="AS48" s="135">
        <v>11.0</v>
      </c>
      <c r="AT48" s="140" t="s">
        <v>2097</v>
      </c>
      <c r="AU48" s="139" t="s">
        <v>2098</v>
      </c>
      <c r="AV48" s="138" t="s">
        <v>2099</v>
      </c>
      <c r="AW48" s="97"/>
      <c r="AX48" s="97"/>
    </row>
    <row r="49">
      <c r="A49" s="178">
        <v>12.0</v>
      </c>
      <c r="B49" s="140" t="s">
        <v>2100</v>
      </c>
      <c r="C49" s="139" t="s">
        <v>2101</v>
      </c>
      <c r="D49" s="97" t="s">
        <v>2102</v>
      </c>
      <c r="E49" s="178">
        <v>12.0</v>
      </c>
      <c r="F49" s="140" t="s">
        <v>2103</v>
      </c>
      <c r="G49" s="137" t="s">
        <v>2104</v>
      </c>
      <c r="H49" s="97" t="s">
        <v>2105</v>
      </c>
      <c r="I49" s="178">
        <v>12.0</v>
      </c>
      <c r="J49" s="140" t="s">
        <v>2106</v>
      </c>
      <c r="K49" s="139" t="s">
        <v>2107</v>
      </c>
      <c r="L49" s="97" t="s">
        <v>2108</v>
      </c>
      <c r="M49" s="178">
        <v>12.0</v>
      </c>
      <c r="N49" s="136" t="str">
        <f>IFERROR(__xludf.DUMMYFUNCTION("GOOGLETRANSLATE(B49,""zh-tw"",""zh"")"),"厕所Play-3")</f>
        <v>厕所Play-3</v>
      </c>
      <c r="O49" s="139" t="s">
        <v>2109</v>
      </c>
      <c r="P49" s="100" t="str">
        <f>IFERROR(__xludf.DUMMYFUNCTION("GOOGLETRANSLATE(D49,""zh-tw"",""zh"")"),"50%机率，出现打死Z剧情
备注：无须发现Z的前置操作")</f>
        <v>50%机率，出现打死Z剧情
备注：无须发现Z的前置操作</v>
      </c>
      <c r="Q49" s="178">
        <v>12.0</v>
      </c>
      <c r="R49" s="140" t="s">
        <v>2110</v>
      </c>
      <c r="S49" s="154" t="s">
        <v>2111</v>
      </c>
      <c r="T49" s="100" t="s">
        <v>1851</v>
      </c>
      <c r="U49" s="178">
        <v>12.0</v>
      </c>
      <c r="V49" s="140" t="s">
        <v>2112</v>
      </c>
      <c r="W49" s="139" t="s">
        <v>2113</v>
      </c>
      <c r="X49" s="97" t="s">
        <v>2114</v>
      </c>
      <c r="Y49" s="135">
        <v>12.0</v>
      </c>
      <c r="Z49" s="219" t="s">
        <v>2115</v>
      </c>
      <c r="AA49" s="220" t="s">
        <v>2116</v>
      </c>
      <c r="AB49" s="85" t="s">
        <v>2117</v>
      </c>
      <c r="AC49" s="135">
        <v>12.0</v>
      </c>
      <c r="AD49" s="145" t="s">
        <v>2118</v>
      </c>
      <c r="AE49" s="146" t="s">
        <v>2119</v>
      </c>
      <c r="AF49" s="147" t="s">
        <v>2120</v>
      </c>
      <c r="AG49" s="178">
        <v>12.0</v>
      </c>
      <c r="AH49" s="140" t="s">
        <v>2121</v>
      </c>
      <c r="AI49" s="137" t="s">
        <v>2122</v>
      </c>
      <c r="AJ49" s="138" t="s">
        <v>1830</v>
      </c>
      <c r="AK49" s="191">
        <v>12.0</v>
      </c>
      <c r="AL49" s="149" t="s">
        <v>2123</v>
      </c>
      <c r="AM49" s="173" t="s">
        <v>2124</v>
      </c>
      <c r="AN49" s="170" t="s">
        <v>2125</v>
      </c>
      <c r="AO49" s="135">
        <v>12.0</v>
      </c>
      <c r="AP49" s="151" t="s">
        <v>2126</v>
      </c>
      <c r="AQ49" s="152" t="s">
        <v>2127</v>
      </c>
      <c r="AR49" s="153" t="s">
        <v>2128</v>
      </c>
      <c r="AS49" s="135">
        <v>12.0</v>
      </c>
      <c r="AT49" s="140" t="s">
        <v>2129</v>
      </c>
      <c r="AU49" s="139" t="s">
        <v>2130</v>
      </c>
      <c r="AV49" s="97" t="s">
        <v>2131</v>
      </c>
      <c r="AW49" s="97"/>
      <c r="AX49" s="97"/>
    </row>
    <row r="50">
      <c r="A50" s="135">
        <v>13.0</v>
      </c>
      <c r="B50" s="140" t="s">
        <v>2132</v>
      </c>
      <c r="C50" s="139" t="s">
        <v>2133</v>
      </c>
      <c r="D50" s="97" t="s">
        <v>2134</v>
      </c>
      <c r="E50" s="135">
        <v>13.0</v>
      </c>
      <c r="F50" s="140" t="s">
        <v>2135</v>
      </c>
      <c r="G50" s="139" t="s">
        <v>2136</v>
      </c>
      <c r="H50" s="138" t="s">
        <v>2137</v>
      </c>
      <c r="I50" s="135">
        <v>13.0</v>
      </c>
      <c r="J50" s="136" t="s">
        <v>2138</v>
      </c>
      <c r="K50" s="139" t="s">
        <v>2139</v>
      </c>
      <c r="L50" s="138" t="s">
        <v>2140</v>
      </c>
      <c r="M50" s="135">
        <v>13.0</v>
      </c>
      <c r="N50" s="136" t="str">
        <f>IFERROR(__xludf.DUMMYFUNCTION("GOOGLETRANSLATE(B50,""zh-tw"",""zh"")"),"厕所Play-4")</f>
        <v>厕所Play-4</v>
      </c>
      <c r="O50" s="139" t="s">
        <v>2141</v>
      </c>
      <c r="P50" s="100" t="str">
        <f>IFERROR(__xludf.DUMMYFUNCTION("GOOGLETRANSLATE(D50,""zh-tw"",""zh"")"),"触发使用嘴巴服务的相关剧情
*三种差分，分为蹲式、躺式，坐式待更新")</f>
        <v>触发使用嘴巴服务的相关剧情
*三种差分，分为蹲式、躺式，坐式待更新</v>
      </c>
      <c r="Q50" s="135">
        <v>13.0</v>
      </c>
      <c r="R50" s="156" t="s">
        <v>2142</v>
      </c>
      <c r="S50" s="154" t="s">
        <v>2143</v>
      </c>
      <c r="T50" s="100" t="s">
        <v>2144</v>
      </c>
      <c r="U50" s="135">
        <v>13.0</v>
      </c>
      <c r="V50" s="140" t="s">
        <v>2145</v>
      </c>
      <c r="W50" s="139" t="s">
        <v>2146</v>
      </c>
      <c r="X50" s="97" t="s">
        <v>2147</v>
      </c>
      <c r="Y50" s="135">
        <v>13.0</v>
      </c>
      <c r="Z50" s="219" t="s">
        <v>2148</v>
      </c>
      <c r="AA50" s="220" t="s">
        <v>2149</v>
      </c>
      <c r="AB50" s="221" t="s">
        <v>2150</v>
      </c>
      <c r="AC50" s="135">
        <v>13.0</v>
      </c>
      <c r="AD50" s="145" t="s">
        <v>2151</v>
      </c>
      <c r="AE50" s="146" t="s">
        <v>2152</v>
      </c>
      <c r="AF50" s="147" t="s">
        <v>2153</v>
      </c>
      <c r="AG50" s="135">
        <v>13.0</v>
      </c>
      <c r="AH50" s="140" t="s">
        <v>2154</v>
      </c>
      <c r="AI50" s="137" t="s">
        <v>2155</v>
      </c>
      <c r="AJ50" s="138" t="s">
        <v>2156</v>
      </c>
      <c r="AK50" s="148">
        <v>13.0</v>
      </c>
      <c r="AL50" s="149" t="s">
        <v>2157</v>
      </c>
      <c r="AM50" s="173" t="s">
        <v>2158</v>
      </c>
      <c r="AN50" s="172" t="s">
        <v>2159</v>
      </c>
      <c r="AO50" s="135">
        <v>13.0</v>
      </c>
      <c r="AP50" s="151" t="s">
        <v>2160</v>
      </c>
      <c r="AQ50" s="165" t="s">
        <v>2161</v>
      </c>
      <c r="AR50" s="153" t="s">
        <v>2162</v>
      </c>
      <c r="AS50" s="135">
        <v>13.0</v>
      </c>
      <c r="AT50" s="140" t="s">
        <v>2163</v>
      </c>
      <c r="AU50" s="139" t="s">
        <v>2164</v>
      </c>
      <c r="AV50" s="97" t="s">
        <v>2165</v>
      </c>
      <c r="AW50" s="97"/>
      <c r="AX50" s="97"/>
    </row>
    <row r="51">
      <c r="A51" s="209"/>
      <c r="B51" s="210"/>
      <c r="C51" s="210"/>
      <c r="D51" s="210"/>
      <c r="E51" s="209"/>
      <c r="F51" s="210"/>
      <c r="G51" s="210"/>
      <c r="H51" s="210"/>
      <c r="I51" s="209"/>
      <c r="J51" s="210"/>
      <c r="K51" s="210"/>
      <c r="L51" s="210"/>
      <c r="M51" s="209"/>
      <c r="N51" s="210"/>
      <c r="O51" s="87"/>
      <c r="P51" s="210"/>
      <c r="Q51" s="209"/>
      <c r="R51" s="87"/>
      <c r="S51" s="87"/>
      <c r="T51" s="87"/>
      <c r="U51" s="209"/>
      <c r="V51" s="87"/>
      <c r="W51" s="87"/>
      <c r="X51" s="87"/>
      <c r="Y51" s="222"/>
      <c r="Z51" s="210"/>
      <c r="AA51" s="210"/>
      <c r="AB51" s="210"/>
      <c r="AC51" s="212"/>
      <c r="AD51" s="213"/>
      <c r="AE51" s="213"/>
      <c r="AF51" s="213"/>
      <c r="AG51" s="209"/>
      <c r="AH51" s="210"/>
      <c r="AI51" s="210"/>
      <c r="AJ51" s="210"/>
      <c r="AK51" s="214"/>
      <c r="AL51" s="214"/>
      <c r="AM51" s="215"/>
      <c r="AN51" s="215"/>
      <c r="AO51" s="210"/>
      <c r="AP51" s="209"/>
      <c r="AQ51" s="210"/>
      <c r="AR51" s="210"/>
      <c r="AS51" s="210"/>
      <c r="AT51" s="210"/>
      <c r="AU51" s="210"/>
      <c r="AV51" s="210"/>
      <c r="AW51" s="210"/>
      <c r="AX51" s="210"/>
    </row>
    <row r="52" ht="23.25" customHeight="1">
      <c r="A52" s="129" t="s">
        <v>2166</v>
      </c>
      <c r="B52" s="129" t="s">
        <v>2167</v>
      </c>
      <c r="E52" s="129" t="s">
        <v>2166</v>
      </c>
      <c r="F52" s="129" t="s">
        <v>2168</v>
      </c>
      <c r="I52" s="129" t="s">
        <v>2166</v>
      </c>
      <c r="J52" s="129" t="s">
        <v>2169</v>
      </c>
      <c r="M52" s="129" t="s">
        <v>2166</v>
      </c>
      <c r="N52" s="130" t="str">
        <f>IFERROR(__xludf.DUMMYFUNCTION("GOOGLETRANSLATE(B52,""zh-tw"",""zh"")"),"浴室相关")</f>
        <v>浴室相关</v>
      </c>
      <c r="Q52" s="129" t="s">
        <v>2166</v>
      </c>
      <c r="R52" s="129" t="s">
        <v>2170</v>
      </c>
      <c r="U52" s="129" t="s">
        <v>2166</v>
      </c>
      <c r="V52" s="129" t="s">
        <v>2171</v>
      </c>
      <c r="Y52" s="216" t="s">
        <v>2166</v>
      </c>
      <c r="Z52" s="216" t="s">
        <v>2172</v>
      </c>
      <c r="AC52" s="130" t="s">
        <v>2166</v>
      </c>
      <c r="AD52" s="130" t="s">
        <v>2173</v>
      </c>
      <c r="AG52" s="129" t="s">
        <v>2166</v>
      </c>
      <c r="AH52" s="217" t="s">
        <v>2174</v>
      </c>
      <c r="AK52" s="218" t="s">
        <v>2166</v>
      </c>
      <c r="AL52" s="218" t="s">
        <v>2175</v>
      </c>
      <c r="AO52" s="130" t="s">
        <v>2166</v>
      </c>
      <c r="AP52" s="129" t="s">
        <v>2176</v>
      </c>
      <c r="AS52" s="129" t="s">
        <v>2166</v>
      </c>
      <c r="AT52" s="129" t="s">
        <v>2177</v>
      </c>
      <c r="AW52" s="129"/>
      <c r="AX52" s="129"/>
    </row>
    <row r="53">
      <c r="A53" s="135">
        <v>1.0</v>
      </c>
      <c r="B53" s="136" t="s">
        <v>2178</v>
      </c>
      <c r="C53" s="137" t="s">
        <v>2179</v>
      </c>
      <c r="D53" s="138" t="s">
        <v>2180</v>
      </c>
      <c r="E53" s="135">
        <v>1.0</v>
      </c>
      <c r="F53" s="140" t="s">
        <v>2181</v>
      </c>
      <c r="G53" s="137" t="s">
        <v>2182</v>
      </c>
      <c r="H53" s="138" t="s">
        <v>2183</v>
      </c>
      <c r="I53" s="135">
        <v>1.0</v>
      </c>
      <c r="J53" s="136" t="str">
        <f>IFERROR(__xludf.DUMMYFUNCTION("GOOGLETRANSLATE(B53,""zh-tw"",""en"")"),"Shampoo")</f>
        <v>Shampoo</v>
      </c>
      <c r="K53" s="137" t="s">
        <v>2184</v>
      </c>
      <c r="L53" s="138" t="s">
        <v>2185</v>
      </c>
      <c r="M53" s="135">
        <v>1.0</v>
      </c>
      <c r="N53" s="136" t="str">
        <f>IFERROR(__xludf.DUMMYFUNCTION("GOOGLETRANSLATE(B53,""zh-tw"",""zh"")"),"洗发乳")</f>
        <v>洗发乳</v>
      </c>
      <c r="O53" s="154" t="str">
        <f>IFERROR(__xludf.DUMMYFUNCTION("GOOGLETRANSLATE(C53,""zh-tw"",""zh"")"),"洗澡大约7天会消耗光，并在不偷窥的情况下机率性触发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3" s="100" t="str">
        <f>IFERROR(__xludf.DUMMYFUNCTION("GOOGLETRANSLATE(D53,""zh-tw"",""zh"")"),"机率触发浴室摔倒事件")</f>
        <v>机率触发浴室摔倒事件</v>
      </c>
      <c r="Q53" s="135">
        <v>1.0</v>
      </c>
      <c r="R53" s="136" t="str">
        <f>IFERROR(__xludf.DUMMYFUNCTION("GOOGLETRANSLATE(B53,""zh-tw"",""es-MX"")"),"Champú")</f>
        <v>Champú</v>
      </c>
      <c r="S53" s="139" t="s">
        <v>2186</v>
      </c>
      <c r="T53" s="100" t="str">
        <f>IFERROR(__xludf.DUMMYFUNCTION("GOOGLETRANSLATE(D53,""zh-tw"",""es-MX"")"),"Posibilidad de provocar un resbalón y caída en el baño.")</f>
        <v>Posibilidad de provocar un resbalón y caída en el baño.</v>
      </c>
      <c r="U53" s="135">
        <v>1.0</v>
      </c>
      <c r="V53" s="140" t="s">
        <v>2187</v>
      </c>
      <c r="W53" s="139" t="s">
        <v>2188</v>
      </c>
      <c r="X53" s="100" t="str">
        <f>IFERROR(__xludf.DUMMYFUNCTION("GOOGLETRANSLATE(D53,""zh-tw"",""KO"")"),"욕실에서 미끄러져 넘어지는 사고를 유발할 확률")</f>
        <v>욕실에서 미끄러져 넘어지는 사고를 유발할 확률</v>
      </c>
      <c r="Y53" s="135">
        <v>1.0</v>
      </c>
      <c r="Z53" s="219" t="s">
        <v>2189</v>
      </c>
      <c r="AA53" s="220" t="s">
        <v>2190</v>
      </c>
      <c r="AB53" s="221" t="s">
        <v>2191</v>
      </c>
      <c r="AC53" s="135">
        <v>1.0</v>
      </c>
      <c r="AD53" s="145" t="s">
        <v>2189</v>
      </c>
      <c r="AE53" s="146" t="s">
        <v>2192</v>
      </c>
      <c r="AF53" s="147" t="s">
        <v>2193</v>
      </c>
      <c r="AG53" s="135">
        <v>1.0</v>
      </c>
      <c r="AH53" s="136" t="s">
        <v>2194</v>
      </c>
      <c r="AI53" s="137" t="s">
        <v>2195</v>
      </c>
      <c r="AJ53" s="138" t="s">
        <v>2196</v>
      </c>
      <c r="AK53" s="148">
        <v>1.0</v>
      </c>
      <c r="AL53" s="149" t="s">
        <v>2197</v>
      </c>
      <c r="AM53" s="169" t="s">
        <v>2198</v>
      </c>
      <c r="AN53" s="172" t="s">
        <v>2199</v>
      </c>
      <c r="AO53" s="135">
        <v>1.0</v>
      </c>
      <c r="AP53" s="151" t="s">
        <v>2194</v>
      </c>
      <c r="AQ53" s="152" t="s">
        <v>2200</v>
      </c>
      <c r="AR53" s="153" t="s">
        <v>2201</v>
      </c>
      <c r="AS53" s="135">
        <v>1.0</v>
      </c>
      <c r="AT53" s="136" t="s">
        <v>2202</v>
      </c>
      <c r="AU53" s="139" t="s">
        <v>2203</v>
      </c>
      <c r="AV53" s="138" t="s">
        <v>2204</v>
      </c>
      <c r="AW53" s="138"/>
      <c r="AX53" s="138"/>
    </row>
    <row r="54">
      <c r="A54" s="178">
        <v>2.0</v>
      </c>
      <c r="B54" s="136" t="s">
        <v>2205</v>
      </c>
      <c r="C54" s="137" t="s">
        <v>2206</v>
      </c>
      <c r="D54" s="138" t="s">
        <v>2207</v>
      </c>
      <c r="E54" s="178">
        <v>2.0</v>
      </c>
      <c r="F54" s="136" t="s">
        <v>2208</v>
      </c>
      <c r="G54" s="137" t="s">
        <v>2209</v>
      </c>
      <c r="H54" s="138" t="s">
        <v>2210</v>
      </c>
      <c r="I54" s="178">
        <v>2.0</v>
      </c>
      <c r="J54" s="136" t="s">
        <v>2211</v>
      </c>
      <c r="K54" s="137" t="s">
        <v>2212</v>
      </c>
      <c r="L54" s="138" t="s">
        <v>2213</v>
      </c>
      <c r="M54" s="178">
        <v>2.0</v>
      </c>
      <c r="N54" s="136" t="str">
        <f>IFERROR(__xludf.DUMMYFUNCTION("GOOGLETRANSLATE(B54,""zh-tw"",""zh"")"),"要等妹妹洗澡吗")</f>
        <v>要等妹妹洗澡吗</v>
      </c>
      <c r="O54" s="139" t="s">
        <v>2214</v>
      </c>
      <c r="P54" s="100" t="str">
        <f>IFERROR(__xludf.DUMMYFUNCTION("GOOGLETRANSLATE(D54,""zh-tw"",""zh"")"),"出现前往的选项
1.现在就去
2.再等会
3.算了吧")</f>
        <v>出现前往的选项
1.现在就去
2.再等会
3.算了吧</v>
      </c>
      <c r="Q54" s="178">
        <v>2.0</v>
      </c>
      <c r="R54" s="136" t="s">
        <v>2215</v>
      </c>
      <c r="S54" s="154" t="s">
        <v>2216</v>
      </c>
      <c r="T54" s="100" t="s">
        <v>2217</v>
      </c>
      <c r="U54" s="178">
        <v>2.0</v>
      </c>
      <c r="V54" s="140" t="s">
        <v>2218</v>
      </c>
      <c r="W54" s="139" t="s">
        <v>2219</v>
      </c>
      <c r="X54" s="97" t="s">
        <v>2220</v>
      </c>
      <c r="Y54" s="135">
        <v>2.0</v>
      </c>
      <c r="Z54" s="219" t="s">
        <v>2221</v>
      </c>
      <c r="AA54" s="220" t="s">
        <v>2222</v>
      </c>
      <c r="AB54" s="221" t="s">
        <v>2223</v>
      </c>
      <c r="AC54" s="135">
        <v>2.0</v>
      </c>
      <c r="AD54" s="189" t="s">
        <v>2224</v>
      </c>
      <c r="AE54" s="190" t="s">
        <v>2225</v>
      </c>
      <c r="AF54" s="166" t="s">
        <v>2226</v>
      </c>
      <c r="AG54" s="178">
        <v>2.0</v>
      </c>
      <c r="AH54" s="136" t="s">
        <v>2227</v>
      </c>
      <c r="AI54" s="137" t="s">
        <v>2228</v>
      </c>
      <c r="AJ54" s="138" t="s">
        <v>2229</v>
      </c>
      <c r="AK54" s="191">
        <v>2.0</v>
      </c>
      <c r="AL54" s="149" t="s">
        <v>2230</v>
      </c>
      <c r="AM54" s="169" t="s">
        <v>2231</v>
      </c>
      <c r="AN54" s="172" t="s">
        <v>2232</v>
      </c>
      <c r="AO54" s="135">
        <v>2.0</v>
      </c>
      <c r="AP54" s="151" t="s">
        <v>2233</v>
      </c>
      <c r="AQ54" s="152" t="s">
        <v>2234</v>
      </c>
      <c r="AR54" s="153" t="s">
        <v>2235</v>
      </c>
      <c r="AS54" s="135">
        <v>2.0</v>
      </c>
      <c r="AT54" s="136" t="s">
        <v>2236</v>
      </c>
      <c r="AU54" s="139" t="s">
        <v>2237</v>
      </c>
      <c r="AV54" s="138" t="s">
        <v>2238</v>
      </c>
      <c r="AW54" s="138"/>
      <c r="AX54" s="138"/>
    </row>
    <row r="55">
      <c r="A55" s="135">
        <v>3.0</v>
      </c>
      <c r="B55" s="136" t="s">
        <v>2239</v>
      </c>
      <c r="C55" s="137" t="s">
        <v>2240</v>
      </c>
      <c r="D55" s="138" t="s">
        <v>2241</v>
      </c>
      <c r="E55" s="135">
        <v>3.0</v>
      </c>
      <c r="F55" s="136" t="s">
        <v>2242</v>
      </c>
      <c r="G55" s="137" t="s">
        <v>2243</v>
      </c>
      <c r="H55" s="138" t="s">
        <v>2244</v>
      </c>
      <c r="I55" s="135">
        <v>3.0</v>
      </c>
      <c r="J55" s="136" t="s">
        <v>2245</v>
      </c>
      <c r="K55" s="137" t="s">
        <v>2246</v>
      </c>
      <c r="L55" s="138" t="s">
        <v>2247</v>
      </c>
      <c r="M55" s="135">
        <v>3.0</v>
      </c>
      <c r="N55" s="136" t="str">
        <f>IFERROR(__xludf.DUMMYFUNCTION("GOOGLETRANSLATE(B55,""zh-tw"",""zh"")"),"现在就去-1")</f>
        <v>现在就去-1</v>
      </c>
      <c r="O55" s="154" t="str">
        <f>IFERROR(__xludf.DUMMYFUNCTION("GOOGLETRANSLATE(C55,""zh-tw"",""zh"")"),"触发偷窥换衣事件，拉门越大越容易被发现")</f>
        <v>触发偷窥换衣事件，拉门越大越容易被发现</v>
      </c>
      <c r="P55" s="100" t="str">
        <f>IFERROR(__xludf.DUMMYFUNCTION("GOOGLETRANSLATE(D55,""zh-tw"",""zh"")"),"1.安全潜入洗面所
2.被妹妹发现")</f>
        <v>1.安全潜入洗面所
2.被妹妹发现</v>
      </c>
      <c r="Q55" s="135">
        <v>3.0</v>
      </c>
      <c r="R55" s="136" t="s">
        <v>2248</v>
      </c>
      <c r="S55" s="154" t="s">
        <v>2249</v>
      </c>
      <c r="T55" s="100" t="s">
        <v>2250</v>
      </c>
      <c r="U55" s="135">
        <v>3.0</v>
      </c>
      <c r="V55" s="156" t="str">
        <f>IFERROR(__xludf.DUMMYFUNCTION("GOOGLETRANSLATE(B55,""zh-tw"",""KO"")"),"지금 -1로 이동하세요")</f>
        <v>지금 -1로 이동하세요</v>
      </c>
      <c r="W55" s="154" t="str">
        <f>IFERROR(__xludf.DUMMYFUNCTION("GOOGLETRANSLATE(C55,""zh-tw"",""KO"")"),"미닫이문이 클수록 누군가 옷을 갈아입으면서 훔쳐보는 것이 더 쉽게 발각될 수 있다.")</f>
        <v>미닫이문이 클수록 누군가 옷을 갈아입으면서 훔쳐보는 것이 더 쉽게 발각될 수 있다.</v>
      </c>
      <c r="X55" s="100" t="str">
        <f>IFERROR(__xludf.DUMMYFUNCTION("GOOGLETRANSLATE(D55,""zh-tw"",""KO"")"),"1. 안면 시술 센터에 성공적으로 잠입했다.
2. 여동생에게 발각되었다.")</f>
        <v>1. 안면 시술 센터에 성공적으로 잠입했다.
2. 여동생에게 발각되었다.</v>
      </c>
      <c r="Y55" s="135">
        <v>3.0</v>
      </c>
      <c r="Z55" s="219" t="s">
        <v>2251</v>
      </c>
      <c r="AA55" s="220" t="s">
        <v>2252</v>
      </c>
      <c r="AB55" s="221" t="s">
        <v>2253</v>
      </c>
      <c r="AC55" s="135">
        <v>3.0</v>
      </c>
      <c r="AD55" s="189" t="s">
        <v>2254</v>
      </c>
      <c r="AE55" s="190" t="s">
        <v>2255</v>
      </c>
      <c r="AF55" s="166" t="s">
        <v>2256</v>
      </c>
      <c r="AG55" s="135">
        <v>3.0</v>
      </c>
      <c r="AH55" s="136" t="s">
        <v>2257</v>
      </c>
      <c r="AI55" s="137" t="s">
        <v>2258</v>
      </c>
      <c r="AJ55" s="138" t="s">
        <v>2259</v>
      </c>
      <c r="AK55" s="148">
        <v>3.0</v>
      </c>
      <c r="AL55" s="149" t="s">
        <v>2260</v>
      </c>
      <c r="AM55" s="169" t="s">
        <v>2261</v>
      </c>
      <c r="AN55" s="172" t="s">
        <v>2262</v>
      </c>
      <c r="AO55" s="135">
        <v>3.0</v>
      </c>
      <c r="AP55" s="151" t="s">
        <v>2263</v>
      </c>
      <c r="AQ55" s="152" t="s">
        <v>2264</v>
      </c>
      <c r="AR55" s="153" t="s">
        <v>2265</v>
      </c>
      <c r="AS55" s="135">
        <v>3.0</v>
      </c>
      <c r="AT55" s="140" t="s">
        <v>2266</v>
      </c>
      <c r="AU55" s="137" t="s">
        <v>2267</v>
      </c>
      <c r="AV55" s="97" t="s">
        <v>2268</v>
      </c>
      <c r="AW55" s="138"/>
      <c r="AX55" s="138"/>
    </row>
    <row r="56">
      <c r="A56" s="135">
        <v>4.0</v>
      </c>
      <c r="B56" s="136" t="s">
        <v>2269</v>
      </c>
      <c r="C56" s="137" t="s">
        <v>2270</v>
      </c>
      <c r="D56" s="138" t="s">
        <v>2271</v>
      </c>
      <c r="E56" s="135">
        <v>4.0</v>
      </c>
      <c r="F56" s="136" t="s">
        <v>2272</v>
      </c>
      <c r="G56" s="139" t="s">
        <v>2273</v>
      </c>
      <c r="H56" s="138" t="s">
        <v>2274</v>
      </c>
      <c r="I56" s="135">
        <v>4.0</v>
      </c>
      <c r="J56" s="136" t="s">
        <v>2275</v>
      </c>
      <c r="K56" s="137" t="s">
        <v>2276</v>
      </c>
      <c r="L56" s="138" t="s">
        <v>2277</v>
      </c>
      <c r="M56" s="135">
        <v>4.0</v>
      </c>
      <c r="N56" s="136" t="str">
        <f>IFERROR(__xludf.DUMMYFUNCTION("GOOGLETRANSLATE(B56,""zh-tw"",""zh"")"),"现在就去-2")</f>
        <v>现在就去-2</v>
      </c>
      <c r="O56" s="154" t="str">
        <f>IFERROR(__xludf.DUMMYFUNCTION("GOOGLETRANSLATE(C56,""zh-tw"",""zh"")"),"触发偷窥换衣事件，当好感度高于2时，拉门未完全开启，可触发被发现的选项")</f>
        <v>触发偷窥换衣事件，当好感度高于2时，拉门未完全开启，可触发被发现的选项</v>
      </c>
      <c r="P56" s="100" t="str">
        <f>IFERROR(__xludf.DUMMYFUNCTION("GOOGLETRANSLATE(D56,""zh-tw"",""zh"")"),"出现三个选项(包含-让我看看)")</f>
        <v>出现三个选项(包含-让我看看)</v>
      </c>
      <c r="Q56" s="135">
        <v>4.0</v>
      </c>
      <c r="R56" s="136" t="s">
        <v>2278</v>
      </c>
      <c r="S56" s="154" t="s">
        <v>2279</v>
      </c>
      <c r="T56" s="100" t="s">
        <v>2280</v>
      </c>
      <c r="U56" s="135">
        <v>4.0</v>
      </c>
      <c r="V56" s="156" t="str">
        <f>IFERROR(__xludf.DUMMYFUNCTION("GOOGLETRANSLATE(B56,""zh-tw"",""KO"")"),"지금 -2로 이동하세요")</f>
        <v>지금 -2로 이동하세요</v>
      </c>
      <c r="W56" s="154" t="str">
        <f>IFERROR(__xludf.DUMMYFUNCTION("GOOGLETRANSLATE(C56,""zh-tw"",""KO"")"),"옷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6" s="100" t="str">
        <f>IFERROR(__xludf.DUMMYFUNCTION("GOOGLETRANSLATE(D56,""zh-tw"",""KO"")"),"""확인해 보겠습니다""를 포함하여 세 가지 옵션이 표시됩니다.")</f>
        <v>"확인해 보겠습니다"를 포함하여 세 가지 옵션이 표시됩니다.</v>
      </c>
      <c r="Y56" s="135">
        <v>4.0</v>
      </c>
      <c r="Z56" s="219" t="s">
        <v>2281</v>
      </c>
      <c r="AA56" s="220" t="s">
        <v>2282</v>
      </c>
      <c r="AB56" s="221" t="s">
        <v>2283</v>
      </c>
      <c r="AC56" s="135">
        <v>4.0</v>
      </c>
      <c r="AD56" s="189" t="s">
        <v>2284</v>
      </c>
      <c r="AE56" s="190" t="s">
        <v>2285</v>
      </c>
      <c r="AF56" s="166" t="s">
        <v>2286</v>
      </c>
      <c r="AG56" s="135">
        <v>4.0</v>
      </c>
      <c r="AH56" s="136" t="s">
        <v>2287</v>
      </c>
      <c r="AI56" s="137" t="s">
        <v>2288</v>
      </c>
      <c r="AJ56" s="138" t="s">
        <v>2289</v>
      </c>
      <c r="AK56" s="148">
        <v>4.0</v>
      </c>
      <c r="AL56" s="149" t="s">
        <v>2290</v>
      </c>
      <c r="AM56" s="169" t="s">
        <v>2291</v>
      </c>
      <c r="AN56" s="172" t="s">
        <v>2292</v>
      </c>
      <c r="AO56" s="135">
        <v>4.0</v>
      </c>
      <c r="AP56" s="151" t="s">
        <v>2293</v>
      </c>
      <c r="AQ56" s="165" t="s">
        <v>2294</v>
      </c>
      <c r="AR56" s="153" t="s">
        <v>2295</v>
      </c>
      <c r="AS56" s="135">
        <v>4.0</v>
      </c>
      <c r="AT56" s="140" t="s">
        <v>2296</v>
      </c>
      <c r="AU56" s="137" t="s">
        <v>2297</v>
      </c>
      <c r="AV56" s="97" t="s">
        <v>2298</v>
      </c>
      <c r="AW56" s="138"/>
      <c r="AX56" s="138"/>
    </row>
    <row r="57">
      <c r="A57" s="178">
        <v>5.0</v>
      </c>
      <c r="B57" s="136" t="s">
        <v>2299</v>
      </c>
      <c r="C57" s="137" t="s">
        <v>2300</v>
      </c>
      <c r="D57" s="138" t="s">
        <v>2301</v>
      </c>
      <c r="E57" s="178">
        <v>5.0</v>
      </c>
      <c r="F57" s="136" t="s">
        <v>2302</v>
      </c>
      <c r="G57" s="139" t="s">
        <v>2303</v>
      </c>
      <c r="H57" s="138" t="s">
        <v>2304</v>
      </c>
      <c r="I57" s="178">
        <v>5.0</v>
      </c>
      <c r="J57" s="136" t="s">
        <v>2305</v>
      </c>
      <c r="K57" s="137" t="s">
        <v>2306</v>
      </c>
      <c r="L57" s="138" t="s">
        <v>2307</v>
      </c>
      <c r="M57" s="178">
        <v>5.0</v>
      </c>
      <c r="N57" s="136" t="str">
        <f>IFERROR(__xludf.DUMMYFUNCTION("GOOGLETRANSLATE(B57,""zh-tw"",""zh"")"),"现在就去-3")</f>
        <v>现在就去-3</v>
      </c>
      <c r="O57" s="154" t="str">
        <f>IFERROR(__xludf.DUMMYFUNCTION("GOOGLETRANSLATE(C57,""zh-tw"",""zh"")"),"触发偷窥换衣事件，当好感度高于2时，拉门未完全开启，(出现三个选项都不选)，此时点击""鼠标右键""，即出现特殊选项")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7" s="100" t="str">
        <f>IFERROR(__xludf.DUMMYFUNCTION("GOOGLETRANSLATE(D57,""zh-tw"",""zh"")"),"出现特殊选项")</f>
        <v>出现特殊选项</v>
      </c>
      <c r="Q57" s="178">
        <v>5.0</v>
      </c>
      <c r="R57" s="136" t="s">
        <v>2308</v>
      </c>
      <c r="S57" s="154" t="s">
        <v>2309</v>
      </c>
      <c r="T57" s="100" t="s">
        <v>2310</v>
      </c>
      <c r="U57" s="178">
        <v>5.0</v>
      </c>
      <c r="V57" s="156" t="str">
        <f>IFERROR(__xludf.DUMMYFUNCTION("GOOGLETRANSLATE(B57,""zh-tw"",""KO"")"),"지금 -3으로 이동하세요")</f>
        <v>지금 -3으로 이동하세요</v>
      </c>
      <c r="W57" s="154" t="str">
        <f>IFERROR(__xludf.DUMMYFUNCTION("GOOGLETRANSLATE(C57,""zh-tw"",""KO"")"),"옷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7" s="100" t="str">
        <f>IFERROR(__xludf.DUMMYFUNCTION("GOOGLETRANSLATE(D57,""zh-tw"",""KO"")"),"특별 옵션이 표시됩니다")</f>
        <v>특별 옵션이 표시됩니다</v>
      </c>
      <c r="Y57" s="135">
        <v>5.0</v>
      </c>
      <c r="Z57" s="219" t="s">
        <v>2311</v>
      </c>
      <c r="AA57" s="220" t="s">
        <v>2312</v>
      </c>
      <c r="AB57" s="221" t="s">
        <v>2313</v>
      </c>
      <c r="AC57" s="135">
        <v>5.0</v>
      </c>
      <c r="AD57" s="189" t="s">
        <v>2314</v>
      </c>
      <c r="AE57" s="190" t="s">
        <v>2315</v>
      </c>
      <c r="AF57" s="166" t="s">
        <v>2316</v>
      </c>
      <c r="AG57" s="178">
        <v>5.0</v>
      </c>
      <c r="AH57" s="136" t="s">
        <v>2317</v>
      </c>
      <c r="AI57" s="137" t="s">
        <v>2318</v>
      </c>
      <c r="AJ57" s="138" t="s">
        <v>2319</v>
      </c>
      <c r="AK57" s="191">
        <v>5.0</v>
      </c>
      <c r="AL57" s="149" t="s">
        <v>2320</v>
      </c>
      <c r="AM57" s="169" t="s">
        <v>2321</v>
      </c>
      <c r="AN57" s="172" t="s">
        <v>2322</v>
      </c>
      <c r="AO57" s="135">
        <v>5.0</v>
      </c>
      <c r="AP57" s="151" t="s">
        <v>2323</v>
      </c>
      <c r="AQ57" s="152" t="s">
        <v>2324</v>
      </c>
      <c r="AR57" s="153" t="s">
        <v>2325</v>
      </c>
      <c r="AS57" s="135">
        <v>5.0</v>
      </c>
      <c r="AT57" s="140" t="s">
        <v>2326</v>
      </c>
      <c r="AU57" s="137" t="s">
        <v>2327</v>
      </c>
      <c r="AV57" s="138" t="s">
        <v>2328</v>
      </c>
      <c r="AW57" s="138"/>
      <c r="AX57" s="138"/>
    </row>
    <row r="58">
      <c r="A58" s="135">
        <v>6.0</v>
      </c>
      <c r="B58" s="136" t="s">
        <v>2329</v>
      </c>
      <c r="C58" s="137" t="s">
        <v>2330</v>
      </c>
      <c r="D58" s="138" t="s">
        <v>2331</v>
      </c>
      <c r="E58" s="135">
        <v>6.0</v>
      </c>
      <c r="F58" s="136" t="s">
        <v>2332</v>
      </c>
      <c r="G58" s="137" t="s">
        <v>2333</v>
      </c>
      <c r="H58" s="138" t="s">
        <v>2334</v>
      </c>
      <c r="I58" s="135">
        <v>6.0</v>
      </c>
      <c r="J58" s="136" t="s">
        <v>2335</v>
      </c>
      <c r="K58" s="137" t="s">
        <v>2336</v>
      </c>
      <c r="L58" s="138" t="s">
        <v>2337</v>
      </c>
      <c r="M58" s="135">
        <v>6.0</v>
      </c>
      <c r="N58" s="136" t="str">
        <f>IFERROR(__xludf.DUMMYFUNCTION("GOOGLETRANSLATE(B58,""zh-tw"",""zh"")"),"现在就去-4")</f>
        <v>现在就去-4</v>
      </c>
      <c r="O58" s="154" t="str">
        <f>IFERROR(__xludf.DUMMYFUNCTION("GOOGLETRANSLATE(C58,""zh-tw"",""zh"")"),"触发偷窥换衣事件，拉门完全开启，触发唯一选项")</f>
        <v>触发偷窥换衣事件，拉门完全开启，触发唯一选项</v>
      </c>
      <c r="P58" s="100" t="str">
        <f>IFERROR(__xludf.DUMMYFUNCTION("GOOGLETRANSLATE(D58,""zh-tw"",""zh"")"),"触发黑色选项(让我看看)")</f>
        <v>触发黑色选项(让我看看)</v>
      </c>
      <c r="Q58" s="135">
        <v>6.0</v>
      </c>
      <c r="R58" s="136" t="s">
        <v>2338</v>
      </c>
      <c r="S58" s="154" t="s">
        <v>2339</v>
      </c>
      <c r="T58" s="100" t="s">
        <v>2340</v>
      </c>
      <c r="U58" s="135">
        <v>6.0</v>
      </c>
      <c r="V58" s="156" t="str">
        <f>IFERROR(__xludf.DUMMYFUNCTION("GOOGLETRANSLATE(B58,""zh-tw"",""KO"")"),"지금 -4로 이동하세요")</f>
        <v>지금 -4로 이동하세요</v>
      </c>
      <c r="W58" s="154" t="str">
        <f>IFERROR(__xludf.DUMMYFUNCTION("GOOGLETRANSLATE(C58,""zh-tw"",""KO"")"),"옷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8" s="100" t="str">
        <f>IFERROR(__xludf.DUMMYFUNCTION("GOOGLETRANSLATE(D58,""zh-tw"",""KO"")"),"검정색 옵션을 활성화하세요(어디 보자).")</f>
        <v>검정색 옵션을 활성화하세요(어디 보자).</v>
      </c>
      <c r="Y58" s="135">
        <v>6.0</v>
      </c>
      <c r="Z58" s="219" t="s">
        <v>2341</v>
      </c>
      <c r="AA58" s="220" t="s">
        <v>2342</v>
      </c>
      <c r="AB58" s="221" t="s">
        <v>2343</v>
      </c>
      <c r="AC58" s="135">
        <v>6.0</v>
      </c>
      <c r="AD58" s="189" t="s">
        <v>2344</v>
      </c>
      <c r="AE58" s="190" t="s">
        <v>2345</v>
      </c>
      <c r="AF58" s="166" t="s">
        <v>2346</v>
      </c>
      <c r="AG58" s="135">
        <v>6.0</v>
      </c>
      <c r="AH58" s="136" t="s">
        <v>2347</v>
      </c>
      <c r="AI58" s="137" t="s">
        <v>2348</v>
      </c>
      <c r="AJ58" s="138" t="s">
        <v>2349</v>
      </c>
      <c r="AK58" s="148">
        <v>6.0</v>
      </c>
      <c r="AL58" s="149" t="s">
        <v>2350</v>
      </c>
      <c r="AM58" s="169" t="s">
        <v>2351</v>
      </c>
      <c r="AN58" s="172" t="s">
        <v>2352</v>
      </c>
      <c r="AO58" s="135">
        <v>6.0</v>
      </c>
      <c r="AP58" s="151" t="s">
        <v>2353</v>
      </c>
      <c r="AQ58" s="152" t="s">
        <v>2354</v>
      </c>
      <c r="AR58" s="153" t="s">
        <v>2355</v>
      </c>
      <c r="AS58" s="135">
        <v>6.0</v>
      </c>
      <c r="AT58" s="140" t="s">
        <v>2356</v>
      </c>
      <c r="AU58" s="137" t="s">
        <v>2357</v>
      </c>
      <c r="AV58" s="97" t="s">
        <v>2358</v>
      </c>
      <c r="AW58" s="138"/>
      <c r="AX58" s="138"/>
    </row>
    <row r="59">
      <c r="A59" s="135">
        <v>7.0</v>
      </c>
      <c r="B59" s="136" t="s">
        <v>2359</v>
      </c>
      <c r="C59" s="139" t="s">
        <v>2360</v>
      </c>
      <c r="D59" s="97" t="s">
        <v>2361</v>
      </c>
      <c r="E59" s="135">
        <v>7.0</v>
      </c>
      <c r="F59" s="140" t="s">
        <v>2362</v>
      </c>
      <c r="G59" s="139" t="s">
        <v>2363</v>
      </c>
      <c r="H59" s="97" t="s">
        <v>2364</v>
      </c>
      <c r="I59" s="135">
        <v>7.0</v>
      </c>
      <c r="J59" s="140" t="s">
        <v>2365</v>
      </c>
      <c r="K59" s="139" t="s">
        <v>2366</v>
      </c>
      <c r="L59" s="97" t="s">
        <v>2367</v>
      </c>
      <c r="M59" s="135">
        <v>7.0</v>
      </c>
      <c r="N59" s="136" t="str">
        <f>IFERROR(__xludf.DUMMYFUNCTION("GOOGLETRANSLATE(B59,""zh-tw"",""zh"")"),"现在就去-5")</f>
        <v>现在就去-5</v>
      </c>
      <c r="O59" s="154" t="str">
        <f>IFERROR(__xludf.DUMMYFUNCTION("GOOGLETRANSLATE(C59,""zh-tw"",""zh"")"),"同上，拉门完全开启后，马上将门再次关闭")</f>
        <v>同上，拉门完全开启后，马上将门再次关闭</v>
      </c>
      <c r="P59" s="100" t="str">
        <f>IFERROR(__xludf.DUMMYFUNCTION("GOOGLETRANSLATE(D59,""zh-tw"",""zh"")"),"触发不同的对话
出现三个选项(包含-让我看看)")</f>
        <v>触发不同的对话
出现三个选项(包含-让我看看)</v>
      </c>
      <c r="Q59" s="135">
        <v>7.0</v>
      </c>
      <c r="R59" s="156" t="str">
        <f>IFERROR(__xludf.DUMMYFUNCTION("GOOGLETRANSLATE(B59,""zh-tw"",""es-mx"")"),"Ve a -5 ahora")</f>
        <v>Ve a -5 ahora</v>
      </c>
      <c r="S59" s="139" t="s">
        <v>2368</v>
      </c>
      <c r="T59" s="100" t="str">
        <f>IFERROR(__xludf.DUMMYFUNCTION("GOOGLETRANSLATE(D59,""zh-tw"",""es-mx"")"),"Esto desencadena diferentes diálogos, presentando tres opciones (incluida ""Déjame ver"").")</f>
        <v>Esto desencadena diferentes diálogos, presentando tres opciones (incluida "Déjame ver").</v>
      </c>
      <c r="U59" s="135">
        <v>7.0</v>
      </c>
      <c r="V59" s="156" t="str">
        <f>IFERROR(__xludf.DUMMYFUNCTION("GOOGLETRANSLATE(B59,""zh-tw"",""KO"")"),"지금 -5로 이동하세요")</f>
        <v>지금 -5로 이동하세요</v>
      </c>
      <c r="W59" s="154" t="str">
        <f>IFERROR(__xludf.DUMMYFUNCTION("GOOGLETRANSLATE(C59,""zh-tw"",""KO"")"),"위에서 설명한 대로 미닫이문을 완전히 연 후에는 즉시 다시 닫으십시오.")</f>
        <v>위에서 설명한 대로 미닫이문을 완전히 연 후에는 즉시 다시 닫으십시오.</v>
      </c>
      <c r="X59" s="100" t="str">
        <f>IFERROR(__xludf.DUMMYFUNCTION("GOOGLETRANSLATE(D59,""zh-tw"",""KO"")"),"이렇게 하면 여러 가지 대화창이 나타나고, ""어디 보자""를 포함한 세 가지 선택지가 표시됩니다.")</f>
        <v>이렇게 하면 여러 가지 대화창이 나타나고, "어디 보자"를 포함한 세 가지 선택지가 표시됩니다.</v>
      </c>
      <c r="Y59" s="135">
        <v>7.0</v>
      </c>
      <c r="Z59" s="219" t="s">
        <v>2369</v>
      </c>
      <c r="AA59" s="220" t="s">
        <v>2370</v>
      </c>
      <c r="AB59" s="221" t="s">
        <v>2371</v>
      </c>
      <c r="AC59" s="135">
        <v>7.0</v>
      </c>
      <c r="AD59" s="189" t="s">
        <v>2372</v>
      </c>
      <c r="AE59" s="190" t="s">
        <v>2373</v>
      </c>
      <c r="AF59" s="166" t="s">
        <v>2374</v>
      </c>
      <c r="AG59" s="135">
        <v>7.0</v>
      </c>
      <c r="AH59" s="140" t="s">
        <v>2375</v>
      </c>
      <c r="AI59" s="139" t="s">
        <v>2376</v>
      </c>
      <c r="AJ59" s="97" t="s">
        <v>2377</v>
      </c>
      <c r="AK59" s="148">
        <v>7.0</v>
      </c>
      <c r="AL59" s="149" t="s">
        <v>2378</v>
      </c>
      <c r="AM59" s="169" t="s">
        <v>2379</v>
      </c>
      <c r="AN59" s="172" t="s">
        <v>2380</v>
      </c>
      <c r="AO59" s="135">
        <v>7.0</v>
      </c>
      <c r="AP59" s="151" t="s">
        <v>2381</v>
      </c>
      <c r="AQ59" s="152" t="s">
        <v>2382</v>
      </c>
      <c r="AR59" s="153" t="s">
        <v>2383</v>
      </c>
      <c r="AS59" s="135">
        <v>7.0</v>
      </c>
      <c r="AT59" s="140" t="s">
        <v>2384</v>
      </c>
      <c r="AU59" s="137" t="s">
        <v>2385</v>
      </c>
      <c r="AV59" s="97" t="s">
        <v>2386</v>
      </c>
      <c r="AW59" s="97"/>
      <c r="AX59" s="97"/>
    </row>
    <row r="60">
      <c r="A60" s="178">
        <v>8.0</v>
      </c>
      <c r="B60" s="136" t="s">
        <v>2387</v>
      </c>
      <c r="C60" s="139" t="s">
        <v>2388</v>
      </c>
      <c r="D60" s="138" t="s">
        <v>2389</v>
      </c>
      <c r="E60" s="178">
        <v>8.0</v>
      </c>
      <c r="F60" s="136" t="s">
        <v>2390</v>
      </c>
      <c r="G60" s="139" t="s">
        <v>2391</v>
      </c>
      <c r="H60" s="138" t="s">
        <v>2392</v>
      </c>
      <c r="I60" s="178">
        <v>8.0</v>
      </c>
      <c r="J60" s="136" t="s">
        <v>2393</v>
      </c>
      <c r="K60" s="137" t="s">
        <v>2394</v>
      </c>
      <c r="L60" s="138" t="s">
        <v>2395</v>
      </c>
      <c r="M60" s="178">
        <v>8.0</v>
      </c>
      <c r="N60" s="136" t="str">
        <f>IFERROR(__xludf.DUMMYFUNCTION("GOOGLETRANSLATE(B60,""zh-tw"",""zh"")"),"让我看看...-1")</f>
        <v>让我看看...-1</v>
      </c>
      <c r="O60" s="154" t="str">
        <f>IFERROR(__xludf.DUMMYFUNCTION("GOOGLETRANSLATE(C60,""zh-tw"",""zh"")"),"被妹妹拒绝")</f>
        <v>被妹妹拒绝</v>
      </c>
      <c r="P60" s="100" t="str">
        <f>IFERROR(__xludf.DUMMYFUNCTION("GOOGLETRANSLATE(D60,""zh-tw"",""zh"")"),"哥哥是笨蛋！")</f>
        <v>哥哥是笨蛋！</v>
      </c>
      <c r="Q60" s="178">
        <v>8.0</v>
      </c>
      <c r="R60" s="136" t="s">
        <v>2396</v>
      </c>
      <c r="S60" s="139" t="s">
        <v>2397</v>
      </c>
      <c r="T60" s="100" t="s">
        <v>2398</v>
      </c>
      <c r="U60" s="178">
        <v>8.0</v>
      </c>
      <c r="V60" s="156" t="str">
        <f>IFERROR(__xludf.DUMMYFUNCTION("GOOGLETRANSLATE(B60,""zh-tw"",""KO"")"),"어디 보자...-1")</f>
        <v>어디 보자...-1</v>
      </c>
      <c r="W60" s="154" t="str">
        <f>IFERROR(__xludf.DUMMYFUNCTION("GOOGLETRANSLATE(C60,""zh-tw"",""KO"")"),"내 여동생에게 거절당했어요")</f>
        <v>내 여동생에게 거절당했어요</v>
      </c>
      <c r="X60" s="100" t="str">
        <f>IFERROR(__xludf.DUMMYFUNCTION("GOOGLETRANSLATE(D60,""zh-tw"",""KO"")"),"내 동생은 바보야!")</f>
        <v>내 동생은 바보야!</v>
      </c>
      <c r="Y60" s="135">
        <v>8.0</v>
      </c>
      <c r="Z60" s="219" t="s">
        <v>2399</v>
      </c>
      <c r="AA60" s="220" t="s">
        <v>2400</v>
      </c>
      <c r="AB60" s="221" t="s">
        <v>2401</v>
      </c>
      <c r="AC60" s="135">
        <v>8.0</v>
      </c>
      <c r="AD60" s="189" t="s">
        <v>2402</v>
      </c>
      <c r="AE60" s="190" t="s">
        <v>2403</v>
      </c>
      <c r="AF60" s="166" t="s">
        <v>2404</v>
      </c>
      <c r="AG60" s="178">
        <v>8.0</v>
      </c>
      <c r="AH60" s="136" t="s">
        <v>2405</v>
      </c>
      <c r="AI60" s="137" t="s">
        <v>2406</v>
      </c>
      <c r="AJ60" s="138" t="s">
        <v>2407</v>
      </c>
      <c r="AK60" s="191">
        <v>8.0</v>
      </c>
      <c r="AL60" s="149" t="s">
        <v>2408</v>
      </c>
      <c r="AM60" s="169" t="s">
        <v>2409</v>
      </c>
      <c r="AN60" s="170" t="s">
        <v>2410</v>
      </c>
      <c r="AO60" s="135">
        <v>8.0</v>
      </c>
      <c r="AP60" s="151" t="s">
        <v>2411</v>
      </c>
      <c r="AQ60" s="165" t="s">
        <v>2412</v>
      </c>
      <c r="AR60" s="153" t="s">
        <v>2413</v>
      </c>
      <c r="AS60" s="135">
        <v>8.0</v>
      </c>
      <c r="AT60" s="140" t="s">
        <v>2414</v>
      </c>
      <c r="AU60" s="139" t="s">
        <v>2415</v>
      </c>
      <c r="AV60" s="97" t="s">
        <v>2416</v>
      </c>
      <c r="AW60" s="138"/>
      <c r="AX60" s="138"/>
    </row>
    <row r="61">
      <c r="A61" s="135">
        <v>9.0</v>
      </c>
      <c r="B61" s="140" t="s">
        <v>2417</v>
      </c>
      <c r="C61" s="139" t="s">
        <v>2418</v>
      </c>
      <c r="D61" s="97" t="s">
        <v>2419</v>
      </c>
      <c r="E61" s="135">
        <v>9.0</v>
      </c>
      <c r="F61" s="136" t="s">
        <v>2420</v>
      </c>
      <c r="G61" s="137" t="s">
        <v>2421</v>
      </c>
      <c r="H61" s="138" t="s">
        <v>2422</v>
      </c>
      <c r="I61" s="135">
        <v>9.0</v>
      </c>
      <c r="J61" s="136" t="s">
        <v>2423</v>
      </c>
      <c r="K61" s="137" t="s">
        <v>2424</v>
      </c>
      <c r="L61" s="97" t="s">
        <v>2425</v>
      </c>
      <c r="M61" s="135">
        <v>9.0</v>
      </c>
      <c r="N61" s="136" t="str">
        <f>IFERROR(__xludf.DUMMYFUNCTION("GOOGLETRANSLATE(B61,""zh-tw"",""zh"")"),"让我看看...-2
""想要色色""")</f>
        <v>让我看看...-2
"想要色色"</v>
      </c>
      <c r="O61" s="154" t="str">
        <f>IFERROR(__xludf.DUMMYFUNCTION("GOOGLETRANSLATE(C61,""zh-tw"",""zh"")"),"将门完全打开时，有机率出现""想要色色""
若此时你的爱心数量不足，则可以使用""约定:草莓牛奶""或金币")</f>
        <v>将门完全打开时，有机率出现"想要色色"
若此时你的爱心数量不足，则可以使用"约定:草莓牛奶"或金币</v>
      </c>
      <c r="P61" s="100" t="str">
        <f>IFERROR(__xludf.DUMMYFUNCTION("GOOGLETRANSLATE(D61,""zh-tw"",""zh"")"),"执行""想要色色""选项
后续依照贿络结果，触发后续剧情(贿络未实装)")</f>
        <v>执行"想要色色"选项
后续依照贿络结果，触发后续剧情(贿络未实装)</v>
      </c>
      <c r="Q61" s="135">
        <v>9.0</v>
      </c>
      <c r="R61" s="156" t="s">
        <v>2426</v>
      </c>
      <c r="S61" s="139" t="s">
        <v>2427</v>
      </c>
      <c r="T61" s="97" t="s">
        <v>2428</v>
      </c>
      <c r="U61" s="135">
        <v>9.0</v>
      </c>
      <c r="V61" s="156" t="str">
        <f>IFERROR(__xludf.DUMMYFUNCTION("GOOGLETRANSLATE(B61,""zh-tw"",""KO"")"),"어디 보자... -2
""섹스하고 싶어?""")</f>
        <v>어디 보자... -2
"섹스하고 싶어?"</v>
      </c>
      <c r="W61" s="154" t="str">
        <f>IFERROR(__xludf.DUMMYFUNCTION("GOOGLETRANSLATE(C61,""zh-tw"",""KO"")"),"문이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61" s="100" t="str">
        <f>IFERROR(__xludf.DUMMYFUNCTION("GOOGLETRANSLATE(D61,""zh-tw"",""KO"")"),"""성관계를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61" s="135">
        <v>9.0</v>
      </c>
      <c r="Z61" s="219" t="s">
        <v>2429</v>
      </c>
      <c r="AA61" s="220" t="s">
        <v>2430</v>
      </c>
      <c r="AB61" s="221" t="s">
        <v>2431</v>
      </c>
      <c r="AC61" s="135">
        <v>9.0</v>
      </c>
      <c r="AD61" s="189" t="s">
        <v>2432</v>
      </c>
      <c r="AE61" s="190" t="s">
        <v>2433</v>
      </c>
      <c r="AF61" s="166" t="s">
        <v>2434</v>
      </c>
      <c r="AG61" s="135">
        <v>9.0</v>
      </c>
      <c r="AH61" s="136" t="s">
        <v>2435</v>
      </c>
      <c r="AI61" s="137" t="s">
        <v>2436</v>
      </c>
      <c r="AJ61" s="138" t="s">
        <v>2437</v>
      </c>
      <c r="AK61" s="148">
        <v>9.0</v>
      </c>
      <c r="AL61" s="149" t="s">
        <v>2438</v>
      </c>
      <c r="AM61" s="173" t="s">
        <v>2439</v>
      </c>
      <c r="AN61" s="170" t="s">
        <v>2440</v>
      </c>
      <c r="AO61" s="135">
        <v>9.0</v>
      </c>
      <c r="AP61" s="151" t="s">
        <v>2441</v>
      </c>
      <c r="AQ61" s="152" t="s">
        <v>2442</v>
      </c>
      <c r="AR61" s="153" t="s">
        <v>2443</v>
      </c>
      <c r="AS61" s="135">
        <v>9.0</v>
      </c>
      <c r="AT61" s="140" t="s">
        <v>2444</v>
      </c>
      <c r="AU61" s="137" t="s">
        <v>2445</v>
      </c>
      <c r="AV61" s="138" t="s">
        <v>2446</v>
      </c>
      <c r="AW61" s="97"/>
      <c r="AX61" s="97"/>
    </row>
    <row r="62">
      <c r="A62" s="135">
        <v>10.0</v>
      </c>
      <c r="B62" s="140" t="s">
        <v>2447</v>
      </c>
      <c r="C62" s="137" t="s">
        <v>2448</v>
      </c>
      <c r="D62" s="97" t="s">
        <v>2449</v>
      </c>
      <c r="E62" s="135">
        <v>10.0</v>
      </c>
      <c r="F62" s="136" t="s">
        <v>2450</v>
      </c>
      <c r="G62" s="139" t="s">
        <v>2451</v>
      </c>
      <c r="H62" s="138" t="s">
        <v>2452</v>
      </c>
      <c r="I62" s="135">
        <v>10.0</v>
      </c>
      <c r="J62" s="136" t="s">
        <v>2453</v>
      </c>
      <c r="K62" s="139" t="s">
        <v>2454</v>
      </c>
      <c r="L62" s="138" t="s">
        <v>2455</v>
      </c>
      <c r="M62" s="135">
        <v>10.0</v>
      </c>
      <c r="N62" s="136" t="str">
        <f>IFERROR(__xludf.DUMMYFUNCTION("GOOGLETRANSLATE(B62,""zh-tw"",""zh"")"),"让我看看...-3
""想要色色""")</f>
        <v>让我看看...-3
"想要色色"</v>
      </c>
      <c r="O62" s="154" t="str">
        <f>IFERROR(__xludf.DUMMYFUNCTION("GOOGLETRANSLATE(C62,""zh-tw"",""zh"")"),"同上，被拒绝时，使用""什么都行券""")</f>
        <v>同上，被拒绝时，使用"什么都行券"</v>
      </c>
      <c r="P62" s="100" t="str">
        <f>IFERROR(__xludf.DUMMYFUNCTION("GOOGLETRANSLATE(D62,""zh-tw"",""zh"")"),"执行""想要色色""选项
后续使用""什么都行券""必定可以触发后续剧情(未实装)")</f>
        <v>执行"想要色色"选项
后续使用"什么都行券"必定可以触发后续剧情(未实装)</v>
      </c>
      <c r="Q62" s="135">
        <v>10.0</v>
      </c>
      <c r="R62" s="156" t="s">
        <v>2456</v>
      </c>
      <c r="S62" s="139" t="s">
        <v>2457</v>
      </c>
      <c r="T62" s="97" t="s">
        <v>2458</v>
      </c>
      <c r="U62" s="135">
        <v>10.0</v>
      </c>
      <c r="V62" s="156" t="str">
        <f>IFERROR(__xludf.DUMMYFUNCTION("GOOGLETRANSLATE(B62,""zh-tw"",""KO"")"),"어디 보자... -3
""섹시해지고 싶어""")</f>
        <v>어디 보자... -3
"섹시해지고 싶어"</v>
      </c>
      <c r="W62" s="154" t="str">
        <f>IFERROR(__xludf.DUMMYFUNCTION("GOOGLETRANSLATE(C62,""zh-tw"",""KO"")"),"마찬가지로 거절당했을 경우 ""무엇이든 괜찮습니다"" 쿠폰을 사용하세요.")</f>
        <v>마찬가지로 거절당했을 경우 "무엇이든 괜찮습니다" 쿠폰을 사용하세요.</v>
      </c>
      <c r="X62" s="100" t="str">
        <f>IFERROR(__xludf.DUMMYFUNCTION("GOOGLETRANSLATE(D62,""zh-tw"",""KO"")"),"""성관계를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62" s="135">
        <v>10.0</v>
      </c>
      <c r="Z62" s="219" t="s">
        <v>2459</v>
      </c>
      <c r="AA62" s="220" t="s">
        <v>2460</v>
      </c>
      <c r="AB62" s="221" t="s">
        <v>2461</v>
      </c>
      <c r="AC62" s="135">
        <v>10.0</v>
      </c>
      <c r="AD62" s="189" t="s">
        <v>2462</v>
      </c>
      <c r="AE62" s="190" t="s">
        <v>2463</v>
      </c>
      <c r="AF62" s="166" t="s">
        <v>2464</v>
      </c>
      <c r="AG62" s="135">
        <v>10.0</v>
      </c>
      <c r="AH62" s="136" t="s">
        <v>2465</v>
      </c>
      <c r="AI62" s="137" t="s">
        <v>2466</v>
      </c>
      <c r="AJ62" s="138" t="s">
        <v>2467</v>
      </c>
      <c r="AK62" s="148">
        <v>10.0</v>
      </c>
      <c r="AL62" s="149" t="s">
        <v>2468</v>
      </c>
      <c r="AM62" s="169" t="s">
        <v>2469</v>
      </c>
      <c r="AN62" s="172" t="s">
        <v>2470</v>
      </c>
      <c r="AO62" s="135">
        <v>10.0</v>
      </c>
      <c r="AP62" s="151" t="s">
        <v>2471</v>
      </c>
      <c r="AQ62" s="152" t="s">
        <v>2472</v>
      </c>
      <c r="AR62" s="153" t="s">
        <v>2473</v>
      </c>
      <c r="AS62" s="135">
        <v>10.0</v>
      </c>
      <c r="AT62" s="140" t="s">
        <v>2474</v>
      </c>
      <c r="AU62" s="137" t="s">
        <v>2475</v>
      </c>
      <c r="AV62" s="138" t="s">
        <v>2476</v>
      </c>
      <c r="AW62" s="97"/>
      <c r="AX62" s="97"/>
    </row>
    <row r="63">
      <c r="A63" s="178">
        <v>11.0</v>
      </c>
      <c r="B63" s="140" t="s">
        <v>2477</v>
      </c>
      <c r="C63" s="139" t="s">
        <v>2478</v>
      </c>
      <c r="D63" s="97" t="s">
        <v>2479</v>
      </c>
      <c r="E63" s="178">
        <v>11.0</v>
      </c>
      <c r="F63" s="136" t="s">
        <v>2480</v>
      </c>
      <c r="G63" s="139" t="s">
        <v>2481</v>
      </c>
      <c r="H63" s="97" t="s">
        <v>2482</v>
      </c>
      <c r="I63" s="178">
        <v>11.0</v>
      </c>
      <c r="J63" s="140" t="s">
        <v>2483</v>
      </c>
      <c r="K63" s="139" t="s">
        <v>2484</v>
      </c>
      <c r="L63" s="97" t="s">
        <v>2485</v>
      </c>
      <c r="M63" s="178">
        <v>11.0</v>
      </c>
      <c r="N63" s="136" t="str">
        <f>IFERROR(__xludf.DUMMYFUNCTION("GOOGLETRANSLATE(B63,""zh-tw"",""zh"")"),"让我看看...-4
""想要色色""")</f>
        <v>让我看看...-4
"想要色色"</v>
      </c>
      <c r="O63" s="154" t="str">
        <f>IFERROR(__xludf.DUMMYFUNCTION("GOOGLETRANSLATE(C63,""zh-tw"",""zh"")"),"同上，当紫心1以上、红心2以上，可以触发剧情")</f>
        <v>同上，当紫心1以上、红心2以上，可以触发剧情</v>
      </c>
      <c r="P63" s="100" t="str">
        <f>IFERROR(__xludf.DUMMYFUNCTION("GOOGLETRANSLATE(D63,""zh-tw"",""zh"")"),"执行""想要色色""选项
触发用手服务的剧情")</f>
        <v>执行"想要色色"选项
触发用手服务的剧情</v>
      </c>
      <c r="Q63" s="178">
        <v>11.0</v>
      </c>
      <c r="R63" s="156" t="s">
        <v>2486</v>
      </c>
      <c r="S63" s="139" t="s">
        <v>2487</v>
      </c>
      <c r="T63" s="97" t="s">
        <v>2488</v>
      </c>
      <c r="U63" s="178">
        <v>11.0</v>
      </c>
      <c r="V63" s="156" t="str">
        <f>IFERROR(__xludf.DUMMYFUNCTION("GOOGLETRANSLATE(B63,""zh-tw"",""KO"")"),"어디 보자... -4
""섹스하고 싶어?""")</f>
        <v>어디 보자... -4
"섹스하고 싶어?"</v>
      </c>
      <c r="W63" s="154" t="str">
        <f>IFERROR(__xludf.DUMMYFUNCTION("GOOGLETRANSLATE(C63,""zh-tw"",""KO"")"),"위에서 설명한 것처럼, 보라색 하트가 1개 이상, 빨간색 하트가 2개 이상 있을 때 이벤트가 발생할 수 있습니다.")</f>
        <v>위에서 설명한 것처럼, 보라색 하트가 1개 이상, 빨간색 하트가 2개 이상 있을 때 이벤트가 발생할 수 있습니다.</v>
      </c>
      <c r="X63" s="100" t="str">
        <f>IFERROR(__xludf.DUMMYFUNCTION("GOOGLETRANSLATE(D63,""zh-tw"",""KO"")"),"""에로틱한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3" s="135">
        <v>11.0</v>
      </c>
      <c r="Z63" s="219" t="s">
        <v>2489</v>
      </c>
      <c r="AA63" s="220" t="s">
        <v>2490</v>
      </c>
      <c r="AB63" s="85" t="s">
        <v>2491</v>
      </c>
      <c r="AC63" s="135">
        <v>11.0</v>
      </c>
      <c r="AD63" s="189" t="s">
        <v>2492</v>
      </c>
      <c r="AE63" s="190" t="s">
        <v>2493</v>
      </c>
      <c r="AF63" s="166" t="s">
        <v>2494</v>
      </c>
      <c r="AG63" s="178">
        <v>11.0</v>
      </c>
      <c r="AH63" s="136" t="s">
        <v>2495</v>
      </c>
      <c r="AI63" s="137" t="s">
        <v>2496</v>
      </c>
      <c r="AJ63" s="138" t="s">
        <v>2497</v>
      </c>
      <c r="AK63" s="191">
        <v>11.0</v>
      </c>
      <c r="AL63" s="149" t="s">
        <v>2498</v>
      </c>
      <c r="AM63" s="173" t="s">
        <v>2499</v>
      </c>
      <c r="AN63" s="172" t="s">
        <v>2500</v>
      </c>
      <c r="AO63" s="135">
        <v>11.0</v>
      </c>
      <c r="AP63" s="151" t="s">
        <v>2501</v>
      </c>
      <c r="AQ63" s="165" t="s">
        <v>2502</v>
      </c>
      <c r="AR63" s="153" t="s">
        <v>2503</v>
      </c>
      <c r="AS63" s="135">
        <v>11.0</v>
      </c>
      <c r="AT63" s="140" t="s">
        <v>2504</v>
      </c>
      <c r="AU63" s="137" t="s">
        <v>2505</v>
      </c>
      <c r="AV63" s="138" t="s">
        <v>2506</v>
      </c>
      <c r="AW63" s="97"/>
      <c r="AX63" s="97"/>
    </row>
    <row r="64">
      <c r="A64" s="135">
        <v>12.0</v>
      </c>
      <c r="B64" s="136" t="s">
        <v>2507</v>
      </c>
      <c r="C64" s="137" t="s">
        <v>2508</v>
      </c>
      <c r="D64" s="138" t="s">
        <v>2509</v>
      </c>
      <c r="E64" s="135">
        <v>12.0</v>
      </c>
      <c r="F64" s="136" t="s">
        <v>2510</v>
      </c>
      <c r="G64" s="137" t="s">
        <v>2511</v>
      </c>
      <c r="H64" s="138" t="s">
        <v>2512</v>
      </c>
      <c r="I64" s="135">
        <v>12.0</v>
      </c>
      <c r="J64" s="140" t="s">
        <v>2513</v>
      </c>
      <c r="K64" s="139" t="s">
        <v>2514</v>
      </c>
      <c r="L64" s="97" t="s">
        <v>2515</v>
      </c>
      <c r="M64" s="135">
        <v>12.0</v>
      </c>
      <c r="N64" s="136" t="str">
        <f>IFERROR(__xludf.DUMMYFUNCTION("GOOGLETRANSLATE(B64,""zh-tw"",""zh"")"),"再等会")</f>
        <v>再等会</v>
      </c>
      <c r="O64" s="139" t="s">
        <v>2516</v>
      </c>
      <c r="P64" s="100" t="str">
        <f>IFERROR(__xludf.DUMMYFUNCTION("GOOGLETRANSLATE(D64,""zh-tw"",""zh"")"),"安全潜入洗面所")</f>
        <v>安全潜入洗面所</v>
      </c>
      <c r="Q64" s="135">
        <v>12.0</v>
      </c>
      <c r="R64" s="140" t="s">
        <v>2517</v>
      </c>
      <c r="S64" s="139" t="s">
        <v>2518</v>
      </c>
      <c r="T64" s="97" t="s">
        <v>2519</v>
      </c>
      <c r="U64" s="135">
        <v>12.0</v>
      </c>
      <c r="V64" s="156" t="str">
        <f>IFERROR(__xludf.DUMMYFUNCTION("GOOGLETRANSLATE(B64,""zh-tw"",""KO"")"),"잠시만 기다려 주세요")</f>
        <v>잠시만 기다려 주세요</v>
      </c>
      <c r="W64" s="154" t="str">
        <f>IFERROR(__xludf.DUMMYFUNCTION("GOOGLETRANSLATE(C64,""zh-tw"",""KO"")"),"옷 갈아입는 동안 몰래 엿보는 일을 피하면 목욕탕에 안전하게 잠입할 수 있다.")</f>
        <v>옷 갈아입는 동안 몰래 엿보는 일을 피하면 목욕탕에 안전하게 잠입할 수 있다.</v>
      </c>
      <c r="X64" s="100" t="str">
        <f>IFERROR(__xludf.DUMMYFUNCTION("GOOGLETRANSLATE(D64,""zh-tw"",""KO"")"),"안전하게 세안제에 스며들게 하세요")</f>
        <v>안전하게 세안제에 스며들게 하세요</v>
      </c>
      <c r="Y64" s="135">
        <v>12.0</v>
      </c>
      <c r="Z64" s="219" t="s">
        <v>2520</v>
      </c>
      <c r="AA64" s="220" t="s">
        <v>2521</v>
      </c>
      <c r="AB64" s="221" t="s">
        <v>2522</v>
      </c>
      <c r="AC64" s="135">
        <v>12.0</v>
      </c>
      <c r="AD64" s="189" t="s">
        <v>2523</v>
      </c>
      <c r="AE64" s="190" t="s">
        <v>2524</v>
      </c>
      <c r="AF64" s="166" t="s">
        <v>2525</v>
      </c>
      <c r="AG64" s="135">
        <v>12.0</v>
      </c>
      <c r="AH64" s="136" t="s">
        <v>2526</v>
      </c>
      <c r="AI64" s="137" t="s">
        <v>2527</v>
      </c>
      <c r="AJ64" s="138" t="s">
        <v>2528</v>
      </c>
      <c r="AK64" s="148">
        <v>12.0</v>
      </c>
      <c r="AL64" s="149" t="s">
        <v>2529</v>
      </c>
      <c r="AM64" s="169" t="s">
        <v>2530</v>
      </c>
      <c r="AN64" s="172" t="s">
        <v>2531</v>
      </c>
      <c r="AO64" s="135">
        <v>12.0</v>
      </c>
      <c r="AP64" s="151" t="s">
        <v>2532</v>
      </c>
      <c r="AQ64" s="152" t="s">
        <v>2533</v>
      </c>
      <c r="AR64" s="164" t="s">
        <v>2534</v>
      </c>
      <c r="AS64" s="135">
        <v>12.0</v>
      </c>
      <c r="AT64" s="136" t="s">
        <v>2535</v>
      </c>
      <c r="AU64" s="137" t="s">
        <v>2536</v>
      </c>
      <c r="AV64" s="138" t="s">
        <v>2537</v>
      </c>
      <c r="AW64" s="138"/>
      <c r="AX64" s="138"/>
    </row>
    <row r="65">
      <c r="A65" s="135">
        <v>13.0</v>
      </c>
      <c r="B65" s="136" t="s">
        <v>2538</v>
      </c>
      <c r="C65" s="137" t="s">
        <v>2539</v>
      </c>
      <c r="D65" s="138" t="s">
        <v>2540</v>
      </c>
      <c r="E65" s="135">
        <v>13.0</v>
      </c>
      <c r="F65" s="140" t="s">
        <v>2541</v>
      </c>
      <c r="G65" s="137" t="s">
        <v>2542</v>
      </c>
      <c r="H65" s="138" t="s">
        <v>2543</v>
      </c>
      <c r="I65" s="135">
        <v>13.0</v>
      </c>
      <c r="J65" s="136" t="s">
        <v>2544</v>
      </c>
      <c r="K65" s="137" t="s">
        <v>2545</v>
      </c>
      <c r="L65" s="138" t="s">
        <v>2546</v>
      </c>
      <c r="M65" s="135">
        <v>13.0</v>
      </c>
      <c r="N65" s="136" t="str">
        <f>IFERROR(__xludf.DUMMYFUNCTION("GOOGLETRANSLATE(B65,""zh-tw"",""zh"")"),"第一次潜入")</f>
        <v>第一次潜入</v>
      </c>
      <c r="O65" s="139" t="s">
        <v>2547</v>
      </c>
      <c r="P65" s="100" t="str">
        <f>IFERROR(__xludf.DUMMYFUNCTION("GOOGLETRANSLATE(D65,""zh-tw"",""zh"")"),"※一次性事件
只能探索一下就必须离开")</f>
        <v>※一次性事件
只能探索一下就必须离开</v>
      </c>
      <c r="Q65" s="135">
        <v>13.0</v>
      </c>
      <c r="R65" s="156" t="s">
        <v>2548</v>
      </c>
      <c r="S65" s="139" t="s">
        <v>2549</v>
      </c>
      <c r="T65" s="100" t="s">
        <v>2550</v>
      </c>
      <c r="U65" s="135">
        <v>13.0</v>
      </c>
      <c r="V65" s="156" t="str">
        <f>IFERROR(__xludf.DUMMYFUNCTION("GOOGLETRANSLATE(B65,""zh-tw"",""KO"")"),"첫 번째 침투")</f>
        <v>첫 번째 침투</v>
      </c>
      <c r="W65" s="154" t="s">
        <v>2551</v>
      </c>
      <c r="X65" s="100" t="s">
        <v>2552</v>
      </c>
      <c r="Y65" s="135">
        <v>13.0</v>
      </c>
      <c r="Z65" s="219" t="s">
        <v>2553</v>
      </c>
      <c r="AA65" s="220" t="s">
        <v>2554</v>
      </c>
      <c r="AB65" s="221" t="s">
        <v>2555</v>
      </c>
      <c r="AC65" s="135">
        <v>13.0</v>
      </c>
      <c r="AD65" s="189" t="s">
        <v>2556</v>
      </c>
      <c r="AE65" s="190" t="s">
        <v>2557</v>
      </c>
      <c r="AF65" s="166" t="s">
        <v>2558</v>
      </c>
      <c r="AG65" s="135">
        <v>13.0</v>
      </c>
      <c r="AH65" s="136" t="s">
        <v>2559</v>
      </c>
      <c r="AI65" s="137" t="s">
        <v>2560</v>
      </c>
      <c r="AJ65" s="138" t="s">
        <v>2561</v>
      </c>
      <c r="AK65" s="148">
        <v>13.0</v>
      </c>
      <c r="AL65" s="149" t="s">
        <v>2562</v>
      </c>
      <c r="AM65" s="169" t="s">
        <v>2563</v>
      </c>
      <c r="AN65" s="172" t="s">
        <v>2564</v>
      </c>
      <c r="AO65" s="135">
        <v>13.0</v>
      </c>
      <c r="AP65" s="151" t="s">
        <v>2565</v>
      </c>
      <c r="AQ65" s="165" t="s">
        <v>2566</v>
      </c>
      <c r="AR65" s="153" t="s">
        <v>2567</v>
      </c>
      <c r="AS65" s="135">
        <v>13.0</v>
      </c>
      <c r="AT65" s="136" t="s">
        <v>2568</v>
      </c>
      <c r="AU65" s="137" t="s">
        <v>2569</v>
      </c>
      <c r="AV65" s="138" t="s">
        <v>2570</v>
      </c>
      <c r="AW65" s="138"/>
      <c r="AX65" s="138"/>
    </row>
    <row r="66">
      <c r="A66" s="178">
        <v>14.0</v>
      </c>
      <c r="B66" s="136" t="s">
        <v>2571</v>
      </c>
      <c r="C66" s="137" t="s">
        <v>2572</v>
      </c>
      <c r="D66" s="138" t="s">
        <v>2573</v>
      </c>
      <c r="E66" s="178">
        <v>14.0</v>
      </c>
      <c r="F66" s="136" t="s">
        <v>2574</v>
      </c>
      <c r="G66" s="137" t="s">
        <v>2575</v>
      </c>
      <c r="H66" s="138" t="s">
        <v>2576</v>
      </c>
      <c r="I66" s="178">
        <v>14.0</v>
      </c>
      <c r="J66" s="136" t="s">
        <v>2577</v>
      </c>
      <c r="K66" s="137" t="s">
        <v>2578</v>
      </c>
      <c r="L66" s="138" t="s">
        <v>2579</v>
      </c>
      <c r="M66" s="178">
        <v>14.0</v>
      </c>
      <c r="N66" s="136" t="str">
        <f>IFERROR(__xludf.DUMMYFUNCTION("GOOGLETRANSLATE(B66,""zh-tw"",""zh"")"),"胖次！")</f>
        <v>胖次！</v>
      </c>
      <c r="O66" s="154" t="str">
        <f>IFERROR(__xludf.DUMMYFUNCTION("GOOGLETRANSLATE(C66,""zh-tw"",""zh"")"),"潜入时，偷拿内裤，并被发现")</f>
        <v>潜入时，偷拿内裤，并被发现</v>
      </c>
      <c r="P66" s="100" t="str">
        <f>IFERROR(__xludf.DUMMYFUNCTION("GOOGLETRANSLATE(D66,""zh-tw"",""zh"")"),"特殊剧情
获得道具:妹妹脱下的内裤")</f>
        <v>特殊剧情
获得道具:妹妹脱下的内裤</v>
      </c>
      <c r="Q66" s="178">
        <v>14.0</v>
      </c>
      <c r="R66" s="156" t="s">
        <v>2580</v>
      </c>
      <c r="S66" s="154" t="s">
        <v>2581</v>
      </c>
      <c r="T66" s="100" t="s">
        <v>2582</v>
      </c>
      <c r="U66" s="178">
        <v>14.0</v>
      </c>
      <c r="V66" s="156" t="str">
        <f>IFERROR(__xludf.DUMMYFUNCTION("GOOGLETRANSLATE(B66,""zh-tw"",""KO"")"),"팬티!")</f>
        <v>팬티!</v>
      </c>
      <c r="W66" s="154" t="str">
        <f>IFERROR(__xludf.DUMMYFUNCTION("GOOGLETRANSLATE(C66,""zh-tw"",""KO"")"),"그는 침입해서 속옷을 훔치다가 발각되었다.")</f>
        <v>그는 침입해서 속옷을 훔치다가 발각되었다.</v>
      </c>
      <c r="X66" s="100" t="str">
        <f>IFERROR(__xludf.DUMMYFUNCTION("GOOGLETRANSLATE(D66,""zh-tw"",""KO"")"),"특별 이벤트
획득 아이템: 여동생의 속옷")</f>
        <v>특별 이벤트
획득 아이템: 여동생의 속옷</v>
      </c>
      <c r="Y66" s="135">
        <v>14.0</v>
      </c>
      <c r="Z66" s="219" t="s">
        <v>2583</v>
      </c>
      <c r="AA66" s="220" t="s">
        <v>2584</v>
      </c>
      <c r="AB66" s="221" t="s">
        <v>2585</v>
      </c>
      <c r="AC66" s="135">
        <v>14.0</v>
      </c>
      <c r="AD66" s="189" t="s">
        <v>2583</v>
      </c>
      <c r="AE66" s="190" t="s">
        <v>2586</v>
      </c>
      <c r="AF66" s="166" t="s">
        <v>2587</v>
      </c>
      <c r="AG66" s="178">
        <v>14.0</v>
      </c>
      <c r="AH66" s="136" t="s">
        <v>2588</v>
      </c>
      <c r="AI66" s="137" t="s">
        <v>2589</v>
      </c>
      <c r="AJ66" s="138" t="s">
        <v>2590</v>
      </c>
      <c r="AK66" s="191">
        <v>14.0</v>
      </c>
      <c r="AL66" s="149" t="s">
        <v>2591</v>
      </c>
      <c r="AM66" s="169" t="s">
        <v>2592</v>
      </c>
      <c r="AN66" s="172" t="s">
        <v>2593</v>
      </c>
      <c r="AO66" s="135">
        <v>14.0</v>
      </c>
      <c r="AP66" s="151" t="s">
        <v>2594</v>
      </c>
      <c r="AQ66" s="165" t="s">
        <v>2595</v>
      </c>
      <c r="AR66" s="153" t="s">
        <v>2596</v>
      </c>
      <c r="AS66" s="135">
        <v>14.0</v>
      </c>
      <c r="AT66" s="136" t="s">
        <v>2597</v>
      </c>
      <c r="AU66" s="137" t="s">
        <v>2598</v>
      </c>
      <c r="AV66" s="138" t="s">
        <v>2599</v>
      </c>
      <c r="AW66" s="138"/>
      <c r="AX66" s="138"/>
    </row>
    <row r="67">
      <c r="A67" s="135">
        <v>15.0</v>
      </c>
      <c r="B67" s="136" t="s">
        <v>2600</v>
      </c>
      <c r="C67" s="137" t="s">
        <v>2601</v>
      </c>
      <c r="D67" s="138" t="s">
        <v>2602</v>
      </c>
      <c r="E67" s="135">
        <v>15.0</v>
      </c>
      <c r="F67" s="136" t="s">
        <v>2603</v>
      </c>
      <c r="G67" s="137" t="s">
        <v>2604</v>
      </c>
      <c r="H67" s="138" t="s">
        <v>2605</v>
      </c>
      <c r="I67" s="135">
        <v>15.0</v>
      </c>
      <c r="J67" s="136" t="s">
        <v>2606</v>
      </c>
      <c r="K67" s="139" t="s">
        <v>2607</v>
      </c>
      <c r="L67" s="138" t="s">
        <v>2608</v>
      </c>
      <c r="M67" s="135">
        <v>15.0</v>
      </c>
      <c r="N67" s="136" t="str">
        <f>IFERROR(__xludf.DUMMYFUNCTION("GOOGLETRANSLATE(B67,""zh-tw"",""zh"")"),"手的温度-1")</f>
        <v>手的温度-1</v>
      </c>
      <c r="O67" s="154" t="str">
        <f>IFERROR(__xludf.DUMMYFUNCTION("GOOGLETRANSLATE(C67,""zh-tw"",""zh"")"),"第二次偷内衣时被发现，并且当爱心达到6，即可触发。")</f>
        <v>第二次偷内衣时被发现，并且当爱心达到6，即可触发。</v>
      </c>
      <c r="P67" s="100" t="str">
        <f>IFERROR(__xludf.DUMMYFUNCTION("GOOGLETRANSLATE(D67,""zh-tw"",""zh"")"),"妹妹用手来服务的特殊剧情
*目前实装3种内裤")</f>
        <v>妹妹用手来服务的特殊剧情
*目前实装3种内裤</v>
      </c>
      <c r="Q67" s="135">
        <v>15.0</v>
      </c>
      <c r="R67" s="156" t="s">
        <v>2609</v>
      </c>
      <c r="S67" s="154" t="s">
        <v>2610</v>
      </c>
      <c r="T67" s="100" t="str">
        <f>IFERROR(__xludf.DUMMYFUNCTION("GOOGLETRANSLATE(D67,""zh-tw"",""es-MX"")"),"Historia especial en la que la hermana menor usa sus manos.
*Actualmente, se utilizan 3 tipos de ropa interior.")</f>
        <v>Historia especial en la que la hermana menor usa sus manos.
*Actualmente, se utilizan 3 tipos de ropa interior.</v>
      </c>
      <c r="U67" s="135">
        <v>15.0</v>
      </c>
      <c r="V67" s="156" t="str">
        <f>IFERROR(__xludf.DUMMYFUNCTION("GOOGLETRANSLATE(B67,""zh-tw"",""KO"")"),"손 온도 -1")</f>
        <v>손 온도 -1</v>
      </c>
      <c r="W67" s="154" t="str">
        <f>IFERROR(__xludf.DUMMYFUNCTION("GOOGLETRANSLATE(C67,""zh-tw"",""KO"")"),"이 이벤트는 속옷을 훔치다 두 번째로 발각되고 하트 수치가 6에 도달했을 때 발생합니다.")</f>
        <v>이 이벤트는 속옷을 훔치다 두 번째로 발각되고 하트 수치가 6에 도달했을 때 발생합니다.</v>
      </c>
      <c r="X67" s="100" t="str">
        <f>IFERROR(__xludf.DUMMYFUNCTION("GOOGLETRANSLATE(D67,""zh-tw"",""KO"")"),"여동생이 손을 사용하는 특별한 스토리라인
*현재 3가지 종류의 속옷이 구현되어 있습니다.")</f>
        <v>여동생이 손을 사용하는 특별한 스토리라인
*현재 3가지 종류의 속옷이 구현되어 있습니다.</v>
      </c>
      <c r="Y67" s="135">
        <v>15.0</v>
      </c>
      <c r="Z67" s="219" t="s">
        <v>2611</v>
      </c>
      <c r="AA67" s="220" t="s">
        <v>2612</v>
      </c>
      <c r="AB67" s="144" t="s">
        <v>2613</v>
      </c>
      <c r="AC67" s="135">
        <v>15.0</v>
      </c>
      <c r="AD67" s="189" t="s">
        <v>2614</v>
      </c>
      <c r="AE67" s="190" t="s">
        <v>2615</v>
      </c>
      <c r="AF67" s="166" t="s">
        <v>2616</v>
      </c>
      <c r="AG67" s="135">
        <v>15.0</v>
      </c>
      <c r="AH67" s="136" t="s">
        <v>2617</v>
      </c>
      <c r="AI67" s="137" t="s">
        <v>2618</v>
      </c>
      <c r="AJ67" s="138" t="s">
        <v>2619</v>
      </c>
      <c r="AK67" s="148">
        <v>15.0</v>
      </c>
      <c r="AL67" s="149" t="s">
        <v>2620</v>
      </c>
      <c r="AM67" s="169" t="s">
        <v>2621</v>
      </c>
      <c r="AN67" s="172" t="s">
        <v>2622</v>
      </c>
      <c r="AO67" s="135">
        <v>15.0</v>
      </c>
      <c r="AP67" s="151" t="s">
        <v>2623</v>
      </c>
      <c r="AQ67" s="152" t="s">
        <v>2624</v>
      </c>
      <c r="AR67" s="153" t="s">
        <v>2625</v>
      </c>
      <c r="AS67" s="135">
        <v>15.0</v>
      </c>
      <c r="AT67" s="140" t="s">
        <v>2626</v>
      </c>
      <c r="AU67" s="137" t="s">
        <v>2627</v>
      </c>
      <c r="AV67" s="138" t="s">
        <v>2628</v>
      </c>
      <c r="AW67" s="138"/>
      <c r="AX67" s="138"/>
    </row>
    <row r="68">
      <c r="A68" s="135">
        <v>16.0</v>
      </c>
      <c r="B68" s="136" t="s">
        <v>2629</v>
      </c>
      <c r="C68" s="137" t="s">
        <v>2630</v>
      </c>
      <c r="D68" s="138" t="s">
        <v>2631</v>
      </c>
      <c r="E68" s="135">
        <v>16.0</v>
      </c>
      <c r="F68" s="136" t="s">
        <v>2632</v>
      </c>
      <c r="G68" s="137" t="s">
        <v>2633</v>
      </c>
      <c r="H68" s="138" t="s">
        <v>2634</v>
      </c>
      <c r="I68" s="135">
        <v>16.0</v>
      </c>
      <c r="J68" s="136" t="s">
        <v>2635</v>
      </c>
      <c r="K68" s="137" t="s">
        <v>2636</v>
      </c>
      <c r="L68" s="138" t="s">
        <v>2637</v>
      </c>
      <c r="M68" s="135">
        <v>16.0</v>
      </c>
      <c r="N68" s="136" t="str">
        <f>IFERROR(__xludf.DUMMYFUNCTION("GOOGLETRANSLATE(B68,""zh-tw"",""zh"")"),"手的温度-2")</f>
        <v>手的温度-2</v>
      </c>
      <c r="O68" s="154" t="str">
        <f>IFERROR(__xludf.DUMMYFUNCTION("GOOGLETRANSLATE(C68,""zh-tw"",""zh"")"),"承上，紫心达到3，可以不用隔着衣物")</f>
        <v>承上，紫心达到3，可以不用隔着衣物</v>
      </c>
      <c r="P68" s="100" t="str">
        <f>IFERROR(__xludf.DUMMYFUNCTION("GOOGLETRANSLATE(D68,""zh-tw"",""zh"")"),"妹妹用手来服务的特殊剧情")</f>
        <v>妹妹用手来服务的特殊剧情</v>
      </c>
      <c r="Q68" s="135">
        <v>16.0</v>
      </c>
      <c r="R68" s="156" t="s">
        <v>2638</v>
      </c>
      <c r="S68" s="139" t="s">
        <v>2639</v>
      </c>
      <c r="T68" s="100" t="str">
        <f>IFERROR(__xludf.DUMMYFUNCTION("GOOGLETRANSLATE(D68,""zh-tw"",""es-MX"")"),"La trama especial de la hermana menor usando sus manos para servir.")</f>
        <v>La trama especial de la hermana menor usando sus manos para servir.</v>
      </c>
      <c r="U68" s="135">
        <v>16.0</v>
      </c>
      <c r="V68" s="156" t="str">
        <f>IFERROR(__xludf.DUMMYFUNCTION("GOOGLETRANSLATE(B68,""zh-tw"",""KO"")"),"손 온도 -2")</f>
        <v>손 온도 -2</v>
      </c>
      <c r="W68" s="154" t="str">
        <f>IFERROR(__xludf.DUMMYFUNCTION("GOOGLETRANSLATE(C68,""zh-tw"",""KO"")"),"위에서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8" s="100" t="str">
        <f>IFERROR(__xludf.DUMMYFUNCTION("GOOGLETRANSLATE(D68,""zh-tw"",""KO"")"),"여동생이 손을 이용해 봉사하는 특별한 줄거리.")</f>
        <v>여동생이 손을 이용해 봉사하는 특별한 줄거리.</v>
      </c>
      <c r="Y68" s="135">
        <v>16.0</v>
      </c>
      <c r="Z68" s="219" t="s">
        <v>2640</v>
      </c>
      <c r="AA68" s="220" t="s">
        <v>2641</v>
      </c>
      <c r="AB68" s="221" t="s">
        <v>2642</v>
      </c>
      <c r="AC68" s="135">
        <v>16.0</v>
      </c>
      <c r="AD68" s="189" t="s">
        <v>2643</v>
      </c>
      <c r="AE68" s="190" t="s">
        <v>2644</v>
      </c>
      <c r="AF68" s="166" t="s">
        <v>2645</v>
      </c>
      <c r="AG68" s="135">
        <v>16.0</v>
      </c>
      <c r="AH68" s="136" t="s">
        <v>2646</v>
      </c>
      <c r="AI68" s="137" t="s">
        <v>2647</v>
      </c>
      <c r="AJ68" s="138" t="s">
        <v>2648</v>
      </c>
      <c r="AK68" s="148">
        <v>16.0</v>
      </c>
      <c r="AL68" s="149" t="s">
        <v>2649</v>
      </c>
      <c r="AM68" s="169" t="s">
        <v>2650</v>
      </c>
      <c r="AN68" s="170" t="s">
        <v>2651</v>
      </c>
      <c r="AO68" s="135">
        <v>16.0</v>
      </c>
      <c r="AP68" s="151" t="s">
        <v>2652</v>
      </c>
      <c r="AQ68" s="165" t="s">
        <v>2653</v>
      </c>
      <c r="AR68" s="153" t="s">
        <v>2654</v>
      </c>
      <c r="AS68" s="135">
        <v>16.0</v>
      </c>
      <c r="AT68" s="140" t="s">
        <v>2655</v>
      </c>
      <c r="AU68" s="137" t="s">
        <v>2656</v>
      </c>
      <c r="AV68" s="138" t="s">
        <v>2657</v>
      </c>
      <c r="AW68" s="138"/>
      <c r="AX68" s="138"/>
    </row>
    <row r="69">
      <c r="A69" s="178">
        <v>17.0</v>
      </c>
      <c r="B69" s="136" t="s">
        <v>2658</v>
      </c>
      <c r="C69" s="137" t="s">
        <v>2659</v>
      </c>
      <c r="D69" s="138" t="s">
        <v>2660</v>
      </c>
      <c r="E69" s="178">
        <v>17.0</v>
      </c>
      <c r="F69" s="136" t="s">
        <v>2661</v>
      </c>
      <c r="G69" s="137" t="s">
        <v>2662</v>
      </c>
      <c r="H69" s="138" t="s">
        <v>2663</v>
      </c>
      <c r="I69" s="178">
        <v>17.0</v>
      </c>
      <c r="J69" s="136" t="s">
        <v>2664</v>
      </c>
      <c r="K69" s="137" t="s">
        <v>2665</v>
      </c>
      <c r="L69" s="138" t="s">
        <v>2666</v>
      </c>
      <c r="M69" s="178">
        <v>17.0</v>
      </c>
      <c r="N69" s="136" t="str">
        <f>IFERROR(__xludf.DUMMYFUNCTION("GOOGLETRANSLATE(B69,""zh-tw"",""zh"")"),"气息消除-1")</f>
        <v>气息消除-1</v>
      </c>
      <c r="O69" s="139" t="s">
        <v>2667</v>
      </c>
      <c r="P69" s="100" t="str">
        <f>IFERROR(__xludf.DUMMYFUNCTION("GOOGLETRANSLATE(D69,""zh-tw"",""zh"")"),"使用特殊选项")</f>
        <v>使用特殊选项</v>
      </c>
      <c r="Q69" s="178">
        <v>17.0</v>
      </c>
      <c r="R69" s="156" t="str">
        <f>IFERROR(__xludf.DUMMYFUNCTION("GOOGLETRANSLATE(B69,""zh-tw"",""es-MX"")"),"Eliminación de aura -1")</f>
        <v>Eliminación de aura -1</v>
      </c>
      <c r="S69" s="139" t="s">
        <v>2668</v>
      </c>
      <c r="T69" s="100" t="str">
        <f>IFERROR(__xludf.DUMMYFUNCTION("GOOGLETRANSLATE(D69,""zh-tw"",""es-MX"")"),"Utilice opciones especiales")</f>
        <v>Utilice opciones especiales</v>
      </c>
      <c r="U69" s="178">
        <v>17.0</v>
      </c>
      <c r="V69" s="156" t="str">
        <f>IFERROR(__xludf.DUMMYFUNCTION("GOOGLETRANSLATE(B69,""zh-tw"",""KO"")"),"오라 제거 -1")</f>
        <v>오라 제거 -1</v>
      </c>
      <c r="W69" s="154" t="str">
        <f>IFERROR(__xludf.DUMMYFUNCTION("GOOGLETRANSLATE(C69,""zh-tw"",""KO"")"),"""오라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9" s="100" t="str">
        <f>IFERROR(__xludf.DUMMYFUNCTION("GOOGLETRANSLATE(D69,""zh-tw"",""KO"")"),"특별 옵션을 사용하세요")</f>
        <v>특별 옵션을 사용하세요</v>
      </c>
      <c r="Y69" s="135">
        <v>17.0</v>
      </c>
      <c r="Z69" s="219" t="s">
        <v>2669</v>
      </c>
      <c r="AA69" s="220" t="s">
        <v>2670</v>
      </c>
      <c r="AB69" s="221" t="s">
        <v>2671</v>
      </c>
      <c r="AC69" s="135">
        <v>17.0</v>
      </c>
      <c r="AD69" s="189" t="s">
        <v>2672</v>
      </c>
      <c r="AE69" s="190" t="s">
        <v>2673</v>
      </c>
      <c r="AF69" s="166" t="s">
        <v>2674</v>
      </c>
      <c r="AG69" s="178">
        <v>17.0</v>
      </c>
      <c r="AH69" s="136" t="s">
        <v>2675</v>
      </c>
      <c r="AI69" s="137" t="s">
        <v>2676</v>
      </c>
      <c r="AJ69" s="138" t="s">
        <v>2677</v>
      </c>
      <c r="AK69" s="191">
        <v>17.0</v>
      </c>
      <c r="AL69" s="149" t="s">
        <v>2678</v>
      </c>
      <c r="AM69" s="169" t="s">
        <v>2679</v>
      </c>
      <c r="AN69" s="172" t="s">
        <v>2680</v>
      </c>
      <c r="AO69" s="135">
        <v>17.0</v>
      </c>
      <c r="AP69" s="151" t="s">
        <v>2681</v>
      </c>
      <c r="AQ69" s="165" t="s">
        <v>2682</v>
      </c>
      <c r="AR69" s="153" t="s">
        <v>2683</v>
      </c>
      <c r="AS69" s="135">
        <v>17.0</v>
      </c>
      <c r="AT69" s="140" t="s">
        <v>2684</v>
      </c>
      <c r="AU69" s="137" t="s">
        <v>2685</v>
      </c>
      <c r="AV69" s="138" t="s">
        <v>2686</v>
      </c>
      <c r="AW69" s="138"/>
      <c r="AX69" s="138"/>
    </row>
    <row r="70">
      <c r="A70" s="135">
        <v>18.0</v>
      </c>
      <c r="B70" s="136" t="s">
        <v>2687</v>
      </c>
      <c r="C70" s="137" t="s">
        <v>2688</v>
      </c>
      <c r="D70" s="138" t="s">
        <v>2689</v>
      </c>
      <c r="E70" s="135">
        <v>18.0</v>
      </c>
      <c r="F70" s="136" t="s">
        <v>2690</v>
      </c>
      <c r="G70" s="137" t="s">
        <v>2691</v>
      </c>
      <c r="H70" s="138" t="s">
        <v>2692</v>
      </c>
      <c r="I70" s="135">
        <v>18.0</v>
      </c>
      <c r="J70" s="136" t="s">
        <v>2693</v>
      </c>
      <c r="K70" s="137" t="s">
        <v>2694</v>
      </c>
      <c r="L70" s="138" t="s">
        <v>2695</v>
      </c>
      <c r="M70" s="135">
        <v>18.0</v>
      </c>
      <c r="N70" s="136" t="str">
        <f>IFERROR(__xludf.DUMMYFUNCTION("GOOGLETRANSLATE(B70,""zh-tw"",""zh"")"),"透明的门-1")</f>
        <v>透明的门-1</v>
      </c>
      <c r="O70" s="154" t="str">
        <f>IFERROR(__xludf.DUMMYFUNCTION("GOOGLETRANSLATE(C70,""zh-tw"",""zh"")"),"可以在妹妹独自洗澡时进行偷窥")</f>
        <v>可以在妹妹独自洗澡时进行偷窥</v>
      </c>
      <c r="P70" s="100" t="str">
        <f>IFERROR(__xludf.DUMMYFUNCTION("GOOGLETRANSLATE(D70,""zh-tw"",""zh"")"),"可以看到妹妹洗头、胸的场景
目前无偷窥失败、好感爱心的分歧，待制作。")</f>
        <v>可以看到妹妹洗头、胸的场景
目前无偷窥失败、好感爱心的分歧，待制作。</v>
      </c>
      <c r="Q70" s="135">
        <v>18.0</v>
      </c>
      <c r="R70" s="156" t="s">
        <v>2696</v>
      </c>
      <c r="S70" s="139" t="s">
        <v>2697</v>
      </c>
      <c r="T70" s="100" t="str">
        <f>IFERROR(__xludf.DUMMYFUNCTION("GOOGLETRANSLATE(D70,""zh-tw"",""es-MX"")"),"Se pueden ver escenas de la hermana menor lavándose el pelo y el pecho. Por el momento, no hay problemas relacionados con intentos fallidos de voyeurismo ni muestras de afecto; esto aún está en desarrollo.")</f>
        <v>Se pueden ver escenas de la hermana menor lavándose el pelo y el pecho. Por el momento, no hay problemas relacionados con intentos fallidos de voyeurismo ni muestras de afecto; esto aún está en desarrollo.</v>
      </c>
      <c r="U70" s="135">
        <v>18.0</v>
      </c>
      <c r="V70" s="156" t="str">
        <f>IFERROR(__xludf.DUMMYFUNCTION("GOOGLETRANSLATE(B70,""zh-tw"",""KO"")"),"투명 도어-1")</f>
        <v>투명 도어-1</v>
      </c>
      <c r="W70" s="154" t="str">
        <f>IFERROR(__xludf.DUMMYFUNCTION("GOOGLETRANSLATE(C70,""zh-tw"",""KO"")"),"여동생이 혼자 목욕하는 모습을 몰래 엿볼 수 있습니다.")</f>
        <v>여동생이 혼자 목욕하는 모습을 몰래 엿볼 수 있습니다.</v>
      </c>
      <c r="X70" s="100" t="str">
        <f>IFERROR(__xludf.DUMMYFUNCTION("GOOGLETRANSLATE(D70,""zh-tw"",""KO"")"),"여동생이 머리를 감고 가슴을 드러내는 장면이 나옵니다. 현재로서는 엿보기 시도 실패나 애정 표현과 관련된 내용은 없으며, 추후 개발될 예정입니다.")</f>
        <v>여동생이 머리를 감고 가슴을 드러내는 장면이 나옵니다. 현재로서는 엿보기 시도 실패나 애정 표현과 관련된 내용은 없으며, 추후 개발될 예정입니다.</v>
      </c>
      <c r="Y70" s="135">
        <v>18.0</v>
      </c>
      <c r="Z70" s="219" t="s">
        <v>2698</v>
      </c>
      <c r="AA70" s="220" t="s">
        <v>2699</v>
      </c>
      <c r="AB70" s="221" t="s">
        <v>2700</v>
      </c>
      <c r="AC70" s="135">
        <v>18.0</v>
      </c>
      <c r="AD70" s="189" t="s">
        <v>2701</v>
      </c>
      <c r="AE70" s="190" t="s">
        <v>2702</v>
      </c>
      <c r="AF70" s="166" t="s">
        <v>2703</v>
      </c>
      <c r="AG70" s="135">
        <v>18.0</v>
      </c>
      <c r="AH70" s="136" t="s">
        <v>2704</v>
      </c>
      <c r="AI70" s="137" t="s">
        <v>2705</v>
      </c>
      <c r="AJ70" s="138" t="s">
        <v>2706</v>
      </c>
      <c r="AK70" s="148">
        <v>18.0</v>
      </c>
      <c r="AL70" s="149" t="s">
        <v>2707</v>
      </c>
      <c r="AM70" s="169" t="s">
        <v>2708</v>
      </c>
      <c r="AN70" s="172" t="s">
        <v>2709</v>
      </c>
      <c r="AO70" s="135">
        <v>18.0</v>
      </c>
      <c r="AP70" s="151" t="s">
        <v>2710</v>
      </c>
      <c r="AQ70" s="152" t="s">
        <v>2711</v>
      </c>
      <c r="AR70" s="164" t="s">
        <v>2712</v>
      </c>
      <c r="AS70" s="135">
        <v>18.0</v>
      </c>
      <c r="AT70" s="140" t="s">
        <v>2713</v>
      </c>
      <c r="AU70" s="137" t="s">
        <v>2714</v>
      </c>
      <c r="AV70" s="138" t="s">
        <v>2715</v>
      </c>
      <c r="AW70" s="138"/>
      <c r="AX70" s="138"/>
    </row>
    <row r="71">
      <c r="A71" s="135">
        <v>19.0</v>
      </c>
      <c r="B71" s="136" t="s">
        <v>2716</v>
      </c>
      <c r="C71" s="137" t="s">
        <v>2717</v>
      </c>
      <c r="D71" s="138" t="s">
        <v>2718</v>
      </c>
      <c r="E71" s="135">
        <v>19.0</v>
      </c>
      <c r="F71" s="136" t="s">
        <v>2719</v>
      </c>
      <c r="G71" s="137" t="s">
        <v>2720</v>
      </c>
      <c r="H71" s="138" t="s">
        <v>2721</v>
      </c>
      <c r="I71" s="135">
        <v>19.0</v>
      </c>
      <c r="J71" s="136" t="s">
        <v>2722</v>
      </c>
      <c r="K71" s="137" t="s">
        <v>2723</v>
      </c>
      <c r="L71" s="138" t="s">
        <v>2724</v>
      </c>
      <c r="M71" s="135">
        <v>19.0</v>
      </c>
      <c r="N71" s="136" t="str">
        <f>IFERROR(__xludf.DUMMYFUNCTION("GOOGLETRANSLATE(B71,""zh-tw"",""zh"")"),"透明的门-2")</f>
        <v>透明的门-2</v>
      </c>
      <c r="O71" s="154" t="str">
        <f>IFERROR(__xludf.DUMMYFUNCTION("GOOGLETRANSLATE(C71,""zh-tw"",""zh"")"),"在妹妹独自洗澡时，进行时间消耗，直到浴室门没有妹妹的身影，再进到浴室中偷窥，可以看到泡澡时的样子")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1" s="100" t="str">
        <f>IFERROR(__xludf.DUMMYFUNCTION("GOOGLETRANSLATE(D71,""zh-tw"",""zh"")"),"有无黄色小鸭有不同画面
(目前还没有制作无小鸭的场景，近期应该会更新)
目前无偷窥失败的场景")</f>
        <v>有无黄色小鸭有不同画面
(目前还没有制作无小鸭的场景，近期应该会更新)
目前无偷窥失败的场景</v>
      </c>
      <c r="Q71" s="135">
        <v>19.0</v>
      </c>
      <c r="R71" s="156" t="s">
        <v>2725</v>
      </c>
      <c r="S71" s="154" t="s">
        <v>2726</v>
      </c>
      <c r="T71" s="100" t="str">
        <f>IFERROR(__xludf.DUMMYFUNCTION("GOOGLETRANSLATE(D71,""zh-tw"",""es-MX"")"),"La presencia o ausencia del patito de goma crea diferentes efectos visuales.
(Las escenas sin el patito aún no están disponibles; se añadirán próximamente).
Actualmente no hay escenas que muestren intentos fallidos de espiar.")</f>
        <v>La presencia o ausencia del patito de goma crea diferentes efectos visuales.
(Las escenas sin el patito aún no están disponibles; se añadirán próximamente).
Actualmente no hay escenas que muestren intentos fallidos de espiar.</v>
      </c>
      <c r="U71" s="135">
        <v>19.0</v>
      </c>
      <c r="V71" s="156" t="str">
        <f>IFERROR(__xludf.DUMMYFUNCTION("GOOGLETRANSLATE(B71,""zh-tw"",""KO"")"),"투명 도어-2")</f>
        <v>투명 도어-2</v>
      </c>
      <c r="W71" s="154" t="str">
        <f>IFERROR(__xludf.DUMMYFUNCTION("GOOGLETRANSLATE(C71,""zh-tw"",""KO"")"),"여동생이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71" s="100" t="str">
        <f>IFERROR(__xludf.DUMMYFUNCTION("GOOGLETRANSLATE(D71,""zh-tw"",""KO"")"),"고무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71" s="135">
        <v>19.0</v>
      </c>
      <c r="Z71" s="219" t="s">
        <v>2727</v>
      </c>
      <c r="AA71" s="220" t="s">
        <v>2728</v>
      </c>
      <c r="AB71" s="221" t="s">
        <v>2729</v>
      </c>
      <c r="AC71" s="135">
        <v>19.0</v>
      </c>
      <c r="AD71" s="189" t="s">
        <v>2730</v>
      </c>
      <c r="AE71" s="190" t="s">
        <v>2731</v>
      </c>
      <c r="AF71" s="166" t="s">
        <v>2732</v>
      </c>
      <c r="AG71" s="135">
        <v>19.0</v>
      </c>
      <c r="AH71" s="136" t="s">
        <v>2733</v>
      </c>
      <c r="AI71" s="137" t="s">
        <v>2734</v>
      </c>
      <c r="AJ71" s="138" t="s">
        <v>2735</v>
      </c>
      <c r="AK71" s="148">
        <v>19.0</v>
      </c>
      <c r="AL71" s="149" t="s">
        <v>2736</v>
      </c>
      <c r="AM71" s="169" t="s">
        <v>2737</v>
      </c>
      <c r="AN71" s="172" t="s">
        <v>2738</v>
      </c>
      <c r="AO71" s="135">
        <v>19.0</v>
      </c>
      <c r="AP71" s="151" t="s">
        <v>2739</v>
      </c>
      <c r="AQ71" s="165" t="s">
        <v>2740</v>
      </c>
      <c r="AR71" s="153" t="s">
        <v>2741</v>
      </c>
      <c r="AS71" s="135">
        <v>19.0</v>
      </c>
      <c r="AT71" s="140" t="s">
        <v>2742</v>
      </c>
      <c r="AU71" s="137" t="s">
        <v>2743</v>
      </c>
      <c r="AV71" s="138" t="s">
        <v>2744</v>
      </c>
      <c r="AW71" s="138"/>
      <c r="AX71" s="138"/>
    </row>
    <row r="72">
      <c r="A72" s="178">
        <v>20.0</v>
      </c>
      <c r="B72" s="136" t="s">
        <v>2745</v>
      </c>
      <c r="C72" s="137" t="s">
        <v>2746</v>
      </c>
      <c r="D72" s="138" t="s">
        <v>2747</v>
      </c>
      <c r="E72" s="178">
        <v>20.0</v>
      </c>
      <c r="F72" s="136" t="s">
        <v>2748</v>
      </c>
      <c r="G72" s="137" t="s">
        <v>2749</v>
      </c>
      <c r="H72" s="138" t="s">
        <v>2750</v>
      </c>
      <c r="I72" s="178">
        <v>20.0</v>
      </c>
      <c r="J72" s="136" t="s">
        <v>2751</v>
      </c>
      <c r="K72" s="137" t="s">
        <v>2752</v>
      </c>
      <c r="L72" s="138" t="s">
        <v>2753</v>
      </c>
      <c r="M72" s="178">
        <v>20.0</v>
      </c>
      <c r="N72" s="136" t="str">
        <f>IFERROR(__xludf.DUMMYFUNCTION("GOOGLETRANSLATE(B72,""zh-tw"",""zh"")"),"透明的门-3")</f>
        <v>透明的门-3</v>
      </c>
      <c r="O72" s="154" t="str">
        <f>IFERROR(__xludf.DUMMYFUNCTION("GOOGLETRANSLATE(C72,""zh-tw"",""zh"")"),"在习得""气息消除""后，哥哥会在一个人洗澡时偷偷改造浴室门，使其变成忍者门。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2" s="100" t="str">
        <f>IFERROR(__xludf.DUMMYFUNCTION("GOOGLETRANSLATE(D72,""zh-tw"",""zh"")"),"特殊视角观看演出")</f>
        <v>特殊视角观看演出</v>
      </c>
      <c r="Q72" s="178">
        <v>20.0</v>
      </c>
      <c r="R72" s="156" t="s">
        <v>2754</v>
      </c>
      <c r="S72" s="154" t="s">
        <v>2755</v>
      </c>
      <c r="T72" s="100" t="s">
        <v>2756</v>
      </c>
      <c r="U72" s="178">
        <v>20.0</v>
      </c>
      <c r="V72" s="156" t="str">
        <f>IFERROR(__xludf.DUMMYFUNCTION("GOOGLETRANSLATE(B72,""zh-tw"",""KO"")"),"투명 도어-3")</f>
        <v>투명 도어-3</v>
      </c>
      <c r="W72" s="154" t="str">
        <f>IFERROR(__xludf.DUMMYFUNCTION("GOOGLETRANSLATE(C72,""zh-tw"",""KO"")"),"""오라 제거"" 기술을 익힌 후, 오빠는 혼자 샤워할 때 몰래 욕실 문을 닌자 문으로 개조합니다.
닌자 문을 사용할 수 있는 옵션은 세 번째 스테이지에서 오빠가 여동생이 샤워하는 모습을 엿볼 때 활성화됩니다.")</f>
        <v>"오라 제거" 기술을 익힌 후, 오빠는 혼자 샤워할 때 몰래 욕실 문을 닌자 문으로 개조합니다.
닌자 문을 사용할 수 있는 옵션은 세 번째 스테이지에서 오빠가 여동생이 샤워하는 모습을 엿볼 때 활성화됩니다.</v>
      </c>
      <c r="X72" s="100" t="str">
        <f>IFERROR(__xludf.DUMMYFUNCTION("GOOGLETRANSLATE(D72,""zh-tw"",""KO"")"),"특별한 관점에서 공연을 감상하기")</f>
        <v>특별한 관점에서 공연을 감상하기</v>
      </c>
      <c r="Y72" s="135">
        <v>20.0</v>
      </c>
      <c r="Z72" s="219" t="s">
        <v>2757</v>
      </c>
      <c r="AA72" s="220" t="s">
        <v>2758</v>
      </c>
      <c r="AB72" s="221" t="s">
        <v>2759</v>
      </c>
      <c r="AC72" s="135">
        <v>20.0</v>
      </c>
      <c r="AD72" s="189" t="s">
        <v>2760</v>
      </c>
      <c r="AE72" s="190" t="s">
        <v>2761</v>
      </c>
      <c r="AF72" s="166" t="s">
        <v>2762</v>
      </c>
      <c r="AG72" s="178">
        <v>20.0</v>
      </c>
      <c r="AH72" s="136" t="s">
        <v>2763</v>
      </c>
      <c r="AI72" s="137" t="s">
        <v>2764</v>
      </c>
      <c r="AJ72" s="138" t="s">
        <v>2765</v>
      </c>
      <c r="AK72" s="191">
        <v>20.0</v>
      </c>
      <c r="AL72" s="149" t="s">
        <v>2766</v>
      </c>
      <c r="AM72" s="169" t="s">
        <v>2767</v>
      </c>
      <c r="AN72" s="172" t="s">
        <v>2768</v>
      </c>
      <c r="AO72" s="135">
        <v>20.0</v>
      </c>
      <c r="AP72" s="151" t="s">
        <v>2769</v>
      </c>
      <c r="AQ72" s="152" t="s">
        <v>2770</v>
      </c>
      <c r="AR72" s="153" t="s">
        <v>2771</v>
      </c>
      <c r="AS72" s="135">
        <v>20.0</v>
      </c>
      <c r="AT72" s="136" t="s">
        <v>2772</v>
      </c>
      <c r="AU72" s="137" t="s">
        <v>2773</v>
      </c>
      <c r="AV72" s="138" t="s">
        <v>2774</v>
      </c>
      <c r="AW72" s="138"/>
      <c r="AX72" s="138"/>
    </row>
    <row r="73" ht="41.25" customHeight="1">
      <c r="A73" s="135">
        <v>21.0</v>
      </c>
      <c r="B73" s="136" t="s">
        <v>2775</v>
      </c>
      <c r="C73" s="137" t="s">
        <v>2776</v>
      </c>
      <c r="D73" s="138" t="s">
        <v>2777</v>
      </c>
      <c r="E73" s="135">
        <v>21.0</v>
      </c>
      <c r="F73" s="136" t="s">
        <v>2778</v>
      </c>
      <c r="G73" s="139" t="s">
        <v>2779</v>
      </c>
      <c r="H73" s="138" t="s">
        <v>2780</v>
      </c>
      <c r="I73" s="135">
        <v>21.0</v>
      </c>
      <c r="J73" s="136" t="s">
        <v>2781</v>
      </c>
      <c r="K73" s="137" t="s">
        <v>2782</v>
      </c>
      <c r="L73" s="138" t="s">
        <v>2783</v>
      </c>
      <c r="M73" s="135">
        <v>21.0</v>
      </c>
      <c r="N73" s="136" t="str">
        <f>IFERROR(__xludf.DUMMYFUNCTION("GOOGLETRANSLATE(B73,""zh-tw"",""zh"")"),"一起洗澡")</f>
        <v>一起洗澡</v>
      </c>
      <c r="O73" s="154" t="str">
        <f>IFERROR(__xludf.DUMMYFUNCTION("GOOGLETRANSLATE(C73,""zh-tw"",""zh"")"),"当好感度大于2时")</f>
        <v>当好感度大于2时</v>
      </c>
      <c r="P73" s="100" t="str">
        <f>IFERROR(__xludf.DUMMYFUNCTION("GOOGLETRANSLATE(D73,""zh-tw"",""zh"")"),"可以和妹妹一起洗澡")</f>
        <v>可以和妹妹一起洗澡</v>
      </c>
      <c r="Q73" s="135">
        <v>21.0</v>
      </c>
      <c r="R73" s="136" t="s">
        <v>2784</v>
      </c>
      <c r="S73" s="154" t="s">
        <v>2785</v>
      </c>
      <c r="T73" s="100" t="s">
        <v>2786</v>
      </c>
      <c r="U73" s="135">
        <v>21.0</v>
      </c>
      <c r="V73" s="156" t="str">
        <f>IFERROR(__xludf.DUMMYFUNCTION("GOOGLETRANSLATE(B73,""zh-tw"",""KO"")"),"함께 목욕해요")</f>
        <v>함께 목욕해요</v>
      </c>
      <c r="W73" s="154" t="str">
        <f>IFERROR(__xludf.DUMMYFUNCTION("GOOGLETRANSLATE(C73,""zh-tw"",""KO"")"),"호감도가 2보다 클 때")</f>
        <v>호감도가 2보다 클 때</v>
      </c>
      <c r="X73" s="100" t="str">
        <f>IFERROR(__xludf.DUMMYFUNCTION("GOOGLETRANSLATE(D73,""zh-tw"",""KO"")"),"너는 여동생과 함께 목욕할 수 있어.")</f>
        <v>너는 여동생과 함께 목욕할 수 있어.</v>
      </c>
      <c r="Y73" s="135">
        <v>21.0</v>
      </c>
      <c r="Z73" s="219" t="s">
        <v>2787</v>
      </c>
      <c r="AA73" s="220" t="s">
        <v>2788</v>
      </c>
      <c r="AB73" s="221" t="s">
        <v>2789</v>
      </c>
      <c r="AC73" s="135">
        <v>21.0</v>
      </c>
      <c r="AD73" s="189" t="s">
        <v>2790</v>
      </c>
      <c r="AE73" s="190" t="s">
        <v>2791</v>
      </c>
      <c r="AF73" s="166" t="s">
        <v>2792</v>
      </c>
      <c r="AG73" s="135">
        <v>21.0</v>
      </c>
      <c r="AH73" s="136" t="s">
        <v>2793</v>
      </c>
      <c r="AI73" s="137" t="s">
        <v>2794</v>
      </c>
      <c r="AJ73" s="138" t="s">
        <v>2795</v>
      </c>
      <c r="AK73" s="148">
        <v>21.0</v>
      </c>
      <c r="AL73" s="171" t="s">
        <v>2796</v>
      </c>
      <c r="AM73" s="169" t="s">
        <v>2797</v>
      </c>
      <c r="AN73" s="172" t="s">
        <v>2798</v>
      </c>
      <c r="AO73" s="135">
        <v>21.0</v>
      </c>
      <c r="AP73" s="151" t="s">
        <v>2799</v>
      </c>
      <c r="AQ73" s="165" t="s">
        <v>2800</v>
      </c>
      <c r="AR73" s="153" t="s">
        <v>2801</v>
      </c>
      <c r="AS73" s="135">
        <v>21.0</v>
      </c>
      <c r="AT73" s="136" t="s">
        <v>2802</v>
      </c>
      <c r="AU73" s="137" t="s">
        <v>2803</v>
      </c>
      <c r="AV73" s="138" t="s">
        <v>2804</v>
      </c>
      <c r="AW73" s="138"/>
      <c r="AX73" s="138"/>
    </row>
    <row r="74">
      <c r="A74" s="135">
        <v>22.0</v>
      </c>
      <c r="B74" s="136" t="s">
        <v>2805</v>
      </c>
      <c r="C74" s="137" t="s">
        <v>2806</v>
      </c>
      <c r="D74" s="138" t="s">
        <v>2807</v>
      </c>
      <c r="E74" s="135">
        <v>22.0</v>
      </c>
      <c r="F74" s="136" t="s">
        <v>2808</v>
      </c>
      <c r="G74" s="137" t="s">
        <v>2809</v>
      </c>
      <c r="H74" s="138" t="s">
        <v>2810</v>
      </c>
      <c r="I74" s="135">
        <v>22.0</v>
      </c>
      <c r="J74" s="136" t="s">
        <v>2811</v>
      </c>
      <c r="K74" s="137" t="s">
        <v>2812</v>
      </c>
      <c r="L74" s="138" t="s">
        <v>2813</v>
      </c>
      <c r="M74" s="135">
        <v>22.0</v>
      </c>
      <c r="N74" s="136" t="str">
        <f>IFERROR(__xludf.DUMMYFUNCTION("GOOGLETRANSLATE(B74,""zh-tw"",""zh"")"),"拜托一起洗")</f>
        <v>拜托一起洗</v>
      </c>
      <c r="O74" s="154" t="str">
        <f>IFERROR(__xludf.DUMMYFUNCTION("GOOGLETRANSLATE(C74,""zh-tw"",""zh"")"),"已经满足和妹妹一起洗澡的条件，但妹妹心情低落")</f>
        <v>已经满足和妹妹一起洗澡的条件，但妹妹心情低落</v>
      </c>
      <c r="P74" s="100" t="str">
        <f>IFERROR(__xludf.DUMMYFUNCTION("GOOGLETRANSLATE(D74,""zh-tw"",""zh"")"),"特殊选项")</f>
        <v>特殊选项</v>
      </c>
      <c r="Q74" s="135">
        <v>22.0</v>
      </c>
      <c r="R74" s="136" t="s">
        <v>2814</v>
      </c>
      <c r="S74" s="154" t="str">
        <f>IFERROR(__xludf.DUMMYFUNCTION("GOOGLETRANSLATE(C74,""zh-tw"",""es-MX"")"),"Se han dado las condiciones para bañarnos juntas, pero mi hermana está de mal humor.")</f>
        <v>Se han dado las condiciones para bañarnos juntas, pero mi hermana está de mal humor.</v>
      </c>
      <c r="T74" s="100" t="str">
        <f>IFERROR(__xludf.DUMMYFUNCTION("GOOGLETRANSLATE(D74,""zh-tw"",""es-MX"")"),"Opciones especiales")</f>
        <v>Opciones especiales</v>
      </c>
      <c r="U74" s="135">
        <v>22.0</v>
      </c>
      <c r="V74" s="156" t="str">
        <f>IFERROR(__xludf.DUMMYFUNCTION("GOOGLETRANSLATE(B74,""zh-tw"",""KO"")"),"함께 세탁해주세요")</f>
        <v>함께 세탁해주세요</v>
      </c>
      <c r="W74" s="154" t="str">
        <f>IFERROR(__xludf.DUMMYFUNCTION("GOOGLETRANSLATE(C74,""zh-tw"",""KO"")"),"함께 목욕할 조건은 충족됐지만, 여동생은 기분이 좋지 않다.")</f>
        <v>함께 목욕할 조건은 충족됐지만, 여동생은 기분이 좋지 않다.</v>
      </c>
      <c r="X74" s="100" t="str">
        <f>IFERROR(__xludf.DUMMYFUNCTION("GOOGLETRANSLATE(D74,""zh-tw"",""KO"")"),"특별 옵션")</f>
        <v>특별 옵션</v>
      </c>
      <c r="Y74" s="135">
        <v>22.0</v>
      </c>
      <c r="Z74" s="219" t="s">
        <v>2815</v>
      </c>
      <c r="AA74" s="220" t="s">
        <v>2816</v>
      </c>
      <c r="AB74" s="221" t="s">
        <v>2817</v>
      </c>
      <c r="AC74" s="135">
        <v>22.0</v>
      </c>
      <c r="AD74" s="145" t="s">
        <v>2818</v>
      </c>
      <c r="AE74" s="146" t="s">
        <v>2819</v>
      </c>
      <c r="AF74" s="147" t="s">
        <v>2820</v>
      </c>
      <c r="AG74" s="135">
        <v>22.0</v>
      </c>
      <c r="AH74" s="136" t="s">
        <v>2821</v>
      </c>
      <c r="AI74" s="137" t="s">
        <v>2822</v>
      </c>
      <c r="AJ74" s="138" t="s">
        <v>2823</v>
      </c>
      <c r="AK74" s="148">
        <v>22.0</v>
      </c>
      <c r="AL74" s="171" t="s">
        <v>2824</v>
      </c>
      <c r="AM74" s="169" t="s">
        <v>2825</v>
      </c>
      <c r="AN74" s="172" t="s">
        <v>2826</v>
      </c>
      <c r="AO74" s="135">
        <v>22.0</v>
      </c>
      <c r="AP74" s="151" t="s">
        <v>2827</v>
      </c>
      <c r="AQ74" s="152" t="s">
        <v>2828</v>
      </c>
      <c r="AR74" s="153" t="s">
        <v>2829</v>
      </c>
      <c r="AS74" s="135">
        <v>22.0</v>
      </c>
      <c r="AT74" s="136" t="s">
        <v>2830</v>
      </c>
      <c r="AU74" s="137" t="s">
        <v>2831</v>
      </c>
      <c r="AV74" s="138" t="s">
        <v>2832</v>
      </c>
      <c r="AW74" s="138"/>
      <c r="AX74" s="138"/>
    </row>
    <row r="75">
      <c r="A75" s="178">
        <v>23.0</v>
      </c>
      <c r="B75" s="136" t="s">
        <v>2833</v>
      </c>
      <c r="C75" s="137" t="s">
        <v>2834</v>
      </c>
      <c r="D75" s="138" t="s">
        <v>2835</v>
      </c>
      <c r="E75" s="178">
        <v>23.0</v>
      </c>
      <c r="F75" s="136" t="s">
        <v>2836</v>
      </c>
      <c r="G75" s="137" t="s">
        <v>2837</v>
      </c>
      <c r="H75" s="138" t="s">
        <v>2838</v>
      </c>
      <c r="I75" s="178">
        <v>23.0</v>
      </c>
      <c r="J75" s="136" t="s">
        <v>2839</v>
      </c>
      <c r="K75" s="137" t="s">
        <v>2840</v>
      </c>
      <c r="L75" s="138" t="s">
        <v>2841</v>
      </c>
      <c r="M75" s="178">
        <v>23.0</v>
      </c>
      <c r="N75" s="136" t="str">
        <f>IFERROR(__xludf.DUMMYFUNCTION("GOOGLETRANSLATE(B75,""zh-tw"",""zh"")"),"快要热晕了-1")</f>
        <v>快要热晕了-1</v>
      </c>
      <c r="O75" s="154" t="str">
        <f>IFERROR(__xludf.DUMMYFUNCTION("GOOGLETRANSLATE(C75,""zh-tw"",""zh"")"),"在没有紫心的情况下，与妹妹一起泡澡时，如果一直摸妹妹，妹妹会逃跑")</f>
        <v>在没有紫心的情况下，与妹妹一起泡澡时，如果一直摸妹妹，妹妹会逃跑</v>
      </c>
      <c r="P75" s="100" t="str">
        <f>IFERROR(__xludf.DUMMYFUNCTION("GOOGLETRANSLATE(D75,""zh-tw"",""zh"")"),"妹妹逃跑了")</f>
        <v>妹妹逃跑了</v>
      </c>
      <c r="Q75" s="178">
        <v>23.0</v>
      </c>
      <c r="R75" s="136" t="str">
        <f>IFERROR(__xludf.DUMMYFUNCTION("GOOGLETRANSLATE(B75,""zh-tw"",""es-MX"")"),"Estoy a punto de desmayarme por el calor -1")</f>
        <v>Estoy a punto de desmayarme por el calor -1</v>
      </c>
      <c r="S75" s="137" t="str">
        <f>IFERROR(__xludf.DUMMYFUNCTION("GOOGLETRANSLATE(C75,""zh-tw"",""es-MX"")"),"Si sigues tocando a tu hermana pequeña mientras te bañas con ella (sin un corazón morado), se escapará.")</f>
        <v>Si sigues tocando a tu hermana pequeña mientras te bañas con ella (sin un corazón morado), se escapará.</v>
      </c>
      <c r="T75" s="100" t="str">
        <f>IFERROR(__xludf.DUMMYFUNCTION("GOOGLETRANSLATE(D75,""zh-tw"",""es-MX"")"),"Mi hermana se escapó.")</f>
        <v>Mi hermana se escapó.</v>
      </c>
      <c r="U75" s="178">
        <v>23.0</v>
      </c>
      <c r="V75" s="156" t="str">
        <f>IFERROR(__xludf.DUMMYFUNCTION("GOOGLETRANSLATE(B75,""zh-tw"",""KO"")"),"너무 더워서 기절할 것 같아요 -1")</f>
        <v>너무 더워서 기절할 것 같아요 -1</v>
      </c>
      <c r="W75" s="154" t="str">
        <f>IFERROR(__xludf.DUMMYFUNCTION("GOOGLETRANSLATE(C75,""zh-tw"",""KO"")"),"만약 여동생과 함께 목욕하는 동안 (보라색 하트 없이) 계속 여동생을 만지면, 여동생은 도망갈 거예요.")</f>
        <v>만약 여동생과 함께 목욕하는 동안 (보라색 하트 없이) 계속 여동생을 만지면, 여동생은 도망갈 거예요.</v>
      </c>
      <c r="X75" s="100" t="str">
        <f>IFERROR(__xludf.DUMMYFUNCTION("GOOGLETRANSLATE(D75,""zh-tw"",""KO"")"),"내 여동생이 가출했어요.")</f>
        <v>내 여동생이 가출했어요.</v>
      </c>
      <c r="Y75" s="135">
        <v>23.0</v>
      </c>
      <c r="Z75" s="219" t="s">
        <v>2842</v>
      </c>
      <c r="AA75" s="220" t="s">
        <v>2843</v>
      </c>
      <c r="AB75" s="221" t="s">
        <v>2844</v>
      </c>
      <c r="AC75" s="135">
        <v>23.0</v>
      </c>
      <c r="AD75" s="189" t="s">
        <v>2845</v>
      </c>
      <c r="AE75" s="190" t="s">
        <v>2846</v>
      </c>
      <c r="AF75" s="166" t="s">
        <v>2847</v>
      </c>
      <c r="AG75" s="178">
        <v>23.0</v>
      </c>
      <c r="AH75" s="136" t="s">
        <v>2848</v>
      </c>
      <c r="AI75" s="137" t="s">
        <v>2849</v>
      </c>
      <c r="AJ75" s="138" t="s">
        <v>2850</v>
      </c>
      <c r="AK75" s="191">
        <v>23.0</v>
      </c>
      <c r="AL75" s="149" t="s">
        <v>2851</v>
      </c>
      <c r="AM75" s="169" t="s">
        <v>2852</v>
      </c>
      <c r="AN75" s="172" t="s">
        <v>2853</v>
      </c>
      <c r="AO75" s="135">
        <v>23.0</v>
      </c>
      <c r="AP75" s="151" t="s">
        <v>2854</v>
      </c>
      <c r="AQ75" s="165" t="s">
        <v>2855</v>
      </c>
      <c r="AR75" s="153" t="s">
        <v>2856</v>
      </c>
      <c r="AS75" s="135">
        <v>23.0</v>
      </c>
      <c r="AT75" s="136" t="s">
        <v>2857</v>
      </c>
      <c r="AU75" s="137" t="s">
        <v>2858</v>
      </c>
      <c r="AV75" s="138" t="s">
        <v>2859</v>
      </c>
      <c r="AW75" s="138"/>
      <c r="AX75" s="138"/>
    </row>
    <row r="76">
      <c r="A76" s="135">
        <v>24.0</v>
      </c>
      <c r="B76" s="136" t="s">
        <v>2860</v>
      </c>
      <c r="C76" s="137" t="s">
        <v>2861</v>
      </c>
      <c r="D76" s="138" t="s">
        <v>2862</v>
      </c>
      <c r="E76" s="135">
        <v>24.0</v>
      </c>
      <c r="F76" s="136" t="s">
        <v>2863</v>
      </c>
      <c r="G76" s="137" t="s">
        <v>2864</v>
      </c>
      <c r="H76" s="138" t="s">
        <v>2865</v>
      </c>
      <c r="I76" s="135">
        <v>24.0</v>
      </c>
      <c r="J76" s="140" t="s">
        <v>2866</v>
      </c>
      <c r="K76" s="137" t="s">
        <v>2867</v>
      </c>
      <c r="L76" s="138" t="s">
        <v>2868</v>
      </c>
      <c r="M76" s="135">
        <v>24.0</v>
      </c>
      <c r="N76" s="136" t="str">
        <f>IFERROR(__xludf.DUMMYFUNCTION("GOOGLETRANSLATE(B76,""zh-tw"",""zh"")"),"快要热晕了-2")</f>
        <v>快要热晕了-2</v>
      </c>
      <c r="O76" s="154" t="str">
        <f>IFERROR(__xludf.DUMMYFUNCTION("GOOGLETRANSLATE(C76,""zh-tw"",""zh"")"),"有至少一颗紫心时，一直摸妹妹，妹妹会热到晕倒")</f>
        <v>有至少一颗紫心时，一直摸妹妹，妹妹会热到晕倒</v>
      </c>
      <c r="P76" s="100" t="str">
        <f>IFERROR(__xludf.DUMMYFUNCTION("GOOGLETRANSLATE(D76,""zh-tw"",""zh"")"),"妹妹热晕了
*此为一次性事件")</f>
        <v>妹妹热晕了
*此为一次性事件</v>
      </c>
      <c r="Q76" s="135">
        <v>24.0</v>
      </c>
      <c r="R76" s="136" t="str">
        <f>IFERROR(__xludf.DUMMYFUNCTION("GOOGLETRANSLATE(B76,""zh-tw"",""es-MX"")"),"Estoy a punto de desmayarme por el calor -2")</f>
        <v>Estoy a punto de desmayarme por el calor -2</v>
      </c>
      <c r="S76" s="137" t="str">
        <f>IFERROR(__xludf.DUMMYFUNCTION("GOOGLETRANSLATE(C76,""zh-tw"",""es-MX"")"),"Si sigues tocando a tu hermana cuando tenga al menos un corazón morado, se acalorará tanto que se desmayará.")</f>
        <v>Si sigues tocando a tu hermana cuando tenga al menos un corazón morado, se acalorará tanto que se desmayará.</v>
      </c>
      <c r="T76" s="100" t="str">
        <f>IFERROR(__xludf.DUMMYFUNCTION("GOOGLETRANSLATE(D76,""zh-tw"",""es-MX"")"),"Mi hermana se desmayó por el calor.
*Esto ocurrió una sola vez.")</f>
        <v>Mi hermana se desmayó por el calor.
*Esto ocurrió una sola vez.</v>
      </c>
      <c r="U76" s="135">
        <v>24.0</v>
      </c>
      <c r="V76" s="156" t="str">
        <f>IFERROR(__xludf.DUMMYFUNCTION("GOOGLETRANSLATE(B76,""zh-tw"",""KO"")"),"너무 더워서 기절할 것 같아요 -2")</f>
        <v>너무 더워서 기절할 것 같아요 -2</v>
      </c>
      <c r="W76" s="154" t="str">
        <f>IFERROR(__xludf.DUMMYFUNCTION("GOOGLETRANSLATE(C76,""zh-tw"",""KO"")"),"여동생이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6" s="100" t="str">
        <f>IFERROR(__xludf.DUMMYFUNCTION("GOOGLETRANSLATE(D76,""zh-tw"",""KO"")"),"내 여동생이 더위 때문에 기절했어요.
*이건 일회성 사건입니다.")</f>
        <v>내 여동생이 더위 때문에 기절했어요.
*이건 일회성 사건입니다.</v>
      </c>
      <c r="Y76" s="135">
        <v>24.0</v>
      </c>
      <c r="Z76" s="219" t="s">
        <v>2869</v>
      </c>
      <c r="AA76" s="220" t="s">
        <v>2870</v>
      </c>
      <c r="AB76" s="221" t="s">
        <v>2871</v>
      </c>
      <c r="AC76" s="135">
        <v>24.0</v>
      </c>
      <c r="AD76" s="189" t="s">
        <v>2872</v>
      </c>
      <c r="AE76" s="190" t="s">
        <v>2873</v>
      </c>
      <c r="AF76" s="166" t="s">
        <v>2874</v>
      </c>
      <c r="AG76" s="135">
        <v>24.0</v>
      </c>
      <c r="AH76" s="136" t="s">
        <v>2875</v>
      </c>
      <c r="AI76" s="137" t="s">
        <v>2876</v>
      </c>
      <c r="AJ76" s="138" t="s">
        <v>2877</v>
      </c>
      <c r="AK76" s="148">
        <v>24.0</v>
      </c>
      <c r="AL76" s="149" t="s">
        <v>2878</v>
      </c>
      <c r="AM76" s="169" t="s">
        <v>2879</v>
      </c>
      <c r="AN76" s="172" t="s">
        <v>2880</v>
      </c>
      <c r="AO76" s="135">
        <v>24.0</v>
      </c>
      <c r="AP76" s="151" t="s">
        <v>2881</v>
      </c>
      <c r="AQ76" s="165" t="s">
        <v>2882</v>
      </c>
      <c r="AR76" s="153" t="s">
        <v>2883</v>
      </c>
      <c r="AS76" s="135">
        <v>24.0</v>
      </c>
      <c r="AT76" s="136" t="s">
        <v>2884</v>
      </c>
      <c r="AU76" s="137" t="s">
        <v>2885</v>
      </c>
      <c r="AV76" s="138" t="s">
        <v>2886</v>
      </c>
      <c r="AW76" s="138"/>
      <c r="AX76" s="138"/>
    </row>
    <row r="77">
      <c r="A77" s="135">
        <v>25.0</v>
      </c>
      <c r="B77" s="136" t="s">
        <v>2887</v>
      </c>
      <c r="C77" s="137" t="s">
        <v>2888</v>
      </c>
      <c r="D77" s="138" t="s">
        <v>2889</v>
      </c>
      <c r="E77" s="135">
        <v>25.0</v>
      </c>
      <c r="F77" s="136" t="s">
        <v>2890</v>
      </c>
      <c r="G77" s="137" t="s">
        <v>2891</v>
      </c>
      <c r="H77" s="138" t="s">
        <v>2889</v>
      </c>
      <c r="I77" s="135">
        <v>25.0</v>
      </c>
      <c r="J77" s="140" t="s">
        <v>2892</v>
      </c>
      <c r="K77" s="139" t="s">
        <v>2893</v>
      </c>
      <c r="L77" s="138" t="s">
        <v>2894</v>
      </c>
      <c r="M77" s="135">
        <v>25.0</v>
      </c>
      <c r="N77" s="136" t="str">
        <f>IFERROR(__xludf.DUMMYFUNCTION("GOOGLETRANSLATE(B77,""zh-tw"",""zh"")"),"快要热晕了-3")</f>
        <v>快要热晕了-3</v>
      </c>
      <c r="O77" s="154" t="str">
        <f>IFERROR(__xludf.DUMMYFUNCTION("GOOGLETRANSLATE(C77,""zh-tw"",""zh"")"),"同上，第二次进入热晕环节前，会进入特殊画面")</f>
        <v>同上，第二次进入热晕环节前，会进入特殊画面</v>
      </c>
      <c r="P77" s="100" t="str">
        <f>IFERROR(__xludf.DUMMYFUNCTION("GOOGLETRANSLATE(D77,""zh-tw"",""zh"")"),"CG演出")</f>
        <v>CG演出</v>
      </c>
      <c r="Q77" s="135">
        <v>25.0</v>
      </c>
      <c r="R77" s="136" t="str">
        <f>IFERROR(__xludf.DUMMYFUNCTION("GOOGLETRANSLATE(B77,""zh-tw"",""es-MX"")"),"Estoy a punto de desmayarme por el calor -3")</f>
        <v>Estoy a punto de desmayarme por el calor -3</v>
      </c>
      <c r="S77" s="137" t="str">
        <f>IFERROR(__xludf.DUMMYFUNCTION("GOOGLETRANSLATE(C77,""zh-tw"",""es-MX"")"),"Como se mencionó anteriormente, se reproducirá una escena especial antes de la segunda fase del golpe de calor.")</f>
        <v>Como se mencionó anteriormente, se reproducirá una escena especial antes de la segunda fase del golpe de calor.</v>
      </c>
      <c r="T77" s="100" t="str">
        <f>IFERROR(__xludf.DUMMYFUNCTION("GOOGLETRANSLATE(D77,""zh-tw"",""es-MX"")"),"Rendimiento de CG")</f>
        <v>Rendimiento de CG</v>
      </c>
      <c r="U77" s="135">
        <v>25.0</v>
      </c>
      <c r="V77" s="156" t="str">
        <f>IFERROR(__xludf.DUMMYFUNCTION("GOOGLETRANSLATE(B77,""zh-tw"",""KO"")"),"영하 3도의 더위 때문에 기절할 것 같아요.")</f>
        <v>영하 3도의 더위 때문에 기절할 것 같아요.</v>
      </c>
      <c r="W77" s="154" t="str">
        <f>IFERROR(__xludf.DUMMYFUNCTION("GOOGLETRANSLATE(C77,""zh-tw"",""KO"")"),"위에서 언급했듯이, 두 번째 열사병 단계 이전에 특별한 장면이 재생됩니다.")</f>
        <v>위에서 언급했듯이, 두 번째 열사병 단계 이전에 특별한 장면이 재생됩니다.</v>
      </c>
      <c r="X77" s="100" t="str">
        <f>IFERROR(__xludf.DUMMYFUNCTION("GOOGLETRANSLATE(D77,""zh-tw"",""KO"")"),"CG 성능")</f>
        <v>CG 성능</v>
      </c>
      <c r="Y77" s="135">
        <v>25.0</v>
      </c>
      <c r="Z77" s="219" t="s">
        <v>2895</v>
      </c>
      <c r="AA77" s="220" t="s">
        <v>2896</v>
      </c>
      <c r="AB77" s="221" t="s">
        <v>2897</v>
      </c>
      <c r="AC77" s="135">
        <v>25.0</v>
      </c>
      <c r="AD77" s="189" t="s">
        <v>2898</v>
      </c>
      <c r="AE77" s="190" t="s">
        <v>2899</v>
      </c>
      <c r="AF77" s="223" t="s">
        <v>2900</v>
      </c>
      <c r="AG77" s="135">
        <v>25.0</v>
      </c>
      <c r="AH77" s="136" t="s">
        <v>2901</v>
      </c>
      <c r="AI77" s="137" t="s">
        <v>2902</v>
      </c>
      <c r="AJ77" s="138" t="s">
        <v>2903</v>
      </c>
      <c r="AK77" s="148">
        <v>25.0</v>
      </c>
      <c r="AL77" s="149" t="s">
        <v>2904</v>
      </c>
      <c r="AM77" s="169" t="s">
        <v>2905</v>
      </c>
      <c r="AN77" s="172" t="s">
        <v>2906</v>
      </c>
      <c r="AO77" s="135">
        <v>25.0</v>
      </c>
      <c r="AP77" s="151" t="s">
        <v>2907</v>
      </c>
      <c r="AQ77" s="152" t="s">
        <v>2908</v>
      </c>
      <c r="AR77" s="153" t="s">
        <v>2909</v>
      </c>
      <c r="AS77" s="135">
        <v>25.0</v>
      </c>
      <c r="AT77" s="136" t="s">
        <v>2910</v>
      </c>
      <c r="AU77" s="137" t="s">
        <v>2911</v>
      </c>
      <c r="AV77" s="138" t="s">
        <v>2912</v>
      </c>
      <c r="AW77" s="138"/>
      <c r="AX77" s="138"/>
    </row>
    <row r="78" ht="41.25" customHeight="1">
      <c r="A78" s="178">
        <v>26.0</v>
      </c>
      <c r="B78" s="140" t="s">
        <v>2913</v>
      </c>
      <c r="C78" s="139" t="s">
        <v>2914</v>
      </c>
      <c r="D78" s="97" t="s">
        <v>2915</v>
      </c>
      <c r="E78" s="178">
        <v>26.0</v>
      </c>
      <c r="F78" s="136"/>
      <c r="G78" s="137"/>
      <c r="H78" s="138"/>
      <c r="I78" s="178">
        <v>26.0</v>
      </c>
      <c r="J78" s="140" t="s">
        <v>2916</v>
      </c>
      <c r="K78" s="139" t="s">
        <v>2917</v>
      </c>
      <c r="L78" s="97" t="s">
        <v>2918</v>
      </c>
      <c r="M78" s="178">
        <v>26.0</v>
      </c>
      <c r="N78" s="136"/>
      <c r="O78" s="154"/>
      <c r="P78" s="100"/>
      <c r="Q78" s="178">
        <v>26.0</v>
      </c>
      <c r="R78" s="136"/>
      <c r="S78" s="137"/>
      <c r="T78" s="100"/>
      <c r="U78" s="178">
        <v>26.0</v>
      </c>
      <c r="V78" s="156"/>
      <c r="W78" s="154"/>
      <c r="X78" s="100"/>
      <c r="Y78" s="178">
        <v>26.0</v>
      </c>
      <c r="Z78" s="219" t="s">
        <v>2919</v>
      </c>
      <c r="AA78" s="224" t="s">
        <v>2920</v>
      </c>
      <c r="AB78" s="85" t="s">
        <v>2921</v>
      </c>
      <c r="AC78" s="178">
        <v>26.0</v>
      </c>
      <c r="AD78" s="189" t="s">
        <v>2922</v>
      </c>
      <c r="AE78" s="139" t="s">
        <v>2923</v>
      </c>
      <c r="AF78" s="97" t="s">
        <v>2924</v>
      </c>
      <c r="AG78" s="178">
        <v>26.0</v>
      </c>
      <c r="AH78" s="140" t="s">
        <v>2925</v>
      </c>
      <c r="AI78" s="139" t="s">
        <v>2926</v>
      </c>
      <c r="AJ78" s="97" t="s">
        <v>2927</v>
      </c>
      <c r="AK78" s="178">
        <v>26.0</v>
      </c>
      <c r="AL78" s="171" t="s">
        <v>2928</v>
      </c>
      <c r="AM78" s="173" t="s">
        <v>2929</v>
      </c>
      <c r="AN78" s="170" t="s">
        <v>2930</v>
      </c>
      <c r="AO78" s="178">
        <v>26.0</v>
      </c>
      <c r="AP78" s="199" t="s">
        <v>2931</v>
      </c>
      <c r="AQ78" s="165" t="s">
        <v>2932</v>
      </c>
      <c r="AR78" s="164" t="s">
        <v>2933</v>
      </c>
      <c r="AS78" s="178">
        <v>26.0</v>
      </c>
      <c r="AT78" s="136"/>
      <c r="AU78" s="137"/>
      <c r="AV78" s="138"/>
      <c r="AW78" s="138"/>
      <c r="AX78" s="138"/>
    </row>
    <row r="79">
      <c r="A79" s="178">
        <v>27.0</v>
      </c>
      <c r="B79" s="151" t="s">
        <v>2934</v>
      </c>
      <c r="C79" s="152" t="s">
        <v>2935</v>
      </c>
      <c r="D79" s="153" t="s">
        <v>2936</v>
      </c>
      <c r="E79" s="178">
        <v>27.0</v>
      </c>
      <c r="F79" s="136" t="s">
        <v>2937</v>
      </c>
      <c r="G79" s="193" t="s">
        <v>2938</v>
      </c>
      <c r="H79" s="194" t="s">
        <v>2939</v>
      </c>
      <c r="I79" s="178">
        <v>27.0</v>
      </c>
      <c r="J79" s="140" t="s">
        <v>2940</v>
      </c>
      <c r="K79" s="193" t="s">
        <v>2941</v>
      </c>
      <c r="L79" s="194" t="s">
        <v>2942</v>
      </c>
      <c r="M79" s="178">
        <v>27.0</v>
      </c>
      <c r="N79" s="151" t="s">
        <v>2934</v>
      </c>
      <c r="O79" s="180" t="s">
        <v>2943</v>
      </c>
      <c r="P79" s="181" t="s">
        <v>2944</v>
      </c>
      <c r="Q79" s="178">
        <v>27.0</v>
      </c>
      <c r="R79" s="179" t="str">
        <f>IFERROR(__xludf.DUMMYFUNCTION("GOOGLETRANSLATE(B79,""zh-tw"",""es-MX"")"),"Bar de meditación")</f>
        <v>Bar de meditación</v>
      </c>
      <c r="S79" s="180" t="str">
        <f>IFERROR(__xludf.DUMMYFUNCTION("GOOGLETRANSLATE(C79,""zh-tw"",""es-MX"")"),"Mientras su hermana menor se bañaba sola, la libido del hermano mayor superó los 50 y entró al baño.")</f>
        <v>Mientras su hermana menor se bañaba sola, la libido del hermano mayor superó los 50 y entró al baño.</v>
      </c>
      <c r="T79" s="181" t="str">
        <f>IFERROR(__xludf.DUMMYFUNCTION("GOOGLETRANSLATE(D79,""zh-tw"",""es-MX"")"),"Se activa la opción de cambiar la meditación por un delirio. Tras seleccionarla, tendrá lugar una representación a cargo de la hermana amante de los delirios.")</f>
        <v>Se activa la opción de cambiar la meditación por un delirio. Tras seleccionarla, tendrá lugar una representación a cargo de la hermana amante de los delirios.</v>
      </c>
      <c r="U79" s="178">
        <v>27.0</v>
      </c>
      <c r="V79" s="179" t="str">
        <f>IFERROR(__xludf.DUMMYFUNCTION("GOOGLETRANSLATE(B79,""zh-tw"",""KO"")"),"명상 바")</f>
        <v>명상 바</v>
      </c>
      <c r="W79" s="180" t="str">
        <f>IFERROR(__xludf.DUMMYFUNCTION("GOOGLETRANSLATE(C79,""zh-tw"",""KO"")"),"여동생이 혼자 목욕하는 동안, 오빠의 성욕이 50을 넘어섰고, 그는 욕실로 들어갔다.")</f>
        <v>여동생이 혼자 목욕하는 동안, 오빠의 성욕이 50을 넘어섰고, 그는 욕실로 들어갔다.</v>
      </c>
      <c r="X79" s="181" t="str">
        <f>IFERROR(__xludf.DUMMYFUNCTION("GOOGLETRANSLATE(D79,""zh-tw"",""KO"")"),"명상을 망상으로 바꾸는 선택지가 나타납니다. 선택 후, 망상을 좋아하는 여동생의 공연이 펼쳐집니다.")</f>
        <v>명상을 망상으로 바꾸는 선택지가 나타납니다. 선택 후, 망상을 좋아하는 여동생의 공연이 펼쳐집니다.</v>
      </c>
      <c r="Y79" s="178">
        <v>27.0</v>
      </c>
      <c r="Z79" s="219" t="s">
        <v>2945</v>
      </c>
      <c r="AA79" s="220" t="s">
        <v>2946</v>
      </c>
      <c r="AB79" s="221" t="s">
        <v>2947</v>
      </c>
      <c r="AC79" s="178">
        <v>27.0</v>
      </c>
      <c r="AD79" s="189" t="s">
        <v>2945</v>
      </c>
      <c r="AE79" s="190" t="s">
        <v>2948</v>
      </c>
      <c r="AF79" s="166" t="s">
        <v>2949</v>
      </c>
      <c r="AG79" s="178">
        <v>27.0</v>
      </c>
      <c r="AH79" s="140" t="s">
        <v>2950</v>
      </c>
      <c r="AI79" s="200" t="s">
        <v>2951</v>
      </c>
      <c r="AJ79" s="194" t="s">
        <v>2952</v>
      </c>
      <c r="AK79" s="178">
        <v>27.0</v>
      </c>
      <c r="AL79" s="196" t="s">
        <v>2953</v>
      </c>
      <c r="AM79" s="197" t="s">
        <v>2954</v>
      </c>
      <c r="AN79" s="225" t="s">
        <v>2955</v>
      </c>
      <c r="AO79" s="178">
        <v>27.0</v>
      </c>
      <c r="AP79" s="151" t="s">
        <v>2956</v>
      </c>
      <c r="AQ79" s="152" t="s">
        <v>2957</v>
      </c>
      <c r="AR79" s="164" t="s">
        <v>2958</v>
      </c>
      <c r="AS79" s="178">
        <v>27.0</v>
      </c>
      <c r="AT79" s="136" t="s">
        <v>2959</v>
      </c>
      <c r="AU79" s="137" t="s">
        <v>2960</v>
      </c>
      <c r="AV79" s="138" t="s">
        <v>2961</v>
      </c>
      <c r="AW79" s="153"/>
      <c r="AX79" s="153"/>
    </row>
    <row r="80">
      <c r="A80" s="178">
        <v>28.0</v>
      </c>
      <c r="B80" s="136" t="s">
        <v>2962</v>
      </c>
      <c r="C80" s="137" t="s">
        <v>2963</v>
      </c>
      <c r="D80" s="138" t="s">
        <v>2964</v>
      </c>
      <c r="E80" s="178">
        <v>28.0</v>
      </c>
      <c r="F80" s="136" t="s">
        <v>2965</v>
      </c>
      <c r="G80" s="137" t="s">
        <v>2966</v>
      </c>
      <c r="H80" s="138" t="s">
        <v>2967</v>
      </c>
      <c r="I80" s="178">
        <v>28.0</v>
      </c>
      <c r="J80" s="136" t="s">
        <v>2968</v>
      </c>
      <c r="K80" s="137" t="s">
        <v>2969</v>
      </c>
      <c r="L80" s="138" t="s">
        <v>2970</v>
      </c>
      <c r="M80" s="178">
        <v>28.0</v>
      </c>
      <c r="N80" s="136" t="str">
        <f>IFERROR(__xludf.DUMMYFUNCTION("GOOGLETRANSLATE(B80,""zh-tw"",""zh"")"),"请妹妹帮忙洗-1")</f>
        <v>请妹妹帮忙洗-1</v>
      </c>
      <c r="O80" s="154" t="str">
        <f>IFERROR(__xludf.DUMMYFUNCTION("GOOGLETRANSLATE(C80,""zh-tw"",""zh"")"),"在和妹妹共浴时，请妹妹帮忙擦背")</f>
        <v>在和妹妹共浴时，请妹妹帮忙擦背</v>
      </c>
      <c r="P80" s="100" t="str">
        <f>IFERROR(__xludf.DUMMYFUNCTION("GOOGLETRANSLATE(D80,""zh-tw"",""zh"")"),"触发一段剧情
并于下一次时新增一个选项：清洗前方")</f>
        <v>触发一段剧情
并于下一次时新增一个选项：清洗前方</v>
      </c>
      <c r="Q80" s="178">
        <v>28.0</v>
      </c>
      <c r="R80" s="136" t="str">
        <f>IFERROR(__xludf.DUMMYFUNCTION("GOOGLETRANSLATE(B80,""zh-tw"",""es-MX"")"),"Por favor, pídele a mi hermana que me ayude a lavar -1")</f>
        <v>Por favor, pídele a mi hermana que me ayude a lavar -1</v>
      </c>
      <c r="S80" s="137" t="str">
        <f>IFERROR(__xludf.DUMMYFUNCTION("GOOGLETRANSLATE(C80,""zh-tw"",""es-MX"")"),"Cuando me bañaba con mi hermana pequeña, le pedí que me ayudara a frotarme la espalda.")</f>
        <v>Cuando me bañaba con mi hermana pequeña, le pedí que me ayudara a frotarme la espalda.</v>
      </c>
      <c r="T80" s="100" t="str">
        <f>IFERROR(__xludf.DUMMYFUNCTION("GOOGLETRANSLATE(D80,""zh-tw"",""es-MX"")"),"Esto activa una escena cinemática y añade una nueva opción para la próxima vez: Limpiar la zona que hay delante.")</f>
        <v>Esto activa una escena cinemática y añade una nueva opción para la próxima vez: Limpiar la zona que hay delante.</v>
      </c>
      <c r="U80" s="178">
        <v>28.0</v>
      </c>
      <c r="V80" s="156" t="str">
        <f>IFERROR(__xludf.DUMMYFUNCTION("GOOGLETRANSLATE(B80,""zh-tw"",""KO"")"),"제 여동생에게 세탁 좀 도와달라고 전해주세요 -1")</f>
        <v>제 여동생에게 세탁 좀 도와달라고 전해주세요 -1</v>
      </c>
      <c r="W80" s="154" t="str">
        <f>IFERROR(__xludf.DUMMYFUNCTION("GOOGLETRANSLATE(C80,""zh-tw"",""KO"")"),"여동생과 함께 목욕을 하다가, 여동생에게 등을 문질러 닦아달라고 부탁했어요.")</f>
        <v>여동생과 함께 목욕을 하다가, 여동생에게 등을 문질러 닦아달라고 부탁했어요.</v>
      </c>
      <c r="X80" s="100" t="str">
        <f>IFERROR(__xludf.DUMMYFUNCTION("GOOGLETRANSLATE(D80,""zh-tw"",""KO"")"),"이렇게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80" s="178">
        <v>28.0</v>
      </c>
      <c r="Z80" s="142" t="s">
        <v>2971</v>
      </c>
      <c r="AA80" s="220" t="s">
        <v>2972</v>
      </c>
      <c r="AB80" s="221" t="s">
        <v>2973</v>
      </c>
      <c r="AC80" s="178">
        <v>28.0</v>
      </c>
      <c r="AD80" s="226" t="s">
        <v>2974</v>
      </c>
      <c r="AE80" s="190" t="s">
        <v>2975</v>
      </c>
      <c r="AF80" s="166" t="s">
        <v>2976</v>
      </c>
      <c r="AG80" s="178">
        <v>28.0</v>
      </c>
      <c r="AH80" s="140" t="s">
        <v>2977</v>
      </c>
      <c r="AI80" s="137" t="s">
        <v>2978</v>
      </c>
      <c r="AJ80" s="138" t="s">
        <v>2979</v>
      </c>
      <c r="AK80" s="178">
        <v>28.0</v>
      </c>
      <c r="AL80" s="149" t="s">
        <v>2980</v>
      </c>
      <c r="AM80" s="169" t="s">
        <v>2981</v>
      </c>
      <c r="AN80" s="172" t="s">
        <v>2982</v>
      </c>
      <c r="AO80" s="178">
        <v>28.0</v>
      </c>
      <c r="AP80" s="199" t="s">
        <v>2983</v>
      </c>
      <c r="AQ80" s="152" t="s">
        <v>2984</v>
      </c>
      <c r="AR80" s="153" t="s">
        <v>2985</v>
      </c>
      <c r="AS80" s="178">
        <v>28.0</v>
      </c>
      <c r="AT80" s="136" t="s">
        <v>2986</v>
      </c>
      <c r="AU80" s="137" t="s">
        <v>2987</v>
      </c>
      <c r="AV80" s="138" t="s">
        <v>2988</v>
      </c>
      <c r="AW80" s="138"/>
      <c r="AX80" s="138"/>
    </row>
    <row r="81">
      <c r="A81" s="178">
        <v>29.0</v>
      </c>
      <c r="B81" s="136" t="s">
        <v>2989</v>
      </c>
      <c r="C81" s="137" t="s">
        <v>2990</v>
      </c>
      <c r="D81" s="138" t="s">
        <v>2991</v>
      </c>
      <c r="E81" s="178">
        <v>29.0</v>
      </c>
      <c r="F81" s="136" t="s">
        <v>2992</v>
      </c>
      <c r="G81" s="137" t="s">
        <v>2993</v>
      </c>
      <c r="H81" s="138" t="s">
        <v>2994</v>
      </c>
      <c r="I81" s="178">
        <v>29.0</v>
      </c>
      <c r="J81" s="136" t="s">
        <v>2995</v>
      </c>
      <c r="K81" s="137" t="s">
        <v>2996</v>
      </c>
      <c r="L81" s="138" t="s">
        <v>2997</v>
      </c>
      <c r="M81" s="178">
        <v>29.0</v>
      </c>
      <c r="N81" s="136" t="str">
        <f>IFERROR(__xludf.DUMMYFUNCTION("GOOGLETRANSLATE(B81,""zh-tw"",""zh"")"),"请妹妹帮忙洗-2")</f>
        <v>请妹妹帮忙洗-2</v>
      </c>
      <c r="O81" s="154" t="str">
        <f>IFERROR(__xludf.DUMMYFUNCTION("GOOGLETRANSLATE(C81,""zh-tw"",""zh"")"),"同上，第二次选择帮忙清洗前方，且未达4颗紫心时")</f>
        <v>同上，第二次选择帮忙清洗前方，且未达4颗紫心时</v>
      </c>
      <c r="P81" s="100" t="str">
        <f>IFERROR(__xludf.DUMMYFUNCTION("GOOGLETRANSLATE(D81,""zh-tw"",""zh"")"),"妹妹会拒绝帮忙")</f>
        <v>妹妹会拒绝帮忙</v>
      </c>
      <c r="Q81" s="178">
        <v>29.0</v>
      </c>
      <c r="R81" s="136" t="str">
        <f>IFERROR(__xludf.DUMMYFUNCTION("GOOGLETRANSLATE(B81,""zh-tw"",""es-MX"")"),"Por favor, pídele a mi hermana que me ayude a lavar -2")</f>
        <v>Por favor, pídele a mi hermana que me ayude a lavar -2</v>
      </c>
      <c r="S81" s="137" t="str">
        <f>IFERROR(__xludf.DUMMYFUNCTION("GOOGLETRANSLATE(C81,""zh-tw"",""es-MX"")"),"Como se indicó anteriormente, la segunda vez que elijas ayudar a limpiar el área de enfrente, y antes de haber alcanzado 4 corazones morados.")</f>
        <v>Como se indicó anteriormente, la segunda vez que elijas ayudar a limpiar el área de enfrente, y antes de haber alcanzado 4 corazones morados.</v>
      </c>
      <c r="T81" s="100" t="str">
        <f>IFERROR(__xludf.DUMMYFUNCTION("GOOGLETRANSLATE(D81,""zh-tw"",""es-MX"")"),"Mi hermana se negará a ayudar.")</f>
        <v>Mi hermana se negará a ayudar.</v>
      </c>
      <c r="U81" s="178">
        <v>29.0</v>
      </c>
      <c r="V81" s="156" t="str">
        <f>IFERROR(__xludf.DUMMYFUNCTION("GOOGLETRANSLATE(B81,""zh-tw"",""KO"")"),"제 여동생에게 세탁 좀 도와달라고 전해주세요 -2")</f>
        <v>제 여동생에게 세탁 좀 도와달라고 전해주세요 -2</v>
      </c>
      <c r="W81" s="154" t="str">
        <f>IFERROR(__xludf.DUMMYFUNCTION("GOOGLETRANSLATE(C81,""zh-tw"",""KO"")"),"위에서 설명한 것처럼, 두 번째로 앞쪽 구역 청소를 돕기로 선택할 때는 보라색 하트 4개를 모으기 전이어야 합니다.")</f>
        <v>위에서 설명한 것처럼, 두 번째로 앞쪽 구역 청소를 돕기로 선택할 때는 보라색 하트 4개를 모으기 전이어야 합니다.</v>
      </c>
      <c r="X81" s="100" t="str">
        <f>IFERROR(__xludf.DUMMYFUNCTION("GOOGLETRANSLATE(D81,""zh-tw"",""KO"")"),"내 여동생은 도와주기를 거부할 것이다.")</f>
        <v>내 여동생은 도와주기를 거부할 것이다.</v>
      </c>
      <c r="Y81" s="178">
        <v>29.0</v>
      </c>
      <c r="Z81" s="142" t="s">
        <v>2998</v>
      </c>
      <c r="AA81" s="220" t="s">
        <v>2999</v>
      </c>
      <c r="AB81" s="221" t="s">
        <v>3000</v>
      </c>
      <c r="AC81" s="178">
        <v>29.0</v>
      </c>
      <c r="AD81" s="226" t="s">
        <v>3001</v>
      </c>
      <c r="AE81" s="227" t="s">
        <v>3002</v>
      </c>
      <c r="AF81" s="166" t="s">
        <v>3003</v>
      </c>
      <c r="AG81" s="178">
        <v>29.0</v>
      </c>
      <c r="AH81" s="140" t="s">
        <v>3004</v>
      </c>
      <c r="AI81" s="137" t="s">
        <v>3005</v>
      </c>
      <c r="AJ81" s="138" t="s">
        <v>3006</v>
      </c>
      <c r="AK81" s="178">
        <v>29.0</v>
      </c>
      <c r="AL81" s="149" t="s">
        <v>3007</v>
      </c>
      <c r="AM81" s="169" t="s">
        <v>3008</v>
      </c>
      <c r="AN81" s="172" t="s">
        <v>3009</v>
      </c>
      <c r="AO81" s="178">
        <v>29.0</v>
      </c>
      <c r="AP81" s="199" t="s">
        <v>3010</v>
      </c>
      <c r="AQ81" s="165" t="s">
        <v>3011</v>
      </c>
      <c r="AR81" s="153" t="s">
        <v>3012</v>
      </c>
      <c r="AS81" s="178">
        <v>29.0</v>
      </c>
      <c r="AT81" s="136" t="s">
        <v>3013</v>
      </c>
      <c r="AU81" s="137" t="s">
        <v>3014</v>
      </c>
      <c r="AV81" s="138" t="s">
        <v>3015</v>
      </c>
      <c r="AW81" s="138"/>
      <c r="AX81" s="138"/>
    </row>
    <row r="82">
      <c r="A82" s="178">
        <v>30.0</v>
      </c>
      <c r="B82" s="136" t="s">
        <v>3016</v>
      </c>
      <c r="C82" s="137" t="s">
        <v>3017</v>
      </c>
      <c r="D82" s="138" t="s">
        <v>3018</v>
      </c>
      <c r="E82" s="178">
        <v>30.0</v>
      </c>
      <c r="F82" s="136" t="s">
        <v>3019</v>
      </c>
      <c r="G82" s="137" t="s">
        <v>3020</v>
      </c>
      <c r="H82" s="138" t="s">
        <v>3021</v>
      </c>
      <c r="I82" s="178">
        <v>30.0</v>
      </c>
      <c r="J82" s="136" t="s">
        <v>3022</v>
      </c>
      <c r="K82" s="137" t="s">
        <v>3023</v>
      </c>
      <c r="L82" s="138" t="s">
        <v>3024</v>
      </c>
      <c r="M82" s="178">
        <v>30.0</v>
      </c>
      <c r="N82" s="136" t="str">
        <f>IFERROR(__xludf.DUMMYFUNCTION("GOOGLETRANSLATE(B82,""zh-tw"",""zh"")"),"请妹妹帮忙洗-3")</f>
        <v>请妹妹帮忙洗-3</v>
      </c>
      <c r="O82" s="154" t="str">
        <f>IFERROR(__xludf.DUMMYFUNCTION("GOOGLETRANSLATE(C82,""zh-tw"",""zh"")"),"同上，若达到4颗紫心时")</f>
        <v>同上，若达到4颗紫心时</v>
      </c>
      <c r="P82" s="100" t="str">
        <f>IFERROR(__xludf.DUMMYFUNCTION("GOOGLETRANSLATE(D82,""zh-tw"",""zh"")"),"第一段素股画面演出")</f>
        <v>第一段素股画面演出</v>
      </c>
      <c r="Q82" s="178">
        <v>30.0</v>
      </c>
      <c r="R82" s="136" t="str">
        <f>IFERROR(__xludf.DUMMYFUNCTION("GOOGLETRANSLATE(B82,""zh-tw"",""es-MX"")"),"Por favor, pídele a mi hermana que me ayude a lavarme - 3")</f>
        <v>Por favor, pídele a mi hermana que me ayude a lavarme - 3</v>
      </c>
      <c r="S82" s="137" t="str">
        <f>IFERROR(__xludf.DUMMYFUNCTION("GOOGLETRANSLATE(C82,""zh-tw"",""es-MX"")"),"Del mismo modo, si alcanzas 4 corazones morados...")</f>
        <v>Del mismo modo, si alcanzas 4 corazones morados...</v>
      </c>
      <c r="T82" s="100" t="str">
        <f>IFERROR(__xludf.DUMMYFUNCTION("GOOGLETRANSLATE(D82,""zh-tw"",""es-MX"")"),"La primera parte de la representación de la escena de las medias sencillas")</f>
        <v>La primera parte de la representación de la escena de las medias sencillas</v>
      </c>
      <c r="U82" s="178">
        <v>30.0</v>
      </c>
      <c r="V82" s="156" t="str">
        <f>IFERROR(__xludf.DUMMYFUNCTION("GOOGLETRANSLATE(B82,""zh-tw"",""KO"")"),"제 여동생에게 세탁 좀 도와달라고 전해주세요 - 3")</f>
        <v>제 여동생에게 세탁 좀 도와달라고 전해주세요 - 3</v>
      </c>
      <c r="W82" s="154" t="str">
        <f>IFERROR(__xludf.DUMMYFUNCTION("GOOGLETRANSLATE(C82,""zh-tw"",""KO"")"),"마찬가지로, 보라색 하트를 4개 모으면...")</f>
        <v>마찬가지로, 보라색 하트를 4개 모으면...</v>
      </c>
      <c r="X82" s="100" t="str">
        <f>IFERROR(__xludf.DUMMYFUNCTION("GOOGLETRANSLATE(D82,""zh-tw"",""KO"")"),"평범한 스타킹 장면 공연의 첫 번째 부분")</f>
        <v>평범한 스타킹 장면 공연의 첫 번째 부분</v>
      </c>
      <c r="Y82" s="178">
        <v>30.0</v>
      </c>
      <c r="Z82" s="142" t="s">
        <v>3025</v>
      </c>
      <c r="AA82" s="220" t="s">
        <v>3026</v>
      </c>
      <c r="AB82" s="221" t="s">
        <v>3027</v>
      </c>
      <c r="AC82" s="178">
        <v>30.0</v>
      </c>
      <c r="AD82" s="226" t="s">
        <v>3028</v>
      </c>
      <c r="AE82" s="227" t="s">
        <v>3029</v>
      </c>
      <c r="AF82" s="166" t="s">
        <v>3030</v>
      </c>
      <c r="AG82" s="178">
        <v>30.0</v>
      </c>
      <c r="AH82" s="140" t="s">
        <v>3031</v>
      </c>
      <c r="AI82" s="137" t="s">
        <v>3032</v>
      </c>
      <c r="AJ82" s="138" t="s">
        <v>3033</v>
      </c>
      <c r="AK82" s="178">
        <v>30.0</v>
      </c>
      <c r="AL82" s="149" t="s">
        <v>3034</v>
      </c>
      <c r="AM82" s="169" t="s">
        <v>3035</v>
      </c>
      <c r="AN82" s="172" t="s">
        <v>3036</v>
      </c>
      <c r="AO82" s="178">
        <v>30.0</v>
      </c>
      <c r="AP82" s="199" t="s">
        <v>3037</v>
      </c>
      <c r="AQ82" s="165" t="s">
        <v>3038</v>
      </c>
      <c r="AR82" s="153" t="s">
        <v>3039</v>
      </c>
      <c r="AS82" s="178">
        <v>30.0</v>
      </c>
      <c r="AT82" s="136" t="s">
        <v>3040</v>
      </c>
      <c r="AU82" s="137" t="s">
        <v>3041</v>
      </c>
      <c r="AV82" s="138" t="s">
        <v>3042</v>
      </c>
      <c r="AW82" s="138"/>
      <c r="AX82" s="138"/>
    </row>
    <row r="83">
      <c r="A83" s="178">
        <v>31.0</v>
      </c>
      <c r="B83" s="136" t="s">
        <v>3043</v>
      </c>
      <c r="C83" s="137" t="s">
        <v>3044</v>
      </c>
      <c r="D83" s="138" t="s">
        <v>3045</v>
      </c>
      <c r="E83" s="178">
        <v>31.0</v>
      </c>
      <c r="F83" s="136" t="s">
        <v>3046</v>
      </c>
      <c r="G83" s="137" t="s">
        <v>3047</v>
      </c>
      <c r="H83" s="138" t="s">
        <v>3048</v>
      </c>
      <c r="I83" s="178">
        <v>31.0</v>
      </c>
      <c r="J83" s="136" t="s">
        <v>3049</v>
      </c>
      <c r="K83" s="137" t="s">
        <v>3050</v>
      </c>
      <c r="L83" s="138" t="s">
        <v>3051</v>
      </c>
      <c r="M83" s="178">
        <v>31.0</v>
      </c>
      <c r="N83" s="136" t="str">
        <f>IFERROR(__xludf.DUMMYFUNCTION("GOOGLETRANSLATE(B83,""zh-tw"",""zh"")"),"请妹妹帮忙洗-4")</f>
        <v>请妹妹帮忙洗-4</v>
      </c>
      <c r="O83" s="154" t="str">
        <f>IFERROR(__xludf.DUMMYFUNCTION("GOOGLETRANSLATE(C83,""zh-tw"",""zh"")"),"同上，若达到5颗紫心时")</f>
        <v>同上，若达到5颗紫心时</v>
      </c>
      <c r="P83" s="100" t="str">
        <f>IFERROR(__xludf.DUMMYFUNCTION("GOOGLETRANSLATE(D83,""zh-tw"",""zh"")"),"第二段素股画面演出")</f>
        <v>第二段素股画面演出</v>
      </c>
      <c r="Q83" s="178">
        <v>31.0</v>
      </c>
      <c r="R83" s="136" t="str">
        <f>IFERROR(__xludf.DUMMYFUNCTION("GOOGLETRANSLATE(B83,""zh-tw"",""es-MX"")"),"Por favor, pídele a mi hermana que me ayude a lavar -4")</f>
        <v>Por favor, pídele a mi hermana que me ayude a lavar -4</v>
      </c>
      <c r="S83" s="137" t="str">
        <f>IFERROR(__xludf.DUMMYFUNCTION("GOOGLETRANSLATE(C83,""zh-tw"",""es-MX"")"),"Del mismo modo, si alcanzas 5 corazones morados...")</f>
        <v>Del mismo modo, si alcanzas 5 corazones morados...</v>
      </c>
      <c r="T83" s="100" t="str">
        <f>IFERROR(__xludf.DUMMYFUNCTION("GOOGLETRANSLATE(D83,""zh-tw"",""es-MX"")"),"La segunda parte de la representación de la escena de las medias sencillas")</f>
        <v>La segunda parte de la representación de la escena de las medias sencillas</v>
      </c>
      <c r="U83" s="178">
        <v>31.0</v>
      </c>
      <c r="V83" s="156" t="str">
        <f>IFERROR(__xludf.DUMMYFUNCTION("GOOGLETRANSLATE(B83,""zh-tw"",""KO"")"),"제 여동생에게 세탁 좀 도와달라고 전해주세요 -4")</f>
        <v>제 여동생에게 세탁 좀 도와달라고 전해주세요 -4</v>
      </c>
      <c r="W83" s="154" t="str">
        <f>IFERROR(__xludf.DUMMYFUNCTION("GOOGLETRANSLATE(C83,""zh-tw"",""KO"")"),"마찬가지로, 보라색 하트를 5개 모으면...")</f>
        <v>마찬가지로, 보라색 하트를 5개 모으면...</v>
      </c>
      <c r="X83" s="100" t="str">
        <f>IFERROR(__xludf.DUMMYFUNCTION("GOOGLETRANSLATE(D83,""zh-tw"",""KO"")"),"평범한 스타킹 장면 공연의 두 번째 부분")</f>
        <v>평범한 스타킹 장면 공연의 두 번째 부분</v>
      </c>
      <c r="Y83" s="178">
        <v>31.0</v>
      </c>
      <c r="Z83" s="142" t="s">
        <v>3052</v>
      </c>
      <c r="AA83" s="220" t="s">
        <v>3053</v>
      </c>
      <c r="AB83" s="221" t="s">
        <v>3054</v>
      </c>
      <c r="AC83" s="178">
        <v>31.0</v>
      </c>
      <c r="AD83" s="226" t="s">
        <v>3055</v>
      </c>
      <c r="AE83" s="190" t="s">
        <v>3056</v>
      </c>
      <c r="AF83" s="166" t="s">
        <v>3057</v>
      </c>
      <c r="AG83" s="178">
        <v>31.0</v>
      </c>
      <c r="AH83" s="140" t="s">
        <v>3058</v>
      </c>
      <c r="AI83" s="137" t="s">
        <v>3059</v>
      </c>
      <c r="AJ83" s="138" t="s">
        <v>3060</v>
      </c>
      <c r="AK83" s="178">
        <v>31.0</v>
      </c>
      <c r="AL83" s="149" t="s">
        <v>3061</v>
      </c>
      <c r="AM83" s="169" t="s">
        <v>3062</v>
      </c>
      <c r="AN83" s="172" t="s">
        <v>3063</v>
      </c>
      <c r="AO83" s="178">
        <v>31.0</v>
      </c>
      <c r="AP83" s="199" t="s">
        <v>3064</v>
      </c>
      <c r="AQ83" s="152" t="s">
        <v>3065</v>
      </c>
      <c r="AR83" s="153" t="s">
        <v>3066</v>
      </c>
      <c r="AS83" s="178">
        <v>31.0</v>
      </c>
      <c r="AT83" s="136" t="s">
        <v>3067</v>
      </c>
      <c r="AU83" s="137" t="s">
        <v>3068</v>
      </c>
      <c r="AV83" s="138" t="s">
        <v>3069</v>
      </c>
      <c r="AW83" s="138"/>
      <c r="AX83" s="138"/>
    </row>
    <row r="84">
      <c r="A84" s="178">
        <v>32.0</v>
      </c>
      <c r="B84" s="151" t="s">
        <v>3070</v>
      </c>
      <c r="C84" s="152" t="s">
        <v>3071</v>
      </c>
      <c r="D84" s="153" t="s">
        <v>3072</v>
      </c>
      <c r="E84" s="178">
        <v>32.0</v>
      </c>
      <c r="F84" s="136" t="s">
        <v>3073</v>
      </c>
      <c r="G84" s="193" t="s">
        <v>3074</v>
      </c>
      <c r="H84" s="194" t="s">
        <v>3075</v>
      </c>
      <c r="I84" s="178">
        <v>32.0</v>
      </c>
      <c r="J84" s="192" t="s">
        <v>3076</v>
      </c>
      <c r="K84" s="193" t="s">
        <v>3077</v>
      </c>
      <c r="L84" s="194" t="s">
        <v>3078</v>
      </c>
      <c r="M84" s="178">
        <v>32.0</v>
      </c>
      <c r="N84" s="151" t="str">
        <f>IFERROR(__xludf.DUMMYFUNCTION("GOOGLETRANSLATE(B84,""zh-tw"",""zh"")"),"请妹妹帮忙洗-5")</f>
        <v>请妹妹帮忙洗-5</v>
      </c>
      <c r="O84" s="180" t="str">
        <f>IFERROR(__xludf.DUMMYFUNCTION("GOOGLETRANSLATE(C84,""zh-tw"",""zh"")"),"当心动值达10分以上、以及触发过2次素股事件
或者使用贿络")</f>
        <v>当心动值达10分以上、以及触发过2次素股事件
或者使用贿络</v>
      </c>
      <c r="P84" s="181" t="str">
        <f>IFERROR(__xludf.DUMMYFUNCTION("GOOGLETRANSLATE(D84,""zh-tw"",""zh"")"),"触发洗浴中口交事件")</f>
        <v>触发洗浴中口交事件</v>
      </c>
      <c r="Q84" s="178">
        <v>32.0</v>
      </c>
      <c r="R84" s="179" t="str">
        <f>IFERROR(__xludf.DUMMYFUNCTION("GOOGLETRANSLATE(B84,""zh-tw"",""es-MX"")"),"Por favor, pídele a mi hermana que me ayude a lavar -5")</f>
        <v>Por favor, pídele a mi hermana que me ayude a lavar -5</v>
      </c>
      <c r="S84" s="180" t="str">
        <f>IFERROR(__xludf.DUMMYFUNCTION("GOOGLETRANSLATE(C84,""zh-tw"",""es-MX"")"),"Cuando la frecuencia cardíaca alcanza los 10 puntos o más, y se han activado dos eventos relacionados con las acciones, o se utiliza el soborno...")</f>
        <v>Cuando la frecuencia cardíaca alcanza los 10 puntos o más, y se han activado dos eventos relacionados con las acciones, o se utiliza el soborno...</v>
      </c>
      <c r="T84" s="181" t="str">
        <f>IFERROR(__xludf.DUMMYFUNCTION("GOOGLETRANSLATE(D84,""zh-tw"",""es-MX"")"),"Evento que desencadena sexo oral en el baño")</f>
        <v>Evento que desencadena sexo oral en el baño</v>
      </c>
      <c r="U84" s="178">
        <v>32.0</v>
      </c>
      <c r="V84" s="179" t="str">
        <f>IFERROR(__xludf.DUMMYFUNCTION("GOOGLETRANSLATE(B84,""zh-tw"",""KO"")"),"제 여동생에게 세탁 좀 도와달라고 전해주세요 -5")</f>
        <v>제 여동생에게 세탁 좀 도와달라고 전해주세요 -5</v>
      </c>
      <c r="W84" s="180" t="str">
        <f>IFERROR(__xludf.DUMMYFUNCTION("GOOGLETRANSLATE(C84,""zh-tw"",""KO"")"),"심박수가 10포인트 이상에 도달하고, 주식 관련 사건이 두 건 발생했거나, 뇌물이 사용되었을 경우...")</f>
        <v>심박수가 10포인트 이상에 도달하고, 주식 관련 사건이 두 건 발생했거나, 뇌물이 사용되었을 경우...</v>
      </c>
      <c r="X84" s="181" t="str">
        <f>IFERROR(__xludf.DUMMYFUNCTION("GOOGLETRANSLATE(D84,""zh-tw"",""KO"")"),"욕조에서 구강성교를 유발하는 상황")</f>
        <v>욕조에서 구강성교를 유발하는 상황</v>
      </c>
      <c r="Y84" s="178">
        <v>32.0</v>
      </c>
      <c r="Z84" s="142" t="s">
        <v>3079</v>
      </c>
      <c r="AA84" s="220" t="s">
        <v>3080</v>
      </c>
      <c r="AB84" s="221" t="s">
        <v>3081</v>
      </c>
      <c r="AC84" s="178">
        <v>32.0</v>
      </c>
      <c r="AD84" s="226" t="s">
        <v>3082</v>
      </c>
      <c r="AE84" s="190" t="s">
        <v>3083</v>
      </c>
      <c r="AF84" s="166" t="s">
        <v>3084</v>
      </c>
      <c r="AG84" s="178">
        <v>32.0</v>
      </c>
      <c r="AH84" s="140" t="s">
        <v>3085</v>
      </c>
      <c r="AI84" s="193" t="s">
        <v>3086</v>
      </c>
      <c r="AJ84" s="194" t="s">
        <v>3087</v>
      </c>
      <c r="AK84" s="178">
        <v>32.0</v>
      </c>
      <c r="AL84" s="196" t="s">
        <v>3088</v>
      </c>
      <c r="AM84" s="197" t="s">
        <v>3089</v>
      </c>
      <c r="AN84" s="225" t="s">
        <v>3090</v>
      </c>
      <c r="AO84" s="178">
        <v>32.0</v>
      </c>
      <c r="AP84" s="151" t="s">
        <v>3091</v>
      </c>
      <c r="AQ84" s="152" t="s">
        <v>3092</v>
      </c>
      <c r="AR84" s="164" t="s">
        <v>3093</v>
      </c>
      <c r="AS84" s="178">
        <v>32.0</v>
      </c>
      <c r="AT84" s="136" t="s">
        <v>3076</v>
      </c>
      <c r="AU84" s="137" t="s">
        <v>3077</v>
      </c>
      <c r="AV84" s="138" t="s">
        <v>3094</v>
      </c>
      <c r="AW84" s="153"/>
      <c r="AX84" s="153"/>
    </row>
    <row r="85">
      <c r="A85" s="178">
        <v>33.0</v>
      </c>
      <c r="B85" s="151" t="s">
        <v>3095</v>
      </c>
      <c r="C85" s="152" t="s">
        <v>3096</v>
      </c>
      <c r="D85" s="153" t="s">
        <v>3097</v>
      </c>
      <c r="E85" s="178">
        <v>33.0</v>
      </c>
      <c r="F85" s="136" t="s">
        <v>3098</v>
      </c>
      <c r="G85" s="193" t="s">
        <v>3099</v>
      </c>
      <c r="H85" s="194" t="s">
        <v>3100</v>
      </c>
      <c r="I85" s="178">
        <v>33.0</v>
      </c>
      <c r="J85" s="192" t="s">
        <v>3101</v>
      </c>
      <c r="K85" s="193" t="s">
        <v>3102</v>
      </c>
      <c r="L85" s="194" t="s">
        <v>3103</v>
      </c>
      <c r="M85" s="178">
        <v>33.0</v>
      </c>
      <c r="N85" s="151" t="str">
        <f>IFERROR(__xludf.DUMMYFUNCTION("GOOGLETRANSLATE(B85,""zh-tw"",""zh"")"),"请妹妹帮忙洗-6")</f>
        <v>请妹妹帮忙洗-6</v>
      </c>
      <c r="O85" s="180" t="str">
        <f>IFERROR(__xludf.DUMMYFUNCTION("GOOGLETRANSLATE(C85,""zh-tw"",""zh"")"),"同上，并且哥哥持有装备""恶魔眼球""")</f>
        <v>同上，并且哥哥持有装备"恶魔眼球"</v>
      </c>
      <c r="P85" s="181" t="str">
        <f>IFERROR(__xludf.DUMMYFUNCTION("GOOGLETRANSLATE(D85,""zh-tw"",""zh"")"),"于左下角的黑色眼球，可以观看到透视版本的画面")</f>
        <v>于左下角的黑色眼球，可以观看到透视版本的画面</v>
      </c>
      <c r="Q85" s="178">
        <v>33.0</v>
      </c>
      <c r="R85" s="179" t="str">
        <f>IFERROR(__xludf.DUMMYFUNCTION("GOOGLETRANSLATE(B85,""zh-tw"",""es-MX"")"),"Por favor, pídele a mi hermana que me ayude a lavar - 6")</f>
        <v>Por favor, pídele a mi hermana que me ayude a lavar - 6</v>
      </c>
      <c r="S85" s="180" t="str">
        <f>IFERROR(__xludf.DUMMYFUNCTION("GOOGLETRANSLATE(C85,""zh-tw"",""es-MX"")"),"Igual que lo anterior, y el hermano mayor posee el equipo ""Ojo de Demonio"".")</f>
        <v>Igual que lo anterior, y el hermano mayor posee el equipo "Ojo de Demonio".</v>
      </c>
      <c r="T85" s="181" t="str">
        <f>IFERROR(__xludf.DUMMYFUNCTION("GOOGLETRANSLATE(D85,""zh-tw"",""es-MX"")"),"Se puede apreciar una vista en perspectiva a través del ojo negro situado en la esquina inferior izquierda.")</f>
        <v>Se puede apreciar una vista en perspectiva a través del ojo negro situado en la esquina inferior izquierda.</v>
      </c>
      <c r="U85" s="178">
        <v>33.0</v>
      </c>
      <c r="V85" s="179" t="str">
        <f>IFERROR(__xludf.DUMMYFUNCTION("GOOGLETRANSLATE(B85,""zh-tw"",""KO"")"),"제 여동생에게 빨래 좀 도와달라고 전해주세요 - 6")</f>
        <v>제 여동생에게 빨래 좀 도와달라고 전해주세요 - 6</v>
      </c>
      <c r="W85" s="180" t="str">
        <f>IFERROR(__xludf.DUMMYFUNCTION("GOOGLETRANSLATE(C85,""zh-tw"",""KO"")"),"위와 마찬가지로, 형은 ""악마의 눈알""이라는 장비를 가지고 있습니다.")</f>
        <v>위와 마찬가지로, 형은 "악마의 눈알"이라는 장비를 가지고 있습니다.</v>
      </c>
      <c r="X85" s="181" t="str">
        <f>IFERROR(__xludf.DUMMYFUNCTION("GOOGLETRANSLATE(D85,""zh-tw"",""KO"")"),"왼쪽 아래 모서리에 있는 검은 눈동자를 통해 원근감을 느낄 수 있습니다.")</f>
        <v>왼쪽 아래 모서리에 있는 검은 눈동자를 통해 원근감을 느낄 수 있습니다.</v>
      </c>
      <c r="Y85" s="178">
        <v>33.0</v>
      </c>
      <c r="Z85" s="142" t="s">
        <v>3104</v>
      </c>
      <c r="AA85" s="220" t="s">
        <v>3105</v>
      </c>
      <c r="AB85" s="221" t="s">
        <v>3106</v>
      </c>
      <c r="AC85" s="178">
        <v>33.0</v>
      </c>
      <c r="AD85" s="226" t="s">
        <v>3107</v>
      </c>
      <c r="AE85" s="227" t="s">
        <v>3108</v>
      </c>
      <c r="AF85" s="223" t="s">
        <v>3109</v>
      </c>
      <c r="AG85" s="178">
        <v>33.0</v>
      </c>
      <c r="AH85" s="136" t="s">
        <v>3110</v>
      </c>
      <c r="AI85" s="193" t="s">
        <v>3111</v>
      </c>
      <c r="AJ85" s="194" t="s">
        <v>3112</v>
      </c>
      <c r="AK85" s="178">
        <v>33.0</v>
      </c>
      <c r="AL85" s="196" t="s">
        <v>3113</v>
      </c>
      <c r="AM85" s="228" t="s">
        <v>3114</v>
      </c>
      <c r="AN85" s="198" t="s">
        <v>3115</v>
      </c>
      <c r="AO85" s="178">
        <v>33.0</v>
      </c>
      <c r="AP85" s="151" t="s">
        <v>3116</v>
      </c>
      <c r="AQ85" s="152" t="s">
        <v>3117</v>
      </c>
      <c r="AR85" s="164" t="s">
        <v>3118</v>
      </c>
      <c r="AS85" s="178">
        <v>33.0</v>
      </c>
      <c r="AT85" s="136" t="s">
        <v>3101</v>
      </c>
      <c r="AU85" s="137" t="s">
        <v>3119</v>
      </c>
      <c r="AV85" s="138" t="s">
        <v>3120</v>
      </c>
      <c r="AW85" s="153"/>
      <c r="AX85" s="153"/>
    </row>
    <row r="86">
      <c r="A86" s="178">
        <v>34.0</v>
      </c>
      <c r="B86" s="151" t="s">
        <v>3121</v>
      </c>
      <c r="C86" s="165" t="s">
        <v>3122</v>
      </c>
      <c r="D86" s="164" t="s">
        <v>3123</v>
      </c>
      <c r="E86" s="178">
        <v>34.0</v>
      </c>
      <c r="F86" s="140" t="s">
        <v>3124</v>
      </c>
      <c r="G86" s="200" t="s">
        <v>3125</v>
      </c>
      <c r="H86" s="205" t="s">
        <v>3126</v>
      </c>
      <c r="I86" s="178">
        <v>34.0</v>
      </c>
      <c r="J86" s="204" t="s">
        <v>3127</v>
      </c>
      <c r="K86" s="200" t="s">
        <v>3128</v>
      </c>
      <c r="L86" s="205" t="s">
        <v>3129</v>
      </c>
      <c r="M86" s="178">
        <v>34.0</v>
      </c>
      <c r="N86" s="199" t="s">
        <v>3130</v>
      </c>
      <c r="O86" s="165" t="s">
        <v>3131</v>
      </c>
      <c r="P86" s="164" t="s">
        <v>3132</v>
      </c>
      <c r="Q86" s="178">
        <v>34.0</v>
      </c>
      <c r="R86" s="179"/>
      <c r="S86" s="180"/>
      <c r="T86" s="181"/>
      <c r="U86" s="178">
        <v>34.0</v>
      </c>
      <c r="V86" s="179"/>
      <c r="W86" s="180"/>
      <c r="X86" s="181"/>
      <c r="Y86" s="178">
        <v>34.0</v>
      </c>
      <c r="Z86" s="142" t="s">
        <v>3133</v>
      </c>
      <c r="AA86" s="220" t="s">
        <v>3134</v>
      </c>
      <c r="AB86" s="144" t="s">
        <v>3135</v>
      </c>
      <c r="AC86" s="178">
        <v>34.0</v>
      </c>
      <c r="AD86" s="226" t="s">
        <v>3136</v>
      </c>
      <c r="AE86" s="227" t="s">
        <v>3137</v>
      </c>
      <c r="AF86" s="223" t="s">
        <v>3138</v>
      </c>
      <c r="AG86" s="178">
        <v>34.0</v>
      </c>
      <c r="AH86" s="140" t="s">
        <v>3139</v>
      </c>
      <c r="AI86" s="200" t="s">
        <v>3140</v>
      </c>
      <c r="AJ86" s="205" t="s">
        <v>3141</v>
      </c>
      <c r="AK86" s="178">
        <v>34.0</v>
      </c>
      <c r="AL86" s="229" t="s">
        <v>3142</v>
      </c>
      <c r="AM86" s="228" t="s">
        <v>3143</v>
      </c>
      <c r="AN86" s="198" t="s">
        <v>3144</v>
      </c>
      <c r="AO86" s="178">
        <v>34.0</v>
      </c>
      <c r="AP86" s="199" t="s">
        <v>3145</v>
      </c>
      <c r="AQ86" s="165" t="s">
        <v>3146</v>
      </c>
      <c r="AR86" s="164" t="s">
        <v>3147</v>
      </c>
      <c r="AS86" s="178">
        <v>34.0</v>
      </c>
      <c r="AT86" s="136"/>
      <c r="AU86" s="137"/>
      <c r="AV86" s="138"/>
      <c r="AW86" s="153"/>
      <c r="AX86" s="153"/>
    </row>
    <row r="87">
      <c r="A87" s="178">
        <v>35.0</v>
      </c>
      <c r="B87" s="151" t="s">
        <v>3148</v>
      </c>
      <c r="C87" s="165" t="s">
        <v>3149</v>
      </c>
      <c r="D87" s="164" t="s">
        <v>3150</v>
      </c>
      <c r="E87" s="178">
        <v>35.0</v>
      </c>
      <c r="F87" s="140" t="s">
        <v>3151</v>
      </c>
      <c r="G87" s="200" t="s">
        <v>3152</v>
      </c>
      <c r="H87" s="205" t="s">
        <v>3153</v>
      </c>
      <c r="I87" s="178">
        <v>35.0</v>
      </c>
      <c r="J87" s="204" t="s">
        <v>3154</v>
      </c>
      <c r="K87" s="200" t="s">
        <v>3155</v>
      </c>
      <c r="L87" s="205" t="s">
        <v>3156</v>
      </c>
      <c r="M87" s="178">
        <v>35.0</v>
      </c>
      <c r="N87" s="199" t="s">
        <v>3157</v>
      </c>
      <c r="O87" s="165" t="s">
        <v>3158</v>
      </c>
      <c r="P87" s="164" t="s">
        <v>3159</v>
      </c>
      <c r="Q87" s="178">
        <v>35.0</v>
      </c>
      <c r="R87" s="179"/>
      <c r="S87" s="180"/>
      <c r="T87" s="181"/>
      <c r="U87" s="178">
        <v>35.0</v>
      </c>
      <c r="V87" s="179"/>
      <c r="W87" s="180"/>
      <c r="X87" s="181"/>
      <c r="Y87" s="178">
        <v>35.0</v>
      </c>
      <c r="Z87" s="142" t="s">
        <v>3160</v>
      </c>
      <c r="AA87" s="220" t="s">
        <v>3161</v>
      </c>
      <c r="AB87" s="144" t="s">
        <v>3162</v>
      </c>
      <c r="AC87" s="178">
        <v>35.0</v>
      </c>
      <c r="AD87" s="226" t="s">
        <v>3163</v>
      </c>
      <c r="AE87" s="227" t="s">
        <v>3164</v>
      </c>
      <c r="AF87" s="223" t="s">
        <v>3165</v>
      </c>
      <c r="AG87" s="178">
        <v>35.0</v>
      </c>
      <c r="AH87" s="140" t="s">
        <v>3166</v>
      </c>
      <c r="AI87" s="200" t="s">
        <v>3167</v>
      </c>
      <c r="AJ87" s="205" t="s">
        <v>3168</v>
      </c>
      <c r="AK87" s="178">
        <v>35.0</v>
      </c>
      <c r="AL87" s="229" t="s">
        <v>3169</v>
      </c>
      <c r="AM87" s="228" t="s">
        <v>3170</v>
      </c>
      <c r="AN87" s="198" t="s">
        <v>3171</v>
      </c>
      <c r="AO87" s="178">
        <v>35.0</v>
      </c>
      <c r="AP87" s="199" t="s">
        <v>3172</v>
      </c>
      <c r="AQ87" s="165" t="s">
        <v>3173</v>
      </c>
      <c r="AR87" s="164" t="s">
        <v>3174</v>
      </c>
      <c r="AS87" s="178">
        <v>35.0</v>
      </c>
      <c r="AT87" s="136"/>
      <c r="AU87" s="137"/>
      <c r="AV87" s="138"/>
      <c r="AW87" s="153"/>
      <c r="AX87" s="153"/>
    </row>
    <row r="88">
      <c r="A88" s="178">
        <v>36.0</v>
      </c>
      <c r="B88" s="199" t="s">
        <v>3175</v>
      </c>
      <c r="C88" s="165" t="s">
        <v>3176</v>
      </c>
      <c r="D88" s="164" t="s">
        <v>3177</v>
      </c>
      <c r="E88" s="178">
        <v>36.0</v>
      </c>
      <c r="F88" s="140" t="s">
        <v>3178</v>
      </c>
      <c r="G88" s="200" t="s">
        <v>3179</v>
      </c>
      <c r="H88" s="205" t="s">
        <v>3180</v>
      </c>
      <c r="I88" s="178">
        <v>36.0</v>
      </c>
      <c r="J88" s="204" t="s">
        <v>3181</v>
      </c>
      <c r="K88" s="200" t="s">
        <v>3182</v>
      </c>
      <c r="L88" s="205" t="s">
        <v>3183</v>
      </c>
      <c r="M88" s="178">
        <v>36.0</v>
      </c>
      <c r="N88" s="199" t="s">
        <v>3184</v>
      </c>
      <c r="O88" s="165" t="s">
        <v>3185</v>
      </c>
      <c r="P88" s="164" t="s">
        <v>3186</v>
      </c>
      <c r="Q88" s="178">
        <v>36.0</v>
      </c>
      <c r="R88" s="179"/>
      <c r="S88" s="180"/>
      <c r="T88" s="181"/>
      <c r="U88" s="178">
        <v>36.0</v>
      </c>
      <c r="V88" s="179"/>
      <c r="W88" s="180"/>
      <c r="X88" s="181"/>
      <c r="Y88" s="178">
        <v>36.0</v>
      </c>
      <c r="Z88" s="230" t="s">
        <v>3187</v>
      </c>
      <c r="AA88" s="224" t="s">
        <v>3188</v>
      </c>
      <c r="AB88" s="85" t="s">
        <v>3189</v>
      </c>
      <c r="AC88" s="178">
        <v>36.0</v>
      </c>
      <c r="AD88" s="226" t="s">
        <v>3190</v>
      </c>
      <c r="AE88" s="224" t="s">
        <v>3191</v>
      </c>
      <c r="AF88" s="85" t="s">
        <v>3192</v>
      </c>
      <c r="AG88" s="178">
        <v>36.0</v>
      </c>
      <c r="AH88" s="140" t="s">
        <v>3193</v>
      </c>
      <c r="AI88" s="200" t="s">
        <v>3194</v>
      </c>
      <c r="AJ88" s="205" t="s">
        <v>3195</v>
      </c>
      <c r="AK88" s="178">
        <v>36.0</v>
      </c>
      <c r="AL88" s="229" t="s">
        <v>3196</v>
      </c>
      <c r="AM88" s="228" t="s">
        <v>3197</v>
      </c>
      <c r="AN88" s="198" t="s">
        <v>3198</v>
      </c>
      <c r="AO88" s="178">
        <v>36.0</v>
      </c>
      <c r="AP88" s="199" t="s">
        <v>3199</v>
      </c>
      <c r="AQ88" s="165" t="s">
        <v>3200</v>
      </c>
      <c r="AR88" s="164" t="s">
        <v>3201</v>
      </c>
      <c r="AS88" s="178">
        <v>36.0</v>
      </c>
      <c r="AT88" s="136"/>
      <c r="AU88" s="137"/>
      <c r="AV88" s="138"/>
      <c r="AW88" s="153"/>
      <c r="AX88" s="153"/>
    </row>
    <row r="89">
      <c r="A89" s="178">
        <v>37.0</v>
      </c>
      <c r="B89" s="199" t="s">
        <v>3202</v>
      </c>
      <c r="C89" s="165" t="s">
        <v>3203</v>
      </c>
      <c r="D89" s="164" t="s">
        <v>3204</v>
      </c>
      <c r="E89" s="178">
        <v>37.0</v>
      </c>
      <c r="F89" s="140"/>
      <c r="G89" s="200"/>
      <c r="H89" s="205"/>
      <c r="I89" s="178">
        <v>37.0</v>
      </c>
      <c r="J89" s="204" t="s">
        <v>3205</v>
      </c>
      <c r="K89" s="200" t="s">
        <v>3206</v>
      </c>
      <c r="L89" s="205" t="s">
        <v>3207</v>
      </c>
      <c r="M89" s="178">
        <v>37.0</v>
      </c>
      <c r="N89" s="199"/>
      <c r="O89" s="165"/>
      <c r="P89" s="164"/>
      <c r="Q89" s="178">
        <v>37.0</v>
      </c>
      <c r="R89" s="179"/>
      <c r="S89" s="180"/>
      <c r="T89" s="181"/>
      <c r="U89" s="178">
        <v>37.0</v>
      </c>
      <c r="V89" s="179"/>
      <c r="W89" s="180"/>
      <c r="X89" s="181"/>
      <c r="Y89" s="178">
        <v>37.0</v>
      </c>
      <c r="Z89" s="230"/>
      <c r="AA89" s="224"/>
      <c r="AB89" s="85"/>
      <c r="AC89" s="178">
        <v>37.0</v>
      </c>
      <c r="AD89" s="231" t="s">
        <v>3208</v>
      </c>
      <c r="AE89" s="232" t="s">
        <v>3209</v>
      </c>
      <c r="AF89" s="233" t="s">
        <v>3210</v>
      </c>
      <c r="AG89" s="178">
        <v>37.0</v>
      </c>
      <c r="AH89" s="140" t="s">
        <v>3211</v>
      </c>
      <c r="AI89" s="200" t="s">
        <v>3212</v>
      </c>
      <c r="AJ89" s="205" t="s">
        <v>3213</v>
      </c>
      <c r="AK89" s="178">
        <v>37.0</v>
      </c>
      <c r="AL89" s="229" t="s">
        <v>3214</v>
      </c>
      <c r="AM89" s="228" t="s">
        <v>3215</v>
      </c>
      <c r="AN89" s="198" t="s">
        <v>3216</v>
      </c>
      <c r="AO89" s="178">
        <v>37.0</v>
      </c>
      <c r="AP89" s="199" t="s">
        <v>3217</v>
      </c>
      <c r="AQ89" s="165" t="s">
        <v>3218</v>
      </c>
      <c r="AR89" s="164" t="s">
        <v>3219</v>
      </c>
      <c r="AS89" s="178">
        <v>37.0</v>
      </c>
      <c r="AT89" s="136"/>
      <c r="AU89" s="137"/>
      <c r="AV89" s="138"/>
      <c r="AW89" s="153"/>
      <c r="AX89" s="153"/>
    </row>
    <row r="90">
      <c r="A90" s="178">
        <v>38.0</v>
      </c>
      <c r="B90" s="199" t="s">
        <v>3220</v>
      </c>
      <c r="C90" s="165" t="s">
        <v>3221</v>
      </c>
      <c r="D90" s="164" t="s">
        <v>2915</v>
      </c>
      <c r="E90" s="178">
        <v>38.0</v>
      </c>
      <c r="F90" s="140"/>
      <c r="G90" s="200"/>
      <c r="H90" s="205"/>
      <c r="I90" s="178">
        <v>38.0</v>
      </c>
      <c r="J90" s="204" t="s">
        <v>3222</v>
      </c>
      <c r="K90" s="200" t="s">
        <v>3223</v>
      </c>
      <c r="L90" s="205" t="s">
        <v>3224</v>
      </c>
      <c r="M90" s="178">
        <v>38.0</v>
      </c>
      <c r="N90" s="199"/>
      <c r="O90" s="165"/>
      <c r="P90" s="164"/>
      <c r="Q90" s="178">
        <v>38.0</v>
      </c>
      <c r="R90" s="179"/>
      <c r="S90" s="180"/>
      <c r="T90" s="181"/>
      <c r="U90" s="178">
        <v>38.0</v>
      </c>
      <c r="V90" s="179"/>
      <c r="W90" s="180"/>
      <c r="X90" s="181"/>
      <c r="Y90" s="178">
        <v>38.0</v>
      </c>
      <c r="Z90" s="230"/>
      <c r="AA90" s="224"/>
      <c r="AB90" s="85"/>
      <c r="AC90" s="178">
        <v>38.0</v>
      </c>
      <c r="AD90" s="231" t="s">
        <v>3225</v>
      </c>
      <c r="AE90" s="232" t="s">
        <v>3226</v>
      </c>
      <c r="AF90" s="233" t="s">
        <v>3227</v>
      </c>
      <c r="AG90" s="178">
        <v>38.0</v>
      </c>
      <c r="AH90" s="140" t="s">
        <v>3228</v>
      </c>
      <c r="AI90" s="200" t="s">
        <v>3229</v>
      </c>
      <c r="AJ90" s="205" t="s">
        <v>3230</v>
      </c>
      <c r="AK90" s="178">
        <v>38.0</v>
      </c>
      <c r="AL90" s="229" t="s">
        <v>3231</v>
      </c>
      <c r="AM90" s="228" t="s">
        <v>3232</v>
      </c>
      <c r="AN90" s="198" t="s">
        <v>3233</v>
      </c>
      <c r="AO90" s="178">
        <v>38.0</v>
      </c>
      <c r="AP90" s="199" t="s">
        <v>3234</v>
      </c>
      <c r="AQ90" s="165" t="s">
        <v>3235</v>
      </c>
      <c r="AR90" s="164" t="s">
        <v>3236</v>
      </c>
      <c r="AS90" s="178">
        <v>38.0</v>
      </c>
      <c r="AT90" s="136"/>
      <c r="AU90" s="137"/>
      <c r="AV90" s="138"/>
      <c r="AW90" s="153"/>
      <c r="AX90" s="153"/>
    </row>
    <row r="91">
      <c r="A91" s="178"/>
      <c r="B91" s="199"/>
      <c r="C91" s="165"/>
      <c r="D91" s="164"/>
      <c r="E91" s="178"/>
      <c r="F91" s="140"/>
      <c r="G91" s="200"/>
      <c r="H91" s="205"/>
      <c r="I91" s="178"/>
      <c r="J91" s="204"/>
      <c r="K91" s="200"/>
      <c r="L91" s="205"/>
      <c r="M91" s="178"/>
      <c r="N91" s="199"/>
      <c r="O91" s="165"/>
      <c r="P91" s="164"/>
      <c r="Q91" s="178"/>
      <c r="R91" s="179"/>
      <c r="S91" s="180"/>
      <c r="T91" s="181"/>
      <c r="U91" s="178"/>
      <c r="V91" s="179"/>
      <c r="W91" s="180"/>
      <c r="X91" s="181"/>
      <c r="Y91" s="178"/>
      <c r="Z91" s="230"/>
      <c r="AA91" s="224"/>
      <c r="AB91" s="85"/>
      <c r="AC91" s="178"/>
      <c r="AD91" s="231"/>
      <c r="AE91" s="232"/>
      <c r="AF91" s="233"/>
      <c r="AG91" s="178"/>
      <c r="AH91" s="140"/>
      <c r="AI91" s="200"/>
      <c r="AJ91" s="205"/>
      <c r="AK91" s="178"/>
      <c r="AL91" s="229"/>
      <c r="AM91" s="228"/>
      <c r="AN91" s="198"/>
      <c r="AO91" s="178"/>
      <c r="AP91" s="199"/>
      <c r="AQ91" s="165"/>
      <c r="AR91" s="164"/>
      <c r="AS91" s="178"/>
      <c r="AT91" s="136"/>
      <c r="AU91" s="137"/>
      <c r="AV91" s="138"/>
      <c r="AW91" s="153"/>
      <c r="AX91" s="153"/>
    </row>
    <row r="92">
      <c r="A92" s="209"/>
      <c r="B92" s="210"/>
      <c r="C92" s="210"/>
      <c r="D92" s="210"/>
      <c r="E92" s="209"/>
      <c r="F92" s="210"/>
      <c r="G92" s="210"/>
      <c r="H92" s="210"/>
      <c r="I92" s="209"/>
      <c r="J92" s="210"/>
      <c r="K92" s="210"/>
      <c r="L92" s="210"/>
      <c r="M92" s="9"/>
      <c r="N92" s="210"/>
      <c r="O92" s="87"/>
      <c r="P92" s="87"/>
      <c r="Q92" s="9"/>
      <c r="R92" s="87"/>
      <c r="S92" s="87"/>
      <c r="T92" s="87"/>
      <c r="U92" s="9"/>
      <c r="V92" s="87"/>
      <c r="W92" s="87"/>
      <c r="X92" s="87"/>
      <c r="Y92" s="222"/>
      <c r="Z92" s="211"/>
      <c r="AA92" s="211"/>
      <c r="AB92" s="211"/>
      <c r="AC92" s="212"/>
      <c r="AD92" s="234"/>
      <c r="AE92" s="234"/>
      <c r="AF92" s="234"/>
      <c r="AG92" s="209"/>
      <c r="AH92" s="210"/>
      <c r="AI92" s="210"/>
      <c r="AJ92" s="210"/>
      <c r="AK92" s="215"/>
      <c r="AL92" s="214"/>
      <c r="AM92" s="215"/>
      <c r="AN92" s="215"/>
      <c r="AO92" s="211"/>
      <c r="AP92" s="211"/>
      <c r="AQ92" s="211"/>
      <c r="AR92" s="211"/>
      <c r="AS92" s="211"/>
      <c r="AT92" s="211"/>
      <c r="AU92" s="211"/>
      <c r="AV92" s="211"/>
      <c r="AW92" s="210"/>
      <c r="AX92" s="210"/>
    </row>
    <row r="93">
      <c r="A93" s="129" t="s">
        <v>3237</v>
      </c>
      <c r="B93" s="130" t="s">
        <v>3238</v>
      </c>
      <c r="E93" s="129" t="s">
        <v>3237</v>
      </c>
      <c r="F93" s="129" t="s">
        <v>3239</v>
      </c>
      <c r="I93" s="129" t="s">
        <v>3237</v>
      </c>
      <c r="J93" s="129" t="s">
        <v>3240</v>
      </c>
      <c r="M93" s="129" t="s">
        <v>3237</v>
      </c>
      <c r="N93" s="130" t="str">
        <f>IFERROR(__xludf.DUMMYFUNCTION("GOOGLETRANSLATE(B93,""zh-tw"",""zh"")"),"游戏机相关剧情")</f>
        <v>游戏机相关剧情</v>
      </c>
      <c r="Q93" s="129" t="s">
        <v>3237</v>
      </c>
      <c r="R93" s="129" t="s">
        <v>3241</v>
      </c>
      <c r="U93" s="129" t="s">
        <v>3237</v>
      </c>
      <c r="V93" s="129" t="s">
        <v>3242</v>
      </c>
      <c r="Y93" s="216" t="s">
        <v>3237</v>
      </c>
      <c r="Z93" s="216" t="s">
        <v>3243</v>
      </c>
      <c r="AC93" s="130" t="s">
        <v>3237</v>
      </c>
      <c r="AD93" s="130" t="s">
        <v>3244</v>
      </c>
      <c r="AG93" s="129" t="s">
        <v>3237</v>
      </c>
      <c r="AH93" s="217" t="s">
        <v>3245</v>
      </c>
      <c r="AK93" s="133" t="s">
        <v>3237</v>
      </c>
      <c r="AL93" s="134" t="s">
        <v>3246</v>
      </c>
      <c r="AO93" s="130" t="s">
        <v>3237</v>
      </c>
      <c r="AP93" s="130" t="s">
        <v>3247</v>
      </c>
      <c r="AS93" s="129" t="s">
        <v>3237</v>
      </c>
      <c r="AT93" s="129" t="s">
        <v>3248</v>
      </c>
      <c r="AW93" s="130"/>
      <c r="AX93" s="130"/>
    </row>
    <row r="94">
      <c r="A94" s="135">
        <v>1.0</v>
      </c>
      <c r="B94" s="136" t="s">
        <v>3249</v>
      </c>
      <c r="C94" s="137" t="s">
        <v>3250</v>
      </c>
      <c r="D94" s="138" t="s">
        <v>3251</v>
      </c>
      <c r="E94" s="135">
        <v>1.0</v>
      </c>
      <c r="F94" s="136" t="s">
        <v>3252</v>
      </c>
      <c r="G94" s="137" t="s">
        <v>3253</v>
      </c>
      <c r="H94" s="138" t="s">
        <v>3254</v>
      </c>
      <c r="I94" s="135">
        <v>1.0</v>
      </c>
      <c r="J94" s="136" t="s">
        <v>3255</v>
      </c>
      <c r="K94" s="137" t="s">
        <v>3256</v>
      </c>
      <c r="L94" s="138" t="s">
        <v>3257</v>
      </c>
      <c r="M94" s="235">
        <v>1.0</v>
      </c>
      <c r="N94" s="136" t="str">
        <f>IFERROR(__xludf.DUMMYFUNCTION("GOOGLETRANSLATE(B94,""zh-tw"",""zh"")"),"第一次游戏中的恶作剧")</f>
        <v>第一次游戏中的恶作剧</v>
      </c>
      <c r="O94" s="154" t="str">
        <f>IFERROR(__xludf.DUMMYFUNCTION("GOOGLETRANSLATE(C94,""zh-tw"",""zh"")"),"在拥有游戏机后，第一次对正在独自一人玩游戏的妹妹，使用一起游玩的恶作剧")</f>
        <v>在拥有游戏机后，第一次对正在独自一人玩游戏的妹妹，使用一起游玩的恶作剧</v>
      </c>
      <c r="P94" s="100" t="str">
        <f>IFERROR(__xludf.DUMMYFUNCTION("GOOGLETRANSLATE(D94,""zh-tw"",""zh"")"),"有一段的特殊对话，并且之后可以对游戏中的妹妹恶作剧")</f>
        <v>有一段的特殊对话，并且之后可以对游戏中的妹妹恶作剧</v>
      </c>
      <c r="Q94" s="235">
        <v>1.0</v>
      </c>
      <c r="R94" s="140" t="s">
        <v>3258</v>
      </c>
      <c r="S94" s="139" t="s">
        <v>3259</v>
      </c>
      <c r="T94" s="97" t="s">
        <v>3260</v>
      </c>
      <c r="U94" s="235">
        <v>1.0</v>
      </c>
      <c r="V94" s="156" t="s">
        <v>3261</v>
      </c>
      <c r="W94" s="154" t="s">
        <v>3262</v>
      </c>
      <c r="X94" s="100" t="s">
        <v>3263</v>
      </c>
      <c r="Y94" s="135">
        <v>1.0</v>
      </c>
      <c r="Z94" s="145" t="s">
        <v>3264</v>
      </c>
      <c r="AA94" s="190" t="s">
        <v>3265</v>
      </c>
      <c r="AB94" s="166" t="s">
        <v>3266</v>
      </c>
      <c r="AC94" s="135">
        <v>1.0</v>
      </c>
      <c r="AD94" s="189" t="s">
        <v>3267</v>
      </c>
      <c r="AE94" s="190" t="s">
        <v>3268</v>
      </c>
      <c r="AF94" s="166" t="s">
        <v>3269</v>
      </c>
      <c r="AG94" s="135">
        <v>1.0</v>
      </c>
      <c r="AH94" s="136" t="s">
        <v>3270</v>
      </c>
      <c r="AI94" s="137" t="s">
        <v>3271</v>
      </c>
      <c r="AJ94" s="138" t="s">
        <v>3272</v>
      </c>
      <c r="AK94" s="148">
        <v>1.0</v>
      </c>
      <c r="AL94" s="171" t="s">
        <v>3273</v>
      </c>
      <c r="AM94" s="169" t="s">
        <v>3274</v>
      </c>
      <c r="AN94" s="172" t="s">
        <v>3275</v>
      </c>
      <c r="AO94" s="135">
        <v>1.0</v>
      </c>
      <c r="AP94" s="151" t="s">
        <v>3276</v>
      </c>
      <c r="AQ94" s="152" t="s">
        <v>3277</v>
      </c>
      <c r="AR94" s="153" t="s">
        <v>3278</v>
      </c>
      <c r="AS94" s="135">
        <v>1.0</v>
      </c>
      <c r="AT94" s="136" t="str">
        <f>IFERROR(__xludf.DUMMYFUNCTION("GOOGLETRANSLATE(B94,""zh-tw"",""id"")"),"Prank pertama dalam game")</f>
        <v>Prank pertama dalam game</v>
      </c>
      <c r="AU94" s="154" t="str">
        <f>IFERROR(__xludf.DUMMYFUNCTION("GOOGLETRANSLATE(C94,""zh-tw"",""id"")"),"Setelah mendapatkan konsol game untuk pertama kalinya, dia mengerjai adik perempuannya yang sedang bermain game sendirian, dengan mengajak mereka bermain bersama.")</f>
        <v>Setelah mendapatkan konsol game untuk pertama kalinya, dia mengerjai adik perempuannya yang sedang bermain game sendirian, dengan mengajak mereka bermain bersama.</v>
      </c>
      <c r="AV94" s="100" t="str">
        <f>IFERROR(__xludf.DUMMYFUNCTION("GOOGLETRANSLATE(D94,""zh-tw"",""id"")"),"Terdapat segmen dialog khusus, dan setelah itu Anda dapat mengerjai adik perempuan dalam permainan.")</f>
        <v>Terdapat segmen dialog khusus, dan setelah itu Anda dapat mengerjai adik perempuan dalam permainan.</v>
      </c>
      <c r="AW94" s="138"/>
      <c r="AX94" s="138"/>
    </row>
    <row r="95">
      <c r="A95" s="135">
        <v>2.0</v>
      </c>
      <c r="B95" s="136" t="s">
        <v>3279</v>
      </c>
      <c r="C95" s="137" t="s">
        <v>3280</v>
      </c>
      <c r="D95" s="138" t="s">
        <v>3281</v>
      </c>
      <c r="E95" s="135">
        <v>2.0</v>
      </c>
      <c r="F95" s="136" t="s">
        <v>3282</v>
      </c>
      <c r="G95" s="137" t="s">
        <v>3283</v>
      </c>
      <c r="H95" s="138" t="s">
        <v>3284</v>
      </c>
      <c r="I95" s="135">
        <v>2.0</v>
      </c>
      <c r="J95" s="136" t="s">
        <v>3285</v>
      </c>
      <c r="K95" s="137" t="s">
        <v>3286</v>
      </c>
      <c r="L95" s="138" t="s">
        <v>3287</v>
      </c>
      <c r="M95" s="235">
        <v>2.0</v>
      </c>
      <c r="N95" s="136" t="str">
        <f>IFERROR(__xludf.DUMMYFUNCTION("GOOGLETRANSLATE(B95,""zh-tw"",""zh"")"),"夜晚的发现")</f>
        <v>夜晚的发现</v>
      </c>
      <c r="O95" s="154" t="str">
        <f>IFERROR(__xludf.DUMMYFUNCTION("GOOGLETRANSLATE(C95,""zh-tw"",""zh"")"),"在拥有游戏机后，第一次夜袭时，妹妹会因偷玩游戏被哥哥抓到")</f>
        <v>在拥有游戏机后，第一次夜袭时，妹妹会因偷玩游戏被哥哥抓到</v>
      </c>
      <c r="P95" s="100" t="s">
        <v>3288</v>
      </c>
      <c r="Q95" s="235">
        <v>2.0</v>
      </c>
      <c r="R95" s="140" t="s">
        <v>3289</v>
      </c>
      <c r="S95" s="139" t="s">
        <v>3290</v>
      </c>
      <c r="T95" s="97" t="s">
        <v>3291</v>
      </c>
      <c r="U95" s="235">
        <v>2.0</v>
      </c>
      <c r="V95" s="156" t="s">
        <v>3292</v>
      </c>
      <c r="W95" s="154" t="s">
        <v>3293</v>
      </c>
      <c r="X95" s="100" t="s">
        <v>3294</v>
      </c>
      <c r="Y95" s="235">
        <v>2.0</v>
      </c>
      <c r="Z95" s="145" t="s">
        <v>3295</v>
      </c>
      <c r="AA95" s="190" t="s">
        <v>3296</v>
      </c>
      <c r="AB95" s="166" t="s">
        <v>3297</v>
      </c>
      <c r="AC95" s="135">
        <v>2.0</v>
      </c>
      <c r="AD95" s="189" t="s">
        <v>3298</v>
      </c>
      <c r="AE95" s="190" t="s">
        <v>3299</v>
      </c>
      <c r="AF95" s="166" t="s">
        <v>3300</v>
      </c>
      <c r="AG95" s="135">
        <v>2.0</v>
      </c>
      <c r="AH95" s="136" t="s">
        <v>3301</v>
      </c>
      <c r="AI95" s="137" t="s">
        <v>3302</v>
      </c>
      <c r="AJ95" s="138" t="s">
        <v>3303</v>
      </c>
      <c r="AK95" s="148">
        <v>2.0</v>
      </c>
      <c r="AL95" s="149" t="s">
        <v>3304</v>
      </c>
      <c r="AM95" s="169" t="s">
        <v>3305</v>
      </c>
      <c r="AN95" s="172" t="s">
        <v>3306</v>
      </c>
      <c r="AO95" s="235">
        <v>2.0</v>
      </c>
      <c r="AP95" s="199" t="s">
        <v>3307</v>
      </c>
      <c r="AQ95" s="180" t="s">
        <v>3308</v>
      </c>
      <c r="AR95" s="181" t="s">
        <v>3309</v>
      </c>
      <c r="AS95" s="235">
        <v>2.0</v>
      </c>
      <c r="AT95" s="136" t="str">
        <f>IFERROR(__xludf.DUMMYFUNCTION("GOOGLETRANSLATE(B95,""zh-tw"",""id"")"),"Penemuan di Malam Hari")</f>
        <v>Penemuan di Malam Hari</v>
      </c>
      <c r="AU95" s="154" t="str">
        <f>IFERROR(__xludf.DUMMYFUNCTION("GOOGLETRANSLATE(C95,""zh-tw"",""id"")"),"Setelah mendapatkan konsol game, adik perempuan itu ketahuan oleh kakak laki-lakinya sedang bermain game saat penggerebekan malam pertama mereka.")</f>
        <v>Setelah mendapatkan konsol game, adik perempuan itu ketahuan oleh kakak laki-lakinya sedang bermain game saat penggerebekan malam pertama mereka.</v>
      </c>
      <c r="AV95" s="100" t="str">
        <f>IFERROR(__xludf.DUMMYFUNCTION("GOOGLETRANSLATE(D95,""zh-tw"",""id"")"),"※ Memicu acara satu kali")</f>
        <v>※ Memicu acara satu kali</v>
      </c>
      <c r="AW95" s="138"/>
      <c r="AX95" s="138"/>
    </row>
    <row r="96">
      <c r="A96" s="235">
        <v>3.0</v>
      </c>
      <c r="B96" s="156" t="s">
        <v>3310</v>
      </c>
      <c r="C96" s="139" t="s">
        <v>3311</v>
      </c>
      <c r="D96" s="100" t="s">
        <v>3312</v>
      </c>
      <c r="E96" s="235">
        <v>3.0</v>
      </c>
      <c r="F96" s="156" t="s">
        <v>3313</v>
      </c>
      <c r="G96" s="154" t="s">
        <v>3314</v>
      </c>
      <c r="H96" s="100" t="s">
        <v>3315</v>
      </c>
      <c r="I96" s="235">
        <v>3.0</v>
      </c>
      <c r="J96" s="156" t="s">
        <v>3316</v>
      </c>
      <c r="K96" s="139" t="s">
        <v>3317</v>
      </c>
      <c r="L96" s="100" t="s">
        <v>3318</v>
      </c>
      <c r="M96" s="235">
        <v>3.0</v>
      </c>
      <c r="N96" s="156" t="str">
        <f>IFERROR(__xludf.DUMMYFUNCTION("GOOGLETRANSLATE(B96,""zh-tw"",""zh"")"),"游戏中的干扰")</f>
        <v>游戏中的干扰</v>
      </c>
      <c r="O96" s="154" t="str">
        <f>IFERROR(__xludf.DUMMYFUNCTION("GOOGLETRANSLATE(C96,""zh-tw"",""zh"")"),"在妹妹独自一人玩游戏时，若进行干扰，妹妹会生气
若在没有游戏机的DLC时，选择打开大腿，会立即被发现!")</f>
        <v>在妹妹独自一人玩游戏时，若进行干扰，妹妹会生气
若在没有游戏机的DLC时，选择打开大腿，会立即被发现!</v>
      </c>
      <c r="P96" s="100" t="str">
        <f>IFERROR(__xludf.DUMMYFUNCTION("GOOGLETRANSLATE(D96,""zh-tw"",""zh"")"),"生气之后安抚好，会获得随机的肉料理、别受伤的约定")</f>
        <v>生气之后安抚好，会获得随机的肉料理、别受伤的约定</v>
      </c>
      <c r="Q96" s="235">
        <v>3.0</v>
      </c>
      <c r="R96" s="156" t="s">
        <v>3319</v>
      </c>
      <c r="S96" s="139" t="s">
        <v>3320</v>
      </c>
      <c r="T96" s="97" t="s">
        <v>3321</v>
      </c>
      <c r="U96" s="235">
        <v>3.0</v>
      </c>
      <c r="V96" s="156" t="s">
        <v>3322</v>
      </c>
      <c r="W96" s="154" t="s">
        <v>3323</v>
      </c>
      <c r="X96" s="100" t="s">
        <v>3324</v>
      </c>
      <c r="Y96" s="235">
        <v>3.0</v>
      </c>
      <c r="Z96" s="145" t="s">
        <v>3325</v>
      </c>
      <c r="AA96" s="227" t="s">
        <v>3326</v>
      </c>
      <c r="AB96" s="223" t="s">
        <v>3327</v>
      </c>
      <c r="AC96" s="235">
        <v>3.0</v>
      </c>
      <c r="AD96" s="189" t="s">
        <v>3328</v>
      </c>
      <c r="AE96" s="190" t="s">
        <v>3329</v>
      </c>
      <c r="AF96" s="166" t="s">
        <v>3330</v>
      </c>
      <c r="AG96" s="235">
        <v>3.0</v>
      </c>
      <c r="AH96" s="156" t="s">
        <v>3331</v>
      </c>
      <c r="AI96" s="154" t="s">
        <v>3332</v>
      </c>
      <c r="AJ96" s="100" t="s">
        <v>3333</v>
      </c>
      <c r="AK96" s="236">
        <v>3.0</v>
      </c>
      <c r="AL96" s="237" t="s">
        <v>3334</v>
      </c>
      <c r="AM96" s="173" t="s">
        <v>3335</v>
      </c>
      <c r="AN96" s="238" t="s">
        <v>3336</v>
      </c>
      <c r="AO96" s="235">
        <v>3.0</v>
      </c>
      <c r="AP96" s="179" t="s">
        <v>3337</v>
      </c>
      <c r="AQ96" s="180" t="s">
        <v>3338</v>
      </c>
      <c r="AR96" s="181" t="s">
        <v>3339</v>
      </c>
      <c r="AS96" s="235">
        <v>3.0</v>
      </c>
      <c r="AT96" s="136" t="str">
        <f>IFERROR(__xludf.DUMMYFUNCTION("GOOGLETRANSLATE(B96,""zh-tw"",""id"")"),"Gangguan dalam permainan")</f>
        <v>Gangguan dalam permainan</v>
      </c>
      <c r="AU96" s="154" t="str">
        <f>IFERROR(__xludf.DUMMYFUNCTION("GOOGLETRANSLATE(C96,""zh-tw"",""id"")"),"Jika kamu mengganggu adik perempuanmu saat dia bermain game sendirian, dia akan marah. Jika kamu memilih untuk membuka paha saat tidak ada DLC untuk konsol game, kamu akan langsung ketahuan!")</f>
        <v>Jika kamu mengganggu adik perempuanmu saat dia bermain game sendirian, dia akan marah. Jika kamu memilih untuk membuka paha saat tidak ada DLC untuk konsol game, kamu akan langsung ketahuan!</v>
      </c>
      <c r="AV96" s="100" t="str">
        <f>IFERROR(__xludf.DUMMYFUNCTION("GOOGLETRANSLATE(D96,""zh-tw"",""id"")"),"Jika kamu tenang setelah seseorang marah, kamu akan menerima hidangan daging acak dan janji untuk tidak menyakiti diri sendiri.")</f>
        <v>Jika kamu tenang setelah seseorang marah, kamu akan menerima hidangan daging acak dan janji untuk tidak menyakiti diri sendiri.</v>
      </c>
      <c r="AW96" s="100"/>
      <c r="AX96" s="100"/>
    </row>
    <row r="97">
      <c r="A97" s="235">
        <v>4.0</v>
      </c>
      <c r="B97" s="156" t="s">
        <v>3340</v>
      </c>
      <c r="C97" s="154" t="s">
        <v>3341</v>
      </c>
      <c r="D97" s="100" t="s">
        <v>3342</v>
      </c>
      <c r="E97" s="235">
        <v>4.0</v>
      </c>
      <c r="F97" s="156" t="s">
        <v>3343</v>
      </c>
      <c r="G97" s="154" t="s">
        <v>3344</v>
      </c>
      <c r="H97" s="97" t="s">
        <v>3345</v>
      </c>
      <c r="I97" s="235">
        <v>4.0</v>
      </c>
      <c r="J97" s="156" t="s">
        <v>3346</v>
      </c>
      <c r="K97" s="154" t="s">
        <v>3347</v>
      </c>
      <c r="L97" s="100" t="s">
        <v>3348</v>
      </c>
      <c r="M97" s="235">
        <v>4.0</v>
      </c>
      <c r="N97" s="156" t="str">
        <f>IFERROR(__xludf.DUMMYFUNCTION("GOOGLETRANSLATE(B97,""zh-tw"",""zh"")"),"游戏中的干扰-1")</f>
        <v>游戏中的干扰-1</v>
      </c>
      <c r="O97" s="154" t="str">
        <f>IFERROR(__xludf.DUMMYFUNCTION("GOOGLETRANSLATE(C97,""zh-tw"",""zh"")"),"同上，若拥有暗影之魂-DLC后，即可触发其他选项")</f>
        <v>同上，若拥有暗影之魂-DLC后，即可触发其他选项</v>
      </c>
      <c r="P97" s="100" t="str">
        <f>IFERROR(__xludf.DUMMYFUNCTION("GOOGLETRANSLATE(D97,""zh-tw"",""zh"")"),"新增其他选项")</f>
        <v>新增其他选项</v>
      </c>
      <c r="Q97" s="235">
        <v>4.0</v>
      </c>
      <c r="R97" s="140" t="s">
        <v>3349</v>
      </c>
      <c r="S97" s="139" t="s">
        <v>3350</v>
      </c>
      <c r="T97" s="100" t="str">
        <f>IFERROR(__xludf.DUMMYFUNCTION("GOOGLETRANSLATE(D97,""zh-tw"",""es-MX"")"),"Agregar otras opciones")</f>
        <v>Agregar otras opciones</v>
      </c>
      <c r="U97" s="235">
        <v>4.0</v>
      </c>
      <c r="V97" s="156" t="s">
        <v>3351</v>
      </c>
      <c r="W97" s="154" t="s">
        <v>3352</v>
      </c>
      <c r="X97" s="100" t="str">
        <f>IFERROR(__xludf.DUMMYFUNCTION("GOOGLETRANSLATE(D97,""zh-tw"",""KO"")"),"다른 옵션을 추가하세요")</f>
        <v>다른 옵션을 추가하세요</v>
      </c>
      <c r="Y97" s="235">
        <v>4.0</v>
      </c>
      <c r="Z97" s="231" t="s">
        <v>3353</v>
      </c>
      <c r="AA97" s="227" t="s">
        <v>3354</v>
      </c>
      <c r="AB97" s="166" t="s">
        <v>3355</v>
      </c>
      <c r="AC97" s="235">
        <v>4.0</v>
      </c>
      <c r="AD97" s="189" t="s">
        <v>3356</v>
      </c>
      <c r="AE97" s="190" t="s">
        <v>3357</v>
      </c>
      <c r="AF97" s="166" t="s">
        <v>3358</v>
      </c>
      <c r="AG97" s="235">
        <v>4.0</v>
      </c>
      <c r="AH97" s="156" t="s">
        <v>3359</v>
      </c>
      <c r="AI97" s="154" t="s">
        <v>3360</v>
      </c>
      <c r="AJ97" s="100" t="s">
        <v>3361</v>
      </c>
      <c r="AK97" s="236">
        <v>4.0</v>
      </c>
      <c r="AL97" s="237" t="s">
        <v>3362</v>
      </c>
      <c r="AM97" s="173" t="s">
        <v>3363</v>
      </c>
      <c r="AN97" s="238" t="s">
        <v>3364</v>
      </c>
      <c r="AO97" s="235">
        <v>4.0</v>
      </c>
      <c r="AP97" s="179" t="s">
        <v>3365</v>
      </c>
      <c r="AQ97" s="180" t="s">
        <v>3366</v>
      </c>
      <c r="AR97" s="181" t="s">
        <v>3367</v>
      </c>
      <c r="AS97" s="235">
        <v>4.0</v>
      </c>
      <c r="AT97" s="136" t="str">
        <f>IFERROR(__xludf.DUMMYFUNCTION("GOOGLETRANSLATE(B97,""zh-tw"",""id"")"),"Gangguan dalam permainan -1")</f>
        <v>Gangguan dalam permainan -1</v>
      </c>
      <c r="AU97" s="154" t="str">
        <f>IFERROR(__xludf.DUMMYFUNCTION("GOOGLETRANSLATE(C97,""zh-tw"",""id"")"),"Demikian pula, jika Anda memiliki DLC Shadow Souls, Anda dapat mengaktifkan opsi lainnya.")</f>
        <v>Demikian pula, jika Anda memiliki DLC Shadow Souls, Anda dapat mengaktifkan opsi lainnya.</v>
      </c>
      <c r="AV97" s="100" t="str">
        <f>IFERROR(__xludf.DUMMYFUNCTION("GOOGLETRANSLATE(D97,""zh-tw"",""id"")"),"Tambahkan opsi lain")</f>
        <v>Tambahkan opsi lain</v>
      </c>
      <c r="AW97" s="100"/>
      <c r="AX97" s="100"/>
    </row>
    <row r="98">
      <c r="A98" s="135">
        <v>5.0</v>
      </c>
      <c r="B98" s="140" t="s">
        <v>3368</v>
      </c>
      <c r="C98" s="139" t="s">
        <v>3369</v>
      </c>
      <c r="D98" s="97" t="s">
        <v>3370</v>
      </c>
      <c r="E98" s="235"/>
      <c r="F98" s="140" t="s">
        <v>3371</v>
      </c>
      <c r="G98" s="139" t="s">
        <v>3372</v>
      </c>
      <c r="H98" s="97" t="s">
        <v>3373</v>
      </c>
      <c r="I98" s="178">
        <v>5.0</v>
      </c>
      <c r="J98" s="140" t="s">
        <v>3374</v>
      </c>
      <c r="K98" s="139" t="s">
        <v>3375</v>
      </c>
      <c r="L98" s="97" t="s">
        <v>3376</v>
      </c>
      <c r="M98" s="178">
        <v>5.0</v>
      </c>
      <c r="N98" s="140" t="s">
        <v>3377</v>
      </c>
      <c r="O98" s="139" t="s">
        <v>3378</v>
      </c>
      <c r="P98" s="97" t="s">
        <v>3379</v>
      </c>
      <c r="Q98" s="235"/>
      <c r="R98" s="156"/>
      <c r="S98" s="139"/>
      <c r="T98" s="97"/>
      <c r="U98" s="235"/>
      <c r="V98" s="156"/>
      <c r="W98" s="154"/>
      <c r="X98" s="100"/>
      <c r="Y98" s="235">
        <v>5.0</v>
      </c>
      <c r="Z98" s="231" t="s">
        <v>3380</v>
      </c>
      <c r="AA98" s="224" t="s">
        <v>3381</v>
      </c>
      <c r="AB98" s="85" t="s">
        <v>3382</v>
      </c>
      <c r="AC98" s="235">
        <v>5.0</v>
      </c>
      <c r="AD98" s="189" t="s">
        <v>3383</v>
      </c>
      <c r="AE98" s="224" t="s">
        <v>3384</v>
      </c>
      <c r="AF98" s="85" t="s">
        <v>3385</v>
      </c>
      <c r="AG98" s="235"/>
      <c r="AH98" s="140" t="s">
        <v>3386</v>
      </c>
      <c r="AI98" s="139" t="s">
        <v>3387</v>
      </c>
      <c r="AJ98" s="97" t="s">
        <v>3388</v>
      </c>
      <c r="AK98" s="236"/>
      <c r="AL98" s="171" t="s">
        <v>3389</v>
      </c>
      <c r="AM98" s="173" t="s">
        <v>3390</v>
      </c>
      <c r="AN98" s="170" t="s">
        <v>3391</v>
      </c>
      <c r="AO98" s="178">
        <v>5.0</v>
      </c>
      <c r="AP98" s="199" t="s">
        <v>3392</v>
      </c>
      <c r="AQ98" s="165" t="s">
        <v>3393</v>
      </c>
      <c r="AR98" s="164" t="s">
        <v>3394</v>
      </c>
      <c r="AS98" s="235"/>
      <c r="AT98" s="136"/>
      <c r="AU98" s="154"/>
      <c r="AV98" s="100"/>
      <c r="AW98" s="100"/>
      <c r="AX98" s="100"/>
    </row>
    <row r="99">
      <c r="A99" s="135">
        <v>6.0</v>
      </c>
      <c r="B99" s="140" t="s">
        <v>3395</v>
      </c>
      <c r="C99" s="139" t="s">
        <v>3396</v>
      </c>
      <c r="D99" s="97" t="s">
        <v>3397</v>
      </c>
      <c r="E99" s="235"/>
      <c r="F99" s="140" t="s">
        <v>3398</v>
      </c>
      <c r="G99" s="139" t="s">
        <v>3399</v>
      </c>
      <c r="H99" s="97" t="s">
        <v>3400</v>
      </c>
      <c r="I99" s="178">
        <v>6.0</v>
      </c>
      <c r="J99" s="140" t="s">
        <v>3401</v>
      </c>
      <c r="K99" s="139" t="s">
        <v>3402</v>
      </c>
      <c r="L99" s="97" t="s">
        <v>3403</v>
      </c>
      <c r="M99" s="178">
        <v>6.0</v>
      </c>
      <c r="N99" s="140" t="s">
        <v>3404</v>
      </c>
      <c r="O99" s="139" t="s">
        <v>3405</v>
      </c>
      <c r="P99" s="97" t="s">
        <v>3406</v>
      </c>
      <c r="Q99" s="235"/>
      <c r="R99" s="156"/>
      <c r="S99" s="139"/>
      <c r="T99" s="97"/>
      <c r="U99" s="235"/>
      <c r="V99" s="156"/>
      <c r="W99" s="154"/>
      <c r="X99" s="100"/>
      <c r="Y99" s="239">
        <v>6.0</v>
      </c>
      <c r="Z99" s="231" t="s">
        <v>3407</v>
      </c>
      <c r="AA99" s="224" t="s">
        <v>3408</v>
      </c>
      <c r="AB99" s="85" t="s">
        <v>3409</v>
      </c>
      <c r="AC99" s="235">
        <v>6.0</v>
      </c>
      <c r="AD99" s="189" t="s">
        <v>3410</v>
      </c>
      <c r="AE99" s="224" t="s">
        <v>3411</v>
      </c>
      <c r="AF99" s="85" t="s">
        <v>3412</v>
      </c>
      <c r="AG99" s="235"/>
      <c r="AH99" s="140" t="s">
        <v>3413</v>
      </c>
      <c r="AI99" s="139" t="s">
        <v>3414</v>
      </c>
      <c r="AJ99" s="97" t="s">
        <v>3415</v>
      </c>
      <c r="AK99" s="236"/>
      <c r="AL99" s="171" t="s">
        <v>3416</v>
      </c>
      <c r="AM99" s="173" t="s">
        <v>3417</v>
      </c>
      <c r="AN99" s="170" t="s">
        <v>3418</v>
      </c>
      <c r="AO99" s="178">
        <v>6.0</v>
      </c>
      <c r="AP99" s="199" t="s">
        <v>3419</v>
      </c>
      <c r="AQ99" s="165" t="s">
        <v>3420</v>
      </c>
      <c r="AR99" s="164" t="s">
        <v>3421</v>
      </c>
      <c r="AS99" s="235"/>
      <c r="AT99" s="136"/>
      <c r="AU99" s="154"/>
      <c r="AV99" s="100"/>
      <c r="AW99" s="100"/>
      <c r="AX99" s="100"/>
    </row>
    <row r="100">
      <c r="A100" s="235">
        <v>7.0</v>
      </c>
      <c r="B100" s="156" t="s">
        <v>3422</v>
      </c>
      <c r="C100" s="154" t="s">
        <v>3423</v>
      </c>
      <c r="D100" s="100" t="s">
        <v>3424</v>
      </c>
      <c r="E100" s="178">
        <v>7.0</v>
      </c>
      <c r="F100" s="156" t="s">
        <v>3425</v>
      </c>
      <c r="G100" s="154" t="s">
        <v>3426</v>
      </c>
      <c r="H100" s="100" t="s">
        <v>3427</v>
      </c>
      <c r="I100" s="178">
        <v>7.0</v>
      </c>
      <c r="J100" s="156" t="s">
        <v>3428</v>
      </c>
      <c r="K100" s="154" t="s">
        <v>3429</v>
      </c>
      <c r="L100" s="100" t="s">
        <v>3430</v>
      </c>
      <c r="M100" s="178">
        <v>7.0</v>
      </c>
      <c r="N100" s="156" t="str">
        <f>IFERROR(__xludf.DUMMYFUNCTION("GOOGLETRANSLATE(B100,""zh-tw"",""zh"")"),"Zzz -1")</f>
        <v>Zzz -1</v>
      </c>
      <c r="O100" s="154" t="str">
        <f>IFERROR(__xludf.DUMMYFUNCTION("GOOGLETRANSLATE(C100,""zh-tw"",""zh"")"),"「喝点什么」给妹妹喂一颗""蓝色金平糖""后，会处发妹妹想睡觉的放松状态")</f>
        <v>「喝点什么」给妹妹喂一颗"蓝色金平糖"后，会处发妹妹想睡觉的放松状态</v>
      </c>
      <c r="P100" s="100" t="str">
        <f>IFERROR(__xludf.DUMMYFUNCTION("GOOGLETRANSLATE(D100,""zh-tw"",""zh"")"),"放松戒心，偷窥不容易被发现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100" s="235">
        <v>5.0</v>
      </c>
      <c r="R100" s="156" t="s">
        <v>3431</v>
      </c>
      <c r="S100" s="139" t="s">
        <v>3432</v>
      </c>
      <c r="T100" s="97" t="s">
        <v>3433</v>
      </c>
      <c r="U100" s="235">
        <v>5.0</v>
      </c>
      <c r="V100" s="156" t="str">
        <f>IFERROR(__xludf.DUMMYFUNCTION("GOOGLETRANSLATE(B100,""zh-tw"",""KO"")"),"Zzz -1")</f>
        <v>Zzz -1</v>
      </c>
      <c r="W100" s="154" t="str">
        <f>IFERROR(__xludf.DUMMYFUNCTION("GOOGLETRANSLATE(C100,""zh-tw"",""KO"")"),"여동생에게 ""파란색 콘페이토""(일본 사탕의 일종)를 주고 ""뭐 좀 마시렴""이라고 말했더니, 여동생은 편안한 상태가 되어 잠들고 싶어 했습니다.")</f>
        <v>여동생에게 "파란색 콘페이토"(일본 사탕의 일종)를 주고 "뭐 좀 마시렴"이라고 말했더니, 여동생은 편안한 상태가 되어 잠들고 싶어 했습니다.</v>
      </c>
      <c r="X100" s="100" t="str">
        <f>IFERROR(__xludf.DUMMYFUNCTION("GOOGLETRANSLATE(D100,""zh-tw"",""KO"")"),"방심하면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100" s="239">
        <v>7.0</v>
      </c>
      <c r="Z100" s="240" t="s">
        <v>3434</v>
      </c>
      <c r="AA100" s="241" t="s">
        <v>3435</v>
      </c>
      <c r="AB100" s="96" t="s">
        <v>3436</v>
      </c>
      <c r="AC100" s="235">
        <v>7.0</v>
      </c>
      <c r="AD100" s="189" t="s">
        <v>3437</v>
      </c>
      <c r="AE100" s="190" t="s">
        <v>3438</v>
      </c>
      <c r="AF100" s="166" t="s">
        <v>3439</v>
      </c>
      <c r="AG100" s="235">
        <v>5.0</v>
      </c>
      <c r="AH100" s="156" t="s">
        <v>3440</v>
      </c>
      <c r="AI100" s="154" t="s">
        <v>3441</v>
      </c>
      <c r="AJ100" s="100" t="s">
        <v>3442</v>
      </c>
      <c r="AK100" s="236">
        <v>5.0</v>
      </c>
      <c r="AL100" s="237" t="s">
        <v>3443</v>
      </c>
      <c r="AM100" s="173" t="s">
        <v>3444</v>
      </c>
      <c r="AN100" s="170" t="s">
        <v>3445</v>
      </c>
      <c r="AO100" s="178">
        <v>7.0</v>
      </c>
      <c r="AP100" s="179" t="s">
        <v>3446</v>
      </c>
      <c r="AQ100" s="180" t="s">
        <v>3447</v>
      </c>
      <c r="AR100" s="181" t="s">
        <v>3448</v>
      </c>
      <c r="AS100" s="235">
        <v>5.0</v>
      </c>
      <c r="AT100" s="136" t="str">
        <f>IFERROR(__xludf.DUMMYFUNCTION("GOOGLETRANSLATE(B100,""zh-tw"",""id"")"),"Zzz -1")</f>
        <v>Zzz -1</v>
      </c>
      <c r="AU100" s="154" t="str">
        <f>IFERROR(__xludf.DUMMYFUNCTION("GOOGLETRANSLATE(C100,""zh-tw"",""id"")"),"Setelah memberi adik perempuan saya ""konpeito biru"" (sejenis permen Jepang) dan memintanya untuk ""minum sesuatu,"" saya membuatnya rileks hingga ia ingin tidur.")</f>
        <v>Setelah memberi adik perempuan saya "konpeito biru" (sejenis permen Jepang) dan memintanya untuk "minum sesuatu," saya membuatnya rileks hingga ia ingin tidur.</v>
      </c>
      <c r="AV100" s="100" t="str">
        <f>IFERROR(__xludf.DUMMYFUNCTION("GOOGLETRANSLATE(D100,""zh-tw"",""id"")"),"Jika kamu lengah, akan lebih sulit untuk ketahuan memata-matai.
Saat bermain game dengan adikmu, dia mungkin mengantuk dan tidak bermain dengan maksimal (belum diimplementasikan). Menggoda adikmu saat dia bermain game akan membuatnya kalah lebih cepat (b"&amp;"elum diimplementasikan).")</f>
        <v>Jika kamu lengah, akan lebih sulit untuk ketahuan memata-matai.
Saat bermain game dengan adikmu, dia mungkin mengantuk dan tidak bermain dengan maksimal (belum diimplementasikan). Menggoda adikmu saat dia bermain game akan membuatnya kalah lebih cepat (belum diimplementasikan).</v>
      </c>
      <c r="AW100" s="100"/>
      <c r="AX100" s="100"/>
    </row>
    <row r="101">
      <c r="A101" s="9"/>
      <c r="B101" s="87"/>
      <c r="C101" s="87"/>
      <c r="D101" s="87"/>
      <c r="E101" s="9"/>
      <c r="F101" s="87"/>
      <c r="G101" s="87"/>
      <c r="H101" s="87"/>
      <c r="I101" s="9"/>
      <c r="J101" s="87"/>
      <c r="K101" s="87"/>
      <c r="L101" s="87"/>
      <c r="M101" s="9"/>
      <c r="N101" s="87"/>
      <c r="O101" s="87"/>
      <c r="P101" s="87"/>
      <c r="Q101" s="9"/>
      <c r="R101" s="87"/>
      <c r="S101" s="87"/>
      <c r="T101" s="87"/>
      <c r="U101" s="9"/>
      <c r="V101" s="87"/>
      <c r="W101" s="87"/>
      <c r="X101" s="87"/>
      <c r="Y101" s="242"/>
      <c r="Z101" s="87"/>
      <c r="AA101" s="87"/>
      <c r="AB101" s="87"/>
      <c r="AC101" s="243"/>
      <c r="AD101" s="234"/>
      <c r="AE101" s="234"/>
      <c r="AF101" s="234"/>
      <c r="AG101" s="9"/>
      <c r="AH101" s="87"/>
      <c r="AI101" s="87"/>
      <c r="AJ101" s="87"/>
      <c r="AK101" s="244"/>
      <c r="AL101" s="245"/>
      <c r="AM101" s="244"/>
      <c r="AN101" s="244"/>
      <c r="AO101" s="87"/>
      <c r="AP101" s="87"/>
      <c r="AQ101" s="87"/>
      <c r="AR101" s="87"/>
      <c r="AS101" s="87"/>
      <c r="AT101" s="87"/>
      <c r="AU101" s="87"/>
      <c r="AV101" s="87"/>
      <c r="AW101" s="87"/>
      <c r="AX101" s="87"/>
    </row>
    <row r="102">
      <c r="A102" s="129" t="s">
        <v>3449</v>
      </c>
      <c r="B102" s="246" t="s">
        <v>3450</v>
      </c>
      <c r="E102" s="129" t="s">
        <v>3449</v>
      </c>
      <c r="F102" s="129" t="s">
        <v>3451</v>
      </c>
      <c r="I102" s="129" t="s">
        <v>3449</v>
      </c>
      <c r="J102" s="129" t="s">
        <v>3452</v>
      </c>
      <c r="M102" s="129" t="s">
        <v>3449</v>
      </c>
      <c r="N102" s="130" t="str">
        <f>IFERROR(__xludf.DUMMYFUNCTION("GOOGLETRANSLATE(B102,""zh-tw"",""zh"")"),"特殊天气相关")</f>
        <v>特殊天气相关</v>
      </c>
      <c r="Q102" s="129" t="s">
        <v>3449</v>
      </c>
      <c r="R102" s="129" t="s">
        <v>3453</v>
      </c>
      <c r="U102" s="129" t="s">
        <v>3449</v>
      </c>
      <c r="V102" s="129" t="s">
        <v>3454</v>
      </c>
      <c r="Y102" s="216" t="s">
        <v>3449</v>
      </c>
      <c r="Z102" s="216" t="s">
        <v>3455</v>
      </c>
      <c r="AC102" s="130" t="s">
        <v>3449</v>
      </c>
      <c r="AD102" s="130" t="s">
        <v>3456</v>
      </c>
      <c r="AG102" s="129" t="s">
        <v>3449</v>
      </c>
      <c r="AH102" s="217" t="s">
        <v>3457</v>
      </c>
      <c r="AK102" s="133" t="s">
        <v>3449</v>
      </c>
      <c r="AL102" s="247" t="s">
        <v>3458</v>
      </c>
      <c r="AO102" s="246" t="s">
        <v>3449</v>
      </c>
      <c r="AP102" s="246" t="s">
        <v>3459</v>
      </c>
      <c r="AS102" s="129" t="s">
        <v>3449</v>
      </c>
      <c r="AT102" s="129" t="s">
        <v>3460</v>
      </c>
      <c r="AW102" s="246"/>
      <c r="AX102" s="246"/>
    </row>
    <row r="103">
      <c r="A103" s="235">
        <v>1.0</v>
      </c>
      <c r="B103" s="156" t="s">
        <v>3461</v>
      </c>
      <c r="C103" s="154" t="s">
        <v>3462</v>
      </c>
      <c r="D103" s="100" t="s">
        <v>3463</v>
      </c>
      <c r="E103" s="235">
        <v>1.0</v>
      </c>
      <c r="F103" s="156" t="s">
        <v>3464</v>
      </c>
      <c r="G103" s="154" t="s">
        <v>3465</v>
      </c>
      <c r="H103" s="100" t="s">
        <v>3466</v>
      </c>
      <c r="I103" s="235">
        <v>1.0</v>
      </c>
      <c r="J103" s="156" t="s">
        <v>3467</v>
      </c>
      <c r="K103" s="154" t="s">
        <v>3468</v>
      </c>
      <c r="L103" s="100" t="s">
        <v>3469</v>
      </c>
      <c r="M103" s="235">
        <v>1.0</v>
      </c>
      <c r="N103" s="156" t="str">
        <f>IFERROR(__xludf.DUMMYFUNCTION("GOOGLETRANSLATE(B103,""zh-tw"",""zh"")"),"炎热的消暑-1")</f>
        <v>炎热的消暑-1</v>
      </c>
      <c r="O103" s="154" t="str">
        <f>IFERROR(__xludf.DUMMYFUNCTION("GOOGLETRANSLATE(C103,""zh-tw"",""zh"")"),"于炎热天气时，递给妹妹喝逆流可乐")</f>
        <v>于炎热天气时，递给妹妹喝逆流可乐</v>
      </c>
      <c r="P103" s="100" t="str">
        <f>IFERROR(__xludf.DUMMYFUNCTION("GOOGLETRANSLATE(D103,""zh-tw"",""zh"")"),"特殊动画、妹妹的心情+10好感+20")</f>
        <v>特殊动画、妹妹的心情+10好感+20</v>
      </c>
      <c r="Q103" s="235">
        <v>1.0</v>
      </c>
      <c r="R103" s="156" t="s">
        <v>3470</v>
      </c>
      <c r="S103" s="139" t="s">
        <v>3471</v>
      </c>
      <c r="T103" s="100" t="str">
        <f>IFERROR(__xludf.DUMMYFUNCTION("GOOGLETRANSLATE(D103,""zh-tw"",""es-MX"")"),"Animación especial, estado de ánimo de la hermana +10, afecto +20")</f>
        <v>Animación especial, estado de ánimo de la hermana +10, afecto +20</v>
      </c>
      <c r="U103" s="235">
        <v>1.0</v>
      </c>
      <c r="V103" s="156" t="str">
        <f>IFERROR(__xludf.DUMMYFUNCTION("GOOGLETRANSLATE(B103,""zh-tw"",""KO"")"),"무더운 날씨에 시원하게 더위를 식히는 방법 - 1부")</f>
        <v>무더운 날씨에 시원하게 더위를 식히는 방법 - 1부</v>
      </c>
      <c r="W103" s="154" t="str">
        <f>IFERROR(__xludf.DUMMYFUNCTION("GOOGLETRANSLATE(C103,""zh-tw"",""KO"")"),"무더운 날, 나는 여동생에게 콜라를 건넸는데 콜라가 거꾸로 흘러나왔다.")</f>
        <v>무더운 날, 나는 여동생에게 콜라를 건넸는데 콜라가 거꾸로 흘러나왔다.</v>
      </c>
      <c r="X103" s="100" t="str">
        <f>IFERROR(__xludf.DUMMYFUNCTION("GOOGLETRANSLATE(D103,""zh-tw"",""KO"")"),"특별 애니메이션, 여동생 기분 +10, 애정도 +20")</f>
        <v>특별 애니메이션, 여동생 기분 +10, 애정도 +20</v>
      </c>
      <c r="Y103" s="235">
        <v>1.0</v>
      </c>
      <c r="Z103" s="219" t="s">
        <v>3472</v>
      </c>
      <c r="AA103" s="241" t="s">
        <v>3473</v>
      </c>
      <c r="AB103" s="96" t="s">
        <v>3474</v>
      </c>
      <c r="AC103" s="235">
        <v>1.0</v>
      </c>
      <c r="AD103" s="189" t="s">
        <v>3475</v>
      </c>
      <c r="AE103" s="190" t="s">
        <v>3476</v>
      </c>
      <c r="AF103" s="166" t="s">
        <v>3477</v>
      </c>
      <c r="AG103" s="235">
        <v>1.0</v>
      </c>
      <c r="AH103" s="156" t="s">
        <v>3478</v>
      </c>
      <c r="AI103" s="154" t="s">
        <v>3479</v>
      </c>
      <c r="AJ103" s="100" t="s">
        <v>3480</v>
      </c>
      <c r="AK103" s="236">
        <v>1.0</v>
      </c>
      <c r="AL103" s="237" t="s">
        <v>3481</v>
      </c>
      <c r="AM103" s="248" t="s">
        <v>3482</v>
      </c>
      <c r="AN103" s="238" t="s">
        <v>3483</v>
      </c>
      <c r="AO103" s="235">
        <v>1.0</v>
      </c>
      <c r="AP103" s="179" t="s">
        <v>3484</v>
      </c>
      <c r="AQ103" s="180" t="s">
        <v>3485</v>
      </c>
      <c r="AR103" s="164" t="s">
        <v>3486</v>
      </c>
      <c r="AS103" s="235">
        <v>1.0</v>
      </c>
      <c r="AT103" s="136" t="str">
        <f>IFERROR(__xludf.DUMMYFUNCTION("GOOGLETRANSLATE(B103,""zh-tw"",""id"")"),"Mendinginkan badan di cuaca panas - Bagian 1")</f>
        <v>Mendinginkan badan di cuaca panas - Bagian 1</v>
      </c>
      <c r="AU103" s="154" t="str">
        <f>IFERROR(__xludf.DUMMYFUNCTION("GOOGLETRANSLATE(C103,""zh-tw"",""id"")"),"Pada hari yang panas, saya memberikan adik perempuan saya sebotol Coca-Cola yang mengalir terbalik.")</f>
        <v>Pada hari yang panas, saya memberikan adik perempuan saya sebotol Coca-Cola yang mengalir terbalik.</v>
      </c>
      <c r="AV103" s="100" t="str">
        <f>IFERROR(__xludf.DUMMYFUNCTION("GOOGLETRANSLATE(D103,""zh-tw"",""id"")"),"Animasi spesial, suasana hati saudari +10, kasih sayang +20")</f>
        <v>Animasi spesial, suasana hati saudari +10, kasih sayang +20</v>
      </c>
      <c r="AW103" s="100"/>
      <c r="AX103" s="100"/>
    </row>
    <row r="104">
      <c r="A104" s="235">
        <v>2.0</v>
      </c>
      <c r="B104" s="156" t="s">
        <v>3487</v>
      </c>
      <c r="C104" s="154" t="s">
        <v>3488</v>
      </c>
      <c r="D104" s="100" t="s">
        <v>3489</v>
      </c>
      <c r="E104" s="235">
        <v>2.0</v>
      </c>
      <c r="F104" s="156" t="s">
        <v>3490</v>
      </c>
      <c r="G104" s="154" t="s">
        <v>3491</v>
      </c>
      <c r="H104" s="100" t="s">
        <v>3492</v>
      </c>
      <c r="I104" s="235">
        <v>2.0</v>
      </c>
      <c r="J104" s="156" t="s">
        <v>3493</v>
      </c>
      <c r="K104" s="154" t="s">
        <v>3494</v>
      </c>
      <c r="L104" s="100" t="s">
        <v>3495</v>
      </c>
      <c r="M104" s="235">
        <v>2.0</v>
      </c>
      <c r="N104" s="156" t="str">
        <f>IFERROR(__xludf.DUMMYFUNCTION("GOOGLETRANSLATE(B104,""zh-tw"",""zh"")"),"炎热的消暑-2")</f>
        <v>炎热的消暑-2</v>
      </c>
      <c r="O104" s="154" t="str">
        <f>IFERROR(__xludf.DUMMYFUNCTION("GOOGLETRANSLATE(C104,""zh-tw"",""zh"")"),"于炎热天气时，摇一摇后给妹妹喝""逆流可乐""")</f>
        <v>于炎热天气时，摇一摇后给妹妹喝"逆流可乐"</v>
      </c>
      <c r="P104" s="97" t="s">
        <v>3496</v>
      </c>
      <c r="Q104" s="235">
        <v>2.0</v>
      </c>
      <c r="R104" s="156" t="s">
        <v>3497</v>
      </c>
      <c r="S104" s="139" t="s">
        <v>3498</v>
      </c>
      <c r="T104" s="100" t="str">
        <f>IFERROR(__xludf.DUMMYFUNCTION("GOOGLETRANSLATE(D104,""zh-tw"",""es-MX"")"),"Animaciones especiales; el estado de ánimo de la hermana menor siempre tendrá 20 puntos restantes.")</f>
        <v>Animaciones especiales; el estado de ánimo de la hermana menor siempre tendrá 20 puntos restantes.</v>
      </c>
      <c r="U104" s="235">
        <v>2.0</v>
      </c>
      <c r="V104" s="156" t="str">
        <f>IFERROR(__xludf.DUMMYFUNCTION("GOOGLETRANSLATE(B104,""zh-tw"",""KO"")"),"무더운 날씨에 시원하게 더위를 식히는 방법 - 2부")</f>
        <v>무더운 날씨에 시원하게 더위를 식히는 방법 - 2부</v>
      </c>
      <c r="W104" s="154" t="str">
        <f>IFERROR(__xludf.DUMMYFUNCTION("GOOGLETRANSLATE(C104,""zh-tw"",""KO"")"),"더운 날에는 캔을 흔든 다음 여동생에게 ""역콜라""처럼 마시게 해 줍니다.")</f>
        <v>더운 날에는 캔을 흔든 다음 여동생에게 "역콜라"처럼 마시게 해 줍니다.</v>
      </c>
      <c r="X104" s="100" t="str">
        <f>IFERROR(__xludf.DUMMYFUNCTION("GOOGLETRANSLATE(D104,""zh-tw"",""KO"")"),"특별 애니메이션: 여동생의 기분은 항상 20점으로 유지됩니다.")</f>
        <v>특별 애니메이션: 여동생의 기분은 항상 20점으로 유지됩니다.</v>
      </c>
      <c r="Y104" s="235">
        <v>2.0</v>
      </c>
      <c r="Z104" s="219" t="s">
        <v>3499</v>
      </c>
      <c r="AA104" s="241" t="s">
        <v>3500</v>
      </c>
      <c r="AB104" s="96" t="s">
        <v>3501</v>
      </c>
      <c r="AC104" s="235">
        <v>2.0</v>
      </c>
      <c r="AD104" s="189" t="s">
        <v>3502</v>
      </c>
      <c r="AE104" s="190" t="s">
        <v>3503</v>
      </c>
      <c r="AF104" s="166" t="s">
        <v>3504</v>
      </c>
      <c r="AG104" s="235">
        <v>2.0</v>
      </c>
      <c r="AH104" s="156" t="s">
        <v>3505</v>
      </c>
      <c r="AI104" s="154" t="s">
        <v>3506</v>
      </c>
      <c r="AJ104" s="100" t="s">
        <v>3507</v>
      </c>
      <c r="AK104" s="236">
        <v>2.0</v>
      </c>
      <c r="AL104" s="237" t="s">
        <v>3508</v>
      </c>
      <c r="AM104" s="248" t="s">
        <v>3509</v>
      </c>
      <c r="AN104" s="238" t="s">
        <v>3510</v>
      </c>
      <c r="AO104" s="235">
        <v>2.0</v>
      </c>
      <c r="AP104" s="179" t="s">
        <v>3511</v>
      </c>
      <c r="AQ104" s="180" t="s">
        <v>3512</v>
      </c>
      <c r="AR104" s="181" t="s">
        <v>3513</v>
      </c>
      <c r="AS104" s="235">
        <v>2.0</v>
      </c>
      <c r="AT104" s="136" t="str">
        <f>IFERROR(__xludf.DUMMYFUNCTION("GOOGLETRANSLATE(B104,""zh-tw"",""id"")"),"Mendinginkan badan di cuaca panas - Bagian 2")</f>
        <v>Mendinginkan badan di cuaca panas - Bagian 2</v>
      </c>
      <c r="AU104" s="154" t="str">
        <f>IFERROR(__xludf.DUMMYFUNCTION("GOOGLETRANSLATE(C104,""zh-tw"",""id"")"),"Di hari yang panas, saya mengocok kalengnya sebelum memberikannya kepada adik perempuan saya untuk diminum sebagai ""Cola Terbalik"".")</f>
        <v>Di hari yang panas, saya mengocok kalengnya sebelum memberikannya kepada adik perempuan saya untuk diminum sebagai "Cola Terbalik".</v>
      </c>
      <c r="AV104" s="100" t="str">
        <f>IFERROR(__xludf.DUMMYFUNCTION("GOOGLETRANSLATE(D104,""zh-tw"",""id"")"),"Animasi spesial; suasana hati adik perempuan akan selalu memiliki sisa 20 poin.")</f>
        <v>Animasi spesial; suasana hati adik perempuan akan selalu memiliki sisa 20 poin.</v>
      </c>
      <c r="AW104" s="100"/>
      <c r="AX104" s="100"/>
    </row>
    <row r="105">
      <c r="A105" s="235">
        <v>3.0</v>
      </c>
      <c r="B105" s="156" t="s">
        <v>3514</v>
      </c>
      <c r="C105" s="154" t="s">
        <v>3515</v>
      </c>
      <c r="D105" s="100" t="s">
        <v>3489</v>
      </c>
      <c r="E105" s="235">
        <v>3.0</v>
      </c>
      <c r="F105" s="156" t="s">
        <v>3516</v>
      </c>
      <c r="G105" s="154" t="s">
        <v>3517</v>
      </c>
      <c r="H105" s="100" t="s">
        <v>3492</v>
      </c>
      <c r="I105" s="235">
        <v>3.0</v>
      </c>
      <c r="J105" s="156" t="s">
        <v>3518</v>
      </c>
      <c r="K105" s="154" t="s">
        <v>3519</v>
      </c>
      <c r="L105" s="100" t="s">
        <v>3495</v>
      </c>
      <c r="M105" s="235">
        <v>3.0</v>
      </c>
      <c r="N105" s="156" t="str">
        <f>IFERROR(__xludf.DUMMYFUNCTION("GOOGLETRANSLATE(B105,""zh-tw"",""zh"")"),"炎热的消暑-3")</f>
        <v>炎热的消暑-3</v>
      </c>
      <c r="O105" s="154" t="str">
        <f>IFERROR(__xludf.DUMMYFUNCTION("GOOGLETRANSLATE(C105,""zh-tw"",""zh"")"),"同上，第二次之后有70%概率触发另一段剧情")</f>
        <v>同上，第二次之后有70%概率触发另一段剧情</v>
      </c>
      <c r="P105" s="100" t="str">
        <f>IFERROR(__xludf.DUMMYFUNCTION("GOOGLETRANSLATE(D105,""zh-tw"",""zh"")"),"特殊动画、妹妹的心情会固定剩20点")</f>
        <v>特殊动画、妹妹的心情会固定剩20点</v>
      </c>
      <c r="Q105" s="235">
        <v>3.0</v>
      </c>
      <c r="R105" s="156" t="s">
        <v>3520</v>
      </c>
      <c r="S105" s="139" t="s">
        <v>3521</v>
      </c>
      <c r="T105" s="100" t="str">
        <f>IFERROR(__xludf.DUMMYFUNCTION("GOOGLETRANSLATE(D105,""zh-tw"",""es-MX"")"),"Animaciones especiales; el estado de ánimo de la hermana menor siempre tendrá 20 puntos restantes.")</f>
        <v>Animaciones especiales; el estado de ánimo de la hermana menor siempre tendrá 20 puntos restantes.</v>
      </c>
      <c r="U105" s="235">
        <v>3.0</v>
      </c>
      <c r="V105" s="156" t="str">
        <f>IFERROR(__xludf.DUMMYFUNCTION("GOOGLETRANSLATE(B105,""zh-tw"",""KO"")"),"더운 날씨에 시원하게 더위를 식히기 - 3")</f>
        <v>더운 날씨에 시원하게 더위를 식히기 - 3</v>
      </c>
      <c r="W105" s="154" t="str">
        <f>IFERROR(__xludf.DUMMYFUNCTION("GOOGLETRANSLATE(C105,""zh-tw"",""KO"")"),"위에서 언급했듯이, 두 번째 발생 후에는 또 다른 스토리 전개가 시작될 확률이 70%입니다.")</f>
        <v>위에서 언급했듯이, 두 번째 발생 후에는 또 다른 스토리 전개가 시작될 확률이 70%입니다.</v>
      </c>
      <c r="X105" s="100" t="str">
        <f>IFERROR(__xludf.DUMMYFUNCTION("GOOGLETRANSLATE(D105,""zh-tw"",""KO"")"),"특별 애니메이션: 여동생의 기분은 항상 20점으로 유지됩니다.")</f>
        <v>특별 애니메이션: 여동생의 기분은 항상 20점으로 유지됩니다.</v>
      </c>
      <c r="Y105" s="235">
        <v>3.0</v>
      </c>
      <c r="Z105" s="219" t="s">
        <v>3522</v>
      </c>
      <c r="AA105" s="241" t="s">
        <v>3523</v>
      </c>
      <c r="AB105" s="96" t="s">
        <v>3501</v>
      </c>
      <c r="AC105" s="235">
        <v>3.0</v>
      </c>
      <c r="AD105" s="189" t="s">
        <v>3524</v>
      </c>
      <c r="AE105" s="190" t="s">
        <v>3525</v>
      </c>
      <c r="AF105" s="166" t="s">
        <v>3504</v>
      </c>
      <c r="AG105" s="235">
        <v>3.0</v>
      </c>
      <c r="AH105" s="156" t="s">
        <v>3526</v>
      </c>
      <c r="AI105" s="154" t="s">
        <v>3527</v>
      </c>
      <c r="AJ105" s="100" t="s">
        <v>3507</v>
      </c>
      <c r="AK105" s="236">
        <v>3.0</v>
      </c>
      <c r="AL105" s="237" t="s">
        <v>3528</v>
      </c>
      <c r="AM105" s="248" t="s">
        <v>3529</v>
      </c>
      <c r="AN105" s="238" t="s">
        <v>3510</v>
      </c>
      <c r="AO105" s="235">
        <v>3.0</v>
      </c>
      <c r="AP105" s="179" t="s">
        <v>3530</v>
      </c>
      <c r="AQ105" s="180" t="s">
        <v>3531</v>
      </c>
      <c r="AR105" s="181" t="s">
        <v>3532</v>
      </c>
      <c r="AS105" s="235">
        <v>3.0</v>
      </c>
      <c r="AT105" s="136" t="str">
        <f>IFERROR(__xludf.DUMMYFUNCTION("GOOGLETRANSLATE(B105,""zh-tw"",""id"")"),"Mendinginkan badan di cuaca panas - 3")</f>
        <v>Mendinginkan badan di cuaca panas - 3</v>
      </c>
      <c r="AU105" s="154" t="str">
        <f>IFERROR(__xludf.DUMMYFUNCTION("GOOGLETRANSLATE(C105,""zh-tw"",""id"")"),"Seperti yang disebutkan di atas, ada kemungkinan 70% untuk memicu segmen plot lain setelah yang kedua kalinya.")</f>
        <v>Seperti yang disebutkan di atas, ada kemungkinan 70% untuk memicu segmen plot lain setelah yang kedua kalinya.</v>
      </c>
      <c r="AV105" s="100" t="str">
        <f>IFERROR(__xludf.DUMMYFUNCTION("GOOGLETRANSLATE(D105,""zh-tw"",""id"")"),"Animasi spesial; suasana hati adik perempuan akan selalu memiliki sisa 20 poin.")</f>
        <v>Animasi spesial; suasana hati adik perempuan akan selalu memiliki sisa 20 poin.</v>
      </c>
      <c r="AW105" s="100"/>
      <c r="AX105" s="100"/>
    </row>
    <row r="106">
      <c r="A106" s="235">
        <v>4.0</v>
      </c>
      <c r="B106" s="156" t="s">
        <v>3533</v>
      </c>
      <c r="C106" s="154" t="s">
        <v>3534</v>
      </c>
      <c r="D106" s="100" t="s">
        <v>3535</v>
      </c>
      <c r="E106" s="235">
        <v>4.0</v>
      </c>
      <c r="F106" s="156" t="s">
        <v>3536</v>
      </c>
      <c r="G106" s="154" t="s">
        <v>3537</v>
      </c>
      <c r="H106" s="100" t="s">
        <v>3538</v>
      </c>
      <c r="I106" s="235">
        <v>4.0</v>
      </c>
      <c r="J106" s="156" t="s">
        <v>3539</v>
      </c>
      <c r="K106" s="154" t="s">
        <v>3540</v>
      </c>
      <c r="L106" s="100" t="s">
        <v>3541</v>
      </c>
      <c r="M106" s="235">
        <v>4.0</v>
      </c>
      <c r="N106" s="156" t="str">
        <f>IFERROR(__xludf.DUMMYFUNCTION("GOOGLETRANSLATE(B106,""zh-tw"",""zh"")"),"掀起来看看")</f>
        <v>掀起来看看</v>
      </c>
      <c r="O106" s="154" t="str">
        <f>IFERROR(__xludf.DUMMYFUNCTION("GOOGLETRANSLATE(C106,""zh-tw"",""zh"")"),"妹妹穿游戏衣服，进行亲密互动时，可以进行掀衣服等操作。")</f>
        <v>妹妹穿游戏衣服，进行亲密互动时，可以进行掀衣服等操作。</v>
      </c>
      <c r="P106" s="100" t="str">
        <f>IFERROR(__xludf.DUMMYFUNCTION("GOOGLETRANSLATE(D106,""zh-tw"",""zh"")"),"特殊互动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106" s="235">
        <v>4.0</v>
      </c>
      <c r="R106" s="156" t="s">
        <v>3542</v>
      </c>
      <c r="S106" s="139" t="s">
        <v>3543</v>
      </c>
      <c r="T106" s="97" t="s">
        <v>3544</v>
      </c>
      <c r="U106" s="235">
        <v>4.0</v>
      </c>
      <c r="V106" s="156" t="str">
        <f>IFERROR(__xludf.DUMMYFUNCTION("GOOGLETRANSLATE(B106,""zh-tw"",""KO"")"),"들어 올려서 살펴보세요.")</f>
        <v>들어 올려서 살펴보세요.</v>
      </c>
      <c r="W106" s="154" t="str">
        <f>IFERROR(__xludf.DUMMYFUNCTION("GOOGLETRANSLATE(C106,""zh-tw"",""KO"")"),"여동생이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106" s="100" t="str">
        <f>IFERROR(__xludf.DUMMYFUNCTION("GOOGLETRANSLATE(D106,""zh-tw"",""KO"")"),"특별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f>
        <v>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v>
      </c>
      <c r="Y106" s="235">
        <v>4.0</v>
      </c>
      <c r="Z106" s="219" t="s">
        <v>3545</v>
      </c>
      <c r="AA106" s="241" t="s">
        <v>3546</v>
      </c>
      <c r="AB106" s="249" t="s">
        <v>3547</v>
      </c>
      <c r="AC106" s="235">
        <v>4.0</v>
      </c>
      <c r="AD106" s="189" t="s">
        <v>3548</v>
      </c>
      <c r="AE106" s="190" t="s">
        <v>3549</v>
      </c>
      <c r="AF106" s="166" t="s">
        <v>3550</v>
      </c>
      <c r="AG106" s="235">
        <v>4.0</v>
      </c>
      <c r="AH106" s="156" t="s">
        <v>3551</v>
      </c>
      <c r="AI106" s="154" t="s">
        <v>3552</v>
      </c>
      <c r="AJ106" s="100" t="s">
        <v>3553</v>
      </c>
      <c r="AK106" s="236">
        <v>4.0</v>
      </c>
      <c r="AL106" s="237" t="s">
        <v>3554</v>
      </c>
      <c r="AM106" s="248" t="s">
        <v>3555</v>
      </c>
      <c r="AN106" s="238" t="s">
        <v>3556</v>
      </c>
      <c r="AO106" s="235">
        <v>4.0</v>
      </c>
      <c r="AP106" s="151" t="s">
        <v>3557</v>
      </c>
      <c r="AQ106" s="152" t="s">
        <v>3558</v>
      </c>
      <c r="AR106" s="153" t="s">
        <v>3559</v>
      </c>
      <c r="AS106" s="235">
        <v>4.0</v>
      </c>
      <c r="AT106" s="136" t="str">
        <f>IFERROR(__xludf.DUMMYFUNCTION("GOOGLETRANSLATE(B106,""zh-tw"",""id"")"),"Angkat dan lihatlah.")</f>
        <v>Angkat dan lihatlah.</v>
      </c>
      <c r="AU106" s="154" t="str">
        <f>IFERROR(__xludf.DUMMYFUNCTION("GOOGLETRANSLATE(C106,""zh-tw"",""id"")"),"Ketika adik perempuan mengenakan pakaian permainan dan terlibat dalam interaksi intim, dia dapat melakukan tindakan seperti mengangkat pakaiannya.")</f>
        <v>Ketika adik perempuan mengenakan pakaian permainan dan terlibat dalam interaksi intim, dia dapat melakukan tindakan seperti mengangkat pakaiannya.</v>
      </c>
      <c r="AV106" s="100" t="str">
        <f>IFERROR(__xludf.DUMMYFUNCTION("GOOGLETRANSLATE(D106,""zh-tw"",""id"")"),"Interaksi Khusus
※ Implementasi awal, beberapa konten belum diimplementasikan (misalnya, gambar kelinci)
※ Saat ini, interaksi ini hanya dapat dipicu saat cuaca panas. Nantinya, akan ditambahkan fitur di mana pemain dapat mengenakan pakaian game di mala"&amp;"m hari.")</f>
        <v>Interaksi Khusus
※ Implementasi awal, beberapa konten belum diimplementasikan (misalnya, gambar kelinci)
※ Saat ini, interaksi ini hanya dapat dipicu saat cuaca panas. Nantinya, akan ditambahkan fitur di mana pemain dapat mengenakan pakaian game di malam hari.</v>
      </c>
      <c r="AW106" s="100"/>
      <c r="AX106" s="100"/>
    </row>
    <row r="107">
      <c r="A107" s="235">
        <v>5.0</v>
      </c>
      <c r="B107" s="140" t="s">
        <v>3560</v>
      </c>
      <c r="C107" s="139" t="s">
        <v>3561</v>
      </c>
      <c r="D107" s="97" t="s">
        <v>3562</v>
      </c>
      <c r="E107" s="235">
        <v>5.0</v>
      </c>
      <c r="F107" s="140" t="s">
        <v>3563</v>
      </c>
      <c r="G107" s="139" t="s">
        <v>3564</v>
      </c>
      <c r="H107" s="97" t="s">
        <v>3565</v>
      </c>
      <c r="I107" s="235">
        <v>5.0</v>
      </c>
      <c r="J107" s="140" t="s">
        <v>3566</v>
      </c>
      <c r="K107" s="139" t="s">
        <v>3567</v>
      </c>
      <c r="L107" s="97" t="s">
        <v>3568</v>
      </c>
      <c r="M107" s="235">
        <v>5.0</v>
      </c>
      <c r="N107" s="156" t="str">
        <f>IFERROR(__xludf.DUMMYFUNCTION("GOOGLETRANSLATE(B107,""zh-tw"",""zh"")"),"提前回家也是件好事-1")</f>
        <v>提前回家也是件好事-1</v>
      </c>
      <c r="O107" s="154" t="str">
        <f>IFERROR(__xludf.DUMMYFUNCTION("GOOGLETRANSLATE(C107,""zh-tw"",""zh"")"),"炎热天气并且拥有电风扇时，提前回家后选择去偷看妹妹")</f>
        <v>炎热天气并且拥有电风扇时，提前回家后选择去偷看妹妹</v>
      </c>
      <c r="P107" s="97" t="s">
        <v>3569</v>
      </c>
      <c r="Q107" s="235">
        <v>5.0</v>
      </c>
      <c r="R107" s="156" t="str">
        <f>IFERROR(__xludf.DUMMYFUNCTION("GOOGLETRANSLATE(B107,""zh-tw"",""es-mx"")"),"Volver temprano a casa también es algo bueno -1")</f>
        <v>Volver temprano a casa también es algo bueno -1</v>
      </c>
      <c r="S107" s="154" t="str">
        <f>IFERROR(__xludf.DUMMYFUNCTION("GOOGLETRANSLATE(C107,""zh-tw"",""es-mx"")"),"Cuando hacía calor y había un ventilador eléctrico, volvía temprano a casa y echaba un vistazo a mi hermana pequeña.")</f>
        <v>Cuando hacía calor y había un ventilador eléctrico, volvía temprano a casa y echaba un vistazo a mi hermana pequeña.</v>
      </c>
      <c r="T107" s="100" t="str">
        <f>IFERROR(__xludf.DUMMYFUNCTION("GOOGLETRANSLATE(D107,""zh-tw"",""es-mx"")"),"Mi hermana menor llevaba ropa y estaba usando un ventilador eléctrico.")</f>
        <v>Mi hermana menor llevaba ropa y estaba usando un ventilador eléctrico.</v>
      </c>
      <c r="U107" s="235">
        <v>5.0</v>
      </c>
      <c r="V107" s="156" t="str">
        <f>IFERROR(__xludf.DUMMYFUNCTION("GOOGLETRANSLATE(B107,""zh-tw"",""KO"")"),"일찍 집에 가는 것도 좋은 일이다 -1")</f>
        <v>일찍 집에 가는 것도 좋은 일이다 -1</v>
      </c>
      <c r="W107" s="154" t="str">
        <f>IFERROR(__xludf.DUMMYFUNCTION("GOOGLETRANSLATE(C107,""zh-tw"",""KO"")"),"날씨가 덥고 선풍기가 있으면, 나는 일찍 집에 가서 여동생을 몰래 훔쳐보곤 했다.")</f>
        <v>날씨가 덥고 선풍기가 있으면, 나는 일찍 집에 가서 여동생을 몰래 훔쳐보곤 했다.</v>
      </c>
      <c r="X107" s="100" t="str">
        <f>IFERROR(__xludf.DUMMYFUNCTION("GOOGLETRANSLATE(D107,""zh-tw"",""KO"")"),"내 여동생은 옷을 입고 선풍기를 틀고 있었다.")</f>
        <v>내 여동생은 옷을 입고 선풍기를 틀고 있었다.</v>
      </c>
      <c r="Y107" s="235">
        <v>5.0</v>
      </c>
      <c r="Z107" s="219" t="s">
        <v>3570</v>
      </c>
      <c r="AA107" s="241" t="s">
        <v>3571</v>
      </c>
      <c r="AB107" s="96" t="s">
        <v>3572</v>
      </c>
      <c r="AC107" s="235">
        <v>5.0</v>
      </c>
      <c r="AD107" s="189" t="s">
        <v>3573</v>
      </c>
      <c r="AE107" s="190" t="s">
        <v>3574</v>
      </c>
      <c r="AF107" s="166" t="s">
        <v>3575</v>
      </c>
      <c r="AG107" s="235">
        <v>5.0</v>
      </c>
      <c r="AH107" s="140" t="s">
        <v>3576</v>
      </c>
      <c r="AI107" s="139" t="s">
        <v>3577</v>
      </c>
      <c r="AJ107" s="97" t="s">
        <v>3578</v>
      </c>
      <c r="AK107" s="236">
        <v>5.0</v>
      </c>
      <c r="AL107" s="171" t="s">
        <v>3579</v>
      </c>
      <c r="AM107" s="173" t="s">
        <v>3580</v>
      </c>
      <c r="AN107" s="170" t="s">
        <v>3581</v>
      </c>
      <c r="AO107" s="235">
        <v>5.0</v>
      </c>
      <c r="AP107" s="151" t="s">
        <v>3582</v>
      </c>
      <c r="AQ107" s="152" t="s">
        <v>3583</v>
      </c>
      <c r="AR107" s="153" t="s">
        <v>3584</v>
      </c>
      <c r="AS107" s="235">
        <v>5.0</v>
      </c>
      <c r="AT107" s="136" t="str">
        <f>IFERROR(__xludf.DUMMYFUNCTION("GOOGLETRANSLATE(B107,""zh-tw"",""id"")"),"Pulang lebih awal juga merupakan hal yang baik -1")</f>
        <v>Pulang lebih awal juga merupakan hal yang baik -1</v>
      </c>
      <c r="AU107" s="154" t="str">
        <f>IFERROR(__xludf.DUMMYFUNCTION("GOOGLETRANSLATE(C107,""zh-tw"",""id"")"),"Saat cuaca panas dan ada kipas angin, saya akan pulang lebih awal dan mengintip adik perempuan saya secara diam-diam.")</f>
        <v>Saat cuaca panas dan ada kipas angin, saya akan pulang lebih awal dan mengintip adik perempuan saya secara diam-diam.</v>
      </c>
      <c r="AV107" s="100" t="str">
        <f>IFERROR(__xludf.DUMMYFUNCTION("GOOGLETRANSLATE(D107,""zh-tw"",""id"")"),"Adik perempuanku sedang mengenakan pakaian dan menyalakan kipas angin listrik.")</f>
        <v>Adik perempuanku sedang mengenakan pakaian dan menyalakan kipas angin listrik.</v>
      </c>
      <c r="AW107" s="100"/>
      <c r="AX107" s="100"/>
    </row>
    <row r="108">
      <c r="A108" s="235">
        <v>6.0</v>
      </c>
      <c r="B108" s="140" t="s">
        <v>3585</v>
      </c>
      <c r="C108" s="139" t="s">
        <v>3586</v>
      </c>
      <c r="D108" s="97" t="s">
        <v>3587</v>
      </c>
      <c r="E108" s="235">
        <v>6.0</v>
      </c>
      <c r="F108" s="140" t="s">
        <v>3588</v>
      </c>
      <c r="G108" s="139" t="s">
        <v>3589</v>
      </c>
      <c r="H108" s="97" t="s">
        <v>3590</v>
      </c>
      <c r="I108" s="235">
        <v>6.0</v>
      </c>
      <c r="J108" s="140" t="s">
        <v>3591</v>
      </c>
      <c r="K108" s="139" t="s">
        <v>3592</v>
      </c>
      <c r="L108" s="97" t="s">
        <v>3593</v>
      </c>
      <c r="M108" s="235">
        <v>6.0</v>
      </c>
      <c r="N108" s="156" t="str">
        <f>IFERROR(__xludf.DUMMYFUNCTION("GOOGLETRANSLATE(B108,""zh-tw"",""zh"")"),"提前回家也是件好事-2")</f>
        <v>提前回家也是件好事-2</v>
      </c>
      <c r="O108" s="154" t="str">
        <f>IFERROR(__xludf.DUMMYFUNCTION("GOOGLETRANSLATE(C108,""zh-tw"",""zh"")"),"同上，偷看妹妹时，有机率出现")</f>
        <v>同上，偷看妹妹时，有机率出现</v>
      </c>
      <c r="P108" s="97" t="s">
        <v>3594</v>
      </c>
      <c r="Q108" s="235">
        <v>6.0</v>
      </c>
      <c r="R108" s="156" t="str">
        <f>IFERROR(__xludf.DUMMYFUNCTION("GOOGLETRANSLATE(B108,""zh-tw"",""es-mx"")"),"Volver temprano a casa también es algo bueno - 2")</f>
        <v>Volver temprano a casa también es algo bueno - 2</v>
      </c>
      <c r="S108" s="154" t="str">
        <f>IFERROR(__xludf.DUMMYFUNCTION("GOOGLETRANSLATE(C108,""zh-tw"",""es-mx"")"),"De igual modo, al espiar a su hermana menor, existe la posibilidad de que...")</f>
        <v>De igual modo, al espiar a su hermana menor, existe la posibilidad de que...</v>
      </c>
      <c r="T108" s="100" t="str">
        <f>IFERROR(__xludf.DUMMYFUNCTION("GOOGLETRANSLATE(D108,""zh-tw"",""es-mx"")"),"Mi hermana pequeña no llevaba ropa interior mientras la abanicaba un ventilador eléctrico.")</f>
        <v>Mi hermana pequeña no llevaba ropa interior mientras la abanicaba un ventilador eléctrico.</v>
      </c>
      <c r="U108" s="235">
        <v>6.0</v>
      </c>
      <c r="V108" s="156" t="str">
        <f>IFERROR(__xludf.DUMMYFUNCTION("GOOGLETRANSLATE(B108,""zh-tw"",""KO"")"),"일찍 집에 가는 것도 좋은 일이다 - 2")</f>
        <v>일찍 집에 가는 것도 좋은 일이다 - 2</v>
      </c>
      <c r="W108" s="154" t="str">
        <f>IFERROR(__xludf.DUMMYFUNCTION("GOOGLETRANSLATE(C108,""zh-tw"",""KO"")"),"마찬가지로, 여동생을 훔쳐볼 때도 다음과 같은 일이 발생할 가능성이 있습니다...")</f>
        <v>마찬가지로, 여동생을 훔쳐볼 때도 다음과 같은 일이 발생할 가능성이 있습니다...</v>
      </c>
      <c r="X108" s="100" t="str">
        <f>IFERROR(__xludf.DUMMYFUNCTION("GOOGLETRANSLATE(D108,""zh-tw"",""KO"")"),"내 여동생은 선풍기 바람을 쐬면서 속옷을 입지 않았다.")</f>
        <v>내 여동생은 선풍기 바람을 쐬면서 속옷을 입지 않았다.</v>
      </c>
      <c r="Y108" s="235">
        <v>6.0</v>
      </c>
      <c r="Z108" s="219" t="s">
        <v>3595</v>
      </c>
      <c r="AA108" s="241" t="s">
        <v>3596</v>
      </c>
      <c r="AB108" s="96" t="s">
        <v>3597</v>
      </c>
      <c r="AC108" s="235">
        <v>6.0</v>
      </c>
      <c r="AD108" s="189" t="s">
        <v>3598</v>
      </c>
      <c r="AE108" s="190" t="s">
        <v>3599</v>
      </c>
      <c r="AF108" s="166" t="s">
        <v>3600</v>
      </c>
      <c r="AG108" s="235">
        <v>6.0</v>
      </c>
      <c r="AH108" s="140" t="s">
        <v>3601</v>
      </c>
      <c r="AI108" s="139" t="s">
        <v>3602</v>
      </c>
      <c r="AJ108" s="97" t="s">
        <v>3603</v>
      </c>
      <c r="AK108" s="236">
        <v>6.0</v>
      </c>
      <c r="AL108" s="171" t="s">
        <v>3604</v>
      </c>
      <c r="AM108" s="173" t="s">
        <v>3605</v>
      </c>
      <c r="AN108" s="170" t="s">
        <v>3606</v>
      </c>
      <c r="AO108" s="235">
        <v>6.0</v>
      </c>
      <c r="AP108" s="151" t="s">
        <v>3607</v>
      </c>
      <c r="AQ108" s="152" t="s">
        <v>3608</v>
      </c>
      <c r="AR108" s="153" t="s">
        <v>3609</v>
      </c>
      <c r="AS108" s="235">
        <v>6.0</v>
      </c>
      <c r="AT108" s="136" t="str">
        <f>IFERROR(__xludf.DUMMYFUNCTION("GOOGLETRANSLATE(B108,""zh-tw"",""id"")"),"Pulang lebih awal juga merupakan hal yang baik - 2")</f>
        <v>Pulang lebih awal juga merupakan hal yang baik - 2</v>
      </c>
      <c r="AU108" s="154" t="str">
        <f>IFERROR(__xludf.DUMMYFUNCTION("GOOGLETRANSLATE(C108,""zh-tw"",""id"")"),"Demikian pula, ketika mengintip adik perempuannya, ada kemungkinan bahwa...")</f>
        <v>Demikian pula, ketika mengintip adik perempuannya, ada kemungkinan bahwa...</v>
      </c>
      <c r="AV108" s="100" t="str">
        <f>IFERROR(__xludf.DUMMYFUNCTION("GOOGLETRANSLATE(D108,""zh-tw"",""id"")"),"Adik perempuan saya tidak mengenakan pakaian dalam saat dikipasi oleh kipas angin listrik.")</f>
        <v>Adik perempuan saya tidak mengenakan pakaian dalam saat dikipasi oleh kipas angin listrik.</v>
      </c>
      <c r="AW108" s="100"/>
      <c r="AX108" s="100"/>
    </row>
    <row r="109">
      <c r="A109" s="235">
        <v>7.0</v>
      </c>
      <c r="B109" s="140" t="s">
        <v>3610</v>
      </c>
      <c r="C109" s="139" t="s">
        <v>3611</v>
      </c>
      <c r="D109" s="97" t="s">
        <v>3612</v>
      </c>
      <c r="E109" s="235">
        <v>7.0</v>
      </c>
      <c r="F109" s="140" t="s">
        <v>3613</v>
      </c>
      <c r="G109" s="139" t="s">
        <v>3614</v>
      </c>
      <c r="H109" s="97" t="s">
        <v>3615</v>
      </c>
      <c r="I109" s="235">
        <v>7.0</v>
      </c>
      <c r="J109" s="140" t="s">
        <v>3616</v>
      </c>
      <c r="K109" s="139" t="s">
        <v>3617</v>
      </c>
      <c r="L109" s="97" t="s">
        <v>3618</v>
      </c>
      <c r="M109" s="235">
        <v>7.0</v>
      </c>
      <c r="N109" s="156" t="str">
        <f>IFERROR(__xludf.DUMMYFUNCTION("GOOGLETRANSLATE(B109,""zh-tw"",""zh"")"),"提前回家也是件好事-3")</f>
        <v>提前回家也是件好事-3</v>
      </c>
      <c r="O109" s="154" t="str">
        <f>IFERROR(__xludf.DUMMYFUNCTION("GOOGLETRANSLATE(C109,""zh-tw"",""zh"")"),"同上，妹妹紫心以及性欲高的时候，有机率出现")</f>
        <v>同上，妹妹紫心以及性欲高的时候，有机率出现</v>
      </c>
      <c r="P109" s="100" t="str">
        <f>IFERROR(__xludf.DUMMYFUNCTION("GOOGLETRANSLATE(D109,""zh-tw"",""zh"")"),"妹妹使用冰棒(未实装)")</f>
        <v>妹妹使用冰棒(未实装)</v>
      </c>
      <c r="Q109" s="235">
        <v>7.0</v>
      </c>
      <c r="R109" s="156" t="str">
        <f>IFERROR(__xludf.DUMMYFUNCTION("GOOGLETRANSLATE(B109,""zh-tw"",""es-mx"")"),"Volver temprano a casa también es algo bueno -3")</f>
        <v>Volver temprano a casa también es algo bueno -3</v>
      </c>
      <c r="S109" s="154" t="str">
        <f>IFERROR(__xludf.DUMMYFUNCTION("GOOGLETRANSLATE(C109,""zh-tw"",""es-mx"")"),"De manera similar, cuando la hermana menor tiene un corazón púrpura y un alto deseo sexual, existe la posibilidad de que...")</f>
        <v>De manera similar, cuando la hermana menor tiene un corazón púrpura y un alto deseo sexual, existe la posibilidad de que...</v>
      </c>
      <c r="T109" s="100" t="str">
        <f>IFERROR(__xludf.DUMMYFUNCTION("GOOGLETRANSLATE(D109,""zh-tw"",""es-mx"")"),"La hermana menor usa un helado de paleta (aún no implementado).")</f>
        <v>La hermana menor usa un helado de paleta (aún no implementado).</v>
      </c>
      <c r="U109" s="235">
        <v>7.0</v>
      </c>
      <c r="V109" s="156" t="str">
        <f>IFERROR(__xludf.DUMMYFUNCTION("GOOGLETRANSLATE(B109,""zh-tw"",""KO"")"),"일찍 집에 가는 것도 좋은 일이다 -3")</f>
        <v>일찍 집에 가는 것도 좋은 일이다 -3</v>
      </c>
      <c r="W109" s="154" t="str">
        <f>IFERROR(__xludf.DUMMYFUNCTION("GOOGLETRANSLATE(C109,""zh-tw"",""KO"")"),"마찬가지로, 여동생이 보라색 심장병을 앓고 있고 성욕이 강하다면 다음과 같은 가능성이 있습니다...")</f>
        <v>마찬가지로, 여동생이 보라색 심장병을 앓고 있고 성욕이 강하다면 다음과 같은 가능성이 있습니다...</v>
      </c>
      <c r="X109" s="100" t="str">
        <f>IFERROR(__xludf.DUMMYFUNCTION("GOOGLETRANSLATE(D109,""zh-tw"",""KO"")"),"여동생은 아이스크림 막대를 사용합니다(아직 구현되지 않음).")</f>
        <v>여동생은 아이스크림 막대를 사용합니다(아직 구현되지 않음).</v>
      </c>
      <c r="Y109" s="235">
        <v>7.0</v>
      </c>
      <c r="Z109" s="219" t="s">
        <v>3619</v>
      </c>
      <c r="AA109" s="241" t="s">
        <v>3620</v>
      </c>
      <c r="AB109" s="96" t="s">
        <v>3621</v>
      </c>
      <c r="AC109" s="235">
        <v>7.0</v>
      </c>
      <c r="AD109" s="189" t="s">
        <v>3622</v>
      </c>
      <c r="AE109" s="190" t="s">
        <v>3623</v>
      </c>
      <c r="AF109" s="166" t="s">
        <v>3624</v>
      </c>
      <c r="AG109" s="235">
        <v>7.0</v>
      </c>
      <c r="AH109" s="140" t="s">
        <v>3625</v>
      </c>
      <c r="AI109" s="139" t="s">
        <v>3626</v>
      </c>
      <c r="AJ109" s="97" t="s">
        <v>3627</v>
      </c>
      <c r="AK109" s="236">
        <v>7.0</v>
      </c>
      <c r="AL109" s="171" t="s">
        <v>3628</v>
      </c>
      <c r="AM109" s="173" t="s">
        <v>3629</v>
      </c>
      <c r="AN109" s="170" t="s">
        <v>3630</v>
      </c>
      <c r="AO109" s="235">
        <v>7.0</v>
      </c>
      <c r="AP109" s="151" t="s">
        <v>3631</v>
      </c>
      <c r="AQ109" s="165" t="s">
        <v>3632</v>
      </c>
      <c r="AR109" s="153" t="s">
        <v>3633</v>
      </c>
      <c r="AS109" s="235">
        <v>7.0</v>
      </c>
      <c r="AT109" s="136" t="str">
        <f>IFERROR(__xludf.DUMMYFUNCTION("GOOGLETRANSLATE(B109,""zh-tw"",""id"")"),"Pulang lebih awal juga merupakan hal yang baik -3")</f>
        <v>Pulang lebih awal juga merupakan hal yang baik -3</v>
      </c>
      <c r="AU109" s="154" t="str">
        <f>IFERROR(__xludf.DUMMYFUNCTION("GOOGLETRANSLATE(C109,""zh-tw"",""id"")"),"Demikian pula, ketika adik perempuan memiliki Purple Heart dan hasrat seksual yang tinggi, ada kemungkinan bahwa...")</f>
        <v>Demikian pula, ketika adik perempuan memiliki Purple Heart dan hasrat seksual yang tinggi, ada kemungkinan bahwa...</v>
      </c>
      <c r="AV109" s="100" t="str">
        <f>IFERROR(__xludf.DUMMYFUNCTION("GOOGLETRANSLATE(D109,""zh-tw"",""id"")"),"Adik perempuan menggunakan es loli (belum diimplementasikan).")</f>
        <v>Adik perempuan menggunakan es loli (belum diimplementasikan).</v>
      </c>
      <c r="AW109" s="100"/>
      <c r="AX109" s="100"/>
    </row>
    <row r="110">
      <c r="A110" s="235">
        <v>8.0</v>
      </c>
      <c r="B110" s="140" t="s">
        <v>3634</v>
      </c>
      <c r="C110" s="139" t="s">
        <v>3635</v>
      </c>
      <c r="D110" s="97" t="s">
        <v>3636</v>
      </c>
      <c r="E110" s="235">
        <v>8.0</v>
      </c>
      <c r="F110" s="140" t="s">
        <v>3637</v>
      </c>
      <c r="G110" s="139" t="s">
        <v>3638</v>
      </c>
      <c r="H110" s="97" t="s">
        <v>3639</v>
      </c>
      <c r="I110" s="235">
        <v>8.0</v>
      </c>
      <c r="J110" s="140" t="s">
        <v>3640</v>
      </c>
      <c r="K110" s="139" t="s">
        <v>3641</v>
      </c>
      <c r="L110" s="97" t="s">
        <v>3642</v>
      </c>
      <c r="M110" s="235">
        <v>8.0</v>
      </c>
      <c r="N110" s="156" t="str">
        <f>IFERROR(__xludf.DUMMYFUNCTION("GOOGLETRANSLATE(B110,""zh-tw"",""zh"")"),"提前回家也是件好事-4")</f>
        <v>提前回家也是件好事-4</v>
      </c>
      <c r="O110" s="139" t="s">
        <v>3643</v>
      </c>
      <c r="P110" s="97" t="s">
        <v>3644</v>
      </c>
      <c r="Q110" s="235">
        <v>8.0</v>
      </c>
      <c r="R110" s="156" t="str">
        <f>IFERROR(__xludf.DUMMYFUNCTION("GOOGLETRANSLATE(B110,""zh-tw"",""es-mx"")"),"Volver temprano a casa también es algo bueno - 4")</f>
        <v>Volver temprano a casa también es algo bueno - 4</v>
      </c>
      <c r="S110" s="154" t="str">
        <f>IFERROR(__xludf.DUMMYFUNCTION("GOOGLETRANSLATE(C110,""zh-tw"",""es-mx"")"),"Durante una conversación con su hermana menor, se mencionó que después de recibir educación nudista, podría ocurrir lo siguiente:")</f>
        <v>Durante una conversación con su hermana menor, se mencionó que después de recibir educación nudista, podría ocurrir lo siguiente:</v>
      </c>
      <c r="T110" s="100" t="str">
        <f>IFERROR(__xludf.DUMMYFUNCTION("GOOGLETRANSLATE(D110,""zh-tw"",""es-mx"")"),"Hermana del clan desnuda (Aún no implementada)")</f>
        <v>Hermana del clan desnuda (Aún no implementada)</v>
      </c>
      <c r="U110" s="235">
        <v>8.0</v>
      </c>
      <c r="V110" s="156" t="str">
        <f>IFERROR(__xludf.DUMMYFUNCTION("GOOGLETRANSLATE(B110,""zh-tw"",""KO"")"),"일찍 집에 가는 것도 좋은 일이다 - 4")</f>
        <v>일찍 집에 가는 것도 좋은 일이다 - 4</v>
      </c>
      <c r="W110" s="154" t="str">
        <f>IFERROR(__xludf.DUMMYFUNCTION("GOOGLETRANSLATE(C110,""zh-tw"",""KO"")"),"여동생과 대화를 나누던 중, 누디즘 교육을 받은 후 다음과 같은 일들이 일어날 수 있다는 이야기가 나왔습니다.")</f>
        <v>여동생과 대화를 나누던 중, 누디즘 교육을 받은 후 다음과 같은 일들이 일어날 수 있다는 이야기가 나왔습니다.</v>
      </c>
      <c r="X110" s="100" t="str">
        <f>IFERROR(__xludf.DUMMYFUNCTION("GOOGLETRANSLATE(D110,""zh-tw"",""KO"")"),"벌거벗은 클랜 시스터 (아직 구현되지 않음)")</f>
        <v>벌거벗은 클랜 시스터 (아직 구현되지 않음)</v>
      </c>
      <c r="Y110" s="235">
        <v>8.0</v>
      </c>
      <c r="Z110" s="219" t="s">
        <v>3645</v>
      </c>
      <c r="AA110" s="241" t="s">
        <v>3646</v>
      </c>
      <c r="AB110" s="96" t="s">
        <v>3647</v>
      </c>
      <c r="AC110" s="235">
        <v>8.0</v>
      </c>
      <c r="AD110" s="189" t="s">
        <v>3648</v>
      </c>
      <c r="AE110" s="190" t="s">
        <v>3649</v>
      </c>
      <c r="AF110" s="166" t="s">
        <v>3650</v>
      </c>
      <c r="AG110" s="235">
        <v>8.0</v>
      </c>
      <c r="AH110" s="140" t="s">
        <v>3651</v>
      </c>
      <c r="AI110" s="139" t="s">
        <v>3652</v>
      </c>
      <c r="AJ110" s="97" t="s">
        <v>3653</v>
      </c>
      <c r="AK110" s="236">
        <v>8.0</v>
      </c>
      <c r="AL110" s="171" t="s">
        <v>3654</v>
      </c>
      <c r="AM110" s="173" t="s">
        <v>3655</v>
      </c>
      <c r="AN110" s="170" t="s">
        <v>3656</v>
      </c>
      <c r="AO110" s="235">
        <v>8.0</v>
      </c>
      <c r="AP110" s="179" t="s">
        <v>3657</v>
      </c>
      <c r="AQ110" s="180" t="s">
        <v>3658</v>
      </c>
      <c r="AR110" s="181" t="s">
        <v>3659</v>
      </c>
      <c r="AS110" s="235">
        <v>8.0</v>
      </c>
      <c r="AT110" s="136" t="str">
        <f>IFERROR(__xludf.DUMMYFUNCTION("GOOGLETRANSLATE(B110,""zh-tw"",""id"")"),"Pulang lebih awal juga merupakan hal yang baik - 4")</f>
        <v>Pulang lebih awal juga merupakan hal yang baik - 4</v>
      </c>
      <c r="AU110" s="154" t="str">
        <f>IFERROR(__xludf.DUMMYFUNCTION("GOOGLETRANSLATE(C110,""zh-tw"",""id"")"),"Dalam percakapan dengan adik perempuannya, disebutkan bahwa setelah menerima pendidikan nudis, hal-hal berikut mungkin terjadi:")</f>
        <v>Dalam percakapan dengan adik perempuannya, disebutkan bahwa setelah menerima pendidikan nudis, hal-hal berikut mungkin terjadi:</v>
      </c>
      <c r="AV110" s="100" t="str">
        <f>IFERROR(__xludf.DUMMYFUNCTION("GOOGLETRANSLATE(D110,""zh-tw"",""id"")"),"Saudari Klan Telanjang (Belum diimplementasikan)")</f>
        <v>Saudari Klan Telanjang (Belum diimplementasikan)</v>
      </c>
      <c r="AW110" s="100"/>
      <c r="AX110" s="100"/>
    </row>
    <row r="111">
      <c r="A111" s="9"/>
      <c r="B111" s="87"/>
      <c r="C111" s="87"/>
      <c r="D111" s="87"/>
      <c r="E111" s="9"/>
      <c r="F111" s="87"/>
      <c r="G111" s="87"/>
      <c r="H111" s="87"/>
      <c r="I111" s="9"/>
      <c r="J111" s="87"/>
      <c r="K111" s="87"/>
      <c r="L111" s="87"/>
      <c r="M111" s="9"/>
      <c r="N111" s="87"/>
      <c r="O111" s="87"/>
      <c r="P111" s="87"/>
      <c r="Q111" s="9"/>
      <c r="R111" s="87"/>
      <c r="S111" s="87"/>
      <c r="T111" s="87"/>
      <c r="U111" s="9"/>
      <c r="V111" s="87"/>
      <c r="W111" s="87"/>
      <c r="X111" s="87"/>
      <c r="Y111" s="242"/>
      <c r="Z111" s="87"/>
      <c r="AA111" s="87"/>
      <c r="AB111" s="87"/>
      <c r="AC111" s="243"/>
      <c r="AD111" s="234"/>
      <c r="AE111" s="234"/>
      <c r="AF111" s="234"/>
      <c r="AG111" s="9"/>
      <c r="AH111" s="87"/>
      <c r="AI111" s="87"/>
      <c r="AJ111" s="87"/>
      <c r="AK111" s="244"/>
      <c r="AL111" s="245"/>
      <c r="AM111" s="244"/>
      <c r="AN111" s="244"/>
      <c r="AO111" s="87"/>
      <c r="AP111" s="87"/>
      <c r="AQ111" s="87"/>
      <c r="AR111" s="87"/>
      <c r="AS111" s="87"/>
      <c r="AT111" s="87"/>
      <c r="AU111" s="87"/>
      <c r="AV111" s="87"/>
      <c r="AW111" s="87"/>
      <c r="AX111" s="87"/>
    </row>
    <row r="112">
      <c r="A112" s="130" t="s">
        <v>3660</v>
      </c>
      <c r="B112" s="130" t="s">
        <v>3661</v>
      </c>
      <c r="E112" s="130"/>
      <c r="F112" s="129" t="s">
        <v>3662</v>
      </c>
      <c r="I112" s="129" t="s">
        <v>3660</v>
      </c>
      <c r="J112" s="129" t="s">
        <v>3663</v>
      </c>
      <c r="M112" s="130"/>
      <c r="N112" s="130" t="s">
        <v>3664</v>
      </c>
      <c r="Q112" s="129" t="s">
        <v>3660</v>
      </c>
      <c r="R112" s="129" t="s">
        <v>3665</v>
      </c>
      <c r="U112" s="129" t="s">
        <v>3660</v>
      </c>
      <c r="V112" s="129" t="s">
        <v>3666</v>
      </c>
      <c r="Y112" s="216" t="s">
        <v>3660</v>
      </c>
      <c r="Z112" s="216" t="s">
        <v>3667</v>
      </c>
      <c r="AC112" s="130" t="s">
        <v>3660</v>
      </c>
      <c r="AD112" s="130" t="s">
        <v>3668</v>
      </c>
      <c r="AG112" s="129" t="s">
        <v>3660</v>
      </c>
      <c r="AH112" s="217" t="s">
        <v>3669</v>
      </c>
      <c r="AK112" s="218" t="s">
        <v>3660</v>
      </c>
      <c r="AL112" s="218" t="s">
        <v>3670</v>
      </c>
      <c r="AO112" s="130" t="s">
        <v>3660</v>
      </c>
      <c r="AP112" s="130" t="s">
        <v>3671</v>
      </c>
      <c r="AS112" s="129" t="s">
        <v>3660</v>
      </c>
      <c r="AT112" s="129" t="s">
        <v>3672</v>
      </c>
      <c r="AW112" s="250"/>
      <c r="AX112" s="250"/>
    </row>
    <row r="113">
      <c r="A113" s="135">
        <v>1.0</v>
      </c>
      <c r="B113" s="151" t="s">
        <v>3673</v>
      </c>
      <c r="C113" s="152" t="s">
        <v>3674</v>
      </c>
      <c r="D113" s="153" t="s">
        <v>3675</v>
      </c>
      <c r="E113" s="135">
        <v>1.0</v>
      </c>
      <c r="F113" s="136" t="s">
        <v>3676</v>
      </c>
      <c r="G113" s="193" t="s">
        <v>3677</v>
      </c>
      <c r="H113" s="194" t="s">
        <v>3678</v>
      </c>
      <c r="I113" s="135">
        <v>1.0</v>
      </c>
      <c r="J113" s="192" t="s">
        <v>3679</v>
      </c>
      <c r="K113" s="200" t="s">
        <v>3680</v>
      </c>
      <c r="L113" s="205" t="s">
        <v>3681</v>
      </c>
      <c r="M113" s="135">
        <v>1.0</v>
      </c>
      <c r="N113" s="151" t="s">
        <v>3682</v>
      </c>
      <c r="O113" s="180" t="s">
        <v>3683</v>
      </c>
      <c r="P113" s="181" t="s">
        <v>3684</v>
      </c>
      <c r="Q113" s="135">
        <v>1.0</v>
      </c>
      <c r="R113" s="179" t="str">
        <f>IFERROR(__xludf.DUMMYFUNCTION("GOOGLETRANSLATE(B113,""zh-tw"",""es-MX"")"),"Televisor en la sala de estar")</f>
        <v>Televisor en la sala de estar</v>
      </c>
      <c r="S113" s="180" t="str">
        <f>IFERROR(__xludf.DUMMYFUNCTION("GOOGLETRANSLATE(C113,""zh-tw"",""es-MX"")"),"Puedes ver la televisión en la sala de estar en horario normal.
18:00-19:00: Ver Rabbit News
19:00-20:00: Ver el pronóstico del tiempo
20:00-21:00: Ver programas de cocina (algunos días se emitirán animes de chicas mágicas)
21:00-22:00: No hay program"&amp;"ación disponible
22:00-23:00: No hay programación disponible (pero se permiten cintas de vídeo)")</f>
        <v>Puedes ver la televisión en la sala de estar en horario normal.
18:00-19:00: Ver Rabbit News
19:00-20:00: Ver el pronóstico del tiempo
20:00-21:00: Ver programas de cocina (algunos días se emitirán animes de chicas mágicas)
21:00-22:00: No hay programación disponible
22:00-23:00: No hay programación disponible (pero se permiten cintas de vídeo)</v>
      </c>
      <c r="T113" s="181" t="str">
        <f>IFERROR(__xludf.DUMMYFUNCTION("GOOGLETRANSLATE(D113,""zh-tw"",""es-MX"")"),"Mira programas de televisión específicos")</f>
        <v>Mira programas de televisión específicos</v>
      </c>
      <c r="U113" s="135">
        <v>1.0</v>
      </c>
      <c r="V113" s="179" t="str">
        <f>IFERROR(__xludf.DUMMYFUNCTION("GOOGLETRANSLATE(B113,""zh-tw"",""KO"")"),"거실에 있는 TV")</f>
        <v>거실에 있는 TV</v>
      </c>
      <c r="W113" s="180" t="str">
        <f>IFERROR(__xludf.DUMMYFUNCTION("GOOGLETRANSLATE(C113,""zh-tw"",""KO"")"),"평소에는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113" s="181" t="str">
        <f>IFERROR(__xludf.DUMMYFUNCTION("GOOGLETRANSLATE(D113,""zh-tw"",""KO"")"),"특정 TV 프로그램을 시청하세요")</f>
        <v>특정 TV 프로그램을 시청하세요</v>
      </c>
      <c r="Y113" s="251" t="str">
        <f>IFERROR(__xludf.DUMMYFUNCTION("IF(AG113="""", """", GOOGLETRANSLATE(AG113,""en"",""RU""))"),"1")</f>
        <v>1</v>
      </c>
      <c r="Z113" s="145" t="s">
        <v>3685</v>
      </c>
      <c r="AA113" s="190" t="s">
        <v>3686</v>
      </c>
      <c r="AB113" s="166" t="s">
        <v>3687</v>
      </c>
      <c r="AC113" s="251" t="str">
        <f>IFERROR(__xludf.DUMMYFUNCTION("IF(I113="""", """", GOOGLETRANSLATE(I113,""en"",""RU""))"),"1")</f>
        <v>1</v>
      </c>
      <c r="AD113" s="189" t="s">
        <v>3688</v>
      </c>
      <c r="AE113" s="190" t="s">
        <v>3689</v>
      </c>
      <c r="AF113" s="166" t="s">
        <v>3690</v>
      </c>
      <c r="AG113" s="135">
        <v>1.0</v>
      </c>
      <c r="AH113" s="136" t="s">
        <v>3691</v>
      </c>
      <c r="AI113" s="193" t="s">
        <v>3692</v>
      </c>
      <c r="AJ113" s="194" t="s">
        <v>3693</v>
      </c>
      <c r="AK113" s="148">
        <v>1.0</v>
      </c>
      <c r="AL113" s="196" t="s">
        <v>3694</v>
      </c>
      <c r="AM113" s="197" t="s">
        <v>3695</v>
      </c>
      <c r="AN113" s="225" t="s">
        <v>3696</v>
      </c>
      <c r="AO113" s="135">
        <v>1.0</v>
      </c>
      <c r="AP113" s="151" t="s">
        <v>3697</v>
      </c>
      <c r="AQ113" s="252" t="s">
        <v>3698</v>
      </c>
      <c r="AR113" s="194" t="s">
        <v>3699</v>
      </c>
      <c r="AS113" s="135">
        <v>1.0</v>
      </c>
      <c r="AT113" s="136" t="s">
        <v>3700</v>
      </c>
      <c r="AU113" s="154" t="s">
        <v>3701</v>
      </c>
      <c r="AV113" s="100" t="s">
        <v>3702</v>
      </c>
      <c r="AW113" s="153"/>
      <c r="AX113" s="153"/>
    </row>
    <row r="114">
      <c r="A114" s="235">
        <v>2.0</v>
      </c>
      <c r="B114" s="179" t="s">
        <v>3703</v>
      </c>
      <c r="C114" s="180" t="s">
        <v>3704</v>
      </c>
      <c r="D114" s="181" t="s">
        <v>3705</v>
      </c>
      <c r="E114" s="235">
        <v>2.0</v>
      </c>
      <c r="F114" s="156" t="s">
        <v>3706</v>
      </c>
      <c r="G114" s="180" t="s">
        <v>3707</v>
      </c>
      <c r="H114" s="181" t="s">
        <v>3708</v>
      </c>
      <c r="I114" s="235">
        <v>2.0</v>
      </c>
      <c r="J114" s="253" t="s">
        <v>3709</v>
      </c>
      <c r="K114" s="252" t="s">
        <v>3710</v>
      </c>
      <c r="L114" s="254" t="s">
        <v>3711</v>
      </c>
      <c r="M114" s="235">
        <v>2.0</v>
      </c>
      <c r="N114" s="179" t="str">
        <f>IFERROR(__xludf.DUMMYFUNCTION("GOOGLETRANSLATE(B114,""zh-tw"",""zh"")"),"魔法少女动画")</f>
        <v>魔法少女动画</v>
      </c>
      <c r="O114" s="180" t="str">
        <f>IFERROR(__xludf.DUMMYFUNCTION("GOOGLETRANSLATE(C114,""zh-tw"",""zh"")"),"必须游玩超过第5日后才会触发，每个档案都有一个随机值判定是礼拜几触发。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14" s="181" t="str">
        <f>IFERROR(__xludf.DUMMYFUNCTION("GOOGLETRANSLATE(D114,""zh-tw"",""zh"")"),"魔法少女动画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14" s="235">
        <v>2.0</v>
      </c>
      <c r="R114" s="179" t="str">
        <f>IFERROR(__xludf.DUMMYFUNCTION("GOOGLETRANSLATE(B114,""zh-tw"",""es-MX"")"),"Anime de chicas mágicas")</f>
        <v>Anime de chicas mágicas</v>
      </c>
      <c r="S114" s="180" t="str">
        <f>IFERROR(__xludf.DUMMYFUNCTION("GOOGLETRANSLATE(C114,""zh-tw"",""es-MX"")"),"Solo se activará después de jugar durante más de 5 días, y cada archivo de guardado tiene un valor aleatorio que determina el día de la semana en que se activará.
Por ejemplo, si el valor aleatorio del archivo de guardado es ""todos los sábados"", entonc"&amp;"es en el juego puede activarse los días 6, 13, 20 y 27. Está configurado para activarse alrededor de las 8 PM.")</f>
        <v>Solo se activará después de jugar durante más de 5 días, y cada archivo de guardado tiene un valor aleatorio que determina el día de la semana en que se activará.
Por ejemplo, si el valor aleatorio del archivo de guardado es "todos los sábados", entonces en el juego puede activarse los días 6, 13, 20 y 27. Está configurado para activarse alrededor de las 8 PM.</v>
      </c>
      <c r="T114" s="181" t="str">
        <f>IFERROR(__xludf.DUMMYFUNCTION("GOOGLETRANSLATE(D114,""zh-tw"",""es-MX"")"),"Anime de Chicas Mágicas
*Actualmente, la hermana menor solo va a la sala de estar por su cuenta durante ese período y no tiene otras funciones.
El anime de televisión y la mayoría de las funciones aún no están implementadas.")</f>
        <v>Anime de Chicas Mágicas
*Actualmente, la hermana menor solo va a la sala de estar por su cuenta durante ese período y no tiene otras funciones.
El anime de televisión y la mayoría de las funciones aún no están implementadas.</v>
      </c>
      <c r="U114" s="235">
        <v>2.0</v>
      </c>
      <c r="V114" s="179" t="str">
        <f>IFERROR(__xludf.DUMMYFUNCTION("GOOGLETRANSLATE(B114,""zh-tw"",""KO"")"),"마법소녀 애니메이션")</f>
        <v>마법소녀 애니메이션</v>
      </c>
      <c r="W114" s="180" t="str">
        <f>IFERROR(__xludf.DUMMYFUNCTION("GOOGLETRANSLATE(C114,""zh-tw"",""KO"")"),"이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f>
        <v>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v>
      </c>
      <c r="X114" s="181" t="str">
        <f>IFERROR(__xludf.DUMMYFUNCTION("GOOGLETRANSLATE(D114,""zh-tw"",""KO"")"),"마법소녀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14" s="235">
        <v>2.0</v>
      </c>
      <c r="Z114" s="145" t="s">
        <v>3712</v>
      </c>
      <c r="AA114" s="190" t="s">
        <v>3713</v>
      </c>
      <c r="AB114" s="166" t="s">
        <v>3714</v>
      </c>
      <c r="AC114" s="235">
        <v>2.0</v>
      </c>
      <c r="AD114" s="189" t="s">
        <v>3715</v>
      </c>
      <c r="AE114" s="190" t="s">
        <v>3716</v>
      </c>
      <c r="AF114" s="166" t="s">
        <v>3717</v>
      </c>
      <c r="AG114" s="235">
        <v>2.0</v>
      </c>
      <c r="AH114" s="156" t="s">
        <v>3718</v>
      </c>
      <c r="AI114" s="252" t="s">
        <v>3719</v>
      </c>
      <c r="AJ114" s="254" t="s">
        <v>3720</v>
      </c>
      <c r="AK114" s="236">
        <v>2.0</v>
      </c>
      <c r="AL114" s="255" t="s">
        <v>3721</v>
      </c>
      <c r="AM114" s="197" t="s">
        <v>3722</v>
      </c>
      <c r="AN114" s="256" t="s">
        <v>3723</v>
      </c>
      <c r="AO114" s="235">
        <v>2.0</v>
      </c>
      <c r="AP114" s="179" t="s">
        <v>3724</v>
      </c>
      <c r="AQ114" s="180" t="s">
        <v>3725</v>
      </c>
      <c r="AR114" s="181" t="s">
        <v>3726</v>
      </c>
      <c r="AS114" s="235">
        <v>2.0</v>
      </c>
      <c r="AT114" s="140" t="s">
        <v>3727</v>
      </c>
      <c r="AU114" s="154" t="s">
        <v>3728</v>
      </c>
      <c r="AV114" s="100" t="s">
        <v>3729</v>
      </c>
      <c r="AW114" s="181"/>
      <c r="AX114" s="181"/>
    </row>
    <row r="115">
      <c r="A115" s="235">
        <v>3.0</v>
      </c>
      <c r="B115" s="179" t="s">
        <v>3730</v>
      </c>
      <c r="C115" s="180" t="s">
        <v>3731</v>
      </c>
      <c r="D115" s="181" t="s">
        <v>1289</v>
      </c>
      <c r="E115" s="235">
        <v>3.0</v>
      </c>
      <c r="F115" s="156" t="s">
        <v>3732</v>
      </c>
      <c r="G115" s="180" t="s">
        <v>3733</v>
      </c>
      <c r="H115" s="181" t="s">
        <v>3734</v>
      </c>
      <c r="I115" s="235">
        <v>3.0</v>
      </c>
      <c r="J115" s="253" t="s">
        <v>3735</v>
      </c>
      <c r="K115" s="252" t="s">
        <v>3736</v>
      </c>
      <c r="L115" s="254" t="s">
        <v>1660</v>
      </c>
      <c r="M115" s="235">
        <v>3.0</v>
      </c>
      <c r="N115" s="179" t="s">
        <v>3737</v>
      </c>
      <c r="O115" s="180" t="s">
        <v>3738</v>
      </c>
      <c r="P115" s="181" t="s">
        <v>3739</v>
      </c>
      <c r="Q115" s="235">
        <v>3.0</v>
      </c>
      <c r="R115" s="179" t="str">
        <f>IFERROR(__xludf.DUMMYFUNCTION("GOOGLETRANSLATE(B115,""zh-tw"",""es-MX"")"),"Anime de chicas mágicas - 1")</f>
        <v>Anime de chicas mágicas - 1</v>
      </c>
      <c r="S115" s="180" t="str">
        <f>IFERROR(__xludf.DUMMYFUNCTION("GOOGLETRANSLATE(C115,""zh-tw"",""es-MX"")"),"Omitido")</f>
        <v>Omitido</v>
      </c>
      <c r="T115" s="181" t="str">
        <f>IFERROR(__xludf.DUMMYFUNCTION("GOOGLETRANSLATE(D115,""zh-tw"",""es-MX"")"),"No implementado")</f>
        <v>No implementado</v>
      </c>
      <c r="U115" s="235">
        <v>3.0</v>
      </c>
      <c r="V115" s="179" t="str">
        <f>IFERROR(__xludf.DUMMYFUNCTION("GOOGLETRANSLATE(B115,""zh-tw"",""KO"")"),"마법소녀 애니메이션 - 1")</f>
        <v>마법소녀 애니메이션 - 1</v>
      </c>
      <c r="W115" s="180" t="str">
        <f>IFERROR(__xludf.DUMMYFUNCTION("GOOGLETRANSLATE(C115,""zh-tw"",""KO"")"),"놓쳤어요")</f>
        <v>놓쳤어요</v>
      </c>
      <c r="X115" s="181" t="str">
        <f>IFERROR(__xludf.DUMMYFUNCTION("GOOGLETRANSLATE(D115,""zh-tw"",""KO"")"),"구현되지 않음")</f>
        <v>구현되지 않음</v>
      </c>
      <c r="Y115" s="235">
        <v>3.0</v>
      </c>
      <c r="Z115" s="145" t="s">
        <v>3740</v>
      </c>
      <c r="AA115" s="257" t="s">
        <v>3736</v>
      </c>
      <c r="AB115" s="166" t="s">
        <v>3741</v>
      </c>
      <c r="AC115" s="235">
        <v>3.0</v>
      </c>
      <c r="AD115" s="189" t="s">
        <v>3742</v>
      </c>
      <c r="AE115" s="258" t="s">
        <v>3736</v>
      </c>
      <c r="AF115" s="166" t="s">
        <v>3743</v>
      </c>
      <c r="AG115" s="235">
        <v>3.0</v>
      </c>
      <c r="AH115" s="156" t="s">
        <v>3744</v>
      </c>
      <c r="AI115" s="252" t="s">
        <v>3736</v>
      </c>
      <c r="AJ115" s="254" t="s">
        <v>3745</v>
      </c>
      <c r="AK115" s="236">
        <v>3.0</v>
      </c>
      <c r="AL115" s="255" t="s">
        <v>3746</v>
      </c>
      <c r="AM115" s="197" t="s">
        <v>3736</v>
      </c>
      <c r="AN115" s="256" t="s">
        <v>1498</v>
      </c>
      <c r="AO115" s="235">
        <v>3.0</v>
      </c>
      <c r="AP115" s="179" t="s">
        <v>3747</v>
      </c>
      <c r="AQ115" s="180" t="s">
        <v>3748</v>
      </c>
      <c r="AR115" s="181" t="s">
        <v>1676</v>
      </c>
      <c r="AS115" s="235">
        <v>3.0</v>
      </c>
      <c r="AT115" s="136" t="s">
        <v>3749</v>
      </c>
      <c r="AU115" s="200" t="s">
        <v>3750</v>
      </c>
      <c r="AV115" s="100" t="s">
        <v>1965</v>
      </c>
      <c r="AW115" s="181"/>
      <c r="AX115" s="181"/>
    </row>
    <row r="116">
      <c r="A116" s="235">
        <v>4.0</v>
      </c>
      <c r="B116" s="179" t="s">
        <v>3751</v>
      </c>
      <c r="C116" s="180" t="s">
        <v>3752</v>
      </c>
      <c r="D116" s="164" t="s">
        <v>3753</v>
      </c>
      <c r="E116" s="235">
        <v>4.0</v>
      </c>
      <c r="F116" s="156" t="s">
        <v>3754</v>
      </c>
      <c r="G116" s="252" t="s">
        <v>3755</v>
      </c>
      <c r="H116" s="205" t="s">
        <v>3756</v>
      </c>
      <c r="I116" s="235">
        <v>4.0</v>
      </c>
      <c r="J116" s="253" t="s">
        <v>3757</v>
      </c>
      <c r="K116" s="200" t="s">
        <v>3758</v>
      </c>
      <c r="L116" s="205" t="s">
        <v>3759</v>
      </c>
      <c r="M116" s="235">
        <v>4.0</v>
      </c>
      <c r="N116" s="179" t="s">
        <v>3760</v>
      </c>
      <c r="O116" s="180" t="s">
        <v>3761</v>
      </c>
      <c r="P116" s="164" t="s">
        <v>3762</v>
      </c>
      <c r="Q116" s="235">
        <v>4.0</v>
      </c>
      <c r="R116" s="179" t="str">
        <f>IFERROR(__xludf.DUMMYFUNCTION("GOOGLETRANSLATE(B116,""zh-tw"",""es-MX"")"),"Tarde en la noche")</f>
        <v>Tarde en la noche</v>
      </c>
      <c r="S116" s="180" t="str">
        <f>IFERROR(__xludf.DUMMYFUNCTION("GOOGLETRANSLATE(C116,""zh-tw"",""es-MX"")"),"Tras utilizar el ""Líquido de Médula Roja"" y completar el tratamiento, puede comenzar la sesión nocturna.")</f>
        <v>Tras utilizar el "Líquido de Médula Roja" y completar el tratamiento, puede comenzar la sesión nocturna.</v>
      </c>
      <c r="T116" s="181" t="str">
        <f>IFERROR(__xludf.DUMMYFUNCTION("GOOGLETRANSLATE(D116,""zh-tw"",""es-MX"")"),"Abierto hasta altas horas de la noche (22:00~22:30)")</f>
        <v>Abierto hasta altas horas de la noche (22:00~22:30)</v>
      </c>
      <c r="U116" s="235">
        <v>4.0</v>
      </c>
      <c r="V116" s="179" t="str">
        <f>IFERROR(__xludf.DUMMYFUNCTION("GOOGLETRANSLATE(B116,""zh-tw"",""KO"")"),"늦은 밤")</f>
        <v>늦은 밤</v>
      </c>
      <c r="W116" s="180" t="str">
        <f>IFERROR(__xludf.DUMMYFUNCTION("GOOGLETRANSLATE(C116,""zh-tw"",""KO"")"),"""적골수액""을 사용하고 치료를 완료한 후에는 심야 치료를 시작할 수 있습니다.")</f>
        <v>"적골수액"을 사용하고 치료를 완료한 후에는 심야 치료를 시작할 수 있습니다.</v>
      </c>
      <c r="X116" s="181" t="str">
        <f>IFERROR(__xludf.DUMMYFUNCTION("GOOGLETRANSLATE(D116,""zh-tw"",""KO"")"),"심야 영업 (22:00~22:30)")</f>
        <v>심야 영업 (22:00~22:30)</v>
      </c>
      <c r="Y116" s="235">
        <v>4.0</v>
      </c>
      <c r="Z116" s="145" t="s">
        <v>3763</v>
      </c>
      <c r="AA116" s="190" t="s">
        <v>3764</v>
      </c>
      <c r="AB116" s="166" t="s">
        <v>3765</v>
      </c>
      <c r="AC116" s="235">
        <v>4.0</v>
      </c>
      <c r="AD116" s="189" t="s">
        <v>3766</v>
      </c>
      <c r="AE116" s="190" t="s">
        <v>3767</v>
      </c>
      <c r="AF116" s="166" t="s">
        <v>3768</v>
      </c>
      <c r="AG116" s="235">
        <v>4.0</v>
      </c>
      <c r="AH116" s="156" t="s">
        <v>3769</v>
      </c>
      <c r="AI116" s="252" t="s">
        <v>3770</v>
      </c>
      <c r="AJ116" s="205" t="s">
        <v>3771</v>
      </c>
      <c r="AK116" s="236">
        <v>4.0</v>
      </c>
      <c r="AL116" s="255" t="s">
        <v>3772</v>
      </c>
      <c r="AM116" s="197" t="s">
        <v>3773</v>
      </c>
      <c r="AN116" s="198" t="s">
        <v>3774</v>
      </c>
      <c r="AO116" s="235">
        <v>4.0</v>
      </c>
      <c r="AP116" s="179" t="s">
        <v>3775</v>
      </c>
      <c r="AQ116" s="180" t="s">
        <v>3776</v>
      </c>
      <c r="AR116" s="164" t="s">
        <v>3777</v>
      </c>
      <c r="AS116" s="235">
        <v>4.0</v>
      </c>
      <c r="AT116" s="136" t="s">
        <v>3778</v>
      </c>
      <c r="AU116" s="154" t="s">
        <v>3779</v>
      </c>
      <c r="AV116" s="100" t="s">
        <v>3780</v>
      </c>
      <c r="AW116" s="181"/>
      <c r="AX116" s="181"/>
    </row>
    <row r="117">
      <c r="A117" s="235">
        <v>5.0</v>
      </c>
      <c r="B117" s="179" t="s">
        <v>3781</v>
      </c>
      <c r="C117" s="165" t="s">
        <v>3782</v>
      </c>
      <c r="D117" s="164" t="s">
        <v>2915</v>
      </c>
      <c r="E117" s="235">
        <v>5.0</v>
      </c>
      <c r="F117" s="156" t="s">
        <v>3783</v>
      </c>
      <c r="G117" s="252" t="s">
        <v>3784</v>
      </c>
      <c r="H117" s="254" t="s">
        <v>3785</v>
      </c>
      <c r="I117" s="235">
        <v>5.0</v>
      </c>
      <c r="J117" s="204" t="s">
        <v>3786</v>
      </c>
      <c r="K117" s="200" t="s">
        <v>3787</v>
      </c>
      <c r="L117" s="205" t="s">
        <v>3788</v>
      </c>
      <c r="M117" s="235">
        <v>5.0</v>
      </c>
      <c r="N117" s="179" t="s">
        <v>3781</v>
      </c>
      <c r="O117" s="165" t="s">
        <v>3789</v>
      </c>
      <c r="P117" s="164" t="s">
        <v>3790</v>
      </c>
      <c r="Q117" s="235">
        <v>5.0</v>
      </c>
      <c r="R117" s="179" t="str">
        <f>IFERROR(__xludf.DUMMYFUNCTION("GOOGLETRANSLATE(B117,""zh-tw"",""es-MX"")"),"¡Qué miedo!")</f>
        <v>¡Qué miedo!</v>
      </c>
      <c r="S117" s="180" t="str">
        <f>IFERROR(__xludf.DUMMYFUNCTION("GOOGLETRANSLATE(C117,""zh-tw"",""es-MX"")"),"Usar la ""cinta de vídeo de terror"" a altas horas de la noche y tener un nivel de afinidad/corazón púrpura inferior al requerido.")</f>
        <v>Usar la "cinta de vídeo de terror" a altas horas de la noche y tener un nivel de afinidad/corazón púrpura inferior al requerido.</v>
      </c>
      <c r="T117" s="181" t="str">
        <f>IFERROR(__xludf.DUMMYFUNCTION("GOOGLETRANSLATE(D117,""zh-tw"",""es-MX"")"),"Trama relacionada con el desencadenante")</f>
        <v>Trama relacionada con el desencadenante</v>
      </c>
      <c r="U117" s="235">
        <v>5.0</v>
      </c>
      <c r="V117" s="179" t="str">
        <f>IFERROR(__xludf.DUMMYFUNCTION("GOOGLETRANSLATE(B117,""zh-tw"",""KO"")"),"너무 무서워요!")</f>
        <v>너무 무서워요!</v>
      </c>
      <c r="W117" s="180" t="str">
        <f>IFERROR(__xludf.DUMMYFUNCTION("GOOGLETRANSLATE(C117,""zh-tw"",""KO"")"),"늦은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17" s="181" t="str">
        <f>IFERROR(__xludf.DUMMYFUNCTION("GOOGLETRANSLATE(D117,""zh-tw"",""KO"")"),"트리거 관련 플롯")</f>
        <v>트리거 관련 플롯</v>
      </c>
      <c r="Y117" s="235">
        <v>5.0</v>
      </c>
      <c r="Z117" s="145" t="s">
        <v>3791</v>
      </c>
      <c r="AA117" s="146" t="s">
        <v>3792</v>
      </c>
      <c r="AB117" s="166" t="s">
        <v>3793</v>
      </c>
      <c r="AC117" s="235">
        <v>5.0</v>
      </c>
      <c r="AD117" s="145" t="s">
        <v>3794</v>
      </c>
      <c r="AE117" s="146" t="s">
        <v>3795</v>
      </c>
      <c r="AF117" s="147" t="s">
        <v>3796</v>
      </c>
      <c r="AG117" s="235">
        <v>5.0</v>
      </c>
      <c r="AH117" s="156" t="s">
        <v>3797</v>
      </c>
      <c r="AI117" s="252" t="s">
        <v>3798</v>
      </c>
      <c r="AJ117" s="254" t="s">
        <v>3799</v>
      </c>
      <c r="AK117" s="235">
        <v>5.0</v>
      </c>
      <c r="AL117" s="255" t="s">
        <v>3800</v>
      </c>
      <c r="AM117" s="197" t="s">
        <v>3801</v>
      </c>
      <c r="AN117" s="256" t="s">
        <v>3802</v>
      </c>
      <c r="AO117" s="235">
        <v>5.0</v>
      </c>
      <c r="AP117" s="179" t="s">
        <v>3803</v>
      </c>
      <c r="AQ117" s="180" t="s">
        <v>3804</v>
      </c>
      <c r="AR117" s="181" t="s">
        <v>3805</v>
      </c>
      <c r="AS117" s="235">
        <v>5.0</v>
      </c>
      <c r="AT117" s="136" t="s">
        <v>3806</v>
      </c>
      <c r="AU117" s="139" t="s">
        <v>3807</v>
      </c>
      <c r="AV117" s="100" t="s">
        <v>3808</v>
      </c>
      <c r="AW117" s="181"/>
      <c r="AX117" s="181"/>
    </row>
    <row r="118">
      <c r="A118" s="235">
        <v>6.0</v>
      </c>
      <c r="B118" s="179" t="s">
        <v>3809</v>
      </c>
      <c r="C118" s="165" t="s">
        <v>3810</v>
      </c>
      <c r="D118" s="202" t="s">
        <v>3811</v>
      </c>
      <c r="E118" s="235">
        <v>6.0</v>
      </c>
      <c r="F118" s="156" t="s">
        <v>3812</v>
      </c>
      <c r="G118" s="200" t="s">
        <v>3813</v>
      </c>
      <c r="H118" s="205" t="s">
        <v>3814</v>
      </c>
      <c r="I118" s="235">
        <v>6.0</v>
      </c>
      <c r="J118" s="204" t="s">
        <v>3815</v>
      </c>
      <c r="K118" s="200" t="s">
        <v>3816</v>
      </c>
      <c r="L118" s="205" t="s">
        <v>3817</v>
      </c>
      <c r="M118" s="235">
        <v>6.0</v>
      </c>
      <c r="N118" s="179" t="s">
        <v>3809</v>
      </c>
      <c r="O118" s="165" t="s">
        <v>3818</v>
      </c>
      <c r="P118" s="202" t="s">
        <v>3819</v>
      </c>
      <c r="Q118" s="235">
        <v>6.0</v>
      </c>
      <c r="R118" s="179" t="str">
        <f>IFERROR(__xludf.DUMMYFUNCTION("GOOGLETRANSLATE(B118,""zh-tw"",""es-MX"")"),"¡Qué miedo! -1")</f>
        <v>¡Qué miedo! -1</v>
      </c>
      <c r="S118" s="180" t="str">
        <f>IFERROR(__xludf.DUMMYFUNCTION("GOOGLETRANSLATE(C118,""zh-tw"",""es-MX"")"),"Usa ""Horror Videotape"" a altas horas de la noche y ten una puntuación de Corazón Púrpura superior a 3.")</f>
        <v>Usa "Horror Videotape" a altas horas de la noche y ten una puntuación de Corazón Púrpura superior a 3.</v>
      </c>
      <c r="T118" s="181" t="str">
        <f>IFERROR(__xludf.DUMMYFUNCTION("GOOGLETRANSLATE(D118,""zh-tw"",""es-MX"")"),"Según tus elecciones, se activará el evento principal con tu hermana.
La primera vez es obligatorio estar al aire libre.
La segunda vez es voluntaria.
La tercera vez es opcional.
(El número de eventos principales se comparte entre todas las escenas, p"&amp;"or lo que se recomienda guardar la partida antes de ver cada segmento).")</f>
        <v>Según tus elecciones, se activará el evento principal con tu hermana.
La primera vez es obligatorio estar al aire libre.
La segunda vez es voluntaria.
La tercera vez es opcional.
(El número de eventos principales se comparte entre todas las escenas, por lo que se recomienda guardar la partida antes de ver cada segmento).</v>
      </c>
      <c r="U118" s="235">
        <v>6.0</v>
      </c>
      <c r="V118" s="179" t="str">
        <f>IFERROR(__xludf.DUMMYFUNCTION("GOOGLETRANSLATE(B118,""zh-tw"",""KO"")"),"너무 무서워요! -1")</f>
        <v>너무 무서워요! -1</v>
      </c>
      <c r="W118" s="180" t="str">
        <f>IFERROR(__xludf.DUMMYFUNCTION("GOOGLETRANSLATE(C118,""zh-tw"",""KO"")"),"""공포 비디오테이프""를 늦은 밤에 사용하세요.
그리고 퍼플 하트 점수가 3점 이상이 되세요.")</f>
        <v>"공포 비디오테이프"를 늦은 밤에 사용하세요.
그리고 퍼플 하트 점수가 3점 이상이 되세요.</v>
      </c>
      <c r="X118" s="181" t="str">
        <f>IFERROR(__xludf.DUMMYFUNCTION("GOOGLETRANSLATE(D118,""zh-tw"",""KO"")"),"선택에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8" s="235">
        <v>6.0</v>
      </c>
      <c r="Z118" s="145" t="s">
        <v>3820</v>
      </c>
      <c r="AA118" s="146" t="s">
        <v>3821</v>
      </c>
      <c r="AB118" s="259" t="s">
        <v>3822</v>
      </c>
      <c r="AC118" s="235">
        <v>6.0</v>
      </c>
      <c r="AD118" s="189" t="s">
        <v>3823</v>
      </c>
      <c r="AE118" s="190" t="s">
        <v>3824</v>
      </c>
      <c r="AF118" s="194" t="s">
        <v>3825</v>
      </c>
      <c r="AG118" s="235">
        <v>6.0</v>
      </c>
      <c r="AH118" s="156" t="s">
        <v>3826</v>
      </c>
      <c r="AI118" s="200" t="s">
        <v>3827</v>
      </c>
      <c r="AJ118" s="260" t="s">
        <v>3828</v>
      </c>
      <c r="AK118" s="235">
        <v>6.0</v>
      </c>
      <c r="AL118" s="255" t="s">
        <v>3829</v>
      </c>
      <c r="AM118" s="228" t="s">
        <v>3830</v>
      </c>
      <c r="AN118" s="261" t="s">
        <v>3831</v>
      </c>
      <c r="AO118" s="235">
        <v>6.0</v>
      </c>
      <c r="AP118" s="179" t="s">
        <v>3832</v>
      </c>
      <c r="AQ118" s="165" t="s">
        <v>3833</v>
      </c>
      <c r="AR118" s="164" t="s">
        <v>3834</v>
      </c>
      <c r="AS118" s="235">
        <v>6.0</v>
      </c>
      <c r="AT118" s="136" t="s">
        <v>3835</v>
      </c>
      <c r="AU118" s="139" t="s">
        <v>3836</v>
      </c>
      <c r="AV118" s="97" t="s">
        <v>3837</v>
      </c>
      <c r="AW118" s="181"/>
      <c r="AX118" s="181"/>
    </row>
    <row r="119">
      <c r="A119" s="235">
        <v>7.0</v>
      </c>
      <c r="B119" s="262" t="s">
        <v>3838</v>
      </c>
      <c r="C119" s="180" t="s">
        <v>3839</v>
      </c>
      <c r="D119" s="181" t="s">
        <v>2915</v>
      </c>
      <c r="E119" s="235">
        <v>7.0</v>
      </c>
      <c r="F119" s="179" t="s">
        <v>3840</v>
      </c>
      <c r="G119" s="252" t="s">
        <v>3841</v>
      </c>
      <c r="H119" s="254" t="s">
        <v>3842</v>
      </c>
      <c r="I119" s="235">
        <v>7.0</v>
      </c>
      <c r="J119" s="179" t="s">
        <v>3843</v>
      </c>
      <c r="K119" s="193" t="s">
        <v>3844</v>
      </c>
      <c r="L119" s="254" t="s">
        <v>3845</v>
      </c>
      <c r="M119" s="235">
        <v>7.0</v>
      </c>
      <c r="N119" s="179" t="s">
        <v>3846</v>
      </c>
      <c r="O119" s="180" t="s">
        <v>3847</v>
      </c>
      <c r="P119" s="181" t="s">
        <v>3790</v>
      </c>
      <c r="Q119" s="235">
        <v>7.0</v>
      </c>
      <c r="R119" s="179" t="str">
        <f>IFERROR(__xludf.DUMMYFUNCTION("GOOGLETRANSLATE(B119,""zh-tw"",""es-MX"")"),"Hermano, ¿qué están haciendo?")</f>
        <v>Hermano, ¿qué están haciendo?</v>
      </c>
      <c r="S119" s="180" t="str">
        <f>IFERROR(__xludf.DUMMYFUNCTION("GOOGLETRANSLATE(C119,""zh-tw"",""es-MX"")"),"Usar ""videos para adultos"" a altas horas de la noche y tener un nivel bajo de afecto/corazón morado (o cierto nivel de sentimientos positivos)")</f>
        <v>Usar "videos para adultos" a altas horas de la noche y tener un nivel bajo de afecto/corazón morado (o cierto nivel de sentimientos positivos)</v>
      </c>
      <c r="T119" s="181" t="str">
        <f>IFERROR(__xludf.DUMMYFUNCTION("GOOGLETRANSLATE(D119,""zh-tw"",""es-MX"")"),"Trama relacionada con el desencadenante")</f>
        <v>Trama relacionada con el desencadenante</v>
      </c>
      <c r="U119" s="235">
        <v>7.0</v>
      </c>
      <c r="V119" s="179" t="str">
        <f>IFERROR(__xludf.DUMMYFUNCTION("GOOGLETRANSLATE(B119,""zh-tw"",""KO"")"),"형님, 저 사람들 뭐 하고 있는 거예요?")</f>
        <v>형님, 저 사람들 뭐 하고 있는 거예요?</v>
      </c>
      <c r="W119" s="180" t="str">
        <f>IFERROR(__xludf.DUMMYFUNCTION("GOOGLETRANSLATE(C119,""zh-tw"",""KO"")"),"늦은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19" s="181" t="str">
        <f>IFERROR(__xludf.DUMMYFUNCTION("GOOGLETRANSLATE(D119,""zh-tw"",""KO"")"),"트리거 관련 플롯")</f>
        <v>트리거 관련 플롯</v>
      </c>
      <c r="Y119" s="235">
        <v>7.0</v>
      </c>
      <c r="Z119" s="189" t="s">
        <v>3848</v>
      </c>
      <c r="AA119" s="190" t="s">
        <v>3849</v>
      </c>
      <c r="AB119" s="166" t="s">
        <v>3850</v>
      </c>
      <c r="AC119" s="235">
        <v>7.0</v>
      </c>
      <c r="AD119" s="145" t="s">
        <v>3851</v>
      </c>
      <c r="AE119" s="257" t="s">
        <v>3852</v>
      </c>
      <c r="AF119" s="263" t="s">
        <v>3853</v>
      </c>
      <c r="AG119" s="235">
        <v>7.0</v>
      </c>
      <c r="AH119" s="156" t="s">
        <v>3854</v>
      </c>
      <c r="AI119" s="252" t="s">
        <v>3855</v>
      </c>
      <c r="AJ119" s="254" t="s">
        <v>3856</v>
      </c>
      <c r="AK119" s="235">
        <v>7.0</v>
      </c>
      <c r="AL119" s="264" t="s">
        <v>3857</v>
      </c>
      <c r="AM119" s="265" t="s">
        <v>3858</v>
      </c>
      <c r="AN119" s="266" t="s">
        <v>3859</v>
      </c>
      <c r="AO119" s="235">
        <v>7.0</v>
      </c>
      <c r="AP119" s="262" t="s">
        <v>3860</v>
      </c>
      <c r="AQ119" s="180" t="s">
        <v>3861</v>
      </c>
      <c r="AR119" s="181" t="s">
        <v>3862</v>
      </c>
      <c r="AS119" s="235">
        <v>7.0</v>
      </c>
      <c r="AT119" s="156" t="s">
        <v>3863</v>
      </c>
      <c r="AU119" s="154" t="s">
        <v>3864</v>
      </c>
      <c r="AV119" s="100" t="s">
        <v>3865</v>
      </c>
      <c r="AW119" s="267"/>
      <c r="AX119" s="267"/>
    </row>
    <row r="120">
      <c r="A120" s="235">
        <v>8.0</v>
      </c>
      <c r="B120" s="262" t="s">
        <v>3866</v>
      </c>
      <c r="C120" s="165" t="s">
        <v>3867</v>
      </c>
      <c r="D120" s="164" t="s">
        <v>3868</v>
      </c>
      <c r="E120" s="235">
        <v>8.0</v>
      </c>
      <c r="F120" s="179" t="s">
        <v>3869</v>
      </c>
      <c r="G120" s="252" t="s">
        <v>3870</v>
      </c>
      <c r="H120" s="254" t="s">
        <v>3871</v>
      </c>
      <c r="I120" s="235">
        <v>8.0</v>
      </c>
      <c r="J120" s="179" t="s">
        <v>3872</v>
      </c>
      <c r="K120" s="193" t="s">
        <v>3873</v>
      </c>
      <c r="L120" s="254" t="s">
        <v>3874</v>
      </c>
      <c r="M120" s="235">
        <v>8.0</v>
      </c>
      <c r="N120" s="179" t="s">
        <v>3875</v>
      </c>
      <c r="O120" s="180" t="s">
        <v>3876</v>
      </c>
      <c r="P120" s="181" t="s">
        <v>3877</v>
      </c>
      <c r="Q120" s="235">
        <v>8.0</v>
      </c>
      <c r="R120" s="179" t="str">
        <f>IFERROR(__xludf.DUMMYFUNCTION("GOOGLETRANSLATE(B120,""zh-tw"",""es-MX"")"),"Hermano, ¿qué están haciendo? -1")</f>
        <v>Hermano, ¿qué están haciendo? -1</v>
      </c>
      <c r="S120" s="180" t="str">
        <f>IFERROR(__xludf.DUMMYFUNCTION("GOOGLETRANSLATE(C120,""zh-tw"",""es-MX"")"),"Usar ""videos para adultos"" a altas horas de la noche (después de las 10 p. m.)")</f>
        <v>Usar "videos para adultos" a altas horas de la noche (después de las 10 p. m.)</v>
      </c>
      <c r="T120" s="181" t="str">
        <f>IFERROR(__xludf.DUMMYFUNCTION("GOOGLETRANSLATE(D120,""zh-tw"",""es-MX"")"),"Según la opción
1. Anterior
Desencadenando el evento principal con tu hermana
La primera vez es obligatorio estar afuera
La segunda vez es voluntario estar afuera
La tercera vez se puede elegir libremente
(El número de eventos principales se comparte e"&amp;"ntre todas las escenas, por lo que se recomienda guardar antes de ver cada segmento).")</f>
        <v>Según la opción
1. Anterior
Desencadenando el evento principal con tu hermana
La primera vez es obligatorio estar afuera
La segunda vez es voluntario estar afuera
La tercera vez se puede elegir libremente
(El número de eventos principales se comparte entre todas las escenas, por lo que se recomienda guardar antes de ver cada segmento).</v>
      </c>
      <c r="U120" s="235">
        <v>8.0</v>
      </c>
      <c r="V120" s="179" t="str">
        <f>IFERROR(__xludf.DUMMYFUNCTION("GOOGLETRANSLATE(B120,""zh-tw"",""KO"")"),"형~ 쟤네 뭐 하는 거야? -1")</f>
        <v>형~ 쟤네 뭐 하는 거야? -1</v>
      </c>
      <c r="W120" s="180" t="str">
        <f>IFERROR(__xludf.DUMMYFUNCTION("GOOGLETRANSLATE(C120,""zh-tw"",""KO"")"),"심야(오후 10시 이후)에 ""성인 동영상""을 시청하는 것")</f>
        <v>심야(오후 10시 이후)에 "성인 동영상"을 시청하는 것</v>
      </c>
      <c r="X120" s="181" t="str">
        <f>IFERROR(__xludf.DUMMYFUNCTION("GOOGLETRANSLATE(D120,""zh-tw"",""KO"")"),"옵션에 따라
1. 이전
여동생과의 메인 이벤트 발생
첫 번째는 강제로 야외에서 발생
두 번째는 자발적으로 야외에서 발생
세 번째는 자유롭게 선택 가능
(메인 이벤트 발생 횟수는 모든 장면에서 공유되므로 각 장면을 시청하기 전에 저장하는 것이 좋습니다.)")</f>
        <v>옵션에 따라
1. 이전
여동생과의 메인 이벤트 발생
첫 번째는 강제로 야외에서 발생
두 번째는 자발적으로 야외에서 발생
세 번째는 자유롭게 선택 가능
(메인 이벤트 발생 횟수는 모든 장면에서 공유되므로 각 장면을 시청하기 전에 저장하는 것이 좋습니다.)</v>
      </c>
      <c r="Y120" s="235">
        <v>8.0</v>
      </c>
      <c r="Z120" s="189" t="s">
        <v>3878</v>
      </c>
      <c r="AA120" s="190" t="s">
        <v>3879</v>
      </c>
      <c r="AB120" s="166" t="s">
        <v>3880</v>
      </c>
      <c r="AC120" s="235">
        <v>8.0</v>
      </c>
      <c r="AD120" s="145" t="s">
        <v>3881</v>
      </c>
      <c r="AE120" s="257" t="s">
        <v>3882</v>
      </c>
      <c r="AF120" s="263" t="s">
        <v>3883</v>
      </c>
      <c r="AG120" s="235">
        <v>8.0</v>
      </c>
      <c r="AH120" s="156" t="s">
        <v>3884</v>
      </c>
      <c r="AI120" s="252" t="s">
        <v>3885</v>
      </c>
      <c r="AJ120" s="254" t="s">
        <v>3828</v>
      </c>
      <c r="AK120" s="235">
        <v>8.0</v>
      </c>
      <c r="AL120" s="264" t="s">
        <v>3886</v>
      </c>
      <c r="AM120" s="265" t="s">
        <v>3887</v>
      </c>
      <c r="AN120" s="268" t="s">
        <v>3888</v>
      </c>
      <c r="AO120" s="235">
        <v>8.0</v>
      </c>
      <c r="AP120" s="262" t="s">
        <v>3889</v>
      </c>
      <c r="AQ120" s="180" t="s">
        <v>3890</v>
      </c>
      <c r="AR120" s="181" t="s">
        <v>3891</v>
      </c>
      <c r="AS120" s="235">
        <v>8.0</v>
      </c>
      <c r="AT120" s="156" t="s">
        <v>3892</v>
      </c>
      <c r="AU120" s="154" t="s">
        <v>3893</v>
      </c>
      <c r="AV120" s="100" t="s">
        <v>3894</v>
      </c>
      <c r="AW120" s="267"/>
      <c r="AX120" s="267"/>
    </row>
    <row r="121">
      <c r="A121" s="235">
        <v>9.0</v>
      </c>
      <c r="B121" s="269" t="s">
        <v>3895</v>
      </c>
      <c r="C121" s="165" t="s">
        <v>3896</v>
      </c>
      <c r="D121" s="164" t="s">
        <v>3897</v>
      </c>
      <c r="E121" s="235">
        <v>9.0</v>
      </c>
      <c r="F121" s="199" t="s">
        <v>3898</v>
      </c>
      <c r="G121" s="200" t="s">
        <v>3899</v>
      </c>
      <c r="H121" s="205" t="s">
        <v>3900</v>
      </c>
      <c r="I121" s="235">
        <v>9.0</v>
      </c>
      <c r="J121" s="199" t="s">
        <v>3901</v>
      </c>
      <c r="K121" s="200" t="s">
        <v>3902</v>
      </c>
      <c r="L121" s="205" t="s">
        <v>3903</v>
      </c>
      <c r="M121" s="235">
        <v>9.0</v>
      </c>
      <c r="N121" s="179"/>
      <c r="O121" s="180"/>
      <c r="P121" s="181"/>
      <c r="Q121" s="235">
        <v>9.0</v>
      </c>
      <c r="R121" s="179"/>
      <c r="S121" s="180"/>
      <c r="T121" s="181"/>
      <c r="U121" s="235">
        <v>9.0</v>
      </c>
      <c r="V121" s="179"/>
      <c r="W121" s="180"/>
      <c r="X121" s="181"/>
      <c r="Y121" s="235">
        <v>9.0</v>
      </c>
      <c r="Z121" s="270" t="s">
        <v>3904</v>
      </c>
      <c r="AA121" s="258" t="s">
        <v>3905</v>
      </c>
      <c r="AB121" s="271" t="s">
        <v>3906</v>
      </c>
      <c r="AC121" s="235">
        <v>9.0</v>
      </c>
      <c r="AD121" s="219" t="s">
        <v>3907</v>
      </c>
      <c r="AE121" s="257" t="s">
        <v>3908</v>
      </c>
      <c r="AF121" s="263" t="s">
        <v>3909</v>
      </c>
      <c r="AG121" s="235">
        <v>9.0</v>
      </c>
      <c r="AH121" s="140" t="s">
        <v>3910</v>
      </c>
      <c r="AI121" s="200" t="s">
        <v>3911</v>
      </c>
      <c r="AJ121" s="205" t="s">
        <v>3912</v>
      </c>
      <c r="AK121" s="235">
        <v>9.0</v>
      </c>
      <c r="AL121" s="167" t="s">
        <v>3913</v>
      </c>
      <c r="AM121" s="158" t="s">
        <v>3914</v>
      </c>
      <c r="AN121" s="268" t="s">
        <v>3915</v>
      </c>
      <c r="AO121" s="235">
        <v>9.0</v>
      </c>
      <c r="AP121" s="269" t="s">
        <v>3916</v>
      </c>
      <c r="AQ121" s="165" t="s">
        <v>3917</v>
      </c>
      <c r="AR121" s="164" t="s">
        <v>3918</v>
      </c>
      <c r="AS121" s="235">
        <v>9.0</v>
      </c>
      <c r="AT121" s="156"/>
      <c r="AU121" s="154"/>
      <c r="AV121" s="100"/>
      <c r="AW121" s="267"/>
      <c r="AX121" s="267"/>
    </row>
    <row r="122">
      <c r="A122" s="235">
        <v>10.0</v>
      </c>
      <c r="B122" s="269" t="s">
        <v>3919</v>
      </c>
      <c r="C122" s="165" t="s">
        <v>3920</v>
      </c>
      <c r="D122" s="164" t="s">
        <v>3921</v>
      </c>
      <c r="E122" s="235">
        <v>10.0</v>
      </c>
      <c r="F122" s="199" t="s">
        <v>3922</v>
      </c>
      <c r="G122" s="200" t="s">
        <v>3923</v>
      </c>
      <c r="H122" s="205" t="s">
        <v>3924</v>
      </c>
      <c r="I122" s="235">
        <v>10.0</v>
      </c>
      <c r="J122" s="199" t="s">
        <v>3925</v>
      </c>
      <c r="K122" s="200" t="s">
        <v>3926</v>
      </c>
      <c r="L122" s="205" t="s">
        <v>3927</v>
      </c>
      <c r="M122" s="235">
        <v>10.0</v>
      </c>
      <c r="N122" s="179"/>
      <c r="O122" s="180"/>
      <c r="P122" s="181"/>
      <c r="Q122" s="235">
        <v>10.0</v>
      </c>
      <c r="R122" s="179"/>
      <c r="S122" s="180"/>
      <c r="T122" s="181"/>
      <c r="U122" s="235">
        <v>10.0</v>
      </c>
      <c r="V122" s="179"/>
      <c r="W122" s="180"/>
      <c r="X122" s="181"/>
      <c r="Y122" s="235">
        <v>10.0</v>
      </c>
      <c r="Z122" s="270" t="s">
        <v>3928</v>
      </c>
      <c r="AA122" s="258" t="s">
        <v>3929</v>
      </c>
      <c r="AB122" s="271" t="s">
        <v>3930</v>
      </c>
      <c r="AC122" s="235">
        <v>10.0</v>
      </c>
      <c r="AD122" s="219" t="s">
        <v>3931</v>
      </c>
      <c r="AE122" s="257" t="s">
        <v>3932</v>
      </c>
      <c r="AF122" s="263" t="s">
        <v>3933</v>
      </c>
      <c r="AG122" s="235">
        <v>10.0</v>
      </c>
      <c r="AH122" s="140" t="s">
        <v>3934</v>
      </c>
      <c r="AI122" s="200" t="s">
        <v>3935</v>
      </c>
      <c r="AJ122" s="205" t="s">
        <v>3936</v>
      </c>
      <c r="AK122" s="235">
        <v>10.0</v>
      </c>
      <c r="AL122" s="167" t="s">
        <v>3937</v>
      </c>
      <c r="AM122" s="158" t="s">
        <v>3938</v>
      </c>
      <c r="AN122" s="268"/>
      <c r="AO122" s="235">
        <v>10.0</v>
      </c>
      <c r="AP122" s="269" t="s">
        <v>3939</v>
      </c>
      <c r="AQ122" s="165" t="s">
        <v>3940</v>
      </c>
      <c r="AR122" s="164" t="s">
        <v>3941</v>
      </c>
      <c r="AS122" s="235">
        <v>10.0</v>
      </c>
      <c r="AT122" s="156"/>
      <c r="AU122" s="154"/>
      <c r="AV122" s="100"/>
      <c r="AW122" s="267"/>
      <c r="AX122" s="267"/>
    </row>
    <row r="123">
      <c r="A123" s="235">
        <v>11.0</v>
      </c>
      <c r="B123" s="269" t="s">
        <v>3942</v>
      </c>
      <c r="C123" s="165" t="s">
        <v>3943</v>
      </c>
      <c r="D123" s="164" t="s">
        <v>3944</v>
      </c>
      <c r="E123" s="235">
        <v>11.0</v>
      </c>
      <c r="F123" s="199" t="s">
        <v>3945</v>
      </c>
      <c r="G123" s="200" t="s">
        <v>3946</v>
      </c>
      <c r="H123" s="205" t="s">
        <v>3947</v>
      </c>
      <c r="I123" s="235">
        <v>11.0</v>
      </c>
      <c r="J123" s="199" t="s">
        <v>3948</v>
      </c>
      <c r="K123" s="200" t="s">
        <v>3949</v>
      </c>
      <c r="L123" s="205" t="s">
        <v>3950</v>
      </c>
      <c r="M123" s="235">
        <v>11.0</v>
      </c>
      <c r="N123" s="179"/>
      <c r="O123" s="180"/>
      <c r="P123" s="181"/>
      <c r="Q123" s="235">
        <v>11.0</v>
      </c>
      <c r="R123" s="179"/>
      <c r="S123" s="180"/>
      <c r="T123" s="181"/>
      <c r="U123" s="235">
        <v>11.0</v>
      </c>
      <c r="V123" s="179"/>
      <c r="W123" s="180"/>
      <c r="X123" s="181"/>
      <c r="Y123" s="235">
        <v>11.0</v>
      </c>
      <c r="Z123" s="270" t="s">
        <v>3951</v>
      </c>
      <c r="AA123" s="258" t="s">
        <v>3952</v>
      </c>
      <c r="AB123" s="271" t="s">
        <v>3953</v>
      </c>
      <c r="AC123" s="235">
        <v>11.0</v>
      </c>
      <c r="AD123" s="219" t="s">
        <v>3954</v>
      </c>
      <c r="AE123" s="257" t="s">
        <v>3955</v>
      </c>
      <c r="AF123" s="263" t="s">
        <v>3956</v>
      </c>
      <c r="AG123" s="235">
        <v>11.0</v>
      </c>
      <c r="AH123" s="140" t="s">
        <v>3957</v>
      </c>
      <c r="AI123" s="200" t="s">
        <v>3958</v>
      </c>
      <c r="AJ123" s="205" t="s">
        <v>3959</v>
      </c>
      <c r="AK123" s="235">
        <v>11.0</v>
      </c>
      <c r="AL123" s="167" t="s">
        <v>3960</v>
      </c>
      <c r="AM123" s="158" t="s">
        <v>3961</v>
      </c>
      <c r="AN123" s="268" t="s">
        <v>3962</v>
      </c>
      <c r="AO123" s="235">
        <v>11.0</v>
      </c>
      <c r="AP123" s="269" t="s">
        <v>3963</v>
      </c>
      <c r="AQ123" s="165" t="s">
        <v>3964</v>
      </c>
      <c r="AR123" s="164" t="s">
        <v>3965</v>
      </c>
      <c r="AS123" s="235">
        <v>11.0</v>
      </c>
      <c r="AT123" s="156"/>
      <c r="AU123" s="154"/>
      <c r="AV123" s="100"/>
      <c r="AW123" s="267"/>
      <c r="AX123" s="267"/>
    </row>
    <row r="124">
      <c r="A124" s="235">
        <v>12.0</v>
      </c>
      <c r="B124" s="269" t="s">
        <v>3966</v>
      </c>
      <c r="C124" s="165" t="s">
        <v>3967</v>
      </c>
      <c r="D124" s="164" t="s">
        <v>3968</v>
      </c>
      <c r="E124" s="235">
        <v>12.0</v>
      </c>
      <c r="F124" s="199" t="s">
        <v>3969</v>
      </c>
      <c r="G124" s="200" t="s">
        <v>3970</v>
      </c>
      <c r="H124" s="205" t="s">
        <v>3971</v>
      </c>
      <c r="I124" s="235">
        <v>12.0</v>
      </c>
      <c r="J124" s="199" t="s">
        <v>3972</v>
      </c>
      <c r="K124" s="200" t="s">
        <v>3973</v>
      </c>
      <c r="L124" s="205" t="s">
        <v>3974</v>
      </c>
      <c r="M124" s="235">
        <v>12.0</v>
      </c>
      <c r="N124" s="179"/>
      <c r="O124" s="180"/>
      <c r="P124" s="181"/>
      <c r="Q124" s="235">
        <v>12.0</v>
      </c>
      <c r="R124" s="179"/>
      <c r="S124" s="180"/>
      <c r="T124" s="181"/>
      <c r="U124" s="235">
        <v>12.0</v>
      </c>
      <c r="V124" s="179"/>
      <c r="W124" s="180"/>
      <c r="X124" s="181"/>
      <c r="Y124" s="235">
        <v>12.0</v>
      </c>
      <c r="Z124" s="270" t="s">
        <v>3975</v>
      </c>
      <c r="AA124" s="258" t="s">
        <v>3976</v>
      </c>
      <c r="AB124" s="271" t="s">
        <v>3977</v>
      </c>
      <c r="AC124" s="235">
        <v>12.0</v>
      </c>
      <c r="AD124" s="219" t="s">
        <v>3978</v>
      </c>
      <c r="AE124" s="257" t="s">
        <v>3979</v>
      </c>
      <c r="AF124" s="263" t="s">
        <v>3980</v>
      </c>
      <c r="AG124" s="235">
        <v>12.0</v>
      </c>
      <c r="AH124" s="140" t="s">
        <v>3981</v>
      </c>
      <c r="AI124" s="200" t="s">
        <v>3982</v>
      </c>
      <c r="AJ124" s="205" t="s">
        <v>3983</v>
      </c>
      <c r="AK124" s="235">
        <v>12.0</v>
      </c>
      <c r="AL124" s="167" t="s">
        <v>3984</v>
      </c>
      <c r="AM124" s="158" t="s">
        <v>3985</v>
      </c>
      <c r="AN124" s="268" t="s">
        <v>3986</v>
      </c>
      <c r="AO124" s="235">
        <v>12.0</v>
      </c>
      <c r="AP124" s="269" t="s">
        <v>3987</v>
      </c>
      <c r="AQ124" s="165" t="s">
        <v>3988</v>
      </c>
      <c r="AR124" s="164" t="s">
        <v>3989</v>
      </c>
      <c r="AS124" s="235">
        <v>12.0</v>
      </c>
      <c r="AT124" s="156"/>
      <c r="AU124" s="154"/>
      <c r="AV124" s="100"/>
      <c r="AW124" s="267"/>
      <c r="AX124" s="267"/>
    </row>
    <row r="125">
      <c r="A125" s="235">
        <v>13.0</v>
      </c>
      <c r="B125" s="269" t="s">
        <v>3990</v>
      </c>
      <c r="C125" s="165" t="s">
        <v>3991</v>
      </c>
      <c r="D125" s="181" t="s">
        <v>3992</v>
      </c>
      <c r="E125" s="235">
        <v>13.0</v>
      </c>
      <c r="F125" s="179" t="s">
        <v>3993</v>
      </c>
      <c r="G125" s="252" t="s">
        <v>3994</v>
      </c>
      <c r="H125" s="205" t="s">
        <v>3995</v>
      </c>
      <c r="I125" s="235">
        <v>13.0</v>
      </c>
      <c r="J125" s="179" t="s">
        <v>3996</v>
      </c>
      <c r="K125" s="200" t="s">
        <v>3997</v>
      </c>
      <c r="L125" s="254" t="s">
        <v>3998</v>
      </c>
      <c r="M125" s="235">
        <v>13.0</v>
      </c>
      <c r="N125" s="179" t="s">
        <v>3999</v>
      </c>
      <c r="O125" s="180" t="s">
        <v>4000</v>
      </c>
      <c r="P125" s="181" t="s">
        <v>4001</v>
      </c>
      <c r="Q125" s="235">
        <v>13.0</v>
      </c>
      <c r="R125" s="179" t="str">
        <f>IFERROR(__xludf.DUMMYFUNCTION("GOOGLETRANSLATE(B125,""zh-tw"",""es-MX"")"),"Dormir juntos en sueños")</f>
        <v>Dormir juntos en sueños</v>
      </c>
      <c r="S125" s="180" t="str">
        <f>IFERROR(__xludf.DUMMYFUNCTION("GOOGLETRANSLATE(C125,""zh-tw"",""es-MX"")"),"Usar ""videos para adultos"" a altas horas de la noche y hacer continuamente cosas que te gustan hasta altas horas de la noche, y actualmente eyacular al menos ""dos veces"" o más.")</f>
        <v>Usar "videos para adultos" a altas horas de la noche y hacer continuamente cosas que te gustan hasta altas horas de la noche, y actualmente eyacular al menos "dos veces" o más.</v>
      </c>
      <c r="T125" s="181" t="str">
        <f>IFERROR(__xludf.DUMMYFUNCTION("GOOGLETRANSLATE(D125,""zh-tw"",""es-MX"")"),"Si es la primera vez que ocurre este evento, se activará el segundo sueño del hermano (este sueño solo aparece una vez).
Además, si la hermana ha cambiado su nombre y coincide con la palabra clave ""hermana"", aparecerá un diálogo adicional:
(El título "&amp;"en pantalla no es ""novia"", sino ""hermana"").")</f>
        <v>Si es la primera vez que ocurre este evento, se activará el segundo sueño del hermano (este sueño solo aparece una vez).
Además, si la hermana ha cambiado su nombre y coincide con la palabra clave "hermana", aparecerá un diálogo adicional:
(El título en pantalla no es "novia", sino "hermana").</v>
      </c>
      <c r="U125" s="235">
        <v>13.0</v>
      </c>
      <c r="V125" s="179" t="str">
        <f>IFERROR(__xludf.DUMMYFUNCTION("GOOGLETRANSLATE(B125,""zh-tw"",""KO"")"),"꿈속에서 함께 잠들다")</f>
        <v>꿈속에서 함께 잠들다</v>
      </c>
      <c r="W125" s="180" t="str">
        <f>IFERROR(__xludf.DUMMYFUNCTION("GOOGLETRANSLATE(C125,""zh-tw"",""KO"")"),"늦은 밤에 ""성인 동영상""을 시청하고,
늦은 밤까지 좋아하는 행동을 계속하며, 현재 최소 ""2회"" 이상 사정하는 경우.")</f>
        <v>늦은 밤에 "성인 동영상"을 시청하고,
늦은 밤까지 좋아하는 행동을 계속하며, 현재 최소 "2회" 이상 사정하는 경우.</v>
      </c>
      <c r="X125" s="181" t="str">
        <f>IFERROR(__xludf.DUMMYFUNCTION("GOOGLETRANSLATE(D125,""zh-tw"",""KO"")"),"이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25" s="235">
        <v>13.0</v>
      </c>
      <c r="Z125" s="189" t="s">
        <v>4002</v>
      </c>
      <c r="AA125" s="190" t="s">
        <v>4003</v>
      </c>
      <c r="AB125" s="166" t="s">
        <v>4004</v>
      </c>
      <c r="AC125" s="235">
        <v>13.0</v>
      </c>
      <c r="AD125" s="145" t="s">
        <v>4005</v>
      </c>
      <c r="AE125" s="257" t="s">
        <v>4006</v>
      </c>
      <c r="AF125" s="263" t="s">
        <v>4007</v>
      </c>
      <c r="AG125" s="235">
        <v>13.0</v>
      </c>
      <c r="AH125" s="156" t="s">
        <v>4008</v>
      </c>
      <c r="AI125" s="200" t="s">
        <v>4009</v>
      </c>
      <c r="AJ125" s="254" t="s">
        <v>4010</v>
      </c>
      <c r="AK125" s="235">
        <v>13.0</v>
      </c>
      <c r="AL125" s="272" t="s">
        <v>4011</v>
      </c>
      <c r="AM125" s="273" t="s">
        <v>4012</v>
      </c>
      <c r="AN125" s="268" t="s">
        <v>4013</v>
      </c>
      <c r="AO125" s="235">
        <v>13.0</v>
      </c>
      <c r="AP125" s="264" t="s">
        <v>4014</v>
      </c>
      <c r="AQ125" s="180" t="s">
        <v>4015</v>
      </c>
      <c r="AR125" s="181" t="s">
        <v>4016</v>
      </c>
      <c r="AS125" s="235">
        <v>13.0</v>
      </c>
      <c r="AT125" s="156" t="s">
        <v>4017</v>
      </c>
      <c r="AU125" s="154" t="s">
        <v>4018</v>
      </c>
      <c r="AV125" s="100" t="s">
        <v>4019</v>
      </c>
      <c r="AW125" s="267"/>
      <c r="AX125" s="267"/>
    </row>
    <row r="126">
      <c r="A126" s="235">
        <v>14.0</v>
      </c>
      <c r="B126" s="262" t="s">
        <v>4020</v>
      </c>
      <c r="C126" s="180" t="s">
        <v>4021</v>
      </c>
      <c r="D126" s="181" t="s">
        <v>4022</v>
      </c>
      <c r="E126" s="235">
        <v>14.0</v>
      </c>
      <c r="F126" s="179" t="s">
        <v>4023</v>
      </c>
      <c r="G126" s="252" t="s">
        <v>4024</v>
      </c>
      <c r="H126" s="205" t="s">
        <v>4025</v>
      </c>
      <c r="I126" s="235">
        <v>14.0</v>
      </c>
      <c r="J126" s="179" t="s">
        <v>3996</v>
      </c>
      <c r="K126" s="200" t="s">
        <v>4026</v>
      </c>
      <c r="L126" s="254" t="s">
        <v>4027</v>
      </c>
      <c r="M126" s="235">
        <v>14.0</v>
      </c>
      <c r="N126" s="179" t="str">
        <f>IFERROR(__xludf.DUMMYFUNCTION("GOOGLETRANSLATE(B126,""zh-tw"",""zh"")"),"一起睡吧")</f>
        <v>一起睡吧</v>
      </c>
      <c r="O126" s="180" t="str">
        <f>IFERROR(__xludf.DUMMYFUNCTION("GOOGLETRANSLATE(C126,""zh-tw"",""zh"")"),"客厅成人录影带事件里，和妹妹运动结束后，刚好到睡觉时间")</f>
        <v>客厅成人录影带事件里，和妹妹运动结束后，刚好到睡觉时间</v>
      </c>
      <c r="P126" s="181" t="str">
        <f>IFERROR(__xludf.DUMMYFUNCTION("GOOGLETRANSLATE(D126,""zh-tw"",""zh"")"),"哥哥比妹妹早醒，进行剧情")</f>
        <v>哥哥比妹妹早醒，进行剧情</v>
      </c>
      <c r="Q126" s="235">
        <v>14.0</v>
      </c>
      <c r="R126" s="179" t="str">
        <f>IFERROR(__xludf.DUMMYFUNCTION("GOOGLETRANSLATE(B126,""zh-tw"",""es-MX"")"),"Vamos a dormir juntos")</f>
        <v>Vamos a dormir juntos</v>
      </c>
      <c r="S126" s="180" t="str">
        <f>IFERROR(__xludf.DUMMYFUNCTION("GOOGLETRANSLATE(C126,""zh-tw"",""es-MX"")"),"En el incidente del vídeo para adultos en el salón, después de hacer ejercicio con su hermana, ya era hora de acostarse.")</f>
        <v>En el incidente del vídeo para adultos en el salón, después de hacer ejercicio con su hermana, ya era hora de acostarse.</v>
      </c>
      <c r="T126" s="181" t="str">
        <f>IFERROR(__xludf.DUMMYFUNCTION("GOOGLETRANSLATE(D126,""zh-tw"",""es-MX"")"),"El hermano mayor se despierta antes que su hermana menor, y así comienza la historia.")</f>
        <v>El hermano mayor se despierta antes que su hermana menor, y así comienza la historia.</v>
      </c>
      <c r="U126" s="235">
        <v>14.0</v>
      </c>
      <c r="V126" s="179" t="str">
        <f>IFERROR(__xludf.DUMMYFUNCTION("GOOGLETRANSLATE(B126,""zh-tw"",""KO"")"),"같이 자자")</f>
        <v>같이 자자</v>
      </c>
      <c r="W126" s="180" t="str">
        <f>IFERROR(__xludf.DUMMYFUNCTION("GOOGLETRANSLATE(C126,""zh-tw"",""KO"")"),"거실에서 성인 비디오를 보던 중 발생한 사건에서, 그는 여동생과 운동을 마친 후 막 잠자리에 들려던 참이었다.")</f>
        <v>거실에서 성인 비디오를 보던 중 발생한 사건에서, 그는 여동생과 운동을 마친 후 막 잠자리에 들려던 참이었다.</v>
      </c>
      <c r="X126" s="181" t="str">
        <f>IFERROR(__xludf.DUMMYFUNCTION("GOOGLETRANSLATE(D126,""zh-tw"",""KO"")"),"오빠는 여동생보다 먼저 잠에서 깨어나고, 이야기는 그렇게 시작됩니다.")</f>
        <v>오빠는 여동생보다 먼저 잠에서 깨어나고, 이야기는 그렇게 시작됩니다.</v>
      </c>
      <c r="Y126" s="235">
        <v>14.0</v>
      </c>
      <c r="Z126" s="189" t="s">
        <v>4028</v>
      </c>
      <c r="AA126" s="190" t="s">
        <v>4029</v>
      </c>
      <c r="AB126" s="166" t="s">
        <v>4030</v>
      </c>
      <c r="AC126" s="235">
        <v>14.0</v>
      </c>
      <c r="AD126" s="145" t="s">
        <v>4031</v>
      </c>
      <c r="AE126" s="257" t="s">
        <v>4032</v>
      </c>
      <c r="AF126" s="263" t="s">
        <v>4033</v>
      </c>
      <c r="AG126" s="235">
        <v>14.0</v>
      </c>
      <c r="AH126" s="156" t="s">
        <v>4034</v>
      </c>
      <c r="AI126" s="200" t="s">
        <v>4035</v>
      </c>
      <c r="AJ126" s="254" t="s">
        <v>4036</v>
      </c>
      <c r="AK126" s="235">
        <v>14.0</v>
      </c>
      <c r="AL126" s="272" t="s">
        <v>4037</v>
      </c>
      <c r="AM126" s="273" t="s">
        <v>4038</v>
      </c>
      <c r="AN126" s="268" t="s">
        <v>4039</v>
      </c>
      <c r="AO126" s="235">
        <v>14.0</v>
      </c>
      <c r="AP126" s="264" t="s">
        <v>4040</v>
      </c>
      <c r="AQ126" s="180" t="s">
        <v>4041</v>
      </c>
      <c r="AR126" s="181" t="s">
        <v>4042</v>
      </c>
      <c r="AS126" s="235">
        <v>14.0</v>
      </c>
      <c r="AT126" s="156" t="s">
        <v>4017</v>
      </c>
      <c r="AU126" s="154" t="s">
        <v>4043</v>
      </c>
      <c r="AV126" s="100" t="s">
        <v>4044</v>
      </c>
      <c r="AW126" s="267"/>
      <c r="AX126" s="267"/>
    </row>
    <row r="127">
      <c r="A127" s="235">
        <v>15.0</v>
      </c>
      <c r="B127" s="262" t="s">
        <v>4045</v>
      </c>
      <c r="C127" s="180" t="s">
        <v>4046</v>
      </c>
      <c r="D127" s="181" t="s">
        <v>4047</v>
      </c>
      <c r="E127" s="235">
        <v>15.0</v>
      </c>
      <c r="F127" s="179" t="s">
        <v>4048</v>
      </c>
      <c r="G127" s="252" t="s">
        <v>4046</v>
      </c>
      <c r="H127" s="205" t="s">
        <v>4049</v>
      </c>
      <c r="I127" s="235">
        <v>15.0</v>
      </c>
      <c r="J127" s="179" t="s">
        <v>4050</v>
      </c>
      <c r="K127" s="200" t="s">
        <v>4051</v>
      </c>
      <c r="L127" s="254" t="s">
        <v>4052</v>
      </c>
      <c r="M127" s="235">
        <v>15.0</v>
      </c>
      <c r="N127" s="179" t="str">
        <f>IFERROR(__xludf.DUMMYFUNCTION("GOOGLETRANSLATE(B127,""zh-tw"",""zh"")"),"一起睡吧-1")</f>
        <v>一起睡吧-1</v>
      </c>
      <c r="O127" s="180" t="str">
        <f>IFERROR(__xludf.DUMMYFUNCTION("GOOGLETRANSLATE(C127,""zh-tw"",""zh"")"),"同上")</f>
        <v>同上</v>
      </c>
      <c r="P127" s="181" t="str">
        <f>IFERROR(__xludf.DUMMYFUNCTION("GOOGLETRANSLATE(D127,""zh-tw"",""zh"")"),"同上
分支-妹妹比哥哥早醒，进行剧情")</f>
        <v>同上
分支-妹妹比哥哥早醒，进行剧情</v>
      </c>
      <c r="Q127" s="235">
        <v>15.0</v>
      </c>
      <c r="R127" s="179" t="str">
        <f>IFERROR(__xludf.DUMMYFUNCTION("GOOGLETRANSLATE(B127,""zh-tw"",""es-MX"")"),"Vamos a dormir juntos - 1")</f>
        <v>Vamos a dormir juntos - 1</v>
      </c>
      <c r="S127" s="180" t="str">
        <f>IFERROR(__xludf.DUMMYFUNCTION("GOOGLETRANSLATE(C127,""zh-tw"",""es-MX"")"),"Igual que lo anterior")</f>
        <v>Igual que lo anterior</v>
      </c>
      <c r="T127" s="181" t="str">
        <f>IFERROR(__xludf.DUMMYFUNCTION("GOOGLETRANSLATE(D127,""zh-tw"",""es-MX"")"),"Igual que lo anterior. Punto de inflexión: la hermana menor se despierta antes que el hermano mayor, lo que desencadena la historia.")</f>
        <v>Igual que lo anterior. Punto de inflexión: la hermana menor se despierta antes que el hermano mayor, lo que desencadena la historia.</v>
      </c>
      <c r="U127" s="235">
        <v>15.0</v>
      </c>
      <c r="V127" s="179" t="str">
        <f>IFERROR(__xludf.DUMMYFUNCTION("GOOGLETRANSLATE(B127,""zh-tw"",""KO"")"),"같이 자자 - 1")</f>
        <v>같이 자자 - 1</v>
      </c>
      <c r="W127" s="180" t="str">
        <f>IFERROR(__xludf.DUMMYFUNCTION("GOOGLETRANSLATE(C127,""zh-tw"",""KO"")"),"위와 동일")</f>
        <v>위와 동일</v>
      </c>
      <c r="X127" s="181" t="str">
        <f>IFERROR(__xludf.DUMMYFUNCTION("GOOGLETRANSLATE(D127,""zh-tw"",""KO"")"),"위와 동일합니다. 분기점 - 여동생이 오빠보다 먼저 깨어나면서 이야기가 시작됩니다.")</f>
        <v>위와 동일합니다. 분기점 - 여동생이 오빠보다 먼저 깨어나면서 이야기가 시작됩니다.</v>
      </c>
      <c r="Y127" s="235">
        <v>15.0</v>
      </c>
      <c r="Z127" s="189" t="s">
        <v>4053</v>
      </c>
      <c r="AA127" s="190" t="s">
        <v>4054</v>
      </c>
      <c r="AB127" s="166" t="s">
        <v>4055</v>
      </c>
      <c r="AC127" s="235">
        <v>15.0</v>
      </c>
      <c r="AD127" s="145" t="s">
        <v>4056</v>
      </c>
      <c r="AE127" s="257" t="s">
        <v>4057</v>
      </c>
      <c r="AF127" s="263" t="s">
        <v>4058</v>
      </c>
      <c r="AG127" s="235">
        <v>15.0</v>
      </c>
      <c r="AH127" s="156" t="s">
        <v>4059</v>
      </c>
      <c r="AI127" s="200" t="s">
        <v>4060</v>
      </c>
      <c r="AJ127" s="254" t="s">
        <v>4061</v>
      </c>
      <c r="AK127" s="235">
        <v>15.0</v>
      </c>
      <c r="AL127" s="272" t="s">
        <v>4062</v>
      </c>
      <c r="AM127" s="273" t="s">
        <v>4063</v>
      </c>
      <c r="AN127" s="268" t="s">
        <v>4064</v>
      </c>
      <c r="AO127" s="235">
        <v>15.0</v>
      </c>
      <c r="AP127" s="264" t="s">
        <v>4065</v>
      </c>
      <c r="AQ127" s="180" t="s">
        <v>4066</v>
      </c>
      <c r="AR127" s="181" t="s">
        <v>4067</v>
      </c>
      <c r="AS127" s="235">
        <v>15.0</v>
      </c>
      <c r="AT127" s="156" t="s">
        <v>4050</v>
      </c>
      <c r="AU127" s="154" t="s">
        <v>4068</v>
      </c>
      <c r="AV127" s="100" t="s">
        <v>4069</v>
      </c>
      <c r="AW127" s="267"/>
      <c r="AX127" s="267"/>
    </row>
    <row r="128">
      <c r="A128" s="9"/>
      <c r="B128" s="87"/>
      <c r="C128" s="87"/>
      <c r="D128" s="87"/>
      <c r="E128" s="9"/>
      <c r="F128" s="87"/>
      <c r="G128" s="87"/>
      <c r="H128" s="87"/>
      <c r="I128" s="9"/>
      <c r="J128" s="87"/>
      <c r="K128" s="87"/>
      <c r="L128" s="87"/>
      <c r="M128" s="9"/>
      <c r="N128" s="87"/>
      <c r="O128" s="87"/>
      <c r="P128" s="87"/>
      <c r="Q128" s="9"/>
      <c r="R128" s="87"/>
      <c r="S128" s="87"/>
      <c r="T128" s="87"/>
      <c r="U128" s="9"/>
      <c r="V128" s="87"/>
      <c r="W128" s="87"/>
      <c r="X128" s="87"/>
      <c r="Y128" s="242"/>
      <c r="Z128" s="87"/>
      <c r="AA128" s="87"/>
      <c r="AB128" s="87"/>
      <c r="AC128" s="243"/>
      <c r="AD128" s="234"/>
      <c r="AE128" s="234"/>
      <c r="AF128" s="234"/>
      <c r="AG128" s="9"/>
      <c r="AH128" s="87"/>
      <c r="AI128" s="87"/>
      <c r="AJ128" s="87"/>
      <c r="AK128" s="244"/>
      <c r="AL128" s="245"/>
      <c r="AM128" s="244"/>
      <c r="AN128" s="244"/>
      <c r="AO128" s="87"/>
      <c r="AP128" s="87"/>
      <c r="AQ128" s="87"/>
      <c r="AR128" s="87"/>
      <c r="AS128" s="87"/>
      <c r="AT128" s="87"/>
      <c r="AU128" s="87"/>
      <c r="AV128" s="87"/>
      <c r="AW128" s="87"/>
      <c r="AX128" s="87"/>
    </row>
    <row r="129">
      <c r="A129" s="129" t="s">
        <v>4070</v>
      </c>
      <c r="B129" s="246" t="s">
        <v>4071</v>
      </c>
      <c r="E129" s="129" t="s">
        <v>4070</v>
      </c>
      <c r="F129" s="129" t="s">
        <v>4072</v>
      </c>
      <c r="I129" s="129" t="s">
        <v>4070</v>
      </c>
      <c r="J129" s="129" t="s">
        <v>4073</v>
      </c>
      <c r="M129" s="129" t="s">
        <v>4070</v>
      </c>
      <c r="N129" s="129" t="str">
        <f>IFERROR(__xludf.DUMMYFUNCTION("GOOGLETRANSLATE(B129,""zh-tw"",""zh"")"),"夜袭相关")</f>
        <v>夜袭相关</v>
      </c>
      <c r="Q129" s="129" t="s">
        <v>4070</v>
      </c>
      <c r="R129" s="129" t="s">
        <v>4074</v>
      </c>
      <c r="U129" s="129" t="s">
        <v>4070</v>
      </c>
      <c r="V129" s="129" t="s">
        <v>4075</v>
      </c>
      <c r="Y129" s="129" t="s">
        <v>4070</v>
      </c>
      <c r="Z129" s="129" t="s">
        <v>4076</v>
      </c>
      <c r="AC129" s="130" t="s">
        <v>4070</v>
      </c>
      <c r="AD129" s="130" t="s">
        <v>4077</v>
      </c>
      <c r="AG129" s="129" t="s">
        <v>4070</v>
      </c>
      <c r="AH129" s="217" t="s">
        <v>4078</v>
      </c>
      <c r="AK129" s="218" t="s">
        <v>4070</v>
      </c>
      <c r="AL129" s="218" t="s">
        <v>4079</v>
      </c>
      <c r="AO129" s="129" t="s">
        <v>4070</v>
      </c>
      <c r="AP129" s="130" t="s">
        <v>4080</v>
      </c>
      <c r="AS129" s="129" t="s">
        <v>4070</v>
      </c>
      <c r="AT129" s="129" t="s">
        <v>4081</v>
      </c>
      <c r="AW129" s="246"/>
      <c r="AX129" s="246"/>
    </row>
    <row r="130">
      <c r="A130" s="178">
        <v>1.0</v>
      </c>
      <c r="B130" s="140" t="s">
        <v>4082</v>
      </c>
      <c r="C130" s="139" t="s">
        <v>4083</v>
      </c>
      <c r="D130" s="97" t="s">
        <v>4084</v>
      </c>
      <c r="E130" s="235"/>
      <c r="F130" s="140" t="s">
        <v>4085</v>
      </c>
      <c r="G130" s="139" t="s">
        <v>4086</v>
      </c>
      <c r="H130" s="97" t="s">
        <v>4087</v>
      </c>
      <c r="I130" s="235"/>
      <c r="J130" s="140" t="s">
        <v>4088</v>
      </c>
      <c r="K130" s="139" t="s">
        <v>4089</v>
      </c>
      <c r="L130" s="97" t="s">
        <v>4090</v>
      </c>
      <c r="M130" s="178">
        <v>1.0</v>
      </c>
      <c r="N130" s="140" t="s">
        <v>4091</v>
      </c>
      <c r="O130" s="139" t="s">
        <v>4092</v>
      </c>
      <c r="P130" s="97" t="s">
        <v>4093</v>
      </c>
      <c r="Q130" s="235"/>
      <c r="R130" s="140"/>
      <c r="S130" s="139"/>
      <c r="T130" s="97"/>
      <c r="U130" s="235"/>
      <c r="V130" s="156"/>
      <c r="W130" s="154"/>
      <c r="X130" s="100"/>
      <c r="Y130" s="239">
        <v>1.0</v>
      </c>
      <c r="Z130" s="240" t="s">
        <v>4094</v>
      </c>
      <c r="AA130" s="274" t="s">
        <v>4095</v>
      </c>
      <c r="AB130" s="85" t="s">
        <v>4096</v>
      </c>
      <c r="AC130" s="178">
        <v>1.0</v>
      </c>
      <c r="AD130" s="240" t="s">
        <v>4097</v>
      </c>
      <c r="AE130" s="274" t="s">
        <v>4098</v>
      </c>
      <c r="AF130" s="85" t="s">
        <v>4099</v>
      </c>
      <c r="AG130" s="235"/>
      <c r="AH130" s="140" t="s">
        <v>4100</v>
      </c>
      <c r="AI130" s="139" t="s">
        <v>4101</v>
      </c>
      <c r="AJ130" s="100"/>
      <c r="AK130" s="236"/>
      <c r="AL130" s="171" t="s">
        <v>4102</v>
      </c>
      <c r="AM130" s="173" t="s">
        <v>4103</v>
      </c>
      <c r="AN130" s="170" t="s">
        <v>4104</v>
      </c>
      <c r="AO130" s="178">
        <v>1.0</v>
      </c>
      <c r="AP130" s="199" t="s">
        <v>4105</v>
      </c>
      <c r="AQ130" s="165" t="s">
        <v>4106</v>
      </c>
      <c r="AR130" s="164" t="s">
        <v>4107</v>
      </c>
      <c r="AS130" s="235"/>
      <c r="AT130" s="136"/>
      <c r="AU130" s="139"/>
      <c r="AV130" s="97"/>
      <c r="AW130" s="100"/>
      <c r="AX130" s="100"/>
    </row>
    <row r="131">
      <c r="A131" s="178">
        <v>2.0</v>
      </c>
      <c r="B131" s="156"/>
      <c r="C131" s="139" t="s">
        <v>4108</v>
      </c>
      <c r="D131" s="97" t="s">
        <v>4109</v>
      </c>
      <c r="E131" s="235"/>
      <c r="F131" s="156"/>
      <c r="G131" s="139" t="s">
        <v>4110</v>
      </c>
      <c r="H131" s="97" t="s">
        <v>4111</v>
      </c>
      <c r="I131" s="235"/>
      <c r="J131" s="156"/>
      <c r="K131" s="139" t="s">
        <v>4112</v>
      </c>
      <c r="L131" s="97" t="s">
        <v>4113</v>
      </c>
      <c r="M131" s="178">
        <v>2.0</v>
      </c>
      <c r="N131" s="156"/>
      <c r="O131" s="139" t="s">
        <v>4114</v>
      </c>
      <c r="P131" s="97" t="s">
        <v>4115</v>
      </c>
      <c r="Q131" s="235"/>
      <c r="R131" s="140"/>
      <c r="S131" s="139"/>
      <c r="T131" s="97"/>
      <c r="U131" s="235"/>
      <c r="V131" s="156"/>
      <c r="W131" s="154"/>
      <c r="X131" s="100"/>
      <c r="Y131" s="239">
        <v>2.0</v>
      </c>
      <c r="Z131" s="219"/>
      <c r="AA131" s="174" t="s">
        <v>4116</v>
      </c>
      <c r="AB131" s="85"/>
      <c r="AC131" s="178">
        <v>2.0</v>
      </c>
      <c r="AD131" s="275" t="s">
        <v>1485</v>
      </c>
      <c r="AE131" s="174" t="s">
        <v>4117</v>
      </c>
      <c r="AF131" s="233" t="s">
        <v>1485</v>
      </c>
      <c r="AG131" s="235"/>
      <c r="AH131" s="156"/>
      <c r="AI131" s="139" t="s">
        <v>4118</v>
      </c>
      <c r="AJ131" s="100"/>
      <c r="AK131" s="236"/>
      <c r="AL131" s="237"/>
      <c r="AM131" s="173" t="s">
        <v>4119</v>
      </c>
      <c r="AN131" s="170" t="s">
        <v>4113</v>
      </c>
      <c r="AO131" s="178">
        <v>2.0</v>
      </c>
      <c r="AP131" s="179"/>
      <c r="AQ131" s="165" t="s">
        <v>4120</v>
      </c>
      <c r="AR131" s="164" t="s">
        <v>4121</v>
      </c>
      <c r="AS131" s="235"/>
      <c r="AT131" s="136"/>
      <c r="AU131" s="139"/>
      <c r="AV131" s="97"/>
      <c r="AW131" s="100"/>
      <c r="AX131" s="100"/>
    </row>
    <row r="132">
      <c r="A132" s="9"/>
      <c r="B132" s="87"/>
      <c r="C132" s="87"/>
      <c r="D132" s="87"/>
      <c r="E132" s="9"/>
      <c r="F132" s="87"/>
      <c r="G132" s="87"/>
      <c r="H132" s="87"/>
      <c r="I132" s="9"/>
      <c r="J132" s="87"/>
      <c r="K132" s="87"/>
      <c r="L132" s="87"/>
      <c r="M132" s="9"/>
      <c r="N132" s="87"/>
      <c r="O132" s="276"/>
      <c r="P132" s="87"/>
      <c r="Q132" s="9"/>
      <c r="R132" s="87"/>
      <c r="S132" s="87"/>
      <c r="T132" s="87"/>
      <c r="U132" s="9"/>
      <c r="V132" s="87"/>
      <c r="W132" s="87"/>
      <c r="X132" s="87"/>
      <c r="Y132" s="87"/>
      <c r="Z132" s="87"/>
      <c r="AA132" s="87"/>
      <c r="AB132" s="87"/>
      <c r="AC132" s="243"/>
      <c r="AD132" s="234"/>
      <c r="AE132" s="234"/>
      <c r="AF132" s="234"/>
      <c r="AG132" s="9"/>
      <c r="AH132" s="87"/>
      <c r="AI132" s="87"/>
      <c r="AJ132" s="87"/>
      <c r="AK132" s="244"/>
      <c r="AL132" s="245"/>
      <c r="AM132" s="244"/>
      <c r="AN132" s="244"/>
      <c r="AO132" s="87"/>
      <c r="AP132" s="87"/>
      <c r="AQ132" s="87"/>
      <c r="AR132" s="277" t="s">
        <v>4122</v>
      </c>
      <c r="AS132" s="87"/>
      <c r="AT132" s="87"/>
      <c r="AU132" s="87"/>
      <c r="AV132" s="87"/>
      <c r="AW132" s="87"/>
      <c r="AX132" s="87"/>
    </row>
    <row r="133">
      <c r="A133" s="9"/>
      <c r="B133" s="87"/>
      <c r="C133" s="87"/>
      <c r="D133" s="87"/>
      <c r="E133" s="9"/>
      <c r="F133" s="87"/>
      <c r="G133" s="87"/>
      <c r="H133" s="87"/>
      <c r="I133" s="9"/>
      <c r="J133" s="87"/>
      <c r="K133" s="87"/>
      <c r="L133" s="87"/>
      <c r="M133" s="9"/>
      <c r="N133" s="87"/>
      <c r="O133" s="87"/>
      <c r="P133" s="87"/>
      <c r="Q133" s="9"/>
      <c r="R133" s="87"/>
      <c r="S133" s="87"/>
      <c r="T133" s="87"/>
      <c r="U133" s="9"/>
      <c r="V133" s="87"/>
      <c r="W133" s="87"/>
      <c r="X133" s="87"/>
      <c r="Y133" s="87"/>
      <c r="Z133" s="87"/>
      <c r="AA133" s="87"/>
      <c r="AB133" s="87"/>
      <c r="AC133" s="243"/>
      <c r="AD133" s="234"/>
      <c r="AE133" s="234"/>
      <c r="AF133" s="234"/>
      <c r="AG133" s="9"/>
      <c r="AH133" s="87"/>
      <c r="AI133" s="87"/>
      <c r="AJ133" s="87"/>
      <c r="AK133" s="244"/>
      <c r="AL133" s="245"/>
      <c r="AM133" s="244"/>
      <c r="AN133" s="244"/>
      <c r="AO133" s="87"/>
      <c r="AP133" s="87"/>
      <c r="AQ133" s="87"/>
      <c r="AR133" s="87"/>
      <c r="AS133" s="87"/>
      <c r="AT133" s="87"/>
      <c r="AU133" s="87"/>
      <c r="AV133" s="87"/>
      <c r="AW133" s="87"/>
      <c r="AX133" s="87"/>
    </row>
    <row r="134">
      <c r="A134" s="9"/>
      <c r="B134" s="87"/>
      <c r="C134" s="87"/>
      <c r="D134" s="87"/>
      <c r="E134" s="9"/>
      <c r="F134" s="87"/>
      <c r="G134" s="87"/>
      <c r="H134" s="87"/>
      <c r="I134" s="9"/>
      <c r="J134" s="87"/>
      <c r="K134" s="87"/>
      <c r="L134" s="87"/>
      <c r="M134" s="9"/>
      <c r="N134" s="87"/>
      <c r="O134" s="87"/>
      <c r="P134" s="87"/>
      <c r="Q134" s="9"/>
      <c r="R134" s="87"/>
      <c r="S134" s="87"/>
      <c r="T134" s="87"/>
      <c r="U134" s="9"/>
      <c r="V134" s="87"/>
      <c r="W134" s="87"/>
      <c r="X134" s="87"/>
      <c r="Y134" s="87"/>
      <c r="Z134" s="87"/>
      <c r="AA134" s="87"/>
      <c r="AB134" s="87"/>
      <c r="AC134" s="243"/>
      <c r="AD134" s="234"/>
      <c r="AE134" s="234"/>
      <c r="AF134" s="234"/>
      <c r="AG134" s="9"/>
      <c r="AH134" s="87"/>
      <c r="AI134" s="87"/>
      <c r="AJ134" s="87"/>
      <c r="AK134" s="244"/>
      <c r="AL134" s="245"/>
      <c r="AM134" s="244"/>
      <c r="AN134" s="244"/>
      <c r="AO134" s="87"/>
      <c r="AP134" s="87"/>
      <c r="AQ134" s="87"/>
      <c r="AR134" s="87"/>
      <c r="AS134" s="87"/>
      <c r="AT134" s="87"/>
      <c r="AU134" s="87"/>
      <c r="AV134" s="87"/>
      <c r="AW134" s="87"/>
      <c r="AX134" s="87"/>
    </row>
    <row r="135">
      <c r="A135" s="9"/>
      <c r="B135" s="87"/>
      <c r="C135" s="87"/>
      <c r="D135" s="87"/>
      <c r="E135" s="9"/>
      <c r="F135" s="87"/>
      <c r="G135" s="87"/>
      <c r="H135" s="87"/>
      <c r="I135" s="9"/>
      <c r="J135" s="87"/>
      <c r="K135" s="87"/>
      <c r="L135" s="87"/>
      <c r="M135" s="9"/>
      <c r="N135" s="87"/>
      <c r="O135" s="87"/>
      <c r="P135" s="87"/>
      <c r="Q135" s="9"/>
      <c r="R135" s="87"/>
      <c r="S135" s="87"/>
      <c r="T135" s="87"/>
      <c r="U135" s="9"/>
      <c r="V135" s="87"/>
      <c r="W135" s="87"/>
      <c r="X135" s="87"/>
      <c r="Y135" s="87"/>
      <c r="Z135" s="87"/>
      <c r="AA135" s="87"/>
      <c r="AB135" s="87"/>
      <c r="AC135" s="243"/>
      <c r="AD135" s="234"/>
      <c r="AE135" s="234"/>
      <c r="AF135" s="234"/>
      <c r="AG135" s="9"/>
      <c r="AH135" s="87"/>
      <c r="AI135" s="87"/>
      <c r="AJ135" s="87"/>
      <c r="AK135" s="244"/>
      <c r="AL135" s="245"/>
      <c r="AM135" s="244"/>
      <c r="AN135" s="244"/>
      <c r="AO135" s="87"/>
      <c r="AP135" s="87"/>
      <c r="AQ135" s="87"/>
      <c r="AR135" s="87"/>
      <c r="AS135" s="87"/>
      <c r="AT135" s="87"/>
      <c r="AU135" s="87"/>
      <c r="AV135" s="87"/>
      <c r="AW135" s="87"/>
      <c r="AX135" s="87"/>
    </row>
    <row r="136">
      <c r="A136" s="9"/>
      <c r="B136" s="87"/>
      <c r="C136" s="87"/>
      <c r="D136" s="87"/>
      <c r="E136" s="9"/>
      <c r="F136" s="87"/>
      <c r="G136" s="87"/>
      <c r="H136" s="87"/>
      <c r="I136" s="9"/>
      <c r="J136" s="87"/>
      <c r="K136" s="87"/>
      <c r="L136" s="87"/>
      <c r="M136" s="9"/>
      <c r="N136" s="87"/>
      <c r="O136" s="87"/>
      <c r="P136" s="87"/>
      <c r="Q136" s="9"/>
      <c r="R136" s="87"/>
      <c r="S136" s="87"/>
      <c r="T136" s="87"/>
      <c r="U136" s="9"/>
      <c r="V136" s="87"/>
      <c r="W136" s="87"/>
      <c r="X136" s="87"/>
      <c r="Y136" s="87"/>
      <c r="Z136" s="87"/>
      <c r="AA136" s="87"/>
      <c r="AB136" s="87"/>
      <c r="AC136" s="243"/>
      <c r="AD136" s="234"/>
      <c r="AE136" s="234"/>
      <c r="AF136" s="234"/>
      <c r="AG136" s="9"/>
      <c r="AH136" s="87"/>
      <c r="AI136" s="87"/>
      <c r="AJ136" s="87"/>
      <c r="AK136" s="244"/>
      <c r="AL136" s="245"/>
      <c r="AM136" s="244"/>
      <c r="AN136" s="244"/>
      <c r="AO136" s="87"/>
      <c r="AP136" s="87"/>
      <c r="AQ136" s="87"/>
      <c r="AR136" s="87"/>
      <c r="AS136" s="87"/>
      <c r="AT136" s="87"/>
      <c r="AU136" s="87"/>
      <c r="AV136" s="87"/>
      <c r="AW136" s="87"/>
      <c r="AX136" s="87"/>
    </row>
    <row r="137">
      <c r="A137" s="9"/>
      <c r="B137" s="87"/>
      <c r="C137" s="87"/>
      <c r="D137" s="87"/>
      <c r="E137" s="9"/>
      <c r="F137" s="87"/>
      <c r="G137" s="87"/>
      <c r="H137" s="87"/>
      <c r="I137" s="9"/>
      <c r="J137" s="87"/>
      <c r="K137" s="87"/>
      <c r="L137" s="87"/>
      <c r="M137" s="9"/>
      <c r="N137" s="87"/>
      <c r="O137" s="87"/>
      <c r="P137" s="87"/>
      <c r="Q137" s="9"/>
      <c r="R137" s="87"/>
      <c r="S137" s="87"/>
      <c r="T137" s="87"/>
      <c r="U137" s="9"/>
      <c r="V137" s="87"/>
      <c r="W137" s="87"/>
      <c r="X137" s="87"/>
      <c r="Y137" s="87"/>
      <c r="Z137" s="87"/>
      <c r="AA137" s="87"/>
      <c r="AB137" s="87"/>
      <c r="AC137" s="243"/>
      <c r="AD137" s="234"/>
      <c r="AE137" s="234"/>
      <c r="AF137" s="234"/>
      <c r="AG137" s="9"/>
      <c r="AH137" s="87"/>
      <c r="AI137" s="87"/>
      <c r="AJ137" s="87"/>
      <c r="AK137" s="244"/>
      <c r="AL137" s="245"/>
      <c r="AM137" s="244"/>
      <c r="AN137" s="244"/>
      <c r="AO137" s="87"/>
      <c r="AP137" s="87"/>
      <c r="AQ137" s="87"/>
      <c r="AR137" s="87"/>
      <c r="AS137" s="87"/>
      <c r="AT137" s="87"/>
      <c r="AU137" s="87"/>
      <c r="AV137" s="87"/>
      <c r="AW137" s="87"/>
      <c r="AX137" s="87"/>
    </row>
    <row r="138">
      <c r="A138" s="9"/>
      <c r="B138" s="87"/>
      <c r="C138" s="87"/>
      <c r="D138" s="87"/>
      <c r="E138" s="9"/>
      <c r="F138" s="87"/>
      <c r="G138" s="87"/>
      <c r="H138" s="87"/>
      <c r="I138" s="9"/>
      <c r="J138" s="87"/>
      <c r="K138" s="87"/>
      <c r="L138" s="87"/>
      <c r="M138" s="9"/>
      <c r="N138" s="87"/>
      <c r="O138" s="87"/>
      <c r="P138" s="87"/>
      <c r="Q138" s="9"/>
      <c r="R138" s="87"/>
      <c r="S138" s="87"/>
      <c r="T138" s="87"/>
      <c r="U138" s="9"/>
      <c r="V138" s="87"/>
      <c r="W138" s="87"/>
      <c r="X138" s="87"/>
      <c r="Y138" s="87"/>
      <c r="Z138" s="87"/>
      <c r="AA138" s="87"/>
      <c r="AB138" s="87"/>
      <c r="AC138" s="243"/>
      <c r="AD138" s="234"/>
      <c r="AE138" s="234"/>
      <c r="AF138" s="234"/>
      <c r="AG138" s="9"/>
      <c r="AH138" s="87"/>
      <c r="AI138" s="87"/>
      <c r="AJ138" s="87"/>
      <c r="AK138" s="244"/>
      <c r="AL138" s="245"/>
      <c r="AM138" s="244"/>
      <c r="AN138" s="244"/>
      <c r="AO138" s="87"/>
      <c r="AP138" s="87"/>
      <c r="AQ138" s="87"/>
      <c r="AR138" s="87"/>
      <c r="AS138" s="87"/>
      <c r="AT138" s="87"/>
      <c r="AU138" s="87"/>
      <c r="AV138" s="87"/>
      <c r="AW138" s="87"/>
      <c r="AX138" s="87"/>
    </row>
    <row r="139">
      <c r="A139" s="9"/>
      <c r="B139" s="87"/>
      <c r="C139" s="87"/>
      <c r="D139" s="87"/>
      <c r="E139" s="9"/>
      <c r="F139" s="87"/>
      <c r="G139" s="87"/>
      <c r="H139" s="87"/>
      <c r="I139" s="9"/>
      <c r="J139" s="87"/>
      <c r="K139" s="87"/>
      <c r="L139" s="87"/>
      <c r="M139" s="9"/>
      <c r="N139" s="87"/>
      <c r="O139" s="87"/>
      <c r="P139" s="87"/>
      <c r="Q139" s="9"/>
      <c r="R139" s="87"/>
      <c r="S139" s="87"/>
      <c r="T139" s="87"/>
      <c r="U139" s="9"/>
      <c r="V139" s="87"/>
      <c r="W139" s="87"/>
      <c r="X139" s="87"/>
      <c r="Y139" s="87"/>
      <c r="Z139" s="87"/>
      <c r="AA139" s="87"/>
      <c r="AB139" s="87"/>
      <c r="AC139" s="243"/>
      <c r="AD139" s="234"/>
      <c r="AE139" s="234"/>
      <c r="AF139" s="234"/>
      <c r="AG139" s="9"/>
      <c r="AH139" s="87"/>
      <c r="AI139" s="87"/>
      <c r="AJ139" s="87"/>
      <c r="AK139" s="244"/>
      <c r="AL139" s="245"/>
      <c r="AM139" s="244"/>
      <c r="AN139" s="244"/>
      <c r="AO139" s="87"/>
      <c r="AP139" s="87"/>
      <c r="AQ139" s="87"/>
      <c r="AR139" s="87"/>
      <c r="AS139" s="87"/>
      <c r="AT139" s="87"/>
      <c r="AU139" s="87"/>
      <c r="AV139" s="87"/>
      <c r="AW139" s="87"/>
      <c r="AX139" s="87"/>
    </row>
    <row r="140">
      <c r="A140" s="9"/>
      <c r="B140" s="87"/>
      <c r="C140" s="87"/>
      <c r="D140" s="87"/>
      <c r="E140" s="9"/>
      <c r="F140" s="87"/>
      <c r="G140" s="87"/>
      <c r="H140" s="87"/>
      <c r="I140" s="9"/>
      <c r="J140" s="87"/>
      <c r="K140" s="87"/>
      <c r="L140" s="87"/>
      <c r="M140" s="9"/>
      <c r="N140" s="87"/>
      <c r="O140" s="87"/>
      <c r="P140" s="87"/>
      <c r="Q140" s="9"/>
      <c r="R140" s="87"/>
      <c r="S140" s="87"/>
      <c r="T140" s="87"/>
      <c r="U140" s="9"/>
      <c r="V140" s="87"/>
      <c r="W140" s="87"/>
      <c r="X140" s="87"/>
      <c r="Y140" s="87"/>
      <c r="Z140" s="87"/>
      <c r="AA140" s="87"/>
      <c r="AB140" s="87"/>
      <c r="AC140" s="243"/>
      <c r="AD140" s="234"/>
      <c r="AE140" s="234"/>
      <c r="AF140" s="234"/>
      <c r="AG140" s="9"/>
      <c r="AH140" s="87"/>
      <c r="AI140" s="87"/>
      <c r="AJ140" s="87"/>
      <c r="AK140" s="244"/>
      <c r="AL140" s="245"/>
      <c r="AM140" s="244"/>
      <c r="AN140" s="244"/>
      <c r="AO140" s="87"/>
      <c r="AP140" s="87"/>
      <c r="AQ140" s="87"/>
      <c r="AR140" s="87"/>
      <c r="AS140" s="87"/>
      <c r="AT140" s="87"/>
      <c r="AU140" s="87"/>
      <c r="AV140" s="87"/>
      <c r="AW140" s="87"/>
      <c r="AX140" s="87"/>
    </row>
    <row r="141">
      <c r="A141" s="9"/>
      <c r="B141" s="87"/>
      <c r="C141" s="87"/>
      <c r="D141" s="87"/>
      <c r="E141" s="9"/>
      <c r="F141" s="87"/>
      <c r="G141" s="87"/>
      <c r="H141" s="87"/>
      <c r="I141" s="9"/>
      <c r="J141" s="87"/>
      <c r="K141" s="87"/>
      <c r="L141" s="87"/>
      <c r="M141" s="9"/>
      <c r="N141" s="87"/>
      <c r="O141" s="87"/>
      <c r="P141" s="87"/>
      <c r="Q141" s="9"/>
      <c r="R141" s="87"/>
      <c r="S141" s="87"/>
      <c r="T141" s="87"/>
      <c r="U141" s="9"/>
      <c r="V141" s="87"/>
      <c r="W141" s="87"/>
      <c r="X141" s="87"/>
      <c r="Y141" s="87"/>
      <c r="Z141" s="87"/>
      <c r="AA141" s="87"/>
      <c r="AB141" s="87"/>
      <c r="AC141" s="243"/>
      <c r="AD141" s="234"/>
      <c r="AE141" s="234"/>
      <c r="AF141" s="234"/>
      <c r="AG141" s="9"/>
      <c r="AH141" s="87"/>
      <c r="AI141" s="87"/>
      <c r="AJ141" s="87"/>
      <c r="AK141" s="244"/>
      <c r="AL141" s="245"/>
      <c r="AM141" s="244"/>
      <c r="AN141" s="244"/>
      <c r="AO141" s="87"/>
      <c r="AP141" s="87"/>
      <c r="AQ141" s="87"/>
      <c r="AR141" s="87"/>
      <c r="AS141" s="87"/>
      <c r="AT141" s="87"/>
      <c r="AU141" s="87"/>
      <c r="AV141" s="87"/>
      <c r="AW141" s="87"/>
      <c r="AX141" s="87"/>
    </row>
    <row r="142">
      <c r="A142" s="9"/>
      <c r="B142" s="87"/>
      <c r="C142" s="87"/>
      <c r="D142" s="87"/>
      <c r="E142" s="9"/>
      <c r="F142" s="87"/>
      <c r="G142" s="87"/>
      <c r="H142" s="87"/>
      <c r="I142" s="9"/>
      <c r="J142" s="87"/>
      <c r="K142" s="87"/>
      <c r="L142" s="87"/>
      <c r="M142" s="9"/>
      <c r="N142" s="87"/>
      <c r="O142" s="87"/>
      <c r="P142" s="87"/>
      <c r="Q142" s="9"/>
      <c r="R142" s="87"/>
      <c r="S142" s="87"/>
      <c r="T142" s="87"/>
      <c r="U142" s="9"/>
      <c r="V142" s="87"/>
      <c r="W142" s="87"/>
      <c r="X142" s="87"/>
      <c r="Y142" s="87"/>
      <c r="Z142" s="87"/>
      <c r="AA142" s="87"/>
      <c r="AB142" s="87"/>
      <c r="AC142" s="243"/>
      <c r="AD142" s="234"/>
      <c r="AE142" s="234"/>
      <c r="AF142" s="234"/>
      <c r="AG142" s="9"/>
      <c r="AH142" s="87"/>
      <c r="AI142" s="87"/>
      <c r="AJ142" s="87"/>
      <c r="AK142" s="244"/>
      <c r="AL142" s="245"/>
      <c r="AM142" s="244"/>
      <c r="AN142" s="244"/>
      <c r="AO142" s="87"/>
      <c r="AP142" s="87"/>
      <c r="AQ142" s="87"/>
      <c r="AR142" s="87"/>
      <c r="AS142" s="87"/>
      <c r="AT142" s="87"/>
      <c r="AU142" s="87"/>
      <c r="AV142" s="87"/>
      <c r="AW142" s="87"/>
      <c r="AX142" s="87"/>
    </row>
    <row r="143">
      <c r="A143" s="9"/>
      <c r="B143" s="87"/>
      <c r="C143" s="87"/>
      <c r="D143" s="87"/>
      <c r="E143" s="9"/>
      <c r="F143" s="87"/>
      <c r="G143" s="87"/>
      <c r="H143" s="87"/>
      <c r="I143" s="9"/>
      <c r="J143" s="87"/>
      <c r="K143" s="87"/>
      <c r="L143" s="87"/>
      <c r="M143" s="9"/>
      <c r="N143" s="87"/>
      <c r="O143" s="87"/>
      <c r="P143" s="87"/>
      <c r="Q143" s="9"/>
      <c r="R143" s="87"/>
      <c r="S143" s="87"/>
      <c r="T143" s="87"/>
      <c r="U143" s="9"/>
      <c r="V143" s="87"/>
      <c r="W143" s="87"/>
      <c r="X143" s="87"/>
      <c r="Y143" s="87"/>
      <c r="Z143" s="87"/>
      <c r="AA143" s="87"/>
      <c r="AB143" s="87"/>
      <c r="AC143" s="243"/>
      <c r="AD143" s="234"/>
      <c r="AE143" s="234"/>
      <c r="AF143" s="234"/>
      <c r="AG143" s="9"/>
      <c r="AH143" s="87"/>
      <c r="AI143" s="87"/>
      <c r="AJ143" s="87"/>
      <c r="AK143" s="244"/>
      <c r="AL143" s="245"/>
      <c r="AM143" s="244"/>
      <c r="AN143" s="244"/>
      <c r="AO143" s="87"/>
      <c r="AP143" s="87"/>
      <c r="AQ143" s="87"/>
      <c r="AR143" s="87"/>
      <c r="AS143" s="87"/>
      <c r="AT143" s="87"/>
      <c r="AU143" s="87"/>
      <c r="AV143" s="87"/>
      <c r="AW143" s="87"/>
      <c r="AX143" s="87"/>
    </row>
    <row r="144">
      <c r="A144" s="9"/>
      <c r="B144" s="87"/>
      <c r="C144" s="87"/>
      <c r="D144" s="87"/>
      <c r="E144" s="9"/>
      <c r="F144" s="87"/>
      <c r="G144" s="87"/>
      <c r="H144" s="87"/>
      <c r="I144" s="9"/>
      <c r="J144" s="87"/>
      <c r="K144" s="87"/>
      <c r="L144" s="87"/>
      <c r="M144" s="9"/>
      <c r="N144" s="87"/>
      <c r="O144" s="87"/>
      <c r="P144" s="87"/>
      <c r="Q144" s="9"/>
      <c r="R144" s="87"/>
      <c r="S144" s="87"/>
      <c r="T144" s="87"/>
      <c r="U144" s="9"/>
      <c r="V144" s="87"/>
      <c r="W144" s="87"/>
      <c r="X144" s="87"/>
      <c r="Y144" s="87"/>
      <c r="Z144" s="87"/>
      <c r="AA144" s="87"/>
      <c r="AB144" s="87"/>
      <c r="AC144" s="243"/>
      <c r="AD144" s="234"/>
      <c r="AE144" s="234"/>
      <c r="AF144" s="234"/>
      <c r="AG144" s="9"/>
      <c r="AH144" s="87"/>
      <c r="AI144" s="87"/>
      <c r="AJ144" s="87"/>
      <c r="AK144" s="244"/>
      <c r="AL144" s="245"/>
      <c r="AM144" s="244"/>
      <c r="AN144" s="244"/>
      <c r="AO144" s="87"/>
      <c r="AP144" s="87"/>
      <c r="AQ144" s="87"/>
      <c r="AR144" s="87"/>
      <c r="AS144" s="87"/>
      <c r="AT144" s="87"/>
      <c r="AU144" s="87"/>
      <c r="AV144" s="87"/>
      <c r="AW144" s="87"/>
      <c r="AX144" s="87"/>
    </row>
    <row r="145">
      <c r="A145" s="9"/>
      <c r="B145" s="87"/>
      <c r="C145" s="87"/>
      <c r="D145" s="87"/>
      <c r="E145" s="9"/>
      <c r="F145" s="87"/>
      <c r="G145" s="87"/>
      <c r="H145" s="87"/>
      <c r="I145" s="9"/>
      <c r="J145" s="87"/>
      <c r="K145" s="87"/>
      <c r="L145" s="87"/>
      <c r="M145" s="9"/>
      <c r="N145" s="87"/>
      <c r="O145" s="87"/>
      <c r="P145" s="87"/>
      <c r="Q145" s="9"/>
      <c r="R145" s="87"/>
      <c r="S145" s="87"/>
      <c r="T145" s="87"/>
      <c r="U145" s="9"/>
      <c r="V145" s="87"/>
      <c r="W145" s="87"/>
      <c r="X145" s="87"/>
      <c r="Y145" s="87"/>
      <c r="Z145" s="87"/>
      <c r="AA145" s="87"/>
      <c r="AB145" s="87"/>
      <c r="AC145" s="243"/>
      <c r="AD145" s="234"/>
      <c r="AE145" s="234"/>
      <c r="AF145" s="234"/>
      <c r="AG145" s="9"/>
      <c r="AH145" s="87"/>
      <c r="AI145" s="87"/>
      <c r="AJ145" s="87"/>
      <c r="AK145" s="244"/>
      <c r="AL145" s="245"/>
      <c r="AM145" s="244"/>
      <c r="AN145" s="244"/>
      <c r="AO145" s="87"/>
      <c r="AP145" s="87"/>
      <c r="AQ145" s="87"/>
      <c r="AR145" s="87"/>
      <c r="AS145" s="87"/>
      <c r="AT145" s="87"/>
      <c r="AU145" s="87"/>
      <c r="AV145" s="87"/>
      <c r="AW145" s="87"/>
      <c r="AX145" s="87"/>
    </row>
    <row r="146">
      <c r="A146" s="9"/>
      <c r="B146" s="87"/>
      <c r="C146" s="87"/>
      <c r="D146" s="87"/>
      <c r="E146" s="9"/>
      <c r="F146" s="87"/>
      <c r="G146" s="87"/>
      <c r="H146" s="87"/>
      <c r="I146" s="9"/>
      <c r="J146" s="87"/>
      <c r="K146" s="87"/>
      <c r="L146" s="87"/>
      <c r="M146" s="9"/>
      <c r="N146" s="87"/>
      <c r="O146" s="87"/>
      <c r="P146" s="87"/>
      <c r="Q146" s="9"/>
      <c r="R146" s="87"/>
      <c r="S146" s="87"/>
      <c r="T146" s="87"/>
      <c r="U146" s="9"/>
      <c r="V146" s="87"/>
      <c r="W146" s="87"/>
      <c r="X146" s="87"/>
      <c r="Y146" s="87"/>
      <c r="Z146" s="87"/>
      <c r="AA146" s="87"/>
      <c r="AB146" s="87"/>
      <c r="AC146" s="243"/>
      <c r="AD146" s="234"/>
      <c r="AE146" s="234"/>
      <c r="AF146" s="234"/>
      <c r="AG146" s="9"/>
      <c r="AH146" s="87"/>
      <c r="AI146" s="87"/>
      <c r="AJ146" s="87"/>
      <c r="AK146" s="244"/>
      <c r="AL146" s="245"/>
      <c r="AM146" s="244"/>
      <c r="AN146" s="244"/>
      <c r="AO146" s="87"/>
      <c r="AP146" s="87"/>
      <c r="AQ146" s="87"/>
      <c r="AR146" s="87"/>
      <c r="AS146" s="87"/>
      <c r="AT146" s="87"/>
      <c r="AU146" s="87"/>
      <c r="AV146" s="87"/>
      <c r="AW146" s="87"/>
      <c r="AX146" s="87"/>
    </row>
    <row r="147">
      <c r="A147" s="9"/>
      <c r="B147" s="87"/>
      <c r="C147" s="87"/>
      <c r="D147" s="87"/>
      <c r="E147" s="9"/>
      <c r="F147" s="87"/>
      <c r="G147" s="87"/>
      <c r="H147" s="87"/>
      <c r="I147" s="9"/>
      <c r="J147" s="87"/>
      <c r="K147" s="87"/>
      <c r="L147" s="87"/>
      <c r="M147" s="9"/>
      <c r="N147" s="87"/>
      <c r="O147" s="87"/>
      <c r="P147" s="87"/>
      <c r="Q147" s="9"/>
      <c r="R147" s="87"/>
      <c r="S147" s="87"/>
      <c r="T147" s="87"/>
      <c r="U147" s="9"/>
      <c r="V147" s="87"/>
      <c r="W147" s="87"/>
      <c r="X147" s="87"/>
      <c r="Y147" s="87"/>
      <c r="Z147" s="87"/>
      <c r="AA147" s="87"/>
      <c r="AB147" s="87"/>
      <c r="AC147" s="243"/>
      <c r="AD147" s="234"/>
      <c r="AE147" s="234"/>
      <c r="AF147" s="234"/>
      <c r="AG147" s="9"/>
      <c r="AH147" s="87"/>
      <c r="AI147" s="87"/>
      <c r="AJ147" s="87"/>
      <c r="AK147" s="244"/>
      <c r="AL147" s="245"/>
      <c r="AM147" s="244"/>
      <c r="AN147" s="244"/>
      <c r="AO147" s="87"/>
      <c r="AP147" s="87"/>
      <c r="AQ147" s="87"/>
      <c r="AR147" s="87"/>
      <c r="AS147" s="87"/>
      <c r="AT147" s="87"/>
      <c r="AU147" s="87"/>
      <c r="AV147" s="87"/>
      <c r="AW147" s="87"/>
      <c r="AX147" s="87"/>
    </row>
    <row r="148">
      <c r="A148" s="9"/>
      <c r="B148" s="87"/>
      <c r="C148" s="87"/>
      <c r="D148" s="87"/>
      <c r="E148" s="9"/>
      <c r="F148" s="87"/>
      <c r="G148" s="87"/>
      <c r="H148" s="87"/>
      <c r="I148" s="9"/>
      <c r="J148" s="87"/>
      <c r="K148" s="87"/>
      <c r="L148" s="87"/>
      <c r="M148" s="9"/>
      <c r="N148" s="87"/>
      <c r="O148" s="87"/>
      <c r="P148" s="87"/>
      <c r="Q148" s="9"/>
      <c r="R148" s="87"/>
      <c r="S148" s="87"/>
      <c r="T148" s="87"/>
      <c r="U148" s="9"/>
      <c r="V148" s="87"/>
      <c r="W148" s="87"/>
      <c r="X148" s="87"/>
      <c r="Y148" s="87"/>
      <c r="Z148" s="87"/>
      <c r="AA148" s="87"/>
      <c r="AB148" s="87"/>
      <c r="AC148" s="243"/>
      <c r="AD148" s="234"/>
      <c r="AE148" s="234"/>
      <c r="AF148" s="234"/>
      <c r="AG148" s="9"/>
      <c r="AH148" s="87"/>
      <c r="AI148" s="87"/>
      <c r="AJ148" s="87"/>
      <c r="AK148" s="244"/>
      <c r="AL148" s="245"/>
      <c r="AM148" s="244"/>
      <c r="AN148" s="244"/>
      <c r="AO148" s="87"/>
      <c r="AP148" s="87"/>
      <c r="AQ148" s="87"/>
      <c r="AR148" s="87"/>
      <c r="AS148" s="87"/>
      <c r="AT148" s="87"/>
      <c r="AU148" s="87"/>
      <c r="AV148" s="87"/>
      <c r="AW148" s="87"/>
      <c r="AX148" s="87"/>
    </row>
    <row r="149">
      <c r="A149" s="9"/>
      <c r="B149" s="87"/>
      <c r="C149" s="87"/>
      <c r="D149" s="87"/>
      <c r="E149" s="9"/>
      <c r="F149" s="87"/>
      <c r="G149" s="87"/>
      <c r="H149" s="87"/>
      <c r="I149" s="9"/>
      <c r="J149" s="87"/>
      <c r="K149" s="87"/>
      <c r="L149" s="87"/>
      <c r="M149" s="9"/>
      <c r="N149" s="87"/>
      <c r="O149" s="87"/>
      <c r="P149" s="87"/>
      <c r="Q149" s="9"/>
      <c r="R149" s="87"/>
      <c r="S149" s="87"/>
      <c r="T149" s="87"/>
      <c r="U149" s="9"/>
      <c r="V149" s="87"/>
      <c r="W149" s="87"/>
      <c r="X149" s="87"/>
      <c r="Y149" s="87"/>
      <c r="Z149" s="87"/>
      <c r="AA149" s="87"/>
      <c r="AB149" s="87"/>
      <c r="AC149" s="243"/>
      <c r="AD149" s="234"/>
      <c r="AE149" s="234"/>
      <c r="AF149" s="234"/>
      <c r="AG149" s="9"/>
      <c r="AH149" s="87"/>
      <c r="AI149" s="87"/>
      <c r="AJ149" s="87"/>
      <c r="AK149" s="244"/>
      <c r="AL149" s="245"/>
      <c r="AM149" s="244"/>
      <c r="AN149" s="244"/>
      <c r="AO149" s="87"/>
      <c r="AP149" s="87"/>
      <c r="AQ149" s="87"/>
      <c r="AR149" s="87"/>
      <c r="AS149" s="87"/>
      <c r="AT149" s="87"/>
      <c r="AU149" s="87"/>
      <c r="AV149" s="87"/>
      <c r="AW149" s="87"/>
      <c r="AX149" s="87"/>
    </row>
    <row r="150">
      <c r="A150" s="9"/>
      <c r="B150" s="87"/>
      <c r="C150" s="87"/>
      <c r="D150" s="87"/>
      <c r="E150" s="9"/>
      <c r="F150" s="87"/>
      <c r="G150" s="87"/>
      <c r="H150" s="87"/>
      <c r="I150" s="9"/>
      <c r="J150" s="87"/>
      <c r="K150" s="87"/>
      <c r="L150" s="87"/>
      <c r="M150" s="9"/>
      <c r="N150" s="87"/>
      <c r="O150" s="87"/>
      <c r="P150" s="87"/>
      <c r="Q150" s="9"/>
      <c r="R150" s="87"/>
      <c r="S150" s="87"/>
      <c r="T150" s="87"/>
      <c r="U150" s="9"/>
      <c r="V150" s="87"/>
      <c r="W150" s="87"/>
      <c r="X150" s="87"/>
      <c r="Y150" s="87"/>
      <c r="Z150" s="87"/>
      <c r="AA150" s="87"/>
      <c r="AB150" s="87"/>
      <c r="AC150" s="243"/>
      <c r="AD150" s="234"/>
      <c r="AE150" s="234"/>
      <c r="AF150" s="234"/>
      <c r="AG150" s="9"/>
      <c r="AH150" s="87"/>
      <c r="AI150" s="87"/>
      <c r="AJ150" s="87"/>
      <c r="AK150" s="244"/>
      <c r="AL150" s="245"/>
      <c r="AM150" s="244"/>
      <c r="AN150" s="244"/>
      <c r="AO150" s="87"/>
      <c r="AP150" s="87"/>
      <c r="AQ150" s="87"/>
      <c r="AR150" s="87"/>
      <c r="AS150" s="87"/>
      <c r="AT150" s="87"/>
      <c r="AU150" s="87"/>
      <c r="AV150" s="87"/>
      <c r="AW150" s="87"/>
      <c r="AX150" s="87"/>
    </row>
    <row r="151">
      <c r="A151" s="9"/>
      <c r="B151" s="87"/>
      <c r="C151" s="87"/>
      <c r="D151" s="87"/>
      <c r="E151" s="9"/>
      <c r="F151" s="87"/>
      <c r="G151" s="87"/>
      <c r="H151" s="87"/>
      <c r="I151" s="9"/>
      <c r="J151" s="87"/>
      <c r="K151" s="87"/>
      <c r="L151" s="87"/>
      <c r="M151" s="9"/>
      <c r="N151" s="87"/>
      <c r="O151" s="87"/>
      <c r="P151" s="87"/>
      <c r="Q151" s="9"/>
      <c r="R151" s="87"/>
      <c r="S151" s="87"/>
      <c r="T151" s="87"/>
      <c r="U151" s="9"/>
      <c r="V151" s="87"/>
      <c r="W151" s="87"/>
      <c r="X151" s="87"/>
      <c r="Y151" s="87"/>
      <c r="Z151" s="87"/>
      <c r="AA151" s="87"/>
      <c r="AB151" s="87"/>
      <c r="AC151" s="243"/>
      <c r="AD151" s="234"/>
      <c r="AE151" s="234"/>
      <c r="AF151" s="234"/>
      <c r="AG151" s="9"/>
      <c r="AH151" s="87"/>
      <c r="AI151" s="87"/>
      <c r="AJ151" s="87"/>
      <c r="AK151" s="244"/>
      <c r="AL151" s="245"/>
      <c r="AM151" s="244"/>
      <c r="AN151" s="244"/>
      <c r="AO151" s="87"/>
      <c r="AP151" s="87"/>
      <c r="AQ151" s="87"/>
      <c r="AR151" s="87"/>
      <c r="AS151" s="87"/>
      <c r="AT151" s="87"/>
      <c r="AU151" s="87"/>
      <c r="AV151" s="87"/>
      <c r="AW151" s="87"/>
      <c r="AX151" s="87"/>
    </row>
    <row r="152">
      <c r="A152" s="9"/>
      <c r="B152" s="87"/>
      <c r="C152" s="87"/>
      <c r="D152" s="87"/>
      <c r="E152" s="9"/>
      <c r="F152" s="87"/>
      <c r="G152" s="87"/>
      <c r="H152" s="87"/>
      <c r="I152" s="9"/>
      <c r="J152" s="87"/>
      <c r="K152" s="87"/>
      <c r="L152" s="87"/>
      <c r="M152" s="9"/>
      <c r="N152" s="87"/>
      <c r="O152" s="87"/>
      <c r="P152" s="87"/>
      <c r="Q152" s="9"/>
      <c r="R152" s="87"/>
      <c r="S152" s="87"/>
      <c r="T152" s="87"/>
      <c r="U152" s="9"/>
      <c r="V152" s="87"/>
      <c r="W152" s="87"/>
      <c r="X152" s="87"/>
      <c r="Y152" s="87"/>
      <c r="Z152" s="87"/>
      <c r="AA152" s="87"/>
      <c r="AB152" s="87"/>
      <c r="AC152" s="243"/>
      <c r="AD152" s="234"/>
      <c r="AE152" s="234"/>
      <c r="AF152" s="234"/>
      <c r="AG152" s="9"/>
      <c r="AH152" s="87"/>
      <c r="AI152" s="87"/>
      <c r="AJ152" s="87"/>
      <c r="AK152" s="244"/>
      <c r="AL152" s="245"/>
      <c r="AM152" s="244"/>
      <c r="AN152" s="244"/>
      <c r="AO152" s="87"/>
      <c r="AP152" s="87"/>
      <c r="AQ152" s="87"/>
      <c r="AR152" s="87"/>
      <c r="AS152" s="87"/>
      <c r="AT152" s="87"/>
      <c r="AU152" s="87"/>
      <c r="AV152" s="87"/>
      <c r="AW152" s="87"/>
      <c r="AX152" s="87"/>
    </row>
    <row r="153">
      <c r="A153" s="9"/>
      <c r="B153" s="87"/>
      <c r="C153" s="87"/>
      <c r="D153" s="87"/>
      <c r="E153" s="9"/>
      <c r="F153" s="87"/>
      <c r="G153" s="87"/>
      <c r="H153" s="87"/>
      <c r="I153" s="9"/>
      <c r="J153" s="87"/>
      <c r="K153" s="87"/>
      <c r="L153" s="87"/>
      <c r="M153" s="9"/>
      <c r="N153" s="87"/>
      <c r="O153" s="87"/>
      <c r="P153" s="87"/>
      <c r="Q153" s="9"/>
      <c r="R153" s="87"/>
      <c r="S153" s="87"/>
      <c r="T153" s="87"/>
      <c r="U153" s="9"/>
      <c r="V153" s="87"/>
      <c r="W153" s="87"/>
      <c r="X153" s="87"/>
      <c r="Y153" s="87"/>
      <c r="Z153" s="87"/>
      <c r="AA153" s="87"/>
      <c r="AB153" s="87"/>
      <c r="AC153" s="243"/>
      <c r="AD153" s="234"/>
      <c r="AE153" s="234"/>
      <c r="AF153" s="234"/>
      <c r="AG153" s="9"/>
      <c r="AH153" s="87"/>
      <c r="AI153" s="87"/>
      <c r="AJ153" s="87"/>
      <c r="AK153" s="244"/>
      <c r="AL153" s="245"/>
      <c r="AM153" s="244"/>
      <c r="AN153" s="244"/>
      <c r="AO153" s="87"/>
      <c r="AP153" s="87"/>
      <c r="AQ153" s="87"/>
      <c r="AR153" s="87"/>
      <c r="AS153" s="87"/>
      <c r="AT153" s="87"/>
      <c r="AU153" s="87"/>
      <c r="AV153" s="87"/>
      <c r="AW153" s="87"/>
      <c r="AX153" s="87"/>
    </row>
    <row r="154">
      <c r="A154" s="9"/>
      <c r="B154" s="87"/>
      <c r="C154" s="87"/>
      <c r="D154" s="87"/>
      <c r="E154" s="9"/>
      <c r="F154" s="87"/>
      <c r="G154" s="87"/>
      <c r="H154" s="87"/>
      <c r="I154" s="9"/>
      <c r="J154" s="87"/>
      <c r="K154" s="87"/>
      <c r="L154" s="87"/>
      <c r="M154" s="9"/>
      <c r="N154" s="87"/>
      <c r="O154" s="87"/>
      <c r="P154" s="87"/>
      <c r="Q154" s="9"/>
      <c r="R154" s="87"/>
      <c r="S154" s="87"/>
      <c r="T154" s="87"/>
      <c r="U154" s="9"/>
      <c r="V154" s="87"/>
      <c r="W154" s="87"/>
      <c r="X154" s="87"/>
      <c r="Y154" s="87"/>
      <c r="Z154" s="87"/>
      <c r="AA154" s="87"/>
      <c r="AB154" s="87"/>
      <c r="AC154" s="243"/>
      <c r="AD154" s="234"/>
      <c r="AE154" s="234"/>
      <c r="AF154" s="234"/>
      <c r="AG154" s="9"/>
      <c r="AH154" s="87"/>
      <c r="AI154" s="87"/>
      <c r="AJ154" s="87"/>
      <c r="AK154" s="244"/>
      <c r="AL154" s="245"/>
      <c r="AM154" s="244"/>
      <c r="AN154" s="244"/>
      <c r="AO154" s="87"/>
      <c r="AP154" s="87"/>
      <c r="AQ154" s="87"/>
      <c r="AR154" s="87"/>
      <c r="AS154" s="87"/>
      <c r="AT154" s="87"/>
      <c r="AU154" s="87"/>
      <c r="AV154" s="87"/>
      <c r="AW154" s="87"/>
      <c r="AX154" s="87"/>
    </row>
    <row r="155">
      <c r="A155" s="9"/>
      <c r="B155" s="87"/>
      <c r="C155" s="87"/>
      <c r="D155" s="87"/>
      <c r="E155" s="9"/>
      <c r="F155" s="87"/>
      <c r="G155" s="87"/>
      <c r="H155" s="87"/>
      <c r="I155" s="9"/>
      <c r="J155" s="87"/>
      <c r="K155" s="87"/>
      <c r="L155" s="87"/>
      <c r="M155" s="9"/>
      <c r="N155" s="87"/>
      <c r="O155" s="87"/>
      <c r="P155" s="87"/>
      <c r="Q155" s="9"/>
      <c r="R155" s="87"/>
      <c r="S155" s="87"/>
      <c r="T155" s="87"/>
      <c r="U155" s="9"/>
      <c r="V155" s="87"/>
      <c r="W155" s="87"/>
      <c r="X155" s="87"/>
      <c r="Y155" s="87"/>
      <c r="Z155" s="87"/>
      <c r="AA155" s="87"/>
      <c r="AB155" s="87"/>
      <c r="AC155" s="243"/>
      <c r="AD155" s="234"/>
      <c r="AE155" s="234"/>
      <c r="AF155" s="234"/>
      <c r="AG155" s="9"/>
      <c r="AH155" s="87"/>
      <c r="AI155" s="87"/>
      <c r="AJ155" s="87"/>
      <c r="AK155" s="244"/>
      <c r="AL155" s="245"/>
      <c r="AM155" s="244"/>
      <c r="AN155" s="244"/>
      <c r="AO155" s="87"/>
      <c r="AP155" s="87"/>
      <c r="AQ155" s="87"/>
      <c r="AR155" s="87"/>
      <c r="AS155" s="87"/>
      <c r="AT155" s="87"/>
      <c r="AU155" s="87"/>
      <c r="AV155" s="87"/>
      <c r="AW155" s="87"/>
      <c r="AX155" s="87"/>
    </row>
    <row r="156">
      <c r="A156" s="9"/>
      <c r="B156" s="87"/>
      <c r="C156" s="87"/>
      <c r="D156" s="87"/>
      <c r="E156" s="9"/>
      <c r="F156" s="87"/>
      <c r="G156" s="87"/>
      <c r="H156" s="87"/>
      <c r="I156" s="9"/>
      <c r="J156" s="87"/>
      <c r="K156" s="87"/>
      <c r="L156" s="87"/>
      <c r="M156" s="9"/>
      <c r="N156" s="87"/>
      <c r="O156" s="87"/>
      <c r="P156" s="87"/>
      <c r="Q156" s="9"/>
      <c r="R156" s="87"/>
      <c r="S156" s="87"/>
      <c r="T156" s="87"/>
      <c r="U156" s="9"/>
      <c r="V156" s="87"/>
      <c r="W156" s="87"/>
      <c r="X156" s="87"/>
      <c r="Y156" s="87"/>
      <c r="Z156" s="87"/>
      <c r="AA156" s="87"/>
      <c r="AB156" s="87"/>
      <c r="AC156" s="243"/>
      <c r="AD156" s="234"/>
      <c r="AE156" s="234"/>
      <c r="AF156" s="234"/>
      <c r="AG156" s="9"/>
      <c r="AH156" s="87"/>
      <c r="AI156" s="87"/>
      <c r="AJ156" s="87"/>
      <c r="AK156" s="244"/>
      <c r="AL156" s="245"/>
      <c r="AM156" s="244"/>
      <c r="AN156" s="244"/>
      <c r="AO156" s="87"/>
      <c r="AP156" s="87"/>
      <c r="AQ156" s="87"/>
      <c r="AR156" s="87"/>
      <c r="AS156" s="87"/>
      <c r="AT156" s="87"/>
      <c r="AU156" s="87"/>
      <c r="AV156" s="87"/>
      <c r="AW156" s="87"/>
      <c r="AX156" s="87"/>
    </row>
    <row r="157">
      <c r="A157" s="9"/>
      <c r="B157" s="87"/>
      <c r="C157" s="87"/>
      <c r="D157" s="87"/>
      <c r="E157" s="9"/>
      <c r="F157" s="87"/>
      <c r="G157" s="87"/>
      <c r="H157" s="87"/>
      <c r="I157" s="9"/>
      <c r="J157" s="87"/>
      <c r="K157" s="87"/>
      <c r="L157" s="87"/>
      <c r="M157" s="9"/>
      <c r="N157" s="87"/>
      <c r="O157" s="87"/>
      <c r="P157" s="87"/>
      <c r="Q157" s="9"/>
      <c r="R157" s="87"/>
      <c r="S157" s="87"/>
      <c r="T157" s="87"/>
      <c r="U157" s="9"/>
      <c r="V157" s="87"/>
      <c r="W157" s="87"/>
      <c r="X157" s="87"/>
      <c r="Y157" s="87"/>
      <c r="Z157" s="87"/>
      <c r="AA157" s="87"/>
      <c r="AB157" s="87"/>
      <c r="AC157" s="243"/>
      <c r="AD157" s="234"/>
      <c r="AE157" s="234"/>
      <c r="AF157" s="234"/>
      <c r="AG157" s="9"/>
      <c r="AH157" s="87"/>
      <c r="AI157" s="87"/>
      <c r="AJ157" s="87"/>
      <c r="AK157" s="244"/>
      <c r="AL157" s="245"/>
      <c r="AM157" s="244"/>
      <c r="AN157" s="244"/>
      <c r="AO157" s="87"/>
      <c r="AP157" s="87"/>
      <c r="AQ157" s="87"/>
      <c r="AR157" s="87"/>
      <c r="AS157" s="87"/>
      <c r="AT157" s="87"/>
      <c r="AU157" s="87"/>
      <c r="AV157" s="87"/>
      <c r="AW157" s="87"/>
      <c r="AX157" s="87"/>
    </row>
    <row r="158">
      <c r="A158" s="9"/>
      <c r="B158" s="87"/>
      <c r="C158" s="87"/>
      <c r="D158" s="87"/>
      <c r="E158" s="9"/>
      <c r="F158" s="87"/>
      <c r="G158" s="87"/>
      <c r="H158" s="87"/>
      <c r="I158" s="9"/>
      <c r="J158" s="87"/>
      <c r="K158" s="87"/>
      <c r="L158" s="87"/>
      <c r="M158" s="9"/>
      <c r="N158" s="87"/>
      <c r="O158" s="87"/>
      <c r="P158" s="87"/>
      <c r="Q158" s="9"/>
      <c r="R158" s="87"/>
      <c r="S158" s="87"/>
      <c r="T158" s="87"/>
      <c r="U158" s="9"/>
      <c r="V158" s="87"/>
      <c r="W158" s="87"/>
      <c r="X158" s="87"/>
      <c r="Y158" s="87"/>
      <c r="Z158" s="87"/>
      <c r="AA158" s="87"/>
      <c r="AB158" s="87"/>
      <c r="AC158" s="243"/>
      <c r="AD158" s="234"/>
      <c r="AE158" s="234"/>
      <c r="AF158" s="234"/>
      <c r="AG158" s="9"/>
      <c r="AH158" s="87"/>
      <c r="AI158" s="87"/>
      <c r="AJ158" s="87"/>
      <c r="AK158" s="244"/>
      <c r="AL158" s="245"/>
      <c r="AM158" s="244"/>
      <c r="AN158" s="244"/>
      <c r="AO158" s="87"/>
      <c r="AP158" s="87"/>
      <c r="AQ158" s="87"/>
      <c r="AR158" s="87"/>
      <c r="AS158" s="87"/>
      <c r="AT158" s="87"/>
      <c r="AU158" s="87"/>
      <c r="AV158" s="87"/>
      <c r="AW158" s="87"/>
      <c r="AX158" s="87"/>
    </row>
    <row r="159">
      <c r="A159" s="9"/>
      <c r="B159" s="87"/>
      <c r="C159" s="87"/>
      <c r="D159" s="87"/>
      <c r="E159" s="9"/>
      <c r="F159" s="87"/>
      <c r="G159" s="87"/>
      <c r="H159" s="87"/>
      <c r="I159" s="9"/>
      <c r="J159" s="87"/>
      <c r="K159" s="87"/>
      <c r="L159" s="87"/>
      <c r="M159" s="9"/>
      <c r="N159" s="87"/>
      <c r="O159" s="87"/>
      <c r="P159" s="87"/>
      <c r="Q159" s="9"/>
      <c r="R159" s="87"/>
      <c r="S159" s="87"/>
      <c r="T159" s="87"/>
      <c r="U159" s="9"/>
      <c r="V159" s="87"/>
      <c r="W159" s="87"/>
      <c r="X159" s="87"/>
      <c r="Y159" s="87"/>
      <c r="Z159" s="87"/>
      <c r="AA159" s="87"/>
      <c r="AB159" s="87"/>
      <c r="AC159" s="243"/>
      <c r="AD159" s="234"/>
      <c r="AE159" s="234"/>
      <c r="AF159" s="234"/>
      <c r="AG159" s="9"/>
      <c r="AH159" s="87"/>
      <c r="AI159" s="87"/>
      <c r="AJ159" s="87"/>
      <c r="AK159" s="244"/>
      <c r="AL159" s="245"/>
      <c r="AM159" s="244"/>
      <c r="AN159" s="244"/>
      <c r="AO159" s="87"/>
      <c r="AP159" s="87"/>
      <c r="AQ159" s="87"/>
      <c r="AR159" s="87"/>
      <c r="AS159" s="87"/>
      <c r="AT159" s="87"/>
      <c r="AU159" s="87"/>
      <c r="AV159" s="87"/>
      <c r="AW159" s="87"/>
      <c r="AX159" s="87"/>
    </row>
    <row r="160">
      <c r="A160" s="9"/>
      <c r="B160" s="87"/>
      <c r="C160" s="87"/>
      <c r="D160" s="87"/>
      <c r="E160" s="9"/>
      <c r="F160" s="87"/>
      <c r="G160" s="87"/>
      <c r="H160" s="87"/>
      <c r="I160" s="9"/>
      <c r="J160" s="87"/>
      <c r="K160" s="87"/>
      <c r="L160" s="87"/>
      <c r="M160" s="9"/>
      <c r="N160" s="87"/>
      <c r="O160" s="87"/>
      <c r="P160" s="87"/>
      <c r="Q160" s="9"/>
      <c r="R160" s="87"/>
      <c r="S160" s="87"/>
      <c r="T160" s="87"/>
      <c r="U160" s="9"/>
      <c r="V160" s="87"/>
      <c r="W160" s="87"/>
      <c r="X160" s="87"/>
      <c r="Y160" s="87"/>
      <c r="Z160" s="87"/>
      <c r="AA160" s="87"/>
      <c r="AB160" s="87"/>
      <c r="AC160" s="243"/>
      <c r="AD160" s="234"/>
      <c r="AE160" s="234"/>
      <c r="AF160" s="234"/>
      <c r="AG160" s="9"/>
      <c r="AH160" s="87"/>
      <c r="AI160" s="87"/>
      <c r="AJ160" s="87"/>
      <c r="AK160" s="244"/>
      <c r="AL160" s="245"/>
      <c r="AM160" s="244"/>
      <c r="AN160" s="244"/>
      <c r="AO160" s="87"/>
      <c r="AP160" s="87"/>
      <c r="AQ160" s="87"/>
      <c r="AR160" s="87"/>
      <c r="AS160" s="87"/>
      <c r="AT160" s="87"/>
      <c r="AU160" s="87"/>
      <c r="AV160" s="87"/>
      <c r="AW160" s="87"/>
      <c r="AX160" s="87"/>
    </row>
    <row r="161">
      <c r="A161" s="9"/>
      <c r="B161" s="87"/>
      <c r="C161" s="87"/>
      <c r="D161" s="87"/>
      <c r="E161" s="9"/>
      <c r="F161" s="87"/>
      <c r="G161" s="87"/>
      <c r="H161" s="87"/>
      <c r="I161" s="9"/>
      <c r="J161" s="87"/>
      <c r="K161" s="87"/>
      <c r="L161" s="87"/>
      <c r="M161" s="9"/>
      <c r="N161" s="87"/>
      <c r="O161" s="87"/>
      <c r="P161" s="87"/>
      <c r="Q161" s="9"/>
      <c r="R161" s="87"/>
      <c r="S161" s="87"/>
      <c r="T161" s="87"/>
      <c r="U161" s="9"/>
      <c r="V161" s="87"/>
      <c r="W161" s="87"/>
      <c r="X161" s="87"/>
      <c r="Y161" s="87"/>
      <c r="Z161" s="87"/>
      <c r="AA161" s="87"/>
      <c r="AB161" s="87"/>
      <c r="AC161" s="243"/>
      <c r="AD161" s="234"/>
      <c r="AE161" s="234"/>
      <c r="AF161" s="234"/>
      <c r="AG161" s="9"/>
      <c r="AH161" s="87"/>
      <c r="AI161" s="87"/>
      <c r="AJ161" s="87"/>
      <c r="AK161" s="244"/>
      <c r="AL161" s="245"/>
      <c r="AM161" s="244"/>
      <c r="AN161" s="244"/>
      <c r="AO161" s="87"/>
      <c r="AP161" s="87"/>
      <c r="AQ161" s="87"/>
      <c r="AR161" s="87"/>
      <c r="AS161" s="87"/>
      <c r="AT161" s="87"/>
      <c r="AU161" s="87"/>
      <c r="AV161" s="87"/>
      <c r="AW161" s="87"/>
      <c r="AX161" s="87"/>
    </row>
    <row r="162">
      <c r="A162" s="9"/>
      <c r="B162" s="87"/>
      <c r="C162" s="87"/>
      <c r="D162" s="87"/>
      <c r="E162" s="9"/>
      <c r="F162" s="87"/>
      <c r="G162" s="87"/>
      <c r="H162" s="87"/>
      <c r="I162" s="9"/>
      <c r="J162" s="87"/>
      <c r="K162" s="87"/>
      <c r="L162" s="87"/>
      <c r="M162" s="9"/>
      <c r="N162" s="87"/>
      <c r="O162" s="87"/>
      <c r="P162" s="87"/>
      <c r="Q162" s="9"/>
      <c r="R162" s="87"/>
      <c r="S162" s="87"/>
      <c r="T162" s="87"/>
      <c r="U162" s="9"/>
      <c r="V162" s="87"/>
      <c r="W162" s="87"/>
      <c r="X162" s="87"/>
      <c r="Y162" s="87"/>
      <c r="Z162" s="87"/>
      <c r="AA162" s="87"/>
      <c r="AB162" s="87"/>
      <c r="AC162" s="243"/>
      <c r="AD162" s="234"/>
      <c r="AE162" s="234"/>
      <c r="AF162" s="234"/>
      <c r="AG162" s="9"/>
      <c r="AH162" s="87"/>
      <c r="AI162" s="87"/>
      <c r="AJ162" s="87"/>
      <c r="AK162" s="244"/>
      <c r="AL162" s="245"/>
      <c r="AM162" s="244"/>
      <c r="AN162" s="244"/>
      <c r="AO162" s="87"/>
      <c r="AP162" s="87"/>
      <c r="AQ162" s="87"/>
      <c r="AR162" s="87"/>
      <c r="AS162" s="87"/>
      <c r="AT162" s="87"/>
      <c r="AU162" s="87"/>
      <c r="AV162" s="87"/>
      <c r="AW162" s="87"/>
      <c r="AX162" s="87"/>
    </row>
    <row r="163">
      <c r="A163" s="9"/>
      <c r="B163" s="87"/>
      <c r="C163" s="87"/>
      <c r="D163" s="87"/>
      <c r="E163" s="9"/>
      <c r="F163" s="87"/>
      <c r="G163" s="87"/>
      <c r="H163" s="87"/>
      <c r="I163" s="9"/>
      <c r="J163" s="87"/>
      <c r="K163" s="87"/>
      <c r="L163" s="87"/>
      <c r="M163" s="9"/>
      <c r="N163" s="87"/>
      <c r="O163" s="87"/>
      <c r="P163" s="87"/>
      <c r="Q163" s="9"/>
      <c r="R163" s="87"/>
      <c r="S163" s="87"/>
      <c r="T163" s="87"/>
      <c r="U163" s="9"/>
      <c r="V163" s="87"/>
      <c r="W163" s="87"/>
      <c r="X163" s="87"/>
      <c r="Y163" s="87"/>
      <c r="Z163" s="87"/>
      <c r="AA163" s="87"/>
      <c r="AB163" s="87"/>
      <c r="AC163" s="243"/>
      <c r="AD163" s="234"/>
      <c r="AE163" s="234"/>
      <c r="AF163" s="234"/>
      <c r="AG163" s="9"/>
      <c r="AH163" s="87"/>
      <c r="AI163" s="87"/>
      <c r="AJ163" s="87"/>
      <c r="AK163" s="244"/>
      <c r="AL163" s="245"/>
      <c r="AM163" s="244"/>
      <c r="AN163" s="244"/>
      <c r="AO163" s="87"/>
      <c r="AP163" s="87"/>
      <c r="AQ163" s="87"/>
      <c r="AR163" s="87"/>
      <c r="AS163" s="87"/>
      <c r="AT163" s="87"/>
      <c r="AU163" s="87"/>
      <c r="AV163" s="87"/>
      <c r="AW163" s="87"/>
      <c r="AX163" s="87"/>
    </row>
    <row r="164">
      <c r="A164" s="9"/>
      <c r="B164" s="87"/>
      <c r="C164" s="87"/>
      <c r="D164" s="87"/>
      <c r="E164" s="9"/>
      <c r="F164" s="87"/>
      <c r="G164" s="87"/>
      <c r="H164" s="87"/>
      <c r="I164" s="9"/>
      <c r="J164" s="87"/>
      <c r="K164" s="87"/>
      <c r="L164" s="87"/>
      <c r="M164" s="9"/>
      <c r="N164" s="87"/>
      <c r="O164" s="87"/>
      <c r="P164" s="87"/>
      <c r="Q164" s="9"/>
      <c r="R164" s="87"/>
      <c r="S164" s="87"/>
      <c r="T164" s="87"/>
      <c r="U164" s="9"/>
      <c r="V164" s="87"/>
      <c r="W164" s="87"/>
      <c r="X164" s="87"/>
      <c r="Y164" s="87"/>
      <c r="Z164" s="87"/>
      <c r="AA164" s="87"/>
      <c r="AB164" s="87"/>
      <c r="AC164" s="243"/>
      <c r="AD164" s="234"/>
      <c r="AE164" s="234"/>
      <c r="AF164" s="234"/>
      <c r="AG164" s="9"/>
      <c r="AH164" s="87"/>
      <c r="AI164" s="87"/>
      <c r="AJ164" s="87"/>
      <c r="AK164" s="244"/>
      <c r="AL164" s="245"/>
      <c r="AM164" s="244"/>
      <c r="AN164" s="244"/>
      <c r="AO164" s="87"/>
      <c r="AP164" s="87"/>
      <c r="AQ164" s="87"/>
      <c r="AR164" s="87"/>
      <c r="AS164" s="87"/>
      <c r="AT164" s="87"/>
      <c r="AU164" s="87"/>
      <c r="AV164" s="87"/>
      <c r="AW164" s="87"/>
      <c r="AX164" s="87"/>
    </row>
    <row r="165">
      <c r="A165" s="9"/>
      <c r="B165" s="87"/>
      <c r="C165" s="87"/>
      <c r="D165" s="87"/>
      <c r="E165" s="9"/>
      <c r="F165" s="87"/>
      <c r="G165" s="87"/>
      <c r="H165" s="87"/>
      <c r="I165" s="9"/>
      <c r="J165" s="87"/>
      <c r="K165" s="87"/>
      <c r="L165" s="87"/>
      <c r="M165" s="9"/>
      <c r="N165" s="87"/>
      <c r="O165" s="87"/>
      <c r="P165" s="87"/>
      <c r="Q165" s="9"/>
      <c r="R165" s="87"/>
      <c r="S165" s="87"/>
      <c r="T165" s="87"/>
      <c r="U165" s="9"/>
      <c r="V165" s="87"/>
      <c r="W165" s="87"/>
      <c r="X165" s="87"/>
      <c r="Y165" s="87"/>
      <c r="Z165" s="87"/>
      <c r="AA165" s="87"/>
      <c r="AB165" s="87"/>
      <c r="AC165" s="243"/>
      <c r="AD165" s="234"/>
      <c r="AE165" s="234"/>
      <c r="AF165" s="234"/>
      <c r="AG165" s="9"/>
      <c r="AH165" s="87"/>
      <c r="AI165" s="87"/>
      <c r="AJ165" s="87"/>
      <c r="AK165" s="244"/>
      <c r="AL165" s="245"/>
      <c r="AM165" s="244"/>
      <c r="AN165" s="244"/>
      <c r="AO165" s="87"/>
      <c r="AP165" s="87"/>
      <c r="AQ165" s="87"/>
      <c r="AR165" s="87"/>
      <c r="AS165" s="87"/>
      <c r="AT165" s="87"/>
      <c r="AU165" s="87"/>
      <c r="AV165" s="87"/>
      <c r="AW165" s="87"/>
      <c r="AX165" s="87"/>
    </row>
    <row r="166">
      <c r="A166" s="9"/>
      <c r="B166" s="87"/>
      <c r="C166" s="87"/>
      <c r="D166" s="87"/>
      <c r="E166" s="9"/>
      <c r="F166" s="87"/>
      <c r="G166" s="87"/>
      <c r="H166" s="87"/>
      <c r="I166" s="9"/>
      <c r="J166" s="87"/>
      <c r="K166" s="87"/>
      <c r="L166" s="87"/>
      <c r="M166" s="9"/>
      <c r="N166" s="87"/>
      <c r="O166" s="87"/>
      <c r="P166" s="87"/>
      <c r="Q166" s="9"/>
      <c r="R166" s="87"/>
      <c r="S166" s="87"/>
      <c r="T166" s="87"/>
      <c r="U166" s="9"/>
      <c r="V166" s="87"/>
      <c r="W166" s="87"/>
      <c r="X166" s="87"/>
      <c r="Y166" s="87"/>
      <c r="Z166" s="87"/>
      <c r="AA166" s="87"/>
      <c r="AB166" s="87"/>
      <c r="AC166" s="243"/>
      <c r="AD166" s="234"/>
      <c r="AE166" s="234"/>
      <c r="AF166" s="234"/>
      <c r="AG166" s="9"/>
      <c r="AH166" s="87"/>
      <c r="AI166" s="87"/>
      <c r="AJ166" s="87"/>
      <c r="AK166" s="244"/>
      <c r="AL166" s="245"/>
      <c r="AM166" s="244"/>
      <c r="AN166" s="244"/>
      <c r="AO166" s="87"/>
      <c r="AP166" s="87"/>
      <c r="AQ166" s="87"/>
      <c r="AR166" s="87"/>
      <c r="AS166" s="87"/>
      <c r="AT166" s="87"/>
      <c r="AU166" s="87"/>
      <c r="AV166" s="87"/>
      <c r="AW166" s="87"/>
      <c r="AX166" s="87"/>
    </row>
    <row r="167">
      <c r="A167" s="9"/>
      <c r="B167" s="87"/>
      <c r="C167" s="87"/>
      <c r="D167" s="87"/>
      <c r="E167" s="9"/>
      <c r="F167" s="87"/>
      <c r="G167" s="87"/>
      <c r="H167" s="87"/>
      <c r="I167" s="9"/>
      <c r="J167" s="87"/>
      <c r="K167" s="87"/>
      <c r="L167" s="87"/>
      <c r="M167" s="9"/>
      <c r="N167" s="87"/>
      <c r="O167" s="87"/>
      <c r="P167" s="87"/>
      <c r="Q167" s="9"/>
      <c r="R167" s="87"/>
      <c r="S167" s="87"/>
      <c r="T167" s="87"/>
      <c r="U167" s="9"/>
      <c r="V167" s="87"/>
      <c r="W167" s="87"/>
      <c r="X167" s="87"/>
      <c r="Y167" s="87"/>
      <c r="Z167" s="87"/>
      <c r="AA167" s="87"/>
      <c r="AB167" s="87"/>
      <c r="AC167" s="243"/>
      <c r="AD167" s="234"/>
      <c r="AE167" s="234"/>
      <c r="AF167" s="234"/>
      <c r="AG167" s="9"/>
      <c r="AH167" s="87"/>
      <c r="AI167" s="87"/>
      <c r="AJ167" s="87"/>
      <c r="AK167" s="244"/>
      <c r="AL167" s="245"/>
      <c r="AM167" s="244"/>
      <c r="AN167" s="244"/>
      <c r="AO167" s="87"/>
      <c r="AP167" s="87"/>
      <c r="AQ167" s="87"/>
      <c r="AR167" s="87"/>
      <c r="AS167" s="87"/>
      <c r="AT167" s="87"/>
      <c r="AU167" s="87"/>
      <c r="AV167" s="87"/>
      <c r="AW167" s="87"/>
      <c r="AX167" s="87"/>
    </row>
    <row r="168">
      <c r="A168" s="9"/>
      <c r="B168" s="87"/>
      <c r="C168" s="87"/>
      <c r="D168" s="87"/>
      <c r="E168" s="9"/>
      <c r="F168" s="87"/>
      <c r="G168" s="87"/>
      <c r="H168" s="87"/>
      <c r="I168" s="9"/>
      <c r="J168" s="87"/>
      <c r="K168" s="87"/>
      <c r="L168" s="87"/>
      <c r="M168" s="9"/>
      <c r="N168" s="87"/>
      <c r="O168" s="87"/>
      <c r="P168" s="87"/>
      <c r="Q168" s="9"/>
      <c r="R168" s="87"/>
      <c r="S168" s="87"/>
      <c r="T168" s="87"/>
      <c r="U168" s="9"/>
      <c r="V168" s="87"/>
      <c r="W168" s="87"/>
      <c r="X168" s="87"/>
      <c r="Y168" s="87"/>
      <c r="Z168" s="87"/>
      <c r="AA168" s="87"/>
      <c r="AB168" s="87"/>
      <c r="AC168" s="243"/>
      <c r="AD168" s="234"/>
      <c r="AE168" s="234"/>
      <c r="AF168" s="234"/>
      <c r="AG168" s="9"/>
      <c r="AH168" s="87"/>
      <c r="AI168" s="87"/>
      <c r="AJ168" s="87"/>
      <c r="AK168" s="244"/>
      <c r="AL168" s="245"/>
      <c r="AM168" s="244"/>
      <c r="AN168" s="244"/>
      <c r="AO168" s="87"/>
      <c r="AP168" s="87"/>
      <c r="AQ168" s="87"/>
      <c r="AR168" s="87"/>
      <c r="AS168" s="87"/>
      <c r="AT168" s="87"/>
      <c r="AU168" s="87"/>
      <c r="AV168" s="87"/>
      <c r="AW168" s="87"/>
      <c r="AX168" s="87"/>
    </row>
    <row r="169">
      <c r="A169" s="9"/>
      <c r="B169" s="87"/>
      <c r="C169" s="87"/>
      <c r="D169" s="87"/>
      <c r="E169" s="9"/>
      <c r="F169" s="87"/>
      <c r="G169" s="87"/>
      <c r="H169" s="87"/>
      <c r="I169" s="9"/>
      <c r="J169" s="87"/>
      <c r="K169" s="87"/>
      <c r="L169" s="87"/>
      <c r="M169" s="9"/>
      <c r="N169" s="87"/>
      <c r="O169" s="87"/>
      <c r="P169" s="87"/>
      <c r="Q169" s="9"/>
      <c r="R169" s="87"/>
      <c r="S169" s="87"/>
      <c r="T169" s="87"/>
      <c r="U169" s="9"/>
      <c r="V169" s="87"/>
      <c r="W169" s="87"/>
      <c r="X169" s="87"/>
      <c r="Y169" s="87"/>
      <c r="Z169" s="87"/>
      <c r="AA169" s="87"/>
      <c r="AB169" s="87"/>
      <c r="AC169" s="243"/>
      <c r="AD169" s="234"/>
      <c r="AE169" s="234"/>
      <c r="AF169" s="234"/>
      <c r="AG169" s="9"/>
      <c r="AH169" s="87"/>
      <c r="AI169" s="87"/>
      <c r="AJ169" s="87"/>
      <c r="AK169" s="244"/>
      <c r="AL169" s="245"/>
      <c r="AM169" s="244"/>
      <c r="AN169" s="244"/>
      <c r="AO169" s="87"/>
      <c r="AP169" s="87"/>
      <c r="AQ169" s="87"/>
      <c r="AR169" s="87"/>
      <c r="AS169" s="87"/>
      <c r="AT169" s="87"/>
      <c r="AU169" s="87"/>
      <c r="AV169" s="87"/>
      <c r="AW169" s="87"/>
      <c r="AX169" s="87"/>
    </row>
    <row r="170">
      <c r="A170" s="9"/>
      <c r="B170" s="87"/>
      <c r="C170" s="87"/>
      <c r="D170" s="87"/>
      <c r="E170" s="9"/>
      <c r="F170" s="87"/>
      <c r="G170" s="87"/>
      <c r="H170" s="87"/>
      <c r="I170" s="9"/>
      <c r="J170" s="87"/>
      <c r="K170" s="87"/>
      <c r="L170" s="87"/>
      <c r="M170" s="9"/>
      <c r="N170" s="87"/>
      <c r="O170" s="87"/>
      <c r="P170" s="87"/>
      <c r="Q170" s="9"/>
      <c r="R170" s="87"/>
      <c r="S170" s="87"/>
      <c r="T170" s="87"/>
      <c r="U170" s="9"/>
      <c r="V170" s="87"/>
      <c r="W170" s="87"/>
      <c r="X170" s="87"/>
      <c r="Y170" s="87"/>
      <c r="Z170" s="87"/>
      <c r="AA170" s="87"/>
      <c r="AB170" s="87"/>
      <c r="AC170" s="243"/>
      <c r="AD170" s="234"/>
      <c r="AE170" s="234"/>
      <c r="AF170" s="234"/>
      <c r="AG170" s="9"/>
      <c r="AH170" s="87"/>
      <c r="AI170" s="87"/>
      <c r="AJ170" s="87"/>
      <c r="AK170" s="244"/>
      <c r="AL170" s="245"/>
      <c r="AM170" s="244"/>
      <c r="AN170" s="244"/>
      <c r="AO170" s="87"/>
      <c r="AP170" s="87"/>
      <c r="AQ170" s="87"/>
      <c r="AR170" s="87"/>
      <c r="AS170" s="87"/>
      <c r="AT170" s="87"/>
      <c r="AU170" s="87"/>
      <c r="AV170" s="87"/>
      <c r="AW170" s="87"/>
      <c r="AX170" s="87"/>
    </row>
    <row r="171">
      <c r="A171" s="9"/>
      <c r="B171" s="87"/>
      <c r="C171" s="87"/>
      <c r="D171" s="87"/>
      <c r="E171" s="9"/>
      <c r="F171" s="87"/>
      <c r="G171" s="87"/>
      <c r="H171" s="87"/>
      <c r="I171" s="9"/>
      <c r="J171" s="87"/>
      <c r="K171" s="87"/>
      <c r="L171" s="87"/>
      <c r="M171" s="9"/>
      <c r="N171" s="87"/>
      <c r="O171" s="87"/>
      <c r="P171" s="87"/>
      <c r="Q171" s="9"/>
      <c r="R171" s="87"/>
      <c r="S171" s="87"/>
      <c r="T171" s="87"/>
      <c r="U171" s="9"/>
      <c r="V171" s="87"/>
      <c r="W171" s="87"/>
      <c r="X171" s="87"/>
      <c r="Y171" s="87"/>
      <c r="Z171" s="87"/>
      <c r="AA171" s="87"/>
      <c r="AB171" s="87"/>
      <c r="AC171" s="243"/>
      <c r="AD171" s="234"/>
      <c r="AE171" s="234"/>
      <c r="AF171" s="234"/>
      <c r="AG171" s="9"/>
      <c r="AH171" s="87"/>
      <c r="AI171" s="87"/>
      <c r="AJ171" s="87"/>
      <c r="AK171" s="244"/>
      <c r="AL171" s="245"/>
      <c r="AM171" s="244"/>
      <c r="AN171" s="244"/>
      <c r="AO171" s="87"/>
      <c r="AP171" s="87"/>
      <c r="AQ171" s="87"/>
      <c r="AR171" s="87"/>
      <c r="AS171" s="87"/>
      <c r="AT171" s="87"/>
      <c r="AU171" s="87"/>
      <c r="AV171" s="87"/>
      <c r="AW171" s="87"/>
      <c r="AX171" s="87"/>
    </row>
    <row r="172">
      <c r="A172" s="9"/>
      <c r="B172" s="87"/>
      <c r="C172" s="87"/>
      <c r="D172" s="87"/>
      <c r="E172" s="9"/>
      <c r="F172" s="87"/>
      <c r="G172" s="87"/>
      <c r="H172" s="87"/>
      <c r="I172" s="9"/>
      <c r="J172" s="87"/>
      <c r="K172" s="87"/>
      <c r="L172" s="87"/>
      <c r="M172" s="9"/>
      <c r="N172" s="87"/>
      <c r="O172" s="87"/>
      <c r="P172" s="87"/>
      <c r="Q172" s="9"/>
      <c r="R172" s="87"/>
      <c r="S172" s="87"/>
      <c r="T172" s="87"/>
      <c r="U172" s="9"/>
      <c r="V172" s="87"/>
      <c r="W172" s="87"/>
      <c r="X172" s="87"/>
      <c r="Y172" s="87"/>
      <c r="Z172" s="87"/>
      <c r="AA172" s="87"/>
      <c r="AB172" s="87"/>
      <c r="AC172" s="243"/>
      <c r="AD172" s="234"/>
      <c r="AE172" s="234"/>
      <c r="AF172" s="234"/>
      <c r="AG172" s="9"/>
      <c r="AH172" s="87"/>
      <c r="AI172" s="87"/>
      <c r="AJ172" s="87"/>
      <c r="AK172" s="244"/>
      <c r="AL172" s="245"/>
      <c r="AM172" s="244"/>
      <c r="AN172" s="244"/>
      <c r="AO172" s="87"/>
      <c r="AP172" s="87"/>
      <c r="AQ172" s="87"/>
      <c r="AR172" s="87"/>
      <c r="AS172" s="87"/>
      <c r="AT172" s="87"/>
      <c r="AU172" s="87"/>
      <c r="AV172" s="87"/>
      <c r="AW172" s="87"/>
      <c r="AX172" s="87"/>
    </row>
    <row r="173">
      <c r="A173" s="9"/>
      <c r="B173" s="87"/>
      <c r="C173" s="87"/>
      <c r="D173" s="87"/>
      <c r="E173" s="9"/>
      <c r="F173" s="87"/>
      <c r="G173" s="87"/>
      <c r="H173" s="87"/>
      <c r="I173" s="9"/>
      <c r="J173" s="87"/>
      <c r="K173" s="87"/>
      <c r="L173" s="87"/>
      <c r="M173" s="9"/>
      <c r="N173" s="87"/>
      <c r="O173" s="87"/>
      <c r="P173" s="87"/>
      <c r="Q173" s="9"/>
      <c r="R173" s="87"/>
      <c r="S173" s="87"/>
      <c r="T173" s="87"/>
      <c r="U173" s="9"/>
      <c r="V173" s="87"/>
      <c r="W173" s="87"/>
      <c r="X173" s="87"/>
      <c r="Y173" s="87"/>
      <c r="Z173" s="87"/>
      <c r="AA173" s="87"/>
      <c r="AB173" s="87"/>
      <c r="AC173" s="243"/>
      <c r="AD173" s="234"/>
      <c r="AE173" s="234"/>
      <c r="AF173" s="234"/>
      <c r="AG173" s="9"/>
      <c r="AH173" s="87"/>
      <c r="AI173" s="87"/>
      <c r="AJ173" s="87"/>
      <c r="AK173" s="244"/>
      <c r="AL173" s="245"/>
      <c r="AM173" s="244"/>
      <c r="AN173" s="244"/>
      <c r="AO173" s="87"/>
      <c r="AP173" s="87"/>
      <c r="AQ173" s="87"/>
      <c r="AR173" s="87"/>
      <c r="AS173" s="87"/>
      <c r="AT173" s="87"/>
      <c r="AU173" s="87"/>
      <c r="AV173" s="87"/>
      <c r="AW173" s="87"/>
      <c r="AX173" s="87"/>
    </row>
    <row r="174">
      <c r="A174" s="9"/>
      <c r="B174" s="87"/>
      <c r="C174" s="87"/>
      <c r="D174" s="87"/>
      <c r="E174" s="9"/>
      <c r="F174" s="87"/>
      <c r="G174" s="87"/>
      <c r="H174" s="87"/>
      <c r="I174" s="9"/>
      <c r="J174" s="87"/>
      <c r="K174" s="87"/>
      <c r="L174" s="87"/>
      <c r="M174" s="9"/>
      <c r="N174" s="87"/>
      <c r="O174" s="87"/>
      <c r="P174" s="87"/>
      <c r="Q174" s="9"/>
      <c r="R174" s="87"/>
      <c r="S174" s="87"/>
      <c r="T174" s="87"/>
      <c r="U174" s="9"/>
      <c r="V174" s="87"/>
      <c r="W174" s="87"/>
      <c r="X174" s="87"/>
      <c r="Y174" s="87"/>
      <c r="Z174" s="87"/>
      <c r="AA174" s="87"/>
      <c r="AB174" s="87"/>
      <c r="AC174" s="243"/>
      <c r="AD174" s="234"/>
      <c r="AE174" s="234"/>
      <c r="AF174" s="234"/>
      <c r="AG174" s="9"/>
      <c r="AH174" s="87"/>
      <c r="AI174" s="87"/>
      <c r="AJ174" s="87"/>
      <c r="AK174" s="244"/>
      <c r="AL174" s="245"/>
      <c r="AM174" s="244"/>
      <c r="AN174" s="244"/>
      <c r="AO174" s="87"/>
      <c r="AP174" s="87"/>
      <c r="AQ174" s="87"/>
      <c r="AR174" s="87"/>
      <c r="AS174" s="87"/>
      <c r="AT174" s="87"/>
      <c r="AU174" s="87"/>
      <c r="AV174" s="87"/>
      <c r="AW174" s="87"/>
      <c r="AX174" s="87"/>
    </row>
    <row r="175">
      <c r="A175" s="9"/>
      <c r="B175" s="87"/>
      <c r="C175" s="87"/>
      <c r="D175" s="87"/>
      <c r="E175" s="9"/>
      <c r="F175" s="87"/>
      <c r="G175" s="87"/>
      <c r="H175" s="87"/>
      <c r="I175" s="9"/>
      <c r="J175" s="87"/>
      <c r="K175" s="87"/>
      <c r="L175" s="87"/>
      <c r="M175" s="9"/>
      <c r="N175" s="87"/>
      <c r="O175" s="87"/>
      <c r="P175" s="87"/>
      <c r="Q175" s="9"/>
      <c r="R175" s="87"/>
      <c r="S175" s="87"/>
      <c r="T175" s="87"/>
      <c r="U175" s="9"/>
      <c r="V175" s="87"/>
      <c r="W175" s="87"/>
      <c r="X175" s="87"/>
      <c r="Y175" s="87"/>
      <c r="Z175" s="87"/>
      <c r="AA175" s="87"/>
      <c r="AB175" s="87"/>
      <c r="AC175" s="243"/>
      <c r="AD175" s="234"/>
      <c r="AE175" s="234"/>
      <c r="AF175" s="234"/>
      <c r="AG175" s="9"/>
      <c r="AH175" s="87"/>
      <c r="AI175" s="87"/>
      <c r="AJ175" s="87"/>
      <c r="AK175" s="244"/>
      <c r="AL175" s="245"/>
      <c r="AM175" s="244"/>
      <c r="AN175" s="244"/>
      <c r="AO175" s="87"/>
      <c r="AP175" s="87"/>
      <c r="AQ175" s="87"/>
      <c r="AR175" s="87"/>
      <c r="AS175" s="87"/>
      <c r="AT175" s="87"/>
      <c r="AU175" s="87"/>
      <c r="AV175" s="87"/>
      <c r="AW175" s="87"/>
      <c r="AX175" s="87"/>
    </row>
    <row r="176">
      <c r="A176" s="9"/>
      <c r="B176" s="87"/>
      <c r="C176" s="87"/>
      <c r="D176" s="87"/>
      <c r="E176" s="9"/>
      <c r="F176" s="87"/>
      <c r="G176" s="87"/>
      <c r="H176" s="87"/>
      <c r="I176" s="9"/>
      <c r="J176" s="87"/>
      <c r="K176" s="87"/>
      <c r="L176" s="87"/>
      <c r="M176" s="9"/>
      <c r="N176" s="87"/>
      <c r="O176" s="87"/>
      <c r="P176" s="87"/>
      <c r="Q176" s="9"/>
      <c r="R176" s="87"/>
      <c r="S176" s="87"/>
      <c r="T176" s="87"/>
      <c r="U176" s="9"/>
      <c r="V176" s="87"/>
      <c r="W176" s="87"/>
      <c r="X176" s="87"/>
      <c r="Y176" s="87"/>
      <c r="Z176" s="87"/>
      <c r="AA176" s="87"/>
      <c r="AB176" s="87"/>
      <c r="AC176" s="243"/>
      <c r="AD176" s="234"/>
      <c r="AE176" s="234"/>
      <c r="AF176" s="234"/>
      <c r="AG176" s="9"/>
      <c r="AH176" s="87"/>
      <c r="AI176" s="87"/>
      <c r="AJ176" s="87"/>
      <c r="AK176" s="244"/>
      <c r="AL176" s="245"/>
      <c r="AM176" s="244"/>
      <c r="AN176" s="244"/>
      <c r="AO176" s="87"/>
      <c r="AP176" s="87"/>
      <c r="AQ176" s="87"/>
      <c r="AR176" s="87"/>
      <c r="AS176" s="87"/>
      <c r="AT176" s="87"/>
      <c r="AU176" s="87"/>
      <c r="AV176" s="87"/>
      <c r="AW176" s="87"/>
      <c r="AX176" s="87"/>
    </row>
    <row r="177">
      <c r="A177" s="9"/>
      <c r="B177" s="87"/>
      <c r="C177" s="87"/>
      <c r="D177" s="87"/>
      <c r="E177" s="9"/>
      <c r="F177" s="87"/>
      <c r="G177" s="87"/>
      <c r="H177" s="87"/>
      <c r="I177" s="9"/>
      <c r="J177" s="87"/>
      <c r="K177" s="87"/>
      <c r="L177" s="87"/>
      <c r="M177" s="9"/>
      <c r="N177" s="87"/>
      <c r="O177" s="87"/>
      <c r="P177" s="87"/>
      <c r="Q177" s="9"/>
      <c r="R177" s="87"/>
      <c r="S177" s="87"/>
      <c r="T177" s="87"/>
      <c r="U177" s="9"/>
      <c r="V177" s="87"/>
      <c r="W177" s="87"/>
      <c r="X177" s="87"/>
      <c r="Y177" s="87"/>
      <c r="Z177" s="87"/>
      <c r="AA177" s="87"/>
      <c r="AB177" s="87"/>
      <c r="AC177" s="243"/>
      <c r="AD177" s="234"/>
      <c r="AE177" s="234"/>
      <c r="AF177" s="234"/>
      <c r="AG177" s="9"/>
      <c r="AH177" s="87"/>
      <c r="AI177" s="87"/>
      <c r="AJ177" s="87"/>
      <c r="AK177" s="244"/>
      <c r="AL177" s="245"/>
      <c r="AM177" s="244"/>
      <c r="AN177" s="244"/>
      <c r="AO177" s="87"/>
      <c r="AP177" s="87"/>
      <c r="AQ177" s="87"/>
      <c r="AR177" s="87"/>
      <c r="AS177" s="87"/>
      <c r="AT177" s="87"/>
      <c r="AU177" s="87"/>
      <c r="AV177" s="87"/>
      <c r="AW177" s="87"/>
      <c r="AX177" s="87"/>
    </row>
    <row r="178">
      <c r="A178" s="9"/>
      <c r="B178" s="87"/>
      <c r="C178" s="87"/>
      <c r="D178" s="87"/>
      <c r="E178" s="9"/>
      <c r="F178" s="87"/>
      <c r="G178" s="87"/>
      <c r="H178" s="87"/>
      <c r="I178" s="9"/>
      <c r="J178" s="87"/>
      <c r="K178" s="87"/>
      <c r="L178" s="87"/>
      <c r="M178" s="9"/>
      <c r="N178" s="87"/>
      <c r="O178" s="87"/>
      <c r="P178" s="87"/>
      <c r="Q178" s="9"/>
      <c r="R178" s="87"/>
      <c r="S178" s="87"/>
      <c r="T178" s="87"/>
      <c r="U178" s="9"/>
      <c r="V178" s="87"/>
      <c r="W178" s="87"/>
      <c r="X178" s="87"/>
      <c r="Y178" s="87"/>
      <c r="Z178" s="87"/>
      <c r="AA178" s="87"/>
      <c r="AB178" s="87"/>
      <c r="AC178" s="243"/>
      <c r="AD178" s="234"/>
      <c r="AE178" s="234"/>
      <c r="AF178" s="234"/>
      <c r="AG178" s="9"/>
      <c r="AH178" s="87"/>
      <c r="AI178" s="87"/>
      <c r="AJ178" s="87"/>
      <c r="AK178" s="244"/>
      <c r="AL178" s="245"/>
      <c r="AM178" s="244"/>
      <c r="AN178" s="244"/>
      <c r="AO178" s="87"/>
      <c r="AP178" s="87"/>
      <c r="AQ178" s="87"/>
      <c r="AR178" s="87"/>
      <c r="AS178" s="87"/>
      <c r="AT178" s="87"/>
      <c r="AU178" s="87"/>
      <c r="AV178" s="87"/>
      <c r="AW178" s="87"/>
      <c r="AX178" s="87"/>
    </row>
    <row r="179">
      <c r="A179" s="9"/>
      <c r="B179" s="87"/>
      <c r="C179" s="87"/>
      <c r="D179" s="87"/>
      <c r="E179" s="9"/>
      <c r="F179" s="87"/>
      <c r="G179" s="87"/>
      <c r="H179" s="87"/>
      <c r="I179" s="9"/>
      <c r="J179" s="87"/>
      <c r="K179" s="87"/>
      <c r="L179" s="87"/>
      <c r="M179" s="9"/>
      <c r="N179" s="87"/>
      <c r="O179" s="87"/>
      <c r="P179" s="87"/>
      <c r="Q179" s="9"/>
      <c r="R179" s="87"/>
      <c r="S179" s="87"/>
      <c r="T179" s="87"/>
      <c r="U179" s="9"/>
      <c r="V179" s="87"/>
      <c r="W179" s="87"/>
      <c r="X179" s="87"/>
      <c r="Y179" s="87"/>
      <c r="Z179" s="87"/>
      <c r="AA179" s="87"/>
      <c r="AB179" s="87"/>
      <c r="AC179" s="243"/>
      <c r="AD179" s="234"/>
      <c r="AE179" s="234"/>
      <c r="AF179" s="234"/>
      <c r="AG179" s="9"/>
      <c r="AH179" s="87"/>
      <c r="AI179" s="87"/>
      <c r="AJ179" s="87"/>
      <c r="AK179" s="244"/>
      <c r="AL179" s="245"/>
      <c r="AM179" s="244"/>
      <c r="AN179" s="244"/>
      <c r="AO179" s="87"/>
      <c r="AP179" s="87"/>
      <c r="AQ179" s="87"/>
      <c r="AR179" s="87"/>
      <c r="AS179" s="87"/>
      <c r="AT179" s="87"/>
      <c r="AU179" s="87"/>
      <c r="AV179" s="87"/>
      <c r="AW179" s="87"/>
      <c r="AX179" s="87"/>
    </row>
    <row r="180">
      <c r="A180" s="9"/>
      <c r="B180" s="87"/>
      <c r="C180" s="87"/>
      <c r="D180" s="87"/>
      <c r="E180" s="9"/>
      <c r="F180" s="87"/>
      <c r="G180" s="87"/>
      <c r="H180" s="87"/>
      <c r="I180" s="9"/>
      <c r="J180" s="87"/>
      <c r="K180" s="87"/>
      <c r="L180" s="87"/>
      <c r="M180" s="9"/>
      <c r="N180" s="87"/>
      <c r="O180" s="87"/>
      <c r="P180" s="87"/>
      <c r="Q180" s="9"/>
      <c r="R180" s="87"/>
      <c r="S180" s="87"/>
      <c r="T180" s="87"/>
      <c r="U180" s="9"/>
      <c r="V180" s="87"/>
      <c r="W180" s="87"/>
      <c r="X180" s="87"/>
      <c r="Y180" s="87"/>
      <c r="Z180" s="87"/>
      <c r="AA180" s="87"/>
      <c r="AB180" s="87"/>
      <c r="AC180" s="243"/>
      <c r="AD180" s="234"/>
      <c r="AE180" s="234"/>
      <c r="AF180" s="234"/>
      <c r="AG180" s="9"/>
      <c r="AH180" s="87"/>
      <c r="AI180" s="87"/>
      <c r="AJ180" s="87"/>
      <c r="AK180" s="244"/>
      <c r="AL180" s="245"/>
      <c r="AM180" s="244"/>
      <c r="AN180" s="244"/>
      <c r="AO180" s="87"/>
      <c r="AP180" s="87"/>
      <c r="AQ180" s="87"/>
      <c r="AR180" s="87"/>
      <c r="AS180" s="87"/>
      <c r="AT180" s="87"/>
      <c r="AU180" s="87"/>
      <c r="AV180" s="87"/>
      <c r="AW180" s="87"/>
      <c r="AX180" s="87"/>
    </row>
    <row r="181">
      <c r="A181" s="9"/>
      <c r="B181" s="87"/>
      <c r="C181" s="87"/>
      <c r="D181" s="87"/>
      <c r="E181" s="9"/>
      <c r="F181" s="87"/>
      <c r="G181" s="87"/>
      <c r="H181" s="87"/>
      <c r="I181" s="9"/>
      <c r="J181" s="87"/>
      <c r="K181" s="87"/>
      <c r="L181" s="87"/>
      <c r="M181" s="9"/>
      <c r="N181" s="87"/>
      <c r="O181" s="87"/>
      <c r="P181" s="87"/>
      <c r="Q181" s="9"/>
      <c r="R181" s="87"/>
      <c r="S181" s="87"/>
      <c r="T181" s="87"/>
      <c r="U181" s="9"/>
      <c r="V181" s="87"/>
      <c r="W181" s="87"/>
      <c r="X181" s="87"/>
      <c r="Y181" s="87"/>
      <c r="Z181" s="87"/>
      <c r="AA181" s="87"/>
      <c r="AB181" s="87"/>
      <c r="AC181" s="243"/>
      <c r="AD181" s="234"/>
      <c r="AE181" s="234"/>
      <c r="AF181" s="234"/>
      <c r="AG181" s="9"/>
      <c r="AH181" s="87"/>
      <c r="AI181" s="87"/>
      <c r="AJ181" s="87"/>
      <c r="AK181" s="244"/>
      <c r="AL181" s="245"/>
      <c r="AM181" s="244"/>
      <c r="AN181" s="244"/>
      <c r="AO181" s="87"/>
      <c r="AP181" s="87"/>
      <c r="AQ181" s="87"/>
      <c r="AR181" s="87"/>
      <c r="AS181" s="87"/>
      <c r="AT181" s="87"/>
      <c r="AU181" s="87"/>
      <c r="AV181" s="87"/>
      <c r="AW181" s="87"/>
      <c r="AX181" s="87"/>
    </row>
    <row r="182">
      <c r="A182" s="9"/>
      <c r="B182" s="87"/>
      <c r="C182" s="87"/>
      <c r="D182" s="87"/>
      <c r="E182" s="9"/>
      <c r="F182" s="87"/>
      <c r="G182" s="87"/>
      <c r="H182" s="87"/>
      <c r="I182" s="9"/>
      <c r="J182" s="87"/>
      <c r="K182" s="87"/>
      <c r="L182" s="87"/>
      <c r="M182" s="9"/>
      <c r="N182" s="87"/>
      <c r="O182" s="87"/>
      <c r="P182" s="87"/>
      <c r="Q182" s="9"/>
      <c r="R182" s="87"/>
      <c r="S182" s="87"/>
      <c r="T182" s="87"/>
      <c r="U182" s="9"/>
      <c r="V182" s="87"/>
      <c r="W182" s="87"/>
      <c r="X182" s="87"/>
      <c r="Y182" s="87"/>
      <c r="Z182" s="87"/>
      <c r="AA182" s="87"/>
      <c r="AB182" s="87"/>
      <c r="AC182" s="243"/>
      <c r="AD182" s="234"/>
      <c r="AE182" s="234"/>
      <c r="AF182" s="234"/>
      <c r="AG182" s="9"/>
      <c r="AH182" s="87"/>
      <c r="AI182" s="87"/>
      <c r="AJ182" s="87"/>
      <c r="AK182" s="244"/>
      <c r="AL182" s="245"/>
      <c r="AM182" s="244"/>
      <c r="AN182" s="244"/>
      <c r="AO182" s="87"/>
      <c r="AP182" s="87"/>
      <c r="AQ182" s="87"/>
      <c r="AR182" s="87"/>
      <c r="AS182" s="87"/>
      <c r="AT182" s="87"/>
      <c r="AU182" s="87"/>
      <c r="AV182" s="87"/>
      <c r="AW182" s="87"/>
      <c r="AX182" s="87"/>
    </row>
    <row r="183">
      <c r="A183" s="9"/>
      <c r="B183" s="87"/>
      <c r="C183" s="87"/>
      <c r="D183" s="87"/>
      <c r="E183" s="9"/>
      <c r="F183" s="87"/>
      <c r="G183" s="87"/>
      <c r="H183" s="87"/>
      <c r="I183" s="9"/>
      <c r="J183" s="87"/>
      <c r="K183" s="87"/>
      <c r="L183" s="87"/>
      <c r="M183" s="9"/>
      <c r="N183" s="87"/>
      <c r="O183" s="87"/>
      <c r="P183" s="87"/>
      <c r="Q183" s="9"/>
      <c r="R183" s="87"/>
      <c r="S183" s="87"/>
      <c r="T183" s="87"/>
      <c r="U183" s="9"/>
      <c r="V183" s="87"/>
      <c r="W183" s="87"/>
      <c r="X183" s="87"/>
      <c r="Y183" s="87"/>
      <c r="Z183" s="87"/>
      <c r="AA183" s="87"/>
      <c r="AB183" s="87"/>
      <c r="AC183" s="243"/>
      <c r="AD183" s="234"/>
      <c r="AE183" s="234"/>
      <c r="AF183" s="234"/>
      <c r="AG183" s="9"/>
      <c r="AH183" s="87"/>
      <c r="AI183" s="87"/>
      <c r="AJ183" s="87"/>
      <c r="AK183" s="244"/>
      <c r="AL183" s="245"/>
      <c r="AM183" s="244"/>
      <c r="AN183" s="244"/>
      <c r="AO183" s="87"/>
      <c r="AP183" s="87"/>
      <c r="AQ183" s="87"/>
      <c r="AR183" s="87"/>
      <c r="AS183" s="87"/>
      <c r="AT183" s="87"/>
      <c r="AU183" s="87"/>
      <c r="AV183" s="87"/>
      <c r="AW183" s="87"/>
      <c r="AX183" s="87"/>
    </row>
    <row r="184">
      <c r="A184" s="9"/>
      <c r="B184" s="87"/>
      <c r="C184" s="87"/>
      <c r="D184" s="87"/>
      <c r="E184" s="9"/>
      <c r="F184" s="87"/>
      <c r="G184" s="87"/>
      <c r="H184" s="87"/>
      <c r="I184" s="9"/>
      <c r="J184" s="87"/>
      <c r="K184" s="87"/>
      <c r="L184" s="87"/>
      <c r="M184" s="9"/>
      <c r="N184" s="87"/>
      <c r="O184" s="87"/>
      <c r="P184" s="87"/>
      <c r="Q184" s="9"/>
      <c r="R184" s="87"/>
      <c r="S184" s="87"/>
      <c r="T184" s="87"/>
      <c r="U184" s="9"/>
      <c r="V184" s="87"/>
      <c r="W184" s="87"/>
      <c r="X184" s="87"/>
      <c r="Y184" s="87"/>
      <c r="Z184" s="87"/>
      <c r="AA184" s="87"/>
      <c r="AB184" s="87"/>
      <c r="AC184" s="243"/>
      <c r="AD184" s="234"/>
      <c r="AE184" s="234"/>
      <c r="AF184" s="234"/>
      <c r="AG184" s="9"/>
      <c r="AH184" s="87"/>
      <c r="AI184" s="87"/>
      <c r="AJ184" s="87"/>
      <c r="AK184" s="244"/>
      <c r="AL184" s="245"/>
      <c r="AM184" s="244"/>
      <c r="AN184" s="244"/>
      <c r="AO184" s="87"/>
      <c r="AP184" s="87"/>
      <c r="AQ184" s="87"/>
      <c r="AR184" s="87"/>
      <c r="AS184" s="87"/>
      <c r="AT184" s="87"/>
      <c r="AU184" s="87"/>
      <c r="AV184" s="87"/>
      <c r="AW184" s="87"/>
      <c r="AX184" s="87"/>
    </row>
    <row r="185">
      <c r="A185" s="9"/>
      <c r="B185" s="87"/>
      <c r="C185" s="87"/>
      <c r="D185" s="87"/>
      <c r="E185" s="9"/>
      <c r="F185" s="87"/>
      <c r="G185" s="87"/>
      <c r="H185" s="87"/>
      <c r="I185" s="9"/>
      <c r="J185" s="87"/>
      <c r="K185" s="87"/>
      <c r="L185" s="87"/>
      <c r="M185" s="9"/>
      <c r="N185" s="87"/>
      <c r="O185" s="87"/>
      <c r="P185" s="87"/>
      <c r="Q185" s="9"/>
      <c r="R185" s="87"/>
      <c r="S185" s="87"/>
      <c r="T185" s="87"/>
      <c r="U185" s="9"/>
      <c r="V185" s="87"/>
      <c r="W185" s="87"/>
      <c r="X185" s="87"/>
      <c r="Y185" s="87"/>
      <c r="Z185" s="87"/>
      <c r="AA185" s="87"/>
      <c r="AB185" s="87"/>
      <c r="AC185" s="243"/>
      <c r="AD185" s="234"/>
      <c r="AE185" s="234"/>
      <c r="AF185" s="234"/>
      <c r="AG185" s="9"/>
      <c r="AH185" s="87"/>
      <c r="AI185" s="87"/>
      <c r="AJ185" s="87"/>
      <c r="AK185" s="244"/>
      <c r="AL185" s="245"/>
      <c r="AM185" s="244"/>
      <c r="AN185" s="244"/>
      <c r="AO185" s="87"/>
      <c r="AP185" s="87"/>
      <c r="AQ185" s="87"/>
      <c r="AR185" s="87"/>
      <c r="AS185" s="87"/>
      <c r="AT185" s="87"/>
      <c r="AU185" s="87"/>
      <c r="AV185" s="87"/>
      <c r="AW185" s="87"/>
      <c r="AX185" s="87"/>
    </row>
    <row r="186">
      <c r="A186" s="9"/>
      <c r="B186" s="87"/>
      <c r="C186" s="87"/>
      <c r="D186" s="87"/>
      <c r="E186" s="9"/>
      <c r="F186" s="87"/>
      <c r="G186" s="87"/>
      <c r="H186" s="87"/>
      <c r="I186" s="9"/>
      <c r="J186" s="87"/>
      <c r="K186" s="87"/>
      <c r="L186" s="87"/>
      <c r="M186" s="9"/>
      <c r="N186" s="87"/>
      <c r="O186" s="87"/>
      <c r="P186" s="87"/>
      <c r="Q186" s="9"/>
      <c r="R186" s="87"/>
      <c r="S186" s="87"/>
      <c r="T186" s="87"/>
      <c r="U186" s="9"/>
      <c r="V186" s="87"/>
      <c r="W186" s="87"/>
      <c r="X186" s="87"/>
      <c r="Y186" s="87"/>
      <c r="Z186" s="87"/>
      <c r="AA186" s="87"/>
      <c r="AB186" s="87"/>
      <c r="AC186" s="243"/>
      <c r="AD186" s="234"/>
      <c r="AE186" s="234"/>
      <c r="AF186" s="234"/>
      <c r="AG186" s="9"/>
      <c r="AH186" s="87"/>
      <c r="AI186" s="87"/>
      <c r="AJ186" s="87"/>
      <c r="AK186" s="244"/>
      <c r="AL186" s="245"/>
      <c r="AM186" s="244"/>
      <c r="AN186" s="244"/>
      <c r="AO186" s="87"/>
      <c r="AP186" s="87"/>
      <c r="AQ186" s="87"/>
      <c r="AR186" s="87"/>
      <c r="AS186" s="87"/>
      <c r="AT186" s="87"/>
      <c r="AU186" s="87"/>
      <c r="AV186" s="87"/>
      <c r="AW186" s="87"/>
      <c r="AX186" s="87"/>
    </row>
    <row r="187">
      <c r="A187" s="9"/>
      <c r="B187" s="87"/>
      <c r="C187" s="87"/>
      <c r="D187" s="87"/>
      <c r="E187" s="9"/>
      <c r="F187" s="87"/>
      <c r="G187" s="87"/>
      <c r="H187" s="87"/>
      <c r="I187" s="9"/>
      <c r="J187" s="87"/>
      <c r="K187" s="87"/>
      <c r="L187" s="87"/>
      <c r="M187" s="9"/>
      <c r="N187" s="87"/>
      <c r="O187" s="87"/>
      <c r="P187" s="87"/>
      <c r="Q187" s="9"/>
      <c r="R187" s="87"/>
      <c r="S187" s="87"/>
      <c r="T187" s="87"/>
      <c r="U187" s="9"/>
      <c r="V187" s="87"/>
      <c r="W187" s="87"/>
      <c r="X187" s="87"/>
      <c r="Y187" s="87"/>
      <c r="Z187" s="87"/>
      <c r="AA187" s="87"/>
      <c r="AB187" s="87"/>
      <c r="AC187" s="243"/>
      <c r="AD187" s="234"/>
      <c r="AE187" s="234"/>
      <c r="AF187" s="234"/>
      <c r="AG187" s="9"/>
      <c r="AH187" s="87"/>
      <c r="AI187" s="87"/>
      <c r="AJ187" s="87"/>
      <c r="AK187" s="244"/>
      <c r="AL187" s="245"/>
      <c r="AM187" s="244"/>
      <c r="AN187" s="244"/>
      <c r="AO187" s="87"/>
      <c r="AP187" s="87"/>
      <c r="AQ187" s="87"/>
      <c r="AR187" s="87"/>
      <c r="AS187" s="87"/>
      <c r="AT187" s="87"/>
      <c r="AU187" s="87"/>
      <c r="AV187" s="87"/>
      <c r="AW187" s="87"/>
      <c r="AX187" s="87"/>
    </row>
    <row r="188">
      <c r="A188" s="9"/>
      <c r="B188" s="87"/>
      <c r="C188" s="87"/>
      <c r="D188" s="87"/>
      <c r="E188" s="9"/>
      <c r="F188" s="87"/>
      <c r="G188" s="87"/>
      <c r="H188" s="87"/>
      <c r="I188" s="9"/>
      <c r="J188" s="87"/>
      <c r="K188" s="87"/>
      <c r="L188" s="87"/>
      <c r="M188" s="9"/>
      <c r="N188" s="87"/>
      <c r="O188" s="87"/>
      <c r="P188" s="87"/>
      <c r="Q188" s="9"/>
      <c r="R188" s="87"/>
      <c r="S188" s="87"/>
      <c r="T188" s="87"/>
      <c r="U188" s="9"/>
      <c r="V188" s="87"/>
      <c r="W188" s="87"/>
      <c r="X188" s="87"/>
      <c r="Y188" s="87"/>
      <c r="Z188" s="87"/>
      <c r="AA188" s="87"/>
      <c r="AB188" s="87"/>
      <c r="AC188" s="243"/>
      <c r="AD188" s="234"/>
      <c r="AE188" s="234"/>
      <c r="AF188" s="234"/>
      <c r="AG188" s="9"/>
      <c r="AH188" s="87"/>
      <c r="AI188" s="87"/>
      <c r="AJ188" s="87"/>
      <c r="AK188" s="244"/>
      <c r="AL188" s="245"/>
      <c r="AM188" s="244"/>
      <c r="AN188" s="244"/>
      <c r="AO188" s="87"/>
      <c r="AP188" s="87"/>
      <c r="AQ188" s="87"/>
      <c r="AR188" s="87"/>
      <c r="AS188" s="87"/>
      <c r="AT188" s="87"/>
      <c r="AU188" s="87"/>
      <c r="AV188" s="87"/>
      <c r="AW188" s="87"/>
      <c r="AX188" s="87"/>
    </row>
    <row r="189">
      <c r="A189" s="9"/>
      <c r="B189" s="87"/>
      <c r="C189" s="87"/>
      <c r="D189" s="87"/>
      <c r="E189" s="9"/>
      <c r="F189" s="87"/>
      <c r="G189" s="87"/>
      <c r="H189" s="87"/>
      <c r="I189" s="9"/>
      <c r="J189" s="87"/>
      <c r="K189" s="87"/>
      <c r="L189" s="87"/>
      <c r="M189" s="9"/>
      <c r="N189" s="87"/>
      <c r="O189" s="87"/>
      <c r="P189" s="87"/>
      <c r="Q189" s="9"/>
      <c r="R189" s="87"/>
      <c r="S189" s="87"/>
      <c r="T189" s="87"/>
      <c r="U189" s="9"/>
      <c r="V189" s="87"/>
      <c r="W189" s="87"/>
      <c r="X189" s="87"/>
      <c r="Y189" s="87"/>
      <c r="Z189" s="87"/>
      <c r="AA189" s="87"/>
      <c r="AB189" s="87"/>
      <c r="AC189" s="243"/>
      <c r="AD189" s="234"/>
      <c r="AE189" s="234"/>
      <c r="AF189" s="234"/>
      <c r="AG189" s="9"/>
      <c r="AH189" s="87"/>
      <c r="AI189" s="87"/>
      <c r="AJ189" s="87"/>
      <c r="AK189" s="244"/>
      <c r="AL189" s="245"/>
      <c r="AM189" s="244"/>
      <c r="AN189" s="244"/>
      <c r="AO189" s="87"/>
      <c r="AP189" s="87"/>
      <c r="AQ189" s="87"/>
      <c r="AR189" s="87"/>
      <c r="AS189" s="87"/>
      <c r="AT189" s="87"/>
      <c r="AU189" s="87"/>
      <c r="AV189" s="87"/>
      <c r="AW189" s="87"/>
      <c r="AX189" s="87"/>
    </row>
    <row r="190">
      <c r="A190" s="9"/>
      <c r="B190" s="87"/>
      <c r="C190" s="87"/>
      <c r="D190" s="87"/>
      <c r="E190" s="9"/>
      <c r="F190" s="87"/>
      <c r="G190" s="87"/>
      <c r="H190" s="87"/>
      <c r="I190" s="9"/>
      <c r="J190" s="87"/>
      <c r="K190" s="87"/>
      <c r="L190" s="87"/>
      <c r="M190" s="9"/>
      <c r="N190" s="87"/>
      <c r="O190" s="87"/>
      <c r="P190" s="87"/>
      <c r="Q190" s="9"/>
      <c r="R190" s="87"/>
      <c r="S190" s="87"/>
      <c r="T190" s="87"/>
      <c r="U190" s="9"/>
      <c r="V190" s="87"/>
      <c r="W190" s="87"/>
      <c r="X190" s="87"/>
      <c r="Y190" s="87"/>
      <c r="Z190" s="87"/>
      <c r="AA190" s="87"/>
      <c r="AB190" s="87"/>
      <c r="AC190" s="243"/>
      <c r="AD190" s="234"/>
      <c r="AE190" s="234"/>
      <c r="AF190" s="234"/>
      <c r="AG190" s="9"/>
      <c r="AH190" s="87"/>
      <c r="AI190" s="87"/>
      <c r="AJ190" s="87"/>
      <c r="AK190" s="244"/>
      <c r="AL190" s="245"/>
      <c r="AM190" s="244"/>
      <c r="AN190" s="244"/>
      <c r="AO190" s="87"/>
      <c r="AP190" s="87"/>
      <c r="AQ190" s="87"/>
      <c r="AR190" s="87"/>
      <c r="AS190" s="87"/>
      <c r="AT190" s="87"/>
      <c r="AU190" s="87"/>
      <c r="AV190" s="87"/>
      <c r="AW190" s="87"/>
      <c r="AX190" s="87"/>
    </row>
    <row r="191">
      <c r="A191" s="9"/>
      <c r="B191" s="87"/>
      <c r="C191" s="87"/>
      <c r="D191" s="87"/>
      <c r="E191" s="9"/>
      <c r="F191" s="87"/>
      <c r="G191" s="87"/>
      <c r="H191" s="87"/>
      <c r="I191" s="9"/>
      <c r="J191" s="87"/>
      <c r="K191" s="87"/>
      <c r="L191" s="87"/>
      <c r="M191" s="9"/>
      <c r="N191" s="87"/>
      <c r="O191" s="87"/>
      <c r="P191" s="87"/>
      <c r="Q191" s="9"/>
      <c r="R191" s="87"/>
      <c r="S191" s="87"/>
      <c r="T191" s="87"/>
      <c r="U191" s="9"/>
      <c r="V191" s="87"/>
      <c r="W191" s="87"/>
      <c r="X191" s="87"/>
      <c r="Y191" s="87"/>
      <c r="Z191" s="87"/>
      <c r="AA191" s="87"/>
      <c r="AB191" s="87"/>
      <c r="AC191" s="243"/>
      <c r="AD191" s="234"/>
      <c r="AE191" s="234"/>
      <c r="AF191" s="234"/>
      <c r="AG191" s="9"/>
      <c r="AH191" s="87"/>
      <c r="AI191" s="87"/>
      <c r="AJ191" s="87"/>
      <c r="AK191" s="244"/>
      <c r="AL191" s="245"/>
      <c r="AM191" s="244"/>
      <c r="AN191" s="244"/>
      <c r="AO191" s="87"/>
      <c r="AP191" s="87"/>
      <c r="AQ191" s="87"/>
      <c r="AR191" s="87"/>
      <c r="AS191" s="87"/>
      <c r="AT191" s="87"/>
      <c r="AU191" s="87"/>
      <c r="AV191" s="87"/>
      <c r="AW191" s="87"/>
      <c r="AX191" s="87"/>
    </row>
    <row r="192">
      <c r="A192" s="9"/>
      <c r="B192" s="87"/>
      <c r="C192" s="87"/>
      <c r="D192" s="87"/>
      <c r="E192" s="9"/>
      <c r="F192" s="87"/>
      <c r="G192" s="87"/>
      <c r="H192" s="87"/>
      <c r="I192" s="9"/>
      <c r="J192" s="87"/>
      <c r="K192" s="87"/>
      <c r="L192" s="87"/>
      <c r="M192" s="9"/>
      <c r="N192" s="87"/>
      <c r="O192" s="87"/>
      <c r="P192" s="87"/>
      <c r="Q192" s="9"/>
      <c r="R192" s="87"/>
      <c r="S192" s="87"/>
      <c r="T192" s="87"/>
      <c r="U192" s="9"/>
      <c r="V192" s="87"/>
      <c r="W192" s="87"/>
      <c r="X192" s="87"/>
      <c r="Y192" s="87"/>
      <c r="Z192" s="87"/>
      <c r="AA192" s="87"/>
      <c r="AB192" s="87"/>
      <c r="AC192" s="243"/>
      <c r="AD192" s="234"/>
      <c r="AE192" s="234"/>
      <c r="AF192" s="234"/>
      <c r="AG192" s="9"/>
      <c r="AH192" s="87"/>
      <c r="AI192" s="87"/>
      <c r="AJ192" s="87"/>
      <c r="AK192" s="244"/>
      <c r="AL192" s="245"/>
      <c r="AM192" s="244"/>
      <c r="AN192" s="244"/>
      <c r="AO192" s="87"/>
      <c r="AP192" s="87"/>
      <c r="AQ192" s="87"/>
      <c r="AR192" s="87"/>
      <c r="AS192" s="87"/>
      <c r="AT192" s="87"/>
      <c r="AU192" s="87"/>
      <c r="AV192" s="87"/>
      <c r="AW192" s="87"/>
      <c r="AX192" s="87"/>
    </row>
    <row r="193">
      <c r="A193" s="9"/>
      <c r="B193" s="87"/>
      <c r="C193" s="87"/>
      <c r="D193" s="87"/>
      <c r="E193" s="9"/>
      <c r="F193" s="87"/>
      <c r="G193" s="87"/>
      <c r="H193" s="87"/>
      <c r="I193" s="9"/>
      <c r="J193" s="87"/>
      <c r="K193" s="87"/>
      <c r="L193" s="87"/>
      <c r="M193" s="9"/>
      <c r="N193" s="87"/>
      <c r="O193" s="87"/>
      <c r="P193" s="87"/>
      <c r="Q193" s="9"/>
      <c r="R193" s="87"/>
      <c r="S193" s="87"/>
      <c r="T193" s="87"/>
      <c r="U193" s="9"/>
      <c r="V193" s="87"/>
      <c r="W193" s="87"/>
      <c r="X193" s="87"/>
      <c r="Y193" s="87"/>
      <c r="Z193" s="87"/>
      <c r="AA193" s="87"/>
      <c r="AB193" s="87"/>
      <c r="AC193" s="243"/>
      <c r="AD193" s="234"/>
      <c r="AE193" s="234"/>
      <c r="AF193" s="234"/>
      <c r="AG193" s="9"/>
      <c r="AH193" s="87"/>
      <c r="AI193" s="87"/>
      <c r="AJ193" s="87"/>
      <c r="AK193" s="244"/>
      <c r="AL193" s="245"/>
      <c r="AM193" s="244"/>
      <c r="AN193" s="244"/>
      <c r="AO193" s="87"/>
      <c r="AP193" s="87"/>
      <c r="AQ193" s="87"/>
      <c r="AR193" s="87"/>
      <c r="AS193" s="87"/>
      <c r="AT193" s="87"/>
      <c r="AU193" s="87"/>
      <c r="AV193" s="87"/>
      <c r="AW193" s="87"/>
      <c r="AX193" s="87"/>
    </row>
    <row r="194">
      <c r="A194" s="9"/>
      <c r="B194" s="87"/>
      <c r="C194" s="87"/>
      <c r="D194" s="87"/>
      <c r="E194" s="9"/>
      <c r="F194" s="87"/>
      <c r="G194" s="87"/>
      <c r="H194" s="87"/>
      <c r="I194" s="9"/>
      <c r="J194" s="87"/>
      <c r="K194" s="87"/>
      <c r="L194" s="87"/>
      <c r="M194" s="9"/>
      <c r="N194" s="87"/>
      <c r="O194" s="87"/>
      <c r="P194" s="87"/>
      <c r="Q194" s="9"/>
      <c r="R194" s="87"/>
      <c r="S194" s="87"/>
      <c r="T194" s="87"/>
      <c r="U194" s="9"/>
      <c r="V194" s="87"/>
      <c r="W194" s="87"/>
      <c r="X194" s="87"/>
      <c r="Y194" s="87"/>
      <c r="Z194" s="87"/>
      <c r="AA194" s="87"/>
      <c r="AB194" s="87"/>
      <c r="AC194" s="243"/>
      <c r="AD194" s="234"/>
      <c r="AE194" s="234"/>
      <c r="AF194" s="234"/>
      <c r="AG194" s="9"/>
      <c r="AH194" s="87"/>
      <c r="AI194" s="87"/>
      <c r="AJ194" s="87"/>
      <c r="AK194" s="244"/>
      <c r="AL194" s="245"/>
      <c r="AM194" s="244"/>
      <c r="AN194" s="244"/>
      <c r="AO194" s="87"/>
      <c r="AP194" s="87"/>
      <c r="AQ194" s="87"/>
      <c r="AR194" s="87"/>
      <c r="AS194" s="87"/>
      <c r="AT194" s="87"/>
      <c r="AU194" s="87"/>
      <c r="AV194" s="87"/>
      <c r="AW194" s="87"/>
      <c r="AX194" s="87"/>
    </row>
    <row r="195">
      <c r="A195" s="9"/>
      <c r="B195" s="87"/>
      <c r="C195" s="87"/>
      <c r="D195" s="87"/>
      <c r="E195" s="9"/>
      <c r="F195" s="87"/>
      <c r="G195" s="87"/>
      <c r="H195" s="87"/>
      <c r="I195" s="9"/>
      <c r="J195" s="87"/>
      <c r="K195" s="87"/>
      <c r="L195" s="87"/>
      <c r="M195" s="9"/>
      <c r="N195" s="87"/>
      <c r="O195" s="87"/>
      <c r="P195" s="87"/>
      <c r="Q195" s="9"/>
      <c r="R195" s="87"/>
      <c r="S195" s="87"/>
      <c r="T195" s="87"/>
      <c r="U195" s="9"/>
      <c r="V195" s="87"/>
      <c r="W195" s="87"/>
      <c r="X195" s="87"/>
      <c r="Y195" s="87"/>
      <c r="Z195" s="87"/>
      <c r="AA195" s="87"/>
      <c r="AB195" s="87"/>
      <c r="AC195" s="243"/>
      <c r="AD195" s="234"/>
      <c r="AE195" s="234"/>
      <c r="AF195" s="234"/>
      <c r="AG195" s="9"/>
      <c r="AH195" s="87"/>
      <c r="AI195" s="87"/>
      <c r="AJ195" s="87"/>
      <c r="AK195" s="244"/>
      <c r="AL195" s="245"/>
      <c r="AM195" s="244"/>
      <c r="AN195" s="244"/>
      <c r="AO195" s="87"/>
      <c r="AP195" s="87"/>
      <c r="AQ195" s="87"/>
      <c r="AR195" s="87"/>
      <c r="AS195" s="87"/>
      <c r="AT195" s="87"/>
      <c r="AU195" s="87"/>
      <c r="AV195" s="87"/>
      <c r="AW195" s="87"/>
      <c r="AX195" s="87"/>
    </row>
    <row r="196">
      <c r="A196" s="9"/>
      <c r="B196" s="87"/>
      <c r="C196" s="87"/>
      <c r="D196" s="87"/>
      <c r="E196" s="9"/>
      <c r="F196" s="87"/>
      <c r="G196" s="87"/>
      <c r="H196" s="87"/>
      <c r="I196" s="9"/>
      <c r="J196" s="87"/>
      <c r="K196" s="87"/>
      <c r="L196" s="87"/>
      <c r="M196" s="9"/>
      <c r="N196" s="87"/>
      <c r="O196" s="87"/>
      <c r="P196" s="87"/>
      <c r="Q196" s="9"/>
      <c r="R196" s="87"/>
      <c r="S196" s="87"/>
      <c r="T196" s="87"/>
      <c r="U196" s="9"/>
      <c r="V196" s="87"/>
      <c r="W196" s="87"/>
      <c r="X196" s="87"/>
      <c r="Y196" s="87"/>
      <c r="Z196" s="87"/>
      <c r="AA196" s="87"/>
      <c r="AB196" s="87"/>
      <c r="AC196" s="243"/>
      <c r="AD196" s="234"/>
      <c r="AE196" s="234"/>
      <c r="AF196" s="234"/>
      <c r="AG196" s="9"/>
      <c r="AH196" s="87"/>
      <c r="AI196" s="87"/>
      <c r="AJ196" s="87"/>
      <c r="AK196" s="244"/>
      <c r="AL196" s="245"/>
      <c r="AM196" s="244"/>
      <c r="AN196" s="244"/>
      <c r="AO196" s="87"/>
      <c r="AP196" s="87"/>
      <c r="AQ196" s="87"/>
      <c r="AR196" s="87"/>
      <c r="AS196" s="87"/>
      <c r="AT196" s="87"/>
      <c r="AU196" s="87"/>
      <c r="AV196" s="87"/>
      <c r="AW196" s="87"/>
      <c r="AX196" s="87"/>
    </row>
    <row r="197">
      <c r="A197" s="9"/>
      <c r="B197" s="87"/>
      <c r="C197" s="87"/>
      <c r="D197" s="87"/>
      <c r="E197" s="9"/>
      <c r="F197" s="87"/>
      <c r="G197" s="87"/>
      <c r="H197" s="87"/>
      <c r="I197" s="9"/>
      <c r="J197" s="87"/>
      <c r="K197" s="87"/>
      <c r="L197" s="87"/>
      <c r="M197" s="9"/>
      <c r="N197" s="87"/>
      <c r="O197" s="87"/>
      <c r="P197" s="87"/>
      <c r="Q197" s="9"/>
      <c r="R197" s="87"/>
      <c r="S197" s="87"/>
      <c r="T197" s="87"/>
      <c r="U197" s="9"/>
      <c r="V197" s="87"/>
      <c r="W197" s="87"/>
      <c r="X197" s="87"/>
      <c r="Y197" s="87"/>
      <c r="Z197" s="87"/>
      <c r="AA197" s="87"/>
      <c r="AB197" s="87"/>
      <c r="AC197" s="243"/>
      <c r="AD197" s="234"/>
      <c r="AE197" s="234"/>
      <c r="AF197" s="234"/>
      <c r="AG197" s="9"/>
      <c r="AH197" s="87"/>
      <c r="AI197" s="87"/>
      <c r="AJ197" s="87"/>
      <c r="AK197" s="244"/>
      <c r="AL197" s="245"/>
      <c r="AM197" s="244"/>
      <c r="AN197" s="244"/>
      <c r="AO197" s="87"/>
      <c r="AP197" s="87"/>
      <c r="AQ197" s="87"/>
      <c r="AR197" s="87"/>
      <c r="AS197" s="87"/>
      <c r="AT197" s="87"/>
      <c r="AU197" s="87"/>
      <c r="AV197" s="87"/>
      <c r="AW197" s="87"/>
      <c r="AX197" s="87"/>
    </row>
    <row r="198">
      <c r="A198" s="9"/>
      <c r="B198" s="87"/>
      <c r="C198" s="87"/>
      <c r="D198" s="87"/>
      <c r="E198" s="9"/>
      <c r="F198" s="87"/>
      <c r="G198" s="87"/>
      <c r="H198" s="87"/>
      <c r="I198" s="9"/>
      <c r="J198" s="87"/>
      <c r="K198" s="87"/>
      <c r="L198" s="87"/>
      <c r="M198" s="9"/>
      <c r="N198" s="87"/>
      <c r="O198" s="87"/>
      <c r="P198" s="87"/>
      <c r="Q198" s="9"/>
      <c r="R198" s="87"/>
      <c r="S198" s="87"/>
      <c r="T198" s="87"/>
      <c r="U198" s="9"/>
      <c r="V198" s="87"/>
      <c r="W198" s="87"/>
      <c r="X198" s="87"/>
      <c r="Y198" s="87"/>
      <c r="Z198" s="87"/>
      <c r="AA198" s="87"/>
      <c r="AB198" s="87"/>
      <c r="AC198" s="243"/>
      <c r="AD198" s="234"/>
      <c r="AE198" s="234"/>
      <c r="AF198" s="234"/>
      <c r="AG198" s="9"/>
      <c r="AH198" s="87"/>
      <c r="AI198" s="87"/>
      <c r="AJ198" s="87"/>
      <c r="AK198" s="244"/>
      <c r="AL198" s="245"/>
      <c r="AM198" s="244"/>
      <c r="AN198" s="244"/>
      <c r="AO198" s="87"/>
      <c r="AP198" s="87"/>
      <c r="AQ198" s="87"/>
      <c r="AR198" s="87"/>
      <c r="AS198" s="87"/>
      <c r="AT198" s="87"/>
      <c r="AU198" s="87"/>
      <c r="AV198" s="87"/>
      <c r="AW198" s="87"/>
      <c r="AX198" s="87"/>
    </row>
    <row r="199">
      <c r="A199" s="9"/>
      <c r="B199" s="87"/>
      <c r="C199" s="87"/>
      <c r="D199" s="87"/>
      <c r="E199" s="9"/>
      <c r="F199" s="87"/>
      <c r="G199" s="87"/>
      <c r="H199" s="87"/>
      <c r="I199" s="9"/>
      <c r="J199" s="87"/>
      <c r="K199" s="87"/>
      <c r="L199" s="87"/>
      <c r="M199" s="9"/>
      <c r="N199" s="87"/>
      <c r="O199" s="87"/>
      <c r="P199" s="87"/>
      <c r="Q199" s="9"/>
      <c r="R199" s="87"/>
      <c r="S199" s="87"/>
      <c r="T199" s="87"/>
      <c r="U199" s="9"/>
      <c r="V199" s="87"/>
      <c r="W199" s="87"/>
      <c r="X199" s="87"/>
      <c r="Y199" s="87"/>
      <c r="Z199" s="87"/>
      <c r="AA199" s="87"/>
      <c r="AB199" s="87"/>
      <c r="AC199" s="243"/>
      <c r="AD199" s="234"/>
      <c r="AE199" s="234"/>
      <c r="AF199" s="234"/>
      <c r="AG199" s="9"/>
      <c r="AH199" s="87"/>
      <c r="AI199" s="87"/>
      <c r="AJ199" s="87"/>
      <c r="AK199" s="244"/>
      <c r="AL199" s="245"/>
      <c r="AM199" s="244"/>
      <c r="AN199" s="244"/>
      <c r="AO199" s="87"/>
      <c r="AP199" s="87"/>
      <c r="AQ199" s="87"/>
      <c r="AR199" s="87"/>
      <c r="AS199" s="87"/>
      <c r="AT199" s="87"/>
      <c r="AU199" s="87"/>
      <c r="AV199" s="87"/>
      <c r="AW199" s="87"/>
      <c r="AX199" s="87"/>
    </row>
    <row r="200">
      <c r="A200" s="9"/>
      <c r="B200" s="87"/>
      <c r="C200" s="87"/>
      <c r="D200" s="87"/>
      <c r="E200" s="9"/>
      <c r="F200" s="87"/>
      <c r="G200" s="87"/>
      <c r="H200" s="87"/>
      <c r="I200" s="9"/>
      <c r="J200" s="87"/>
      <c r="K200" s="87"/>
      <c r="L200" s="87"/>
      <c r="M200" s="9"/>
      <c r="N200" s="87"/>
      <c r="O200" s="87"/>
      <c r="P200" s="87"/>
      <c r="Q200" s="9"/>
      <c r="R200" s="87"/>
      <c r="S200" s="87"/>
      <c r="T200" s="87"/>
      <c r="U200" s="9"/>
      <c r="V200" s="87"/>
      <c r="W200" s="87"/>
      <c r="X200" s="87"/>
      <c r="Y200" s="87"/>
      <c r="Z200" s="87"/>
      <c r="AA200" s="87"/>
      <c r="AB200" s="87"/>
      <c r="AC200" s="243"/>
      <c r="AD200" s="234"/>
      <c r="AE200" s="234"/>
      <c r="AF200" s="234"/>
      <c r="AG200" s="9"/>
      <c r="AH200" s="87"/>
      <c r="AI200" s="87"/>
      <c r="AJ200" s="87"/>
      <c r="AK200" s="244"/>
      <c r="AL200" s="245"/>
      <c r="AM200" s="244"/>
      <c r="AN200" s="244"/>
      <c r="AO200" s="87"/>
      <c r="AP200" s="87"/>
      <c r="AQ200" s="87"/>
      <c r="AR200" s="87"/>
      <c r="AS200" s="87"/>
      <c r="AT200" s="87"/>
      <c r="AU200" s="87"/>
      <c r="AV200" s="87"/>
      <c r="AW200" s="87"/>
      <c r="AX200" s="87"/>
    </row>
    <row r="201">
      <c r="A201" s="9"/>
      <c r="B201" s="87"/>
      <c r="C201" s="87"/>
      <c r="D201" s="87"/>
      <c r="E201" s="9"/>
      <c r="F201" s="87"/>
      <c r="G201" s="87"/>
      <c r="H201" s="87"/>
      <c r="I201" s="9"/>
      <c r="J201" s="87"/>
      <c r="K201" s="87"/>
      <c r="L201" s="87"/>
      <c r="M201" s="9"/>
      <c r="N201" s="87"/>
      <c r="O201" s="87"/>
      <c r="P201" s="87"/>
      <c r="Q201" s="9"/>
      <c r="R201" s="87"/>
      <c r="S201" s="87"/>
      <c r="T201" s="87"/>
      <c r="U201" s="9"/>
      <c r="V201" s="87"/>
      <c r="W201" s="87"/>
      <c r="X201" s="87"/>
      <c r="Y201" s="87"/>
      <c r="Z201" s="87"/>
      <c r="AA201" s="87"/>
      <c r="AB201" s="87"/>
      <c r="AC201" s="243"/>
      <c r="AD201" s="234"/>
      <c r="AE201" s="234"/>
      <c r="AF201" s="234"/>
      <c r="AG201" s="9"/>
      <c r="AH201" s="87"/>
      <c r="AI201" s="87"/>
      <c r="AJ201" s="87"/>
      <c r="AK201" s="244"/>
      <c r="AL201" s="245"/>
      <c r="AM201" s="244"/>
      <c r="AN201" s="244"/>
      <c r="AO201" s="87"/>
      <c r="AP201" s="87"/>
      <c r="AQ201" s="87"/>
      <c r="AR201" s="87"/>
      <c r="AS201" s="87"/>
      <c r="AT201" s="87"/>
      <c r="AU201" s="87"/>
      <c r="AV201" s="87"/>
      <c r="AW201" s="87"/>
      <c r="AX201" s="87"/>
    </row>
    <row r="202">
      <c r="A202" s="9"/>
      <c r="B202" s="87"/>
      <c r="C202" s="87"/>
      <c r="D202" s="87"/>
      <c r="E202" s="9"/>
      <c r="F202" s="87"/>
      <c r="G202" s="87"/>
      <c r="H202" s="87"/>
      <c r="I202" s="9"/>
      <c r="J202" s="87"/>
      <c r="K202" s="87"/>
      <c r="L202" s="87"/>
      <c r="M202" s="9"/>
      <c r="N202" s="87"/>
      <c r="O202" s="87"/>
      <c r="P202" s="87"/>
      <c r="Q202" s="9"/>
      <c r="R202" s="87"/>
      <c r="S202" s="87"/>
      <c r="T202" s="87"/>
      <c r="U202" s="9"/>
      <c r="V202" s="87"/>
      <c r="W202" s="87"/>
      <c r="X202" s="87"/>
      <c r="Y202" s="87"/>
      <c r="Z202" s="87"/>
      <c r="AA202" s="87"/>
      <c r="AB202" s="87"/>
      <c r="AC202" s="243"/>
      <c r="AD202" s="234"/>
      <c r="AE202" s="234"/>
      <c r="AF202" s="234"/>
      <c r="AG202" s="9"/>
      <c r="AH202" s="87"/>
      <c r="AI202" s="87"/>
      <c r="AJ202" s="87"/>
      <c r="AK202" s="244"/>
      <c r="AL202" s="245"/>
      <c r="AM202" s="244"/>
      <c r="AN202" s="244"/>
      <c r="AO202" s="87"/>
      <c r="AP202" s="87"/>
      <c r="AQ202" s="87"/>
      <c r="AR202" s="87"/>
      <c r="AS202" s="87"/>
      <c r="AT202" s="87"/>
      <c r="AU202" s="87"/>
      <c r="AV202" s="87"/>
      <c r="AW202" s="87"/>
      <c r="AX202" s="87"/>
    </row>
    <row r="203">
      <c r="A203" s="9"/>
      <c r="B203" s="87"/>
      <c r="C203" s="87"/>
      <c r="D203" s="87"/>
      <c r="E203" s="9"/>
      <c r="F203" s="87"/>
      <c r="G203" s="87"/>
      <c r="H203" s="87"/>
      <c r="I203" s="9"/>
      <c r="J203" s="87"/>
      <c r="K203" s="87"/>
      <c r="L203" s="87"/>
      <c r="M203" s="9"/>
      <c r="N203" s="87"/>
      <c r="O203" s="87"/>
      <c r="P203" s="87"/>
      <c r="Q203" s="9"/>
      <c r="R203" s="87"/>
      <c r="S203" s="87"/>
      <c r="T203" s="87"/>
      <c r="U203" s="9"/>
      <c r="V203" s="87"/>
      <c r="W203" s="87"/>
      <c r="X203" s="87"/>
      <c r="Y203" s="87"/>
      <c r="Z203" s="87"/>
      <c r="AA203" s="87"/>
      <c r="AB203" s="87"/>
      <c r="AC203" s="243"/>
      <c r="AD203" s="234"/>
      <c r="AE203" s="234"/>
      <c r="AF203" s="234"/>
      <c r="AG203" s="9"/>
      <c r="AH203" s="87"/>
      <c r="AI203" s="87"/>
      <c r="AJ203" s="87"/>
      <c r="AK203" s="244"/>
      <c r="AL203" s="245"/>
      <c r="AM203" s="244"/>
      <c r="AN203" s="244"/>
      <c r="AO203" s="87"/>
      <c r="AP203" s="87"/>
      <c r="AQ203" s="87"/>
      <c r="AR203" s="87"/>
      <c r="AS203" s="87"/>
      <c r="AT203" s="87"/>
      <c r="AU203" s="87"/>
      <c r="AV203" s="87"/>
      <c r="AW203" s="87"/>
      <c r="AX203" s="87"/>
    </row>
    <row r="204">
      <c r="A204" s="9"/>
      <c r="B204" s="87"/>
      <c r="C204" s="87"/>
      <c r="D204" s="87"/>
      <c r="E204" s="9"/>
      <c r="F204" s="87"/>
      <c r="G204" s="87"/>
      <c r="H204" s="87"/>
      <c r="I204" s="9"/>
      <c r="J204" s="87"/>
      <c r="K204" s="87"/>
      <c r="L204" s="87"/>
      <c r="M204" s="9"/>
      <c r="N204" s="87"/>
      <c r="O204" s="87"/>
      <c r="P204" s="87"/>
      <c r="Q204" s="9"/>
      <c r="R204" s="87"/>
      <c r="S204" s="87"/>
      <c r="T204" s="87"/>
      <c r="U204" s="9"/>
      <c r="V204" s="87"/>
      <c r="W204" s="87"/>
      <c r="X204" s="87"/>
      <c r="Y204" s="87"/>
      <c r="Z204" s="87"/>
      <c r="AA204" s="87"/>
      <c r="AB204" s="87"/>
      <c r="AC204" s="243"/>
      <c r="AD204" s="234"/>
      <c r="AE204" s="234"/>
      <c r="AF204" s="234"/>
      <c r="AG204" s="9"/>
      <c r="AH204" s="87"/>
      <c r="AI204" s="87"/>
      <c r="AJ204" s="87"/>
      <c r="AK204" s="244"/>
      <c r="AL204" s="245"/>
      <c r="AM204" s="244"/>
      <c r="AN204" s="244"/>
      <c r="AO204" s="87"/>
      <c r="AP204" s="87"/>
      <c r="AQ204" s="87"/>
      <c r="AR204" s="87"/>
      <c r="AS204" s="87"/>
      <c r="AT204" s="87"/>
      <c r="AU204" s="87"/>
      <c r="AV204" s="87"/>
      <c r="AW204" s="87"/>
      <c r="AX204" s="87"/>
    </row>
    <row r="205">
      <c r="A205" s="9"/>
      <c r="B205" s="87"/>
      <c r="C205" s="87"/>
      <c r="D205" s="87"/>
      <c r="E205" s="9"/>
      <c r="F205" s="87"/>
      <c r="G205" s="87"/>
      <c r="H205" s="87"/>
      <c r="I205" s="9"/>
      <c r="J205" s="87"/>
      <c r="K205" s="87"/>
      <c r="L205" s="87"/>
      <c r="M205" s="9"/>
      <c r="N205" s="87"/>
      <c r="O205" s="87"/>
      <c r="P205" s="87"/>
      <c r="Q205" s="9"/>
      <c r="R205" s="87"/>
      <c r="S205" s="87"/>
      <c r="T205" s="87"/>
      <c r="U205" s="9"/>
      <c r="V205" s="87"/>
      <c r="W205" s="87"/>
      <c r="X205" s="87"/>
      <c r="Y205" s="87"/>
      <c r="Z205" s="87"/>
      <c r="AA205" s="87"/>
      <c r="AB205" s="87"/>
      <c r="AC205" s="243"/>
      <c r="AD205" s="234"/>
      <c r="AE205" s="234"/>
      <c r="AF205" s="234"/>
      <c r="AG205" s="9"/>
      <c r="AH205" s="87"/>
      <c r="AI205" s="87"/>
      <c r="AJ205" s="87"/>
      <c r="AK205" s="244"/>
      <c r="AL205" s="245"/>
      <c r="AM205" s="244"/>
      <c r="AN205" s="244"/>
      <c r="AO205" s="87"/>
      <c r="AP205" s="87"/>
      <c r="AQ205" s="87"/>
      <c r="AR205" s="87"/>
      <c r="AS205" s="87"/>
      <c r="AT205" s="87"/>
      <c r="AU205" s="87"/>
      <c r="AV205" s="87"/>
      <c r="AW205" s="87"/>
      <c r="AX205" s="87"/>
    </row>
    <row r="206">
      <c r="A206" s="9"/>
      <c r="B206" s="87"/>
      <c r="C206" s="87"/>
      <c r="D206" s="87"/>
      <c r="E206" s="9"/>
      <c r="F206" s="87"/>
      <c r="G206" s="87"/>
      <c r="H206" s="87"/>
      <c r="I206" s="9"/>
      <c r="J206" s="87"/>
      <c r="K206" s="87"/>
      <c r="L206" s="87"/>
      <c r="M206" s="9"/>
      <c r="N206" s="87"/>
      <c r="O206" s="87"/>
      <c r="P206" s="87"/>
      <c r="Q206" s="9"/>
      <c r="R206" s="87"/>
      <c r="S206" s="87"/>
      <c r="T206" s="87"/>
      <c r="U206" s="9"/>
      <c r="V206" s="87"/>
      <c r="W206" s="87"/>
      <c r="X206" s="87"/>
      <c r="Y206" s="87"/>
      <c r="Z206" s="87"/>
      <c r="AA206" s="87"/>
      <c r="AB206" s="87"/>
      <c r="AC206" s="243"/>
      <c r="AD206" s="234"/>
      <c r="AE206" s="234"/>
      <c r="AF206" s="234"/>
      <c r="AG206" s="9"/>
      <c r="AH206" s="87"/>
      <c r="AI206" s="87"/>
      <c r="AJ206" s="87"/>
      <c r="AK206" s="244"/>
      <c r="AL206" s="245"/>
      <c r="AM206" s="244"/>
      <c r="AN206" s="244"/>
      <c r="AO206" s="87"/>
      <c r="AP206" s="87"/>
      <c r="AQ206" s="87"/>
      <c r="AR206" s="87"/>
      <c r="AS206" s="87"/>
      <c r="AT206" s="87"/>
      <c r="AU206" s="87"/>
      <c r="AV206" s="87"/>
      <c r="AW206" s="87"/>
      <c r="AX206" s="87"/>
    </row>
    <row r="207">
      <c r="A207" s="9"/>
      <c r="B207" s="87"/>
      <c r="C207" s="87"/>
      <c r="D207" s="87"/>
      <c r="E207" s="9"/>
      <c r="F207" s="87"/>
      <c r="G207" s="87"/>
      <c r="H207" s="87"/>
      <c r="I207" s="9"/>
      <c r="J207" s="87"/>
      <c r="K207" s="87"/>
      <c r="L207" s="87"/>
      <c r="M207" s="9"/>
      <c r="N207" s="87"/>
      <c r="O207" s="87"/>
      <c r="P207" s="87"/>
      <c r="Q207" s="9"/>
      <c r="R207" s="87"/>
      <c r="S207" s="87"/>
      <c r="T207" s="87"/>
      <c r="U207" s="9"/>
      <c r="V207" s="87"/>
      <c r="W207" s="87"/>
      <c r="X207" s="87"/>
      <c r="Y207" s="87"/>
      <c r="Z207" s="87"/>
      <c r="AA207" s="87"/>
      <c r="AB207" s="87"/>
      <c r="AC207" s="243"/>
      <c r="AD207" s="234"/>
      <c r="AE207" s="234"/>
      <c r="AF207" s="234"/>
      <c r="AG207" s="9"/>
      <c r="AH207" s="87"/>
      <c r="AI207" s="87"/>
      <c r="AJ207" s="87"/>
      <c r="AK207" s="244"/>
      <c r="AL207" s="245"/>
      <c r="AM207" s="244"/>
      <c r="AN207" s="244"/>
      <c r="AO207" s="87"/>
      <c r="AP207" s="87"/>
      <c r="AQ207" s="87"/>
      <c r="AR207" s="87"/>
      <c r="AS207" s="87"/>
      <c r="AT207" s="87"/>
      <c r="AU207" s="87"/>
      <c r="AV207" s="87"/>
      <c r="AW207" s="87"/>
      <c r="AX207" s="87"/>
    </row>
    <row r="208">
      <c r="A208" s="9"/>
      <c r="B208" s="87"/>
      <c r="C208" s="87"/>
      <c r="D208" s="87"/>
      <c r="E208" s="9"/>
      <c r="F208" s="87"/>
      <c r="G208" s="87"/>
      <c r="H208" s="87"/>
      <c r="I208" s="9"/>
      <c r="J208" s="87"/>
      <c r="K208" s="87"/>
      <c r="L208" s="87"/>
      <c r="M208" s="9"/>
      <c r="N208" s="87"/>
      <c r="O208" s="87"/>
      <c r="P208" s="87"/>
      <c r="Q208" s="9"/>
      <c r="R208" s="87"/>
      <c r="S208" s="87"/>
      <c r="T208" s="87"/>
      <c r="U208" s="9"/>
      <c r="V208" s="87"/>
      <c r="W208" s="87"/>
      <c r="X208" s="87"/>
      <c r="Y208" s="87"/>
      <c r="Z208" s="87"/>
      <c r="AA208" s="87"/>
      <c r="AB208" s="87"/>
      <c r="AC208" s="243"/>
      <c r="AD208" s="234"/>
      <c r="AE208" s="234"/>
      <c r="AF208" s="234"/>
      <c r="AG208" s="9"/>
      <c r="AH208" s="87"/>
      <c r="AI208" s="87"/>
      <c r="AJ208" s="87"/>
      <c r="AK208" s="244"/>
      <c r="AL208" s="245"/>
      <c r="AM208" s="244"/>
      <c r="AN208" s="244"/>
      <c r="AO208" s="87"/>
      <c r="AP208" s="87"/>
      <c r="AQ208" s="87"/>
      <c r="AR208" s="87"/>
      <c r="AS208" s="87"/>
      <c r="AT208" s="87"/>
      <c r="AU208" s="87"/>
      <c r="AV208" s="87"/>
      <c r="AW208" s="87"/>
      <c r="AX208" s="87"/>
    </row>
    <row r="209">
      <c r="A209" s="9"/>
      <c r="B209" s="87"/>
      <c r="C209" s="87"/>
      <c r="D209" s="87"/>
      <c r="E209" s="9"/>
      <c r="F209" s="87"/>
      <c r="G209" s="87"/>
      <c r="H209" s="87"/>
      <c r="I209" s="9"/>
      <c r="J209" s="87"/>
      <c r="K209" s="87"/>
      <c r="L209" s="87"/>
      <c r="M209" s="9"/>
      <c r="N209" s="87"/>
      <c r="O209" s="87"/>
      <c r="P209" s="87"/>
      <c r="Q209" s="9"/>
      <c r="R209" s="87"/>
      <c r="S209" s="87"/>
      <c r="T209" s="87"/>
      <c r="U209" s="9"/>
      <c r="V209" s="87"/>
      <c r="W209" s="87"/>
      <c r="X209" s="87"/>
      <c r="Y209" s="87"/>
      <c r="Z209" s="87"/>
      <c r="AA209" s="87"/>
      <c r="AB209" s="87"/>
      <c r="AC209" s="243"/>
      <c r="AD209" s="234"/>
      <c r="AE209" s="234"/>
      <c r="AF209" s="234"/>
      <c r="AG209" s="9"/>
      <c r="AH209" s="87"/>
      <c r="AI209" s="87"/>
      <c r="AJ209" s="87"/>
      <c r="AK209" s="244"/>
      <c r="AL209" s="245"/>
      <c r="AM209" s="244"/>
      <c r="AN209" s="244"/>
      <c r="AO209" s="87"/>
      <c r="AP209" s="87"/>
      <c r="AQ209" s="87"/>
      <c r="AR209" s="87"/>
      <c r="AS209" s="87"/>
      <c r="AT209" s="87"/>
      <c r="AU209" s="87"/>
      <c r="AV209" s="87"/>
      <c r="AW209" s="87"/>
      <c r="AX209" s="87"/>
    </row>
    <row r="210">
      <c r="A210" s="9"/>
      <c r="B210" s="87"/>
      <c r="C210" s="87"/>
      <c r="D210" s="87"/>
      <c r="E210" s="9"/>
      <c r="F210" s="87"/>
      <c r="G210" s="87"/>
      <c r="H210" s="87"/>
      <c r="I210" s="9"/>
      <c r="J210" s="87"/>
      <c r="K210" s="87"/>
      <c r="L210" s="87"/>
      <c r="M210" s="9"/>
      <c r="N210" s="87"/>
      <c r="O210" s="87"/>
      <c r="P210" s="87"/>
      <c r="Q210" s="9"/>
      <c r="R210" s="87"/>
      <c r="S210" s="87"/>
      <c r="T210" s="87"/>
      <c r="U210" s="9"/>
      <c r="V210" s="87"/>
      <c r="W210" s="87"/>
      <c r="X210" s="87"/>
      <c r="Y210" s="87"/>
      <c r="Z210" s="87"/>
      <c r="AA210" s="87"/>
      <c r="AB210" s="87"/>
      <c r="AC210" s="243"/>
      <c r="AD210" s="234"/>
      <c r="AE210" s="234"/>
      <c r="AF210" s="234"/>
      <c r="AG210" s="9"/>
      <c r="AH210" s="87"/>
      <c r="AI210" s="87"/>
      <c r="AJ210" s="87"/>
      <c r="AK210" s="244"/>
      <c r="AL210" s="245"/>
      <c r="AM210" s="244"/>
      <c r="AN210" s="244"/>
      <c r="AO210" s="87"/>
      <c r="AP210" s="87"/>
      <c r="AQ210" s="87"/>
      <c r="AR210" s="87"/>
      <c r="AS210" s="87"/>
      <c r="AT210" s="87"/>
      <c r="AU210" s="87"/>
      <c r="AV210" s="87"/>
      <c r="AW210" s="87"/>
      <c r="AX210" s="87"/>
    </row>
    <row r="211">
      <c r="A211" s="9"/>
      <c r="B211" s="87"/>
      <c r="C211" s="87"/>
      <c r="D211" s="87"/>
      <c r="E211" s="9"/>
      <c r="F211" s="87"/>
      <c r="G211" s="87"/>
      <c r="H211" s="87"/>
      <c r="I211" s="9"/>
      <c r="J211" s="87"/>
      <c r="K211" s="87"/>
      <c r="L211" s="87"/>
      <c r="M211" s="9"/>
      <c r="N211" s="87"/>
      <c r="O211" s="87"/>
      <c r="P211" s="87"/>
      <c r="Q211" s="9"/>
      <c r="R211" s="87"/>
      <c r="S211" s="87"/>
      <c r="T211" s="87"/>
      <c r="U211" s="9"/>
      <c r="V211" s="87"/>
      <c r="W211" s="87"/>
      <c r="X211" s="87"/>
      <c r="Y211" s="87"/>
      <c r="Z211" s="87"/>
      <c r="AA211" s="87"/>
      <c r="AB211" s="87"/>
      <c r="AC211" s="243"/>
      <c r="AD211" s="234"/>
      <c r="AE211" s="234"/>
      <c r="AF211" s="234"/>
      <c r="AG211" s="9"/>
      <c r="AH211" s="87"/>
      <c r="AI211" s="87"/>
      <c r="AJ211" s="87"/>
      <c r="AK211" s="244"/>
      <c r="AL211" s="245"/>
      <c r="AM211" s="244"/>
      <c r="AN211" s="244"/>
      <c r="AO211" s="87"/>
      <c r="AP211" s="87"/>
      <c r="AQ211" s="87"/>
      <c r="AR211" s="87"/>
      <c r="AS211" s="87"/>
      <c r="AT211" s="87"/>
      <c r="AU211" s="87"/>
      <c r="AV211" s="87"/>
      <c r="AW211" s="87"/>
      <c r="AX211" s="87"/>
    </row>
    <row r="212">
      <c r="A212" s="9"/>
      <c r="B212" s="87"/>
      <c r="C212" s="87"/>
      <c r="D212" s="87"/>
      <c r="E212" s="9"/>
      <c r="F212" s="87"/>
      <c r="G212" s="87"/>
      <c r="H212" s="87"/>
      <c r="I212" s="9"/>
      <c r="J212" s="87"/>
      <c r="K212" s="87"/>
      <c r="L212" s="87"/>
      <c r="M212" s="9"/>
      <c r="N212" s="87"/>
      <c r="O212" s="87"/>
      <c r="P212" s="87"/>
      <c r="Q212" s="9"/>
      <c r="R212" s="87"/>
      <c r="S212" s="87"/>
      <c r="T212" s="87"/>
      <c r="U212" s="9"/>
      <c r="V212" s="87"/>
      <c r="W212" s="87"/>
      <c r="X212" s="87"/>
      <c r="Y212" s="87"/>
      <c r="Z212" s="87"/>
      <c r="AA212" s="87"/>
      <c r="AB212" s="87"/>
      <c r="AC212" s="243"/>
      <c r="AD212" s="234"/>
      <c r="AE212" s="234"/>
      <c r="AF212" s="234"/>
      <c r="AG212" s="9"/>
      <c r="AH212" s="87"/>
      <c r="AI212" s="87"/>
      <c r="AJ212" s="87"/>
      <c r="AK212" s="244"/>
      <c r="AL212" s="245"/>
      <c r="AM212" s="244"/>
      <c r="AN212" s="244"/>
      <c r="AO212" s="87"/>
      <c r="AP212" s="87"/>
      <c r="AQ212" s="87"/>
      <c r="AR212" s="87"/>
      <c r="AS212" s="87"/>
      <c r="AT212" s="87"/>
      <c r="AU212" s="87"/>
      <c r="AV212" s="87"/>
      <c r="AW212" s="87"/>
      <c r="AX212" s="87"/>
    </row>
    <row r="213">
      <c r="A213" s="9"/>
      <c r="B213" s="87"/>
      <c r="C213" s="87"/>
      <c r="D213" s="87"/>
      <c r="E213" s="9"/>
      <c r="F213" s="87"/>
      <c r="G213" s="87"/>
      <c r="H213" s="87"/>
      <c r="I213" s="9"/>
      <c r="J213" s="87"/>
      <c r="K213" s="87"/>
      <c r="L213" s="87"/>
      <c r="M213" s="9"/>
      <c r="N213" s="87"/>
      <c r="O213" s="87"/>
      <c r="P213" s="87"/>
      <c r="Q213" s="9"/>
      <c r="R213" s="87"/>
      <c r="S213" s="87"/>
      <c r="T213" s="87"/>
      <c r="U213" s="9"/>
      <c r="V213" s="87"/>
      <c r="W213" s="87"/>
      <c r="X213" s="87"/>
      <c r="Y213" s="87"/>
      <c r="Z213" s="87"/>
      <c r="AA213" s="87"/>
      <c r="AB213" s="87"/>
      <c r="AC213" s="243"/>
      <c r="AD213" s="234"/>
      <c r="AE213" s="234"/>
      <c r="AF213" s="234"/>
      <c r="AG213" s="9"/>
      <c r="AH213" s="87"/>
      <c r="AI213" s="87"/>
      <c r="AJ213" s="87"/>
      <c r="AK213" s="244"/>
      <c r="AL213" s="245"/>
      <c r="AM213" s="244"/>
      <c r="AN213" s="244"/>
      <c r="AO213" s="87"/>
      <c r="AP213" s="87"/>
      <c r="AQ213" s="87"/>
      <c r="AR213" s="87"/>
      <c r="AS213" s="87"/>
      <c r="AT213" s="87"/>
      <c r="AU213" s="87"/>
      <c r="AV213" s="87"/>
      <c r="AW213" s="87"/>
      <c r="AX213" s="87"/>
    </row>
    <row r="214">
      <c r="A214" s="9"/>
      <c r="B214" s="87"/>
      <c r="C214" s="87"/>
      <c r="D214" s="87"/>
      <c r="E214" s="9"/>
      <c r="F214" s="87"/>
      <c r="G214" s="87"/>
      <c r="H214" s="87"/>
      <c r="I214" s="9"/>
      <c r="J214" s="87"/>
      <c r="K214" s="87"/>
      <c r="L214" s="87"/>
      <c r="M214" s="9"/>
      <c r="N214" s="87"/>
      <c r="O214" s="87"/>
      <c r="P214" s="87"/>
      <c r="Q214" s="9"/>
      <c r="R214" s="87"/>
      <c r="S214" s="87"/>
      <c r="T214" s="87"/>
      <c r="U214" s="9"/>
      <c r="V214" s="87"/>
      <c r="W214" s="87"/>
      <c r="X214" s="87"/>
      <c r="Y214" s="87"/>
      <c r="Z214" s="87"/>
      <c r="AA214" s="87"/>
      <c r="AB214" s="87"/>
      <c r="AC214" s="243"/>
      <c r="AD214" s="234"/>
      <c r="AE214" s="234"/>
      <c r="AF214" s="234"/>
      <c r="AG214" s="9"/>
      <c r="AH214" s="87"/>
      <c r="AI214" s="87"/>
      <c r="AJ214" s="87"/>
      <c r="AK214" s="244"/>
      <c r="AL214" s="245"/>
      <c r="AM214" s="244"/>
      <c r="AN214" s="244"/>
      <c r="AO214" s="87"/>
      <c r="AP214" s="87"/>
      <c r="AQ214" s="87"/>
      <c r="AR214" s="87"/>
      <c r="AS214" s="87"/>
      <c r="AT214" s="87"/>
      <c r="AU214" s="87"/>
      <c r="AV214" s="87"/>
      <c r="AW214" s="87"/>
      <c r="AX214" s="87"/>
    </row>
    <row r="215">
      <c r="A215" s="9"/>
      <c r="B215" s="87"/>
      <c r="C215" s="87"/>
      <c r="D215" s="87"/>
      <c r="E215" s="9"/>
      <c r="F215" s="87"/>
      <c r="G215" s="87"/>
      <c r="H215" s="87"/>
      <c r="I215" s="9"/>
      <c r="J215" s="87"/>
      <c r="K215" s="87"/>
      <c r="L215" s="87"/>
      <c r="M215" s="9"/>
      <c r="N215" s="87"/>
      <c r="O215" s="87"/>
      <c r="P215" s="87"/>
      <c r="Q215" s="9"/>
      <c r="R215" s="87"/>
      <c r="S215" s="87"/>
      <c r="T215" s="87"/>
      <c r="U215" s="9"/>
      <c r="V215" s="87"/>
      <c r="W215" s="87"/>
      <c r="X215" s="87"/>
      <c r="Y215" s="87"/>
      <c r="Z215" s="87"/>
      <c r="AA215" s="87"/>
      <c r="AB215" s="87"/>
      <c r="AC215" s="243"/>
      <c r="AD215" s="234"/>
      <c r="AE215" s="234"/>
      <c r="AF215" s="234"/>
      <c r="AG215" s="9"/>
      <c r="AH215" s="87"/>
      <c r="AI215" s="87"/>
      <c r="AJ215" s="87"/>
      <c r="AK215" s="244"/>
      <c r="AL215" s="245"/>
      <c r="AM215" s="244"/>
      <c r="AN215" s="244"/>
      <c r="AO215" s="87"/>
      <c r="AP215" s="87"/>
      <c r="AQ215" s="87"/>
      <c r="AR215" s="87"/>
      <c r="AS215" s="87"/>
      <c r="AT215" s="87"/>
      <c r="AU215" s="87"/>
      <c r="AV215" s="87"/>
      <c r="AW215" s="87"/>
      <c r="AX215" s="87"/>
    </row>
    <row r="216">
      <c r="A216" s="9"/>
      <c r="B216" s="87"/>
      <c r="C216" s="87"/>
      <c r="D216" s="87"/>
      <c r="E216" s="9"/>
      <c r="F216" s="87"/>
      <c r="G216" s="87"/>
      <c r="H216" s="87"/>
      <c r="I216" s="9"/>
      <c r="J216" s="87"/>
      <c r="K216" s="87"/>
      <c r="L216" s="87"/>
      <c r="M216" s="9"/>
      <c r="N216" s="87"/>
      <c r="O216" s="87"/>
      <c r="P216" s="87"/>
      <c r="Q216" s="9"/>
      <c r="R216" s="87"/>
      <c r="S216" s="87"/>
      <c r="T216" s="87"/>
      <c r="U216" s="9"/>
      <c r="V216" s="87"/>
      <c r="W216" s="87"/>
      <c r="X216" s="87"/>
      <c r="Y216" s="87"/>
      <c r="Z216" s="87"/>
      <c r="AA216" s="87"/>
      <c r="AB216" s="87"/>
      <c r="AC216" s="243"/>
      <c r="AD216" s="234"/>
      <c r="AE216" s="234"/>
      <c r="AF216" s="234"/>
      <c r="AG216" s="9"/>
      <c r="AH216" s="87"/>
      <c r="AI216" s="87"/>
      <c r="AJ216" s="87"/>
      <c r="AK216" s="244"/>
      <c r="AL216" s="245"/>
      <c r="AM216" s="244"/>
      <c r="AN216" s="244"/>
      <c r="AO216" s="87"/>
      <c r="AP216" s="87"/>
      <c r="AQ216" s="87"/>
      <c r="AR216" s="87"/>
      <c r="AS216" s="87"/>
      <c r="AT216" s="87"/>
      <c r="AU216" s="87"/>
      <c r="AV216" s="87"/>
      <c r="AW216" s="87"/>
      <c r="AX216" s="87"/>
    </row>
    <row r="217">
      <c r="A217" s="9"/>
      <c r="B217" s="87"/>
      <c r="C217" s="87"/>
      <c r="D217" s="87"/>
      <c r="E217" s="9"/>
      <c r="F217" s="87"/>
      <c r="G217" s="87"/>
      <c r="H217" s="87"/>
      <c r="I217" s="9"/>
      <c r="J217" s="87"/>
      <c r="K217" s="87"/>
      <c r="L217" s="87"/>
      <c r="M217" s="9"/>
      <c r="N217" s="87"/>
      <c r="O217" s="87"/>
      <c r="P217" s="87"/>
      <c r="Q217" s="9"/>
      <c r="R217" s="87"/>
      <c r="S217" s="87"/>
      <c r="T217" s="87"/>
      <c r="U217" s="9"/>
      <c r="V217" s="87"/>
      <c r="W217" s="87"/>
      <c r="X217" s="87"/>
      <c r="Y217" s="87"/>
      <c r="Z217" s="87"/>
      <c r="AA217" s="87"/>
      <c r="AB217" s="87"/>
      <c r="AC217" s="243"/>
      <c r="AD217" s="234"/>
      <c r="AE217" s="234"/>
      <c r="AF217" s="234"/>
      <c r="AG217" s="9"/>
      <c r="AH217" s="87"/>
      <c r="AI217" s="87"/>
      <c r="AJ217" s="87"/>
      <c r="AK217" s="244"/>
      <c r="AL217" s="245"/>
      <c r="AM217" s="244"/>
      <c r="AN217" s="244"/>
      <c r="AO217" s="87"/>
      <c r="AP217" s="87"/>
      <c r="AQ217" s="87"/>
      <c r="AR217" s="87"/>
      <c r="AS217" s="87"/>
      <c r="AT217" s="87"/>
      <c r="AU217" s="87"/>
      <c r="AV217" s="87"/>
      <c r="AW217" s="87"/>
      <c r="AX217" s="87"/>
    </row>
    <row r="218">
      <c r="A218" s="9"/>
      <c r="B218" s="87"/>
      <c r="C218" s="87"/>
      <c r="D218" s="87"/>
      <c r="E218" s="9"/>
      <c r="F218" s="87"/>
      <c r="G218" s="87"/>
      <c r="H218" s="87"/>
      <c r="I218" s="9"/>
      <c r="J218" s="87"/>
      <c r="K218" s="87"/>
      <c r="L218" s="87"/>
      <c r="M218" s="9"/>
      <c r="N218" s="87"/>
      <c r="O218" s="87"/>
      <c r="P218" s="87"/>
      <c r="Q218" s="9"/>
      <c r="R218" s="87"/>
      <c r="S218" s="87"/>
      <c r="T218" s="87"/>
      <c r="U218" s="9"/>
      <c r="V218" s="87"/>
      <c r="W218" s="87"/>
      <c r="X218" s="87"/>
      <c r="Y218" s="87"/>
      <c r="Z218" s="87"/>
      <c r="AA218" s="87"/>
      <c r="AB218" s="87"/>
      <c r="AC218" s="243"/>
      <c r="AD218" s="234"/>
      <c r="AE218" s="234"/>
      <c r="AF218" s="234"/>
      <c r="AG218" s="9"/>
      <c r="AH218" s="87"/>
      <c r="AI218" s="87"/>
      <c r="AJ218" s="87"/>
      <c r="AK218" s="244"/>
      <c r="AL218" s="245"/>
      <c r="AM218" s="244"/>
      <c r="AN218" s="244"/>
      <c r="AO218" s="87"/>
      <c r="AP218" s="87"/>
      <c r="AQ218" s="87"/>
      <c r="AR218" s="87"/>
      <c r="AS218" s="87"/>
      <c r="AT218" s="87"/>
      <c r="AU218" s="87"/>
      <c r="AV218" s="87"/>
      <c r="AW218" s="87"/>
      <c r="AX218" s="87"/>
    </row>
    <row r="219">
      <c r="A219" s="9"/>
      <c r="B219" s="87"/>
      <c r="C219" s="87"/>
      <c r="D219" s="87"/>
      <c r="E219" s="9"/>
      <c r="F219" s="87"/>
      <c r="G219" s="87"/>
      <c r="H219" s="87"/>
      <c r="I219" s="9"/>
      <c r="J219" s="87"/>
      <c r="K219" s="87"/>
      <c r="L219" s="87"/>
      <c r="M219" s="9"/>
      <c r="N219" s="87"/>
      <c r="O219" s="87"/>
      <c r="P219" s="87"/>
      <c r="Q219" s="9"/>
      <c r="R219" s="87"/>
      <c r="S219" s="87"/>
      <c r="T219" s="87"/>
      <c r="U219" s="9"/>
      <c r="V219" s="87"/>
      <c r="W219" s="87"/>
      <c r="X219" s="87"/>
      <c r="Y219" s="87"/>
      <c r="Z219" s="87"/>
      <c r="AA219" s="87"/>
      <c r="AB219" s="87"/>
      <c r="AC219" s="243"/>
      <c r="AD219" s="234"/>
      <c r="AE219" s="234"/>
      <c r="AF219" s="234"/>
      <c r="AG219" s="9"/>
      <c r="AH219" s="87"/>
      <c r="AI219" s="87"/>
      <c r="AJ219" s="87"/>
      <c r="AK219" s="244"/>
      <c r="AL219" s="245"/>
      <c r="AM219" s="244"/>
      <c r="AN219" s="244"/>
      <c r="AO219" s="87"/>
      <c r="AP219" s="87"/>
      <c r="AQ219" s="87"/>
      <c r="AR219" s="87"/>
      <c r="AS219" s="87"/>
      <c r="AT219" s="87"/>
      <c r="AU219" s="87"/>
      <c r="AV219" s="87"/>
      <c r="AW219" s="87"/>
      <c r="AX219" s="87"/>
    </row>
    <row r="220">
      <c r="A220" s="9"/>
      <c r="B220" s="87"/>
      <c r="C220" s="87"/>
      <c r="D220" s="87"/>
      <c r="E220" s="9"/>
      <c r="F220" s="87"/>
      <c r="G220" s="87"/>
      <c r="H220" s="87"/>
      <c r="I220" s="9"/>
      <c r="J220" s="87"/>
      <c r="K220" s="87"/>
      <c r="L220" s="87"/>
      <c r="M220" s="9"/>
      <c r="N220" s="87"/>
      <c r="O220" s="87"/>
      <c r="P220" s="87"/>
      <c r="Q220" s="9"/>
      <c r="R220" s="87"/>
      <c r="S220" s="87"/>
      <c r="T220" s="87"/>
      <c r="U220" s="9"/>
      <c r="V220" s="87"/>
      <c r="W220" s="87"/>
      <c r="X220" s="87"/>
      <c r="Y220" s="87"/>
      <c r="Z220" s="87"/>
      <c r="AA220" s="87"/>
      <c r="AB220" s="87"/>
      <c r="AC220" s="243"/>
      <c r="AD220" s="234"/>
      <c r="AE220" s="234"/>
      <c r="AF220" s="234"/>
      <c r="AG220" s="9"/>
      <c r="AH220" s="87"/>
      <c r="AI220" s="87"/>
      <c r="AJ220" s="87"/>
      <c r="AK220" s="244"/>
      <c r="AL220" s="245"/>
      <c r="AM220" s="244"/>
      <c r="AN220" s="244"/>
      <c r="AO220" s="87"/>
      <c r="AP220" s="87"/>
      <c r="AQ220" s="87"/>
      <c r="AR220" s="87"/>
      <c r="AS220" s="87"/>
      <c r="AT220" s="87"/>
      <c r="AU220" s="87"/>
      <c r="AV220" s="87"/>
      <c r="AW220" s="87"/>
      <c r="AX220" s="87"/>
    </row>
    <row r="221">
      <c r="A221" s="9"/>
      <c r="B221" s="87"/>
      <c r="C221" s="87"/>
      <c r="D221" s="87"/>
      <c r="E221" s="9"/>
      <c r="F221" s="87"/>
      <c r="G221" s="87"/>
      <c r="H221" s="87"/>
      <c r="I221" s="9"/>
      <c r="J221" s="87"/>
      <c r="K221" s="87"/>
      <c r="L221" s="87"/>
      <c r="M221" s="9"/>
      <c r="N221" s="87"/>
      <c r="O221" s="87"/>
      <c r="P221" s="87"/>
      <c r="Q221" s="9"/>
      <c r="R221" s="87"/>
      <c r="S221" s="87"/>
      <c r="T221" s="87"/>
      <c r="U221" s="9"/>
      <c r="V221" s="87"/>
      <c r="W221" s="87"/>
      <c r="X221" s="87"/>
      <c r="Y221" s="87"/>
      <c r="Z221" s="87"/>
      <c r="AA221" s="87"/>
      <c r="AB221" s="87"/>
      <c r="AC221" s="243"/>
      <c r="AD221" s="234"/>
      <c r="AE221" s="234"/>
      <c r="AF221" s="234"/>
      <c r="AG221" s="9"/>
      <c r="AH221" s="87"/>
      <c r="AI221" s="87"/>
      <c r="AJ221" s="87"/>
      <c r="AK221" s="244"/>
      <c r="AL221" s="245"/>
      <c r="AM221" s="244"/>
      <c r="AN221" s="244"/>
      <c r="AO221" s="87"/>
      <c r="AP221" s="87"/>
      <c r="AQ221" s="87"/>
      <c r="AR221" s="87"/>
      <c r="AS221" s="87"/>
      <c r="AT221" s="87"/>
      <c r="AU221" s="87"/>
      <c r="AV221" s="87"/>
      <c r="AW221" s="87"/>
      <c r="AX221" s="87"/>
    </row>
    <row r="222">
      <c r="A222" s="9"/>
      <c r="B222" s="87"/>
      <c r="C222" s="87"/>
      <c r="D222" s="87"/>
      <c r="E222" s="9"/>
      <c r="F222" s="87"/>
      <c r="G222" s="87"/>
      <c r="H222" s="87"/>
      <c r="I222" s="9"/>
      <c r="J222" s="87"/>
      <c r="K222" s="87"/>
      <c r="L222" s="87"/>
      <c r="M222" s="9"/>
      <c r="N222" s="87"/>
      <c r="O222" s="87"/>
      <c r="P222" s="87"/>
      <c r="Q222" s="9"/>
      <c r="R222" s="87"/>
      <c r="S222" s="87"/>
      <c r="T222" s="87"/>
      <c r="U222" s="9"/>
      <c r="V222" s="87"/>
      <c r="W222" s="87"/>
      <c r="X222" s="87"/>
      <c r="Y222" s="87"/>
      <c r="Z222" s="87"/>
      <c r="AA222" s="87"/>
      <c r="AB222" s="87"/>
      <c r="AC222" s="243"/>
      <c r="AD222" s="234"/>
      <c r="AE222" s="234"/>
      <c r="AF222" s="234"/>
      <c r="AG222" s="9"/>
      <c r="AH222" s="87"/>
      <c r="AI222" s="87"/>
      <c r="AJ222" s="87"/>
      <c r="AK222" s="244"/>
      <c r="AL222" s="245"/>
      <c r="AM222" s="244"/>
      <c r="AN222" s="244"/>
      <c r="AO222" s="87"/>
      <c r="AP222" s="87"/>
      <c r="AQ222" s="87"/>
      <c r="AR222" s="87"/>
      <c r="AS222" s="87"/>
      <c r="AT222" s="87"/>
      <c r="AU222" s="87"/>
      <c r="AV222" s="87"/>
      <c r="AW222" s="87"/>
      <c r="AX222" s="87"/>
    </row>
    <row r="223">
      <c r="A223" s="9"/>
      <c r="B223" s="87"/>
      <c r="C223" s="87"/>
      <c r="D223" s="87"/>
      <c r="E223" s="9"/>
      <c r="F223" s="87"/>
      <c r="G223" s="87"/>
      <c r="H223" s="87"/>
      <c r="I223" s="9"/>
      <c r="J223" s="87"/>
      <c r="K223" s="87"/>
      <c r="L223" s="87"/>
      <c r="M223" s="9"/>
      <c r="N223" s="87"/>
      <c r="O223" s="87"/>
      <c r="P223" s="87"/>
      <c r="Q223" s="9"/>
      <c r="R223" s="87"/>
      <c r="S223" s="87"/>
      <c r="T223" s="87"/>
      <c r="U223" s="9"/>
      <c r="V223" s="87"/>
      <c r="W223" s="87"/>
      <c r="X223" s="87"/>
      <c r="Y223" s="87"/>
      <c r="Z223" s="87"/>
      <c r="AA223" s="87"/>
      <c r="AB223" s="87"/>
      <c r="AC223" s="243"/>
      <c r="AD223" s="234"/>
      <c r="AE223" s="234"/>
      <c r="AF223" s="234"/>
      <c r="AG223" s="9"/>
      <c r="AH223" s="87"/>
      <c r="AI223" s="87"/>
      <c r="AJ223" s="87"/>
      <c r="AK223" s="244"/>
      <c r="AL223" s="245"/>
      <c r="AM223" s="244"/>
      <c r="AN223" s="244"/>
      <c r="AO223" s="87"/>
      <c r="AP223" s="87"/>
      <c r="AQ223" s="87"/>
      <c r="AR223" s="87"/>
      <c r="AS223" s="87"/>
      <c r="AT223" s="87"/>
      <c r="AU223" s="87"/>
      <c r="AV223" s="87"/>
      <c r="AW223" s="87"/>
      <c r="AX223" s="87"/>
    </row>
    <row r="224">
      <c r="A224" s="9"/>
      <c r="B224" s="87"/>
      <c r="C224" s="87"/>
      <c r="D224" s="87"/>
      <c r="E224" s="9"/>
      <c r="F224" s="87"/>
      <c r="G224" s="87"/>
      <c r="H224" s="87"/>
      <c r="I224" s="9"/>
      <c r="J224" s="87"/>
      <c r="K224" s="87"/>
      <c r="L224" s="87"/>
      <c r="M224" s="9"/>
      <c r="N224" s="87"/>
      <c r="O224" s="87"/>
      <c r="P224" s="87"/>
      <c r="Q224" s="9"/>
      <c r="R224" s="87"/>
      <c r="S224" s="87"/>
      <c r="T224" s="87"/>
      <c r="U224" s="9"/>
      <c r="V224" s="87"/>
      <c r="W224" s="87"/>
      <c r="X224" s="87"/>
      <c r="Y224" s="87"/>
      <c r="Z224" s="87"/>
      <c r="AA224" s="87"/>
      <c r="AB224" s="87"/>
      <c r="AC224" s="243"/>
      <c r="AD224" s="234"/>
      <c r="AE224" s="234"/>
      <c r="AF224" s="234"/>
      <c r="AG224" s="9"/>
      <c r="AH224" s="87"/>
      <c r="AI224" s="87"/>
      <c r="AJ224" s="87"/>
      <c r="AK224" s="244"/>
      <c r="AL224" s="245"/>
      <c r="AM224" s="244"/>
      <c r="AN224" s="244"/>
      <c r="AO224" s="87"/>
      <c r="AP224" s="87"/>
      <c r="AQ224" s="87"/>
      <c r="AR224" s="87"/>
      <c r="AS224" s="87"/>
      <c r="AT224" s="87"/>
      <c r="AU224" s="87"/>
      <c r="AV224" s="87"/>
      <c r="AW224" s="87"/>
      <c r="AX224" s="87"/>
    </row>
    <row r="225">
      <c r="A225" s="9"/>
      <c r="B225" s="87"/>
      <c r="C225" s="87"/>
      <c r="D225" s="87"/>
      <c r="E225" s="9"/>
      <c r="F225" s="87"/>
      <c r="G225" s="87"/>
      <c r="H225" s="87"/>
      <c r="I225" s="9"/>
      <c r="J225" s="87"/>
      <c r="K225" s="87"/>
      <c r="L225" s="87"/>
      <c r="M225" s="9"/>
      <c r="N225" s="87"/>
      <c r="O225" s="87"/>
      <c r="P225" s="87"/>
      <c r="Q225" s="9"/>
      <c r="R225" s="87"/>
      <c r="S225" s="87"/>
      <c r="T225" s="87"/>
      <c r="U225" s="9"/>
      <c r="V225" s="87"/>
      <c r="W225" s="87"/>
      <c r="X225" s="87"/>
      <c r="Y225" s="87"/>
      <c r="Z225" s="87"/>
      <c r="AA225" s="87"/>
      <c r="AB225" s="87"/>
      <c r="AC225" s="243"/>
      <c r="AD225" s="234"/>
      <c r="AE225" s="234"/>
      <c r="AF225" s="234"/>
      <c r="AG225" s="9"/>
      <c r="AH225" s="87"/>
      <c r="AI225" s="87"/>
      <c r="AJ225" s="87"/>
      <c r="AK225" s="244"/>
      <c r="AL225" s="245"/>
      <c r="AM225" s="244"/>
      <c r="AN225" s="244"/>
      <c r="AO225" s="87"/>
      <c r="AP225" s="87"/>
      <c r="AQ225" s="87"/>
      <c r="AR225" s="87"/>
      <c r="AS225" s="87"/>
      <c r="AT225" s="87"/>
      <c r="AU225" s="87"/>
      <c r="AV225" s="87"/>
      <c r="AW225" s="87"/>
      <c r="AX225" s="87"/>
    </row>
    <row r="226">
      <c r="A226" s="9"/>
      <c r="B226" s="87"/>
      <c r="C226" s="87"/>
      <c r="D226" s="87"/>
      <c r="E226" s="9"/>
      <c r="F226" s="87"/>
      <c r="G226" s="87"/>
      <c r="H226" s="87"/>
      <c r="I226" s="9"/>
      <c r="J226" s="87"/>
      <c r="K226" s="87"/>
      <c r="L226" s="87"/>
      <c r="M226" s="9"/>
      <c r="N226" s="87"/>
      <c r="O226" s="87"/>
      <c r="P226" s="87"/>
      <c r="Q226" s="9"/>
      <c r="R226" s="87"/>
      <c r="S226" s="87"/>
      <c r="T226" s="87"/>
      <c r="U226" s="9"/>
      <c r="V226" s="87"/>
      <c r="W226" s="87"/>
      <c r="X226" s="87"/>
      <c r="Y226" s="87"/>
      <c r="Z226" s="87"/>
      <c r="AA226" s="87"/>
      <c r="AB226" s="87"/>
      <c r="AC226" s="243"/>
      <c r="AD226" s="234"/>
      <c r="AE226" s="234"/>
      <c r="AF226" s="234"/>
      <c r="AG226" s="9"/>
      <c r="AH226" s="87"/>
      <c r="AI226" s="87"/>
      <c r="AJ226" s="87"/>
      <c r="AK226" s="244"/>
      <c r="AL226" s="245"/>
      <c r="AM226" s="244"/>
      <c r="AN226" s="244"/>
      <c r="AO226" s="87"/>
      <c r="AP226" s="87"/>
      <c r="AQ226" s="87"/>
      <c r="AR226" s="87"/>
      <c r="AS226" s="87"/>
      <c r="AT226" s="87"/>
      <c r="AU226" s="87"/>
      <c r="AV226" s="87"/>
      <c r="AW226" s="87"/>
      <c r="AX226" s="87"/>
    </row>
    <row r="227">
      <c r="A227" s="9"/>
      <c r="B227" s="87"/>
      <c r="C227" s="87"/>
      <c r="D227" s="87"/>
      <c r="E227" s="9"/>
      <c r="F227" s="87"/>
      <c r="G227" s="87"/>
      <c r="H227" s="87"/>
      <c r="I227" s="9"/>
      <c r="J227" s="87"/>
      <c r="K227" s="87"/>
      <c r="L227" s="87"/>
      <c r="M227" s="9"/>
      <c r="N227" s="87"/>
      <c r="O227" s="87"/>
      <c r="P227" s="87"/>
      <c r="Q227" s="9"/>
      <c r="R227" s="87"/>
      <c r="S227" s="87"/>
      <c r="T227" s="87"/>
      <c r="U227" s="9"/>
      <c r="V227" s="87"/>
      <c r="W227" s="87"/>
      <c r="X227" s="87"/>
      <c r="Y227" s="87"/>
      <c r="Z227" s="87"/>
      <c r="AA227" s="87"/>
      <c r="AB227" s="87"/>
      <c r="AC227" s="243"/>
      <c r="AD227" s="234"/>
      <c r="AE227" s="234"/>
      <c r="AF227" s="234"/>
      <c r="AG227" s="9"/>
      <c r="AH227" s="87"/>
      <c r="AI227" s="87"/>
      <c r="AJ227" s="87"/>
      <c r="AK227" s="244"/>
      <c r="AL227" s="245"/>
      <c r="AM227" s="244"/>
      <c r="AN227" s="244"/>
      <c r="AO227" s="87"/>
      <c r="AP227" s="87"/>
      <c r="AQ227" s="87"/>
      <c r="AR227" s="87"/>
      <c r="AS227" s="87"/>
      <c r="AT227" s="87"/>
      <c r="AU227" s="87"/>
      <c r="AV227" s="87"/>
      <c r="AW227" s="87"/>
      <c r="AX227" s="87"/>
    </row>
    <row r="228">
      <c r="A228" s="9"/>
      <c r="B228" s="87"/>
      <c r="C228" s="87"/>
      <c r="D228" s="87"/>
      <c r="E228" s="9"/>
      <c r="F228" s="87"/>
      <c r="G228" s="87"/>
      <c r="H228" s="87"/>
      <c r="I228" s="9"/>
      <c r="J228" s="87"/>
      <c r="K228" s="87"/>
      <c r="L228" s="87"/>
      <c r="M228" s="9"/>
      <c r="N228" s="87"/>
      <c r="O228" s="87"/>
      <c r="P228" s="87"/>
      <c r="Q228" s="9"/>
      <c r="R228" s="87"/>
      <c r="S228" s="87"/>
      <c r="T228" s="87"/>
      <c r="U228" s="9"/>
      <c r="V228" s="87"/>
      <c r="W228" s="87"/>
      <c r="X228" s="87"/>
      <c r="Y228" s="87"/>
      <c r="Z228" s="87"/>
      <c r="AA228" s="87"/>
      <c r="AB228" s="87"/>
      <c r="AC228" s="243"/>
      <c r="AD228" s="234"/>
      <c r="AE228" s="234"/>
      <c r="AF228" s="234"/>
      <c r="AG228" s="9"/>
      <c r="AH228" s="87"/>
      <c r="AI228" s="87"/>
      <c r="AJ228" s="87"/>
      <c r="AK228" s="244"/>
      <c r="AL228" s="245"/>
      <c r="AM228" s="244"/>
      <c r="AN228" s="244"/>
      <c r="AO228" s="87"/>
      <c r="AP228" s="87"/>
      <c r="AQ228" s="87"/>
      <c r="AR228" s="87"/>
      <c r="AS228" s="87"/>
      <c r="AT228" s="87"/>
      <c r="AU228" s="87"/>
      <c r="AV228" s="87"/>
      <c r="AW228" s="87"/>
      <c r="AX228" s="87"/>
    </row>
    <row r="229">
      <c r="A229" s="9"/>
      <c r="B229" s="87"/>
      <c r="C229" s="87"/>
      <c r="D229" s="87"/>
      <c r="E229" s="9"/>
      <c r="F229" s="87"/>
      <c r="G229" s="87"/>
      <c r="H229" s="87"/>
      <c r="I229" s="9"/>
      <c r="J229" s="87"/>
      <c r="K229" s="87"/>
      <c r="L229" s="87"/>
      <c r="M229" s="9"/>
      <c r="N229" s="87"/>
      <c r="O229" s="87"/>
      <c r="P229" s="87"/>
      <c r="Q229" s="9"/>
      <c r="R229" s="87"/>
      <c r="S229" s="87"/>
      <c r="T229" s="87"/>
      <c r="U229" s="9"/>
      <c r="V229" s="87"/>
      <c r="W229" s="87"/>
      <c r="X229" s="87"/>
      <c r="Y229" s="87"/>
      <c r="Z229" s="87"/>
      <c r="AA229" s="87"/>
      <c r="AB229" s="87"/>
      <c r="AC229" s="243"/>
      <c r="AD229" s="234"/>
      <c r="AE229" s="234"/>
      <c r="AF229" s="234"/>
      <c r="AG229" s="9"/>
      <c r="AH229" s="87"/>
      <c r="AI229" s="87"/>
      <c r="AJ229" s="87"/>
      <c r="AK229" s="244"/>
      <c r="AL229" s="245"/>
      <c r="AM229" s="244"/>
      <c r="AN229" s="244"/>
      <c r="AO229" s="87"/>
      <c r="AP229" s="87"/>
      <c r="AQ229" s="87"/>
      <c r="AR229" s="87"/>
      <c r="AS229" s="87"/>
      <c r="AT229" s="87"/>
      <c r="AU229" s="87"/>
      <c r="AV229" s="87"/>
      <c r="AW229" s="87"/>
      <c r="AX229" s="87"/>
    </row>
    <row r="230">
      <c r="A230" s="9"/>
      <c r="B230" s="87"/>
      <c r="C230" s="87"/>
      <c r="D230" s="87"/>
      <c r="E230" s="9"/>
      <c r="F230" s="87"/>
      <c r="G230" s="87"/>
      <c r="H230" s="87"/>
      <c r="I230" s="9"/>
      <c r="J230" s="87"/>
      <c r="K230" s="87"/>
      <c r="L230" s="87"/>
      <c r="M230" s="9"/>
      <c r="N230" s="87"/>
      <c r="O230" s="87"/>
      <c r="P230" s="87"/>
      <c r="Q230" s="9"/>
      <c r="R230" s="87"/>
      <c r="S230" s="87"/>
      <c r="T230" s="87"/>
      <c r="U230" s="9"/>
      <c r="V230" s="87"/>
      <c r="W230" s="87"/>
      <c r="X230" s="87"/>
      <c r="Y230" s="87"/>
      <c r="Z230" s="87"/>
      <c r="AA230" s="87"/>
      <c r="AB230" s="87"/>
      <c r="AC230" s="243"/>
      <c r="AD230" s="234"/>
      <c r="AE230" s="234"/>
      <c r="AF230" s="234"/>
      <c r="AG230" s="9"/>
      <c r="AH230" s="87"/>
      <c r="AI230" s="87"/>
      <c r="AJ230" s="87"/>
      <c r="AK230" s="244"/>
      <c r="AL230" s="245"/>
      <c r="AM230" s="244"/>
      <c r="AN230" s="244"/>
      <c r="AO230" s="87"/>
      <c r="AP230" s="87"/>
      <c r="AQ230" s="87"/>
      <c r="AR230" s="87"/>
      <c r="AS230" s="87"/>
      <c r="AT230" s="87"/>
      <c r="AU230" s="87"/>
      <c r="AV230" s="87"/>
      <c r="AW230" s="87"/>
      <c r="AX230" s="87"/>
    </row>
    <row r="231">
      <c r="A231" s="9"/>
      <c r="B231" s="87"/>
      <c r="C231" s="87"/>
      <c r="D231" s="87"/>
      <c r="E231" s="9"/>
      <c r="F231" s="87"/>
      <c r="G231" s="87"/>
      <c r="H231" s="87"/>
      <c r="I231" s="9"/>
      <c r="J231" s="87"/>
      <c r="K231" s="87"/>
      <c r="L231" s="87"/>
      <c r="M231" s="9"/>
      <c r="N231" s="87"/>
      <c r="O231" s="87"/>
      <c r="P231" s="87"/>
      <c r="Q231" s="9"/>
      <c r="R231" s="87"/>
      <c r="S231" s="87"/>
      <c r="T231" s="87"/>
      <c r="U231" s="9"/>
      <c r="V231" s="87"/>
      <c r="W231" s="87"/>
      <c r="X231" s="87"/>
      <c r="Y231" s="87"/>
      <c r="Z231" s="87"/>
      <c r="AA231" s="87"/>
      <c r="AB231" s="87"/>
      <c r="AC231" s="243"/>
      <c r="AD231" s="234"/>
      <c r="AE231" s="234"/>
      <c r="AF231" s="234"/>
      <c r="AG231" s="9"/>
      <c r="AH231" s="87"/>
      <c r="AI231" s="87"/>
      <c r="AJ231" s="87"/>
      <c r="AK231" s="244"/>
      <c r="AL231" s="245"/>
      <c r="AM231" s="244"/>
      <c r="AN231" s="244"/>
      <c r="AO231" s="87"/>
      <c r="AP231" s="87"/>
      <c r="AQ231" s="87"/>
      <c r="AR231" s="87"/>
      <c r="AS231" s="87"/>
      <c r="AT231" s="87"/>
      <c r="AU231" s="87"/>
      <c r="AV231" s="87"/>
      <c r="AW231" s="87"/>
      <c r="AX231" s="87"/>
    </row>
    <row r="232">
      <c r="A232" s="9"/>
      <c r="B232" s="87"/>
      <c r="C232" s="87"/>
      <c r="D232" s="87"/>
      <c r="E232" s="9"/>
      <c r="F232" s="87"/>
      <c r="G232" s="87"/>
      <c r="H232" s="87"/>
      <c r="I232" s="9"/>
      <c r="J232" s="87"/>
      <c r="K232" s="87"/>
      <c r="L232" s="87"/>
      <c r="M232" s="9"/>
      <c r="N232" s="87"/>
      <c r="O232" s="87"/>
      <c r="P232" s="87"/>
      <c r="Q232" s="9"/>
      <c r="R232" s="87"/>
      <c r="S232" s="87"/>
      <c r="T232" s="87"/>
      <c r="U232" s="9"/>
      <c r="V232" s="87"/>
      <c r="W232" s="87"/>
      <c r="X232" s="87"/>
      <c r="Y232" s="87"/>
      <c r="Z232" s="87"/>
      <c r="AA232" s="87"/>
      <c r="AB232" s="87"/>
      <c r="AC232" s="243"/>
      <c r="AD232" s="234"/>
      <c r="AE232" s="234"/>
      <c r="AF232" s="234"/>
      <c r="AG232" s="9"/>
      <c r="AH232" s="87"/>
      <c r="AI232" s="87"/>
      <c r="AJ232" s="87"/>
      <c r="AK232" s="244"/>
      <c r="AL232" s="245"/>
      <c r="AM232" s="244"/>
      <c r="AN232" s="244"/>
      <c r="AO232" s="87"/>
      <c r="AP232" s="87"/>
      <c r="AQ232" s="87"/>
      <c r="AR232" s="87"/>
      <c r="AS232" s="87"/>
      <c r="AT232" s="87"/>
      <c r="AU232" s="87"/>
      <c r="AV232" s="87"/>
      <c r="AW232" s="87"/>
      <c r="AX232" s="87"/>
    </row>
    <row r="233">
      <c r="A233" s="9"/>
      <c r="B233" s="87"/>
      <c r="C233" s="87"/>
      <c r="D233" s="87"/>
      <c r="E233" s="9"/>
      <c r="F233" s="87"/>
      <c r="G233" s="87"/>
      <c r="H233" s="87"/>
      <c r="I233" s="9"/>
      <c r="J233" s="87"/>
      <c r="K233" s="87"/>
      <c r="L233" s="87"/>
      <c r="M233" s="9"/>
      <c r="N233" s="87"/>
      <c r="O233" s="87"/>
      <c r="P233" s="87"/>
      <c r="Q233" s="9"/>
      <c r="R233" s="87"/>
      <c r="S233" s="87"/>
      <c r="T233" s="87"/>
      <c r="U233" s="9"/>
      <c r="V233" s="87"/>
      <c r="W233" s="87"/>
      <c r="X233" s="87"/>
      <c r="Y233" s="87"/>
      <c r="Z233" s="87"/>
      <c r="AA233" s="87"/>
      <c r="AB233" s="87"/>
      <c r="AC233" s="243"/>
      <c r="AD233" s="234"/>
      <c r="AE233" s="234"/>
      <c r="AF233" s="234"/>
      <c r="AG233" s="9"/>
      <c r="AH233" s="87"/>
      <c r="AI233" s="87"/>
      <c r="AJ233" s="87"/>
      <c r="AK233" s="244"/>
      <c r="AL233" s="245"/>
      <c r="AM233" s="244"/>
      <c r="AN233" s="244"/>
      <c r="AO233" s="87"/>
      <c r="AP233" s="87"/>
      <c r="AQ233" s="87"/>
      <c r="AR233" s="87"/>
      <c r="AS233" s="87"/>
      <c r="AT233" s="87"/>
      <c r="AU233" s="87"/>
      <c r="AV233" s="87"/>
      <c r="AW233" s="87"/>
      <c r="AX233" s="87"/>
    </row>
    <row r="234">
      <c r="A234" s="9"/>
      <c r="B234" s="87"/>
      <c r="C234" s="87"/>
      <c r="D234" s="87"/>
      <c r="E234" s="9"/>
      <c r="F234" s="87"/>
      <c r="G234" s="87"/>
      <c r="H234" s="87"/>
      <c r="I234" s="9"/>
      <c r="J234" s="87"/>
      <c r="K234" s="87"/>
      <c r="L234" s="87"/>
      <c r="M234" s="9"/>
      <c r="N234" s="87"/>
      <c r="O234" s="87"/>
      <c r="P234" s="87"/>
      <c r="Q234" s="9"/>
      <c r="R234" s="87"/>
      <c r="S234" s="87"/>
      <c r="T234" s="87"/>
      <c r="U234" s="9"/>
      <c r="V234" s="87"/>
      <c r="W234" s="87"/>
      <c r="X234" s="87"/>
      <c r="Y234" s="87"/>
      <c r="Z234" s="87"/>
      <c r="AA234" s="87"/>
      <c r="AB234" s="87"/>
      <c r="AC234" s="243"/>
      <c r="AD234" s="234"/>
      <c r="AE234" s="234"/>
      <c r="AF234" s="234"/>
      <c r="AG234" s="9"/>
      <c r="AH234" s="87"/>
      <c r="AI234" s="87"/>
      <c r="AJ234" s="87"/>
      <c r="AK234" s="244"/>
      <c r="AL234" s="245"/>
      <c r="AM234" s="244"/>
      <c r="AN234" s="244"/>
      <c r="AO234" s="87"/>
      <c r="AP234" s="87"/>
      <c r="AQ234" s="87"/>
      <c r="AR234" s="87"/>
      <c r="AS234" s="87"/>
      <c r="AT234" s="87"/>
      <c r="AU234" s="87"/>
      <c r="AV234" s="87"/>
      <c r="AW234" s="87"/>
      <c r="AX234" s="87"/>
    </row>
    <row r="235">
      <c r="A235" s="9"/>
      <c r="B235" s="87"/>
      <c r="C235" s="87"/>
      <c r="D235" s="87"/>
      <c r="E235" s="9"/>
      <c r="F235" s="87"/>
      <c r="G235" s="87"/>
      <c r="H235" s="87"/>
      <c r="I235" s="9"/>
      <c r="J235" s="87"/>
      <c r="K235" s="87"/>
      <c r="L235" s="87"/>
      <c r="M235" s="9"/>
      <c r="N235" s="87"/>
      <c r="O235" s="87"/>
      <c r="P235" s="87"/>
      <c r="Q235" s="9"/>
      <c r="R235" s="87"/>
      <c r="S235" s="87"/>
      <c r="T235" s="87"/>
      <c r="U235" s="9"/>
      <c r="V235" s="87"/>
      <c r="W235" s="87"/>
      <c r="X235" s="87"/>
      <c r="Y235" s="87"/>
      <c r="Z235" s="87"/>
      <c r="AA235" s="87"/>
      <c r="AB235" s="87"/>
      <c r="AC235" s="243"/>
      <c r="AD235" s="234"/>
      <c r="AE235" s="234"/>
      <c r="AF235" s="234"/>
      <c r="AG235" s="9"/>
      <c r="AH235" s="87"/>
      <c r="AI235" s="87"/>
      <c r="AJ235" s="87"/>
      <c r="AK235" s="244"/>
      <c r="AL235" s="245"/>
      <c r="AM235" s="244"/>
      <c r="AN235" s="244"/>
      <c r="AO235" s="87"/>
      <c r="AP235" s="87"/>
      <c r="AQ235" s="87"/>
      <c r="AR235" s="87"/>
      <c r="AS235" s="87"/>
      <c r="AT235" s="87"/>
      <c r="AU235" s="87"/>
      <c r="AV235" s="87"/>
      <c r="AW235" s="87"/>
      <c r="AX235" s="87"/>
    </row>
    <row r="236">
      <c r="A236" s="9"/>
      <c r="B236" s="87"/>
      <c r="C236" s="87"/>
      <c r="D236" s="87"/>
      <c r="E236" s="9"/>
      <c r="F236" s="87"/>
      <c r="G236" s="87"/>
      <c r="H236" s="87"/>
      <c r="I236" s="9"/>
      <c r="J236" s="87"/>
      <c r="K236" s="87"/>
      <c r="L236" s="87"/>
      <c r="M236" s="9"/>
      <c r="N236" s="87"/>
      <c r="O236" s="87"/>
      <c r="P236" s="87"/>
      <c r="Q236" s="9"/>
      <c r="R236" s="87"/>
      <c r="S236" s="87"/>
      <c r="T236" s="87"/>
      <c r="U236" s="9"/>
      <c r="V236" s="87"/>
      <c r="W236" s="87"/>
      <c r="X236" s="87"/>
      <c r="Y236" s="87"/>
      <c r="Z236" s="87"/>
      <c r="AA236" s="87"/>
      <c r="AB236" s="87"/>
      <c r="AC236" s="243"/>
      <c r="AD236" s="234"/>
      <c r="AE236" s="234"/>
      <c r="AF236" s="234"/>
      <c r="AG236" s="9"/>
      <c r="AH236" s="87"/>
      <c r="AI236" s="87"/>
      <c r="AJ236" s="87"/>
      <c r="AK236" s="244"/>
      <c r="AL236" s="245"/>
      <c r="AM236" s="244"/>
      <c r="AN236" s="244"/>
      <c r="AO236" s="87"/>
      <c r="AP236" s="87"/>
      <c r="AQ236" s="87"/>
      <c r="AR236" s="87"/>
      <c r="AS236" s="87"/>
      <c r="AT236" s="87"/>
      <c r="AU236" s="87"/>
      <c r="AV236" s="87"/>
      <c r="AW236" s="87"/>
      <c r="AX236" s="87"/>
    </row>
    <row r="237">
      <c r="A237" s="9"/>
      <c r="B237" s="87"/>
      <c r="C237" s="87"/>
      <c r="D237" s="87"/>
      <c r="E237" s="9"/>
      <c r="F237" s="87"/>
      <c r="G237" s="87"/>
      <c r="H237" s="87"/>
      <c r="I237" s="9"/>
      <c r="J237" s="87"/>
      <c r="K237" s="87"/>
      <c r="L237" s="87"/>
      <c r="M237" s="9"/>
      <c r="N237" s="87"/>
      <c r="O237" s="87"/>
      <c r="P237" s="87"/>
      <c r="Q237" s="9"/>
      <c r="R237" s="87"/>
      <c r="S237" s="87"/>
      <c r="T237" s="87"/>
      <c r="U237" s="9"/>
      <c r="V237" s="87"/>
      <c r="W237" s="87"/>
      <c r="X237" s="87"/>
      <c r="Y237" s="87"/>
      <c r="Z237" s="87"/>
      <c r="AA237" s="87"/>
      <c r="AB237" s="87"/>
      <c r="AC237" s="243"/>
      <c r="AD237" s="234"/>
      <c r="AE237" s="234"/>
      <c r="AF237" s="234"/>
      <c r="AG237" s="9"/>
      <c r="AH237" s="87"/>
      <c r="AI237" s="87"/>
      <c r="AJ237" s="87"/>
      <c r="AK237" s="244"/>
      <c r="AL237" s="245"/>
      <c r="AM237" s="244"/>
      <c r="AN237" s="244"/>
      <c r="AO237" s="87"/>
      <c r="AP237" s="87"/>
      <c r="AQ237" s="87"/>
      <c r="AR237" s="87"/>
      <c r="AS237" s="87"/>
      <c r="AT237" s="87"/>
      <c r="AU237" s="87"/>
      <c r="AV237" s="87"/>
      <c r="AW237" s="87"/>
      <c r="AX237" s="87"/>
    </row>
    <row r="238">
      <c r="A238" s="9"/>
      <c r="B238" s="87"/>
      <c r="C238" s="87"/>
      <c r="D238" s="87"/>
      <c r="E238" s="9"/>
      <c r="F238" s="87"/>
      <c r="G238" s="87"/>
      <c r="H238" s="87"/>
      <c r="I238" s="9"/>
      <c r="J238" s="87"/>
      <c r="K238" s="87"/>
      <c r="L238" s="87"/>
      <c r="M238" s="9"/>
      <c r="N238" s="87"/>
      <c r="O238" s="87"/>
      <c r="P238" s="87"/>
      <c r="Q238" s="9"/>
      <c r="R238" s="87"/>
      <c r="S238" s="87"/>
      <c r="T238" s="87"/>
      <c r="U238" s="9"/>
      <c r="V238" s="87"/>
      <c r="W238" s="87"/>
      <c r="X238" s="87"/>
      <c r="Y238" s="87"/>
      <c r="Z238" s="87"/>
      <c r="AA238" s="87"/>
      <c r="AB238" s="87"/>
      <c r="AC238" s="243"/>
      <c r="AD238" s="234"/>
      <c r="AE238" s="234"/>
      <c r="AF238" s="234"/>
      <c r="AG238" s="9"/>
      <c r="AH238" s="87"/>
      <c r="AI238" s="87"/>
      <c r="AJ238" s="87"/>
      <c r="AK238" s="244"/>
      <c r="AL238" s="245"/>
      <c r="AM238" s="244"/>
      <c r="AN238" s="244"/>
      <c r="AO238" s="87"/>
      <c r="AP238" s="87"/>
      <c r="AQ238" s="87"/>
      <c r="AR238" s="87"/>
      <c r="AS238" s="87"/>
      <c r="AT238" s="87"/>
      <c r="AU238" s="87"/>
      <c r="AV238" s="87"/>
      <c r="AW238" s="87"/>
      <c r="AX238" s="87"/>
    </row>
    <row r="239">
      <c r="A239" s="9"/>
      <c r="B239" s="87"/>
      <c r="C239" s="87"/>
      <c r="D239" s="87"/>
      <c r="E239" s="9"/>
      <c r="F239" s="87"/>
      <c r="G239" s="87"/>
      <c r="H239" s="87"/>
      <c r="I239" s="9"/>
      <c r="J239" s="87"/>
      <c r="K239" s="87"/>
      <c r="L239" s="87"/>
      <c r="M239" s="9"/>
      <c r="N239" s="87"/>
      <c r="O239" s="87"/>
      <c r="P239" s="87"/>
      <c r="Q239" s="9"/>
      <c r="R239" s="87"/>
      <c r="S239" s="87"/>
      <c r="T239" s="87"/>
      <c r="U239" s="9"/>
      <c r="V239" s="87"/>
      <c r="W239" s="87"/>
      <c r="X239" s="87"/>
      <c r="Y239" s="87"/>
      <c r="Z239" s="87"/>
      <c r="AA239" s="87"/>
      <c r="AB239" s="87"/>
      <c r="AC239" s="243"/>
      <c r="AD239" s="234"/>
      <c r="AE239" s="234"/>
      <c r="AF239" s="234"/>
      <c r="AG239" s="9"/>
      <c r="AH239" s="87"/>
      <c r="AI239" s="87"/>
      <c r="AJ239" s="87"/>
      <c r="AK239" s="244"/>
      <c r="AL239" s="245"/>
      <c r="AM239" s="244"/>
      <c r="AN239" s="244"/>
      <c r="AO239" s="87"/>
      <c r="AP239" s="87"/>
      <c r="AQ239" s="87"/>
      <c r="AR239" s="87"/>
      <c r="AS239" s="87"/>
      <c r="AT239" s="87"/>
      <c r="AU239" s="87"/>
      <c r="AV239" s="87"/>
      <c r="AW239" s="87"/>
      <c r="AX239" s="87"/>
    </row>
    <row r="240">
      <c r="A240" s="9"/>
      <c r="B240" s="87"/>
      <c r="C240" s="87"/>
      <c r="D240" s="87"/>
      <c r="E240" s="9"/>
      <c r="F240" s="87"/>
      <c r="G240" s="87"/>
      <c r="H240" s="87"/>
      <c r="I240" s="9"/>
      <c r="J240" s="87"/>
      <c r="K240" s="87"/>
      <c r="L240" s="87"/>
      <c r="M240" s="9"/>
      <c r="N240" s="87"/>
      <c r="O240" s="87"/>
      <c r="P240" s="87"/>
      <c r="Q240" s="9"/>
      <c r="R240" s="87"/>
      <c r="S240" s="87"/>
      <c r="T240" s="87"/>
      <c r="U240" s="9"/>
      <c r="V240" s="87"/>
      <c r="W240" s="87"/>
      <c r="X240" s="87"/>
      <c r="Y240" s="87"/>
      <c r="Z240" s="87"/>
      <c r="AA240" s="87"/>
      <c r="AB240" s="87"/>
      <c r="AC240" s="243"/>
      <c r="AD240" s="234"/>
      <c r="AE240" s="234"/>
      <c r="AF240" s="234"/>
      <c r="AG240" s="9"/>
      <c r="AH240" s="87"/>
      <c r="AI240" s="87"/>
      <c r="AJ240" s="87"/>
      <c r="AK240" s="244"/>
      <c r="AL240" s="245"/>
      <c r="AM240" s="244"/>
      <c r="AN240" s="244"/>
      <c r="AO240" s="87"/>
      <c r="AP240" s="87"/>
      <c r="AQ240" s="87"/>
      <c r="AR240" s="87"/>
      <c r="AS240" s="87"/>
      <c r="AT240" s="87"/>
      <c r="AU240" s="87"/>
      <c r="AV240" s="87"/>
      <c r="AW240" s="87"/>
      <c r="AX240" s="87"/>
    </row>
    <row r="241">
      <c r="A241" s="9"/>
      <c r="B241" s="87"/>
      <c r="C241" s="87"/>
      <c r="D241" s="87"/>
      <c r="E241" s="9"/>
      <c r="F241" s="87"/>
      <c r="G241" s="87"/>
      <c r="H241" s="87"/>
      <c r="I241" s="9"/>
      <c r="J241" s="87"/>
      <c r="K241" s="87"/>
      <c r="L241" s="87"/>
      <c r="M241" s="9"/>
      <c r="N241" s="87"/>
      <c r="O241" s="87"/>
      <c r="P241" s="87"/>
      <c r="Q241" s="9"/>
      <c r="R241" s="87"/>
      <c r="S241" s="87"/>
      <c r="T241" s="87"/>
      <c r="U241" s="9"/>
      <c r="V241" s="87"/>
      <c r="W241" s="87"/>
      <c r="X241" s="87"/>
      <c r="Y241" s="87"/>
      <c r="Z241" s="87"/>
      <c r="AA241" s="87"/>
      <c r="AB241" s="87"/>
      <c r="AC241" s="243"/>
      <c r="AD241" s="234"/>
      <c r="AE241" s="234"/>
      <c r="AF241" s="234"/>
      <c r="AG241" s="9"/>
      <c r="AH241" s="87"/>
      <c r="AI241" s="87"/>
      <c r="AJ241" s="87"/>
      <c r="AK241" s="244"/>
      <c r="AL241" s="245"/>
      <c r="AM241" s="244"/>
      <c r="AN241" s="244"/>
      <c r="AO241" s="87"/>
      <c r="AP241" s="87"/>
      <c r="AQ241" s="87"/>
      <c r="AR241" s="87"/>
      <c r="AS241" s="87"/>
      <c r="AT241" s="87"/>
      <c r="AU241" s="87"/>
      <c r="AV241" s="87"/>
      <c r="AW241" s="87"/>
      <c r="AX241" s="87"/>
    </row>
    <row r="242">
      <c r="A242" s="9"/>
      <c r="B242" s="87"/>
      <c r="C242" s="87"/>
      <c r="D242" s="87"/>
      <c r="E242" s="9"/>
      <c r="F242" s="87"/>
      <c r="G242" s="87"/>
      <c r="H242" s="87"/>
      <c r="I242" s="9"/>
      <c r="J242" s="87"/>
      <c r="K242" s="87"/>
      <c r="L242" s="87"/>
      <c r="M242" s="9"/>
      <c r="N242" s="87"/>
      <c r="O242" s="87"/>
      <c r="P242" s="87"/>
      <c r="Q242" s="9"/>
      <c r="R242" s="87"/>
      <c r="S242" s="87"/>
      <c r="T242" s="87"/>
      <c r="U242" s="9"/>
      <c r="V242" s="87"/>
      <c r="W242" s="87"/>
      <c r="X242" s="87"/>
      <c r="Y242" s="87"/>
      <c r="Z242" s="87"/>
      <c r="AA242" s="87"/>
      <c r="AB242" s="87"/>
      <c r="AC242" s="243"/>
      <c r="AD242" s="234"/>
      <c r="AE242" s="234"/>
      <c r="AF242" s="234"/>
      <c r="AG242" s="9"/>
      <c r="AH242" s="87"/>
      <c r="AI242" s="87"/>
      <c r="AJ242" s="87"/>
      <c r="AK242" s="244"/>
      <c r="AL242" s="245"/>
      <c r="AM242" s="244"/>
      <c r="AN242" s="244"/>
      <c r="AO242" s="87"/>
      <c r="AP242" s="87"/>
      <c r="AQ242" s="87"/>
      <c r="AR242" s="87"/>
      <c r="AS242" s="87"/>
      <c r="AT242" s="87"/>
      <c r="AU242" s="87"/>
      <c r="AV242" s="87"/>
      <c r="AW242" s="87"/>
      <c r="AX242" s="87"/>
    </row>
    <row r="243">
      <c r="A243" s="9"/>
      <c r="B243" s="87"/>
      <c r="C243" s="87"/>
      <c r="D243" s="87"/>
      <c r="E243" s="9"/>
      <c r="F243" s="87"/>
      <c r="G243" s="87"/>
      <c r="H243" s="87"/>
      <c r="I243" s="9"/>
      <c r="J243" s="87"/>
      <c r="K243" s="87"/>
      <c r="L243" s="87"/>
      <c r="M243" s="9"/>
      <c r="N243" s="87"/>
      <c r="O243" s="87"/>
      <c r="P243" s="87"/>
      <c r="Q243" s="9"/>
      <c r="R243" s="87"/>
      <c r="S243" s="87"/>
      <c r="T243" s="87"/>
      <c r="U243" s="9"/>
      <c r="V243" s="87"/>
      <c r="W243" s="87"/>
      <c r="X243" s="87"/>
      <c r="Y243" s="87"/>
      <c r="Z243" s="87"/>
      <c r="AA243" s="87"/>
      <c r="AB243" s="87"/>
      <c r="AC243" s="243"/>
      <c r="AD243" s="234"/>
      <c r="AE243" s="234"/>
      <c r="AF243" s="234"/>
      <c r="AG243" s="9"/>
      <c r="AH243" s="87"/>
      <c r="AI243" s="87"/>
      <c r="AJ243" s="87"/>
      <c r="AK243" s="244"/>
      <c r="AL243" s="245"/>
      <c r="AM243" s="244"/>
      <c r="AN243" s="244"/>
      <c r="AO243" s="87"/>
      <c r="AP243" s="87"/>
      <c r="AQ243" s="87"/>
      <c r="AR243" s="87"/>
      <c r="AS243" s="87"/>
      <c r="AT243" s="87"/>
      <c r="AU243" s="87"/>
      <c r="AV243" s="87"/>
      <c r="AW243" s="87"/>
      <c r="AX243" s="87"/>
    </row>
    <row r="244">
      <c r="A244" s="9"/>
      <c r="B244" s="87"/>
      <c r="C244" s="87"/>
      <c r="D244" s="87"/>
      <c r="E244" s="9"/>
      <c r="F244" s="87"/>
      <c r="G244" s="87"/>
      <c r="H244" s="87"/>
      <c r="I244" s="9"/>
      <c r="J244" s="87"/>
      <c r="K244" s="87"/>
      <c r="L244" s="87"/>
      <c r="M244" s="9"/>
      <c r="N244" s="87"/>
      <c r="O244" s="87"/>
      <c r="P244" s="87"/>
      <c r="Q244" s="9"/>
      <c r="R244" s="87"/>
      <c r="S244" s="87"/>
      <c r="T244" s="87"/>
      <c r="U244" s="9"/>
      <c r="V244" s="87"/>
      <c r="W244" s="87"/>
      <c r="X244" s="87"/>
      <c r="Y244" s="87"/>
      <c r="Z244" s="87"/>
      <c r="AA244" s="87"/>
      <c r="AB244" s="87"/>
      <c r="AC244" s="243"/>
      <c r="AD244" s="234"/>
      <c r="AE244" s="234"/>
      <c r="AF244" s="234"/>
      <c r="AG244" s="9"/>
      <c r="AH244" s="87"/>
      <c r="AI244" s="87"/>
      <c r="AJ244" s="87"/>
      <c r="AK244" s="244"/>
      <c r="AL244" s="245"/>
      <c r="AM244" s="244"/>
      <c r="AN244" s="244"/>
      <c r="AO244" s="87"/>
      <c r="AP244" s="87"/>
      <c r="AQ244" s="87"/>
      <c r="AR244" s="87"/>
      <c r="AS244" s="87"/>
      <c r="AT244" s="87"/>
      <c r="AU244" s="87"/>
      <c r="AV244" s="87"/>
      <c r="AW244" s="87"/>
      <c r="AX244" s="87"/>
    </row>
    <row r="245">
      <c r="A245" s="9"/>
      <c r="B245" s="87"/>
      <c r="C245" s="87"/>
      <c r="D245" s="87"/>
      <c r="E245" s="9"/>
      <c r="F245" s="87"/>
      <c r="G245" s="87"/>
      <c r="H245" s="87"/>
      <c r="I245" s="9"/>
      <c r="J245" s="87"/>
      <c r="K245" s="87"/>
      <c r="L245" s="87"/>
      <c r="M245" s="9"/>
      <c r="N245" s="87"/>
      <c r="O245" s="87"/>
      <c r="P245" s="87"/>
      <c r="Q245" s="9"/>
      <c r="R245" s="87"/>
      <c r="S245" s="87"/>
      <c r="T245" s="87"/>
      <c r="U245" s="9"/>
      <c r="V245" s="87"/>
      <c r="W245" s="87"/>
      <c r="X245" s="87"/>
      <c r="Y245" s="87"/>
      <c r="Z245" s="87"/>
      <c r="AA245" s="87"/>
      <c r="AB245" s="87"/>
      <c r="AC245" s="243"/>
      <c r="AD245" s="234"/>
      <c r="AE245" s="234"/>
      <c r="AF245" s="234"/>
      <c r="AG245" s="9"/>
      <c r="AH245" s="87"/>
      <c r="AI245" s="87"/>
      <c r="AJ245" s="87"/>
      <c r="AK245" s="244"/>
      <c r="AL245" s="245"/>
      <c r="AM245" s="244"/>
      <c r="AN245" s="244"/>
      <c r="AO245" s="87"/>
      <c r="AP245" s="87"/>
      <c r="AQ245" s="87"/>
      <c r="AR245" s="87"/>
      <c r="AS245" s="87"/>
      <c r="AT245" s="87"/>
      <c r="AU245" s="87"/>
      <c r="AV245" s="87"/>
      <c r="AW245" s="87"/>
      <c r="AX245" s="87"/>
    </row>
    <row r="246">
      <c r="A246" s="9"/>
      <c r="B246" s="87"/>
      <c r="C246" s="87"/>
      <c r="D246" s="87"/>
      <c r="E246" s="9"/>
      <c r="F246" s="87"/>
      <c r="G246" s="87"/>
      <c r="H246" s="87"/>
      <c r="I246" s="9"/>
      <c r="J246" s="87"/>
      <c r="K246" s="87"/>
      <c r="L246" s="87"/>
      <c r="M246" s="9"/>
      <c r="N246" s="87"/>
      <c r="O246" s="87"/>
      <c r="P246" s="87"/>
      <c r="Q246" s="9"/>
      <c r="R246" s="87"/>
      <c r="S246" s="87"/>
      <c r="T246" s="87"/>
      <c r="U246" s="9"/>
      <c r="V246" s="87"/>
      <c r="W246" s="87"/>
      <c r="X246" s="87"/>
      <c r="Y246" s="87"/>
      <c r="Z246" s="87"/>
      <c r="AA246" s="87"/>
      <c r="AB246" s="87"/>
      <c r="AC246" s="243"/>
      <c r="AD246" s="234"/>
      <c r="AE246" s="234"/>
      <c r="AF246" s="234"/>
      <c r="AG246" s="9"/>
      <c r="AH246" s="87"/>
      <c r="AI246" s="87"/>
      <c r="AJ246" s="87"/>
      <c r="AK246" s="244"/>
      <c r="AL246" s="245"/>
      <c r="AM246" s="244"/>
      <c r="AN246" s="244"/>
      <c r="AO246" s="87"/>
      <c r="AP246" s="87"/>
      <c r="AQ246" s="87"/>
      <c r="AR246" s="87"/>
      <c r="AS246" s="87"/>
      <c r="AT246" s="87"/>
      <c r="AU246" s="87"/>
      <c r="AV246" s="87"/>
      <c r="AW246" s="87"/>
      <c r="AX246" s="87"/>
    </row>
    <row r="247">
      <c r="A247" s="9"/>
      <c r="B247" s="87"/>
      <c r="C247" s="87"/>
      <c r="D247" s="87"/>
      <c r="E247" s="9"/>
      <c r="F247" s="87"/>
      <c r="G247" s="87"/>
      <c r="H247" s="87"/>
      <c r="I247" s="9"/>
      <c r="J247" s="87"/>
      <c r="K247" s="87"/>
      <c r="L247" s="87"/>
      <c r="M247" s="9"/>
      <c r="N247" s="87"/>
      <c r="O247" s="87"/>
      <c r="P247" s="87"/>
      <c r="Q247" s="9"/>
      <c r="R247" s="87"/>
      <c r="S247" s="87"/>
      <c r="T247" s="87"/>
      <c r="U247" s="9"/>
      <c r="V247" s="87"/>
      <c r="W247" s="87"/>
      <c r="X247" s="87"/>
      <c r="Y247" s="87"/>
      <c r="Z247" s="87"/>
      <c r="AA247" s="87"/>
      <c r="AB247" s="87"/>
      <c r="AC247" s="243"/>
      <c r="AD247" s="234"/>
      <c r="AE247" s="234"/>
      <c r="AF247" s="234"/>
      <c r="AG247" s="9"/>
      <c r="AH247" s="87"/>
      <c r="AI247" s="87"/>
      <c r="AJ247" s="87"/>
      <c r="AK247" s="244"/>
      <c r="AL247" s="245"/>
      <c r="AM247" s="244"/>
      <c r="AN247" s="244"/>
      <c r="AO247" s="87"/>
      <c r="AP247" s="87"/>
      <c r="AQ247" s="87"/>
      <c r="AR247" s="87"/>
      <c r="AS247" s="87"/>
      <c r="AT247" s="87"/>
      <c r="AU247" s="87"/>
      <c r="AV247" s="87"/>
      <c r="AW247" s="87"/>
      <c r="AX247" s="87"/>
    </row>
    <row r="248">
      <c r="A248" s="9"/>
      <c r="B248" s="87"/>
      <c r="C248" s="87"/>
      <c r="D248" s="87"/>
      <c r="E248" s="9"/>
      <c r="F248" s="87"/>
      <c r="G248" s="87"/>
      <c r="H248" s="87"/>
      <c r="I248" s="9"/>
      <c r="J248" s="87"/>
      <c r="K248" s="87"/>
      <c r="L248" s="87"/>
      <c r="M248" s="9"/>
      <c r="N248" s="87"/>
      <c r="O248" s="87"/>
      <c r="P248" s="87"/>
      <c r="Q248" s="9"/>
      <c r="R248" s="87"/>
      <c r="S248" s="87"/>
      <c r="T248" s="87"/>
      <c r="U248" s="9"/>
      <c r="V248" s="87"/>
      <c r="W248" s="87"/>
      <c r="X248" s="87"/>
      <c r="Y248" s="87"/>
      <c r="Z248" s="87"/>
      <c r="AA248" s="87"/>
      <c r="AB248" s="87"/>
      <c r="AC248" s="243"/>
      <c r="AD248" s="234"/>
      <c r="AE248" s="234"/>
      <c r="AF248" s="234"/>
      <c r="AG248" s="9"/>
      <c r="AH248" s="87"/>
      <c r="AI248" s="87"/>
      <c r="AJ248" s="87"/>
      <c r="AK248" s="244"/>
      <c r="AL248" s="245"/>
      <c r="AM248" s="244"/>
      <c r="AN248" s="244"/>
      <c r="AO248" s="87"/>
      <c r="AP248" s="87"/>
      <c r="AQ248" s="87"/>
      <c r="AR248" s="87"/>
      <c r="AS248" s="87"/>
      <c r="AT248" s="87"/>
      <c r="AU248" s="87"/>
      <c r="AV248" s="87"/>
      <c r="AW248" s="87"/>
      <c r="AX248" s="87"/>
    </row>
    <row r="249">
      <c r="A249" s="9"/>
      <c r="B249" s="87"/>
      <c r="C249" s="87"/>
      <c r="D249" s="87"/>
      <c r="E249" s="9"/>
      <c r="F249" s="87"/>
      <c r="G249" s="87"/>
      <c r="H249" s="87"/>
      <c r="I249" s="9"/>
      <c r="J249" s="87"/>
      <c r="K249" s="87"/>
      <c r="L249" s="87"/>
      <c r="M249" s="9"/>
      <c r="N249" s="87"/>
      <c r="O249" s="87"/>
      <c r="P249" s="87"/>
      <c r="Q249" s="9"/>
      <c r="R249" s="87"/>
      <c r="S249" s="87"/>
      <c r="T249" s="87"/>
      <c r="U249" s="9"/>
      <c r="V249" s="87"/>
      <c r="W249" s="87"/>
      <c r="X249" s="87"/>
      <c r="Y249" s="87"/>
      <c r="Z249" s="87"/>
      <c r="AA249" s="87"/>
      <c r="AB249" s="87"/>
      <c r="AC249" s="243"/>
      <c r="AD249" s="234"/>
      <c r="AE249" s="234"/>
      <c r="AF249" s="234"/>
      <c r="AG249" s="9"/>
      <c r="AH249" s="87"/>
      <c r="AI249" s="87"/>
      <c r="AJ249" s="87"/>
      <c r="AK249" s="244"/>
      <c r="AL249" s="245"/>
      <c r="AM249" s="244"/>
      <c r="AN249" s="244"/>
      <c r="AO249" s="87"/>
      <c r="AP249" s="87"/>
      <c r="AQ249" s="87"/>
      <c r="AR249" s="87"/>
      <c r="AS249" s="87"/>
      <c r="AT249" s="87"/>
      <c r="AU249" s="87"/>
      <c r="AV249" s="87"/>
      <c r="AW249" s="87"/>
      <c r="AX249" s="87"/>
    </row>
    <row r="250">
      <c r="A250" s="9"/>
      <c r="B250" s="87"/>
      <c r="C250" s="87"/>
      <c r="D250" s="87"/>
      <c r="E250" s="9"/>
      <c r="F250" s="87"/>
      <c r="G250" s="87"/>
      <c r="H250" s="87"/>
      <c r="I250" s="9"/>
      <c r="J250" s="87"/>
      <c r="K250" s="87"/>
      <c r="L250" s="87"/>
      <c r="M250" s="9"/>
      <c r="N250" s="87"/>
      <c r="O250" s="87"/>
      <c r="P250" s="87"/>
      <c r="Q250" s="9"/>
      <c r="R250" s="87"/>
      <c r="S250" s="87"/>
      <c r="T250" s="87"/>
      <c r="U250" s="9"/>
      <c r="V250" s="87"/>
      <c r="W250" s="87"/>
      <c r="X250" s="87"/>
      <c r="Y250" s="87"/>
      <c r="Z250" s="87"/>
      <c r="AA250" s="87"/>
      <c r="AB250" s="87"/>
      <c r="AC250" s="243"/>
      <c r="AD250" s="234"/>
      <c r="AE250" s="234"/>
      <c r="AF250" s="234"/>
      <c r="AG250" s="9"/>
      <c r="AH250" s="87"/>
      <c r="AI250" s="87"/>
      <c r="AJ250" s="87"/>
      <c r="AK250" s="244"/>
      <c r="AL250" s="245"/>
      <c r="AM250" s="244"/>
      <c r="AN250" s="244"/>
      <c r="AO250" s="87"/>
      <c r="AP250" s="87"/>
      <c r="AQ250" s="87"/>
      <c r="AR250" s="87"/>
      <c r="AS250" s="87"/>
      <c r="AT250" s="87"/>
      <c r="AU250" s="87"/>
      <c r="AV250" s="87"/>
      <c r="AW250" s="87"/>
      <c r="AX250" s="87"/>
    </row>
    <row r="251">
      <c r="A251" s="9"/>
      <c r="B251" s="87"/>
      <c r="C251" s="87"/>
      <c r="D251" s="87"/>
      <c r="E251" s="9"/>
      <c r="F251" s="87"/>
      <c r="G251" s="87"/>
      <c r="H251" s="87"/>
      <c r="I251" s="9"/>
      <c r="J251" s="87"/>
      <c r="K251" s="87"/>
      <c r="L251" s="87"/>
      <c r="M251" s="9"/>
      <c r="N251" s="87"/>
      <c r="O251" s="87"/>
      <c r="P251" s="87"/>
      <c r="Q251" s="9"/>
      <c r="R251" s="87"/>
      <c r="S251" s="87"/>
      <c r="T251" s="87"/>
      <c r="U251" s="9"/>
      <c r="V251" s="87"/>
      <c r="W251" s="87"/>
      <c r="X251" s="87"/>
      <c r="Y251" s="87"/>
      <c r="Z251" s="87"/>
      <c r="AA251" s="87"/>
      <c r="AB251" s="87"/>
      <c r="AC251" s="243"/>
      <c r="AD251" s="234"/>
      <c r="AE251" s="234"/>
      <c r="AF251" s="234"/>
      <c r="AG251" s="9"/>
      <c r="AH251" s="87"/>
      <c r="AI251" s="87"/>
      <c r="AJ251" s="87"/>
      <c r="AK251" s="244"/>
      <c r="AL251" s="245"/>
      <c r="AM251" s="244"/>
      <c r="AN251" s="244"/>
      <c r="AO251" s="87"/>
      <c r="AP251" s="87"/>
      <c r="AQ251" s="87"/>
      <c r="AR251" s="87"/>
      <c r="AS251" s="87"/>
      <c r="AT251" s="87"/>
      <c r="AU251" s="87"/>
      <c r="AV251" s="87"/>
      <c r="AW251" s="87"/>
      <c r="AX251" s="87"/>
    </row>
    <row r="252">
      <c r="A252" s="9"/>
      <c r="B252" s="87"/>
      <c r="C252" s="87"/>
      <c r="D252" s="87"/>
      <c r="E252" s="9"/>
      <c r="F252" s="87"/>
      <c r="G252" s="87"/>
      <c r="H252" s="87"/>
      <c r="I252" s="9"/>
      <c r="J252" s="87"/>
      <c r="K252" s="87"/>
      <c r="L252" s="87"/>
      <c r="M252" s="9"/>
      <c r="N252" s="87"/>
      <c r="O252" s="87"/>
      <c r="P252" s="87"/>
      <c r="Q252" s="9"/>
      <c r="R252" s="87"/>
      <c r="S252" s="87"/>
      <c r="T252" s="87"/>
      <c r="U252" s="9"/>
      <c r="V252" s="87"/>
      <c r="W252" s="87"/>
      <c r="X252" s="87"/>
      <c r="Y252" s="87"/>
      <c r="Z252" s="87"/>
      <c r="AA252" s="87"/>
      <c r="AB252" s="87"/>
      <c r="AC252" s="243"/>
      <c r="AD252" s="234"/>
      <c r="AE252" s="234"/>
      <c r="AF252" s="234"/>
      <c r="AG252" s="9"/>
      <c r="AH252" s="87"/>
      <c r="AI252" s="87"/>
      <c r="AJ252" s="87"/>
      <c r="AK252" s="244"/>
      <c r="AL252" s="245"/>
      <c r="AM252" s="244"/>
      <c r="AN252" s="244"/>
      <c r="AO252" s="87"/>
      <c r="AP252" s="87"/>
      <c r="AQ252" s="87"/>
      <c r="AR252" s="87"/>
      <c r="AS252" s="87"/>
      <c r="AT252" s="87"/>
      <c r="AU252" s="87"/>
      <c r="AV252" s="87"/>
      <c r="AW252" s="87"/>
      <c r="AX252" s="87"/>
    </row>
    <row r="253">
      <c r="A253" s="9"/>
      <c r="B253" s="87"/>
      <c r="C253" s="87"/>
      <c r="D253" s="87"/>
      <c r="E253" s="9"/>
      <c r="F253" s="87"/>
      <c r="G253" s="87"/>
      <c r="H253" s="87"/>
      <c r="I253" s="9"/>
      <c r="J253" s="87"/>
      <c r="K253" s="87"/>
      <c r="L253" s="87"/>
      <c r="M253" s="9"/>
      <c r="N253" s="87"/>
      <c r="O253" s="87"/>
      <c r="P253" s="87"/>
      <c r="Q253" s="9"/>
      <c r="R253" s="87"/>
      <c r="S253" s="87"/>
      <c r="T253" s="87"/>
      <c r="U253" s="9"/>
      <c r="V253" s="87"/>
      <c r="W253" s="87"/>
      <c r="X253" s="87"/>
      <c r="Y253" s="87"/>
      <c r="Z253" s="87"/>
      <c r="AA253" s="87"/>
      <c r="AB253" s="87"/>
      <c r="AC253" s="243"/>
      <c r="AD253" s="234"/>
      <c r="AE253" s="234"/>
      <c r="AF253" s="234"/>
      <c r="AG253" s="9"/>
      <c r="AH253" s="87"/>
      <c r="AI253" s="87"/>
      <c r="AJ253" s="87"/>
      <c r="AK253" s="244"/>
      <c r="AL253" s="245"/>
      <c r="AM253" s="244"/>
      <c r="AN253" s="244"/>
      <c r="AO253" s="87"/>
      <c r="AP253" s="87"/>
      <c r="AQ253" s="87"/>
      <c r="AR253" s="87"/>
      <c r="AS253" s="87"/>
      <c r="AT253" s="87"/>
      <c r="AU253" s="87"/>
      <c r="AV253" s="87"/>
      <c r="AW253" s="87"/>
      <c r="AX253" s="87"/>
    </row>
    <row r="254">
      <c r="A254" s="9"/>
      <c r="B254" s="87"/>
      <c r="C254" s="87"/>
      <c r="D254" s="87"/>
      <c r="E254" s="9"/>
      <c r="F254" s="87"/>
      <c r="G254" s="87"/>
      <c r="H254" s="87"/>
      <c r="I254" s="9"/>
      <c r="J254" s="87"/>
      <c r="K254" s="87"/>
      <c r="L254" s="87"/>
      <c r="M254" s="9"/>
      <c r="N254" s="87"/>
      <c r="O254" s="87"/>
      <c r="P254" s="87"/>
      <c r="Q254" s="9"/>
      <c r="R254" s="87"/>
      <c r="S254" s="87"/>
      <c r="T254" s="87"/>
      <c r="U254" s="9"/>
      <c r="V254" s="87"/>
      <c r="W254" s="87"/>
      <c r="X254" s="87"/>
      <c r="Y254" s="87"/>
      <c r="Z254" s="87"/>
      <c r="AA254" s="87"/>
      <c r="AB254" s="87"/>
      <c r="AC254" s="243"/>
      <c r="AD254" s="234"/>
      <c r="AE254" s="234"/>
      <c r="AF254" s="234"/>
      <c r="AG254" s="9"/>
      <c r="AH254" s="87"/>
      <c r="AI254" s="87"/>
      <c r="AJ254" s="87"/>
      <c r="AK254" s="244"/>
      <c r="AL254" s="245"/>
      <c r="AM254" s="244"/>
      <c r="AN254" s="244"/>
      <c r="AO254" s="87"/>
      <c r="AP254" s="87"/>
      <c r="AQ254" s="87"/>
      <c r="AR254" s="87"/>
      <c r="AS254" s="87"/>
      <c r="AT254" s="87"/>
      <c r="AU254" s="87"/>
      <c r="AV254" s="87"/>
      <c r="AW254" s="87"/>
      <c r="AX254" s="87"/>
    </row>
    <row r="255">
      <c r="A255" s="9"/>
      <c r="B255" s="87"/>
      <c r="C255" s="87"/>
      <c r="D255" s="87"/>
      <c r="E255" s="9"/>
      <c r="F255" s="87"/>
      <c r="G255" s="87"/>
      <c r="H255" s="87"/>
      <c r="I255" s="9"/>
      <c r="J255" s="87"/>
      <c r="K255" s="87"/>
      <c r="L255" s="87"/>
      <c r="M255" s="9"/>
      <c r="N255" s="87"/>
      <c r="O255" s="87"/>
      <c r="P255" s="87"/>
      <c r="Q255" s="9"/>
      <c r="R255" s="87"/>
      <c r="S255" s="87"/>
      <c r="T255" s="87"/>
      <c r="U255" s="9"/>
      <c r="V255" s="87"/>
      <c r="W255" s="87"/>
      <c r="X255" s="87"/>
      <c r="Y255" s="87"/>
      <c r="Z255" s="87"/>
      <c r="AA255" s="87"/>
      <c r="AB255" s="87"/>
      <c r="AC255" s="243"/>
      <c r="AD255" s="234"/>
      <c r="AE255" s="234"/>
      <c r="AF255" s="234"/>
      <c r="AG255" s="9"/>
      <c r="AH255" s="87"/>
      <c r="AI255" s="87"/>
      <c r="AJ255" s="87"/>
      <c r="AK255" s="244"/>
      <c r="AL255" s="245"/>
      <c r="AM255" s="244"/>
      <c r="AN255" s="244"/>
      <c r="AO255" s="87"/>
      <c r="AP255" s="87"/>
      <c r="AQ255" s="87"/>
      <c r="AR255" s="87"/>
      <c r="AS255" s="87"/>
      <c r="AT255" s="87"/>
      <c r="AU255" s="87"/>
      <c r="AV255" s="87"/>
      <c r="AW255" s="87"/>
      <c r="AX255" s="87"/>
    </row>
    <row r="256">
      <c r="A256" s="9"/>
      <c r="B256" s="87"/>
      <c r="C256" s="87"/>
      <c r="D256" s="87"/>
      <c r="E256" s="9"/>
      <c r="F256" s="87"/>
      <c r="G256" s="87"/>
      <c r="H256" s="87"/>
      <c r="I256" s="9"/>
      <c r="J256" s="87"/>
      <c r="K256" s="87"/>
      <c r="L256" s="87"/>
      <c r="M256" s="9"/>
      <c r="N256" s="87"/>
      <c r="O256" s="87"/>
      <c r="P256" s="87"/>
      <c r="Q256" s="9"/>
      <c r="R256" s="87"/>
      <c r="S256" s="87"/>
      <c r="T256" s="87"/>
      <c r="U256" s="9"/>
      <c r="V256" s="87"/>
      <c r="W256" s="87"/>
      <c r="X256" s="87"/>
      <c r="Y256" s="87"/>
      <c r="Z256" s="87"/>
      <c r="AA256" s="87"/>
      <c r="AB256" s="87"/>
      <c r="AC256" s="243"/>
      <c r="AD256" s="234"/>
      <c r="AE256" s="234"/>
      <c r="AF256" s="234"/>
      <c r="AG256" s="9"/>
      <c r="AH256" s="87"/>
      <c r="AI256" s="87"/>
      <c r="AJ256" s="87"/>
      <c r="AK256" s="244"/>
      <c r="AL256" s="245"/>
      <c r="AM256" s="244"/>
      <c r="AN256" s="244"/>
      <c r="AO256" s="87"/>
      <c r="AP256" s="87"/>
      <c r="AQ256" s="87"/>
      <c r="AR256" s="87"/>
      <c r="AS256" s="87"/>
      <c r="AT256" s="87"/>
      <c r="AU256" s="87"/>
      <c r="AV256" s="87"/>
      <c r="AW256" s="87"/>
      <c r="AX256" s="87"/>
    </row>
    <row r="257">
      <c r="A257" s="9"/>
      <c r="B257" s="87"/>
      <c r="C257" s="87"/>
      <c r="D257" s="87"/>
      <c r="E257" s="9"/>
      <c r="F257" s="87"/>
      <c r="G257" s="87"/>
      <c r="H257" s="87"/>
      <c r="I257" s="9"/>
      <c r="J257" s="87"/>
      <c r="K257" s="87"/>
      <c r="L257" s="87"/>
      <c r="M257" s="9"/>
      <c r="N257" s="87"/>
      <c r="O257" s="87"/>
      <c r="P257" s="87"/>
      <c r="Q257" s="9"/>
      <c r="R257" s="87"/>
      <c r="S257" s="87"/>
      <c r="T257" s="87"/>
      <c r="U257" s="9"/>
      <c r="V257" s="87"/>
      <c r="W257" s="87"/>
      <c r="X257" s="87"/>
      <c r="Y257" s="87"/>
      <c r="Z257" s="87"/>
      <c r="AA257" s="87"/>
      <c r="AB257" s="87"/>
      <c r="AC257" s="243"/>
      <c r="AD257" s="234"/>
      <c r="AE257" s="234"/>
      <c r="AF257" s="234"/>
      <c r="AG257" s="9"/>
      <c r="AH257" s="87"/>
      <c r="AI257" s="87"/>
      <c r="AJ257" s="87"/>
      <c r="AK257" s="244"/>
      <c r="AL257" s="245"/>
      <c r="AM257" s="244"/>
      <c r="AN257" s="244"/>
      <c r="AO257" s="87"/>
      <c r="AP257" s="87"/>
      <c r="AQ257" s="87"/>
      <c r="AR257" s="87"/>
      <c r="AS257" s="87"/>
      <c r="AT257" s="87"/>
      <c r="AU257" s="87"/>
      <c r="AV257" s="87"/>
      <c r="AW257" s="87"/>
      <c r="AX257" s="87"/>
    </row>
    <row r="258">
      <c r="A258" s="9"/>
      <c r="B258" s="87"/>
      <c r="C258" s="87"/>
      <c r="D258" s="87"/>
      <c r="E258" s="9"/>
      <c r="F258" s="87"/>
      <c r="G258" s="87"/>
      <c r="H258" s="87"/>
      <c r="I258" s="9"/>
      <c r="J258" s="87"/>
      <c r="K258" s="87"/>
      <c r="L258" s="87"/>
      <c r="M258" s="9"/>
      <c r="N258" s="87"/>
      <c r="O258" s="87"/>
      <c r="P258" s="87"/>
      <c r="Q258" s="9"/>
      <c r="R258" s="87"/>
      <c r="S258" s="87"/>
      <c r="T258" s="87"/>
      <c r="U258" s="9"/>
      <c r="V258" s="87"/>
      <c r="W258" s="87"/>
      <c r="X258" s="87"/>
      <c r="Y258" s="87"/>
      <c r="Z258" s="87"/>
      <c r="AA258" s="87"/>
      <c r="AB258" s="87"/>
      <c r="AC258" s="243"/>
      <c r="AD258" s="234"/>
      <c r="AE258" s="234"/>
      <c r="AF258" s="234"/>
      <c r="AG258" s="9"/>
      <c r="AH258" s="87"/>
      <c r="AI258" s="87"/>
      <c r="AJ258" s="87"/>
      <c r="AK258" s="244"/>
      <c r="AL258" s="245"/>
      <c r="AM258" s="244"/>
      <c r="AN258" s="244"/>
      <c r="AO258" s="87"/>
      <c r="AP258" s="87"/>
      <c r="AQ258" s="87"/>
      <c r="AR258" s="87"/>
      <c r="AS258" s="87"/>
      <c r="AT258" s="87"/>
      <c r="AU258" s="87"/>
      <c r="AV258" s="87"/>
      <c r="AW258" s="87"/>
      <c r="AX258" s="87"/>
    </row>
    <row r="259">
      <c r="A259" s="9"/>
      <c r="B259" s="87"/>
      <c r="C259" s="87"/>
      <c r="D259" s="87"/>
      <c r="E259" s="9"/>
      <c r="F259" s="87"/>
      <c r="G259" s="87"/>
      <c r="H259" s="87"/>
      <c r="I259" s="9"/>
      <c r="J259" s="87"/>
      <c r="K259" s="87"/>
      <c r="L259" s="87"/>
      <c r="M259" s="9"/>
      <c r="N259" s="87"/>
      <c r="O259" s="87"/>
      <c r="P259" s="87"/>
      <c r="Q259" s="9"/>
      <c r="R259" s="87"/>
      <c r="S259" s="87"/>
      <c r="T259" s="87"/>
      <c r="U259" s="9"/>
      <c r="V259" s="87"/>
      <c r="W259" s="87"/>
      <c r="X259" s="87"/>
      <c r="Y259" s="87"/>
      <c r="Z259" s="87"/>
      <c r="AA259" s="87"/>
      <c r="AB259" s="87"/>
      <c r="AC259" s="243"/>
      <c r="AD259" s="234"/>
      <c r="AE259" s="234"/>
      <c r="AF259" s="234"/>
      <c r="AG259" s="9"/>
      <c r="AH259" s="87"/>
      <c r="AI259" s="87"/>
      <c r="AJ259" s="87"/>
      <c r="AK259" s="244"/>
      <c r="AL259" s="245"/>
      <c r="AM259" s="244"/>
      <c r="AN259" s="244"/>
      <c r="AO259" s="87"/>
      <c r="AP259" s="87"/>
      <c r="AQ259" s="87"/>
      <c r="AR259" s="87"/>
      <c r="AS259" s="87"/>
      <c r="AT259" s="87"/>
      <c r="AU259" s="87"/>
      <c r="AV259" s="87"/>
      <c r="AW259" s="87"/>
      <c r="AX259" s="87"/>
    </row>
    <row r="260">
      <c r="A260" s="9"/>
      <c r="B260" s="87"/>
      <c r="C260" s="87"/>
      <c r="D260" s="87"/>
      <c r="E260" s="9"/>
      <c r="F260" s="87"/>
      <c r="G260" s="87"/>
      <c r="H260" s="87"/>
      <c r="I260" s="9"/>
      <c r="J260" s="87"/>
      <c r="K260" s="87"/>
      <c r="L260" s="87"/>
      <c r="M260" s="9"/>
      <c r="N260" s="87"/>
      <c r="O260" s="87"/>
      <c r="P260" s="87"/>
      <c r="Q260" s="9"/>
      <c r="R260" s="87"/>
      <c r="S260" s="87"/>
      <c r="T260" s="87"/>
      <c r="U260" s="9"/>
      <c r="V260" s="87"/>
      <c r="W260" s="87"/>
      <c r="X260" s="87"/>
      <c r="Y260" s="87"/>
      <c r="Z260" s="87"/>
      <c r="AA260" s="87"/>
      <c r="AB260" s="87"/>
      <c r="AC260" s="243"/>
      <c r="AD260" s="234"/>
      <c r="AE260" s="234"/>
      <c r="AF260" s="234"/>
      <c r="AG260" s="9"/>
      <c r="AH260" s="87"/>
      <c r="AI260" s="87"/>
      <c r="AJ260" s="87"/>
      <c r="AK260" s="244"/>
      <c r="AL260" s="245"/>
      <c r="AM260" s="244"/>
      <c r="AN260" s="244"/>
      <c r="AO260" s="87"/>
      <c r="AP260" s="87"/>
      <c r="AQ260" s="87"/>
      <c r="AR260" s="87"/>
      <c r="AS260" s="87"/>
      <c r="AT260" s="87"/>
      <c r="AU260" s="87"/>
      <c r="AV260" s="87"/>
      <c r="AW260" s="87"/>
      <c r="AX260" s="87"/>
    </row>
    <row r="261">
      <c r="A261" s="9"/>
      <c r="B261" s="87"/>
      <c r="C261" s="87"/>
      <c r="D261" s="87"/>
      <c r="E261" s="9"/>
      <c r="F261" s="87"/>
      <c r="G261" s="87"/>
      <c r="H261" s="87"/>
      <c r="I261" s="9"/>
      <c r="J261" s="87"/>
      <c r="K261" s="87"/>
      <c r="L261" s="87"/>
      <c r="M261" s="9"/>
      <c r="N261" s="87"/>
      <c r="O261" s="87"/>
      <c r="P261" s="87"/>
      <c r="Q261" s="9"/>
      <c r="R261" s="87"/>
      <c r="S261" s="87"/>
      <c r="T261" s="87"/>
      <c r="U261" s="9"/>
      <c r="V261" s="87"/>
      <c r="W261" s="87"/>
      <c r="X261" s="87"/>
      <c r="Y261" s="87"/>
      <c r="Z261" s="87"/>
      <c r="AA261" s="87"/>
      <c r="AB261" s="87"/>
      <c r="AC261" s="243"/>
      <c r="AD261" s="234"/>
      <c r="AE261" s="234"/>
      <c r="AF261" s="234"/>
      <c r="AG261" s="9"/>
      <c r="AH261" s="87"/>
      <c r="AI261" s="87"/>
      <c r="AJ261" s="87"/>
      <c r="AK261" s="244"/>
      <c r="AL261" s="245"/>
      <c r="AM261" s="244"/>
      <c r="AN261" s="244"/>
      <c r="AO261" s="87"/>
      <c r="AP261" s="87"/>
      <c r="AQ261" s="87"/>
      <c r="AR261" s="87"/>
      <c r="AS261" s="87"/>
      <c r="AT261" s="87"/>
      <c r="AU261" s="87"/>
      <c r="AV261" s="87"/>
      <c r="AW261" s="87"/>
      <c r="AX261" s="87"/>
    </row>
    <row r="262">
      <c r="A262" s="9"/>
      <c r="B262" s="87"/>
      <c r="C262" s="87"/>
      <c r="D262" s="87"/>
      <c r="E262" s="9"/>
      <c r="F262" s="87"/>
      <c r="G262" s="87"/>
      <c r="H262" s="87"/>
      <c r="I262" s="9"/>
      <c r="J262" s="87"/>
      <c r="K262" s="87"/>
      <c r="L262" s="87"/>
      <c r="M262" s="9"/>
      <c r="N262" s="87"/>
      <c r="O262" s="87"/>
      <c r="P262" s="87"/>
      <c r="Q262" s="9"/>
      <c r="R262" s="87"/>
      <c r="S262" s="87"/>
      <c r="T262" s="87"/>
      <c r="U262" s="9"/>
      <c r="V262" s="87"/>
      <c r="W262" s="87"/>
      <c r="X262" s="87"/>
      <c r="Y262" s="87"/>
      <c r="Z262" s="87"/>
      <c r="AA262" s="87"/>
      <c r="AB262" s="87"/>
      <c r="AC262" s="243"/>
      <c r="AD262" s="234"/>
      <c r="AE262" s="234"/>
      <c r="AF262" s="234"/>
      <c r="AG262" s="9"/>
      <c r="AH262" s="87"/>
      <c r="AI262" s="87"/>
      <c r="AJ262" s="87"/>
      <c r="AK262" s="244"/>
      <c r="AL262" s="245"/>
      <c r="AM262" s="244"/>
      <c r="AN262" s="244"/>
      <c r="AO262" s="87"/>
      <c r="AP262" s="87"/>
      <c r="AQ262" s="87"/>
      <c r="AR262" s="87"/>
      <c r="AS262" s="87"/>
      <c r="AT262" s="87"/>
      <c r="AU262" s="87"/>
      <c r="AV262" s="87"/>
      <c r="AW262" s="87"/>
      <c r="AX262" s="87"/>
    </row>
    <row r="263">
      <c r="A263" s="9"/>
      <c r="B263" s="87"/>
      <c r="C263" s="87"/>
      <c r="D263" s="87"/>
      <c r="E263" s="9"/>
      <c r="F263" s="87"/>
      <c r="G263" s="87"/>
      <c r="H263" s="87"/>
      <c r="I263" s="9"/>
      <c r="J263" s="87"/>
      <c r="K263" s="87"/>
      <c r="L263" s="87"/>
      <c r="M263" s="9"/>
      <c r="N263" s="87"/>
      <c r="O263" s="87"/>
      <c r="P263" s="87"/>
      <c r="Q263" s="9"/>
      <c r="R263" s="87"/>
      <c r="S263" s="87"/>
      <c r="T263" s="87"/>
      <c r="U263" s="9"/>
      <c r="V263" s="87"/>
      <c r="W263" s="87"/>
      <c r="X263" s="87"/>
      <c r="Y263" s="87"/>
      <c r="Z263" s="87"/>
      <c r="AA263" s="87"/>
      <c r="AB263" s="87"/>
      <c r="AC263" s="243"/>
      <c r="AD263" s="234"/>
      <c r="AE263" s="234"/>
      <c r="AF263" s="234"/>
      <c r="AG263" s="9"/>
      <c r="AH263" s="87"/>
      <c r="AI263" s="87"/>
      <c r="AJ263" s="87"/>
      <c r="AK263" s="244"/>
      <c r="AL263" s="245"/>
      <c r="AM263" s="244"/>
      <c r="AN263" s="244"/>
      <c r="AO263" s="87"/>
      <c r="AP263" s="87"/>
      <c r="AQ263" s="87"/>
      <c r="AR263" s="87"/>
      <c r="AS263" s="87"/>
      <c r="AT263" s="87"/>
      <c r="AU263" s="87"/>
      <c r="AV263" s="87"/>
      <c r="AW263" s="87"/>
      <c r="AX263" s="87"/>
    </row>
    <row r="264">
      <c r="A264" s="9"/>
      <c r="B264" s="87"/>
      <c r="C264" s="87"/>
      <c r="D264" s="87"/>
      <c r="E264" s="9"/>
      <c r="F264" s="87"/>
      <c r="G264" s="87"/>
      <c r="H264" s="87"/>
      <c r="I264" s="9"/>
      <c r="J264" s="87"/>
      <c r="K264" s="87"/>
      <c r="L264" s="87"/>
      <c r="M264" s="9"/>
      <c r="N264" s="87"/>
      <c r="O264" s="87"/>
      <c r="P264" s="87"/>
      <c r="Q264" s="9"/>
      <c r="R264" s="87"/>
      <c r="S264" s="87"/>
      <c r="T264" s="87"/>
      <c r="U264" s="9"/>
      <c r="V264" s="87"/>
      <c r="W264" s="87"/>
      <c r="X264" s="87"/>
      <c r="Y264" s="87"/>
      <c r="Z264" s="87"/>
      <c r="AA264" s="87"/>
      <c r="AB264" s="87"/>
      <c r="AC264" s="243"/>
      <c r="AD264" s="234"/>
      <c r="AE264" s="234"/>
      <c r="AF264" s="234"/>
      <c r="AG264" s="9"/>
      <c r="AH264" s="87"/>
      <c r="AI264" s="87"/>
      <c r="AJ264" s="87"/>
      <c r="AK264" s="244"/>
      <c r="AL264" s="245"/>
      <c r="AM264" s="244"/>
      <c r="AN264" s="244"/>
      <c r="AO264" s="87"/>
      <c r="AP264" s="87"/>
      <c r="AQ264" s="87"/>
      <c r="AR264" s="87"/>
      <c r="AS264" s="87"/>
      <c r="AT264" s="87"/>
      <c r="AU264" s="87"/>
      <c r="AV264" s="87"/>
      <c r="AW264" s="87"/>
      <c r="AX264" s="87"/>
    </row>
    <row r="265">
      <c r="A265" s="9"/>
      <c r="B265" s="87"/>
      <c r="C265" s="87"/>
      <c r="D265" s="87"/>
      <c r="E265" s="9"/>
      <c r="F265" s="87"/>
      <c r="G265" s="87"/>
      <c r="H265" s="87"/>
      <c r="I265" s="9"/>
      <c r="J265" s="87"/>
      <c r="K265" s="87"/>
      <c r="L265" s="87"/>
      <c r="M265" s="9"/>
      <c r="N265" s="87"/>
      <c r="O265" s="87"/>
      <c r="P265" s="87"/>
      <c r="Q265" s="9"/>
      <c r="R265" s="87"/>
      <c r="S265" s="87"/>
      <c r="T265" s="87"/>
      <c r="U265" s="9"/>
      <c r="V265" s="87"/>
      <c r="W265" s="87"/>
      <c r="X265" s="87"/>
      <c r="Y265" s="87"/>
      <c r="Z265" s="87"/>
      <c r="AA265" s="87"/>
      <c r="AB265" s="87"/>
      <c r="AC265" s="243"/>
      <c r="AD265" s="234"/>
      <c r="AE265" s="234"/>
      <c r="AF265" s="234"/>
      <c r="AG265" s="9"/>
      <c r="AH265" s="87"/>
      <c r="AI265" s="87"/>
      <c r="AJ265" s="87"/>
      <c r="AK265" s="244"/>
      <c r="AL265" s="245"/>
      <c r="AM265" s="244"/>
      <c r="AN265" s="244"/>
      <c r="AO265" s="87"/>
      <c r="AP265" s="87"/>
      <c r="AQ265" s="87"/>
      <c r="AR265" s="87"/>
      <c r="AS265" s="87"/>
      <c r="AT265" s="87"/>
      <c r="AU265" s="87"/>
      <c r="AV265" s="87"/>
      <c r="AW265" s="87"/>
      <c r="AX265" s="87"/>
    </row>
    <row r="266">
      <c r="A266" s="9"/>
      <c r="B266" s="87"/>
      <c r="C266" s="87"/>
      <c r="D266" s="87"/>
      <c r="E266" s="9"/>
      <c r="F266" s="87"/>
      <c r="G266" s="87"/>
      <c r="H266" s="87"/>
      <c r="I266" s="9"/>
      <c r="J266" s="87"/>
      <c r="K266" s="87"/>
      <c r="L266" s="87"/>
      <c r="M266" s="9"/>
      <c r="N266" s="87"/>
      <c r="O266" s="87"/>
      <c r="P266" s="87"/>
      <c r="Q266" s="9"/>
      <c r="R266" s="87"/>
      <c r="S266" s="87"/>
      <c r="T266" s="87"/>
      <c r="U266" s="9"/>
      <c r="V266" s="87"/>
      <c r="W266" s="87"/>
      <c r="X266" s="87"/>
      <c r="Y266" s="87"/>
      <c r="Z266" s="87"/>
      <c r="AA266" s="87"/>
      <c r="AB266" s="87"/>
      <c r="AC266" s="243"/>
      <c r="AD266" s="234"/>
      <c r="AE266" s="234"/>
      <c r="AF266" s="234"/>
      <c r="AG266" s="9"/>
      <c r="AH266" s="87"/>
      <c r="AI266" s="87"/>
      <c r="AJ266" s="87"/>
      <c r="AK266" s="244"/>
      <c r="AL266" s="245"/>
      <c r="AM266" s="244"/>
      <c r="AN266" s="244"/>
      <c r="AO266" s="87"/>
      <c r="AP266" s="87"/>
      <c r="AQ266" s="87"/>
      <c r="AR266" s="87"/>
      <c r="AS266" s="87"/>
      <c r="AT266" s="87"/>
      <c r="AU266" s="87"/>
      <c r="AV266" s="87"/>
      <c r="AW266" s="87"/>
      <c r="AX266" s="87"/>
    </row>
    <row r="267">
      <c r="A267" s="9"/>
      <c r="B267" s="87"/>
      <c r="C267" s="87"/>
      <c r="D267" s="87"/>
      <c r="E267" s="9"/>
      <c r="F267" s="87"/>
      <c r="G267" s="87"/>
      <c r="H267" s="87"/>
      <c r="I267" s="9"/>
      <c r="J267" s="87"/>
      <c r="K267" s="87"/>
      <c r="L267" s="87"/>
      <c r="M267" s="9"/>
      <c r="N267" s="87"/>
      <c r="O267" s="87"/>
      <c r="P267" s="87"/>
      <c r="Q267" s="9"/>
      <c r="R267" s="87"/>
      <c r="S267" s="87"/>
      <c r="T267" s="87"/>
      <c r="U267" s="9"/>
      <c r="V267" s="87"/>
      <c r="W267" s="87"/>
      <c r="X267" s="87"/>
      <c r="Y267" s="87"/>
      <c r="Z267" s="87"/>
      <c r="AA267" s="87"/>
      <c r="AB267" s="87"/>
      <c r="AC267" s="243"/>
      <c r="AD267" s="234"/>
      <c r="AE267" s="234"/>
      <c r="AF267" s="234"/>
      <c r="AG267" s="9"/>
      <c r="AH267" s="87"/>
      <c r="AI267" s="87"/>
      <c r="AJ267" s="87"/>
      <c r="AK267" s="244"/>
      <c r="AL267" s="245"/>
      <c r="AM267" s="244"/>
      <c r="AN267" s="244"/>
      <c r="AO267" s="87"/>
      <c r="AP267" s="87"/>
      <c r="AQ267" s="87"/>
      <c r="AR267" s="87"/>
      <c r="AS267" s="87"/>
      <c r="AT267" s="87"/>
      <c r="AU267" s="87"/>
      <c r="AV267" s="87"/>
      <c r="AW267" s="87"/>
      <c r="AX267" s="87"/>
    </row>
    <row r="268">
      <c r="A268" s="9"/>
      <c r="B268" s="87"/>
      <c r="C268" s="87"/>
      <c r="D268" s="87"/>
      <c r="E268" s="9"/>
      <c r="F268" s="87"/>
      <c r="G268" s="87"/>
      <c r="H268" s="87"/>
      <c r="I268" s="9"/>
      <c r="J268" s="87"/>
      <c r="K268" s="87"/>
      <c r="L268" s="87"/>
      <c r="M268" s="9"/>
      <c r="N268" s="87"/>
      <c r="O268" s="87"/>
      <c r="P268" s="87"/>
      <c r="Q268" s="9"/>
      <c r="R268" s="87"/>
      <c r="S268" s="87"/>
      <c r="T268" s="87"/>
      <c r="U268" s="9"/>
      <c r="V268" s="87"/>
      <c r="W268" s="87"/>
      <c r="X268" s="87"/>
      <c r="Y268" s="87"/>
      <c r="Z268" s="87"/>
      <c r="AA268" s="87"/>
      <c r="AB268" s="87"/>
      <c r="AC268" s="243"/>
      <c r="AD268" s="234"/>
      <c r="AE268" s="234"/>
      <c r="AF268" s="234"/>
      <c r="AG268" s="9"/>
      <c r="AH268" s="87"/>
      <c r="AI268" s="87"/>
      <c r="AJ268" s="87"/>
      <c r="AK268" s="244"/>
      <c r="AL268" s="245"/>
      <c r="AM268" s="244"/>
      <c r="AN268" s="244"/>
      <c r="AO268" s="87"/>
      <c r="AP268" s="87"/>
      <c r="AQ268" s="87"/>
      <c r="AR268" s="87"/>
      <c r="AS268" s="87"/>
      <c r="AT268" s="87"/>
      <c r="AU268" s="87"/>
      <c r="AV268" s="87"/>
      <c r="AW268" s="87"/>
      <c r="AX268" s="87"/>
    </row>
    <row r="269">
      <c r="A269" s="9"/>
      <c r="B269" s="87"/>
      <c r="C269" s="87"/>
      <c r="D269" s="87"/>
      <c r="E269" s="9"/>
      <c r="F269" s="87"/>
      <c r="G269" s="87"/>
      <c r="H269" s="87"/>
      <c r="I269" s="9"/>
      <c r="J269" s="87"/>
      <c r="K269" s="87"/>
      <c r="L269" s="87"/>
      <c r="M269" s="9"/>
      <c r="N269" s="87"/>
      <c r="O269" s="87"/>
      <c r="P269" s="87"/>
      <c r="Q269" s="9"/>
      <c r="R269" s="87"/>
      <c r="S269" s="87"/>
      <c r="T269" s="87"/>
      <c r="U269" s="9"/>
      <c r="V269" s="87"/>
      <c r="W269" s="87"/>
      <c r="X269" s="87"/>
      <c r="Y269" s="87"/>
      <c r="Z269" s="87"/>
      <c r="AA269" s="87"/>
      <c r="AB269" s="87"/>
      <c r="AC269" s="243"/>
      <c r="AD269" s="234"/>
      <c r="AE269" s="234"/>
      <c r="AF269" s="234"/>
      <c r="AG269" s="9"/>
      <c r="AH269" s="87"/>
      <c r="AI269" s="87"/>
      <c r="AJ269" s="87"/>
      <c r="AK269" s="244"/>
      <c r="AL269" s="245"/>
      <c r="AM269" s="244"/>
      <c r="AN269" s="244"/>
      <c r="AO269" s="87"/>
      <c r="AP269" s="87"/>
      <c r="AQ269" s="87"/>
      <c r="AR269" s="87"/>
      <c r="AS269" s="87"/>
      <c r="AT269" s="87"/>
      <c r="AU269" s="87"/>
      <c r="AV269" s="87"/>
      <c r="AW269" s="87"/>
      <c r="AX269" s="87"/>
    </row>
    <row r="270">
      <c r="A270" s="9"/>
      <c r="B270" s="87"/>
      <c r="C270" s="87"/>
      <c r="D270" s="87"/>
      <c r="E270" s="9"/>
      <c r="F270" s="87"/>
      <c r="G270" s="87"/>
      <c r="H270" s="87"/>
      <c r="I270" s="9"/>
      <c r="J270" s="87"/>
      <c r="K270" s="87"/>
      <c r="L270" s="87"/>
      <c r="M270" s="9"/>
      <c r="N270" s="87"/>
      <c r="O270" s="87"/>
      <c r="P270" s="87"/>
      <c r="Q270" s="9"/>
      <c r="R270" s="87"/>
      <c r="S270" s="87"/>
      <c r="T270" s="87"/>
      <c r="U270" s="9"/>
      <c r="V270" s="87"/>
      <c r="W270" s="87"/>
      <c r="X270" s="87"/>
      <c r="Y270" s="87"/>
      <c r="Z270" s="87"/>
      <c r="AA270" s="87"/>
      <c r="AB270" s="87"/>
      <c r="AC270" s="243"/>
      <c r="AD270" s="234"/>
      <c r="AE270" s="234"/>
      <c r="AF270" s="234"/>
      <c r="AG270" s="9"/>
      <c r="AH270" s="87"/>
      <c r="AI270" s="87"/>
      <c r="AJ270" s="87"/>
      <c r="AK270" s="244"/>
      <c r="AL270" s="245"/>
      <c r="AM270" s="244"/>
      <c r="AN270" s="244"/>
      <c r="AO270" s="87"/>
      <c r="AP270" s="87"/>
      <c r="AQ270" s="87"/>
      <c r="AR270" s="87"/>
      <c r="AS270" s="87"/>
      <c r="AT270" s="87"/>
      <c r="AU270" s="87"/>
      <c r="AV270" s="87"/>
      <c r="AW270" s="87"/>
      <c r="AX270" s="87"/>
    </row>
    <row r="271">
      <c r="A271" s="9"/>
      <c r="B271" s="87"/>
      <c r="C271" s="87"/>
      <c r="D271" s="87"/>
      <c r="E271" s="9"/>
      <c r="F271" s="87"/>
      <c r="G271" s="87"/>
      <c r="H271" s="87"/>
      <c r="I271" s="9"/>
      <c r="J271" s="87"/>
      <c r="K271" s="87"/>
      <c r="L271" s="87"/>
      <c r="M271" s="9"/>
      <c r="N271" s="87"/>
      <c r="O271" s="87"/>
      <c r="P271" s="87"/>
      <c r="Q271" s="9"/>
      <c r="R271" s="87"/>
      <c r="S271" s="87"/>
      <c r="T271" s="87"/>
      <c r="U271" s="9"/>
      <c r="V271" s="87"/>
      <c r="W271" s="87"/>
      <c r="X271" s="87"/>
      <c r="Y271" s="87"/>
      <c r="Z271" s="87"/>
      <c r="AA271" s="87"/>
      <c r="AB271" s="87"/>
      <c r="AC271" s="243"/>
      <c r="AD271" s="234"/>
      <c r="AE271" s="234"/>
      <c r="AF271" s="234"/>
      <c r="AG271" s="9"/>
      <c r="AH271" s="87"/>
      <c r="AI271" s="87"/>
      <c r="AJ271" s="87"/>
      <c r="AK271" s="244"/>
      <c r="AL271" s="245"/>
      <c r="AM271" s="244"/>
      <c r="AN271" s="244"/>
      <c r="AO271" s="87"/>
      <c r="AP271" s="87"/>
      <c r="AQ271" s="87"/>
      <c r="AR271" s="87"/>
      <c r="AS271" s="87"/>
      <c r="AT271" s="87"/>
      <c r="AU271" s="87"/>
      <c r="AV271" s="87"/>
      <c r="AW271" s="87"/>
      <c r="AX271" s="87"/>
    </row>
    <row r="272">
      <c r="A272" s="9"/>
      <c r="B272" s="87"/>
      <c r="C272" s="87"/>
      <c r="D272" s="87"/>
      <c r="E272" s="9"/>
      <c r="F272" s="87"/>
      <c r="G272" s="87"/>
      <c r="H272" s="87"/>
      <c r="I272" s="9"/>
      <c r="J272" s="87"/>
      <c r="K272" s="87"/>
      <c r="L272" s="87"/>
      <c r="M272" s="9"/>
      <c r="N272" s="87"/>
      <c r="O272" s="87"/>
      <c r="P272" s="87"/>
      <c r="Q272" s="9"/>
      <c r="R272" s="87"/>
      <c r="S272" s="87"/>
      <c r="T272" s="87"/>
      <c r="U272" s="9"/>
      <c r="V272" s="87"/>
      <c r="W272" s="87"/>
      <c r="X272" s="87"/>
      <c r="Y272" s="87"/>
      <c r="Z272" s="87"/>
      <c r="AA272" s="87"/>
      <c r="AB272" s="87"/>
      <c r="AC272" s="243"/>
      <c r="AD272" s="234"/>
      <c r="AE272" s="234"/>
      <c r="AF272" s="234"/>
      <c r="AG272" s="9"/>
      <c r="AH272" s="87"/>
      <c r="AI272" s="87"/>
      <c r="AJ272" s="87"/>
      <c r="AK272" s="244"/>
      <c r="AL272" s="245"/>
      <c r="AM272" s="244"/>
      <c r="AN272" s="244"/>
      <c r="AO272" s="87"/>
      <c r="AP272" s="87"/>
      <c r="AQ272" s="87"/>
      <c r="AR272" s="87"/>
      <c r="AS272" s="87"/>
      <c r="AT272" s="87"/>
      <c r="AU272" s="87"/>
      <c r="AV272" s="87"/>
      <c r="AW272" s="87"/>
      <c r="AX272" s="87"/>
    </row>
    <row r="273">
      <c r="A273" s="9"/>
      <c r="B273" s="87"/>
      <c r="C273" s="87"/>
      <c r="D273" s="87"/>
      <c r="E273" s="9"/>
      <c r="F273" s="87"/>
      <c r="G273" s="87"/>
      <c r="H273" s="87"/>
      <c r="I273" s="9"/>
      <c r="J273" s="87"/>
      <c r="K273" s="87"/>
      <c r="L273" s="87"/>
      <c r="M273" s="9"/>
      <c r="N273" s="87"/>
      <c r="O273" s="87"/>
      <c r="P273" s="87"/>
      <c r="Q273" s="9"/>
      <c r="R273" s="87"/>
      <c r="S273" s="87"/>
      <c r="T273" s="87"/>
      <c r="U273" s="9"/>
      <c r="V273" s="87"/>
      <c r="W273" s="87"/>
      <c r="X273" s="87"/>
      <c r="Y273" s="87"/>
      <c r="Z273" s="87"/>
      <c r="AA273" s="87"/>
      <c r="AB273" s="87"/>
      <c r="AC273" s="243"/>
      <c r="AD273" s="234"/>
      <c r="AE273" s="234"/>
      <c r="AF273" s="234"/>
      <c r="AG273" s="9"/>
      <c r="AH273" s="87"/>
      <c r="AI273" s="87"/>
      <c r="AJ273" s="87"/>
      <c r="AK273" s="244"/>
      <c r="AL273" s="245"/>
      <c r="AM273" s="244"/>
      <c r="AN273" s="244"/>
      <c r="AO273" s="87"/>
      <c r="AP273" s="87"/>
      <c r="AQ273" s="87"/>
      <c r="AR273" s="87"/>
      <c r="AS273" s="87"/>
      <c r="AT273" s="87"/>
      <c r="AU273" s="87"/>
      <c r="AV273" s="87"/>
      <c r="AW273" s="87"/>
      <c r="AX273" s="87"/>
    </row>
    <row r="274">
      <c r="A274" s="9"/>
      <c r="B274" s="87"/>
      <c r="C274" s="87"/>
      <c r="D274" s="87"/>
      <c r="E274" s="9"/>
      <c r="F274" s="87"/>
      <c r="G274" s="87"/>
      <c r="H274" s="87"/>
      <c r="I274" s="9"/>
      <c r="J274" s="87"/>
      <c r="K274" s="87"/>
      <c r="L274" s="87"/>
      <c r="M274" s="9"/>
      <c r="N274" s="87"/>
      <c r="O274" s="87"/>
      <c r="P274" s="87"/>
      <c r="Q274" s="9"/>
      <c r="R274" s="87"/>
      <c r="S274" s="87"/>
      <c r="T274" s="87"/>
      <c r="U274" s="9"/>
      <c r="V274" s="87"/>
      <c r="W274" s="87"/>
      <c r="X274" s="87"/>
      <c r="Y274" s="87"/>
      <c r="Z274" s="87"/>
      <c r="AA274" s="87"/>
      <c r="AB274" s="87"/>
      <c r="AC274" s="243"/>
      <c r="AD274" s="234"/>
      <c r="AE274" s="234"/>
      <c r="AF274" s="234"/>
      <c r="AG274" s="9"/>
      <c r="AH274" s="87"/>
      <c r="AI274" s="87"/>
      <c r="AJ274" s="87"/>
      <c r="AK274" s="244"/>
      <c r="AL274" s="245"/>
      <c r="AM274" s="244"/>
      <c r="AN274" s="244"/>
      <c r="AO274" s="87"/>
      <c r="AP274" s="87"/>
      <c r="AQ274" s="87"/>
      <c r="AR274" s="87"/>
      <c r="AS274" s="87"/>
      <c r="AT274" s="87"/>
      <c r="AU274" s="87"/>
      <c r="AV274" s="87"/>
      <c r="AW274" s="87"/>
      <c r="AX274" s="87"/>
    </row>
    <row r="275">
      <c r="A275" s="9"/>
      <c r="B275" s="87"/>
      <c r="C275" s="87"/>
      <c r="D275" s="87"/>
      <c r="E275" s="9"/>
      <c r="F275" s="87"/>
      <c r="G275" s="87"/>
      <c r="H275" s="87"/>
      <c r="I275" s="9"/>
      <c r="J275" s="87"/>
      <c r="K275" s="87"/>
      <c r="L275" s="87"/>
      <c r="M275" s="9"/>
      <c r="N275" s="87"/>
      <c r="O275" s="87"/>
      <c r="P275" s="87"/>
      <c r="Q275" s="9"/>
      <c r="R275" s="87"/>
      <c r="S275" s="87"/>
      <c r="T275" s="87"/>
      <c r="U275" s="9"/>
      <c r="V275" s="87"/>
      <c r="W275" s="87"/>
      <c r="X275" s="87"/>
      <c r="Y275" s="87"/>
      <c r="Z275" s="87"/>
      <c r="AA275" s="87"/>
      <c r="AB275" s="87"/>
      <c r="AC275" s="243"/>
      <c r="AD275" s="234"/>
      <c r="AE275" s="234"/>
      <c r="AF275" s="234"/>
      <c r="AG275" s="9"/>
      <c r="AH275" s="87"/>
      <c r="AI275" s="87"/>
      <c r="AJ275" s="87"/>
      <c r="AK275" s="244"/>
      <c r="AL275" s="245"/>
      <c r="AM275" s="244"/>
      <c r="AN275" s="244"/>
      <c r="AO275" s="87"/>
      <c r="AP275" s="87"/>
      <c r="AQ275" s="87"/>
      <c r="AR275" s="87"/>
      <c r="AS275" s="87"/>
      <c r="AT275" s="87"/>
      <c r="AU275" s="87"/>
      <c r="AV275" s="87"/>
      <c r="AW275" s="87"/>
      <c r="AX275" s="87"/>
    </row>
    <row r="276">
      <c r="A276" s="9"/>
      <c r="B276" s="87"/>
      <c r="C276" s="87"/>
      <c r="D276" s="87"/>
      <c r="E276" s="9"/>
      <c r="F276" s="87"/>
      <c r="G276" s="87"/>
      <c r="H276" s="87"/>
      <c r="I276" s="9"/>
      <c r="J276" s="87"/>
      <c r="K276" s="87"/>
      <c r="L276" s="87"/>
      <c r="M276" s="9"/>
      <c r="N276" s="87"/>
      <c r="O276" s="87"/>
      <c r="P276" s="87"/>
      <c r="Q276" s="9"/>
      <c r="R276" s="87"/>
      <c r="S276" s="87"/>
      <c r="T276" s="87"/>
      <c r="U276" s="9"/>
      <c r="V276" s="87"/>
      <c r="W276" s="87"/>
      <c r="X276" s="87"/>
      <c r="Y276" s="87"/>
      <c r="Z276" s="87"/>
      <c r="AA276" s="87"/>
      <c r="AB276" s="87"/>
      <c r="AC276" s="243"/>
      <c r="AD276" s="234"/>
      <c r="AE276" s="234"/>
      <c r="AF276" s="234"/>
      <c r="AG276" s="9"/>
      <c r="AH276" s="87"/>
      <c r="AI276" s="87"/>
      <c r="AJ276" s="87"/>
      <c r="AK276" s="244"/>
      <c r="AL276" s="245"/>
      <c r="AM276" s="244"/>
      <c r="AN276" s="244"/>
      <c r="AO276" s="87"/>
      <c r="AP276" s="87"/>
      <c r="AQ276" s="87"/>
      <c r="AR276" s="87"/>
      <c r="AS276" s="87"/>
      <c r="AT276" s="87"/>
      <c r="AU276" s="87"/>
      <c r="AV276" s="87"/>
      <c r="AW276" s="87"/>
      <c r="AX276" s="87"/>
    </row>
    <row r="277">
      <c r="A277" s="9"/>
      <c r="B277" s="87"/>
      <c r="C277" s="87"/>
      <c r="D277" s="87"/>
      <c r="E277" s="9"/>
      <c r="F277" s="87"/>
      <c r="G277" s="87"/>
      <c r="H277" s="87"/>
      <c r="I277" s="9"/>
      <c r="J277" s="87"/>
      <c r="K277" s="87"/>
      <c r="L277" s="87"/>
      <c r="M277" s="9"/>
      <c r="N277" s="87"/>
      <c r="O277" s="87"/>
      <c r="P277" s="87"/>
      <c r="Q277" s="9"/>
      <c r="R277" s="87"/>
      <c r="S277" s="87"/>
      <c r="T277" s="87"/>
      <c r="U277" s="9"/>
      <c r="V277" s="87"/>
      <c r="W277" s="87"/>
      <c r="X277" s="87"/>
      <c r="Y277" s="87"/>
      <c r="Z277" s="87"/>
      <c r="AA277" s="87"/>
      <c r="AB277" s="87"/>
      <c r="AC277" s="243"/>
      <c r="AD277" s="234"/>
      <c r="AE277" s="234"/>
      <c r="AF277" s="234"/>
      <c r="AG277" s="9"/>
      <c r="AH277" s="87"/>
      <c r="AI277" s="87"/>
      <c r="AJ277" s="87"/>
      <c r="AK277" s="244"/>
      <c r="AL277" s="245"/>
      <c r="AM277" s="244"/>
      <c r="AN277" s="244"/>
      <c r="AO277" s="87"/>
      <c r="AP277" s="87"/>
      <c r="AQ277" s="87"/>
      <c r="AR277" s="87"/>
      <c r="AS277" s="87"/>
      <c r="AT277" s="87"/>
      <c r="AU277" s="87"/>
      <c r="AV277" s="87"/>
      <c r="AW277" s="87"/>
      <c r="AX277" s="87"/>
    </row>
    <row r="278">
      <c r="A278" s="9"/>
      <c r="B278" s="87"/>
      <c r="C278" s="87"/>
      <c r="D278" s="87"/>
      <c r="E278" s="9"/>
      <c r="F278" s="87"/>
      <c r="G278" s="87"/>
      <c r="H278" s="87"/>
      <c r="I278" s="9"/>
      <c r="J278" s="87"/>
      <c r="K278" s="87"/>
      <c r="L278" s="87"/>
      <c r="M278" s="9"/>
      <c r="N278" s="87"/>
      <c r="O278" s="87"/>
      <c r="P278" s="87"/>
      <c r="Q278" s="9"/>
      <c r="R278" s="87"/>
      <c r="S278" s="87"/>
      <c r="T278" s="87"/>
      <c r="U278" s="9"/>
      <c r="V278" s="87"/>
      <c r="W278" s="87"/>
      <c r="X278" s="87"/>
      <c r="Y278" s="87"/>
      <c r="Z278" s="87"/>
      <c r="AA278" s="87"/>
      <c r="AB278" s="87"/>
      <c r="AC278" s="243"/>
      <c r="AD278" s="234"/>
      <c r="AE278" s="234"/>
      <c r="AF278" s="234"/>
      <c r="AG278" s="9"/>
      <c r="AH278" s="87"/>
      <c r="AI278" s="87"/>
      <c r="AJ278" s="87"/>
      <c r="AK278" s="244"/>
      <c r="AL278" s="245"/>
      <c r="AM278" s="244"/>
      <c r="AN278" s="244"/>
      <c r="AO278" s="87"/>
      <c r="AP278" s="87"/>
      <c r="AQ278" s="87"/>
      <c r="AR278" s="87"/>
      <c r="AS278" s="87"/>
      <c r="AT278" s="87"/>
      <c r="AU278" s="87"/>
      <c r="AV278" s="87"/>
      <c r="AW278" s="87"/>
      <c r="AX278" s="87"/>
    </row>
    <row r="279">
      <c r="A279" s="9"/>
      <c r="B279" s="87"/>
      <c r="C279" s="87"/>
      <c r="D279" s="87"/>
      <c r="E279" s="9"/>
      <c r="F279" s="87"/>
      <c r="G279" s="87"/>
      <c r="H279" s="87"/>
      <c r="I279" s="9"/>
      <c r="J279" s="87"/>
      <c r="K279" s="87"/>
      <c r="L279" s="87"/>
      <c r="M279" s="9"/>
      <c r="N279" s="87"/>
      <c r="O279" s="87"/>
      <c r="P279" s="87"/>
      <c r="Q279" s="9"/>
      <c r="R279" s="87"/>
      <c r="S279" s="87"/>
      <c r="T279" s="87"/>
      <c r="U279" s="9"/>
      <c r="V279" s="87"/>
      <c r="W279" s="87"/>
      <c r="X279" s="87"/>
      <c r="Y279" s="87"/>
      <c r="Z279" s="87"/>
      <c r="AA279" s="87"/>
      <c r="AB279" s="87"/>
      <c r="AC279" s="243"/>
      <c r="AD279" s="234"/>
      <c r="AE279" s="234"/>
      <c r="AF279" s="234"/>
      <c r="AG279" s="9"/>
      <c r="AH279" s="87"/>
      <c r="AI279" s="87"/>
      <c r="AJ279" s="87"/>
      <c r="AK279" s="244"/>
      <c r="AL279" s="245"/>
      <c r="AM279" s="244"/>
      <c r="AN279" s="244"/>
      <c r="AO279" s="87"/>
      <c r="AP279" s="87"/>
      <c r="AQ279" s="87"/>
      <c r="AR279" s="87"/>
      <c r="AS279" s="87"/>
      <c r="AT279" s="87"/>
      <c r="AU279" s="87"/>
      <c r="AV279" s="87"/>
      <c r="AW279" s="87"/>
      <c r="AX279" s="87"/>
    </row>
    <row r="280">
      <c r="A280" s="9"/>
      <c r="B280" s="87"/>
      <c r="C280" s="87"/>
      <c r="D280" s="87"/>
      <c r="E280" s="9"/>
      <c r="F280" s="87"/>
      <c r="G280" s="87"/>
      <c r="H280" s="87"/>
      <c r="I280" s="9"/>
      <c r="J280" s="87"/>
      <c r="K280" s="87"/>
      <c r="L280" s="87"/>
      <c r="M280" s="9"/>
      <c r="N280" s="87"/>
      <c r="O280" s="87"/>
      <c r="P280" s="87"/>
      <c r="Q280" s="9"/>
      <c r="R280" s="87"/>
      <c r="S280" s="87"/>
      <c r="T280" s="87"/>
      <c r="U280" s="9"/>
      <c r="V280" s="87"/>
      <c r="W280" s="87"/>
      <c r="X280" s="87"/>
      <c r="Y280" s="87"/>
      <c r="Z280" s="87"/>
      <c r="AA280" s="87"/>
      <c r="AB280" s="87"/>
      <c r="AC280" s="243"/>
      <c r="AD280" s="234"/>
      <c r="AE280" s="234"/>
      <c r="AF280" s="234"/>
      <c r="AG280" s="9"/>
      <c r="AH280" s="87"/>
      <c r="AI280" s="87"/>
      <c r="AJ280" s="87"/>
      <c r="AK280" s="244"/>
      <c r="AL280" s="245"/>
      <c r="AM280" s="244"/>
      <c r="AN280" s="244"/>
      <c r="AO280" s="87"/>
      <c r="AP280" s="87"/>
      <c r="AQ280" s="87"/>
      <c r="AR280" s="87"/>
      <c r="AS280" s="87"/>
      <c r="AT280" s="87"/>
      <c r="AU280" s="87"/>
      <c r="AV280" s="87"/>
      <c r="AW280" s="87"/>
      <c r="AX280" s="87"/>
    </row>
    <row r="281">
      <c r="A281" s="9"/>
      <c r="B281" s="87"/>
      <c r="C281" s="87"/>
      <c r="D281" s="87"/>
      <c r="E281" s="9"/>
      <c r="F281" s="87"/>
      <c r="G281" s="87"/>
      <c r="H281" s="87"/>
      <c r="I281" s="9"/>
      <c r="J281" s="87"/>
      <c r="K281" s="87"/>
      <c r="L281" s="87"/>
      <c r="M281" s="9"/>
      <c r="N281" s="87"/>
      <c r="O281" s="87"/>
      <c r="P281" s="87"/>
      <c r="Q281" s="9"/>
      <c r="R281" s="87"/>
      <c r="S281" s="87"/>
      <c r="T281" s="87"/>
      <c r="U281" s="9"/>
      <c r="V281" s="87"/>
      <c r="W281" s="87"/>
      <c r="X281" s="87"/>
      <c r="Y281" s="87"/>
      <c r="Z281" s="87"/>
      <c r="AA281" s="87"/>
      <c r="AB281" s="87"/>
      <c r="AC281" s="243"/>
      <c r="AD281" s="234"/>
      <c r="AE281" s="234"/>
      <c r="AF281" s="234"/>
      <c r="AG281" s="9"/>
      <c r="AH281" s="87"/>
      <c r="AI281" s="87"/>
      <c r="AJ281" s="87"/>
      <c r="AK281" s="244"/>
      <c r="AL281" s="245"/>
      <c r="AM281" s="244"/>
      <c r="AN281" s="244"/>
      <c r="AO281" s="87"/>
      <c r="AP281" s="87"/>
      <c r="AQ281" s="87"/>
      <c r="AR281" s="87"/>
      <c r="AS281" s="87"/>
      <c r="AT281" s="87"/>
      <c r="AU281" s="87"/>
      <c r="AV281" s="87"/>
      <c r="AW281" s="87"/>
      <c r="AX281" s="87"/>
    </row>
    <row r="282">
      <c r="A282" s="9"/>
      <c r="B282" s="87"/>
      <c r="C282" s="87"/>
      <c r="D282" s="87"/>
      <c r="E282" s="9"/>
      <c r="F282" s="87"/>
      <c r="G282" s="87"/>
      <c r="H282" s="87"/>
      <c r="I282" s="9"/>
      <c r="J282" s="87"/>
      <c r="K282" s="87"/>
      <c r="L282" s="87"/>
      <c r="M282" s="9"/>
      <c r="N282" s="87"/>
      <c r="O282" s="87"/>
      <c r="P282" s="87"/>
      <c r="Q282" s="9"/>
      <c r="R282" s="87"/>
      <c r="S282" s="87"/>
      <c r="T282" s="87"/>
      <c r="U282" s="9"/>
      <c r="V282" s="87"/>
      <c r="W282" s="87"/>
      <c r="X282" s="87"/>
      <c r="Y282" s="87"/>
      <c r="Z282" s="87"/>
      <c r="AA282" s="87"/>
      <c r="AB282" s="87"/>
      <c r="AC282" s="243"/>
      <c r="AD282" s="234"/>
      <c r="AE282" s="234"/>
      <c r="AF282" s="234"/>
      <c r="AG282" s="9"/>
      <c r="AH282" s="87"/>
      <c r="AI282" s="87"/>
      <c r="AJ282" s="87"/>
      <c r="AK282" s="244"/>
      <c r="AL282" s="245"/>
      <c r="AM282" s="244"/>
      <c r="AN282" s="244"/>
      <c r="AO282" s="87"/>
      <c r="AP282" s="87"/>
      <c r="AQ282" s="87"/>
      <c r="AR282" s="87"/>
      <c r="AS282" s="87"/>
      <c r="AT282" s="87"/>
      <c r="AU282" s="87"/>
      <c r="AV282" s="87"/>
      <c r="AW282" s="87"/>
      <c r="AX282" s="87"/>
    </row>
    <row r="283">
      <c r="A283" s="9"/>
      <c r="B283" s="87"/>
      <c r="C283" s="87"/>
      <c r="D283" s="87"/>
      <c r="E283" s="9"/>
      <c r="F283" s="87"/>
      <c r="G283" s="87"/>
      <c r="H283" s="87"/>
      <c r="I283" s="9"/>
      <c r="J283" s="87"/>
      <c r="K283" s="87"/>
      <c r="L283" s="87"/>
      <c r="M283" s="9"/>
      <c r="N283" s="87"/>
      <c r="O283" s="87"/>
      <c r="P283" s="87"/>
      <c r="Q283" s="9"/>
      <c r="R283" s="87"/>
      <c r="S283" s="87"/>
      <c r="T283" s="87"/>
      <c r="U283" s="9"/>
      <c r="V283" s="87"/>
      <c r="W283" s="87"/>
      <c r="X283" s="87"/>
      <c r="Y283" s="87"/>
      <c r="Z283" s="87"/>
      <c r="AA283" s="87"/>
      <c r="AB283" s="87"/>
      <c r="AC283" s="243"/>
      <c r="AD283" s="234"/>
      <c r="AE283" s="234"/>
      <c r="AF283" s="234"/>
      <c r="AG283" s="9"/>
      <c r="AH283" s="87"/>
      <c r="AI283" s="87"/>
      <c r="AJ283" s="87"/>
      <c r="AK283" s="244"/>
      <c r="AL283" s="245"/>
      <c r="AM283" s="244"/>
      <c r="AN283" s="244"/>
      <c r="AO283" s="87"/>
      <c r="AP283" s="87"/>
      <c r="AQ283" s="87"/>
      <c r="AR283" s="87"/>
      <c r="AS283" s="87"/>
      <c r="AT283" s="87"/>
      <c r="AU283" s="87"/>
      <c r="AV283" s="87"/>
      <c r="AW283" s="87"/>
      <c r="AX283" s="87"/>
    </row>
    <row r="284">
      <c r="A284" s="9"/>
      <c r="B284" s="87"/>
      <c r="C284" s="87"/>
      <c r="D284" s="87"/>
      <c r="E284" s="9"/>
      <c r="F284" s="87"/>
      <c r="G284" s="87"/>
      <c r="H284" s="87"/>
      <c r="I284" s="9"/>
      <c r="J284" s="87"/>
      <c r="K284" s="87"/>
      <c r="L284" s="87"/>
      <c r="M284" s="9"/>
      <c r="N284" s="87"/>
      <c r="O284" s="87"/>
      <c r="P284" s="87"/>
      <c r="Q284" s="9"/>
      <c r="R284" s="87"/>
      <c r="S284" s="87"/>
      <c r="T284" s="87"/>
      <c r="U284" s="9"/>
      <c r="V284" s="87"/>
      <c r="W284" s="87"/>
      <c r="X284" s="87"/>
      <c r="Y284" s="87"/>
      <c r="Z284" s="87"/>
      <c r="AA284" s="87"/>
      <c r="AB284" s="87"/>
      <c r="AC284" s="243"/>
      <c r="AD284" s="234"/>
      <c r="AE284" s="234"/>
      <c r="AF284" s="234"/>
      <c r="AG284" s="9"/>
      <c r="AH284" s="87"/>
      <c r="AI284" s="87"/>
      <c r="AJ284" s="87"/>
      <c r="AK284" s="244"/>
      <c r="AL284" s="245"/>
      <c r="AM284" s="244"/>
      <c r="AN284" s="244"/>
      <c r="AO284" s="87"/>
      <c r="AP284" s="87"/>
      <c r="AQ284" s="87"/>
      <c r="AR284" s="87"/>
      <c r="AS284" s="87"/>
      <c r="AT284" s="87"/>
      <c r="AU284" s="87"/>
      <c r="AV284" s="87"/>
      <c r="AW284" s="87"/>
      <c r="AX284" s="87"/>
    </row>
    <row r="285">
      <c r="A285" s="9"/>
      <c r="B285" s="87"/>
      <c r="C285" s="87"/>
      <c r="D285" s="87"/>
      <c r="E285" s="9"/>
      <c r="F285" s="87"/>
      <c r="G285" s="87"/>
      <c r="H285" s="87"/>
      <c r="I285" s="9"/>
      <c r="J285" s="87"/>
      <c r="K285" s="87"/>
      <c r="L285" s="87"/>
      <c r="M285" s="9"/>
      <c r="N285" s="87"/>
      <c r="O285" s="87"/>
      <c r="P285" s="87"/>
      <c r="Q285" s="9"/>
      <c r="R285" s="87"/>
      <c r="S285" s="87"/>
      <c r="T285" s="87"/>
      <c r="U285" s="9"/>
      <c r="V285" s="87"/>
      <c r="W285" s="87"/>
      <c r="X285" s="87"/>
      <c r="Y285" s="87"/>
      <c r="Z285" s="87"/>
      <c r="AA285" s="87"/>
      <c r="AB285" s="87"/>
      <c r="AC285" s="243"/>
      <c r="AD285" s="234"/>
      <c r="AE285" s="234"/>
      <c r="AF285" s="234"/>
      <c r="AG285" s="9"/>
      <c r="AH285" s="87"/>
      <c r="AI285" s="87"/>
      <c r="AJ285" s="87"/>
      <c r="AK285" s="244"/>
      <c r="AL285" s="245"/>
      <c r="AM285" s="244"/>
      <c r="AN285" s="244"/>
      <c r="AO285" s="87"/>
      <c r="AP285" s="87"/>
      <c r="AQ285" s="87"/>
      <c r="AR285" s="87"/>
      <c r="AS285" s="87"/>
      <c r="AT285" s="87"/>
      <c r="AU285" s="87"/>
      <c r="AV285" s="87"/>
      <c r="AW285" s="87"/>
      <c r="AX285" s="87"/>
    </row>
    <row r="286">
      <c r="A286" s="9"/>
      <c r="B286" s="87"/>
      <c r="C286" s="87"/>
      <c r="D286" s="87"/>
      <c r="E286" s="9"/>
      <c r="F286" s="87"/>
      <c r="G286" s="87"/>
      <c r="H286" s="87"/>
      <c r="I286" s="9"/>
      <c r="J286" s="87"/>
      <c r="K286" s="87"/>
      <c r="L286" s="87"/>
      <c r="M286" s="9"/>
      <c r="N286" s="87"/>
      <c r="O286" s="87"/>
      <c r="P286" s="87"/>
      <c r="Q286" s="9"/>
      <c r="R286" s="87"/>
      <c r="S286" s="87"/>
      <c r="T286" s="87"/>
      <c r="U286" s="9"/>
      <c r="V286" s="87"/>
      <c r="W286" s="87"/>
      <c r="X286" s="87"/>
      <c r="Y286" s="87"/>
      <c r="Z286" s="87"/>
      <c r="AA286" s="87"/>
      <c r="AB286" s="87"/>
      <c r="AC286" s="243"/>
      <c r="AD286" s="234"/>
      <c r="AE286" s="234"/>
      <c r="AF286" s="234"/>
      <c r="AG286" s="9"/>
      <c r="AH286" s="87"/>
      <c r="AI286" s="87"/>
      <c r="AJ286" s="87"/>
      <c r="AK286" s="244"/>
      <c r="AL286" s="245"/>
      <c r="AM286" s="244"/>
      <c r="AN286" s="244"/>
      <c r="AO286" s="87"/>
      <c r="AP286" s="87"/>
      <c r="AQ286" s="87"/>
      <c r="AR286" s="87"/>
      <c r="AS286" s="87"/>
      <c r="AT286" s="87"/>
      <c r="AU286" s="87"/>
      <c r="AV286" s="87"/>
      <c r="AW286" s="87"/>
      <c r="AX286" s="87"/>
    </row>
    <row r="287">
      <c r="A287" s="9"/>
      <c r="B287" s="87"/>
      <c r="C287" s="87"/>
      <c r="D287" s="87"/>
      <c r="E287" s="9"/>
      <c r="F287" s="87"/>
      <c r="G287" s="87"/>
      <c r="H287" s="87"/>
      <c r="I287" s="9"/>
      <c r="J287" s="87"/>
      <c r="K287" s="87"/>
      <c r="L287" s="87"/>
      <c r="M287" s="9"/>
      <c r="N287" s="87"/>
      <c r="O287" s="87"/>
      <c r="P287" s="87"/>
      <c r="Q287" s="9"/>
      <c r="R287" s="87"/>
      <c r="S287" s="87"/>
      <c r="T287" s="87"/>
      <c r="U287" s="9"/>
      <c r="V287" s="87"/>
      <c r="W287" s="87"/>
      <c r="X287" s="87"/>
      <c r="Y287" s="87"/>
      <c r="Z287" s="87"/>
      <c r="AA287" s="87"/>
      <c r="AB287" s="87"/>
      <c r="AC287" s="243"/>
      <c r="AD287" s="234"/>
      <c r="AE287" s="234"/>
      <c r="AF287" s="234"/>
      <c r="AG287" s="9"/>
      <c r="AH287" s="87"/>
      <c r="AI287" s="87"/>
      <c r="AJ287" s="87"/>
      <c r="AK287" s="244"/>
      <c r="AL287" s="245"/>
      <c r="AM287" s="244"/>
      <c r="AN287" s="244"/>
      <c r="AO287" s="87"/>
      <c r="AP287" s="87"/>
      <c r="AQ287" s="87"/>
      <c r="AR287" s="87"/>
      <c r="AS287" s="87"/>
      <c r="AT287" s="87"/>
      <c r="AU287" s="87"/>
      <c r="AV287" s="87"/>
      <c r="AW287" s="87"/>
      <c r="AX287" s="87"/>
    </row>
    <row r="288">
      <c r="A288" s="9"/>
      <c r="B288" s="87"/>
      <c r="C288" s="87"/>
      <c r="D288" s="87"/>
      <c r="E288" s="9"/>
      <c r="F288" s="87"/>
      <c r="G288" s="87"/>
      <c r="H288" s="87"/>
      <c r="I288" s="9"/>
      <c r="J288" s="87"/>
      <c r="K288" s="87"/>
      <c r="L288" s="87"/>
      <c r="M288" s="9"/>
      <c r="N288" s="87"/>
      <c r="O288" s="87"/>
      <c r="P288" s="87"/>
      <c r="Q288" s="9"/>
      <c r="R288" s="87"/>
      <c r="S288" s="87"/>
      <c r="T288" s="87"/>
      <c r="U288" s="9"/>
      <c r="V288" s="87"/>
      <c r="W288" s="87"/>
      <c r="X288" s="87"/>
      <c r="Y288" s="87"/>
      <c r="Z288" s="87"/>
      <c r="AA288" s="87"/>
      <c r="AB288" s="87"/>
      <c r="AC288" s="243"/>
      <c r="AD288" s="234"/>
      <c r="AE288" s="234"/>
      <c r="AF288" s="234"/>
      <c r="AG288" s="9"/>
      <c r="AH288" s="87"/>
      <c r="AI288" s="87"/>
      <c r="AJ288" s="87"/>
      <c r="AK288" s="244"/>
      <c r="AL288" s="245"/>
      <c r="AM288" s="244"/>
      <c r="AN288" s="244"/>
      <c r="AO288" s="87"/>
      <c r="AP288" s="87"/>
      <c r="AQ288" s="87"/>
      <c r="AR288" s="87"/>
      <c r="AS288" s="87"/>
      <c r="AT288" s="87"/>
      <c r="AU288" s="87"/>
      <c r="AV288" s="87"/>
      <c r="AW288" s="87"/>
      <c r="AX288" s="87"/>
    </row>
    <row r="289">
      <c r="A289" s="9"/>
      <c r="B289" s="87"/>
      <c r="C289" s="87"/>
      <c r="D289" s="87"/>
      <c r="E289" s="9"/>
      <c r="F289" s="87"/>
      <c r="G289" s="87"/>
      <c r="H289" s="87"/>
      <c r="I289" s="9"/>
      <c r="J289" s="87"/>
      <c r="K289" s="87"/>
      <c r="L289" s="87"/>
      <c r="M289" s="9"/>
      <c r="N289" s="87"/>
      <c r="O289" s="87"/>
      <c r="P289" s="87"/>
      <c r="Q289" s="9"/>
      <c r="R289" s="87"/>
      <c r="S289" s="87"/>
      <c r="T289" s="87"/>
      <c r="U289" s="9"/>
      <c r="V289" s="87"/>
      <c r="W289" s="87"/>
      <c r="X289" s="87"/>
      <c r="Y289" s="87"/>
      <c r="Z289" s="87"/>
      <c r="AA289" s="87"/>
      <c r="AB289" s="87"/>
      <c r="AC289" s="243"/>
      <c r="AD289" s="234"/>
      <c r="AE289" s="234"/>
      <c r="AF289" s="234"/>
      <c r="AG289" s="9"/>
      <c r="AH289" s="87"/>
      <c r="AI289" s="87"/>
      <c r="AJ289" s="87"/>
      <c r="AK289" s="244"/>
      <c r="AL289" s="245"/>
      <c r="AM289" s="244"/>
      <c r="AN289" s="244"/>
      <c r="AO289" s="87"/>
      <c r="AP289" s="87"/>
      <c r="AQ289" s="87"/>
      <c r="AR289" s="87"/>
      <c r="AS289" s="87"/>
      <c r="AT289" s="87"/>
      <c r="AU289" s="87"/>
      <c r="AV289" s="87"/>
      <c r="AW289" s="87"/>
      <c r="AX289" s="87"/>
    </row>
    <row r="290">
      <c r="A290" s="9"/>
      <c r="B290" s="87"/>
      <c r="C290" s="87"/>
      <c r="D290" s="87"/>
      <c r="E290" s="9"/>
      <c r="F290" s="87"/>
      <c r="G290" s="87"/>
      <c r="H290" s="87"/>
      <c r="I290" s="9"/>
      <c r="J290" s="87"/>
      <c r="K290" s="87"/>
      <c r="L290" s="87"/>
      <c r="M290" s="9"/>
      <c r="N290" s="87"/>
      <c r="O290" s="87"/>
      <c r="P290" s="87"/>
      <c r="Q290" s="9"/>
      <c r="R290" s="87"/>
      <c r="S290" s="87"/>
      <c r="T290" s="87"/>
      <c r="U290" s="9"/>
      <c r="V290" s="87"/>
      <c r="W290" s="87"/>
      <c r="X290" s="87"/>
      <c r="Y290" s="87"/>
      <c r="Z290" s="87"/>
      <c r="AA290" s="87"/>
      <c r="AB290" s="87"/>
      <c r="AC290" s="243"/>
      <c r="AD290" s="234"/>
      <c r="AE290" s="234"/>
      <c r="AF290" s="234"/>
      <c r="AG290" s="9"/>
      <c r="AH290" s="87"/>
      <c r="AI290" s="87"/>
      <c r="AJ290" s="87"/>
      <c r="AK290" s="244"/>
      <c r="AL290" s="245"/>
      <c r="AM290" s="244"/>
      <c r="AN290" s="244"/>
      <c r="AO290" s="87"/>
      <c r="AP290" s="87"/>
      <c r="AQ290" s="87"/>
      <c r="AR290" s="87"/>
      <c r="AS290" s="87"/>
      <c r="AT290" s="87"/>
      <c r="AU290" s="87"/>
      <c r="AV290" s="87"/>
      <c r="AW290" s="87"/>
      <c r="AX290" s="87"/>
    </row>
    <row r="291">
      <c r="A291" s="9"/>
      <c r="B291" s="87"/>
      <c r="C291" s="87"/>
      <c r="D291" s="87"/>
      <c r="E291" s="9"/>
      <c r="F291" s="87"/>
      <c r="G291" s="87"/>
      <c r="H291" s="87"/>
      <c r="I291" s="9"/>
      <c r="J291" s="87"/>
      <c r="K291" s="87"/>
      <c r="L291" s="87"/>
      <c r="M291" s="9"/>
      <c r="N291" s="87"/>
      <c r="O291" s="87"/>
      <c r="P291" s="87"/>
      <c r="Q291" s="9"/>
      <c r="R291" s="87"/>
      <c r="S291" s="87"/>
      <c r="T291" s="87"/>
      <c r="U291" s="9"/>
      <c r="V291" s="87"/>
      <c r="W291" s="87"/>
      <c r="X291" s="87"/>
      <c r="Y291" s="87"/>
      <c r="Z291" s="87"/>
      <c r="AA291" s="87"/>
      <c r="AB291" s="87"/>
      <c r="AC291" s="243"/>
      <c r="AD291" s="234"/>
      <c r="AE291" s="234"/>
      <c r="AF291" s="234"/>
      <c r="AG291" s="9"/>
      <c r="AH291" s="87"/>
      <c r="AI291" s="87"/>
      <c r="AJ291" s="87"/>
      <c r="AK291" s="244"/>
      <c r="AL291" s="245"/>
      <c r="AM291" s="244"/>
      <c r="AN291" s="244"/>
      <c r="AO291" s="87"/>
      <c r="AP291" s="87"/>
      <c r="AQ291" s="87"/>
      <c r="AR291" s="87"/>
      <c r="AS291" s="87"/>
      <c r="AT291" s="87"/>
      <c r="AU291" s="87"/>
      <c r="AV291" s="87"/>
      <c r="AW291" s="87"/>
      <c r="AX291" s="87"/>
    </row>
    <row r="292">
      <c r="A292" s="9"/>
      <c r="B292" s="87"/>
      <c r="C292" s="87"/>
      <c r="D292" s="87"/>
      <c r="E292" s="9"/>
      <c r="F292" s="87"/>
      <c r="G292" s="87"/>
      <c r="H292" s="87"/>
      <c r="I292" s="9"/>
      <c r="J292" s="87"/>
      <c r="K292" s="87"/>
      <c r="L292" s="87"/>
      <c r="M292" s="9"/>
      <c r="N292" s="87"/>
      <c r="O292" s="87"/>
      <c r="P292" s="87"/>
      <c r="Q292" s="9"/>
      <c r="R292" s="87"/>
      <c r="S292" s="87"/>
      <c r="T292" s="87"/>
      <c r="U292" s="9"/>
      <c r="V292" s="87"/>
      <c r="W292" s="87"/>
      <c r="X292" s="87"/>
      <c r="Y292" s="87"/>
      <c r="Z292" s="87"/>
      <c r="AA292" s="87"/>
      <c r="AB292" s="87"/>
      <c r="AC292" s="243"/>
      <c r="AD292" s="234"/>
      <c r="AE292" s="234"/>
      <c r="AF292" s="234"/>
      <c r="AG292" s="9"/>
      <c r="AH292" s="87"/>
      <c r="AI292" s="87"/>
      <c r="AJ292" s="87"/>
      <c r="AK292" s="244"/>
      <c r="AL292" s="245"/>
      <c r="AM292" s="244"/>
      <c r="AN292" s="244"/>
      <c r="AO292" s="87"/>
      <c r="AP292" s="87"/>
      <c r="AQ292" s="87"/>
      <c r="AR292" s="87"/>
      <c r="AS292" s="87"/>
      <c r="AT292" s="87"/>
      <c r="AU292" s="87"/>
      <c r="AV292" s="87"/>
      <c r="AW292" s="87"/>
      <c r="AX292" s="87"/>
    </row>
    <row r="293">
      <c r="A293" s="9"/>
      <c r="B293" s="87"/>
      <c r="C293" s="87"/>
      <c r="D293" s="87"/>
      <c r="E293" s="9"/>
      <c r="F293" s="87"/>
      <c r="G293" s="87"/>
      <c r="H293" s="87"/>
      <c r="I293" s="9"/>
      <c r="J293" s="87"/>
      <c r="K293" s="87"/>
      <c r="L293" s="87"/>
      <c r="M293" s="9"/>
      <c r="N293" s="87"/>
      <c r="O293" s="87"/>
      <c r="P293" s="87"/>
      <c r="Q293" s="9"/>
      <c r="R293" s="87"/>
      <c r="S293" s="87"/>
      <c r="T293" s="87"/>
      <c r="U293" s="9"/>
      <c r="V293" s="87"/>
      <c r="W293" s="87"/>
      <c r="X293" s="87"/>
      <c r="Y293" s="87"/>
      <c r="Z293" s="87"/>
      <c r="AA293" s="87"/>
      <c r="AB293" s="87"/>
      <c r="AC293" s="243"/>
      <c r="AD293" s="234"/>
      <c r="AE293" s="234"/>
      <c r="AF293" s="234"/>
      <c r="AG293" s="9"/>
      <c r="AH293" s="87"/>
      <c r="AI293" s="87"/>
      <c r="AJ293" s="87"/>
      <c r="AK293" s="244"/>
      <c r="AL293" s="245"/>
      <c r="AM293" s="244"/>
      <c r="AN293" s="244"/>
      <c r="AO293" s="87"/>
      <c r="AP293" s="87"/>
      <c r="AQ293" s="87"/>
      <c r="AR293" s="87"/>
      <c r="AS293" s="87"/>
      <c r="AT293" s="87"/>
      <c r="AU293" s="87"/>
      <c r="AV293" s="87"/>
      <c r="AW293" s="87"/>
      <c r="AX293" s="87"/>
    </row>
    <row r="294">
      <c r="A294" s="9"/>
      <c r="B294" s="87"/>
      <c r="C294" s="87"/>
      <c r="D294" s="87"/>
      <c r="E294" s="9"/>
      <c r="F294" s="87"/>
      <c r="G294" s="87"/>
      <c r="H294" s="87"/>
      <c r="I294" s="9"/>
      <c r="J294" s="87"/>
      <c r="K294" s="87"/>
      <c r="L294" s="87"/>
      <c r="M294" s="9"/>
      <c r="N294" s="87"/>
      <c r="O294" s="87"/>
      <c r="P294" s="87"/>
      <c r="Q294" s="9"/>
      <c r="R294" s="87"/>
      <c r="S294" s="87"/>
      <c r="T294" s="87"/>
      <c r="U294" s="9"/>
      <c r="V294" s="87"/>
      <c r="W294" s="87"/>
      <c r="X294" s="87"/>
      <c r="Y294" s="87"/>
      <c r="Z294" s="87"/>
      <c r="AA294" s="87"/>
      <c r="AB294" s="87"/>
      <c r="AC294" s="243"/>
      <c r="AD294" s="234"/>
      <c r="AE294" s="234"/>
      <c r="AF294" s="234"/>
      <c r="AG294" s="9"/>
      <c r="AH294" s="87"/>
      <c r="AI294" s="87"/>
      <c r="AJ294" s="87"/>
      <c r="AK294" s="244"/>
      <c r="AL294" s="245"/>
      <c r="AM294" s="244"/>
      <c r="AN294" s="244"/>
      <c r="AO294" s="87"/>
      <c r="AP294" s="87"/>
      <c r="AQ294" s="87"/>
      <c r="AR294" s="87"/>
      <c r="AS294" s="87"/>
      <c r="AT294" s="87"/>
      <c r="AU294" s="87"/>
      <c r="AV294" s="87"/>
      <c r="AW294" s="87"/>
      <c r="AX294" s="87"/>
    </row>
    <row r="295">
      <c r="A295" s="9"/>
      <c r="B295" s="87"/>
      <c r="C295" s="87"/>
      <c r="D295" s="87"/>
      <c r="E295" s="9"/>
      <c r="F295" s="87"/>
      <c r="G295" s="87"/>
      <c r="H295" s="87"/>
      <c r="I295" s="9"/>
      <c r="J295" s="87"/>
      <c r="K295" s="87"/>
      <c r="L295" s="87"/>
      <c r="M295" s="9"/>
      <c r="N295" s="87"/>
      <c r="O295" s="87"/>
      <c r="P295" s="87"/>
      <c r="Q295" s="9"/>
      <c r="R295" s="87"/>
      <c r="S295" s="87"/>
      <c r="T295" s="87"/>
      <c r="U295" s="9"/>
      <c r="V295" s="87"/>
      <c r="W295" s="87"/>
      <c r="X295" s="87"/>
      <c r="Y295" s="87"/>
      <c r="Z295" s="87"/>
      <c r="AA295" s="87"/>
      <c r="AB295" s="87"/>
      <c r="AC295" s="243"/>
      <c r="AD295" s="234"/>
      <c r="AE295" s="234"/>
      <c r="AF295" s="234"/>
      <c r="AG295" s="9"/>
      <c r="AH295" s="87"/>
      <c r="AI295" s="87"/>
      <c r="AJ295" s="87"/>
      <c r="AK295" s="244"/>
      <c r="AL295" s="245"/>
      <c r="AM295" s="244"/>
      <c r="AN295" s="244"/>
      <c r="AO295" s="87"/>
      <c r="AP295" s="87"/>
      <c r="AQ295" s="87"/>
      <c r="AR295" s="87"/>
      <c r="AS295" s="87"/>
      <c r="AT295" s="87"/>
      <c r="AU295" s="87"/>
      <c r="AV295" s="87"/>
      <c r="AW295" s="87"/>
      <c r="AX295" s="87"/>
    </row>
    <row r="296">
      <c r="A296" s="9"/>
      <c r="B296" s="87"/>
      <c r="C296" s="87"/>
      <c r="D296" s="87"/>
      <c r="E296" s="9"/>
      <c r="F296" s="87"/>
      <c r="G296" s="87"/>
      <c r="H296" s="87"/>
      <c r="I296" s="9"/>
      <c r="J296" s="87"/>
      <c r="K296" s="87"/>
      <c r="L296" s="87"/>
      <c r="M296" s="9"/>
      <c r="N296" s="87"/>
      <c r="O296" s="87"/>
      <c r="P296" s="87"/>
      <c r="Q296" s="9"/>
      <c r="R296" s="87"/>
      <c r="S296" s="87"/>
      <c r="T296" s="87"/>
      <c r="U296" s="9"/>
      <c r="V296" s="87"/>
      <c r="W296" s="87"/>
      <c r="X296" s="87"/>
      <c r="Y296" s="87"/>
      <c r="Z296" s="87"/>
      <c r="AA296" s="87"/>
      <c r="AB296" s="87"/>
      <c r="AC296" s="243"/>
      <c r="AD296" s="234"/>
      <c r="AE296" s="234"/>
      <c r="AF296" s="234"/>
      <c r="AG296" s="9"/>
      <c r="AH296" s="87"/>
      <c r="AI296" s="87"/>
      <c r="AJ296" s="87"/>
      <c r="AK296" s="244"/>
      <c r="AL296" s="245"/>
      <c r="AM296" s="244"/>
      <c r="AN296" s="244"/>
      <c r="AO296" s="87"/>
      <c r="AP296" s="87"/>
      <c r="AQ296" s="87"/>
      <c r="AR296" s="87"/>
      <c r="AS296" s="87"/>
      <c r="AT296" s="87"/>
      <c r="AU296" s="87"/>
      <c r="AV296" s="87"/>
      <c r="AW296" s="87"/>
      <c r="AX296" s="87"/>
    </row>
    <row r="297">
      <c r="A297" s="9"/>
      <c r="B297" s="87"/>
      <c r="C297" s="87"/>
      <c r="D297" s="87"/>
      <c r="E297" s="9"/>
      <c r="F297" s="87"/>
      <c r="G297" s="87"/>
      <c r="H297" s="87"/>
      <c r="I297" s="9"/>
      <c r="J297" s="87"/>
      <c r="K297" s="87"/>
      <c r="L297" s="87"/>
      <c r="M297" s="9"/>
      <c r="N297" s="87"/>
      <c r="O297" s="87"/>
      <c r="P297" s="87"/>
      <c r="Q297" s="9"/>
      <c r="R297" s="87"/>
      <c r="S297" s="87"/>
      <c r="T297" s="87"/>
      <c r="U297" s="9"/>
      <c r="V297" s="87"/>
      <c r="W297" s="87"/>
      <c r="X297" s="87"/>
      <c r="Y297" s="87"/>
      <c r="Z297" s="87"/>
      <c r="AA297" s="87"/>
      <c r="AB297" s="87"/>
      <c r="AC297" s="243"/>
      <c r="AD297" s="234"/>
      <c r="AE297" s="234"/>
      <c r="AF297" s="234"/>
      <c r="AG297" s="9"/>
      <c r="AH297" s="87"/>
      <c r="AI297" s="87"/>
      <c r="AJ297" s="87"/>
      <c r="AK297" s="244"/>
      <c r="AL297" s="245"/>
      <c r="AM297" s="244"/>
      <c r="AN297" s="244"/>
      <c r="AO297" s="87"/>
      <c r="AP297" s="87"/>
      <c r="AQ297" s="87"/>
      <c r="AR297" s="87"/>
      <c r="AS297" s="87"/>
      <c r="AT297" s="87"/>
      <c r="AU297" s="87"/>
      <c r="AV297" s="87"/>
      <c r="AW297" s="87"/>
      <c r="AX297" s="87"/>
    </row>
    <row r="298">
      <c r="A298" s="9"/>
      <c r="B298" s="87"/>
      <c r="C298" s="87"/>
      <c r="D298" s="87"/>
      <c r="E298" s="9"/>
      <c r="F298" s="87"/>
      <c r="G298" s="87"/>
      <c r="H298" s="87"/>
      <c r="I298" s="9"/>
      <c r="J298" s="87"/>
      <c r="K298" s="87"/>
      <c r="L298" s="87"/>
      <c r="M298" s="9"/>
      <c r="N298" s="87"/>
      <c r="O298" s="87"/>
      <c r="P298" s="87"/>
      <c r="Q298" s="9"/>
      <c r="R298" s="87"/>
      <c r="S298" s="87"/>
      <c r="T298" s="87"/>
      <c r="U298" s="9"/>
      <c r="V298" s="87"/>
      <c r="W298" s="87"/>
      <c r="X298" s="87"/>
      <c r="Y298" s="87"/>
      <c r="Z298" s="87"/>
      <c r="AA298" s="87"/>
      <c r="AB298" s="87"/>
      <c r="AC298" s="243"/>
      <c r="AD298" s="234"/>
      <c r="AE298" s="234"/>
      <c r="AF298" s="234"/>
      <c r="AG298" s="9"/>
      <c r="AH298" s="87"/>
      <c r="AI298" s="87"/>
      <c r="AJ298" s="87"/>
      <c r="AK298" s="244"/>
      <c r="AL298" s="245"/>
      <c r="AM298" s="244"/>
      <c r="AN298" s="244"/>
      <c r="AO298" s="87"/>
      <c r="AP298" s="87"/>
      <c r="AQ298" s="87"/>
      <c r="AR298" s="87"/>
      <c r="AS298" s="87"/>
      <c r="AT298" s="87"/>
      <c r="AU298" s="87"/>
      <c r="AV298" s="87"/>
      <c r="AW298" s="87"/>
      <c r="AX298" s="87"/>
    </row>
    <row r="299">
      <c r="A299" s="9"/>
      <c r="B299" s="87"/>
      <c r="C299" s="87"/>
      <c r="D299" s="87"/>
      <c r="E299" s="9"/>
      <c r="F299" s="87"/>
      <c r="G299" s="87"/>
      <c r="H299" s="87"/>
      <c r="I299" s="9"/>
      <c r="J299" s="87"/>
      <c r="K299" s="87"/>
      <c r="L299" s="87"/>
      <c r="M299" s="9"/>
      <c r="N299" s="87"/>
      <c r="O299" s="87"/>
      <c r="P299" s="87"/>
      <c r="Q299" s="9"/>
      <c r="R299" s="87"/>
      <c r="S299" s="87"/>
      <c r="T299" s="87"/>
      <c r="U299" s="9"/>
      <c r="V299" s="87"/>
      <c r="W299" s="87"/>
      <c r="X299" s="87"/>
      <c r="Y299" s="87"/>
      <c r="Z299" s="87"/>
      <c r="AA299" s="87"/>
      <c r="AB299" s="87"/>
      <c r="AC299" s="243"/>
      <c r="AD299" s="234"/>
      <c r="AE299" s="234"/>
      <c r="AF299" s="234"/>
      <c r="AG299" s="9"/>
      <c r="AH299" s="87"/>
      <c r="AI299" s="87"/>
      <c r="AJ299" s="87"/>
      <c r="AK299" s="244"/>
      <c r="AL299" s="245"/>
      <c r="AM299" s="244"/>
      <c r="AN299" s="244"/>
      <c r="AO299" s="87"/>
      <c r="AP299" s="87"/>
      <c r="AQ299" s="87"/>
      <c r="AR299" s="87"/>
      <c r="AS299" s="87"/>
      <c r="AT299" s="87"/>
      <c r="AU299" s="87"/>
      <c r="AV299" s="87"/>
      <c r="AW299" s="87"/>
      <c r="AX299" s="87"/>
    </row>
    <row r="300">
      <c r="A300" s="9"/>
      <c r="B300" s="87"/>
      <c r="C300" s="87"/>
      <c r="D300" s="87"/>
      <c r="E300" s="9"/>
      <c r="F300" s="87"/>
      <c r="G300" s="87"/>
      <c r="H300" s="87"/>
      <c r="I300" s="9"/>
      <c r="J300" s="87"/>
      <c r="K300" s="87"/>
      <c r="L300" s="87"/>
      <c r="M300" s="9"/>
      <c r="N300" s="87"/>
      <c r="O300" s="87"/>
      <c r="P300" s="87"/>
      <c r="Q300" s="9"/>
      <c r="R300" s="87"/>
      <c r="S300" s="87"/>
      <c r="T300" s="87"/>
      <c r="U300" s="9"/>
      <c r="V300" s="87"/>
      <c r="W300" s="87"/>
      <c r="X300" s="87"/>
      <c r="Y300" s="87"/>
      <c r="Z300" s="87"/>
      <c r="AA300" s="87"/>
      <c r="AB300" s="87"/>
      <c r="AC300" s="243"/>
      <c r="AD300" s="234"/>
      <c r="AE300" s="234"/>
      <c r="AF300" s="234"/>
      <c r="AG300" s="9"/>
      <c r="AH300" s="87"/>
      <c r="AI300" s="87"/>
      <c r="AJ300" s="87"/>
      <c r="AK300" s="244"/>
      <c r="AL300" s="245"/>
      <c r="AM300" s="244"/>
      <c r="AN300" s="244"/>
      <c r="AO300" s="87"/>
      <c r="AP300" s="87"/>
      <c r="AQ300" s="87"/>
      <c r="AR300" s="87"/>
      <c r="AS300" s="87"/>
      <c r="AT300" s="87"/>
      <c r="AU300" s="87"/>
      <c r="AV300" s="87"/>
      <c r="AW300" s="87"/>
      <c r="AX300" s="87"/>
    </row>
    <row r="301">
      <c r="A301" s="9"/>
      <c r="B301" s="87"/>
      <c r="C301" s="87"/>
      <c r="D301" s="87"/>
      <c r="E301" s="9"/>
      <c r="F301" s="87"/>
      <c r="G301" s="87"/>
      <c r="H301" s="87"/>
      <c r="I301" s="9"/>
      <c r="J301" s="87"/>
      <c r="K301" s="87"/>
      <c r="L301" s="87"/>
      <c r="M301" s="9"/>
      <c r="N301" s="87"/>
      <c r="O301" s="87"/>
      <c r="P301" s="87"/>
      <c r="Q301" s="9"/>
      <c r="R301" s="87"/>
      <c r="S301" s="87"/>
      <c r="T301" s="87"/>
      <c r="U301" s="9"/>
      <c r="V301" s="87"/>
      <c r="W301" s="87"/>
      <c r="X301" s="87"/>
      <c r="Y301" s="87"/>
      <c r="Z301" s="87"/>
      <c r="AA301" s="87"/>
      <c r="AB301" s="87"/>
      <c r="AC301" s="243"/>
      <c r="AD301" s="234"/>
      <c r="AE301" s="234"/>
      <c r="AF301" s="234"/>
      <c r="AG301" s="9"/>
      <c r="AH301" s="87"/>
      <c r="AI301" s="87"/>
      <c r="AJ301" s="87"/>
      <c r="AK301" s="244"/>
      <c r="AL301" s="245"/>
      <c r="AM301" s="244"/>
      <c r="AN301" s="244"/>
      <c r="AO301" s="87"/>
      <c r="AP301" s="87"/>
      <c r="AQ301" s="87"/>
      <c r="AR301" s="87"/>
      <c r="AS301" s="87"/>
      <c r="AT301" s="87"/>
      <c r="AU301" s="87"/>
      <c r="AV301" s="87"/>
      <c r="AW301" s="87"/>
      <c r="AX301" s="87"/>
    </row>
    <row r="302">
      <c r="A302" s="9"/>
      <c r="B302" s="87"/>
      <c r="C302" s="87"/>
      <c r="D302" s="87"/>
      <c r="E302" s="9"/>
      <c r="F302" s="87"/>
      <c r="G302" s="87"/>
      <c r="H302" s="87"/>
      <c r="I302" s="9"/>
      <c r="J302" s="87"/>
      <c r="K302" s="87"/>
      <c r="L302" s="87"/>
      <c r="M302" s="9"/>
      <c r="N302" s="87"/>
      <c r="O302" s="87"/>
      <c r="P302" s="87"/>
      <c r="Q302" s="9"/>
      <c r="R302" s="87"/>
      <c r="S302" s="87"/>
      <c r="T302" s="87"/>
      <c r="U302" s="9"/>
      <c r="V302" s="87"/>
      <c r="W302" s="87"/>
      <c r="X302" s="87"/>
      <c r="Y302" s="87"/>
      <c r="Z302" s="87"/>
      <c r="AA302" s="87"/>
      <c r="AB302" s="87"/>
      <c r="AC302" s="243"/>
      <c r="AD302" s="234"/>
      <c r="AE302" s="234"/>
      <c r="AF302" s="234"/>
      <c r="AG302" s="9"/>
      <c r="AH302" s="87"/>
      <c r="AI302" s="87"/>
      <c r="AJ302" s="87"/>
      <c r="AK302" s="244"/>
      <c r="AL302" s="245"/>
      <c r="AM302" s="244"/>
      <c r="AN302" s="244"/>
      <c r="AO302" s="87"/>
      <c r="AP302" s="87"/>
      <c r="AQ302" s="87"/>
      <c r="AR302" s="87"/>
      <c r="AS302" s="87"/>
      <c r="AT302" s="87"/>
      <c r="AU302" s="87"/>
      <c r="AV302" s="87"/>
      <c r="AW302" s="87"/>
      <c r="AX302" s="87"/>
    </row>
    <row r="303">
      <c r="A303" s="9"/>
      <c r="B303" s="87"/>
      <c r="C303" s="87"/>
      <c r="D303" s="87"/>
      <c r="E303" s="9"/>
      <c r="F303" s="87"/>
      <c r="G303" s="87"/>
      <c r="H303" s="87"/>
      <c r="I303" s="9"/>
      <c r="J303" s="87"/>
      <c r="K303" s="87"/>
      <c r="L303" s="87"/>
      <c r="M303" s="9"/>
      <c r="N303" s="87"/>
      <c r="O303" s="87"/>
      <c r="P303" s="87"/>
      <c r="Q303" s="9"/>
      <c r="R303" s="87"/>
      <c r="S303" s="87"/>
      <c r="T303" s="87"/>
      <c r="U303" s="9"/>
      <c r="V303" s="87"/>
      <c r="W303" s="87"/>
      <c r="X303" s="87"/>
      <c r="Y303" s="87"/>
      <c r="Z303" s="87"/>
      <c r="AA303" s="87"/>
      <c r="AB303" s="87"/>
      <c r="AC303" s="243"/>
      <c r="AD303" s="234"/>
      <c r="AE303" s="234"/>
      <c r="AF303" s="234"/>
      <c r="AG303" s="9"/>
      <c r="AH303" s="87"/>
      <c r="AI303" s="87"/>
      <c r="AJ303" s="87"/>
      <c r="AK303" s="244"/>
      <c r="AL303" s="245"/>
      <c r="AM303" s="244"/>
      <c r="AN303" s="244"/>
      <c r="AO303" s="87"/>
      <c r="AP303" s="87"/>
      <c r="AQ303" s="87"/>
      <c r="AR303" s="87"/>
      <c r="AS303" s="87"/>
      <c r="AT303" s="87"/>
      <c r="AU303" s="87"/>
      <c r="AV303" s="87"/>
      <c r="AW303" s="87"/>
      <c r="AX303" s="87"/>
    </row>
    <row r="304">
      <c r="A304" s="9"/>
      <c r="B304" s="87"/>
      <c r="C304" s="87"/>
      <c r="D304" s="87"/>
      <c r="E304" s="9"/>
      <c r="F304" s="87"/>
      <c r="G304" s="87"/>
      <c r="H304" s="87"/>
      <c r="I304" s="9"/>
      <c r="J304" s="87"/>
      <c r="K304" s="87"/>
      <c r="L304" s="87"/>
      <c r="M304" s="9"/>
      <c r="N304" s="87"/>
      <c r="O304" s="87"/>
      <c r="P304" s="87"/>
      <c r="Q304" s="9"/>
      <c r="R304" s="87"/>
      <c r="S304" s="87"/>
      <c r="T304" s="87"/>
      <c r="U304" s="9"/>
      <c r="V304" s="87"/>
      <c r="W304" s="87"/>
      <c r="X304" s="87"/>
      <c r="Y304" s="87"/>
      <c r="Z304" s="87"/>
      <c r="AA304" s="87"/>
      <c r="AB304" s="87"/>
      <c r="AC304" s="243"/>
      <c r="AD304" s="234"/>
      <c r="AE304" s="234"/>
      <c r="AF304" s="234"/>
      <c r="AG304" s="9"/>
      <c r="AH304" s="87"/>
      <c r="AI304" s="87"/>
      <c r="AJ304" s="87"/>
      <c r="AK304" s="244"/>
      <c r="AL304" s="245"/>
      <c r="AM304" s="244"/>
      <c r="AN304" s="244"/>
      <c r="AO304" s="87"/>
      <c r="AP304" s="87"/>
      <c r="AQ304" s="87"/>
      <c r="AR304" s="87"/>
      <c r="AS304" s="87"/>
      <c r="AT304" s="87"/>
      <c r="AU304" s="87"/>
      <c r="AV304" s="87"/>
      <c r="AW304" s="87"/>
      <c r="AX304" s="87"/>
    </row>
    <row r="305">
      <c r="A305" s="9"/>
      <c r="B305" s="87"/>
      <c r="C305" s="87"/>
      <c r="D305" s="87"/>
      <c r="E305" s="9"/>
      <c r="F305" s="87"/>
      <c r="G305" s="87"/>
      <c r="H305" s="87"/>
      <c r="I305" s="9"/>
      <c r="J305" s="87"/>
      <c r="K305" s="87"/>
      <c r="L305" s="87"/>
      <c r="M305" s="9"/>
      <c r="N305" s="87"/>
      <c r="O305" s="87"/>
      <c r="P305" s="87"/>
      <c r="Q305" s="9"/>
      <c r="R305" s="87"/>
      <c r="S305" s="87"/>
      <c r="T305" s="87"/>
      <c r="U305" s="9"/>
      <c r="V305" s="87"/>
      <c r="W305" s="87"/>
      <c r="X305" s="87"/>
      <c r="Y305" s="87"/>
      <c r="Z305" s="87"/>
      <c r="AA305" s="87"/>
      <c r="AB305" s="87"/>
      <c r="AC305" s="243"/>
      <c r="AD305" s="234"/>
      <c r="AE305" s="234"/>
      <c r="AF305" s="234"/>
      <c r="AG305" s="9"/>
      <c r="AH305" s="87"/>
      <c r="AI305" s="87"/>
      <c r="AJ305" s="87"/>
      <c r="AK305" s="244"/>
      <c r="AL305" s="245"/>
      <c r="AM305" s="244"/>
      <c r="AN305" s="244"/>
      <c r="AO305" s="87"/>
      <c r="AP305" s="87"/>
      <c r="AQ305" s="87"/>
      <c r="AR305" s="87"/>
      <c r="AS305" s="87"/>
      <c r="AT305" s="87"/>
      <c r="AU305" s="87"/>
      <c r="AV305" s="87"/>
      <c r="AW305" s="87"/>
      <c r="AX305" s="87"/>
    </row>
    <row r="306">
      <c r="A306" s="9"/>
      <c r="B306" s="87"/>
      <c r="C306" s="87"/>
      <c r="D306" s="87"/>
      <c r="E306" s="9"/>
      <c r="F306" s="87"/>
      <c r="G306" s="87"/>
      <c r="H306" s="87"/>
      <c r="I306" s="9"/>
      <c r="J306" s="87"/>
      <c r="K306" s="87"/>
      <c r="L306" s="87"/>
      <c r="M306" s="9"/>
      <c r="N306" s="87"/>
      <c r="O306" s="87"/>
      <c r="P306" s="87"/>
      <c r="Q306" s="9"/>
      <c r="R306" s="87"/>
      <c r="S306" s="87"/>
      <c r="T306" s="87"/>
      <c r="U306" s="9"/>
      <c r="V306" s="87"/>
      <c r="W306" s="87"/>
      <c r="X306" s="87"/>
      <c r="Y306" s="87"/>
      <c r="Z306" s="87"/>
      <c r="AA306" s="87"/>
      <c r="AB306" s="87"/>
      <c r="AC306" s="243"/>
      <c r="AD306" s="234"/>
      <c r="AE306" s="234"/>
      <c r="AF306" s="234"/>
      <c r="AG306" s="9"/>
      <c r="AH306" s="87"/>
      <c r="AI306" s="87"/>
      <c r="AJ306" s="87"/>
      <c r="AK306" s="244"/>
      <c r="AL306" s="245"/>
      <c r="AM306" s="244"/>
      <c r="AN306" s="244"/>
      <c r="AO306" s="87"/>
      <c r="AP306" s="87"/>
      <c r="AQ306" s="87"/>
      <c r="AR306" s="87"/>
      <c r="AS306" s="87"/>
      <c r="AT306" s="87"/>
      <c r="AU306" s="87"/>
      <c r="AV306" s="87"/>
      <c r="AW306" s="87"/>
      <c r="AX306" s="87"/>
    </row>
    <row r="307">
      <c r="A307" s="9"/>
      <c r="B307" s="87"/>
      <c r="C307" s="87"/>
      <c r="D307" s="87"/>
      <c r="E307" s="9"/>
      <c r="F307" s="87"/>
      <c r="G307" s="87"/>
      <c r="H307" s="87"/>
      <c r="I307" s="9"/>
      <c r="J307" s="87"/>
      <c r="K307" s="87"/>
      <c r="L307" s="87"/>
      <c r="M307" s="9"/>
      <c r="N307" s="87"/>
      <c r="O307" s="87"/>
      <c r="P307" s="87"/>
      <c r="Q307" s="9"/>
      <c r="R307" s="87"/>
      <c r="S307" s="87"/>
      <c r="T307" s="87"/>
      <c r="U307" s="9"/>
      <c r="V307" s="87"/>
      <c r="W307" s="87"/>
      <c r="X307" s="87"/>
      <c r="Y307" s="87"/>
      <c r="Z307" s="87"/>
      <c r="AA307" s="87"/>
      <c r="AB307" s="87"/>
      <c r="AC307" s="243"/>
      <c r="AD307" s="234"/>
      <c r="AE307" s="234"/>
      <c r="AF307" s="234"/>
      <c r="AG307" s="9"/>
      <c r="AH307" s="87"/>
      <c r="AI307" s="87"/>
      <c r="AJ307" s="87"/>
      <c r="AK307" s="244"/>
      <c r="AL307" s="245"/>
      <c r="AM307" s="244"/>
      <c r="AN307" s="244"/>
      <c r="AO307" s="87"/>
      <c r="AP307" s="87"/>
      <c r="AQ307" s="87"/>
      <c r="AR307" s="87"/>
      <c r="AS307" s="87"/>
      <c r="AT307" s="87"/>
      <c r="AU307" s="87"/>
      <c r="AV307" s="87"/>
      <c r="AW307" s="87"/>
      <c r="AX307" s="87"/>
    </row>
    <row r="308">
      <c r="A308" s="9"/>
      <c r="B308" s="87"/>
      <c r="C308" s="87"/>
      <c r="D308" s="87"/>
      <c r="E308" s="9"/>
      <c r="F308" s="87"/>
      <c r="G308" s="87"/>
      <c r="H308" s="87"/>
      <c r="I308" s="9"/>
      <c r="J308" s="87"/>
      <c r="K308" s="87"/>
      <c r="L308" s="87"/>
      <c r="M308" s="9"/>
      <c r="N308" s="87"/>
      <c r="O308" s="87"/>
      <c r="P308" s="87"/>
      <c r="Q308" s="9"/>
      <c r="R308" s="87"/>
      <c r="S308" s="87"/>
      <c r="T308" s="87"/>
      <c r="U308" s="9"/>
      <c r="V308" s="87"/>
      <c r="W308" s="87"/>
      <c r="X308" s="87"/>
      <c r="Y308" s="87"/>
      <c r="Z308" s="87"/>
      <c r="AA308" s="87"/>
      <c r="AB308" s="87"/>
      <c r="AC308" s="243"/>
      <c r="AD308" s="234"/>
      <c r="AE308" s="234"/>
      <c r="AF308" s="234"/>
      <c r="AG308" s="9"/>
      <c r="AH308" s="87"/>
      <c r="AI308" s="87"/>
      <c r="AJ308" s="87"/>
      <c r="AK308" s="244"/>
      <c r="AL308" s="245"/>
      <c r="AM308" s="244"/>
      <c r="AN308" s="244"/>
      <c r="AO308" s="87"/>
      <c r="AP308" s="87"/>
      <c r="AQ308" s="87"/>
      <c r="AR308" s="87"/>
      <c r="AS308" s="87"/>
      <c r="AT308" s="87"/>
      <c r="AU308" s="87"/>
      <c r="AV308" s="87"/>
      <c r="AW308" s="87"/>
      <c r="AX308" s="87"/>
    </row>
    <row r="309">
      <c r="A309" s="9"/>
      <c r="B309" s="87"/>
      <c r="C309" s="87"/>
      <c r="D309" s="87"/>
      <c r="E309" s="9"/>
      <c r="F309" s="87"/>
      <c r="G309" s="87"/>
      <c r="H309" s="87"/>
      <c r="I309" s="9"/>
      <c r="J309" s="87"/>
      <c r="K309" s="87"/>
      <c r="L309" s="87"/>
      <c r="M309" s="9"/>
      <c r="N309" s="87"/>
      <c r="O309" s="87"/>
      <c r="P309" s="87"/>
      <c r="Q309" s="9"/>
      <c r="R309" s="87"/>
      <c r="S309" s="87"/>
      <c r="T309" s="87"/>
      <c r="U309" s="9"/>
      <c r="V309" s="87"/>
      <c r="W309" s="87"/>
      <c r="X309" s="87"/>
      <c r="Y309" s="87"/>
      <c r="Z309" s="87"/>
      <c r="AA309" s="87"/>
      <c r="AB309" s="87"/>
      <c r="AC309" s="243"/>
      <c r="AD309" s="234"/>
      <c r="AE309" s="234"/>
      <c r="AF309" s="234"/>
      <c r="AG309" s="9"/>
      <c r="AH309" s="87"/>
      <c r="AI309" s="87"/>
      <c r="AJ309" s="87"/>
      <c r="AK309" s="244"/>
      <c r="AL309" s="245"/>
      <c r="AM309" s="244"/>
      <c r="AN309" s="244"/>
      <c r="AO309" s="87"/>
      <c r="AP309" s="87"/>
      <c r="AQ309" s="87"/>
      <c r="AR309" s="87"/>
      <c r="AS309" s="87"/>
      <c r="AT309" s="87"/>
      <c r="AU309" s="87"/>
      <c r="AV309" s="87"/>
      <c r="AW309" s="87"/>
      <c r="AX309" s="87"/>
    </row>
    <row r="310">
      <c r="A310" s="9"/>
      <c r="B310" s="87"/>
      <c r="C310" s="87"/>
      <c r="D310" s="87"/>
      <c r="E310" s="9"/>
      <c r="F310" s="87"/>
      <c r="G310" s="87"/>
      <c r="H310" s="87"/>
      <c r="I310" s="9"/>
      <c r="J310" s="87"/>
      <c r="K310" s="87"/>
      <c r="L310" s="87"/>
      <c r="M310" s="9"/>
      <c r="N310" s="87"/>
      <c r="O310" s="87"/>
      <c r="P310" s="87"/>
      <c r="Q310" s="9"/>
      <c r="R310" s="87"/>
      <c r="S310" s="87"/>
      <c r="T310" s="87"/>
      <c r="U310" s="9"/>
      <c r="V310" s="87"/>
      <c r="W310" s="87"/>
      <c r="X310" s="87"/>
      <c r="Y310" s="87"/>
      <c r="Z310" s="87"/>
      <c r="AA310" s="87"/>
      <c r="AB310" s="87"/>
      <c r="AC310" s="243"/>
      <c r="AD310" s="234"/>
      <c r="AE310" s="234"/>
      <c r="AF310" s="234"/>
      <c r="AG310" s="9"/>
      <c r="AH310" s="87"/>
      <c r="AI310" s="87"/>
      <c r="AJ310" s="87"/>
      <c r="AK310" s="244"/>
      <c r="AL310" s="245"/>
      <c r="AM310" s="244"/>
      <c r="AN310" s="244"/>
      <c r="AO310" s="87"/>
      <c r="AP310" s="87"/>
      <c r="AQ310" s="87"/>
      <c r="AR310" s="87"/>
      <c r="AS310" s="87"/>
      <c r="AT310" s="87"/>
      <c r="AU310" s="87"/>
      <c r="AV310" s="87"/>
      <c r="AW310" s="87"/>
      <c r="AX310" s="87"/>
    </row>
    <row r="311">
      <c r="A311" s="9"/>
      <c r="B311" s="87"/>
      <c r="C311" s="87"/>
      <c r="D311" s="87"/>
      <c r="E311" s="9"/>
      <c r="F311" s="87"/>
      <c r="G311" s="87"/>
      <c r="H311" s="87"/>
      <c r="I311" s="9"/>
      <c r="J311" s="87"/>
      <c r="K311" s="87"/>
      <c r="L311" s="87"/>
      <c r="M311" s="9"/>
      <c r="N311" s="87"/>
      <c r="O311" s="87"/>
      <c r="P311" s="87"/>
      <c r="Q311" s="9"/>
      <c r="R311" s="87"/>
      <c r="S311" s="87"/>
      <c r="T311" s="87"/>
      <c r="U311" s="9"/>
      <c r="V311" s="87"/>
      <c r="W311" s="87"/>
      <c r="X311" s="87"/>
      <c r="Y311" s="87"/>
      <c r="Z311" s="87"/>
      <c r="AA311" s="87"/>
      <c r="AB311" s="87"/>
      <c r="AC311" s="243"/>
      <c r="AD311" s="234"/>
      <c r="AE311" s="234"/>
      <c r="AF311" s="234"/>
      <c r="AG311" s="9"/>
      <c r="AH311" s="87"/>
      <c r="AI311" s="87"/>
      <c r="AJ311" s="87"/>
      <c r="AK311" s="244"/>
      <c r="AL311" s="245"/>
      <c r="AM311" s="244"/>
      <c r="AN311" s="244"/>
      <c r="AO311" s="87"/>
      <c r="AP311" s="87"/>
      <c r="AQ311" s="87"/>
      <c r="AR311" s="87"/>
      <c r="AS311" s="87"/>
      <c r="AT311" s="87"/>
      <c r="AU311" s="87"/>
      <c r="AV311" s="87"/>
      <c r="AW311" s="87"/>
      <c r="AX311" s="87"/>
    </row>
    <row r="312">
      <c r="A312" s="9"/>
      <c r="B312" s="87"/>
      <c r="C312" s="87"/>
      <c r="D312" s="87"/>
      <c r="E312" s="9"/>
      <c r="F312" s="87"/>
      <c r="G312" s="87"/>
      <c r="H312" s="87"/>
      <c r="I312" s="9"/>
      <c r="J312" s="87"/>
      <c r="K312" s="87"/>
      <c r="L312" s="87"/>
      <c r="M312" s="9"/>
      <c r="N312" s="87"/>
      <c r="O312" s="87"/>
      <c r="P312" s="87"/>
      <c r="Q312" s="9"/>
      <c r="R312" s="87"/>
      <c r="S312" s="87"/>
      <c r="T312" s="87"/>
      <c r="U312" s="9"/>
      <c r="V312" s="87"/>
      <c r="W312" s="87"/>
      <c r="X312" s="87"/>
      <c r="Y312" s="87"/>
      <c r="Z312" s="87"/>
      <c r="AA312" s="87"/>
      <c r="AB312" s="87"/>
      <c r="AC312" s="243"/>
      <c r="AD312" s="234"/>
      <c r="AE312" s="234"/>
      <c r="AF312" s="234"/>
      <c r="AG312" s="9"/>
      <c r="AH312" s="87"/>
      <c r="AI312" s="87"/>
      <c r="AJ312" s="87"/>
      <c r="AK312" s="244"/>
      <c r="AL312" s="245"/>
      <c r="AM312" s="244"/>
      <c r="AN312" s="244"/>
      <c r="AO312" s="87"/>
      <c r="AP312" s="87"/>
      <c r="AQ312" s="87"/>
      <c r="AR312" s="87"/>
      <c r="AS312" s="87"/>
      <c r="AT312" s="87"/>
      <c r="AU312" s="87"/>
      <c r="AV312" s="87"/>
      <c r="AW312" s="87"/>
      <c r="AX312" s="87"/>
    </row>
    <row r="313">
      <c r="A313" s="9"/>
      <c r="B313" s="87"/>
      <c r="C313" s="87"/>
      <c r="D313" s="87"/>
      <c r="E313" s="9"/>
      <c r="F313" s="87"/>
      <c r="G313" s="87"/>
      <c r="H313" s="87"/>
      <c r="I313" s="9"/>
      <c r="J313" s="87"/>
      <c r="K313" s="87"/>
      <c r="L313" s="87"/>
      <c r="M313" s="9"/>
      <c r="N313" s="87"/>
      <c r="O313" s="87"/>
      <c r="P313" s="87"/>
      <c r="Q313" s="9"/>
      <c r="R313" s="87"/>
      <c r="S313" s="87"/>
      <c r="T313" s="87"/>
      <c r="U313" s="9"/>
      <c r="V313" s="87"/>
      <c r="W313" s="87"/>
      <c r="X313" s="87"/>
      <c r="Y313" s="87"/>
      <c r="Z313" s="87"/>
      <c r="AA313" s="87"/>
      <c r="AB313" s="87"/>
      <c r="AC313" s="243"/>
      <c r="AD313" s="234"/>
      <c r="AE313" s="234"/>
      <c r="AF313" s="234"/>
      <c r="AG313" s="9"/>
      <c r="AH313" s="87"/>
      <c r="AI313" s="87"/>
      <c r="AJ313" s="87"/>
      <c r="AK313" s="244"/>
      <c r="AL313" s="245"/>
      <c r="AM313" s="244"/>
      <c r="AN313" s="244"/>
      <c r="AO313" s="87"/>
      <c r="AP313" s="87"/>
      <c r="AQ313" s="87"/>
      <c r="AR313" s="87"/>
      <c r="AS313" s="87"/>
      <c r="AT313" s="87"/>
      <c r="AU313" s="87"/>
      <c r="AV313" s="87"/>
      <c r="AW313" s="87"/>
      <c r="AX313" s="87"/>
    </row>
    <row r="314">
      <c r="A314" s="9"/>
      <c r="B314" s="87"/>
      <c r="C314" s="87"/>
      <c r="D314" s="87"/>
      <c r="E314" s="9"/>
      <c r="F314" s="87"/>
      <c r="G314" s="87"/>
      <c r="H314" s="87"/>
      <c r="I314" s="9"/>
      <c r="J314" s="87"/>
      <c r="K314" s="87"/>
      <c r="L314" s="87"/>
      <c r="M314" s="9"/>
      <c r="N314" s="87"/>
      <c r="O314" s="87"/>
      <c r="P314" s="87"/>
      <c r="Q314" s="9"/>
      <c r="R314" s="87"/>
      <c r="S314" s="87"/>
      <c r="T314" s="87"/>
      <c r="U314" s="9"/>
      <c r="V314" s="87"/>
      <c r="W314" s="87"/>
      <c r="X314" s="87"/>
      <c r="Y314" s="87"/>
      <c r="Z314" s="87"/>
      <c r="AA314" s="87"/>
      <c r="AB314" s="87"/>
      <c r="AC314" s="243"/>
      <c r="AD314" s="234"/>
      <c r="AE314" s="234"/>
      <c r="AF314" s="234"/>
      <c r="AG314" s="9"/>
      <c r="AH314" s="87"/>
      <c r="AI314" s="87"/>
      <c r="AJ314" s="87"/>
      <c r="AK314" s="244"/>
      <c r="AL314" s="245"/>
      <c r="AM314" s="244"/>
      <c r="AN314" s="244"/>
      <c r="AO314" s="87"/>
      <c r="AP314" s="87"/>
      <c r="AQ314" s="87"/>
      <c r="AR314" s="87"/>
      <c r="AS314" s="87"/>
      <c r="AT314" s="87"/>
      <c r="AU314" s="87"/>
      <c r="AV314" s="87"/>
      <c r="AW314" s="87"/>
      <c r="AX314" s="87"/>
    </row>
    <row r="315">
      <c r="A315" s="9"/>
      <c r="B315" s="87"/>
      <c r="C315" s="87"/>
      <c r="D315" s="87"/>
      <c r="E315" s="9"/>
      <c r="F315" s="87"/>
      <c r="G315" s="87"/>
      <c r="H315" s="87"/>
      <c r="I315" s="9"/>
      <c r="J315" s="87"/>
      <c r="K315" s="87"/>
      <c r="L315" s="87"/>
      <c r="M315" s="9"/>
      <c r="N315" s="87"/>
      <c r="O315" s="87"/>
      <c r="P315" s="87"/>
      <c r="Q315" s="9"/>
      <c r="R315" s="87"/>
      <c r="S315" s="87"/>
      <c r="T315" s="87"/>
      <c r="U315" s="9"/>
      <c r="V315" s="87"/>
      <c r="W315" s="87"/>
      <c r="X315" s="87"/>
      <c r="Y315" s="87"/>
      <c r="Z315" s="87"/>
      <c r="AA315" s="87"/>
      <c r="AB315" s="87"/>
      <c r="AC315" s="243"/>
      <c r="AD315" s="234"/>
      <c r="AE315" s="234"/>
      <c r="AF315" s="234"/>
      <c r="AG315" s="9"/>
      <c r="AH315" s="87"/>
      <c r="AI315" s="87"/>
      <c r="AJ315" s="87"/>
      <c r="AK315" s="244"/>
      <c r="AL315" s="245"/>
      <c r="AM315" s="244"/>
      <c r="AN315" s="244"/>
      <c r="AO315" s="87"/>
      <c r="AP315" s="87"/>
      <c r="AQ315" s="87"/>
      <c r="AR315" s="87"/>
      <c r="AS315" s="87"/>
      <c r="AT315" s="87"/>
      <c r="AU315" s="87"/>
      <c r="AV315" s="87"/>
      <c r="AW315" s="87"/>
      <c r="AX315" s="87"/>
    </row>
    <row r="316">
      <c r="A316" s="9"/>
      <c r="B316" s="87"/>
      <c r="C316" s="87"/>
      <c r="D316" s="87"/>
      <c r="E316" s="9"/>
      <c r="F316" s="87"/>
      <c r="G316" s="87"/>
      <c r="H316" s="87"/>
      <c r="I316" s="9"/>
      <c r="J316" s="87"/>
      <c r="K316" s="87"/>
      <c r="L316" s="87"/>
      <c r="M316" s="9"/>
      <c r="N316" s="87"/>
      <c r="O316" s="87"/>
      <c r="P316" s="87"/>
      <c r="Q316" s="9"/>
      <c r="R316" s="87"/>
      <c r="S316" s="87"/>
      <c r="T316" s="87"/>
      <c r="U316" s="9"/>
      <c r="V316" s="87"/>
      <c r="W316" s="87"/>
      <c r="X316" s="87"/>
      <c r="Y316" s="87"/>
      <c r="Z316" s="87"/>
      <c r="AA316" s="87"/>
      <c r="AB316" s="87"/>
      <c r="AC316" s="243"/>
      <c r="AD316" s="234"/>
      <c r="AE316" s="234"/>
      <c r="AF316" s="234"/>
      <c r="AG316" s="9"/>
      <c r="AH316" s="87"/>
      <c r="AI316" s="87"/>
      <c r="AJ316" s="87"/>
      <c r="AK316" s="244"/>
      <c r="AL316" s="245"/>
      <c r="AM316" s="244"/>
      <c r="AN316" s="244"/>
      <c r="AO316" s="87"/>
      <c r="AP316" s="87"/>
      <c r="AQ316" s="87"/>
      <c r="AR316" s="87"/>
      <c r="AS316" s="87"/>
      <c r="AT316" s="87"/>
      <c r="AU316" s="87"/>
      <c r="AV316" s="87"/>
      <c r="AW316" s="87"/>
      <c r="AX316" s="87"/>
    </row>
    <row r="317">
      <c r="A317" s="9"/>
      <c r="B317" s="87"/>
      <c r="C317" s="87"/>
      <c r="D317" s="87"/>
      <c r="E317" s="9"/>
      <c r="F317" s="87"/>
      <c r="G317" s="87"/>
      <c r="H317" s="87"/>
      <c r="I317" s="9"/>
      <c r="J317" s="87"/>
      <c r="K317" s="87"/>
      <c r="L317" s="87"/>
      <c r="M317" s="9"/>
      <c r="N317" s="87"/>
      <c r="O317" s="87"/>
      <c r="P317" s="87"/>
      <c r="Q317" s="9"/>
      <c r="R317" s="87"/>
      <c r="S317" s="87"/>
      <c r="T317" s="87"/>
      <c r="U317" s="9"/>
      <c r="V317" s="87"/>
      <c r="W317" s="87"/>
      <c r="X317" s="87"/>
      <c r="Y317" s="87"/>
      <c r="Z317" s="87"/>
      <c r="AA317" s="87"/>
      <c r="AB317" s="87"/>
      <c r="AC317" s="243"/>
      <c r="AD317" s="234"/>
      <c r="AE317" s="234"/>
      <c r="AF317" s="234"/>
      <c r="AG317" s="9"/>
      <c r="AH317" s="87"/>
      <c r="AI317" s="87"/>
      <c r="AJ317" s="87"/>
      <c r="AK317" s="244"/>
      <c r="AL317" s="245"/>
      <c r="AM317" s="244"/>
      <c r="AN317" s="244"/>
      <c r="AO317" s="87"/>
      <c r="AP317" s="87"/>
      <c r="AQ317" s="87"/>
      <c r="AR317" s="87"/>
      <c r="AS317" s="87"/>
      <c r="AT317" s="87"/>
      <c r="AU317" s="87"/>
      <c r="AV317" s="87"/>
      <c r="AW317" s="87"/>
      <c r="AX317" s="87"/>
    </row>
    <row r="318">
      <c r="A318" s="9"/>
      <c r="B318" s="87"/>
      <c r="C318" s="87"/>
      <c r="D318" s="87"/>
      <c r="E318" s="9"/>
      <c r="F318" s="87"/>
      <c r="G318" s="87"/>
      <c r="H318" s="87"/>
      <c r="I318" s="9"/>
      <c r="J318" s="87"/>
      <c r="K318" s="87"/>
      <c r="L318" s="87"/>
      <c r="M318" s="9"/>
      <c r="N318" s="87"/>
      <c r="O318" s="87"/>
      <c r="P318" s="87"/>
      <c r="Q318" s="9"/>
      <c r="R318" s="87"/>
      <c r="S318" s="87"/>
      <c r="T318" s="87"/>
      <c r="U318" s="9"/>
      <c r="V318" s="87"/>
      <c r="W318" s="87"/>
      <c r="X318" s="87"/>
      <c r="Y318" s="87"/>
      <c r="Z318" s="87"/>
      <c r="AA318" s="87"/>
      <c r="AB318" s="87"/>
      <c r="AC318" s="243"/>
      <c r="AD318" s="234"/>
      <c r="AE318" s="234"/>
      <c r="AF318" s="234"/>
      <c r="AG318" s="9"/>
      <c r="AH318" s="87"/>
      <c r="AI318" s="87"/>
      <c r="AJ318" s="87"/>
      <c r="AK318" s="244"/>
      <c r="AL318" s="245"/>
      <c r="AM318" s="244"/>
      <c r="AN318" s="244"/>
      <c r="AO318" s="87"/>
      <c r="AP318" s="87"/>
      <c r="AQ318" s="87"/>
      <c r="AR318" s="87"/>
      <c r="AS318" s="87"/>
      <c r="AT318" s="87"/>
      <c r="AU318" s="87"/>
      <c r="AV318" s="87"/>
      <c r="AW318" s="87"/>
      <c r="AX318" s="87"/>
    </row>
    <row r="319">
      <c r="A319" s="9"/>
      <c r="B319" s="87"/>
      <c r="C319" s="87"/>
      <c r="D319" s="87"/>
      <c r="E319" s="9"/>
      <c r="F319" s="87"/>
      <c r="G319" s="87"/>
      <c r="H319" s="87"/>
      <c r="I319" s="9"/>
      <c r="J319" s="87"/>
      <c r="K319" s="87"/>
      <c r="L319" s="87"/>
      <c r="M319" s="9"/>
      <c r="N319" s="87"/>
      <c r="O319" s="87"/>
      <c r="P319" s="87"/>
      <c r="Q319" s="9"/>
      <c r="R319" s="87"/>
      <c r="S319" s="87"/>
      <c r="T319" s="87"/>
      <c r="U319" s="9"/>
      <c r="V319" s="87"/>
      <c r="W319" s="87"/>
      <c r="X319" s="87"/>
      <c r="Y319" s="87"/>
      <c r="Z319" s="87"/>
      <c r="AA319" s="87"/>
      <c r="AB319" s="87"/>
      <c r="AC319" s="243"/>
      <c r="AD319" s="234"/>
      <c r="AE319" s="234"/>
      <c r="AF319" s="234"/>
      <c r="AG319" s="9"/>
      <c r="AH319" s="87"/>
      <c r="AI319" s="87"/>
      <c r="AJ319" s="87"/>
      <c r="AK319" s="244"/>
      <c r="AL319" s="245"/>
      <c r="AM319" s="244"/>
      <c r="AN319" s="244"/>
      <c r="AO319" s="87"/>
      <c r="AP319" s="87"/>
      <c r="AQ319" s="87"/>
      <c r="AR319" s="87"/>
      <c r="AS319" s="87"/>
      <c r="AT319" s="87"/>
      <c r="AU319" s="87"/>
      <c r="AV319" s="87"/>
      <c r="AW319" s="87"/>
      <c r="AX319" s="87"/>
    </row>
    <row r="320">
      <c r="A320" s="9"/>
      <c r="B320" s="87"/>
      <c r="C320" s="87"/>
      <c r="D320" s="87"/>
      <c r="E320" s="9"/>
      <c r="F320" s="87"/>
      <c r="G320" s="87"/>
      <c r="H320" s="87"/>
      <c r="I320" s="9"/>
      <c r="J320" s="87"/>
      <c r="K320" s="87"/>
      <c r="L320" s="87"/>
      <c r="M320" s="9"/>
      <c r="N320" s="87"/>
      <c r="O320" s="87"/>
      <c r="P320" s="87"/>
      <c r="Q320" s="9"/>
      <c r="R320" s="87"/>
      <c r="S320" s="87"/>
      <c r="T320" s="87"/>
      <c r="U320" s="9"/>
      <c r="V320" s="87"/>
      <c r="W320" s="87"/>
      <c r="X320" s="87"/>
      <c r="Y320" s="87"/>
      <c r="Z320" s="87"/>
      <c r="AA320" s="87"/>
      <c r="AB320" s="87"/>
      <c r="AC320" s="243"/>
      <c r="AD320" s="234"/>
      <c r="AE320" s="234"/>
      <c r="AF320" s="234"/>
      <c r="AG320" s="9"/>
      <c r="AH320" s="87"/>
      <c r="AI320" s="87"/>
      <c r="AJ320" s="87"/>
      <c r="AK320" s="244"/>
      <c r="AL320" s="245"/>
      <c r="AM320" s="244"/>
      <c r="AN320" s="244"/>
      <c r="AO320" s="87"/>
      <c r="AP320" s="87"/>
      <c r="AQ320" s="87"/>
      <c r="AR320" s="87"/>
      <c r="AS320" s="87"/>
      <c r="AT320" s="87"/>
      <c r="AU320" s="87"/>
      <c r="AV320" s="87"/>
      <c r="AW320" s="87"/>
      <c r="AX320" s="87"/>
    </row>
    <row r="321">
      <c r="A321" s="9"/>
      <c r="B321" s="87"/>
      <c r="C321" s="87"/>
      <c r="D321" s="87"/>
      <c r="E321" s="9"/>
      <c r="F321" s="87"/>
      <c r="G321" s="87"/>
      <c r="H321" s="87"/>
      <c r="I321" s="9"/>
      <c r="J321" s="87"/>
      <c r="K321" s="87"/>
      <c r="L321" s="87"/>
      <c r="M321" s="9"/>
      <c r="N321" s="87"/>
      <c r="O321" s="87"/>
      <c r="P321" s="87"/>
      <c r="Q321" s="9"/>
      <c r="R321" s="87"/>
      <c r="S321" s="87"/>
      <c r="T321" s="87"/>
      <c r="U321" s="9"/>
      <c r="V321" s="87"/>
      <c r="W321" s="87"/>
      <c r="X321" s="87"/>
      <c r="Y321" s="87"/>
      <c r="Z321" s="87"/>
      <c r="AA321" s="87"/>
      <c r="AB321" s="87"/>
      <c r="AC321" s="243"/>
      <c r="AD321" s="234"/>
      <c r="AE321" s="234"/>
      <c r="AF321" s="234"/>
      <c r="AG321" s="9"/>
      <c r="AH321" s="87"/>
      <c r="AI321" s="87"/>
      <c r="AJ321" s="87"/>
      <c r="AK321" s="244"/>
      <c r="AL321" s="245"/>
      <c r="AM321" s="244"/>
      <c r="AN321" s="244"/>
      <c r="AO321" s="87"/>
      <c r="AP321" s="87"/>
      <c r="AQ321" s="87"/>
      <c r="AR321" s="87"/>
      <c r="AS321" s="87"/>
      <c r="AT321" s="87"/>
      <c r="AU321" s="87"/>
      <c r="AV321" s="87"/>
      <c r="AW321" s="87"/>
      <c r="AX321" s="87"/>
    </row>
    <row r="322">
      <c r="A322" s="9"/>
      <c r="B322" s="87"/>
      <c r="C322" s="87"/>
      <c r="D322" s="87"/>
      <c r="E322" s="9"/>
      <c r="F322" s="87"/>
      <c r="G322" s="87"/>
      <c r="H322" s="87"/>
      <c r="I322" s="9"/>
      <c r="J322" s="87"/>
      <c r="K322" s="87"/>
      <c r="L322" s="87"/>
      <c r="M322" s="9"/>
      <c r="N322" s="87"/>
      <c r="O322" s="87"/>
      <c r="P322" s="87"/>
      <c r="Q322" s="9"/>
      <c r="R322" s="87"/>
      <c r="S322" s="87"/>
      <c r="T322" s="87"/>
      <c r="U322" s="9"/>
      <c r="V322" s="87"/>
      <c r="W322" s="87"/>
      <c r="X322" s="87"/>
      <c r="Y322" s="87"/>
      <c r="Z322" s="87"/>
      <c r="AA322" s="87"/>
      <c r="AB322" s="87"/>
      <c r="AC322" s="243"/>
      <c r="AD322" s="234"/>
      <c r="AE322" s="234"/>
      <c r="AF322" s="234"/>
      <c r="AG322" s="9"/>
      <c r="AH322" s="87"/>
      <c r="AI322" s="87"/>
      <c r="AJ322" s="87"/>
      <c r="AK322" s="244"/>
      <c r="AL322" s="245"/>
      <c r="AM322" s="244"/>
      <c r="AN322" s="244"/>
      <c r="AO322" s="87"/>
      <c r="AP322" s="87"/>
      <c r="AQ322" s="87"/>
      <c r="AR322" s="87"/>
      <c r="AS322" s="87"/>
      <c r="AT322" s="87"/>
      <c r="AU322" s="87"/>
      <c r="AV322" s="87"/>
      <c r="AW322" s="87"/>
      <c r="AX322" s="87"/>
    </row>
    <row r="323">
      <c r="A323" s="9"/>
      <c r="B323" s="87"/>
      <c r="C323" s="87"/>
      <c r="D323" s="87"/>
      <c r="E323" s="9"/>
      <c r="F323" s="87"/>
      <c r="G323" s="87"/>
      <c r="H323" s="87"/>
      <c r="I323" s="9"/>
      <c r="J323" s="87"/>
      <c r="K323" s="87"/>
      <c r="L323" s="87"/>
      <c r="M323" s="9"/>
      <c r="N323" s="87"/>
      <c r="O323" s="87"/>
      <c r="P323" s="87"/>
      <c r="Q323" s="9"/>
      <c r="R323" s="87"/>
      <c r="S323" s="87"/>
      <c r="T323" s="87"/>
      <c r="U323" s="9"/>
      <c r="V323" s="87"/>
      <c r="W323" s="87"/>
      <c r="X323" s="87"/>
      <c r="Y323" s="87"/>
      <c r="Z323" s="87"/>
      <c r="AA323" s="87"/>
      <c r="AB323" s="87"/>
      <c r="AC323" s="243"/>
      <c r="AD323" s="234"/>
      <c r="AE323" s="234"/>
      <c r="AF323" s="234"/>
      <c r="AG323" s="9"/>
      <c r="AH323" s="87"/>
      <c r="AI323" s="87"/>
      <c r="AJ323" s="87"/>
      <c r="AK323" s="244"/>
      <c r="AL323" s="245"/>
      <c r="AM323" s="244"/>
      <c r="AN323" s="244"/>
      <c r="AO323" s="87"/>
      <c r="AP323" s="87"/>
      <c r="AQ323" s="87"/>
      <c r="AR323" s="87"/>
      <c r="AS323" s="87"/>
      <c r="AT323" s="87"/>
      <c r="AU323" s="87"/>
      <c r="AV323" s="87"/>
      <c r="AW323" s="87"/>
      <c r="AX323" s="87"/>
    </row>
    <row r="324">
      <c r="A324" s="9"/>
      <c r="B324" s="87"/>
      <c r="C324" s="87"/>
      <c r="D324" s="87"/>
      <c r="E324" s="9"/>
      <c r="F324" s="87"/>
      <c r="G324" s="87"/>
      <c r="H324" s="87"/>
      <c r="I324" s="9"/>
      <c r="J324" s="87"/>
      <c r="K324" s="87"/>
      <c r="L324" s="87"/>
      <c r="M324" s="9"/>
      <c r="N324" s="87"/>
      <c r="O324" s="87"/>
      <c r="P324" s="87"/>
      <c r="Q324" s="9"/>
      <c r="R324" s="87"/>
      <c r="S324" s="87"/>
      <c r="T324" s="87"/>
      <c r="U324" s="9"/>
      <c r="V324" s="87"/>
      <c r="W324" s="87"/>
      <c r="X324" s="87"/>
      <c r="Y324" s="87"/>
      <c r="Z324" s="87"/>
      <c r="AA324" s="87"/>
      <c r="AB324" s="87"/>
      <c r="AC324" s="243"/>
      <c r="AD324" s="234"/>
      <c r="AE324" s="234"/>
      <c r="AF324" s="234"/>
      <c r="AG324" s="9"/>
      <c r="AH324" s="87"/>
      <c r="AI324" s="87"/>
      <c r="AJ324" s="87"/>
      <c r="AK324" s="244"/>
      <c r="AL324" s="245"/>
      <c r="AM324" s="244"/>
      <c r="AN324" s="244"/>
      <c r="AO324" s="87"/>
      <c r="AP324" s="87"/>
      <c r="AQ324" s="87"/>
      <c r="AR324" s="87"/>
      <c r="AS324" s="87"/>
      <c r="AT324" s="87"/>
      <c r="AU324" s="87"/>
      <c r="AV324" s="87"/>
      <c r="AW324" s="87"/>
      <c r="AX324" s="87"/>
    </row>
    <row r="325">
      <c r="A325" s="9"/>
      <c r="B325" s="87"/>
      <c r="C325" s="87"/>
      <c r="D325" s="87"/>
      <c r="E325" s="9"/>
      <c r="F325" s="87"/>
      <c r="G325" s="87"/>
      <c r="H325" s="87"/>
      <c r="I325" s="9"/>
      <c r="J325" s="87"/>
      <c r="K325" s="87"/>
      <c r="L325" s="87"/>
      <c r="M325" s="9"/>
      <c r="N325" s="87"/>
      <c r="O325" s="87"/>
      <c r="P325" s="87"/>
      <c r="Q325" s="9"/>
      <c r="R325" s="87"/>
      <c r="S325" s="87"/>
      <c r="T325" s="87"/>
      <c r="U325" s="9"/>
      <c r="V325" s="87"/>
      <c r="W325" s="87"/>
      <c r="X325" s="87"/>
      <c r="Y325" s="87"/>
      <c r="Z325" s="87"/>
      <c r="AA325" s="87"/>
      <c r="AB325" s="87"/>
      <c r="AC325" s="243"/>
      <c r="AD325" s="234"/>
      <c r="AE325" s="234"/>
      <c r="AF325" s="234"/>
      <c r="AG325" s="9"/>
      <c r="AH325" s="87"/>
      <c r="AI325" s="87"/>
      <c r="AJ325" s="87"/>
      <c r="AK325" s="244"/>
      <c r="AL325" s="245"/>
      <c r="AM325" s="244"/>
      <c r="AN325" s="244"/>
      <c r="AO325" s="87"/>
      <c r="AP325" s="87"/>
      <c r="AQ325" s="87"/>
      <c r="AR325" s="87"/>
      <c r="AS325" s="87"/>
      <c r="AT325" s="87"/>
      <c r="AU325" s="87"/>
      <c r="AV325" s="87"/>
      <c r="AW325" s="87"/>
      <c r="AX325" s="87"/>
    </row>
    <row r="326">
      <c r="A326" s="9"/>
      <c r="B326" s="87"/>
      <c r="C326" s="87"/>
      <c r="D326" s="87"/>
      <c r="E326" s="9"/>
      <c r="F326" s="87"/>
      <c r="G326" s="87"/>
      <c r="H326" s="87"/>
      <c r="I326" s="9"/>
      <c r="J326" s="87"/>
      <c r="K326" s="87"/>
      <c r="L326" s="87"/>
      <c r="M326" s="9"/>
      <c r="N326" s="87"/>
      <c r="O326" s="87"/>
      <c r="P326" s="87"/>
      <c r="Q326" s="9"/>
      <c r="R326" s="87"/>
      <c r="S326" s="87"/>
      <c r="T326" s="87"/>
      <c r="U326" s="9"/>
      <c r="V326" s="87"/>
      <c r="W326" s="87"/>
      <c r="X326" s="87"/>
      <c r="Y326" s="87"/>
      <c r="Z326" s="87"/>
      <c r="AA326" s="87"/>
      <c r="AB326" s="87"/>
      <c r="AC326" s="243"/>
      <c r="AD326" s="234"/>
      <c r="AE326" s="234"/>
      <c r="AF326" s="234"/>
      <c r="AG326" s="9"/>
      <c r="AH326" s="87"/>
      <c r="AI326" s="87"/>
      <c r="AJ326" s="87"/>
      <c r="AK326" s="244"/>
      <c r="AL326" s="245"/>
      <c r="AM326" s="244"/>
      <c r="AN326" s="244"/>
      <c r="AO326" s="87"/>
      <c r="AP326" s="87"/>
      <c r="AQ326" s="87"/>
      <c r="AR326" s="87"/>
      <c r="AS326" s="87"/>
      <c r="AT326" s="87"/>
      <c r="AU326" s="87"/>
      <c r="AV326" s="87"/>
      <c r="AW326" s="87"/>
      <c r="AX326" s="87"/>
    </row>
    <row r="327">
      <c r="A327" s="9"/>
      <c r="B327" s="87"/>
      <c r="C327" s="87"/>
      <c r="D327" s="87"/>
      <c r="E327" s="9"/>
      <c r="F327" s="87"/>
      <c r="G327" s="87"/>
      <c r="H327" s="87"/>
      <c r="I327" s="9"/>
      <c r="J327" s="87"/>
      <c r="K327" s="87"/>
      <c r="L327" s="87"/>
      <c r="M327" s="9"/>
      <c r="N327" s="87"/>
      <c r="O327" s="87"/>
      <c r="P327" s="87"/>
      <c r="Q327" s="9"/>
      <c r="R327" s="87"/>
      <c r="S327" s="87"/>
      <c r="T327" s="87"/>
      <c r="U327" s="9"/>
      <c r="V327" s="87"/>
      <c r="W327" s="87"/>
      <c r="X327" s="87"/>
      <c r="Y327" s="87"/>
      <c r="Z327" s="87"/>
      <c r="AA327" s="87"/>
      <c r="AB327" s="87"/>
      <c r="AC327" s="243"/>
      <c r="AD327" s="234"/>
      <c r="AE327" s="234"/>
      <c r="AF327" s="234"/>
      <c r="AG327" s="9"/>
      <c r="AH327" s="87"/>
      <c r="AI327" s="87"/>
      <c r="AJ327" s="87"/>
      <c r="AK327" s="244"/>
      <c r="AL327" s="245"/>
      <c r="AM327" s="244"/>
      <c r="AN327" s="244"/>
      <c r="AO327" s="87"/>
      <c r="AP327" s="87"/>
      <c r="AQ327" s="87"/>
      <c r="AR327" s="87"/>
      <c r="AS327" s="87"/>
      <c r="AT327" s="87"/>
      <c r="AU327" s="87"/>
      <c r="AV327" s="87"/>
      <c r="AW327" s="87"/>
      <c r="AX327" s="87"/>
    </row>
    <row r="328">
      <c r="A328" s="9"/>
      <c r="B328" s="87"/>
      <c r="C328" s="87"/>
      <c r="D328" s="87"/>
      <c r="E328" s="9"/>
      <c r="F328" s="87"/>
      <c r="G328" s="87"/>
      <c r="H328" s="87"/>
      <c r="I328" s="9"/>
      <c r="J328" s="87"/>
      <c r="K328" s="87"/>
      <c r="L328" s="87"/>
      <c r="M328" s="9"/>
      <c r="N328" s="87"/>
      <c r="O328" s="87"/>
      <c r="P328" s="87"/>
      <c r="Q328" s="9"/>
      <c r="R328" s="87"/>
      <c r="S328" s="87"/>
      <c r="T328" s="87"/>
      <c r="U328" s="9"/>
      <c r="V328" s="87"/>
      <c r="W328" s="87"/>
      <c r="X328" s="87"/>
      <c r="Y328" s="87"/>
      <c r="Z328" s="87"/>
      <c r="AA328" s="87"/>
      <c r="AB328" s="87"/>
      <c r="AC328" s="243"/>
      <c r="AD328" s="234"/>
      <c r="AE328" s="234"/>
      <c r="AF328" s="234"/>
      <c r="AG328" s="9"/>
      <c r="AH328" s="87"/>
      <c r="AI328" s="87"/>
      <c r="AJ328" s="87"/>
      <c r="AK328" s="244"/>
      <c r="AL328" s="245"/>
      <c r="AM328" s="244"/>
      <c r="AN328" s="244"/>
      <c r="AO328" s="87"/>
      <c r="AP328" s="87"/>
      <c r="AQ328" s="87"/>
      <c r="AR328" s="87"/>
      <c r="AS328" s="87"/>
      <c r="AT328" s="87"/>
      <c r="AU328" s="87"/>
      <c r="AV328" s="87"/>
      <c r="AW328" s="87"/>
      <c r="AX328" s="87"/>
    </row>
    <row r="329">
      <c r="A329" s="9"/>
      <c r="B329" s="87"/>
      <c r="C329" s="87"/>
      <c r="D329" s="87"/>
      <c r="E329" s="9"/>
      <c r="F329" s="87"/>
      <c r="G329" s="87"/>
      <c r="H329" s="87"/>
      <c r="I329" s="9"/>
      <c r="J329" s="87"/>
      <c r="K329" s="87"/>
      <c r="L329" s="87"/>
      <c r="M329" s="9"/>
      <c r="N329" s="87"/>
      <c r="O329" s="87"/>
      <c r="P329" s="87"/>
      <c r="Q329" s="9"/>
      <c r="R329" s="87"/>
      <c r="S329" s="87"/>
      <c r="T329" s="87"/>
      <c r="U329" s="9"/>
      <c r="V329" s="87"/>
      <c r="W329" s="87"/>
      <c r="X329" s="87"/>
      <c r="Y329" s="87"/>
      <c r="Z329" s="87"/>
      <c r="AA329" s="87"/>
      <c r="AB329" s="87"/>
      <c r="AC329" s="243"/>
      <c r="AD329" s="234"/>
      <c r="AE329" s="234"/>
      <c r="AF329" s="234"/>
      <c r="AG329" s="9"/>
      <c r="AH329" s="87"/>
      <c r="AI329" s="87"/>
      <c r="AJ329" s="87"/>
      <c r="AK329" s="244"/>
      <c r="AL329" s="245"/>
      <c r="AM329" s="244"/>
      <c r="AN329" s="244"/>
      <c r="AO329" s="87"/>
      <c r="AP329" s="87"/>
      <c r="AQ329" s="87"/>
      <c r="AR329" s="87"/>
      <c r="AS329" s="87"/>
      <c r="AT329" s="87"/>
      <c r="AU329" s="87"/>
      <c r="AV329" s="87"/>
      <c r="AW329" s="87"/>
      <c r="AX329" s="87"/>
    </row>
    <row r="330">
      <c r="A330" s="9"/>
      <c r="B330" s="87"/>
      <c r="C330" s="87"/>
      <c r="D330" s="87"/>
      <c r="E330" s="9"/>
      <c r="F330" s="87"/>
      <c r="G330" s="87"/>
      <c r="H330" s="87"/>
      <c r="I330" s="9"/>
      <c r="J330" s="87"/>
      <c r="K330" s="87"/>
      <c r="L330" s="87"/>
      <c r="M330" s="9"/>
      <c r="N330" s="87"/>
      <c r="O330" s="87"/>
      <c r="P330" s="87"/>
      <c r="Q330" s="9"/>
      <c r="R330" s="87"/>
      <c r="S330" s="87"/>
      <c r="T330" s="87"/>
      <c r="U330" s="9"/>
      <c r="V330" s="87"/>
      <c r="W330" s="87"/>
      <c r="X330" s="87"/>
      <c r="Y330" s="87"/>
      <c r="Z330" s="87"/>
      <c r="AA330" s="87"/>
      <c r="AB330" s="87"/>
      <c r="AC330" s="243"/>
      <c r="AD330" s="234"/>
      <c r="AE330" s="234"/>
      <c r="AF330" s="234"/>
      <c r="AG330" s="9"/>
      <c r="AH330" s="87"/>
      <c r="AI330" s="87"/>
      <c r="AJ330" s="87"/>
      <c r="AK330" s="244"/>
      <c r="AL330" s="245"/>
      <c r="AM330" s="244"/>
      <c r="AN330" s="244"/>
      <c r="AO330" s="87"/>
      <c r="AP330" s="87"/>
      <c r="AQ330" s="87"/>
      <c r="AR330" s="87"/>
      <c r="AS330" s="87"/>
      <c r="AT330" s="87"/>
      <c r="AU330" s="87"/>
      <c r="AV330" s="87"/>
      <c r="AW330" s="87"/>
      <c r="AX330" s="87"/>
    </row>
    <row r="331">
      <c r="A331" s="9"/>
      <c r="B331" s="87"/>
      <c r="C331" s="87"/>
      <c r="D331" s="87"/>
      <c r="E331" s="9"/>
      <c r="F331" s="87"/>
      <c r="G331" s="87"/>
      <c r="H331" s="87"/>
      <c r="I331" s="9"/>
      <c r="J331" s="87"/>
      <c r="K331" s="87"/>
      <c r="L331" s="87"/>
      <c r="M331" s="9"/>
      <c r="N331" s="87"/>
      <c r="O331" s="87"/>
      <c r="P331" s="87"/>
      <c r="Q331" s="9"/>
      <c r="R331" s="87"/>
      <c r="S331" s="87"/>
      <c r="T331" s="87"/>
      <c r="U331" s="9"/>
      <c r="V331" s="87"/>
      <c r="W331" s="87"/>
      <c r="X331" s="87"/>
      <c r="Y331" s="87"/>
      <c r="Z331" s="87"/>
      <c r="AA331" s="87"/>
      <c r="AB331" s="87"/>
      <c r="AC331" s="243"/>
      <c r="AD331" s="234"/>
      <c r="AE331" s="234"/>
      <c r="AF331" s="234"/>
      <c r="AG331" s="9"/>
      <c r="AH331" s="87"/>
      <c r="AI331" s="87"/>
      <c r="AJ331" s="87"/>
      <c r="AK331" s="244"/>
      <c r="AL331" s="245"/>
      <c r="AM331" s="244"/>
      <c r="AN331" s="244"/>
      <c r="AO331" s="87"/>
      <c r="AP331" s="87"/>
      <c r="AQ331" s="87"/>
      <c r="AR331" s="87"/>
      <c r="AS331" s="87"/>
      <c r="AT331" s="87"/>
      <c r="AU331" s="87"/>
      <c r="AV331" s="87"/>
      <c r="AW331" s="87"/>
      <c r="AX331" s="87"/>
    </row>
    <row r="332">
      <c r="A332" s="9"/>
      <c r="B332" s="87"/>
      <c r="C332" s="87"/>
      <c r="D332" s="87"/>
      <c r="E332" s="9"/>
      <c r="F332" s="87"/>
      <c r="G332" s="87"/>
      <c r="H332" s="87"/>
      <c r="I332" s="9"/>
      <c r="J332" s="87"/>
      <c r="K332" s="87"/>
      <c r="L332" s="87"/>
      <c r="M332" s="9"/>
      <c r="N332" s="87"/>
      <c r="O332" s="87"/>
      <c r="P332" s="87"/>
      <c r="Q332" s="9"/>
      <c r="R332" s="87"/>
      <c r="S332" s="87"/>
      <c r="T332" s="87"/>
      <c r="U332" s="9"/>
      <c r="V332" s="87"/>
      <c r="W332" s="87"/>
      <c r="X332" s="87"/>
      <c r="Y332" s="87"/>
      <c r="Z332" s="87"/>
      <c r="AA332" s="87"/>
      <c r="AB332" s="87"/>
      <c r="AC332" s="243"/>
      <c r="AD332" s="234"/>
      <c r="AE332" s="234"/>
      <c r="AF332" s="234"/>
      <c r="AG332" s="9"/>
      <c r="AH332" s="87"/>
      <c r="AI332" s="87"/>
      <c r="AJ332" s="87"/>
      <c r="AK332" s="244"/>
      <c r="AL332" s="245"/>
      <c r="AM332" s="244"/>
      <c r="AN332" s="244"/>
      <c r="AO332" s="87"/>
      <c r="AP332" s="87"/>
      <c r="AQ332" s="87"/>
      <c r="AR332" s="87"/>
      <c r="AS332" s="87"/>
      <c r="AT332" s="87"/>
      <c r="AU332" s="87"/>
      <c r="AV332" s="87"/>
      <c r="AW332" s="87"/>
      <c r="AX332" s="87"/>
    </row>
    <row r="333">
      <c r="A333" s="9"/>
      <c r="B333" s="87"/>
      <c r="C333" s="87"/>
      <c r="D333" s="87"/>
      <c r="E333" s="9"/>
      <c r="F333" s="87"/>
      <c r="G333" s="87"/>
      <c r="H333" s="87"/>
      <c r="I333" s="9"/>
      <c r="J333" s="87"/>
      <c r="K333" s="87"/>
      <c r="L333" s="87"/>
      <c r="M333" s="9"/>
      <c r="N333" s="87"/>
      <c r="O333" s="87"/>
      <c r="P333" s="87"/>
      <c r="Q333" s="9"/>
      <c r="R333" s="87"/>
      <c r="S333" s="87"/>
      <c r="T333" s="87"/>
      <c r="U333" s="9"/>
      <c r="V333" s="87"/>
      <c r="W333" s="87"/>
      <c r="X333" s="87"/>
      <c r="Y333" s="87"/>
      <c r="Z333" s="87"/>
      <c r="AA333" s="87"/>
      <c r="AB333" s="87"/>
      <c r="AC333" s="243"/>
      <c r="AD333" s="234"/>
      <c r="AE333" s="234"/>
      <c r="AF333" s="234"/>
      <c r="AG333" s="9"/>
      <c r="AH333" s="87"/>
      <c r="AI333" s="87"/>
      <c r="AJ333" s="87"/>
      <c r="AK333" s="244"/>
      <c r="AL333" s="245"/>
      <c r="AM333" s="244"/>
      <c r="AN333" s="244"/>
      <c r="AO333" s="87"/>
      <c r="AP333" s="87"/>
      <c r="AQ333" s="87"/>
      <c r="AR333" s="87"/>
      <c r="AS333" s="87"/>
      <c r="AT333" s="87"/>
      <c r="AU333" s="87"/>
      <c r="AV333" s="87"/>
      <c r="AW333" s="87"/>
      <c r="AX333" s="87"/>
    </row>
    <row r="334">
      <c r="A334" s="9"/>
      <c r="B334" s="87"/>
      <c r="C334" s="87"/>
      <c r="D334" s="87"/>
      <c r="E334" s="9"/>
      <c r="F334" s="87"/>
      <c r="G334" s="87"/>
      <c r="H334" s="87"/>
      <c r="I334" s="9"/>
      <c r="J334" s="87"/>
      <c r="K334" s="87"/>
      <c r="L334" s="87"/>
      <c r="M334" s="9"/>
      <c r="N334" s="87"/>
      <c r="O334" s="87"/>
      <c r="P334" s="87"/>
      <c r="Q334" s="9"/>
      <c r="R334" s="87"/>
      <c r="S334" s="87"/>
      <c r="T334" s="87"/>
      <c r="U334" s="9"/>
      <c r="V334" s="87"/>
      <c r="W334" s="87"/>
      <c r="X334" s="87"/>
      <c r="Y334" s="87"/>
      <c r="Z334" s="87"/>
      <c r="AA334" s="87"/>
      <c r="AB334" s="87"/>
      <c r="AC334" s="243"/>
      <c r="AD334" s="234"/>
      <c r="AE334" s="234"/>
      <c r="AF334" s="234"/>
      <c r="AG334" s="9"/>
      <c r="AH334" s="87"/>
      <c r="AI334" s="87"/>
      <c r="AJ334" s="87"/>
      <c r="AK334" s="244"/>
      <c r="AL334" s="245"/>
      <c r="AM334" s="244"/>
      <c r="AN334" s="244"/>
      <c r="AO334" s="87"/>
      <c r="AP334" s="87"/>
      <c r="AQ334" s="87"/>
      <c r="AR334" s="87"/>
      <c r="AS334" s="87"/>
      <c r="AT334" s="87"/>
      <c r="AU334" s="87"/>
      <c r="AV334" s="87"/>
      <c r="AW334" s="87"/>
      <c r="AX334" s="87"/>
    </row>
    <row r="335">
      <c r="A335" s="9"/>
      <c r="B335" s="87"/>
      <c r="C335" s="87"/>
      <c r="D335" s="87"/>
      <c r="E335" s="9"/>
      <c r="F335" s="87"/>
      <c r="G335" s="87"/>
      <c r="H335" s="87"/>
      <c r="I335" s="9"/>
      <c r="J335" s="87"/>
      <c r="K335" s="87"/>
      <c r="L335" s="87"/>
      <c r="M335" s="9"/>
      <c r="N335" s="87"/>
      <c r="O335" s="87"/>
      <c r="P335" s="87"/>
      <c r="Q335" s="9"/>
      <c r="R335" s="87"/>
      <c r="S335" s="87"/>
      <c r="T335" s="87"/>
      <c r="U335" s="9"/>
      <c r="V335" s="87"/>
      <c r="W335" s="87"/>
      <c r="X335" s="87"/>
      <c r="Y335" s="87"/>
      <c r="Z335" s="87"/>
      <c r="AA335" s="87"/>
      <c r="AB335" s="87"/>
      <c r="AC335" s="243"/>
      <c r="AD335" s="234"/>
      <c r="AE335" s="234"/>
      <c r="AF335" s="234"/>
      <c r="AG335" s="9"/>
      <c r="AH335" s="87"/>
      <c r="AI335" s="87"/>
      <c r="AJ335" s="87"/>
      <c r="AK335" s="244"/>
      <c r="AL335" s="245"/>
      <c r="AM335" s="244"/>
      <c r="AN335" s="244"/>
      <c r="AO335" s="87"/>
      <c r="AP335" s="87"/>
      <c r="AQ335" s="87"/>
      <c r="AR335" s="87"/>
      <c r="AS335" s="87"/>
      <c r="AT335" s="87"/>
      <c r="AU335" s="87"/>
      <c r="AV335" s="87"/>
      <c r="AW335" s="87"/>
      <c r="AX335" s="87"/>
    </row>
    <row r="336">
      <c r="A336" s="9"/>
      <c r="B336" s="87"/>
      <c r="C336" s="87"/>
      <c r="D336" s="87"/>
      <c r="E336" s="9"/>
      <c r="F336" s="87"/>
      <c r="G336" s="87"/>
      <c r="H336" s="87"/>
      <c r="I336" s="9"/>
      <c r="J336" s="87"/>
      <c r="K336" s="87"/>
      <c r="L336" s="87"/>
      <c r="M336" s="9"/>
      <c r="N336" s="87"/>
      <c r="O336" s="87"/>
      <c r="P336" s="87"/>
      <c r="Q336" s="9"/>
      <c r="R336" s="87"/>
      <c r="S336" s="87"/>
      <c r="T336" s="87"/>
      <c r="U336" s="9"/>
      <c r="V336" s="87"/>
      <c r="W336" s="87"/>
      <c r="X336" s="87"/>
      <c r="Y336" s="87"/>
      <c r="Z336" s="87"/>
      <c r="AA336" s="87"/>
      <c r="AB336" s="87"/>
      <c r="AC336" s="243"/>
      <c r="AD336" s="234"/>
      <c r="AE336" s="234"/>
      <c r="AF336" s="234"/>
      <c r="AG336" s="9"/>
      <c r="AH336" s="87"/>
      <c r="AI336" s="87"/>
      <c r="AJ336" s="87"/>
      <c r="AK336" s="244"/>
      <c r="AL336" s="245"/>
      <c r="AM336" s="244"/>
      <c r="AN336" s="244"/>
      <c r="AO336" s="87"/>
      <c r="AP336" s="87"/>
      <c r="AQ336" s="87"/>
      <c r="AR336" s="87"/>
      <c r="AS336" s="87"/>
      <c r="AT336" s="87"/>
      <c r="AU336" s="87"/>
      <c r="AV336" s="87"/>
      <c r="AW336" s="87"/>
      <c r="AX336" s="87"/>
    </row>
    <row r="337">
      <c r="A337" s="9"/>
      <c r="B337" s="87"/>
      <c r="C337" s="87"/>
      <c r="D337" s="87"/>
      <c r="E337" s="9"/>
      <c r="F337" s="87"/>
      <c r="G337" s="87"/>
      <c r="H337" s="87"/>
      <c r="I337" s="9"/>
      <c r="J337" s="87"/>
      <c r="K337" s="87"/>
      <c r="L337" s="87"/>
      <c r="M337" s="9"/>
      <c r="N337" s="87"/>
      <c r="O337" s="87"/>
      <c r="P337" s="87"/>
      <c r="Q337" s="9"/>
      <c r="R337" s="87"/>
      <c r="S337" s="87"/>
      <c r="T337" s="87"/>
      <c r="U337" s="9"/>
      <c r="V337" s="87"/>
      <c r="W337" s="87"/>
      <c r="X337" s="87"/>
      <c r="Y337" s="87"/>
      <c r="Z337" s="87"/>
      <c r="AA337" s="87"/>
      <c r="AB337" s="87"/>
      <c r="AC337" s="243"/>
      <c r="AD337" s="234"/>
      <c r="AE337" s="234"/>
      <c r="AF337" s="234"/>
      <c r="AG337" s="9"/>
      <c r="AH337" s="87"/>
      <c r="AI337" s="87"/>
      <c r="AJ337" s="87"/>
      <c r="AK337" s="244"/>
      <c r="AL337" s="245"/>
      <c r="AM337" s="244"/>
      <c r="AN337" s="244"/>
      <c r="AO337" s="87"/>
      <c r="AP337" s="87"/>
      <c r="AQ337" s="87"/>
      <c r="AR337" s="87"/>
      <c r="AS337" s="87"/>
      <c r="AT337" s="87"/>
      <c r="AU337" s="87"/>
      <c r="AV337" s="87"/>
      <c r="AW337" s="87"/>
      <c r="AX337" s="87"/>
    </row>
    <row r="338">
      <c r="A338" s="9"/>
      <c r="B338" s="87"/>
      <c r="C338" s="87"/>
      <c r="D338" s="87"/>
      <c r="E338" s="9"/>
      <c r="F338" s="87"/>
      <c r="G338" s="87"/>
      <c r="H338" s="87"/>
      <c r="I338" s="9"/>
      <c r="J338" s="87"/>
      <c r="K338" s="87"/>
      <c r="L338" s="87"/>
      <c r="M338" s="9"/>
      <c r="N338" s="87"/>
      <c r="O338" s="87"/>
      <c r="P338" s="87"/>
      <c r="Q338" s="9"/>
      <c r="R338" s="87"/>
      <c r="S338" s="87"/>
      <c r="T338" s="87"/>
      <c r="U338" s="9"/>
      <c r="V338" s="87"/>
      <c r="W338" s="87"/>
      <c r="X338" s="87"/>
      <c r="Y338" s="87"/>
      <c r="Z338" s="87"/>
      <c r="AA338" s="87"/>
      <c r="AB338" s="87"/>
      <c r="AC338" s="243"/>
      <c r="AD338" s="234"/>
      <c r="AE338" s="234"/>
      <c r="AF338" s="234"/>
      <c r="AG338" s="9"/>
      <c r="AH338" s="87"/>
      <c r="AI338" s="87"/>
      <c r="AJ338" s="87"/>
      <c r="AK338" s="244"/>
      <c r="AL338" s="245"/>
      <c r="AM338" s="244"/>
      <c r="AN338" s="244"/>
      <c r="AO338" s="87"/>
      <c r="AP338" s="87"/>
      <c r="AQ338" s="87"/>
      <c r="AR338" s="87"/>
      <c r="AS338" s="87"/>
      <c r="AT338" s="87"/>
      <c r="AU338" s="87"/>
      <c r="AV338" s="87"/>
      <c r="AW338" s="87"/>
      <c r="AX338" s="87"/>
    </row>
    <row r="339">
      <c r="A339" s="9"/>
      <c r="B339" s="87"/>
      <c r="C339" s="87"/>
      <c r="D339" s="87"/>
      <c r="E339" s="9"/>
      <c r="F339" s="87"/>
      <c r="G339" s="87"/>
      <c r="H339" s="87"/>
      <c r="I339" s="9"/>
      <c r="J339" s="87"/>
      <c r="K339" s="87"/>
      <c r="L339" s="87"/>
      <c r="M339" s="9"/>
      <c r="N339" s="87"/>
      <c r="O339" s="87"/>
      <c r="P339" s="87"/>
      <c r="Q339" s="9"/>
      <c r="R339" s="87"/>
      <c r="S339" s="87"/>
      <c r="T339" s="87"/>
      <c r="U339" s="9"/>
      <c r="V339" s="87"/>
      <c r="W339" s="87"/>
      <c r="X339" s="87"/>
      <c r="Y339" s="87"/>
      <c r="Z339" s="87"/>
      <c r="AA339" s="87"/>
      <c r="AB339" s="87"/>
      <c r="AC339" s="243"/>
      <c r="AD339" s="234"/>
      <c r="AE339" s="234"/>
      <c r="AF339" s="234"/>
      <c r="AG339" s="9"/>
      <c r="AH339" s="87"/>
      <c r="AI339" s="87"/>
      <c r="AJ339" s="87"/>
      <c r="AK339" s="244"/>
      <c r="AL339" s="245"/>
      <c r="AM339" s="244"/>
      <c r="AN339" s="244"/>
      <c r="AO339" s="87"/>
      <c r="AP339" s="87"/>
      <c r="AQ339" s="87"/>
      <c r="AR339" s="87"/>
      <c r="AS339" s="87"/>
      <c r="AT339" s="87"/>
      <c r="AU339" s="87"/>
      <c r="AV339" s="87"/>
      <c r="AW339" s="87"/>
      <c r="AX339" s="87"/>
    </row>
    <row r="340">
      <c r="A340" s="9"/>
      <c r="B340" s="87"/>
      <c r="C340" s="87"/>
      <c r="D340" s="87"/>
      <c r="E340" s="9"/>
      <c r="F340" s="87"/>
      <c r="G340" s="87"/>
      <c r="H340" s="87"/>
      <c r="I340" s="9"/>
      <c r="J340" s="87"/>
      <c r="K340" s="87"/>
      <c r="L340" s="87"/>
      <c r="M340" s="9"/>
      <c r="N340" s="87"/>
      <c r="O340" s="87"/>
      <c r="P340" s="87"/>
      <c r="Q340" s="9"/>
      <c r="R340" s="87"/>
      <c r="S340" s="87"/>
      <c r="T340" s="87"/>
      <c r="U340" s="9"/>
      <c r="V340" s="87"/>
      <c r="W340" s="87"/>
      <c r="X340" s="87"/>
      <c r="Y340" s="87"/>
      <c r="Z340" s="87"/>
      <c r="AA340" s="87"/>
      <c r="AB340" s="87"/>
      <c r="AC340" s="243"/>
      <c r="AD340" s="234"/>
      <c r="AE340" s="234"/>
      <c r="AF340" s="234"/>
      <c r="AG340" s="9"/>
      <c r="AH340" s="87"/>
      <c r="AI340" s="87"/>
      <c r="AJ340" s="87"/>
      <c r="AK340" s="244"/>
      <c r="AL340" s="245"/>
      <c r="AM340" s="244"/>
      <c r="AN340" s="244"/>
      <c r="AO340" s="87"/>
      <c r="AP340" s="87"/>
      <c r="AQ340" s="87"/>
      <c r="AR340" s="87"/>
      <c r="AS340" s="87"/>
      <c r="AT340" s="87"/>
      <c r="AU340" s="87"/>
      <c r="AV340" s="87"/>
      <c r="AW340" s="87"/>
      <c r="AX340" s="87"/>
    </row>
    <row r="341">
      <c r="A341" s="9"/>
      <c r="B341" s="87"/>
      <c r="C341" s="87"/>
      <c r="D341" s="87"/>
      <c r="E341" s="9"/>
      <c r="F341" s="87"/>
      <c r="G341" s="87"/>
      <c r="H341" s="87"/>
      <c r="I341" s="9"/>
      <c r="J341" s="87"/>
      <c r="K341" s="87"/>
      <c r="L341" s="87"/>
      <c r="M341" s="9"/>
      <c r="N341" s="87"/>
      <c r="O341" s="87"/>
      <c r="P341" s="87"/>
      <c r="Q341" s="9"/>
      <c r="R341" s="87"/>
      <c r="S341" s="87"/>
      <c r="T341" s="87"/>
      <c r="U341" s="9"/>
      <c r="V341" s="87"/>
      <c r="W341" s="87"/>
      <c r="X341" s="87"/>
      <c r="Y341" s="87"/>
      <c r="Z341" s="87"/>
      <c r="AA341" s="87"/>
      <c r="AB341" s="87"/>
      <c r="AC341" s="243"/>
      <c r="AD341" s="234"/>
      <c r="AE341" s="234"/>
      <c r="AF341" s="234"/>
      <c r="AG341" s="9"/>
      <c r="AH341" s="87"/>
      <c r="AI341" s="87"/>
      <c r="AJ341" s="87"/>
      <c r="AK341" s="244"/>
      <c r="AL341" s="245"/>
      <c r="AM341" s="244"/>
      <c r="AN341" s="244"/>
      <c r="AO341" s="87"/>
      <c r="AP341" s="87"/>
      <c r="AQ341" s="87"/>
      <c r="AR341" s="87"/>
      <c r="AS341" s="87"/>
      <c r="AT341" s="87"/>
      <c r="AU341" s="87"/>
      <c r="AV341" s="87"/>
      <c r="AW341" s="87"/>
      <c r="AX341" s="87"/>
    </row>
    <row r="342">
      <c r="A342" s="9"/>
      <c r="B342" s="87"/>
      <c r="C342" s="87"/>
      <c r="D342" s="87"/>
      <c r="E342" s="9"/>
      <c r="F342" s="87"/>
      <c r="G342" s="87"/>
      <c r="H342" s="87"/>
      <c r="I342" s="9"/>
      <c r="J342" s="87"/>
      <c r="K342" s="87"/>
      <c r="L342" s="87"/>
      <c r="M342" s="9"/>
      <c r="N342" s="87"/>
      <c r="O342" s="87"/>
      <c r="P342" s="87"/>
      <c r="Q342" s="9"/>
      <c r="R342" s="87"/>
      <c r="S342" s="87"/>
      <c r="T342" s="87"/>
      <c r="U342" s="9"/>
      <c r="V342" s="87"/>
      <c r="W342" s="87"/>
      <c r="X342" s="87"/>
      <c r="Y342" s="87"/>
      <c r="Z342" s="87"/>
      <c r="AA342" s="87"/>
      <c r="AB342" s="87"/>
      <c r="AC342" s="243"/>
      <c r="AD342" s="234"/>
      <c r="AE342" s="234"/>
      <c r="AF342" s="234"/>
      <c r="AG342" s="9"/>
      <c r="AH342" s="87"/>
      <c r="AI342" s="87"/>
      <c r="AJ342" s="87"/>
      <c r="AK342" s="244"/>
      <c r="AL342" s="245"/>
      <c r="AM342" s="244"/>
      <c r="AN342" s="244"/>
      <c r="AO342" s="87"/>
      <c r="AP342" s="87"/>
      <c r="AQ342" s="87"/>
      <c r="AR342" s="87"/>
      <c r="AS342" s="87"/>
      <c r="AT342" s="87"/>
      <c r="AU342" s="87"/>
      <c r="AV342" s="87"/>
      <c r="AW342" s="87"/>
      <c r="AX342" s="87"/>
    </row>
    <row r="343">
      <c r="A343" s="9"/>
      <c r="B343" s="87"/>
      <c r="C343" s="87"/>
      <c r="D343" s="87"/>
      <c r="E343" s="9"/>
      <c r="F343" s="87"/>
      <c r="G343" s="87"/>
      <c r="H343" s="87"/>
      <c r="I343" s="9"/>
      <c r="J343" s="87"/>
      <c r="K343" s="87"/>
      <c r="L343" s="87"/>
      <c r="M343" s="9"/>
      <c r="N343" s="87"/>
      <c r="O343" s="87"/>
      <c r="P343" s="87"/>
      <c r="Q343" s="9"/>
      <c r="R343" s="87"/>
      <c r="S343" s="87"/>
      <c r="T343" s="87"/>
      <c r="U343" s="9"/>
      <c r="V343" s="87"/>
      <c r="W343" s="87"/>
      <c r="X343" s="87"/>
      <c r="Y343" s="87"/>
      <c r="Z343" s="87"/>
      <c r="AA343" s="87"/>
      <c r="AB343" s="87"/>
      <c r="AC343" s="243"/>
      <c r="AD343" s="234"/>
      <c r="AE343" s="234"/>
      <c r="AF343" s="234"/>
      <c r="AG343" s="9"/>
      <c r="AH343" s="87"/>
      <c r="AI343" s="87"/>
      <c r="AJ343" s="87"/>
      <c r="AK343" s="244"/>
      <c r="AL343" s="245"/>
      <c r="AM343" s="244"/>
      <c r="AN343" s="244"/>
      <c r="AO343" s="87"/>
      <c r="AP343" s="87"/>
      <c r="AQ343" s="87"/>
      <c r="AR343" s="87"/>
      <c r="AS343" s="87"/>
      <c r="AT343" s="87"/>
      <c r="AU343" s="87"/>
      <c r="AV343" s="87"/>
      <c r="AW343" s="87"/>
      <c r="AX343" s="87"/>
    </row>
    <row r="344">
      <c r="A344" s="9"/>
      <c r="B344" s="87"/>
      <c r="C344" s="87"/>
      <c r="D344" s="87"/>
      <c r="E344" s="9"/>
      <c r="F344" s="87"/>
      <c r="G344" s="87"/>
      <c r="H344" s="87"/>
      <c r="I344" s="9"/>
      <c r="J344" s="87"/>
      <c r="K344" s="87"/>
      <c r="L344" s="87"/>
      <c r="M344" s="9"/>
      <c r="N344" s="87"/>
      <c r="O344" s="87"/>
      <c r="P344" s="87"/>
      <c r="Q344" s="9"/>
      <c r="R344" s="87"/>
      <c r="S344" s="87"/>
      <c r="T344" s="87"/>
      <c r="U344" s="9"/>
      <c r="V344" s="87"/>
      <c r="W344" s="87"/>
      <c r="X344" s="87"/>
      <c r="Y344" s="87"/>
      <c r="Z344" s="87"/>
      <c r="AA344" s="87"/>
      <c r="AB344" s="87"/>
      <c r="AC344" s="243"/>
      <c r="AD344" s="234"/>
      <c r="AE344" s="234"/>
      <c r="AF344" s="234"/>
      <c r="AG344" s="9"/>
      <c r="AH344" s="87"/>
      <c r="AI344" s="87"/>
      <c r="AJ344" s="87"/>
      <c r="AK344" s="244"/>
      <c r="AL344" s="245"/>
      <c r="AM344" s="244"/>
      <c r="AN344" s="244"/>
      <c r="AO344" s="87"/>
      <c r="AP344" s="87"/>
      <c r="AQ344" s="87"/>
      <c r="AR344" s="87"/>
      <c r="AS344" s="87"/>
      <c r="AT344" s="87"/>
      <c r="AU344" s="87"/>
      <c r="AV344" s="87"/>
      <c r="AW344" s="87"/>
      <c r="AX344" s="87"/>
    </row>
    <row r="345">
      <c r="A345" s="9"/>
      <c r="B345" s="87"/>
      <c r="C345" s="87"/>
      <c r="D345" s="87"/>
      <c r="E345" s="9"/>
      <c r="F345" s="87"/>
      <c r="G345" s="87"/>
      <c r="H345" s="87"/>
      <c r="I345" s="9"/>
      <c r="J345" s="87"/>
      <c r="K345" s="87"/>
      <c r="L345" s="87"/>
      <c r="M345" s="9"/>
      <c r="N345" s="87"/>
      <c r="O345" s="87"/>
      <c r="P345" s="87"/>
      <c r="Q345" s="9"/>
      <c r="R345" s="87"/>
      <c r="S345" s="87"/>
      <c r="T345" s="87"/>
      <c r="U345" s="9"/>
      <c r="V345" s="87"/>
      <c r="W345" s="87"/>
      <c r="X345" s="87"/>
      <c r="Y345" s="87"/>
      <c r="Z345" s="87"/>
      <c r="AA345" s="87"/>
      <c r="AB345" s="87"/>
      <c r="AC345" s="243"/>
      <c r="AD345" s="234"/>
      <c r="AE345" s="234"/>
      <c r="AF345" s="234"/>
      <c r="AG345" s="9"/>
      <c r="AH345" s="87"/>
      <c r="AI345" s="87"/>
      <c r="AJ345" s="87"/>
      <c r="AK345" s="244"/>
      <c r="AL345" s="245"/>
      <c r="AM345" s="244"/>
      <c r="AN345" s="244"/>
      <c r="AO345" s="87"/>
      <c r="AP345" s="87"/>
      <c r="AQ345" s="87"/>
      <c r="AR345" s="87"/>
      <c r="AS345" s="87"/>
      <c r="AT345" s="87"/>
      <c r="AU345" s="87"/>
      <c r="AV345" s="87"/>
      <c r="AW345" s="87"/>
      <c r="AX345" s="87"/>
    </row>
    <row r="346">
      <c r="A346" s="9"/>
      <c r="B346" s="87"/>
      <c r="C346" s="87"/>
      <c r="D346" s="87"/>
      <c r="E346" s="9"/>
      <c r="F346" s="87"/>
      <c r="G346" s="87"/>
      <c r="H346" s="87"/>
      <c r="I346" s="9"/>
      <c r="J346" s="87"/>
      <c r="K346" s="87"/>
      <c r="L346" s="87"/>
      <c r="M346" s="9"/>
      <c r="N346" s="87"/>
      <c r="O346" s="87"/>
      <c r="P346" s="87"/>
      <c r="Q346" s="9"/>
      <c r="R346" s="87"/>
      <c r="S346" s="87"/>
      <c r="T346" s="87"/>
      <c r="U346" s="9"/>
      <c r="V346" s="87"/>
      <c r="W346" s="87"/>
      <c r="X346" s="87"/>
      <c r="Y346" s="87"/>
      <c r="Z346" s="87"/>
      <c r="AA346" s="87"/>
      <c r="AB346" s="87"/>
      <c r="AC346" s="243"/>
      <c r="AD346" s="234"/>
      <c r="AE346" s="234"/>
      <c r="AF346" s="234"/>
      <c r="AG346" s="9"/>
      <c r="AH346" s="87"/>
      <c r="AI346" s="87"/>
      <c r="AJ346" s="87"/>
      <c r="AK346" s="244"/>
      <c r="AL346" s="245"/>
      <c r="AM346" s="244"/>
      <c r="AN346" s="244"/>
      <c r="AO346" s="87"/>
      <c r="AP346" s="87"/>
      <c r="AQ346" s="87"/>
      <c r="AR346" s="87"/>
      <c r="AS346" s="87"/>
      <c r="AT346" s="87"/>
      <c r="AU346" s="87"/>
      <c r="AV346" s="87"/>
      <c r="AW346" s="87"/>
      <c r="AX346" s="87"/>
    </row>
    <row r="347">
      <c r="A347" s="9"/>
      <c r="B347" s="87"/>
      <c r="C347" s="87"/>
      <c r="D347" s="87"/>
      <c r="E347" s="9"/>
      <c r="F347" s="87"/>
      <c r="G347" s="87"/>
      <c r="H347" s="87"/>
      <c r="I347" s="9"/>
      <c r="J347" s="87"/>
      <c r="K347" s="87"/>
      <c r="L347" s="87"/>
      <c r="M347" s="9"/>
      <c r="N347" s="87"/>
      <c r="O347" s="87"/>
      <c r="P347" s="87"/>
      <c r="Q347" s="9"/>
      <c r="R347" s="87"/>
      <c r="S347" s="87"/>
      <c r="T347" s="87"/>
      <c r="U347" s="9"/>
      <c r="V347" s="87"/>
      <c r="W347" s="87"/>
      <c r="X347" s="87"/>
      <c r="Y347" s="87"/>
      <c r="Z347" s="87"/>
      <c r="AA347" s="87"/>
      <c r="AB347" s="87"/>
      <c r="AC347" s="243"/>
      <c r="AD347" s="234"/>
      <c r="AE347" s="234"/>
      <c r="AF347" s="234"/>
      <c r="AG347" s="9"/>
      <c r="AH347" s="87"/>
      <c r="AI347" s="87"/>
      <c r="AJ347" s="87"/>
      <c r="AK347" s="244"/>
      <c r="AL347" s="245"/>
      <c r="AM347" s="244"/>
      <c r="AN347" s="244"/>
      <c r="AO347" s="87"/>
      <c r="AP347" s="87"/>
      <c r="AQ347" s="87"/>
      <c r="AR347" s="87"/>
      <c r="AS347" s="87"/>
      <c r="AT347" s="87"/>
      <c r="AU347" s="87"/>
      <c r="AV347" s="87"/>
      <c r="AW347" s="87"/>
      <c r="AX347" s="87"/>
    </row>
    <row r="348">
      <c r="A348" s="9"/>
      <c r="B348" s="87"/>
      <c r="C348" s="87"/>
      <c r="D348" s="87"/>
      <c r="E348" s="9"/>
      <c r="F348" s="87"/>
      <c r="G348" s="87"/>
      <c r="H348" s="87"/>
      <c r="I348" s="9"/>
      <c r="J348" s="87"/>
      <c r="K348" s="87"/>
      <c r="L348" s="87"/>
      <c r="M348" s="9"/>
      <c r="N348" s="87"/>
      <c r="O348" s="87"/>
      <c r="P348" s="87"/>
      <c r="Q348" s="9"/>
      <c r="R348" s="87"/>
      <c r="S348" s="87"/>
      <c r="T348" s="87"/>
      <c r="U348" s="9"/>
      <c r="V348" s="87"/>
      <c r="W348" s="87"/>
      <c r="X348" s="87"/>
      <c r="Y348" s="87"/>
      <c r="Z348" s="87"/>
      <c r="AA348" s="87"/>
      <c r="AB348" s="87"/>
      <c r="AC348" s="243"/>
      <c r="AD348" s="234"/>
      <c r="AE348" s="234"/>
      <c r="AF348" s="234"/>
      <c r="AG348" s="9"/>
      <c r="AH348" s="87"/>
      <c r="AI348" s="87"/>
      <c r="AJ348" s="87"/>
      <c r="AK348" s="244"/>
      <c r="AL348" s="245"/>
      <c r="AM348" s="244"/>
      <c r="AN348" s="244"/>
      <c r="AO348" s="87"/>
      <c r="AP348" s="87"/>
      <c r="AQ348" s="87"/>
      <c r="AR348" s="87"/>
      <c r="AS348" s="87"/>
      <c r="AT348" s="87"/>
      <c r="AU348" s="87"/>
      <c r="AV348" s="87"/>
      <c r="AW348" s="87"/>
      <c r="AX348" s="87"/>
    </row>
    <row r="349">
      <c r="A349" s="9"/>
      <c r="B349" s="87"/>
      <c r="C349" s="87"/>
      <c r="D349" s="87"/>
      <c r="E349" s="9"/>
      <c r="F349" s="87"/>
      <c r="G349" s="87"/>
      <c r="H349" s="87"/>
      <c r="I349" s="9"/>
      <c r="J349" s="87"/>
      <c r="K349" s="87"/>
      <c r="L349" s="87"/>
      <c r="M349" s="9"/>
      <c r="N349" s="87"/>
      <c r="O349" s="87"/>
      <c r="P349" s="87"/>
      <c r="Q349" s="9"/>
      <c r="R349" s="87"/>
      <c r="S349" s="87"/>
      <c r="T349" s="87"/>
      <c r="U349" s="9"/>
      <c r="V349" s="87"/>
      <c r="W349" s="87"/>
      <c r="X349" s="87"/>
      <c r="Y349" s="87"/>
      <c r="Z349" s="87"/>
      <c r="AA349" s="87"/>
      <c r="AB349" s="87"/>
      <c r="AC349" s="243"/>
      <c r="AD349" s="234"/>
      <c r="AE349" s="234"/>
      <c r="AF349" s="234"/>
      <c r="AG349" s="9"/>
      <c r="AH349" s="87"/>
      <c r="AI349" s="87"/>
      <c r="AJ349" s="87"/>
      <c r="AK349" s="244"/>
      <c r="AL349" s="245"/>
      <c r="AM349" s="244"/>
      <c r="AN349" s="244"/>
      <c r="AO349" s="87"/>
      <c r="AP349" s="87"/>
      <c r="AQ349" s="87"/>
      <c r="AR349" s="87"/>
      <c r="AS349" s="87"/>
      <c r="AT349" s="87"/>
      <c r="AU349" s="87"/>
      <c r="AV349" s="87"/>
      <c r="AW349" s="87"/>
      <c r="AX349" s="87"/>
    </row>
    <row r="350">
      <c r="A350" s="9"/>
      <c r="B350" s="87"/>
      <c r="C350" s="87"/>
      <c r="D350" s="87"/>
      <c r="E350" s="9"/>
      <c r="F350" s="87"/>
      <c r="G350" s="87"/>
      <c r="H350" s="87"/>
      <c r="I350" s="9"/>
      <c r="J350" s="87"/>
      <c r="K350" s="87"/>
      <c r="L350" s="87"/>
      <c r="M350" s="9"/>
      <c r="N350" s="87"/>
      <c r="O350" s="87"/>
      <c r="P350" s="87"/>
      <c r="Q350" s="9"/>
      <c r="R350" s="87"/>
      <c r="S350" s="87"/>
      <c r="T350" s="87"/>
      <c r="U350" s="9"/>
      <c r="V350" s="87"/>
      <c r="W350" s="87"/>
      <c r="X350" s="87"/>
      <c r="Y350" s="87"/>
      <c r="Z350" s="87"/>
      <c r="AA350" s="87"/>
      <c r="AB350" s="87"/>
      <c r="AC350" s="243"/>
      <c r="AD350" s="234"/>
      <c r="AE350" s="234"/>
      <c r="AF350" s="234"/>
      <c r="AG350" s="9"/>
      <c r="AH350" s="87"/>
      <c r="AI350" s="87"/>
      <c r="AJ350" s="87"/>
      <c r="AK350" s="244"/>
      <c r="AL350" s="245"/>
      <c r="AM350" s="244"/>
      <c r="AN350" s="244"/>
      <c r="AO350" s="87"/>
      <c r="AP350" s="87"/>
      <c r="AQ350" s="87"/>
      <c r="AR350" s="87"/>
      <c r="AS350" s="87"/>
      <c r="AT350" s="87"/>
      <c r="AU350" s="87"/>
      <c r="AV350" s="87"/>
      <c r="AW350" s="87"/>
      <c r="AX350" s="87"/>
    </row>
    <row r="351">
      <c r="A351" s="9"/>
      <c r="B351" s="87"/>
      <c r="C351" s="87"/>
      <c r="D351" s="87"/>
      <c r="E351" s="9"/>
      <c r="F351" s="87"/>
      <c r="G351" s="87"/>
      <c r="H351" s="87"/>
      <c r="I351" s="9"/>
      <c r="J351" s="87"/>
      <c r="K351" s="87"/>
      <c r="L351" s="87"/>
      <c r="M351" s="9"/>
      <c r="N351" s="87"/>
      <c r="O351" s="87"/>
      <c r="P351" s="87"/>
      <c r="Q351" s="9"/>
      <c r="R351" s="87"/>
      <c r="S351" s="87"/>
      <c r="T351" s="87"/>
      <c r="U351" s="9"/>
      <c r="V351" s="87"/>
      <c r="W351" s="87"/>
      <c r="X351" s="87"/>
      <c r="Y351" s="87"/>
      <c r="Z351" s="87"/>
      <c r="AA351" s="87"/>
      <c r="AB351" s="87"/>
      <c r="AC351" s="243"/>
      <c r="AD351" s="234"/>
      <c r="AE351" s="234"/>
      <c r="AF351" s="234"/>
      <c r="AG351" s="9"/>
      <c r="AH351" s="87"/>
      <c r="AI351" s="87"/>
      <c r="AJ351" s="87"/>
      <c r="AK351" s="244"/>
      <c r="AL351" s="245"/>
      <c r="AM351" s="244"/>
      <c r="AN351" s="244"/>
      <c r="AO351" s="87"/>
      <c r="AP351" s="87"/>
      <c r="AQ351" s="87"/>
      <c r="AR351" s="87"/>
      <c r="AS351" s="87"/>
      <c r="AT351" s="87"/>
      <c r="AU351" s="87"/>
      <c r="AV351" s="87"/>
      <c r="AW351" s="87"/>
      <c r="AX351" s="87"/>
    </row>
    <row r="352">
      <c r="A352" s="9"/>
      <c r="B352" s="87"/>
      <c r="C352" s="87"/>
      <c r="D352" s="87"/>
      <c r="E352" s="9"/>
      <c r="F352" s="87"/>
      <c r="G352" s="87"/>
      <c r="H352" s="87"/>
      <c r="I352" s="9"/>
      <c r="J352" s="87"/>
      <c r="K352" s="87"/>
      <c r="L352" s="87"/>
      <c r="M352" s="9"/>
      <c r="N352" s="87"/>
      <c r="O352" s="87"/>
      <c r="P352" s="87"/>
      <c r="Q352" s="9"/>
      <c r="R352" s="87"/>
      <c r="S352" s="87"/>
      <c r="T352" s="87"/>
      <c r="U352" s="9"/>
      <c r="V352" s="87"/>
      <c r="W352" s="87"/>
      <c r="X352" s="87"/>
      <c r="Y352" s="87"/>
      <c r="Z352" s="87"/>
      <c r="AA352" s="87"/>
      <c r="AB352" s="87"/>
      <c r="AC352" s="243"/>
      <c r="AD352" s="234"/>
      <c r="AE352" s="234"/>
      <c r="AF352" s="234"/>
      <c r="AG352" s="9"/>
      <c r="AH352" s="87"/>
      <c r="AI352" s="87"/>
      <c r="AJ352" s="87"/>
      <c r="AK352" s="244"/>
      <c r="AL352" s="245"/>
      <c r="AM352" s="244"/>
      <c r="AN352" s="244"/>
      <c r="AO352" s="87"/>
      <c r="AP352" s="87"/>
      <c r="AQ352" s="87"/>
      <c r="AR352" s="87"/>
      <c r="AS352" s="87"/>
      <c r="AT352" s="87"/>
      <c r="AU352" s="87"/>
      <c r="AV352" s="87"/>
      <c r="AW352" s="87"/>
      <c r="AX352" s="87"/>
    </row>
    <row r="353">
      <c r="A353" s="9"/>
      <c r="B353" s="87"/>
      <c r="C353" s="87"/>
      <c r="D353" s="87"/>
      <c r="E353" s="9"/>
      <c r="F353" s="87"/>
      <c r="G353" s="87"/>
      <c r="H353" s="87"/>
      <c r="I353" s="9"/>
      <c r="J353" s="87"/>
      <c r="K353" s="87"/>
      <c r="L353" s="87"/>
      <c r="M353" s="9"/>
      <c r="N353" s="87"/>
      <c r="O353" s="87"/>
      <c r="P353" s="87"/>
      <c r="Q353" s="9"/>
      <c r="R353" s="87"/>
      <c r="S353" s="87"/>
      <c r="T353" s="87"/>
      <c r="U353" s="9"/>
      <c r="V353" s="87"/>
      <c r="W353" s="87"/>
      <c r="X353" s="87"/>
      <c r="Y353" s="87"/>
      <c r="Z353" s="87"/>
      <c r="AA353" s="87"/>
      <c r="AB353" s="87"/>
      <c r="AC353" s="243"/>
      <c r="AD353" s="234"/>
      <c r="AE353" s="234"/>
      <c r="AF353" s="234"/>
      <c r="AG353" s="9"/>
      <c r="AH353" s="87"/>
      <c r="AI353" s="87"/>
      <c r="AJ353" s="87"/>
      <c r="AK353" s="244"/>
      <c r="AL353" s="245"/>
      <c r="AM353" s="244"/>
      <c r="AN353" s="244"/>
      <c r="AO353" s="87"/>
      <c r="AP353" s="87"/>
      <c r="AQ353" s="87"/>
      <c r="AR353" s="87"/>
      <c r="AS353" s="87"/>
      <c r="AT353" s="87"/>
      <c r="AU353" s="87"/>
      <c r="AV353" s="87"/>
      <c r="AW353" s="87"/>
      <c r="AX353" s="87"/>
    </row>
    <row r="354">
      <c r="A354" s="9"/>
      <c r="B354" s="87"/>
      <c r="C354" s="87"/>
      <c r="D354" s="87"/>
      <c r="E354" s="9"/>
      <c r="F354" s="87"/>
      <c r="G354" s="87"/>
      <c r="H354" s="87"/>
      <c r="I354" s="9"/>
      <c r="J354" s="87"/>
      <c r="K354" s="87"/>
      <c r="L354" s="87"/>
      <c r="M354" s="9"/>
      <c r="N354" s="87"/>
      <c r="O354" s="87"/>
      <c r="P354" s="87"/>
      <c r="Q354" s="9"/>
      <c r="R354" s="87"/>
      <c r="S354" s="87"/>
      <c r="T354" s="87"/>
      <c r="U354" s="9"/>
      <c r="V354" s="87"/>
      <c r="W354" s="87"/>
      <c r="X354" s="87"/>
      <c r="Y354" s="87"/>
      <c r="Z354" s="87"/>
      <c r="AA354" s="87"/>
      <c r="AB354" s="87"/>
      <c r="AC354" s="243"/>
      <c r="AD354" s="234"/>
      <c r="AE354" s="234"/>
      <c r="AF354" s="234"/>
      <c r="AG354" s="9"/>
      <c r="AH354" s="87"/>
      <c r="AI354" s="87"/>
      <c r="AJ354" s="87"/>
      <c r="AK354" s="244"/>
      <c r="AL354" s="245"/>
      <c r="AM354" s="244"/>
      <c r="AN354" s="244"/>
      <c r="AO354" s="87"/>
      <c r="AP354" s="87"/>
      <c r="AQ354" s="87"/>
      <c r="AR354" s="87"/>
      <c r="AS354" s="87"/>
      <c r="AT354" s="87"/>
      <c r="AU354" s="87"/>
      <c r="AV354" s="87"/>
      <c r="AW354" s="87"/>
      <c r="AX354" s="87"/>
    </row>
    <row r="355">
      <c r="A355" s="9"/>
      <c r="B355" s="87"/>
      <c r="C355" s="87"/>
      <c r="D355" s="87"/>
      <c r="E355" s="9"/>
      <c r="F355" s="87"/>
      <c r="G355" s="87"/>
      <c r="H355" s="87"/>
      <c r="I355" s="9"/>
      <c r="J355" s="87"/>
      <c r="K355" s="87"/>
      <c r="L355" s="87"/>
      <c r="M355" s="9"/>
      <c r="N355" s="87"/>
      <c r="O355" s="87"/>
      <c r="P355" s="87"/>
      <c r="Q355" s="9"/>
      <c r="R355" s="87"/>
      <c r="S355" s="87"/>
      <c r="T355" s="87"/>
      <c r="U355" s="9"/>
      <c r="V355" s="87"/>
      <c r="W355" s="87"/>
      <c r="X355" s="87"/>
      <c r="Y355" s="87"/>
      <c r="Z355" s="87"/>
      <c r="AA355" s="87"/>
      <c r="AB355" s="87"/>
      <c r="AC355" s="243"/>
      <c r="AD355" s="234"/>
      <c r="AE355" s="234"/>
      <c r="AF355" s="234"/>
      <c r="AG355" s="9"/>
      <c r="AH355" s="87"/>
      <c r="AI355" s="87"/>
      <c r="AJ355" s="87"/>
      <c r="AK355" s="244"/>
      <c r="AL355" s="245"/>
      <c r="AM355" s="244"/>
      <c r="AN355" s="244"/>
      <c r="AO355" s="87"/>
      <c r="AP355" s="87"/>
      <c r="AQ355" s="87"/>
      <c r="AR355" s="87"/>
      <c r="AS355" s="87"/>
      <c r="AT355" s="87"/>
      <c r="AU355" s="87"/>
      <c r="AV355" s="87"/>
      <c r="AW355" s="87"/>
      <c r="AX355" s="87"/>
    </row>
    <row r="356">
      <c r="A356" s="9"/>
      <c r="B356" s="87"/>
      <c r="C356" s="87"/>
      <c r="D356" s="87"/>
      <c r="E356" s="9"/>
      <c r="F356" s="87"/>
      <c r="G356" s="87"/>
      <c r="H356" s="87"/>
      <c r="I356" s="9"/>
      <c r="J356" s="87"/>
      <c r="K356" s="87"/>
      <c r="L356" s="87"/>
      <c r="M356" s="9"/>
      <c r="N356" s="87"/>
      <c r="O356" s="87"/>
      <c r="P356" s="87"/>
      <c r="Q356" s="9"/>
      <c r="R356" s="87"/>
      <c r="S356" s="87"/>
      <c r="T356" s="87"/>
      <c r="U356" s="9"/>
      <c r="V356" s="87"/>
      <c r="W356" s="87"/>
      <c r="X356" s="87"/>
      <c r="Y356" s="87"/>
      <c r="Z356" s="87"/>
      <c r="AA356" s="87"/>
      <c r="AB356" s="87"/>
      <c r="AC356" s="243"/>
      <c r="AD356" s="234"/>
      <c r="AE356" s="234"/>
      <c r="AF356" s="234"/>
      <c r="AG356" s="9"/>
      <c r="AH356" s="87"/>
      <c r="AI356" s="87"/>
      <c r="AJ356" s="87"/>
      <c r="AK356" s="244"/>
      <c r="AL356" s="245"/>
      <c r="AM356" s="244"/>
      <c r="AN356" s="244"/>
      <c r="AO356" s="87"/>
      <c r="AP356" s="87"/>
      <c r="AQ356" s="87"/>
      <c r="AR356" s="87"/>
      <c r="AS356" s="87"/>
      <c r="AT356" s="87"/>
      <c r="AU356" s="87"/>
      <c r="AV356" s="87"/>
      <c r="AW356" s="87"/>
      <c r="AX356" s="87"/>
    </row>
    <row r="357">
      <c r="A357" s="9"/>
      <c r="B357" s="87"/>
      <c r="C357" s="87"/>
      <c r="D357" s="87"/>
      <c r="E357" s="9"/>
      <c r="F357" s="87"/>
      <c r="G357" s="87"/>
      <c r="H357" s="87"/>
      <c r="I357" s="9"/>
      <c r="J357" s="87"/>
      <c r="K357" s="87"/>
      <c r="L357" s="87"/>
      <c r="M357" s="9"/>
      <c r="N357" s="87"/>
      <c r="O357" s="87"/>
      <c r="P357" s="87"/>
      <c r="Q357" s="9"/>
      <c r="R357" s="87"/>
      <c r="S357" s="87"/>
      <c r="T357" s="87"/>
      <c r="U357" s="9"/>
      <c r="V357" s="87"/>
      <c r="W357" s="87"/>
      <c r="X357" s="87"/>
      <c r="Y357" s="87"/>
      <c r="Z357" s="87"/>
      <c r="AA357" s="87"/>
      <c r="AB357" s="87"/>
      <c r="AC357" s="243"/>
      <c r="AD357" s="234"/>
      <c r="AE357" s="234"/>
      <c r="AF357" s="234"/>
      <c r="AG357" s="9"/>
      <c r="AH357" s="87"/>
      <c r="AI357" s="87"/>
      <c r="AJ357" s="87"/>
      <c r="AK357" s="244"/>
      <c r="AL357" s="245"/>
      <c r="AM357" s="244"/>
      <c r="AN357" s="244"/>
      <c r="AO357" s="87"/>
      <c r="AP357" s="87"/>
      <c r="AQ357" s="87"/>
      <c r="AR357" s="87"/>
      <c r="AS357" s="87"/>
      <c r="AT357" s="87"/>
      <c r="AU357" s="87"/>
      <c r="AV357" s="87"/>
      <c r="AW357" s="87"/>
      <c r="AX357" s="87"/>
    </row>
    <row r="358">
      <c r="A358" s="9"/>
      <c r="B358" s="87"/>
      <c r="C358" s="87"/>
      <c r="D358" s="87"/>
      <c r="E358" s="9"/>
      <c r="F358" s="87"/>
      <c r="G358" s="87"/>
      <c r="H358" s="87"/>
      <c r="I358" s="9"/>
      <c r="J358" s="87"/>
      <c r="K358" s="87"/>
      <c r="L358" s="87"/>
      <c r="M358" s="9"/>
      <c r="N358" s="87"/>
      <c r="O358" s="87"/>
      <c r="P358" s="87"/>
      <c r="Q358" s="9"/>
      <c r="R358" s="87"/>
      <c r="S358" s="87"/>
      <c r="T358" s="87"/>
      <c r="U358" s="9"/>
      <c r="V358" s="87"/>
      <c r="W358" s="87"/>
      <c r="X358" s="87"/>
      <c r="Y358" s="87"/>
      <c r="Z358" s="87"/>
      <c r="AA358" s="87"/>
      <c r="AB358" s="87"/>
      <c r="AC358" s="243"/>
      <c r="AD358" s="234"/>
      <c r="AE358" s="234"/>
      <c r="AF358" s="234"/>
      <c r="AG358" s="9"/>
      <c r="AH358" s="87"/>
      <c r="AI358" s="87"/>
      <c r="AJ358" s="87"/>
      <c r="AK358" s="244"/>
      <c r="AL358" s="245"/>
      <c r="AM358" s="244"/>
      <c r="AN358" s="244"/>
      <c r="AO358" s="87"/>
      <c r="AP358" s="87"/>
      <c r="AQ358" s="87"/>
      <c r="AR358" s="87"/>
      <c r="AS358" s="87"/>
      <c r="AT358" s="87"/>
      <c r="AU358" s="87"/>
      <c r="AV358" s="87"/>
      <c r="AW358" s="87"/>
      <c r="AX358" s="87"/>
    </row>
    <row r="359">
      <c r="A359" s="9"/>
      <c r="B359" s="87"/>
      <c r="C359" s="87"/>
      <c r="D359" s="87"/>
      <c r="E359" s="9"/>
      <c r="F359" s="87"/>
      <c r="G359" s="87"/>
      <c r="H359" s="87"/>
      <c r="I359" s="9"/>
      <c r="J359" s="87"/>
      <c r="K359" s="87"/>
      <c r="L359" s="87"/>
      <c r="M359" s="9"/>
      <c r="N359" s="87"/>
      <c r="O359" s="87"/>
      <c r="P359" s="87"/>
      <c r="Q359" s="9"/>
      <c r="R359" s="87"/>
      <c r="S359" s="87"/>
      <c r="T359" s="87"/>
      <c r="U359" s="9"/>
      <c r="V359" s="87"/>
      <c r="W359" s="87"/>
      <c r="X359" s="87"/>
      <c r="Y359" s="87"/>
      <c r="Z359" s="87"/>
      <c r="AA359" s="87"/>
      <c r="AB359" s="87"/>
      <c r="AC359" s="243"/>
      <c r="AD359" s="234"/>
      <c r="AE359" s="234"/>
      <c r="AF359" s="234"/>
      <c r="AG359" s="9"/>
      <c r="AH359" s="87"/>
      <c r="AI359" s="87"/>
      <c r="AJ359" s="87"/>
      <c r="AK359" s="244"/>
      <c r="AL359" s="245"/>
      <c r="AM359" s="244"/>
      <c r="AN359" s="244"/>
      <c r="AO359" s="87"/>
      <c r="AP359" s="87"/>
      <c r="AQ359" s="87"/>
      <c r="AR359" s="87"/>
      <c r="AS359" s="87"/>
      <c r="AT359" s="87"/>
      <c r="AU359" s="87"/>
      <c r="AV359" s="87"/>
      <c r="AW359" s="87"/>
      <c r="AX359" s="87"/>
    </row>
    <row r="360">
      <c r="A360" s="9"/>
      <c r="B360" s="87"/>
      <c r="C360" s="87"/>
      <c r="D360" s="87"/>
      <c r="E360" s="9"/>
      <c r="F360" s="87"/>
      <c r="G360" s="87"/>
      <c r="H360" s="87"/>
      <c r="I360" s="9"/>
      <c r="J360" s="87"/>
      <c r="K360" s="87"/>
      <c r="L360" s="87"/>
      <c r="M360" s="9"/>
      <c r="N360" s="87"/>
      <c r="O360" s="87"/>
      <c r="P360" s="87"/>
      <c r="Q360" s="9"/>
      <c r="R360" s="87"/>
      <c r="S360" s="87"/>
      <c r="T360" s="87"/>
      <c r="U360" s="9"/>
      <c r="V360" s="87"/>
      <c r="W360" s="87"/>
      <c r="X360" s="87"/>
      <c r="Y360" s="87"/>
      <c r="Z360" s="87"/>
      <c r="AA360" s="87"/>
      <c r="AB360" s="87"/>
      <c r="AC360" s="243"/>
      <c r="AD360" s="234"/>
      <c r="AE360" s="234"/>
      <c r="AF360" s="234"/>
      <c r="AG360" s="9"/>
      <c r="AH360" s="87"/>
      <c r="AI360" s="87"/>
      <c r="AJ360" s="87"/>
      <c r="AK360" s="244"/>
      <c r="AL360" s="245"/>
      <c r="AM360" s="244"/>
      <c r="AN360" s="244"/>
      <c r="AO360" s="87"/>
      <c r="AP360" s="87"/>
      <c r="AQ360" s="87"/>
      <c r="AR360" s="87"/>
      <c r="AS360" s="87"/>
      <c r="AT360" s="87"/>
      <c r="AU360" s="87"/>
      <c r="AV360" s="87"/>
      <c r="AW360" s="87"/>
      <c r="AX360" s="87"/>
    </row>
    <row r="361">
      <c r="A361" s="9"/>
      <c r="B361" s="87"/>
      <c r="C361" s="87"/>
      <c r="D361" s="87"/>
      <c r="E361" s="9"/>
      <c r="F361" s="87"/>
      <c r="G361" s="87"/>
      <c r="H361" s="87"/>
      <c r="I361" s="9"/>
      <c r="J361" s="87"/>
      <c r="K361" s="87"/>
      <c r="L361" s="87"/>
      <c r="M361" s="9"/>
      <c r="N361" s="87"/>
      <c r="O361" s="87"/>
      <c r="P361" s="87"/>
      <c r="Q361" s="9"/>
      <c r="R361" s="87"/>
      <c r="S361" s="87"/>
      <c r="T361" s="87"/>
      <c r="U361" s="9"/>
      <c r="V361" s="87"/>
      <c r="W361" s="87"/>
      <c r="X361" s="87"/>
      <c r="Y361" s="87"/>
      <c r="Z361" s="87"/>
      <c r="AA361" s="87"/>
      <c r="AB361" s="87"/>
      <c r="AC361" s="243"/>
      <c r="AD361" s="234"/>
      <c r="AE361" s="234"/>
      <c r="AF361" s="234"/>
      <c r="AG361" s="9"/>
      <c r="AH361" s="87"/>
      <c r="AI361" s="87"/>
      <c r="AJ361" s="87"/>
      <c r="AK361" s="244"/>
      <c r="AL361" s="245"/>
      <c r="AM361" s="244"/>
      <c r="AN361" s="244"/>
      <c r="AO361" s="87"/>
      <c r="AP361" s="87"/>
      <c r="AQ361" s="87"/>
      <c r="AR361" s="87"/>
      <c r="AS361" s="87"/>
      <c r="AT361" s="87"/>
      <c r="AU361" s="87"/>
      <c r="AV361" s="87"/>
      <c r="AW361" s="87"/>
      <c r="AX361" s="87"/>
    </row>
    <row r="362">
      <c r="A362" s="9"/>
      <c r="B362" s="87"/>
      <c r="C362" s="87"/>
      <c r="D362" s="87"/>
      <c r="E362" s="9"/>
      <c r="F362" s="87"/>
      <c r="G362" s="87"/>
      <c r="H362" s="87"/>
      <c r="I362" s="9"/>
      <c r="J362" s="87"/>
      <c r="K362" s="87"/>
      <c r="L362" s="87"/>
      <c r="M362" s="9"/>
      <c r="N362" s="87"/>
      <c r="O362" s="87"/>
      <c r="P362" s="87"/>
      <c r="Q362" s="9"/>
      <c r="R362" s="87"/>
      <c r="S362" s="87"/>
      <c r="T362" s="87"/>
      <c r="U362" s="9"/>
      <c r="V362" s="87"/>
      <c r="W362" s="87"/>
      <c r="X362" s="87"/>
      <c r="Y362" s="87"/>
      <c r="Z362" s="87"/>
      <c r="AA362" s="87"/>
      <c r="AB362" s="87"/>
      <c r="AC362" s="243"/>
      <c r="AD362" s="234"/>
      <c r="AE362" s="234"/>
      <c r="AF362" s="234"/>
      <c r="AG362" s="9"/>
      <c r="AH362" s="87"/>
      <c r="AI362" s="87"/>
      <c r="AJ362" s="87"/>
      <c r="AK362" s="244"/>
      <c r="AL362" s="245"/>
      <c r="AM362" s="244"/>
      <c r="AN362" s="244"/>
      <c r="AO362" s="87"/>
      <c r="AP362" s="87"/>
      <c r="AQ362" s="87"/>
      <c r="AR362" s="87"/>
      <c r="AS362" s="87"/>
      <c r="AT362" s="87"/>
      <c r="AU362" s="87"/>
      <c r="AV362" s="87"/>
      <c r="AW362" s="87"/>
      <c r="AX362" s="87"/>
    </row>
    <row r="363">
      <c r="A363" s="9"/>
      <c r="B363" s="87"/>
      <c r="C363" s="87"/>
      <c r="D363" s="87"/>
      <c r="E363" s="9"/>
      <c r="F363" s="87"/>
      <c r="G363" s="87"/>
      <c r="H363" s="87"/>
      <c r="I363" s="9"/>
      <c r="J363" s="87"/>
      <c r="K363" s="87"/>
      <c r="L363" s="87"/>
      <c r="M363" s="9"/>
      <c r="N363" s="87"/>
      <c r="O363" s="87"/>
      <c r="P363" s="87"/>
      <c r="Q363" s="9"/>
      <c r="R363" s="87"/>
      <c r="S363" s="87"/>
      <c r="T363" s="87"/>
      <c r="U363" s="9"/>
      <c r="V363" s="87"/>
      <c r="W363" s="87"/>
      <c r="X363" s="87"/>
      <c r="Y363" s="87"/>
      <c r="Z363" s="87"/>
      <c r="AA363" s="87"/>
      <c r="AB363" s="87"/>
      <c r="AC363" s="243"/>
      <c r="AD363" s="234"/>
      <c r="AE363" s="234"/>
      <c r="AF363" s="234"/>
      <c r="AG363" s="9"/>
      <c r="AH363" s="87"/>
      <c r="AI363" s="87"/>
      <c r="AJ363" s="87"/>
      <c r="AK363" s="244"/>
      <c r="AL363" s="245"/>
      <c r="AM363" s="244"/>
      <c r="AN363" s="244"/>
      <c r="AO363" s="87"/>
      <c r="AP363" s="87"/>
      <c r="AQ363" s="87"/>
      <c r="AR363" s="87"/>
      <c r="AS363" s="87"/>
      <c r="AT363" s="87"/>
      <c r="AU363" s="87"/>
      <c r="AV363" s="87"/>
      <c r="AW363" s="87"/>
      <c r="AX363" s="87"/>
    </row>
    <row r="364">
      <c r="A364" s="9"/>
      <c r="B364" s="87"/>
      <c r="C364" s="87"/>
      <c r="D364" s="87"/>
      <c r="E364" s="9"/>
      <c r="F364" s="87"/>
      <c r="G364" s="87"/>
      <c r="H364" s="87"/>
      <c r="I364" s="9"/>
      <c r="J364" s="87"/>
      <c r="K364" s="87"/>
      <c r="L364" s="87"/>
      <c r="M364" s="9"/>
      <c r="N364" s="87"/>
      <c r="O364" s="87"/>
      <c r="P364" s="87"/>
      <c r="Q364" s="9"/>
      <c r="R364" s="87"/>
      <c r="S364" s="87"/>
      <c r="T364" s="87"/>
      <c r="U364" s="9"/>
      <c r="V364" s="87"/>
      <c r="W364" s="87"/>
      <c r="X364" s="87"/>
      <c r="Y364" s="87"/>
      <c r="Z364" s="87"/>
      <c r="AA364" s="87"/>
      <c r="AB364" s="87"/>
      <c r="AC364" s="243"/>
      <c r="AD364" s="234"/>
      <c r="AE364" s="234"/>
      <c r="AF364" s="234"/>
      <c r="AG364" s="9"/>
      <c r="AH364" s="87"/>
      <c r="AI364" s="87"/>
      <c r="AJ364" s="87"/>
      <c r="AK364" s="244"/>
      <c r="AL364" s="245"/>
      <c r="AM364" s="244"/>
      <c r="AN364" s="244"/>
      <c r="AO364" s="87"/>
      <c r="AP364" s="87"/>
      <c r="AQ364" s="87"/>
      <c r="AR364" s="87"/>
      <c r="AS364" s="87"/>
      <c r="AT364" s="87"/>
      <c r="AU364" s="87"/>
      <c r="AV364" s="87"/>
      <c r="AW364" s="87"/>
      <c r="AX364" s="87"/>
    </row>
    <row r="365">
      <c r="A365" s="9"/>
      <c r="B365" s="87"/>
      <c r="C365" s="87"/>
      <c r="D365" s="87"/>
      <c r="E365" s="9"/>
      <c r="F365" s="87"/>
      <c r="G365" s="87"/>
      <c r="H365" s="87"/>
      <c r="I365" s="9"/>
      <c r="J365" s="87"/>
      <c r="K365" s="87"/>
      <c r="L365" s="87"/>
      <c r="M365" s="9"/>
      <c r="N365" s="87"/>
      <c r="O365" s="87"/>
      <c r="P365" s="87"/>
      <c r="Q365" s="9"/>
      <c r="R365" s="87"/>
      <c r="S365" s="87"/>
      <c r="T365" s="87"/>
      <c r="U365" s="9"/>
      <c r="V365" s="87"/>
      <c r="W365" s="87"/>
      <c r="X365" s="87"/>
      <c r="Y365" s="87"/>
      <c r="Z365" s="87"/>
      <c r="AA365" s="87"/>
      <c r="AB365" s="87"/>
      <c r="AC365" s="243"/>
      <c r="AD365" s="234"/>
      <c r="AE365" s="234"/>
      <c r="AF365" s="234"/>
      <c r="AG365" s="9"/>
      <c r="AH365" s="87"/>
      <c r="AI365" s="87"/>
      <c r="AJ365" s="87"/>
      <c r="AK365" s="244"/>
      <c r="AL365" s="245"/>
      <c r="AM365" s="244"/>
      <c r="AN365" s="244"/>
      <c r="AO365" s="87"/>
      <c r="AP365" s="87"/>
      <c r="AQ365" s="87"/>
      <c r="AR365" s="87"/>
      <c r="AS365" s="87"/>
      <c r="AT365" s="87"/>
      <c r="AU365" s="87"/>
      <c r="AV365" s="87"/>
      <c r="AW365" s="87"/>
      <c r="AX365" s="87"/>
    </row>
    <row r="366">
      <c r="A366" s="9"/>
      <c r="B366" s="87"/>
      <c r="C366" s="87"/>
      <c r="D366" s="87"/>
      <c r="E366" s="9"/>
      <c r="F366" s="87"/>
      <c r="G366" s="87"/>
      <c r="H366" s="87"/>
      <c r="I366" s="9"/>
      <c r="J366" s="87"/>
      <c r="K366" s="87"/>
      <c r="L366" s="87"/>
      <c r="M366" s="9"/>
      <c r="N366" s="87"/>
      <c r="O366" s="87"/>
      <c r="P366" s="87"/>
      <c r="Q366" s="9"/>
      <c r="R366" s="87"/>
      <c r="S366" s="87"/>
      <c r="T366" s="87"/>
      <c r="U366" s="9"/>
      <c r="V366" s="87"/>
      <c r="W366" s="87"/>
      <c r="X366" s="87"/>
      <c r="Y366" s="87"/>
      <c r="Z366" s="87"/>
      <c r="AA366" s="87"/>
      <c r="AB366" s="87"/>
      <c r="AC366" s="243"/>
      <c r="AD366" s="234"/>
      <c r="AE366" s="234"/>
      <c r="AF366" s="234"/>
      <c r="AG366" s="9"/>
      <c r="AH366" s="87"/>
      <c r="AI366" s="87"/>
      <c r="AJ366" s="87"/>
      <c r="AK366" s="244"/>
      <c r="AL366" s="245"/>
      <c r="AM366" s="244"/>
      <c r="AN366" s="244"/>
      <c r="AO366" s="87"/>
      <c r="AP366" s="87"/>
      <c r="AQ366" s="87"/>
      <c r="AR366" s="87"/>
      <c r="AS366" s="87"/>
      <c r="AT366" s="87"/>
      <c r="AU366" s="87"/>
      <c r="AV366" s="87"/>
      <c r="AW366" s="87"/>
      <c r="AX366" s="87"/>
    </row>
    <row r="367">
      <c r="A367" s="9"/>
      <c r="B367" s="87"/>
      <c r="C367" s="87"/>
      <c r="D367" s="87"/>
      <c r="E367" s="9"/>
      <c r="F367" s="87"/>
      <c r="G367" s="87"/>
      <c r="H367" s="87"/>
      <c r="I367" s="9"/>
      <c r="J367" s="87"/>
      <c r="K367" s="87"/>
      <c r="L367" s="87"/>
      <c r="M367" s="9"/>
      <c r="N367" s="87"/>
      <c r="O367" s="87"/>
      <c r="P367" s="87"/>
      <c r="Q367" s="9"/>
      <c r="R367" s="87"/>
      <c r="S367" s="87"/>
      <c r="T367" s="87"/>
      <c r="U367" s="9"/>
      <c r="V367" s="87"/>
      <c r="W367" s="87"/>
      <c r="X367" s="87"/>
      <c r="Y367" s="87"/>
      <c r="Z367" s="87"/>
      <c r="AA367" s="87"/>
      <c r="AB367" s="87"/>
      <c r="AC367" s="243"/>
      <c r="AD367" s="234"/>
      <c r="AE367" s="234"/>
      <c r="AF367" s="234"/>
      <c r="AG367" s="9"/>
      <c r="AH367" s="87"/>
      <c r="AI367" s="87"/>
      <c r="AJ367" s="87"/>
      <c r="AK367" s="244"/>
      <c r="AL367" s="245"/>
      <c r="AM367" s="244"/>
      <c r="AN367" s="244"/>
      <c r="AO367" s="87"/>
      <c r="AP367" s="87"/>
      <c r="AQ367" s="87"/>
      <c r="AR367" s="87"/>
      <c r="AS367" s="87"/>
      <c r="AT367" s="87"/>
      <c r="AU367" s="87"/>
      <c r="AV367" s="87"/>
      <c r="AW367" s="87"/>
      <c r="AX367" s="87"/>
    </row>
    <row r="368">
      <c r="A368" s="9"/>
      <c r="B368" s="87"/>
      <c r="C368" s="87"/>
      <c r="D368" s="87"/>
      <c r="E368" s="9"/>
      <c r="F368" s="87"/>
      <c r="G368" s="87"/>
      <c r="H368" s="87"/>
      <c r="I368" s="9"/>
      <c r="J368" s="87"/>
      <c r="K368" s="87"/>
      <c r="L368" s="87"/>
      <c r="M368" s="9"/>
      <c r="N368" s="87"/>
      <c r="O368" s="87"/>
      <c r="P368" s="87"/>
      <c r="Q368" s="9"/>
      <c r="R368" s="87"/>
      <c r="S368" s="87"/>
      <c r="T368" s="87"/>
      <c r="U368" s="9"/>
      <c r="V368" s="87"/>
      <c r="W368" s="87"/>
      <c r="X368" s="87"/>
      <c r="Y368" s="87"/>
      <c r="Z368" s="87"/>
      <c r="AA368" s="87"/>
      <c r="AB368" s="87"/>
      <c r="AC368" s="243"/>
      <c r="AD368" s="234"/>
      <c r="AE368" s="234"/>
      <c r="AF368" s="234"/>
      <c r="AG368" s="9"/>
      <c r="AH368" s="87"/>
      <c r="AI368" s="87"/>
      <c r="AJ368" s="87"/>
      <c r="AK368" s="244"/>
      <c r="AL368" s="245"/>
      <c r="AM368" s="244"/>
      <c r="AN368" s="244"/>
      <c r="AO368" s="87"/>
      <c r="AP368" s="87"/>
      <c r="AQ368" s="87"/>
      <c r="AR368" s="87"/>
      <c r="AS368" s="87"/>
      <c r="AT368" s="87"/>
      <c r="AU368" s="87"/>
      <c r="AV368" s="87"/>
      <c r="AW368" s="87"/>
      <c r="AX368" s="87"/>
    </row>
    <row r="369">
      <c r="A369" s="9"/>
      <c r="B369" s="87"/>
      <c r="C369" s="87"/>
      <c r="D369" s="87"/>
      <c r="E369" s="9"/>
      <c r="F369" s="87"/>
      <c r="G369" s="87"/>
      <c r="H369" s="87"/>
      <c r="I369" s="9"/>
      <c r="J369" s="87"/>
      <c r="K369" s="87"/>
      <c r="L369" s="87"/>
      <c r="M369" s="9"/>
      <c r="N369" s="87"/>
      <c r="O369" s="87"/>
      <c r="P369" s="87"/>
      <c r="Q369" s="9"/>
      <c r="R369" s="87"/>
      <c r="S369" s="87"/>
      <c r="T369" s="87"/>
      <c r="U369" s="9"/>
      <c r="V369" s="87"/>
      <c r="W369" s="87"/>
      <c r="X369" s="87"/>
      <c r="Y369" s="87"/>
      <c r="Z369" s="87"/>
      <c r="AA369" s="87"/>
      <c r="AB369" s="87"/>
      <c r="AC369" s="243"/>
      <c r="AD369" s="234"/>
      <c r="AE369" s="234"/>
      <c r="AF369" s="234"/>
      <c r="AG369" s="9"/>
      <c r="AH369" s="87"/>
      <c r="AI369" s="87"/>
      <c r="AJ369" s="87"/>
      <c r="AK369" s="244"/>
      <c r="AL369" s="245"/>
      <c r="AM369" s="244"/>
      <c r="AN369" s="244"/>
      <c r="AO369" s="87"/>
      <c r="AP369" s="87"/>
      <c r="AQ369" s="87"/>
      <c r="AR369" s="87"/>
      <c r="AS369" s="87"/>
      <c r="AT369" s="87"/>
      <c r="AU369" s="87"/>
      <c r="AV369" s="87"/>
      <c r="AW369" s="87"/>
      <c r="AX369" s="87"/>
    </row>
    <row r="370">
      <c r="A370" s="9"/>
      <c r="B370" s="87"/>
      <c r="C370" s="87"/>
      <c r="D370" s="87"/>
      <c r="E370" s="9"/>
      <c r="F370" s="87"/>
      <c r="G370" s="87"/>
      <c r="H370" s="87"/>
      <c r="I370" s="9"/>
      <c r="J370" s="87"/>
      <c r="K370" s="87"/>
      <c r="L370" s="87"/>
      <c r="M370" s="9"/>
      <c r="N370" s="87"/>
      <c r="O370" s="87"/>
      <c r="P370" s="87"/>
      <c r="Q370" s="9"/>
      <c r="R370" s="87"/>
      <c r="S370" s="87"/>
      <c r="T370" s="87"/>
      <c r="U370" s="9"/>
      <c r="V370" s="87"/>
      <c r="W370" s="87"/>
      <c r="X370" s="87"/>
      <c r="Y370" s="87"/>
      <c r="Z370" s="87"/>
      <c r="AA370" s="87"/>
      <c r="AB370" s="87"/>
      <c r="AC370" s="243"/>
      <c r="AD370" s="234"/>
      <c r="AE370" s="234"/>
      <c r="AF370" s="234"/>
      <c r="AG370" s="9"/>
      <c r="AH370" s="87"/>
      <c r="AI370" s="87"/>
      <c r="AJ370" s="87"/>
      <c r="AK370" s="244"/>
      <c r="AL370" s="245"/>
      <c r="AM370" s="244"/>
      <c r="AN370" s="244"/>
      <c r="AO370" s="87"/>
      <c r="AP370" s="87"/>
      <c r="AQ370" s="87"/>
      <c r="AR370" s="87"/>
      <c r="AS370" s="87"/>
      <c r="AT370" s="87"/>
      <c r="AU370" s="87"/>
      <c r="AV370" s="87"/>
      <c r="AW370" s="87"/>
      <c r="AX370" s="87"/>
    </row>
    <row r="371">
      <c r="A371" s="9"/>
      <c r="B371" s="87"/>
      <c r="C371" s="87"/>
      <c r="D371" s="87"/>
      <c r="E371" s="9"/>
      <c r="F371" s="87"/>
      <c r="G371" s="87"/>
      <c r="H371" s="87"/>
      <c r="I371" s="9"/>
      <c r="J371" s="87"/>
      <c r="K371" s="87"/>
      <c r="L371" s="87"/>
      <c r="M371" s="9"/>
      <c r="N371" s="87"/>
      <c r="O371" s="87"/>
      <c r="P371" s="87"/>
      <c r="Q371" s="9"/>
      <c r="R371" s="87"/>
      <c r="S371" s="87"/>
      <c r="T371" s="87"/>
      <c r="U371" s="9"/>
      <c r="V371" s="87"/>
      <c r="W371" s="87"/>
      <c r="X371" s="87"/>
      <c r="Y371" s="87"/>
      <c r="Z371" s="87"/>
      <c r="AA371" s="87"/>
      <c r="AB371" s="87"/>
      <c r="AC371" s="243"/>
      <c r="AD371" s="234"/>
      <c r="AE371" s="234"/>
      <c r="AF371" s="234"/>
      <c r="AG371" s="9"/>
      <c r="AH371" s="87"/>
      <c r="AI371" s="87"/>
      <c r="AJ371" s="87"/>
      <c r="AK371" s="244"/>
      <c r="AL371" s="245"/>
      <c r="AM371" s="244"/>
      <c r="AN371" s="244"/>
      <c r="AO371" s="87"/>
      <c r="AP371" s="87"/>
      <c r="AQ371" s="87"/>
      <c r="AR371" s="87"/>
      <c r="AS371" s="87"/>
      <c r="AT371" s="87"/>
      <c r="AU371" s="87"/>
      <c r="AV371" s="87"/>
      <c r="AW371" s="87"/>
      <c r="AX371" s="87"/>
    </row>
    <row r="372">
      <c r="A372" s="9"/>
      <c r="B372" s="87"/>
      <c r="C372" s="87"/>
      <c r="D372" s="87"/>
      <c r="E372" s="9"/>
      <c r="F372" s="87"/>
      <c r="G372" s="87"/>
      <c r="H372" s="87"/>
      <c r="I372" s="9"/>
      <c r="J372" s="87"/>
      <c r="K372" s="87"/>
      <c r="L372" s="87"/>
      <c r="M372" s="9"/>
      <c r="N372" s="87"/>
      <c r="O372" s="87"/>
      <c r="P372" s="87"/>
      <c r="Q372" s="9"/>
      <c r="R372" s="87"/>
      <c r="S372" s="87"/>
      <c r="T372" s="87"/>
      <c r="U372" s="9"/>
      <c r="V372" s="87"/>
      <c r="W372" s="87"/>
      <c r="X372" s="87"/>
      <c r="Y372" s="87"/>
      <c r="Z372" s="87"/>
      <c r="AA372" s="87"/>
      <c r="AB372" s="87"/>
      <c r="AC372" s="243"/>
      <c r="AD372" s="234"/>
      <c r="AE372" s="234"/>
      <c r="AF372" s="234"/>
      <c r="AG372" s="9"/>
      <c r="AH372" s="87"/>
      <c r="AI372" s="87"/>
      <c r="AJ372" s="87"/>
      <c r="AK372" s="244"/>
      <c r="AL372" s="245"/>
      <c r="AM372" s="244"/>
      <c r="AN372" s="244"/>
      <c r="AO372" s="87"/>
      <c r="AP372" s="87"/>
      <c r="AQ372" s="87"/>
      <c r="AR372" s="87"/>
      <c r="AS372" s="87"/>
      <c r="AT372" s="87"/>
      <c r="AU372" s="87"/>
      <c r="AV372" s="87"/>
      <c r="AW372" s="87"/>
      <c r="AX372" s="87"/>
    </row>
    <row r="373">
      <c r="A373" s="9"/>
      <c r="B373" s="87"/>
      <c r="C373" s="87"/>
      <c r="D373" s="87"/>
      <c r="E373" s="9"/>
      <c r="F373" s="87"/>
      <c r="G373" s="87"/>
      <c r="H373" s="87"/>
      <c r="I373" s="9"/>
      <c r="J373" s="87"/>
      <c r="K373" s="87"/>
      <c r="L373" s="87"/>
      <c r="M373" s="9"/>
      <c r="N373" s="87"/>
      <c r="O373" s="87"/>
      <c r="P373" s="87"/>
      <c r="Q373" s="9"/>
      <c r="R373" s="87"/>
      <c r="S373" s="87"/>
      <c r="T373" s="87"/>
      <c r="U373" s="9"/>
      <c r="V373" s="87"/>
      <c r="W373" s="87"/>
      <c r="X373" s="87"/>
      <c r="Y373" s="87"/>
      <c r="Z373" s="87"/>
      <c r="AA373" s="87"/>
      <c r="AB373" s="87"/>
      <c r="AC373" s="243"/>
      <c r="AD373" s="234"/>
      <c r="AE373" s="234"/>
      <c r="AF373" s="234"/>
      <c r="AG373" s="9"/>
      <c r="AH373" s="87"/>
      <c r="AI373" s="87"/>
      <c r="AJ373" s="87"/>
      <c r="AK373" s="244"/>
      <c r="AL373" s="245"/>
      <c r="AM373" s="244"/>
      <c r="AN373" s="244"/>
      <c r="AO373" s="87"/>
      <c r="AP373" s="87"/>
      <c r="AQ373" s="87"/>
      <c r="AR373" s="87"/>
      <c r="AS373" s="87"/>
      <c r="AT373" s="87"/>
      <c r="AU373" s="87"/>
      <c r="AV373" s="87"/>
      <c r="AW373" s="87"/>
      <c r="AX373" s="87"/>
    </row>
    <row r="374">
      <c r="A374" s="9"/>
      <c r="B374" s="87"/>
      <c r="C374" s="87"/>
      <c r="D374" s="87"/>
      <c r="E374" s="9"/>
      <c r="F374" s="87"/>
      <c r="G374" s="87"/>
      <c r="H374" s="87"/>
      <c r="I374" s="9"/>
      <c r="J374" s="87"/>
      <c r="K374" s="87"/>
      <c r="L374" s="87"/>
      <c r="M374" s="9"/>
      <c r="N374" s="87"/>
      <c r="O374" s="87"/>
      <c r="P374" s="87"/>
      <c r="Q374" s="9"/>
      <c r="R374" s="87"/>
      <c r="S374" s="87"/>
      <c r="T374" s="87"/>
      <c r="U374" s="9"/>
      <c r="V374" s="87"/>
      <c r="W374" s="87"/>
      <c r="X374" s="87"/>
      <c r="Y374" s="87"/>
      <c r="Z374" s="87"/>
      <c r="AA374" s="87"/>
      <c r="AB374" s="87"/>
      <c r="AC374" s="243"/>
      <c r="AD374" s="234"/>
      <c r="AE374" s="234"/>
      <c r="AF374" s="234"/>
      <c r="AG374" s="9"/>
      <c r="AH374" s="87"/>
      <c r="AI374" s="87"/>
      <c r="AJ374" s="87"/>
      <c r="AK374" s="244"/>
      <c r="AL374" s="245"/>
      <c r="AM374" s="244"/>
      <c r="AN374" s="244"/>
      <c r="AO374" s="87"/>
      <c r="AP374" s="87"/>
      <c r="AQ374" s="87"/>
      <c r="AR374" s="87"/>
      <c r="AS374" s="87"/>
      <c r="AT374" s="87"/>
      <c r="AU374" s="87"/>
      <c r="AV374" s="87"/>
      <c r="AW374" s="87"/>
      <c r="AX374" s="87"/>
    </row>
    <row r="375">
      <c r="A375" s="9"/>
      <c r="B375" s="87"/>
      <c r="C375" s="87"/>
      <c r="D375" s="87"/>
      <c r="E375" s="9"/>
      <c r="F375" s="87"/>
      <c r="G375" s="87"/>
      <c r="H375" s="87"/>
      <c r="I375" s="9"/>
      <c r="J375" s="87"/>
      <c r="K375" s="87"/>
      <c r="L375" s="87"/>
      <c r="M375" s="9"/>
      <c r="N375" s="87"/>
      <c r="O375" s="87"/>
      <c r="P375" s="87"/>
      <c r="Q375" s="9"/>
      <c r="R375" s="87"/>
      <c r="S375" s="87"/>
      <c r="T375" s="87"/>
      <c r="U375" s="9"/>
      <c r="V375" s="87"/>
      <c r="W375" s="87"/>
      <c r="X375" s="87"/>
      <c r="Y375" s="87"/>
      <c r="Z375" s="87"/>
      <c r="AA375" s="87"/>
      <c r="AB375" s="87"/>
      <c r="AC375" s="243"/>
      <c r="AD375" s="234"/>
      <c r="AE375" s="234"/>
      <c r="AF375" s="234"/>
      <c r="AG375" s="9"/>
      <c r="AH375" s="87"/>
      <c r="AI375" s="87"/>
      <c r="AJ375" s="87"/>
      <c r="AK375" s="244"/>
      <c r="AL375" s="245"/>
      <c r="AM375" s="244"/>
      <c r="AN375" s="244"/>
      <c r="AO375" s="87"/>
      <c r="AP375" s="87"/>
      <c r="AQ375" s="87"/>
      <c r="AR375" s="87"/>
      <c r="AS375" s="87"/>
      <c r="AT375" s="87"/>
      <c r="AU375" s="87"/>
      <c r="AV375" s="87"/>
      <c r="AW375" s="87"/>
      <c r="AX375" s="87"/>
    </row>
    <row r="376">
      <c r="A376" s="9"/>
      <c r="B376" s="87"/>
      <c r="C376" s="87"/>
      <c r="D376" s="87"/>
      <c r="E376" s="9"/>
      <c r="F376" s="87"/>
      <c r="G376" s="87"/>
      <c r="H376" s="87"/>
      <c r="I376" s="9"/>
      <c r="J376" s="87"/>
      <c r="K376" s="87"/>
      <c r="L376" s="87"/>
      <c r="M376" s="9"/>
      <c r="N376" s="87"/>
      <c r="O376" s="87"/>
      <c r="P376" s="87"/>
      <c r="Q376" s="9"/>
      <c r="R376" s="87"/>
      <c r="S376" s="87"/>
      <c r="T376" s="87"/>
      <c r="U376" s="9"/>
      <c r="V376" s="87"/>
      <c r="W376" s="87"/>
      <c r="X376" s="87"/>
      <c r="Y376" s="87"/>
      <c r="Z376" s="87"/>
      <c r="AA376" s="87"/>
      <c r="AB376" s="87"/>
      <c r="AC376" s="243"/>
      <c r="AD376" s="234"/>
      <c r="AE376" s="234"/>
      <c r="AF376" s="234"/>
      <c r="AG376" s="9"/>
      <c r="AH376" s="87"/>
      <c r="AI376" s="87"/>
      <c r="AJ376" s="87"/>
      <c r="AK376" s="244"/>
      <c r="AL376" s="245"/>
      <c r="AM376" s="244"/>
      <c r="AN376" s="244"/>
      <c r="AO376" s="87"/>
      <c r="AP376" s="87"/>
      <c r="AQ376" s="87"/>
      <c r="AR376" s="87"/>
      <c r="AS376" s="87"/>
      <c r="AT376" s="87"/>
      <c r="AU376" s="87"/>
      <c r="AV376" s="87"/>
      <c r="AW376" s="87"/>
      <c r="AX376" s="87"/>
    </row>
    <row r="377">
      <c r="A377" s="9"/>
      <c r="B377" s="87"/>
      <c r="C377" s="87"/>
      <c r="D377" s="87"/>
      <c r="E377" s="9"/>
      <c r="F377" s="87"/>
      <c r="G377" s="87"/>
      <c r="H377" s="87"/>
      <c r="I377" s="9"/>
      <c r="J377" s="87"/>
      <c r="K377" s="87"/>
      <c r="L377" s="87"/>
      <c r="M377" s="9"/>
      <c r="N377" s="87"/>
      <c r="O377" s="87"/>
      <c r="P377" s="87"/>
      <c r="Q377" s="9"/>
      <c r="R377" s="87"/>
      <c r="S377" s="87"/>
      <c r="T377" s="87"/>
      <c r="U377" s="9"/>
      <c r="V377" s="87"/>
      <c r="W377" s="87"/>
      <c r="X377" s="87"/>
      <c r="Y377" s="87"/>
      <c r="Z377" s="87"/>
      <c r="AA377" s="87"/>
      <c r="AB377" s="87"/>
      <c r="AC377" s="243"/>
      <c r="AD377" s="234"/>
      <c r="AE377" s="234"/>
      <c r="AF377" s="234"/>
      <c r="AG377" s="9"/>
      <c r="AH377" s="87"/>
      <c r="AI377" s="87"/>
      <c r="AJ377" s="87"/>
      <c r="AK377" s="244"/>
      <c r="AL377" s="245"/>
      <c r="AM377" s="244"/>
      <c r="AN377" s="244"/>
      <c r="AO377" s="87"/>
      <c r="AP377" s="87"/>
      <c r="AQ377" s="87"/>
      <c r="AR377" s="87"/>
      <c r="AS377" s="87"/>
      <c r="AT377" s="87"/>
      <c r="AU377" s="87"/>
      <c r="AV377" s="87"/>
      <c r="AW377" s="87"/>
      <c r="AX377" s="87"/>
    </row>
    <row r="378">
      <c r="A378" s="9"/>
      <c r="B378" s="87"/>
      <c r="C378" s="87"/>
      <c r="D378" s="87"/>
      <c r="E378" s="9"/>
      <c r="F378" s="87"/>
      <c r="G378" s="87"/>
      <c r="H378" s="87"/>
      <c r="I378" s="9"/>
      <c r="J378" s="87"/>
      <c r="K378" s="87"/>
      <c r="L378" s="87"/>
      <c r="M378" s="9"/>
      <c r="N378" s="87"/>
      <c r="O378" s="87"/>
      <c r="P378" s="87"/>
      <c r="Q378" s="9"/>
      <c r="R378" s="87"/>
      <c r="S378" s="87"/>
      <c r="T378" s="87"/>
      <c r="U378" s="9"/>
      <c r="V378" s="87"/>
      <c r="W378" s="87"/>
      <c r="X378" s="87"/>
      <c r="Y378" s="87"/>
      <c r="Z378" s="87"/>
      <c r="AA378" s="87"/>
      <c r="AB378" s="87"/>
      <c r="AC378" s="243"/>
      <c r="AD378" s="234"/>
      <c r="AE378" s="234"/>
      <c r="AF378" s="234"/>
      <c r="AG378" s="9"/>
      <c r="AH378" s="87"/>
      <c r="AI378" s="87"/>
      <c r="AJ378" s="87"/>
      <c r="AK378" s="244"/>
      <c r="AL378" s="245"/>
      <c r="AM378" s="244"/>
      <c r="AN378" s="244"/>
      <c r="AO378" s="87"/>
      <c r="AP378" s="87"/>
      <c r="AQ378" s="87"/>
      <c r="AR378" s="87"/>
      <c r="AS378" s="87"/>
      <c r="AT378" s="87"/>
      <c r="AU378" s="87"/>
      <c r="AV378" s="87"/>
      <c r="AW378" s="87"/>
      <c r="AX378" s="87"/>
    </row>
    <row r="379">
      <c r="A379" s="9"/>
      <c r="B379" s="87"/>
      <c r="C379" s="87"/>
      <c r="D379" s="87"/>
      <c r="E379" s="9"/>
      <c r="F379" s="87"/>
      <c r="G379" s="87"/>
      <c r="H379" s="87"/>
      <c r="I379" s="9"/>
      <c r="J379" s="87"/>
      <c r="K379" s="87"/>
      <c r="L379" s="87"/>
      <c r="M379" s="9"/>
      <c r="N379" s="87"/>
      <c r="O379" s="87"/>
      <c r="P379" s="87"/>
      <c r="Q379" s="9"/>
      <c r="R379" s="87"/>
      <c r="S379" s="87"/>
      <c r="T379" s="87"/>
      <c r="U379" s="9"/>
      <c r="V379" s="87"/>
      <c r="W379" s="87"/>
      <c r="X379" s="87"/>
      <c r="Y379" s="87"/>
      <c r="Z379" s="87"/>
      <c r="AA379" s="87"/>
      <c r="AB379" s="87"/>
      <c r="AC379" s="243"/>
      <c r="AD379" s="234"/>
      <c r="AE379" s="234"/>
      <c r="AF379" s="234"/>
      <c r="AG379" s="9"/>
      <c r="AH379" s="87"/>
      <c r="AI379" s="87"/>
      <c r="AJ379" s="87"/>
      <c r="AK379" s="244"/>
      <c r="AL379" s="245"/>
      <c r="AM379" s="244"/>
      <c r="AN379" s="244"/>
      <c r="AO379" s="87"/>
      <c r="AP379" s="87"/>
      <c r="AQ379" s="87"/>
      <c r="AR379" s="87"/>
      <c r="AS379" s="87"/>
      <c r="AT379" s="87"/>
      <c r="AU379" s="87"/>
      <c r="AV379" s="87"/>
      <c r="AW379" s="87"/>
      <c r="AX379" s="87"/>
    </row>
    <row r="380">
      <c r="A380" s="9"/>
      <c r="B380" s="87"/>
      <c r="C380" s="87"/>
      <c r="D380" s="87"/>
      <c r="E380" s="9"/>
      <c r="F380" s="87"/>
      <c r="G380" s="87"/>
      <c r="H380" s="87"/>
      <c r="I380" s="9"/>
      <c r="J380" s="87"/>
      <c r="K380" s="87"/>
      <c r="L380" s="87"/>
      <c r="M380" s="9"/>
      <c r="N380" s="87"/>
      <c r="O380" s="87"/>
      <c r="P380" s="87"/>
      <c r="Q380" s="9"/>
      <c r="R380" s="87"/>
      <c r="S380" s="87"/>
      <c r="T380" s="87"/>
      <c r="U380" s="9"/>
      <c r="V380" s="87"/>
      <c r="W380" s="87"/>
      <c r="X380" s="87"/>
      <c r="Y380" s="87"/>
      <c r="Z380" s="87"/>
      <c r="AA380" s="87"/>
      <c r="AB380" s="87"/>
      <c r="AC380" s="243"/>
      <c r="AD380" s="234"/>
      <c r="AE380" s="234"/>
      <c r="AF380" s="234"/>
      <c r="AG380" s="9"/>
      <c r="AH380" s="87"/>
      <c r="AI380" s="87"/>
      <c r="AJ380" s="87"/>
      <c r="AK380" s="244"/>
      <c r="AL380" s="245"/>
      <c r="AM380" s="244"/>
      <c r="AN380" s="244"/>
      <c r="AO380" s="87"/>
      <c r="AP380" s="87"/>
      <c r="AQ380" s="87"/>
      <c r="AR380" s="87"/>
      <c r="AS380" s="87"/>
      <c r="AT380" s="87"/>
      <c r="AU380" s="87"/>
      <c r="AV380" s="87"/>
      <c r="AW380" s="87"/>
      <c r="AX380" s="87"/>
    </row>
    <row r="381">
      <c r="A381" s="9"/>
      <c r="B381" s="87"/>
      <c r="C381" s="87"/>
      <c r="D381" s="87"/>
      <c r="E381" s="9"/>
      <c r="F381" s="87"/>
      <c r="G381" s="87"/>
      <c r="H381" s="87"/>
      <c r="I381" s="9"/>
      <c r="J381" s="87"/>
      <c r="K381" s="87"/>
      <c r="L381" s="87"/>
      <c r="M381" s="9"/>
      <c r="N381" s="87"/>
      <c r="O381" s="87"/>
      <c r="P381" s="87"/>
      <c r="Q381" s="9"/>
      <c r="R381" s="87"/>
      <c r="S381" s="87"/>
      <c r="T381" s="87"/>
      <c r="U381" s="9"/>
      <c r="V381" s="87"/>
      <c r="W381" s="87"/>
      <c r="X381" s="87"/>
      <c r="Y381" s="87"/>
      <c r="Z381" s="87"/>
      <c r="AA381" s="87"/>
      <c r="AB381" s="87"/>
      <c r="AC381" s="243"/>
      <c r="AD381" s="234"/>
      <c r="AE381" s="234"/>
      <c r="AF381" s="234"/>
      <c r="AG381" s="9"/>
      <c r="AH381" s="87"/>
      <c r="AI381" s="87"/>
      <c r="AJ381" s="87"/>
      <c r="AK381" s="244"/>
      <c r="AL381" s="245"/>
      <c r="AM381" s="244"/>
      <c r="AN381" s="244"/>
      <c r="AO381" s="87"/>
      <c r="AP381" s="87"/>
      <c r="AQ381" s="87"/>
      <c r="AR381" s="87"/>
      <c r="AS381" s="87"/>
      <c r="AT381" s="87"/>
      <c r="AU381" s="87"/>
      <c r="AV381" s="87"/>
      <c r="AW381" s="87"/>
      <c r="AX381" s="87"/>
    </row>
    <row r="382">
      <c r="A382" s="9"/>
      <c r="B382" s="87"/>
      <c r="C382" s="87"/>
      <c r="D382" s="87"/>
      <c r="E382" s="9"/>
      <c r="F382" s="87"/>
      <c r="G382" s="87"/>
      <c r="H382" s="87"/>
      <c r="I382" s="9"/>
      <c r="J382" s="87"/>
      <c r="K382" s="87"/>
      <c r="L382" s="87"/>
      <c r="M382" s="9"/>
      <c r="N382" s="87"/>
      <c r="O382" s="87"/>
      <c r="P382" s="87"/>
      <c r="Q382" s="9"/>
      <c r="R382" s="87"/>
      <c r="S382" s="87"/>
      <c r="T382" s="87"/>
      <c r="U382" s="9"/>
      <c r="V382" s="87"/>
      <c r="W382" s="87"/>
      <c r="X382" s="87"/>
      <c r="Y382" s="87"/>
      <c r="Z382" s="87"/>
      <c r="AA382" s="87"/>
      <c r="AB382" s="87"/>
      <c r="AC382" s="243"/>
      <c r="AD382" s="234"/>
      <c r="AE382" s="234"/>
      <c r="AF382" s="234"/>
      <c r="AG382" s="9"/>
      <c r="AH382" s="87"/>
      <c r="AI382" s="87"/>
      <c r="AJ382" s="87"/>
      <c r="AK382" s="244"/>
      <c r="AL382" s="245"/>
      <c r="AM382" s="244"/>
      <c r="AN382" s="244"/>
      <c r="AO382" s="87"/>
      <c r="AP382" s="87"/>
      <c r="AQ382" s="87"/>
      <c r="AR382" s="87"/>
      <c r="AS382" s="87"/>
      <c r="AT382" s="87"/>
      <c r="AU382" s="87"/>
      <c r="AV382" s="87"/>
      <c r="AW382" s="87"/>
      <c r="AX382" s="87"/>
    </row>
    <row r="383">
      <c r="A383" s="9"/>
      <c r="B383" s="87"/>
      <c r="C383" s="87"/>
      <c r="D383" s="87"/>
      <c r="E383" s="9"/>
      <c r="F383" s="87"/>
      <c r="G383" s="87"/>
      <c r="H383" s="87"/>
      <c r="I383" s="9"/>
      <c r="J383" s="87"/>
      <c r="K383" s="87"/>
      <c r="L383" s="87"/>
      <c r="M383" s="9"/>
      <c r="N383" s="87"/>
      <c r="O383" s="87"/>
      <c r="P383" s="87"/>
      <c r="Q383" s="9"/>
      <c r="R383" s="87"/>
      <c r="S383" s="87"/>
      <c r="T383" s="87"/>
      <c r="U383" s="9"/>
      <c r="V383" s="87"/>
      <c r="W383" s="87"/>
      <c r="X383" s="87"/>
      <c r="Y383" s="87"/>
      <c r="Z383" s="87"/>
      <c r="AA383" s="87"/>
      <c r="AB383" s="87"/>
      <c r="AC383" s="243"/>
      <c r="AD383" s="234"/>
      <c r="AE383" s="234"/>
      <c r="AF383" s="234"/>
      <c r="AG383" s="9"/>
      <c r="AH383" s="87"/>
      <c r="AI383" s="87"/>
      <c r="AJ383" s="87"/>
      <c r="AK383" s="244"/>
      <c r="AL383" s="245"/>
      <c r="AM383" s="244"/>
      <c r="AN383" s="244"/>
      <c r="AO383" s="87"/>
      <c r="AP383" s="87"/>
      <c r="AQ383" s="87"/>
      <c r="AR383" s="87"/>
      <c r="AS383" s="87"/>
      <c r="AT383" s="87"/>
      <c r="AU383" s="87"/>
      <c r="AV383" s="87"/>
      <c r="AW383" s="87"/>
      <c r="AX383" s="87"/>
    </row>
    <row r="384">
      <c r="A384" s="9"/>
      <c r="B384" s="87"/>
      <c r="C384" s="87"/>
      <c r="D384" s="87"/>
      <c r="E384" s="9"/>
      <c r="F384" s="87"/>
      <c r="G384" s="87"/>
      <c r="H384" s="87"/>
      <c r="I384" s="9"/>
      <c r="J384" s="87"/>
      <c r="K384" s="87"/>
      <c r="L384" s="87"/>
      <c r="M384" s="9"/>
      <c r="N384" s="87"/>
      <c r="O384" s="87"/>
      <c r="P384" s="87"/>
      <c r="Q384" s="9"/>
      <c r="R384" s="87"/>
      <c r="S384" s="87"/>
      <c r="T384" s="87"/>
      <c r="U384" s="9"/>
      <c r="V384" s="87"/>
      <c r="W384" s="87"/>
      <c r="X384" s="87"/>
      <c r="Y384" s="87"/>
      <c r="Z384" s="87"/>
      <c r="AA384" s="87"/>
      <c r="AB384" s="87"/>
      <c r="AC384" s="243"/>
      <c r="AD384" s="234"/>
      <c r="AE384" s="234"/>
      <c r="AF384" s="234"/>
      <c r="AG384" s="9"/>
      <c r="AH384" s="87"/>
      <c r="AI384" s="87"/>
      <c r="AJ384" s="87"/>
      <c r="AK384" s="244"/>
      <c r="AL384" s="245"/>
      <c r="AM384" s="244"/>
      <c r="AN384" s="244"/>
      <c r="AO384" s="87"/>
      <c r="AP384" s="87"/>
      <c r="AQ384" s="87"/>
      <c r="AR384" s="87"/>
      <c r="AS384" s="87"/>
      <c r="AT384" s="87"/>
      <c r="AU384" s="87"/>
      <c r="AV384" s="87"/>
      <c r="AW384" s="87"/>
      <c r="AX384" s="87"/>
    </row>
    <row r="385">
      <c r="A385" s="9"/>
      <c r="B385" s="87"/>
      <c r="C385" s="87"/>
      <c r="D385" s="87"/>
      <c r="E385" s="9"/>
      <c r="F385" s="87"/>
      <c r="G385" s="87"/>
      <c r="H385" s="87"/>
      <c r="I385" s="9"/>
      <c r="J385" s="87"/>
      <c r="K385" s="87"/>
      <c r="L385" s="87"/>
      <c r="M385" s="9"/>
      <c r="N385" s="87"/>
      <c r="O385" s="87"/>
      <c r="P385" s="87"/>
      <c r="Q385" s="9"/>
      <c r="R385" s="87"/>
      <c r="S385" s="87"/>
      <c r="T385" s="87"/>
      <c r="U385" s="9"/>
      <c r="V385" s="87"/>
      <c r="W385" s="87"/>
      <c r="X385" s="87"/>
      <c r="Y385" s="87"/>
      <c r="Z385" s="87"/>
      <c r="AA385" s="87"/>
      <c r="AB385" s="87"/>
      <c r="AC385" s="243"/>
      <c r="AD385" s="234"/>
      <c r="AE385" s="234"/>
      <c r="AF385" s="234"/>
      <c r="AG385" s="9"/>
      <c r="AH385" s="87"/>
      <c r="AI385" s="87"/>
      <c r="AJ385" s="87"/>
      <c r="AK385" s="244"/>
      <c r="AL385" s="245"/>
      <c r="AM385" s="244"/>
      <c r="AN385" s="244"/>
      <c r="AO385" s="87"/>
      <c r="AP385" s="87"/>
      <c r="AQ385" s="87"/>
      <c r="AR385" s="87"/>
      <c r="AS385" s="87"/>
      <c r="AT385" s="87"/>
      <c r="AU385" s="87"/>
      <c r="AV385" s="87"/>
      <c r="AW385" s="87"/>
      <c r="AX385" s="87"/>
    </row>
    <row r="386">
      <c r="A386" s="9"/>
      <c r="B386" s="87"/>
      <c r="C386" s="87"/>
      <c r="D386" s="87"/>
      <c r="E386" s="9"/>
      <c r="F386" s="87"/>
      <c r="G386" s="87"/>
      <c r="H386" s="87"/>
      <c r="I386" s="9"/>
      <c r="J386" s="87"/>
      <c r="K386" s="87"/>
      <c r="L386" s="87"/>
      <c r="M386" s="9"/>
      <c r="N386" s="87"/>
      <c r="O386" s="87"/>
      <c r="P386" s="87"/>
      <c r="Q386" s="9"/>
      <c r="R386" s="87"/>
      <c r="S386" s="87"/>
      <c r="T386" s="87"/>
      <c r="U386" s="9"/>
      <c r="V386" s="87"/>
      <c r="W386" s="87"/>
      <c r="X386" s="87"/>
      <c r="Y386" s="87"/>
      <c r="Z386" s="87"/>
      <c r="AA386" s="87"/>
      <c r="AB386" s="87"/>
      <c r="AC386" s="243"/>
      <c r="AD386" s="234"/>
      <c r="AE386" s="234"/>
      <c r="AF386" s="234"/>
      <c r="AG386" s="9"/>
      <c r="AH386" s="87"/>
      <c r="AI386" s="87"/>
      <c r="AJ386" s="87"/>
      <c r="AK386" s="244"/>
      <c r="AL386" s="245"/>
      <c r="AM386" s="244"/>
      <c r="AN386" s="244"/>
      <c r="AO386" s="87"/>
      <c r="AP386" s="87"/>
      <c r="AQ386" s="87"/>
      <c r="AR386" s="87"/>
      <c r="AS386" s="87"/>
      <c r="AT386" s="87"/>
      <c r="AU386" s="87"/>
      <c r="AV386" s="87"/>
      <c r="AW386" s="87"/>
      <c r="AX386" s="87"/>
    </row>
    <row r="387">
      <c r="A387" s="9"/>
      <c r="B387" s="87"/>
      <c r="C387" s="87"/>
      <c r="D387" s="87"/>
      <c r="E387" s="9"/>
      <c r="F387" s="87"/>
      <c r="G387" s="87"/>
      <c r="H387" s="87"/>
      <c r="I387" s="9"/>
      <c r="J387" s="87"/>
      <c r="K387" s="87"/>
      <c r="L387" s="87"/>
      <c r="M387" s="9"/>
      <c r="N387" s="87"/>
      <c r="O387" s="87"/>
      <c r="P387" s="87"/>
      <c r="Q387" s="9"/>
      <c r="R387" s="87"/>
      <c r="S387" s="87"/>
      <c r="T387" s="87"/>
      <c r="U387" s="9"/>
      <c r="V387" s="87"/>
      <c r="W387" s="87"/>
      <c r="X387" s="87"/>
      <c r="Y387" s="87"/>
      <c r="Z387" s="87"/>
      <c r="AA387" s="87"/>
      <c r="AB387" s="87"/>
      <c r="AC387" s="243"/>
      <c r="AD387" s="234"/>
      <c r="AE387" s="234"/>
      <c r="AF387" s="234"/>
      <c r="AG387" s="9"/>
      <c r="AH387" s="87"/>
      <c r="AI387" s="87"/>
      <c r="AJ387" s="87"/>
      <c r="AK387" s="244"/>
      <c r="AL387" s="245"/>
      <c r="AM387" s="244"/>
      <c r="AN387" s="244"/>
      <c r="AO387" s="87"/>
      <c r="AP387" s="87"/>
      <c r="AQ387" s="87"/>
      <c r="AR387" s="87"/>
      <c r="AS387" s="87"/>
      <c r="AT387" s="87"/>
      <c r="AU387" s="87"/>
      <c r="AV387" s="87"/>
      <c r="AW387" s="87"/>
      <c r="AX387" s="87"/>
    </row>
    <row r="388">
      <c r="A388" s="9"/>
      <c r="B388" s="87"/>
      <c r="C388" s="87"/>
      <c r="D388" s="87"/>
      <c r="E388" s="9"/>
      <c r="F388" s="87"/>
      <c r="G388" s="87"/>
      <c r="H388" s="87"/>
      <c r="I388" s="9"/>
      <c r="J388" s="87"/>
      <c r="K388" s="87"/>
      <c r="L388" s="87"/>
      <c r="M388" s="9"/>
      <c r="N388" s="87"/>
      <c r="O388" s="87"/>
      <c r="P388" s="87"/>
      <c r="Q388" s="9"/>
      <c r="R388" s="87"/>
      <c r="S388" s="87"/>
      <c r="T388" s="87"/>
      <c r="U388" s="9"/>
      <c r="V388" s="87"/>
      <c r="W388" s="87"/>
      <c r="X388" s="87"/>
      <c r="Y388" s="87"/>
      <c r="Z388" s="87"/>
      <c r="AA388" s="87"/>
      <c r="AB388" s="87"/>
      <c r="AC388" s="243"/>
      <c r="AD388" s="234"/>
      <c r="AE388" s="234"/>
      <c r="AF388" s="234"/>
      <c r="AG388" s="9"/>
      <c r="AH388" s="87"/>
      <c r="AI388" s="87"/>
      <c r="AJ388" s="87"/>
      <c r="AK388" s="244"/>
      <c r="AL388" s="245"/>
      <c r="AM388" s="244"/>
      <c r="AN388" s="244"/>
      <c r="AO388" s="87"/>
      <c r="AP388" s="87"/>
      <c r="AQ388" s="87"/>
      <c r="AR388" s="87"/>
      <c r="AS388" s="87"/>
      <c r="AT388" s="87"/>
      <c r="AU388" s="87"/>
      <c r="AV388" s="87"/>
      <c r="AW388" s="87"/>
      <c r="AX388" s="87"/>
    </row>
    <row r="389">
      <c r="A389" s="9"/>
      <c r="B389" s="87"/>
      <c r="C389" s="87"/>
      <c r="D389" s="87"/>
      <c r="E389" s="9"/>
      <c r="F389" s="87"/>
      <c r="G389" s="87"/>
      <c r="H389" s="87"/>
      <c r="I389" s="9"/>
      <c r="J389" s="87"/>
      <c r="K389" s="87"/>
      <c r="L389" s="87"/>
      <c r="M389" s="9"/>
      <c r="N389" s="87"/>
      <c r="O389" s="87"/>
      <c r="P389" s="87"/>
      <c r="Q389" s="9"/>
      <c r="R389" s="87"/>
      <c r="S389" s="87"/>
      <c r="T389" s="87"/>
      <c r="U389" s="9"/>
      <c r="V389" s="87"/>
      <c r="W389" s="87"/>
      <c r="X389" s="87"/>
      <c r="Y389" s="87"/>
      <c r="Z389" s="87"/>
      <c r="AA389" s="87"/>
      <c r="AB389" s="87"/>
      <c r="AC389" s="243"/>
      <c r="AD389" s="234"/>
      <c r="AE389" s="234"/>
      <c r="AF389" s="234"/>
      <c r="AG389" s="9"/>
      <c r="AH389" s="87"/>
      <c r="AI389" s="87"/>
      <c r="AJ389" s="87"/>
      <c r="AK389" s="244"/>
      <c r="AL389" s="245"/>
      <c r="AM389" s="244"/>
      <c r="AN389" s="244"/>
      <c r="AO389" s="87"/>
      <c r="AP389" s="87"/>
      <c r="AQ389" s="87"/>
      <c r="AR389" s="87"/>
      <c r="AS389" s="87"/>
      <c r="AT389" s="87"/>
      <c r="AU389" s="87"/>
      <c r="AV389" s="87"/>
      <c r="AW389" s="87"/>
      <c r="AX389" s="87"/>
    </row>
    <row r="390">
      <c r="A390" s="9"/>
      <c r="B390" s="87"/>
      <c r="C390" s="87"/>
      <c r="D390" s="87"/>
      <c r="E390" s="9"/>
      <c r="F390" s="87"/>
      <c r="G390" s="87"/>
      <c r="H390" s="87"/>
      <c r="I390" s="9"/>
      <c r="J390" s="87"/>
      <c r="K390" s="87"/>
      <c r="L390" s="87"/>
      <c r="M390" s="9"/>
      <c r="N390" s="87"/>
      <c r="O390" s="87"/>
      <c r="P390" s="87"/>
      <c r="Q390" s="9"/>
      <c r="R390" s="87"/>
      <c r="S390" s="87"/>
      <c r="T390" s="87"/>
      <c r="U390" s="9"/>
      <c r="V390" s="87"/>
      <c r="W390" s="87"/>
      <c r="X390" s="87"/>
      <c r="Y390" s="87"/>
      <c r="Z390" s="87"/>
      <c r="AA390" s="87"/>
      <c r="AB390" s="87"/>
      <c r="AC390" s="243"/>
      <c r="AD390" s="234"/>
      <c r="AE390" s="234"/>
      <c r="AF390" s="234"/>
      <c r="AG390" s="9"/>
      <c r="AH390" s="87"/>
      <c r="AI390" s="87"/>
      <c r="AJ390" s="87"/>
      <c r="AK390" s="244"/>
      <c r="AL390" s="245"/>
      <c r="AM390" s="244"/>
      <c r="AN390" s="244"/>
      <c r="AO390" s="87"/>
      <c r="AP390" s="87"/>
      <c r="AQ390" s="87"/>
      <c r="AR390" s="87"/>
      <c r="AS390" s="87"/>
      <c r="AT390" s="87"/>
      <c r="AU390" s="87"/>
      <c r="AV390" s="87"/>
      <c r="AW390" s="87"/>
      <c r="AX390" s="87"/>
    </row>
    <row r="391">
      <c r="A391" s="9"/>
      <c r="B391" s="87"/>
      <c r="C391" s="87"/>
      <c r="D391" s="87"/>
      <c r="E391" s="9"/>
      <c r="F391" s="87"/>
      <c r="G391" s="87"/>
      <c r="H391" s="87"/>
      <c r="I391" s="9"/>
      <c r="J391" s="87"/>
      <c r="K391" s="87"/>
      <c r="L391" s="87"/>
      <c r="M391" s="9"/>
      <c r="N391" s="87"/>
      <c r="O391" s="87"/>
      <c r="P391" s="87"/>
      <c r="Q391" s="9"/>
      <c r="R391" s="87"/>
      <c r="S391" s="87"/>
      <c r="T391" s="87"/>
      <c r="U391" s="9"/>
      <c r="V391" s="87"/>
      <c r="W391" s="87"/>
      <c r="X391" s="87"/>
      <c r="Y391" s="87"/>
      <c r="Z391" s="87"/>
      <c r="AA391" s="87"/>
      <c r="AB391" s="87"/>
      <c r="AC391" s="243"/>
      <c r="AD391" s="234"/>
      <c r="AE391" s="234"/>
      <c r="AF391" s="234"/>
      <c r="AG391" s="9"/>
      <c r="AH391" s="87"/>
      <c r="AI391" s="87"/>
      <c r="AJ391" s="87"/>
      <c r="AK391" s="244"/>
      <c r="AL391" s="245"/>
      <c r="AM391" s="244"/>
      <c r="AN391" s="244"/>
      <c r="AO391" s="87"/>
      <c r="AP391" s="87"/>
      <c r="AQ391" s="87"/>
      <c r="AR391" s="87"/>
      <c r="AS391" s="87"/>
      <c r="AT391" s="87"/>
      <c r="AU391" s="87"/>
      <c r="AV391" s="87"/>
      <c r="AW391" s="87"/>
      <c r="AX391" s="87"/>
    </row>
    <row r="392">
      <c r="A392" s="9"/>
      <c r="B392" s="87"/>
      <c r="C392" s="87"/>
      <c r="D392" s="87"/>
      <c r="E392" s="9"/>
      <c r="F392" s="87"/>
      <c r="G392" s="87"/>
      <c r="H392" s="87"/>
      <c r="I392" s="9"/>
      <c r="J392" s="87"/>
      <c r="K392" s="87"/>
      <c r="L392" s="87"/>
      <c r="M392" s="9"/>
      <c r="N392" s="87"/>
      <c r="O392" s="87"/>
      <c r="P392" s="87"/>
      <c r="Q392" s="9"/>
      <c r="R392" s="87"/>
      <c r="S392" s="87"/>
      <c r="T392" s="87"/>
      <c r="U392" s="9"/>
      <c r="V392" s="87"/>
      <c r="W392" s="87"/>
      <c r="X392" s="87"/>
      <c r="Y392" s="87"/>
      <c r="Z392" s="87"/>
      <c r="AA392" s="87"/>
      <c r="AB392" s="87"/>
      <c r="AC392" s="243"/>
      <c r="AD392" s="234"/>
      <c r="AE392" s="234"/>
      <c r="AF392" s="234"/>
      <c r="AG392" s="9"/>
      <c r="AH392" s="87"/>
      <c r="AI392" s="87"/>
      <c r="AJ392" s="87"/>
      <c r="AK392" s="244"/>
      <c r="AL392" s="245"/>
      <c r="AM392" s="244"/>
      <c r="AN392" s="244"/>
      <c r="AO392" s="87"/>
      <c r="AP392" s="87"/>
      <c r="AQ392" s="87"/>
      <c r="AR392" s="87"/>
      <c r="AS392" s="87"/>
      <c r="AT392" s="87"/>
      <c r="AU392" s="87"/>
      <c r="AV392" s="87"/>
      <c r="AW392" s="87"/>
      <c r="AX392" s="87"/>
    </row>
    <row r="393">
      <c r="A393" s="9"/>
      <c r="B393" s="87"/>
      <c r="C393" s="87"/>
      <c r="D393" s="87"/>
      <c r="E393" s="9"/>
      <c r="F393" s="87"/>
      <c r="G393" s="87"/>
      <c r="H393" s="87"/>
      <c r="I393" s="9"/>
      <c r="J393" s="87"/>
      <c r="K393" s="87"/>
      <c r="L393" s="87"/>
      <c r="M393" s="9"/>
      <c r="N393" s="87"/>
      <c r="O393" s="87"/>
      <c r="P393" s="87"/>
      <c r="Q393" s="9"/>
      <c r="R393" s="87"/>
      <c r="S393" s="87"/>
      <c r="T393" s="87"/>
      <c r="U393" s="9"/>
      <c r="V393" s="87"/>
      <c r="W393" s="87"/>
      <c r="X393" s="87"/>
      <c r="Y393" s="87"/>
      <c r="Z393" s="87"/>
      <c r="AA393" s="87"/>
      <c r="AB393" s="87"/>
      <c r="AC393" s="243"/>
      <c r="AD393" s="234"/>
      <c r="AE393" s="234"/>
      <c r="AF393" s="234"/>
      <c r="AG393" s="9"/>
      <c r="AH393" s="87"/>
      <c r="AI393" s="87"/>
      <c r="AJ393" s="87"/>
      <c r="AK393" s="244"/>
      <c r="AL393" s="245"/>
      <c r="AM393" s="244"/>
      <c r="AN393" s="244"/>
      <c r="AO393" s="87"/>
      <c r="AP393" s="87"/>
      <c r="AQ393" s="87"/>
      <c r="AR393" s="87"/>
      <c r="AS393" s="87"/>
      <c r="AT393" s="87"/>
      <c r="AU393" s="87"/>
      <c r="AV393" s="87"/>
      <c r="AW393" s="87"/>
      <c r="AX393" s="87"/>
    </row>
    <row r="394">
      <c r="A394" s="9"/>
      <c r="B394" s="87"/>
      <c r="C394" s="87"/>
      <c r="D394" s="87"/>
      <c r="E394" s="9"/>
      <c r="F394" s="87"/>
      <c r="G394" s="87"/>
      <c r="H394" s="87"/>
      <c r="I394" s="9"/>
      <c r="J394" s="87"/>
      <c r="K394" s="87"/>
      <c r="L394" s="87"/>
      <c r="M394" s="9"/>
      <c r="N394" s="87"/>
      <c r="O394" s="87"/>
      <c r="P394" s="87"/>
      <c r="Q394" s="9"/>
      <c r="R394" s="87"/>
      <c r="S394" s="87"/>
      <c r="T394" s="87"/>
      <c r="U394" s="9"/>
      <c r="V394" s="87"/>
      <c r="W394" s="87"/>
      <c r="X394" s="87"/>
      <c r="Y394" s="87"/>
      <c r="Z394" s="87"/>
      <c r="AA394" s="87"/>
      <c r="AB394" s="87"/>
      <c r="AC394" s="243"/>
      <c r="AD394" s="234"/>
      <c r="AE394" s="234"/>
      <c r="AF394" s="234"/>
      <c r="AG394" s="9"/>
      <c r="AH394" s="87"/>
      <c r="AI394" s="87"/>
      <c r="AJ394" s="87"/>
      <c r="AK394" s="244"/>
      <c r="AL394" s="245"/>
      <c r="AM394" s="244"/>
      <c r="AN394" s="244"/>
      <c r="AO394" s="87"/>
      <c r="AP394" s="87"/>
      <c r="AQ394" s="87"/>
      <c r="AR394" s="87"/>
      <c r="AS394" s="87"/>
      <c r="AT394" s="87"/>
      <c r="AU394" s="87"/>
      <c r="AV394" s="87"/>
      <c r="AW394" s="87"/>
      <c r="AX394" s="87"/>
    </row>
    <row r="395">
      <c r="A395" s="9"/>
      <c r="B395" s="87"/>
      <c r="C395" s="87"/>
      <c r="D395" s="87"/>
      <c r="E395" s="9"/>
      <c r="F395" s="87"/>
      <c r="G395" s="87"/>
      <c r="H395" s="87"/>
      <c r="I395" s="9"/>
      <c r="J395" s="87"/>
      <c r="K395" s="87"/>
      <c r="L395" s="87"/>
      <c r="M395" s="9"/>
      <c r="N395" s="87"/>
      <c r="O395" s="87"/>
      <c r="P395" s="87"/>
      <c r="Q395" s="9"/>
      <c r="R395" s="87"/>
      <c r="S395" s="87"/>
      <c r="T395" s="87"/>
      <c r="U395" s="9"/>
      <c r="V395" s="87"/>
      <c r="W395" s="87"/>
      <c r="X395" s="87"/>
      <c r="Y395" s="87"/>
      <c r="Z395" s="87"/>
      <c r="AA395" s="87"/>
      <c r="AB395" s="87"/>
      <c r="AC395" s="243"/>
      <c r="AD395" s="234"/>
      <c r="AE395" s="234"/>
      <c r="AF395" s="234"/>
      <c r="AG395" s="9"/>
      <c r="AH395" s="87"/>
      <c r="AI395" s="87"/>
      <c r="AJ395" s="87"/>
      <c r="AK395" s="244"/>
      <c r="AL395" s="245"/>
      <c r="AM395" s="244"/>
      <c r="AN395" s="244"/>
      <c r="AO395" s="87"/>
      <c r="AP395" s="87"/>
      <c r="AQ395" s="87"/>
      <c r="AR395" s="87"/>
      <c r="AS395" s="87"/>
      <c r="AT395" s="87"/>
      <c r="AU395" s="87"/>
      <c r="AV395" s="87"/>
      <c r="AW395" s="87"/>
      <c r="AX395" s="87"/>
    </row>
    <row r="396">
      <c r="A396" s="9"/>
      <c r="B396" s="87"/>
      <c r="C396" s="87"/>
      <c r="D396" s="87"/>
      <c r="E396" s="9"/>
      <c r="F396" s="87"/>
      <c r="G396" s="87"/>
      <c r="H396" s="87"/>
      <c r="I396" s="9"/>
      <c r="J396" s="87"/>
      <c r="K396" s="87"/>
      <c r="L396" s="87"/>
      <c r="M396" s="9"/>
      <c r="N396" s="87"/>
      <c r="O396" s="87"/>
      <c r="P396" s="87"/>
      <c r="Q396" s="9"/>
      <c r="R396" s="87"/>
      <c r="S396" s="87"/>
      <c r="T396" s="87"/>
      <c r="U396" s="9"/>
      <c r="V396" s="87"/>
      <c r="W396" s="87"/>
      <c r="X396" s="87"/>
      <c r="Y396" s="87"/>
      <c r="Z396" s="87"/>
      <c r="AA396" s="87"/>
      <c r="AB396" s="87"/>
      <c r="AC396" s="243"/>
      <c r="AD396" s="234"/>
      <c r="AE396" s="234"/>
      <c r="AF396" s="234"/>
      <c r="AG396" s="9"/>
      <c r="AH396" s="87"/>
      <c r="AI396" s="87"/>
      <c r="AJ396" s="87"/>
      <c r="AK396" s="244"/>
      <c r="AL396" s="245"/>
      <c r="AM396" s="244"/>
      <c r="AN396" s="244"/>
      <c r="AO396" s="87"/>
      <c r="AP396" s="87"/>
      <c r="AQ396" s="87"/>
      <c r="AR396" s="87"/>
      <c r="AS396" s="87"/>
      <c r="AT396" s="87"/>
      <c r="AU396" s="87"/>
      <c r="AV396" s="87"/>
      <c r="AW396" s="87"/>
      <c r="AX396" s="87"/>
    </row>
    <row r="397">
      <c r="A397" s="9"/>
      <c r="B397" s="87"/>
      <c r="C397" s="87"/>
      <c r="D397" s="87"/>
      <c r="E397" s="9"/>
      <c r="F397" s="87"/>
      <c r="G397" s="87"/>
      <c r="H397" s="87"/>
      <c r="I397" s="9"/>
      <c r="J397" s="87"/>
      <c r="K397" s="87"/>
      <c r="L397" s="87"/>
      <c r="M397" s="9"/>
      <c r="N397" s="87"/>
      <c r="O397" s="87"/>
      <c r="P397" s="87"/>
      <c r="Q397" s="9"/>
      <c r="R397" s="87"/>
      <c r="S397" s="87"/>
      <c r="T397" s="87"/>
      <c r="U397" s="9"/>
      <c r="V397" s="87"/>
      <c r="W397" s="87"/>
      <c r="X397" s="87"/>
      <c r="Y397" s="87"/>
      <c r="Z397" s="87"/>
      <c r="AA397" s="87"/>
      <c r="AB397" s="87"/>
      <c r="AC397" s="243"/>
      <c r="AD397" s="234"/>
      <c r="AE397" s="234"/>
      <c r="AF397" s="234"/>
      <c r="AG397" s="9"/>
      <c r="AH397" s="87"/>
      <c r="AI397" s="87"/>
      <c r="AJ397" s="87"/>
      <c r="AK397" s="244"/>
      <c r="AL397" s="245"/>
      <c r="AM397" s="244"/>
      <c r="AN397" s="244"/>
      <c r="AO397" s="87"/>
      <c r="AP397" s="87"/>
      <c r="AQ397" s="87"/>
      <c r="AR397" s="87"/>
      <c r="AS397" s="87"/>
      <c r="AT397" s="87"/>
      <c r="AU397" s="87"/>
      <c r="AV397" s="87"/>
      <c r="AW397" s="87"/>
      <c r="AX397" s="87"/>
    </row>
    <row r="398">
      <c r="A398" s="9"/>
      <c r="B398" s="87"/>
      <c r="C398" s="87"/>
      <c r="D398" s="87"/>
      <c r="E398" s="9"/>
      <c r="F398" s="87"/>
      <c r="G398" s="87"/>
      <c r="H398" s="87"/>
      <c r="I398" s="9"/>
      <c r="J398" s="87"/>
      <c r="K398" s="87"/>
      <c r="L398" s="87"/>
      <c r="M398" s="9"/>
      <c r="N398" s="87"/>
      <c r="O398" s="87"/>
      <c r="P398" s="87"/>
      <c r="Q398" s="9"/>
      <c r="R398" s="87"/>
      <c r="S398" s="87"/>
      <c r="T398" s="87"/>
      <c r="U398" s="9"/>
      <c r="V398" s="87"/>
      <c r="W398" s="87"/>
      <c r="X398" s="87"/>
      <c r="Y398" s="87"/>
      <c r="Z398" s="87"/>
      <c r="AA398" s="87"/>
      <c r="AB398" s="87"/>
      <c r="AC398" s="243"/>
      <c r="AD398" s="234"/>
      <c r="AE398" s="234"/>
      <c r="AF398" s="234"/>
      <c r="AG398" s="9"/>
      <c r="AH398" s="87"/>
      <c r="AI398" s="87"/>
      <c r="AJ398" s="87"/>
      <c r="AK398" s="244"/>
      <c r="AL398" s="245"/>
      <c r="AM398" s="244"/>
      <c r="AN398" s="244"/>
      <c r="AO398" s="87"/>
      <c r="AP398" s="87"/>
      <c r="AQ398" s="87"/>
      <c r="AR398" s="87"/>
      <c r="AS398" s="87"/>
      <c r="AT398" s="87"/>
      <c r="AU398" s="87"/>
      <c r="AV398" s="87"/>
      <c r="AW398" s="87"/>
      <c r="AX398" s="87"/>
    </row>
    <row r="399">
      <c r="A399" s="9"/>
      <c r="B399" s="87"/>
      <c r="C399" s="87"/>
      <c r="D399" s="87"/>
      <c r="E399" s="9"/>
      <c r="F399" s="87"/>
      <c r="G399" s="87"/>
      <c r="H399" s="87"/>
      <c r="I399" s="9"/>
      <c r="J399" s="87"/>
      <c r="K399" s="87"/>
      <c r="L399" s="87"/>
      <c r="M399" s="9"/>
      <c r="N399" s="87"/>
      <c r="O399" s="87"/>
      <c r="P399" s="87"/>
      <c r="Q399" s="9"/>
      <c r="R399" s="87"/>
      <c r="S399" s="87"/>
      <c r="T399" s="87"/>
      <c r="U399" s="9"/>
      <c r="V399" s="87"/>
      <c r="W399" s="87"/>
      <c r="X399" s="87"/>
      <c r="Y399" s="87"/>
      <c r="Z399" s="87"/>
      <c r="AA399" s="87"/>
      <c r="AB399" s="87"/>
      <c r="AC399" s="243"/>
      <c r="AD399" s="234"/>
      <c r="AE399" s="234"/>
      <c r="AF399" s="234"/>
      <c r="AG399" s="9"/>
      <c r="AH399" s="87"/>
      <c r="AI399" s="87"/>
      <c r="AJ399" s="87"/>
      <c r="AK399" s="244"/>
      <c r="AL399" s="245"/>
      <c r="AM399" s="244"/>
      <c r="AN399" s="244"/>
      <c r="AO399" s="87"/>
      <c r="AP399" s="87"/>
      <c r="AQ399" s="87"/>
      <c r="AR399" s="87"/>
      <c r="AS399" s="87"/>
      <c r="AT399" s="87"/>
      <c r="AU399" s="87"/>
      <c r="AV399" s="87"/>
      <c r="AW399" s="87"/>
      <c r="AX399" s="87"/>
    </row>
    <row r="400">
      <c r="A400" s="9"/>
      <c r="B400" s="87"/>
      <c r="C400" s="87"/>
      <c r="D400" s="87"/>
      <c r="E400" s="9"/>
      <c r="F400" s="87"/>
      <c r="G400" s="87"/>
      <c r="H400" s="87"/>
      <c r="I400" s="9"/>
      <c r="J400" s="87"/>
      <c r="K400" s="87"/>
      <c r="L400" s="87"/>
      <c r="M400" s="9"/>
      <c r="N400" s="87"/>
      <c r="O400" s="87"/>
      <c r="P400" s="87"/>
      <c r="Q400" s="9"/>
      <c r="R400" s="87"/>
      <c r="S400" s="87"/>
      <c r="T400" s="87"/>
      <c r="U400" s="9"/>
      <c r="V400" s="87"/>
      <c r="W400" s="87"/>
      <c r="X400" s="87"/>
      <c r="Y400" s="87"/>
      <c r="Z400" s="87"/>
      <c r="AA400" s="87"/>
      <c r="AB400" s="87"/>
      <c r="AC400" s="243"/>
      <c r="AD400" s="234"/>
      <c r="AE400" s="234"/>
      <c r="AF400" s="234"/>
      <c r="AG400" s="9"/>
      <c r="AH400" s="87"/>
      <c r="AI400" s="87"/>
      <c r="AJ400" s="87"/>
      <c r="AK400" s="244"/>
      <c r="AL400" s="245"/>
      <c r="AM400" s="244"/>
      <c r="AN400" s="244"/>
      <c r="AO400" s="87"/>
      <c r="AP400" s="87"/>
      <c r="AQ400" s="87"/>
      <c r="AR400" s="87"/>
      <c r="AS400" s="87"/>
      <c r="AT400" s="87"/>
      <c r="AU400" s="87"/>
      <c r="AV400" s="87"/>
      <c r="AW400" s="87"/>
      <c r="AX400" s="87"/>
    </row>
    <row r="401">
      <c r="A401" s="9"/>
      <c r="B401" s="87"/>
      <c r="C401" s="87"/>
      <c r="D401" s="87"/>
      <c r="E401" s="9"/>
      <c r="F401" s="87"/>
      <c r="G401" s="87"/>
      <c r="H401" s="87"/>
      <c r="I401" s="9"/>
      <c r="J401" s="87"/>
      <c r="K401" s="87"/>
      <c r="L401" s="87"/>
      <c r="M401" s="9"/>
      <c r="N401" s="87"/>
      <c r="O401" s="87"/>
      <c r="P401" s="87"/>
      <c r="Q401" s="9"/>
      <c r="R401" s="87"/>
      <c r="S401" s="87"/>
      <c r="T401" s="87"/>
      <c r="U401" s="9"/>
      <c r="V401" s="87"/>
      <c r="W401" s="87"/>
      <c r="X401" s="87"/>
      <c r="Y401" s="87"/>
      <c r="Z401" s="87"/>
      <c r="AA401" s="87"/>
      <c r="AB401" s="87"/>
      <c r="AC401" s="243"/>
      <c r="AD401" s="234"/>
      <c r="AE401" s="234"/>
      <c r="AF401" s="234"/>
      <c r="AG401" s="9"/>
      <c r="AH401" s="87"/>
      <c r="AI401" s="87"/>
      <c r="AJ401" s="87"/>
      <c r="AK401" s="244"/>
      <c r="AL401" s="245"/>
      <c r="AM401" s="244"/>
      <c r="AN401" s="244"/>
      <c r="AO401" s="87"/>
      <c r="AP401" s="87"/>
      <c r="AQ401" s="87"/>
      <c r="AR401" s="87"/>
      <c r="AS401" s="87"/>
      <c r="AT401" s="87"/>
      <c r="AU401" s="87"/>
      <c r="AV401" s="87"/>
      <c r="AW401" s="87"/>
      <c r="AX401" s="87"/>
    </row>
    <row r="402">
      <c r="A402" s="9"/>
      <c r="B402" s="87"/>
      <c r="C402" s="87"/>
      <c r="D402" s="87"/>
      <c r="E402" s="9"/>
      <c r="F402" s="87"/>
      <c r="G402" s="87"/>
      <c r="H402" s="87"/>
      <c r="I402" s="9"/>
      <c r="J402" s="87"/>
      <c r="K402" s="87"/>
      <c r="L402" s="87"/>
      <c r="M402" s="9"/>
      <c r="N402" s="87"/>
      <c r="O402" s="87"/>
      <c r="P402" s="87"/>
      <c r="Q402" s="9"/>
      <c r="R402" s="87"/>
      <c r="S402" s="87"/>
      <c r="T402" s="87"/>
      <c r="U402" s="9"/>
      <c r="V402" s="87"/>
      <c r="W402" s="87"/>
      <c r="X402" s="87"/>
      <c r="Y402" s="87"/>
      <c r="Z402" s="87"/>
      <c r="AA402" s="87"/>
      <c r="AB402" s="87"/>
      <c r="AC402" s="243"/>
      <c r="AD402" s="234"/>
      <c r="AE402" s="234"/>
      <c r="AF402" s="234"/>
      <c r="AG402" s="9"/>
      <c r="AH402" s="87"/>
      <c r="AI402" s="87"/>
      <c r="AJ402" s="87"/>
      <c r="AK402" s="244"/>
      <c r="AL402" s="245"/>
      <c r="AM402" s="244"/>
      <c r="AN402" s="244"/>
      <c r="AO402" s="87"/>
      <c r="AP402" s="87"/>
      <c r="AQ402" s="87"/>
      <c r="AR402" s="87"/>
      <c r="AS402" s="87"/>
      <c r="AT402" s="87"/>
      <c r="AU402" s="87"/>
      <c r="AV402" s="87"/>
      <c r="AW402" s="87"/>
      <c r="AX402" s="87"/>
    </row>
    <row r="403">
      <c r="A403" s="9"/>
      <c r="B403" s="87"/>
      <c r="C403" s="87"/>
      <c r="D403" s="87"/>
      <c r="E403" s="9"/>
      <c r="F403" s="87"/>
      <c r="G403" s="87"/>
      <c r="H403" s="87"/>
      <c r="I403" s="9"/>
      <c r="J403" s="87"/>
      <c r="K403" s="87"/>
      <c r="L403" s="87"/>
      <c r="M403" s="9"/>
      <c r="N403" s="87"/>
      <c r="O403" s="87"/>
      <c r="P403" s="87"/>
      <c r="Q403" s="9"/>
      <c r="R403" s="87"/>
      <c r="S403" s="87"/>
      <c r="T403" s="87"/>
      <c r="U403" s="9"/>
      <c r="V403" s="87"/>
      <c r="W403" s="87"/>
      <c r="X403" s="87"/>
      <c r="Y403" s="87"/>
      <c r="Z403" s="87"/>
      <c r="AA403" s="87"/>
      <c r="AB403" s="87"/>
      <c r="AC403" s="243"/>
      <c r="AD403" s="234"/>
      <c r="AE403" s="234"/>
      <c r="AF403" s="234"/>
      <c r="AG403" s="9"/>
      <c r="AH403" s="87"/>
      <c r="AI403" s="87"/>
      <c r="AJ403" s="87"/>
      <c r="AK403" s="244"/>
      <c r="AL403" s="245"/>
      <c r="AM403" s="244"/>
      <c r="AN403" s="244"/>
      <c r="AO403" s="87"/>
      <c r="AP403" s="87"/>
      <c r="AQ403" s="87"/>
      <c r="AR403" s="87"/>
      <c r="AS403" s="87"/>
      <c r="AT403" s="87"/>
      <c r="AU403" s="87"/>
      <c r="AV403" s="87"/>
      <c r="AW403" s="87"/>
      <c r="AX403" s="87"/>
    </row>
    <row r="404">
      <c r="A404" s="9"/>
      <c r="B404" s="87"/>
      <c r="C404" s="87"/>
      <c r="D404" s="87"/>
      <c r="E404" s="9"/>
      <c r="F404" s="87"/>
      <c r="G404" s="87"/>
      <c r="H404" s="87"/>
      <c r="I404" s="9"/>
      <c r="J404" s="87"/>
      <c r="K404" s="87"/>
      <c r="L404" s="87"/>
      <c r="M404" s="9"/>
      <c r="N404" s="87"/>
      <c r="O404" s="87"/>
      <c r="P404" s="87"/>
      <c r="Q404" s="9"/>
      <c r="R404" s="87"/>
      <c r="S404" s="87"/>
      <c r="T404" s="87"/>
      <c r="U404" s="9"/>
      <c r="V404" s="87"/>
      <c r="W404" s="87"/>
      <c r="X404" s="87"/>
      <c r="Y404" s="87"/>
      <c r="Z404" s="87"/>
      <c r="AA404" s="87"/>
      <c r="AB404" s="87"/>
      <c r="AC404" s="243"/>
      <c r="AD404" s="234"/>
      <c r="AE404" s="234"/>
      <c r="AF404" s="234"/>
      <c r="AG404" s="9"/>
      <c r="AH404" s="87"/>
      <c r="AI404" s="87"/>
      <c r="AJ404" s="87"/>
      <c r="AK404" s="244"/>
      <c r="AL404" s="245"/>
      <c r="AM404" s="244"/>
      <c r="AN404" s="244"/>
      <c r="AO404" s="87"/>
      <c r="AP404" s="87"/>
      <c r="AQ404" s="87"/>
      <c r="AR404" s="87"/>
      <c r="AS404" s="87"/>
      <c r="AT404" s="87"/>
      <c r="AU404" s="87"/>
      <c r="AV404" s="87"/>
      <c r="AW404" s="87"/>
      <c r="AX404" s="87"/>
    </row>
    <row r="405">
      <c r="A405" s="9"/>
      <c r="B405" s="87"/>
      <c r="C405" s="87"/>
      <c r="D405" s="87"/>
      <c r="E405" s="9"/>
      <c r="F405" s="87"/>
      <c r="G405" s="87"/>
      <c r="H405" s="87"/>
      <c r="I405" s="9"/>
      <c r="J405" s="87"/>
      <c r="K405" s="87"/>
      <c r="L405" s="87"/>
      <c r="M405" s="9"/>
      <c r="N405" s="87"/>
      <c r="O405" s="87"/>
      <c r="P405" s="87"/>
      <c r="Q405" s="9"/>
      <c r="R405" s="87"/>
      <c r="S405" s="87"/>
      <c r="T405" s="87"/>
      <c r="U405" s="9"/>
      <c r="V405" s="87"/>
      <c r="W405" s="87"/>
      <c r="X405" s="87"/>
      <c r="Y405" s="87"/>
      <c r="Z405" s="87"/>
      <c r="AA405" s="87"/>
      <c r="AB405" s="87"/>
      <c r="AC405" s="243"/>
      <c r="AD405" s="234"/>
      <c r="AE405" s="234"/>
      <c r="AF405" s="234"/>
      <c r="AG405" s="9"/>
      <c r="AH405" s="87"/>
      <c r="AI405" s="87"/>
      <c r="AJ405" s="87"/>
      <c r="AK405" s="244"/>
      <c r="AL405" s="245"/>
      <c r="AM405" s="244"/>
      <c r="AN405" s="244"/>
      <c r="AO405" s="87"/>
      <c r="AP405" s="87"/>
      <c r="AQ405" s="87"/>
      <c r="AR405" s="87"/>
      <c r="AS405" s="87"/>
      <c r="AT405" s="87"/>
      <c r="AU405" s="87"/>
      <c r="AV405" s="87"/>
      <c r="AW405" s="87"/>
      <c r="AX405" s="87"/>
    </row>
    <row r="406">
      <c r="A406" s="9"/>
      <c r="B406" s="87"/>
      <c r="C406" s="87"/>
      <c r="D406" s="87"/>
      <c r="E406" s="9"/>
      <c r="F406" s="87"/>
      <c r="G406" s="87"/>
      <c r="H406" s="87"/>
      <c r="I406" s="9"/>
      <c r="J406" s="87"/>
      <c r="K406" s="87"/>
      <c r="L406" s="87"/>
      <c r="M406" s="9"/>
      <c r="N406" s="87"/>
      <c r="O406" s="87"/>
      <c r="P406" s="87"/>
      <c r="Q406" s="9"/>
      <c r="R406" s="87"/>
      <c r="S406" s="87"/>
      <c r="T406" s="87"/>
      <c r="U406" s="9"/>
      <c r="V406" s="87"/>
      <c r="W406" s="87"/>
      <c r="X406" s="87"/>
      <c r="Y406" s="87"/>
      <c r="Z406" s="87"/>
      <c r="AA406" s="87"/>
      <c r="AB406" s="87"/>
      <c r="AC406" s="243"/>
      <c r="AD406" s="234"/>
      <c r="AE406" s="234"/>
      <c r="AF406" s="234"/>
      <c r="AG406" s="9"/>
      <c r="AH406" s="87"/>
      <c r="AI406" s="87"/>
      <c r="AJ406" s="87"/>
      <c r="AK406" s="244"/>
      <c r="AL406" s="245"/>
      <c r="AM406" s="244"/>
      <c r="AN406" s="244"/>
      <c r="AO406" s="87"/>
      <c r="AP406" s="87"/>
      <c r="AQ406" s="87"/>
      <c r="AR406" s="87"/>
      <c r="AS406" s="87"/>
      <c r="AT406" s="87"/>
      <c r="AU406" s="87"/>
      <c r="AV406" s="87"/>
      <c r="AW406" s="87"/>
      <c r="AX406" s="87"/>
    </row>
    <row r="407">
      <c r="A407" s="9"/>
      <c r="B407" s="87"/>
      <c r="C407" s="87"/>
      <c r="D407" s="87"/>
      <c r="E407" s="9"/>
      <c r="F407" s="87"/>
      <c r="G407" s="87"/>
      <c r="H407" s="87"/>
      <c r="I407" s="9"/>
      <c r="J407" s="87"/>
      <c r="K407" s="87"/>
      <c r="L407" s="87"/>
      <c r="M407" s="9"/>
      <c r="N407" s="87"/>
      <c r="O407" s="87"/>
      <c r="P407" s="87"/>
      <c r="Q407" s="9"/>
      <c r="R407" s="87"/>
      <c r="S407" s="87"/>
      <c r="T407" s="87"/>
      <c r="U407" s="9"/>
      <c r="V407" s="87"/>
      <c r="W407" s="87"/>
      <c r="X407" s="87"/>
      <c r="Y407" s="87"/>
      <c r="Z407" s="87"/>
      <c r="AA407" s="87"/>
      <c r="AB407" s="87"/>
      <c r="AC407" s="243"/>
      <c r="AD407" s="234"/>
      <c r="AE407" s="234"/>
      <c r="AF407" s="234"/>
      <c r="AG407" s="9"/>
      <c r="AH407" s="87"/>
      <c r="AI407" s="87"/>
      <c r="AJ407" s="87"/>
      <c r="AK407" s="244"/>
      <c r="AL407" s="245"/>
      <c r="AM407" s="244"/>
      <c r="AN407" s="244"/>
      <c r="AO407" s="87"/>
      <c r="AP407" s="87"/>
      <c r="AQ407" s="87"/>
      <c r="AR407" s="87"/>
      <c r="AS407" s="87"/>
      <c r="AT407" s="87"/>
      <c r="AU407" s="87"/>
      <c r="AV407" s="87"/>
      <c r="AW407" s="87"/>
      <c r="AX407" s="87"/>
    </row>
    <row r="408">
      <c r="A408" s="9"/>
      <c r="B408" s="87"/>
      <c r="C408" s="87"/>
      <c r="D408" s="87"/>
      <c r="E408" s="9"/>
      <c r="F408" s="87"/>
      <c r="G408" s="87"/>
      <c r="H408" s="87"/>
      <c r="I408" s="9"/>
      <c r="J408" s="87"/>
      <c r="K408" s="87"/>
      <c r="L408" s="87"/>
      <c r="M408" s="9"/>
      <c r="N408" s="87"/>
      <c r="O408" s="87"/>
      <c r="P408" s="87"/>
      <c r="Q408" s="9"/>
      <c r="R408" s="87"/>
      <c r="S408" s="87"/>
      <c r="T408" s="87"/>
      <c r="U408" s="9"/>
      <c r="V408" s="87"/>
      <c r="W408" s="87"/>
      <c r="X408" s="87"/>
      <c r="Y408" s="87"/>
      <c r="Z408" s="87"/>
      <c r="AA408" s="87"/>
      <c r="AB408" s="87"/>
      <c r="AC408" s="243"/>
      <c r="AD408" s="234"/>
      <c r="AE408" s="234"/>
      <c r="AF408" s="234"/>
      <c r="AG408" s="9"/>
      <c r="AH408" s="87"/>
      <c r="AI408" s="87"/>
      <c r="AJ408" s="87"/>
      <c r="AK408" s="244"/>
      <c r="AL408" s="245"/>
      <c r="AM408" s="244"/>
      <c r="AN408" s="244"/>
      <c r="AO408" s="87"/>
      <c r="AP408" s="87"/>
      <c r="AQ408" s="87"/>
      <c r="AR408" s="87"/>
      <c r="AS408" s="87"/>
      <c r="AT408" s="87"/>
      <c r="AU408" s="87"/>
      <c r="AV408" s="87"/>
      <c r="AW408" s="87"/>
      <c r="AX408" s="87"/>
    </row>
    <row r="409">
      <c r="A409" s="9"/>
      <c r="B409" s="87"/>
      <c r="C409" s="87"/>
      <c r="D409" s="87"/>
      <c r="E409" s="9"/>
      <c r="F409" s="87"/>
      <c r="G409" s="87"/>
      <c r="H409" s="87"/>
      <c r="I409" s="9"/>
      <c r="J409" s="87"/>
      <c r="K409" s="87"/>
      <c r="L409" s="87"/>
      <c r="M409" s="9"/>
      <c r="N409" s="87"/>
      <c r="O409" s="87"/>
      <c r="P409" s="87"/>
      <c r="Q409" s="9"/>
      <c r="R409" s="87"/>
      <c r="S409" s="87"/>
      <c r="T409" s="87"/>
      <c r="U409" s="9"/>
      <c r="V409" s="87"/>
      <c r="W409" s="87"/>
      <c r="X409" s="87"/>
      <c r="Y409" s="87"/>
      <c r="Z409" s="87"/>
      <c r="AA409" s="87"/>
      <c r="AB409" s="87"/>
      <c r="AC409" s="243"/>
      <c r="AD409" s="234"/>
      <c r="AE409" s="234"/>
      <c r="AF409" s="234"/>
      <c r="AG409" s="9"/>
      <c r="AH409" s="87"/>
      <c r="AI409" s="87"/>
      <c r="AJ409" s="87"/>
      <c r="AK409" s="244"/>
      <c r="AL409" s="245"/>
      <c r="AM409" s="244"/>
      <c r="AN409" s="244"/>
      <c r="AO409" s="87"/>
      <c r="AP409" s="87"/>
      <c r="AQ409" s="87"/>
      <c r="AR409" s="87"/>
      <c r="AS409" s="87"/>
      <c r="AT409" s="87"/>
      <c r="AU409" s="87"/>
      <c r="AV409" s="87"/>
      <c r="AW409" s="87"/>
      <c r="AX409" s="87"/>
    </row>
    <row r="410">
      <c r="A410" s="9"/>
      <c r="B410" s="87"/>
      <c r="C410" s="87"/>
      <c r="D410" s="87"/>
      <c r="E410" s="9"/>
      <c r="F410" s="87"/>
      <c r="G410" s="87"/>
      <c r="H410" s="87"/>
      <c r="I410" s="9"/>
      <c r="J410" s="87"/>
      <c r="K410" s="87"/>
      <c r="L410" s="87"/>
      <c r="M410" s="9"/>
      <c r="N410" s="87"/>
      <c r="O410" s="87"/>
      <c r="P410" s="87"/>
      <c r="Q410" s="9"/>
      <c r="R410" s="87"/>
      <c r="S410" s="87"/>
      <c r="T410" s="87"/>
      <c r="U410" s="9"/>
      <c r="V410" s="87"/>
      <c r="W410" s="87"/>
      <c r="X410" s="87"/>
      <c r="Y410" s="87"/>
      <c r="Z410" s="87"/>
      <c r="AA410" s="87"/>
      <c r="AB410" s="87"/>
      <c r="AC410" s="243"/>
      <c r="AD410" s="234"/>
      <c r="AE410" s="234"/>
      <c r="AF410" s="234"/>
      <c r="AG410" s="9"/>
      <c r="AH410" s="87"/>
      <c r="AI410" s="87"/>
      <c r="AJ410" s="87"/>
      <c r="AK410" s="244"/>
      <c r="AL410" s="245"/>
      <c r="AM410" s="244"/>
      <c r="AN410" s="244"/>
      <c r="AO410" s="87"/>
      <c r="AP410" s="87"/>
      <c r="AQ410" s="87"/>
      <c r="AR410" s="87"/>
      <c r="AS410" s="87"/>
      <c r="AT410" s="87"/>
      <c r="AU410" s="87"/>
      <c r="AV410" s="87"/>
      <c r="AW410" s="87"/>
      <c r="AX410" s="87"/>
    </row>
    <row r="411">
      <c r="A411" s="9"/>
      <c r="B411" s="87"/>
      <c r="C411" s="87"/>
      <c r="D411" s="87"/>
      <c r="E411" s="9"/>
      <c r="F411" s="87"/>
      <c r="G411" s="87"/>
      <c r="H411" s="87"/>
      <c r="I411" s="9"/>
      <c r="J411" s="87"/>
      <c r="K411" s="87"/>
      <c r="L411" s="87"/>
      <c r="M411" s="9"/>
      <c r="N411" s="87"/>
      <c r="O411" s="87"/>
      <c r="P411" s="87"/>
      <c r="Q411" s="9"/>
      <c r="R411" s="87"/>
      <c r="S411" s="87"/>
      <c r="T411" s="87"/>
      <c r="U411" s="9"/>
      <c r="V411" s="87"/>
      <c r="W411" s="87"/>
      <c r="X411" s="87"/>
      <c r="Y411" s="87"/>
      <c r="Z411" s="87"/>
      <c r="AA411" s="87"/>
      <c r="AB411" s="87"/>
      <c r="AC411" s="243"/>
      <c r="AD411" s="234"/>
      <c r="AE411" s="234"/>
      <c r="AF411" s="234"/>
      <c r="AG411" s="9"/>
      <c r="AH411" s="87"/>
      <c r="AI411" s="87"/>
      <c r="AJ411" s="87"/>
      <c r="AK411" s="244"/>
      <c r="AL411" s="245"/>
      <c r="AM411" s="244"/>
      <c r="AN411" s="244"/>
      <c r="AO411" s="87"/>
      <c r="AP411" s="87"/>
      <c r="AQ411" s="87"/>
      <c r="AR411" s="87"/>
      <c r="AS411" s="87"/>
      <c r="AT411" s="87"/>
      <c r="AU411" s="87"/>
      <c r="AV411" s="87"/>
      <c r="AW411" s="87"/>
      <c r="AX411" s="87"/>
    </row>
    <row r="412">
      <c r="A412" s="9"/>
      <c r="B412" s="87"/>
      <c r="C412" s="87"/>
      <c r="D412" s="87"/>
      <c r="E412" s="9"/>
      <c r="F412" s="87"/>
      <c r="G412" s="87"/>
      <c r="H412" s="87"/>
      <c r="I412" s="9"/>
      <c r="J412" s="87"/>
      <c r="K412" s="87"/>
      <c r="L412" s="87"/>
      <c r="M412" s="9"/>
      <c r="N412" s="87"/>
      <c r="O412" s="87"/>
      <c r="P412" s="87"/>
      <c r="Q412" s="9"/>
      <c r="R412" s="87"/>
      <c r="S412" s="87"/>
      <c r="T412" s="87"/>
      <c r="U412" s="9"/>
      <c r="V412" s="87"/>
      <c r="W412" s="87"/>
      <c r="X412" s="87"/>
      <c r="Y412" s="87"/>
      <c r="Z412" s="87"/>
      <c r="AA412" s="87"/>
      <c r="AB412" s="87"/>
      <c r="AC412" s="243"/>
      <c r="AD412" s="234"/>
      <c r="AE412" s="234"/>
      <c r="AF412" s="234"/>
      <c r="AG412" s="9"/>
      <c r="AH412" s="87"/>
      <c r="AI412" s="87"/>
      <c r="AJ412" s="87"/>
      <c r="AK412" s="244"/>
      <c r="AL412" s="245"/>
      <c r="AM412" s="244"/>
      <c r="AN412" s="244"/>
      <c r="AO412" s="87"/>
      <c r="AP412" s="87"/>
      <c r="AQ412" s="87"/>
      <c r="AR412" s="87"/>
      <c r="AS412" s="87"/>
      <c r="AT412" s="87"/>
      <c r="AU412" s="87"/>
      <c r="AV412" s="87"/>
      <c r="AW412" s="87"/>
      <c r="AX412" s="87"/>
    </row>
    <row r="413">
      <c r="A413" s="9"/>
      <c r="B413" s="87"/>
      <c r="C413" s="87"/>
      <c r="D413" s="87"/>
      <c r="E413" s="9"/>
      <c r="F413" s="87"/>
      <c r="G413" s="87"/>
      <c r="H413" s="87"/>
      <c r="I413" s="9"/>
      <c r="J413" s="87"/>
      <c r="K413" s="87"/>
      <c r="L413" s="87"/>
      <c r="M413" s="9"/>
      <c r="N413" s="87"/>
      <c r="O413" s="87"/>
      <c r="P413" s="87"/>
      <c r="Q413" s="9"/>
      <c r="R413" s="87"/>
      <c r="S413" s="87"/>
      <c r="T413" s="87"/>
      <c r="U413" s="9"/>
      <c r="V413" s="87"/>
      <c r="W413" s="87"/>
      <c r="X413" s="87"/>
      <c r="Y413" s="87"/>
      <c r="Z413" s="87"/>
      <c r="AA413" s="87"/>
      <c r="AB413" s="87"/>
      <c r="AC413" s="243"/>
      <c r="AD413" s="234"/>
      <c r="AE413" s="234"/>
      <c r="AF413" s="234"/>
      <c r="AG413" s="9"/>
      <c r="AH413" s="87"/>
      <c r="AI413" s="87"/>
      <c r="AJ413" s="87"/>
      <c r="AK413" s="244"/>
      <c r="AL413" s="245"/>
      <c r="AM413" s="244"/>
      <c r="AN413" s="244"/>
      <c r="AO413" s="87"/>
      <c r="AP413" s="87"/>
      <c r="AQ413" s="87"/>
      <c r="AR413" s="87"/>
      <c r="AS413" s="87"/>
      <c r="AT413" s="87"/>
      <c r="AU413" s="87"/>
      <c r="AV413" s="87"/>
      <c r="AW413" s="87"/>
      <c r="AX413" s="87"/>
    </row>
    <row r="414">
      <c r="A414" s="9"/>
      <c r="B414" s="87"/>
      <c r="C414" s="87"/>
      <c r="D414" s="87"/>
      <c r="E414" s="9"/>
      <c r="F414" s="87"/>
      <c r="G414" s="87"/>
      <c r="H414" s="87"/>
      <c r="I414" s="9"/>
      <c r="J414" s="87"/>
      <c r="K414" s="87"/>
      <c r="L414" s="87"/>
      <c r="M414" s="9"/>
      <c r="N414" s="87"/>
      <c r="O414" s="87"/>
      <c r="P414" s="87"/>
      <c r="Q414" s="9"/>
      <c r="R414" s="87"/>
      <c r="S414" s="87"/>
      <c r="T414" s="87"/>
      <c r="U414" s="9"/>
      <c r="V414" s="87"/>
      <c r="W414" s="87"/>
      <c r="X414" s="87"/>
      <c r="Y414" s="87"/>
      <c r="Z414" s="87"/>
      <c r="AA414" s="87"/>
      <c r="AB414" s="87"/>
      <c r="AC414" s="243"/>
      <c r="AD414" s="234"/>
      <c r="AE414" s="234"/>
      <c r="AF414" s="234"/>
      <c r="AG414" s="9"/>
      <c r="AH414" s="87"/>
      <c r="AI414" s="87"/>
      <c r="AJ414" s="87"/>
      <c r="AK414" s="244"/>
      <c r="AL414" s="245"/>
      <c r="AM414" s="244"/>
      <c r="AN414" s="244"/>
      <c r="AO414" s="87"/>
      <c r="AP414" s="87"/>
      <c r="AQ414" s="87"/>
      <c r="AR414" s="87"/>
      <c r="AS414" s="87"/>
      <c r="AT414" s="87"/>
      <c r="AU414" s="87"/>
      <c r="AV414" s="87"/>
      <c r="AW414" s="87"/>
      <c r="AX414" s="87"/>
    </row>
    <row r="415">
      <c r="A415" s="9"/>
      <c r="B415" s="87"/>
      <c r="C415" s="87"/>
      <c r="D415" s="87"/>
      <c r="E415" s="9"/>
      <c r="F415" s="87"/>
      <c r="G415" s="87"/>
      <c r="H415" s="87"/>
      <c r="I415" s="9"/>
      <c r="J415" s="87"/>
      <c r="K415" s="87"/>
      <c r="L415" s="87"/>
      <c r="M415" s="9"/>
      <c r="N415" s="87"/>
      <c r="O415" s="87"/>
      <c r="P415" s="87"/>
      <c r="Q415" s="9"/>
      <c r="R415" s="87"/>
      <c r="S415" s="87"/>
      <c r="T415" s="87"/>
      <c r="U415" s="9"/>
      <c r="V415" s="87"/>
      <c r="W415" s="87"/>
      <c r="X415" s="87"/>
      <c r="Y415" s="87"/>
      <c r="Z415" s="87"/>
      <c r="AA415" s="87"/>
      <c r="AB415" s="87"/>
      <c r="AC415" s="243"/>
      <c r="AD415" s="234"/>
      <c r="AE415" s="234"/>
      <c r="AF415" s="234"/>
      <c r="AG415" s="9"/>
      <c r="AH415" s="87"/>
      <c r="AI415" s="87"/>
      <c r="AJ415" s="87"/>
      <c r="AK415" s="244"/>
      <c r="AL415" s="245"/>
      <c r="AM415" s="244"/>
      <c r="AN415" s="244"/>
      <c r="AO415" s="87"/>
      <c r="AP415" s="87"/>
      <c r="AQ415" s="87"/>
      <c r="AR415" s="87"/>
      <c r="AS415" s="87"/>
      <c r="AT415" s="87"/>
      <c r="AU415" s="87"/>
      <c r="AV415" s="87"/>
      <c r="AW415" s="87"/>
      <c r="AX415" s="87"/>
    </row>
    <row r="416">
      <c r="A416" s="9"/>
      <c r="B416" s="87"/>
      <c r="C416" s="87"/>
      <c r="D416" s="87"/>
      <c r="E416" s="9"/>
      <c r="F416" s="87"/>
      <c r="G416" s="87"/>
      <c r="H416" s="87"/>
      <c r="I416" s="9"/>
      <c r="J416" s="87"/>
      <c r="K416" s="87"/>
      <c r="L416" s="87"/>
      <c r="M416" s="9"/>
      <c r="N416" s="87"/>
      <c r="O416" s="87"/>
      <c r="P416" s="87"/>
      <c r="Q416" s="9"/>
      <c r="R416" s="87"/>
      <c r="S416" s="87"/>
      <c r="T416" s="87"/>
      <c r="U416" s="9"/>
      <c r="V416" s="87"/>
      <c r="W416" s="87"/>
      <c r="X416" s="87"/>
      <c r="Y416" s="87"/>
      <c r="Z416" s="87"/>
      <c r="AA416" s="87"/>
      <c r="AB416" s="87"/>
      <c r="AC416" s="243"/>
      <c r="AD416" s="234"/>
      <c r="AE416" s="234"/>
      <c r="AF416" s="234"/>
      <c r="AG416" s="9"/>
      <c r="AH416" s="87"/>
      <c r="AI416" s="87"/>
      <c r="AJ416" s="87"/>
      <c r="AK416" s="244"/>
      <c r="AL416" s="245"/>
      <c r="AM416" s="244"/>
      <c r="AN416" s="244"/>
      <c r="AO416" s="87"/>
      <c r="AP416" s="87"/>
      <c r="AQ416" s="87"/>
      <c r="AR416" s="87"/>
      <c r="AS416" s="87"/>
      <c r="AT416" s="87"/>
      <c r="AU416" s="87"/>
      <c r="AV416" s="87"/>
      <c r="AW416" s="87"/>
      <c r="AX416" s="87"/>
    </row>
    <row r="417">
      <c r="A417" s="9"/>
      <c r="B417" s="87"/>
      <c r="C417" s="87"/>
      <c r="D417" s="87"/>
      <c r="E417" s="9"/>
      <c r="F417" s="87"/>
      <c r="G417" s="87"/>
      <c r="H417" s="87"/>
      <c r="I417" s="9"/>
      <c r="J417" s="87"/>
      <c r="K417" s="87"/>
      <c r="L417" s="87"/>
      <c r="M417" s="9"/>
      <c r="N417" s="87"/>
      <c r="O417" s="87"/>
      <c r="P417" s="87"/>
      <c r="Q417" s="9"/>
      <c r="R417" s="87"/>
      <c r="S417" s="87"/>
      <c r="T417" s="87"/>
      <c r="U417" s="9"/>
      <c r="V417" s="87"/>
      <c r="W417" s="87"/>
      <c r="X417" s="87"/>
      <c r="Y417" s="87"/>
      <c r="Z417" s="87"/>
      <c r="AA417" s="87"/>
      <c r="AB417" s="87"/>
      <c r="AC417" s="243"/>
      <c r="AD417" s="234"/>
      <c r="AE417" s="234"/>
      <c r="AF417" s="234"/>
      <c r="AG417" s="9"/>
      <c r="AH417" s="87"/>
      <c r="AI417" s="87"/>
      <c r="AJ417" s="87"/>
      <c r="AK417" s="244"/>
      <c r="AL417" s="245"/>
      <c r="AM417" s="244"/>
      <c r="AN417" s="244"/>
      <c r="AO417" s="87"/>
      <c r="AP417" s="87"/>
      <c r="AQ417" s="87"/>
      <c r="AR417" s="87"/>
      <c r="AS417" s="87"/>
      <c r="AT417" s="87"/>
      <c r="AU417" s="87"/>
      <c r="AV417" s="87"/>
      <c r="AW417" s="87"/>
      <c r="AX417" s="87"/>
    </row>
    <row r="418">
      <c r="A418" s="9"/>
      <c r="B418" s="87"/>
      <c r="C418" s="87"/>
      <c r="D418" s="87"/>
      <c r="E418" s="9"/>
      <c r="F418" s="87"/>
      <c r="G418" s="87"/>
      <c r="H418" s="87"/>
      <c r="I418" s="9"/>
      <c r="J418" s="87"/>
      <c r="K418" s="87"/>
      <c r="L418" s="87"/>
      <c r="M418" s="9"/>
      <c r="N418" s="87"/>
      <c r="O418" s="87"/>
      <c r="P418" s="87"/>
      <c r="Q418" s="9"/>
      <c r="R418" s="87"/>
      <c r="S418" s="87"/>
      <c r="T418" s="87"/>
      <c r="U418" s="9"/>
      <c r="V418" s="87"/>
      <c r="W418" s="87"/>
      <c r="X418" s="87"/>
      <c r="Y418" s="87"/>
      <c r="Z418" s="87"/>
      <c r="AA418" s="87"/>
      <c r="AB418" s="87"/>
      <c r="AC418" s="243"/>
      <c r="AD418" s="234"/>
      <c r="AE418" s="234"/>
      <c r="AF418" s="234"/>
      <c r="AG418" s="9"/>
      <c r="AH418" s="87"/>
      <c r="AI418" s="87"/>
      <c r="AJ418" s="87"/>
      <c r="AK418" s="244"/>
      <c r="AL418" s="245"/>
      <c r="AM418" s="244"/>
      <c r="AN418" s="244"/>
      <c r="AO418" s="87"/>
      <c r="AP418" s="87"/>
      <c r="AQ418" s="87"/>
      <c r="AR418" s="87"/>
      <c r="AS418" s="87"/>
      <c r="AT418" s="87"/>
      <c r="AU418" s="87"/>
      <c r="AV418" s="87"/>
      <c r="AW418" s="87"/>
      <c r="AX418" s="87"/>
    </row>
    <row r="419">
      <c r="A419" s="9"/>
      <c r="B419" s="87"/>
      <c r="C419" s="87"/>
      <c r="D419" s="87"/>
      <c r="E419" s="9"/>
      <c r="F419" s="87"/>
      <c r="G419" s="87"/>
      <c r="H419" s="87"/>
      <c r="I419" s="9"/>
      <c r="J419" s="87"/>
      <c r="K419" s="87"/>
      <c r="L419" s="87"/>
      <c r="M419" s="9"/>
      <c r="N419" s="87"/>
      <c r="O419" s="87"/>
      <c r="P419" s="87"/>
      <c r="Q419" s="9"/>
      <c r="R419" s="87"/>
      <c r="S419" s="87"/>
      <c r="T419" s="87"/>
      <c r="U419" s="9"/>
      <c r="V419" s="87"/>
      <c r="W419" s="87"/>
      <c r="X419" s="87"/>
      <c r="Y419" s="87"/>
      <c r="Z419" s="87"/>
      <c r="AA419" s="87"/>
      <c r="AB419" s="87"/>
      <c r="AC419" s="243"/>
      <c r="AD419" s="234"/>
      <c r="AE419" s="234"/>
      <c r="AF419" s="234"/>
      <c r="AG419" s="9"/>
      <c r="AH419" s="87"/>
      <c r="AI419" s="87"/>
      <c r="AJ419" s="87"/>
      <c r="AK419" s="244"/>
      <c r="AL419" s="245"/>
      <c r="AM419" s="244"/>
      <c r="AN419" s="244"/>
      <c r="AO419" s="87"/>
      <c r="AP419" s="87"/>
      <c r="AQ419" s="87"/>
      <c r="AR419" s="87"/>
      <c r="AS419" s="87"/>
      <c r="AT419" s="87"/>
      <c r="AU419" s="87"/>
      <c r="AV419" s="87"/>
      <c r="AW419" s="87"/>
      <c r="AX419" s="87"/>
    </row>
    <row r="420">
      <c r="A420" s="9"/>
      <c r="B420" s="87"/>
      <c r="C420" s="87"/>
      <c r="D420" s="87"/>
      <c r="E420" s="9"/>
      <c r="F420" s="87"/>
      <c r="G420" s="87"/>
      <c r="H420" s="87"/>
      <c r="I420" s="9"/>
      <c r="J420" s="87"/>
      <c r="K420" s="87"/>
      <c r="L420" s="87"/>
      <c r="M420" s="9"/>
      <c r="N420" s="87"/>
      <c r="O420" s="87"/>
      <c r="P420" s="87"/>
      <c r="Q420" s="9"/>
      <c r="R420" s="87"/>
      <c r="S420" s="87"/>
      <c r="T420" s="87"/>
      <c r="U420" s="9"/>
      <c r="V420" s="87"/>
      <c r="W420" s="87"/>
      <c r="X420" s="87"/>
      <c r="Y420" s="87"/>
      <c r="Z420" s="87"/>
      <c r="AA420" s="87"/>
      <c r="AB420" s="87"/>
      <c r="AC420" s="243"/>
      <c r="AD420" s="234"/>
      <c r="AE420" s="234"/>
      <c r="AF420" s="234"/>
      <c r="AG420" s="9"/>
      <c r="AH420" s="87"/>
      <c r="AI420" s="87"/>
      <c r="AJ420" s="87"/>
      <c r="AK420" s="244"/>
      <c r="AL420" s="245"/>
      <c r="AM420" s="244"/>
      <c r="AN420" s="244"/>
      <c r="AO420" s="87"/>
      <c r="AP420" s="87"/>
      <c r="AQ420" s="87"/>
      <c r="AR420" s="87"/>
      <c r="AS420" s="87"/>
      <c r="AT420" s="87"/>
      <c r="AU420" s="87"/>
      <c r="AV420" s="87"/>
      <c r="AW420" s="87"/>
      <c r="AX420" s="87"/>
    </row>
    <row r="421">
      <c r="A421" s="9"/>
      <c r="B421" s="87"/>
      <c r="C421" s="87"/>
      <c r="D421" s="87"/>
      <c r="E421" s="9"/>
      <c r="F421" s="87"/>
      <c r="G421" s="87"/>
      <c r="H421" s="87"/>
      <c r="I421" s="9"/>
      <c r="J421" s="87"/>
      <c r="K421" s="87"/>
      <c r="L421" s="87"/>
      <c r="M421" s="9"/>
      <c r="N421" s="87"/>
      <c r="O421" s="87"/>
      <c r="P421" s="87"/>
      <c r="Q421" s="9"/>
      <c r="R421" s="87"/>
      <c r="S421" s="87"/>
      <c r="T421" s="87"/>
      <c r="U421" s="9"/>
      <c r="V421" s="87"/>
      <c r="W421" s="87"/>
      <c r="X421" s="87"/>
      <c r="Y421" s="87"/>
      <c r="Z421" s="87"/>
      <c r="AA421" s="87"/>
      <c r="AB421" s="87"/>
      <c r="AC421" s="243"/>
      <c r="AD421" s="234"/>
      <c r="AE421" s="234"/>
      <c r="AF421" s="234"/>
      <c r="AG421" s="9"/>
      <c r="AH421" s="87"/>
      <c r="AI421" s="87"/>
      <c r="AJ421" s="87"/>
      <c r="AK421" s="244"/>
      <c r="AL421" s="245"/>
      <c r="AM421" s="244"/>
      <c r="AN421" s="244"/>
      <c r="AO421" s="87"/>
      <c r="AP421" s="87"/>
      <c r="AQ421" s="87"/>
      <c r="AR421" s="87"/>
      <c r="AS421" s="87"/>
      <c r="AT421" s="87"/>
      <c r="AU421" s="87"/>
      <c r="AV421" s="87"/>
      <c r="AW421" s="87"/>
      <c r="AX421" s="87"/>
    </row>
    <row r="422">
      <c r="A422" s="9"/>
      <c r="B422" s="87"/>
      <c r="C422" s="87"/>
      <c r="D422" s="87"/>
      <c r="E422" s="9"/>
      <c r="F422" s="87"/>
      <c r="G422" s="87"/>
      <c r="H422" s="87"/>
      <c r="I422" s="9"/>
      <c r="J422" s="87"/>
      <c r="K422" s="87"/>
      <c r="L422" s="87"/>
      <c r="M422" s="9"/>
      <c r="N422" s="87"/>
      <c r="O422" s="87"/>
      <c r="P422" s="87"/>
      <c r="Q422" s="9"/>
      <c r="R422" s="87"/>
      <c r="S422" s="87"/>
      <c r="T422" s="87"/>
      <c r="U422" s="9"/>
      <c r="V422" s="87"/>
      <c r="W422" s="87"/>
      <c r="X422" s="87"/>
      <c r="Y422" s="87"/>
      <c r="Z422" s="87"/>
      <c r="AA422" s="87"/>
      <c r="AB422" s="87"/>
      <c r="AC422" s="243"/>
      <c r="AD422" s="234"/>
      <c r="AE422" s="234"/>
      <c r="AF422" s="234"/>
      <c r="AG422" s="9"/>
      <c r="AH422" s="87"/>
      <c r="AI422" s="87"/>
      <c r="AJ422" s="87"/>
      <c r="AK422" s="244"/>
      <c r="AL422" s="245"/>
      <c r="AM422" s="244"/>
      <c r="AN422" s="244"/>
      <c r="AO422" s="87"/>
      <c r="AP422" s="87"/>
      <c r="AQ422" s="87"/>
      <c r="AR422" s="87"/>
      <c r="AS422" s="87"/>
      <c r="AT422" s="87"/>
      <c r="AU422" s="87"/>
      <c r="AV422" s="87"/>
      <c r="AW422" s="87"/>
      <c r="AX422" s="87"/>
    </row>
    <row r="423">
      <c r="A423" s="9"/>
      <c r="B423" s="87"/>
      <c r="C423" s="87"/>
      <c r="D423" s="87"/>
      <c r="E423" s="9"/>
      <c r="F423" s="87"/>
      <c r="G423" s="87"/>
      <c r="H423" s="87"/>
      <c r="I423" s="9"/>
      <c r="J423" s="87"/>
      <c r="K423" s="87"/>
      <c r="L423" s="87"/>
      <c r="M423" s="9"/>
      <c r="N423" s="87"/>
      <c r="O423" s="87"/>
      <c r="P423" s="87"/>
      <c r="Q423" s="9"/>
      <c r="R423" s="87"/>
      <c r="S423" s="87"/>
      <c r="T423" s="87"/>
      <c r="U423" s="9"/>
      <c r="V423" s="87"/>
      <c r="W423" s="87"/>
      <c r="X423" s="87"/>
      <c r="Y423" s="87"/>
      <c r="Z423" s="87"/>
      <c r="AA423" s="87"/>
      <c r="AB423" s="87"/>
      <c r="AC423" s="243"/>
      <c r="AD423" s="234"/>
      <c r="AE423" s="234"/>
      <c r="AF423" s="234"/>
      <c r="AG423" s="9"/>
      <c r="AH423" s="87"/>
      <c r="AI423" s="87"/>
      <c r="AJ423" s="87"/>
      <c r="AK423" s="244"/>
      <c r="AL423" s="245"/>
      <c r="AM423" s="244"/>
      <c r="AN423" s="244"/>
      <c r="AO423" s="87"/>
      <c r="AP423" s="87"/>
      <c r="AQ423" s="87"/>
      <c r="AR423" s="87"/>
      <c r="AS423" s="87"/>
      <c r="AT423" s="87"/>
      <c r="AU423" s="87"/>
      <c r="AV423" s="87"/>
      <c r="AW423" s="87"/>
      <c r="AX423" s="87"/>
    </row>
    <row r="424">
      <c r="A424" s="9"/>
      <c r="B424" s="87"/>
      <c r="C424" s="87"/>
      <c r="D424" s="87"/>
      <c r="E424" s="9"/>
      <c r="F424" s="87"/>
      <c r="G424" s="87"/>
      <c r="H424" s="87"/>
      <c r="I424" s="9"/>
      <c r="J424" s="87"/>
      <c r="K424" s="87"/>
      <c r="L424" s="87"/>
      <c r="M424" s="9"/>
      <c r="N424" s="87"/>
      <c r="O424" s="87"/>
      <c r="P424" s="87"/>
      <c r="Q424" s="9"/>
      <c r="R424" s="87"/>
      <c r="S424" s="87"/>
      <c r="T424" s="87"/>
      <c r="U424" s="9"/>
      <c r="V424" s="87"/>
      <c r="W424" s="87"/>
      <c r="X424" s="87"/>
      <c r="Y424" s="87"/>
      <c r="Z424" s="87"/>
      <c r="AA424" s="87"/>
      <c r="AB424" s="87"/>
      <c r="AC424" s="243"/>
      <c r="AD424" s="234"/>
      <c r="AE424" s="234"/>
      <c r="AF424" s="234"/>
      <c r="AG424" s="9"/>
      <c r="AH424" s="87"/>
      <c r="AI424" s="87"/>
      <c r="AJ424" s="87"/>
      <c r="AK424" s="244"/>
      <c r="AL424" s="245"/>
      <c r="AM424" s="244"/>
      <c r="AN424" s="244"/>
      <c r="AO424" s="87"/>
      <c r="AP424" s="87"/>
      <c r="AQ424" s="87"/>
      <c r="AR424" s="87"/>
      <c r="AS424" s="87"/>
      <c r="AT424" s="87"/>
      <c r="AU424" s="87"/>
      <c r="AV424" s="87"/>
      <c r="AW424" s="87"/>
      <c r="AX424" s="87"/>
    </row>
    <row r="425">
      <c r="A425" s="9"/>
      <c r="B425" s="87"/>
      <c r="C425" s="87"/>
      <c r="D425" s="87"/>
      <c r="E425" s="9"/>
      <c r="F425" s="87"/>
      <c r="G425" s="87"/>
      <c r="H425" s="87"/>
      <c r="I425" s="9"/>
      <c r="J425" s="87"/>
      <c r="K425" s="87"/>
      <c r="L425" s="87"/>
      <c r="M425" s="9"/>
      <c r="N425" s="87"/>
      <c r="O425" s="87"/>
      <c r="P425" s="87"/>
      <c r="Q425" s="9"/>
      <c r="R425" s="87"/>
      <c r="S425" s="87"/>
      <c r="T425" s="87"/>
      <c r="U425" s="9"/>
      <c r="V425" s="87"/>
      <c r="W425" s="87"/>
      <c r="X425" s="87"/>
      <c r="Y425" s="87"/>
      <c r="Z425" s="87"/>
      <c r="AA425" s="87"/>
      <c r="AB425" s="87"/>
      <c r="AC425" s="243"/>
      <c r="AD425" s="234"/>
      <c r="AE425" s="234"/>
      <c r="AF425" s="234"/>
      <c r="AG425" s="9"/>
      <c r="AH425" s="87"/>
      <c r="AI425" s="87"/>
      <c r="AJ425" s="87"/>
      <c r="AK425" s="244"/>
      <c r="AL425" s="245"/>
      <c r="AM425" s="244"/>
      <c r="AN425" s="244"/>
      <c r="AO425" s="87"/>
      <c r="AP425" s="87"/>
      <c r="AQ425" s="87"/>
      <c r="AR425" s="87"/>
      <c r="AS425" s="87"/>
      <c r="AT425" s="87"/>
      <c r="AU425" s="87"/>
      <c r="AV425" s="87"/>
      <c r="AW425" s="87"/>
      <c r="AX425" s="87"/>
    </row>
    <row r="426">
      <c r="A426" s="9"/>
      <c r="B426" s="87"/>
      <c r="C426" s="87"/>
      <c r="D426" s="87"/>
      <c r="E426" s="9"/>
      <c r="F426" s="87"/>
      <c r="G426" s="87"/>
      <c r="H426" s="87"/>
      <c r="I426" s="9"/>
      <c r="J426" s="87"/>
      <c r="K426" s="87"/>
      <c r="L426" s="87"/>
      <c r="M426" s="9"/>
      <c r="N426" s="87"/>
      <c r="O426" s="87"/>
      <c r="P426" s="87"/>
      <c r="Q426" s="9"/>
      <c r="R426" s="87"/>
      <c r="S426" s="87"/>
      <c r="T426" s="87"/>
      <c r="U426" s="9"/>
      <c r="V426" s="87"/>
      <c r="W426" s="87"/>
      <c r="X426" s="87"/>
      <c r="Y426" s="87"/>
      <c r="Z426" s="87"/>
      <c r="AA426" s="87"/>
      <c r="AB426" s="87"/>
      <c r="AC426" s="243"/>
      <c r="AD426" s="234"/>
      <c r="AE426" s="234"/>
      <c r="AF426" s="234"/>
      <c r="AG426" s="9"/>
      <c r="AH426" s="87"/>
      <c r="AI426" s="87"/>
      <c r="AJ426" s="87"/>
      <c r="AK426" s="244"/>
      <c r="AL426" s="245"/>
      <c r="AM426" s="244"/>
      <c r="AN426" s="244"/>
      <c r="AO426" s="87"/>
      <c r="AP426" s="87"/>
      <c r="AQ426" s="87"/>
      <c r="AR426" s="87"/>
      <c r="AS426" s="87"/>
      <c r="AT426" s="87"/>
      <c r="AU426" s="87"/>
      <c r="AV426" s="87"/>
      <c r="AW426" s="87"/>
      <c r="AX426" s="87"/>
    </row>
    <row r="427">
      <c r="A427" s="9"/>
      <c r="B427" s="87"/>
      <c r="C427" s="87"/>
      <c r="D427" s="87"/>
      <c r="E427" s="9"/>
      <c r="F427" s="87"/>
      <c r="G427" s="87"/>
      <c r="H427" s="87"/>
      <c r="I427" s="9"/>
      <c r="J427" s="87"/>
      <c r="K427" s="87"/>
      <c r="L427" s="87"/>
      <c r="M427" s="9"/>
      <c r="N427" s="87"/>
      <c r="O427" s="87"/>
      <c r="P427" s="87"/>
      <c r="Q427" s="9"/>
      <c r="R427" s="87"/>
      <c r="S427" s="87"/>
      <c r="T427" s="87"/>
      <c r="U427" s="9"/>
      <c r="V427" s="87"/>
      <c r="W427" s="87"/>
      <c r="X427" s="87"/>
      <c r="Y427" s="87"/>
      <c r="Z427" s="87"/>
      <c r="AA427" s="87"/>
      <c r="AB427" s="87"/>
      <c r="AC427" s="243"/>
      <c r="AD427" s="234"/>
      <c r="AE427" s="234"/>
      <c r="AF427" s="234"/>
      <c r="AG427" s="9"/>
      <c r="AH427" s="87"/>
      <c r="AI427" s="87"/>
      <c r="AJ427" s="87"/>
      <c r="AK427" s="244"/>
      <c r="AL427" s="245"/>
      <c r="AM427" s="244"/>
      <c r="AN427" s="244"/>
      <c r="AO427" s="87"/>
      <c r="AP427" s="87"/>
      <c r="AQ427" s="87"/>
      <c r="AR427" s="87"/>
      <c r="AS427" s="87"/>
      <c r="AT427" s="87"/>
      <c r="AU427" s="87"/>
      <c r="AV427" s="87"/>
      <c r="AW427" s="87"/>
      <c r="AX427" s="87"/>
    </row>
    <row r="428">
      <c r="A428" s="9"/>
      <c r="B428" s="87"/>
      <c r="C428" s="87"/>
      <c r="D428" s="87"/>
      <c r="E428" s="9"/>
      <c r="F428" s="87"/>
      <c r="G428" s="87"/>
      <c r="H428" s="87"/>
      <c r="I428" s="9"/>
      <c r="J428" s="87"/>
      <c r="K428" s="87"/>
      <c r="L428" s="87"/>
      <c r="M428" s="9"/>
      <c r="N428" s="87"/>
      <c r="O428" s="87"/>
      <c r="P428" s="87"/>
      <c r="Q428" s="9"/>
      <c r="R428" s="87"/>
      <c r="S428" s="87"/>
      <c r="T428" s="87"/>
      <c r="U428" s="9"/>
      <c r="V428" s="87"/>
      <c r="W428" s="87"/>
      <c r="X428" s="87"/>
      <c r="Y428" s="87"/>
      <c r="Z428" s="87"/>
      <c r="AA428" s="87"/>
      <c r="AB428" s="87"/>
      <c r="AC428" s="243"/>
      <c r="AD428" s="234"/>
      <c r="AE428" s="234"/>
      <c r="AF428" s="234"/>
      <c r="AG428" s="9"/>
      <c r="AH428" s="87"/>
      <c r="AI428" s="87"/>
      <c r="AJ428" s="87"/>
      <c r="AK428" s="244"/>
      <c r="AL428" s="245"/>
      <c r="AM428" s="244"/>
      <c r="AN428" s="244"/>
      <c r="AO428" s="87"/>
      <c r="AP428" s="87"/>
      <c r="AQ428" s="87"/>
      <c r="AR428" s="87"/>
      <c r="AS428" s="87"/>
      <c r="AT428" s="87"/>
      <c r="AU428" s="87"/>
      <c r="AV428" s="87"/>
      <c r="AW428" s="87"/>
      <c r="AX428" s="87"/>
    </row>
    <row r="429">
      <c r="A429" s="9"/>
      <c r="B429" s="87"/>
      <c r="C429" s="87"/>
      <c r="D429" s="87"/>
      <c r="E429" s="9"/>
      <c r="F429" s="87"/>
      <c r="G429" s="87"/>
      <c r="H429" s="87"/>
      <c r="I429" s="9"/>
      <c r="J429" s="87"/>
      <c r="K429" s="87"/>
      <c r="L429" s="87"/>
      <c r="M429" s="9"/>
      <c r="N429" s="87"/>
      <c r="O429" s="87"/>
      <c r="P429" s="87"/>
      <c r="Q429" s="9"/>
      <c r="R429" s="87"/>
      <c r="S429" s="87"/>
      <c r="T429" s="87"/>
      <c r="U429" s="9"/>
      <c r="V429" s="87"/>
      <c r="W429" s="87"/>
      <c r="X429" s="87"/>
      <c r="Y429" s="87"/>
      <c r="Z429" s="87"/>
      <c r="AA429" s="87"/>
      <c r="AB429" s="87"/>
      <c r="AC429" s="243"/>
      <c r="AD429" s="234"/>
      <c r="AE429" s="234"/>
      <c r="AF429" s="234"/>
      <c r="AG429" s="9"/>
      <c r="AH429" s="87"/>
      <c r="AI429" s="87"/>
      <c r="AJ429" s="87"/>
      <c r="AK429" s="244"/>
      <c r="AL429" s="245"/>
      <c r="AM429" s="244"/>
      <c r="AN429" s="244"/>
      <c r="AO429" s="87"/>
      <c r="AP429" s="87"/>
      <c r="AQ429" s="87"/>
      <c r="AR429" s="87"/>
      <c r="AS429" s="87"/>
      <c r="AT429" s="87"/>
      <c r="AU429" s="87"/>
      <c r="AV429" s="87"/>
      <c r="AW429" s="87"/>
      <c r="AX429" s="87"/>
    </row>
    <row r="430">
      <c r="A430" s="9"/>
      <c r="B430" s="87"/>
      <c r="C430" s="87"/>
      <c r="D430" s="87"/>
      <c r="E430" s="9"/>
      <c r="F430" s="87"/>
      <c r="G430" s="87"/>
      <c r="H430" s="87"/>
      <c r="I430" s="9"/>
      <c r="J430" s="87"/>
      <c r="K430" s="87"/>
      <c r="L430" s="87"/>
      <c r="M430" s="9"/>
      <c r="N430" s="87"/>
      <c r="O430" s="87"/>
      <c r="P430" s="87"/>
      <c r="Q430" s="9"/>
      <c r="R430" s="87"/>
      <c r="S430" s="87"/>
      <c r="T430" s="87"/>
      <c r="U430" s="9"/>
      <c r="V430" s="87"/>
      <c r="W430" s="87"/>
      <c r="X430" s="87"/>
      <c r="Y430" s="87"/>
      <c r="Z430" s="87"/>
      <c r="AA430" s="87"/>
      <c r="AB430" s="87"/>
      <c r="AC430" s="243"/>
      <c r="AD430" s="234"/>
      <c r="AE430" s="234"/>
      <c r="AF430" s="234"/>
      <c r="AG430" s="9"/>
      <c r="AH430" s="87"/>
      <c r="AI430" s="87"/>
      <c r="AJ430" s="87"/>
      <c r="AK430" s="244"/>
      <c r="AL430" s="245"/>
      <c r="AM430" s="244"/>
      <c r="AN430" s="244"/>
      <c r="AO430" s="87"/>
      <c r="AP430" s="87"/>
      <c r="AQ430" s="87"/>
      <c r="AR430" s="87"/>
      <c r="AS430" s="87"/>
      <c r="AT430" s="87"/>
      <c r="AU430" s="87"/>
      <c r="AV430" s="87"/>
      <c r="AW430" s="87"/>
      <c r="AX430" s="87"/>
    </row>
    <row r="431">
      <c r="A431" s="9"/>
      <c r="B431" s="87"/>
      <c r="C431" s="87"/>
      <c r="D431" s="87"/>
      <c r="E431" s="9"/>
      <c r="F431" s="87"/>
      <c r="G431" s="87"/>
      <c r="H431" s="87"/>
      <c r="I431" s="9"/>
      <c r="J431" s="87"/>
      <c r="K431" s="87"/>
      <c r="L431" s="87"/>
      <c r="M431" s="9"/>
      <c r="N431" s="87"/>
      <c r="O431" s="87"/>
      <c r="P431" s="87"/>
      <c r="Q431" s="9"/>
      <c r="R431" s="87"/>
      <c r="S431" s="87"/>
      <c r="T431" s="87"/>
      <c r="U431" s="9"/>
      <c r="V431" s="87"/>
      <c r="W431" s="87"/>
      <c r="X431" s="87"/>
      <c r="Y431" s="87"/>
      <c r="Z431" s="87"/>
      <c r="AA431" s="87"/>
      <c r="AB431" s="87"/>
      <c r="AC431" s="243"/>
      <c r="AD431" s="234"/>
      <c r="AE431" s="234"/>
      <c r="AF431" s="234"/>
      <c r="AG431" s="9"/>
      <c r="AH431" s="87"/>
      <c r="AI431" s="87"/>
      <c r="AJ431" s="87"/>
      <c r="AK431" s="244"/>
      <c r="AL431" s="245"/>
      <c r="AM431" s="244"/>
      <c r="AN431" s="244"/>
      <c r="AO431" s="87"/>
      <c r="AP431" s="87"/>
      <c r="AQ431" s="87"/>
      <c r="AR431" s="87"/>
      <c r="AS431" s="87"/>
      <c r="AT431" s="87"/>
      <c r="AU431" s="87"/>
      <c r="AV431" s="87"/>
      <c r="AW431" s="87"/>
      <c r="AX431" s="87"/>
    </row>
    <row r="432">
      <c r="A432" s="9"/>
      <c r="B432" s="87"/>
      <c r="C432" s="87"/>
      <c r="D432" s="87"/>
      <c r="E432" s="9"/>
      <c r="F432" s="87"/>
      <c r="G432" s="87"/>
      <c r="H432" s="87"/>
      <c r="I432" s="9"/>
      <c r="J432" s="87"/>
      <c r="K432" s="87"/>
      <c r="L432" s="87"/>
      <c r="M432" s="9"/>
      <c r="N432" s="87"/>
      <c r="O432" s="87"/>
      <c r="P432" s="87"/>
      <c r="Q432" s="9"/>
      <c r="R432" s="87"/>
      <c r="S432" s="87"/>
      <c r="T432" s="87"/>
      <c r="U432" s="9"/>
      <c r="V432" s="87"/>
      <c r="W432" s="87"/>
      <c r="X432" s="87"/>
      <c r="Y432" s="87"/>
      <c r="Z432" s="87"/>
      <c r="AA432" s="87"/>
      <c r="AB432" s="87"/>
      <c r="AC432" s="243"/>
      <c r="AD432" s="234"/>
      <c r="AE432" s="234"/>
      <c r="AF432" s="234"/>
      <c r="AG432" s="9"/>
      <c r="AH432" s="87"/>
      <c r="AI432" s="87"/>
      <c r="AJ432" s="87"/>
      <c r="AK432" s="244"/>
      <c r="AL432" s="245"/>
      <c r="AM432" s="244"/>
      <c r="AN432" s="244"/>
      <c r="AO432" s="87"/>
      <c r="AP432" s="87"/>
      <c r="AQ432" s="87"/>
      <c r="AR432" s="87"/>
      <c r="AS432" s="87"/>
      <c r="AT432" s="87"/>
      <c r="AU432" s="87"/>
      <c r="AV432" s="87"/>
      <c r="AW432" s="87"/>
      <c r="AX432" s="87"/>
    </row>
    <row r="433">
      <c r="A433" s="9"/>
      <c r="B433" s="87"/>
      <c r="C433" s="87"/>
      <c r="D433" s="87"/>
      <c r="E433" s="9"/>
      <c r="F433" s="87"/>
      <c r="G433" s="87"/>
      <c r="H433" s="87"/>
      <c r="I433" s="9"/>
      <c r="J433" s="87"/>
      <c r="K433" s="87"/>
      <c r="L433" s="87"/>
      <c r="M433" s="9"/>
      <c r="N433" s="87"/>
      <c r="O433" s="87"/>
      <c r="P433" s="87"/>
      <c r="Q433" s="9"/>
      <c r="R433" s="87"/>
      <c r="S433" s="87"/>
      <c r="T433" s="87"/>
      <c r="U433" s="9"/>
      <c r="V433" s="87"/>
      <c r="W433" s="87"/>
      <c r="X433" s="87"/>
      <c r="Y433" s="87"/>
      <c r="Z433" s="87"/>
      <c r="AA433" s="87"/>
      <c r="AB433" s="87"/>
      <c r="AC433" s="243"/>
      <c r="AD433" s="234"/>
      <c r="AE433" s="234"/>
      <c r="AF433" s="234"/>
      <c r="AG433" s="9"/>
      <c r="AH433" s="87"/>
      <c r="AI433" s="87"/>
      <c r="AJ433" s="87"/>
      <c r="AK433" s="244"/>
      <c r="AL433" s="245"/>
      <c r="AM433" s="244"/>
      <c r="AN433" s="244"/>
      <c r="AO433" s="87"/>
      <c r="AP433" s="87"/>
      <c r="AQ433" s="87"/>
      <c r="AR433" s="87"/>
      <c r="AS433" s="87"/>
      <c r="AT433" s="87"/>
      <c r="AU433" s="87"/>
      <c r="AV433" s="87"/>
      <c r="AW433" s="87"/>
      <c r="AX433" s="87"/>
    </row>
    <row r="434">
      <c r="A434" s="9"/>
      <c r="B434" s="87"/>
      <c r="C434" s="87"/>
      <c r="D434" s="87"/>
      <c r="E434" s="9"/>
      <c r="F434" s="87"/>
      <c r="G434" s="87"/>
      <c r="H434" s="87"/>
      <c r="I434" s="9"/>
      <c r="J434" s="87"/>
      <c r="K434" s="87"/>
      <c r="L434" s="87"/>
      <c r="M434" s="9"/>
      <c r="N434" s="87"/>
      <c r="O434" s="87"/>
      <c r="P434" s="87"/>
      <c r="Q434" s="9"/>
      <c r="R434" s="87"/>
      <c r="S434" s="87"/>
      <c r="T434" s="87"/>
      <c r="U434" s="9"/>
      <c r="V434" s="87"/>
      <c r="W434" s="87"/>
      <c r="X434" s="87"/>
      <c r="Y434" s="87"/>
      <c r="Z434" s="87"/>
      <c r="AA434" s="87"/>
      <c r="AB434" s="87"/>
      <c r="AC434" s="243"/>
      <c r="AD434" s="234"/>
      <c r="AE434" s="234"/>
      <c r="AF434" s="234"/>
      <c r="AG434" s="9"/>
      <c r="AH434" s="87"/>
      <c r="AI434" s="87"/>
      <c r="AJ434" s="87"/>
      <c r="AK434" s="244"/>
      <c r="AL434" s="245"/>
      <c r="AM434" s="244"/>
      <c r="AN434" s="244"/>
      <c r="AO434" s="87"/>
      <c r="AP434" s="87"/>
      <c r="AQ434" s="87"/>
      <c r="AR434" s="87"/>
      <c r="AS434" s="87"/>
      <c r="AT434" s="87"/>
      <c r="AU434" s="87"/>
      <c r="AV434" s="87"/>
      <c r="AW434" s="87"/>
      <c r="AX434" s="87"/>
    </row>
    <row r="435">
      <c r="A435" s="9"/>
      <c r="B435" s="87"/>
      <c r="C435" s="87"/>
      <c r="D435" s="87"/>
      <c r="E435" s="9"/>
      <c r="F435" s="87"/>
      <c r="G435" s="87"/>
      <c r="H435" s="87"/>
      <c r="I435" s="9"/>
      <c r="J435" s="87"/>
      <c r="K435" s="87"/>
      <c r="L435" s="87"/>
      <c r="M435" s="9"/>
      <c r="N435" s="87"/>
      <c r="O435" s="87"/>
      <c r="P435" s="87"/>
      <c r="Q435" s="9"/>
      <c r="R435" s="87"/>
      <c r="S435" s="87"/>
      <c r="T435" s="87"/>
      <c r="U435" s="9"/>
      <c r="V435" s="87"/>
      <c r="W435" s="87"/>
      <c r="X435" s="87"/>
      <c r="Y435" s="87"/>
      <c r="Z435" s="87"/>
      <c r="AA435" s="87"/>
      <c r="AB435" s="87"/>
      <c r="AC435" s="243"/>
      <c r="AD435" s="234"/>
      <c r="AE435" s="234"/>
      <c r="AF435" s="234"/>
      <c r="AG435" s="9"/>
      <c r="AH435" s="87"/>
      <c r="AI435" s="87"/>
      <c r="AJ435" s="87"/>
      <c r="AK435" s="244"/>
      <c r="AL435" s="245"/>
      <c r="AM435" s="244"/>
      <c r="AN435" s="244"/>
      <c r="AO435" s="87"/>
      <c r="AP435" s="87"/>
      <c r="AQ435" s="87"/>
      <c r="AR435" s="87"/>
      <c r="AS435" s="87"/>
      <c r="AT435" s="87"/>
      <c r="AU435" s="87"/>
      <c r="AV435" s="87"/>
      <c r="AW435" s="87"/>
      <c r="AX435" s="87"/>
    </row>
    <row r="436">
      <c r="A436" s="9"/>
      <c r="B436" s="87"/>
      <c r="C436" s="87"/>
      <c r="D436" s="87"/>
      <c r="E436" s="9"/>
      <c r="F436" s="87"/>
      <c r="G436" s="87"/>
      <c r="H436" s="87"/>
      <c r="I436" s="9"/>
      <c r="J436" s="87"/>
      <c r="K436" s="87"/>
      <c r="L436" s="87"/>
      <c r="M436" s="9"/>
      <c r="N436" s="87"/>
      <c r="O436" s="87"/>
      <c r="P436" s="87"/>
      <c r="Q436" s="9"/>
      <c r="R436" s="87"/>
      <c r="S436" s="87"/>
      <c r="T436" s="87"/>
      <c r="U436" s="9"/>
      <c r="V436" s="87"/>
      <c r="W436" s="87"/>
      <c r="X436" s="87"/>
      <c r="Y436" s="87"/>
      <c r="Z436" s="87"/>
      <c r="AA436" s="87"/>
      <c r="AB436" s="87"/>
      <c r="AC436" s="243"/>
      <c r="AD436" s="234"/>
      <c r="AE436" s="234"/>
      <c r="AF436" s="234"/>
      <c r="AG436" s="9"/>
      <c r="AH436" s="87"/>
      <c r="AI436" s="87"/>
      <c r="AJ436" s="87"/>
      <c r="AK436" s="244"/>
      <c r="AL436" s="245"/>
      <c r="AM436" s="244"/>
      <c r="AN436" s="244"/>
      <c r="AO436" s="87"/>
      <c r="AP436" s="87"/>
      <c r="AQ436" s="87"/>
      <c r="AR436" s="87"/>
      <c r="AS436" s="87"/>
      <c r="AT436" s="87"/>
      <c r="AU436" s="87"/>
      <c r="AV436" s="87"/>
      <c r="AW436" s="87"/>
      <c r="AX436" s="87"/>
    </row>
    <row r="437">
      <c r="A437" s="9"/>
      <c r="B437" s="87"/>
      <c r="C437" s="87"/>
      <c r="D437" s="87"/>
      <c r="E437" s="9"/>
      <c r="F437" s="87"/>
      <c r="G437" s="87"/>
      <c r="H437" s="87"/>
      <c r="I437" s="9"/>
      <c r="J437" s="87"/>
      <c r="K437" s="87"/>
      <c r="L437" s="87"/>
      <c r="M437" s="9"/>
      <c r="N437" s="87"/>
      <c r="O437" s="87"/>
      <c r="P437" s="87"/>
      <c r="Q437" s="9"/>
      <c r="R437" s="87"/>
      <c r="S437" s="87"/>
      <c r="T437" s="87"/>
      <c r="U437" s="9"/>
      <c r="V437" s="87"/>
      <c r="W437" s="87"/>
      <c r="X437" s="87"/>
      <c r="Y437" s="87"/>
      <c r="Z437" s="87"/>
      <c r="AA437" s="87"/>
      <c r="AB437" s="87"/>
      <c r="AC437" s="243"/>
      <c r="AD437" s="234"/>
      <c r="AE437" s="234"/>
      <c r="AF437" s="234"/>
      <c r="AG437" s="9"/>
      <c r="AH437" s="87"/>
      <c r="AI437" s="87"/>
      <c r="AJ437" s="87"/>
      <c r="AK437" s="244"/>
      <c r="AL437" s="245"/>
      <c r="AM437" s="244"/>
      <c r="AN437" s="244"/>
      <c r="AO437" s="87"/>
      <c r="AP437" s="87"/>
      <c r="AQ437" s="87"/>
      <c r="AR437" s="87"/>
      <c r="AS437" s="87"/>
      <c r="AT437" s="87"/>
      <c r="AU437" s="87"/>
      <c r="AV437" s="87"/>
      <c r="AW437" s="87"/>
      <c r="AX437" s="87"/>
    </row>
    <row r="438">
      <c r="A438" s="9"/>
      <c r="B438" s="87"/>
      <c r="C438" s="87"/>
      <c r="D438" s="87"/>
      <c r="E438" s="9"/>
      <c r="F438" s="87"/>
      <c r="G438" s="87"/>
      <c r="H438" s="87"/>
      <c r="I438" s="9"/>
      <c r="J438" s="87"/>
      <c r="K438" s="87"/>
      <c r="L438" s="87"/>
      <c r="M438" s="9"/>
      <c r="N438" s="87"/>
      <c r="O438" s="87"/>
      <c r="P438" s="87"/>
      <c r="Q438" s="9"/>
      <c r="R438" s="87"/>
      <c r="S438" s="87"/>
      <c r="T438" s="87"/>
      <c r="U438" s="9"/>
      <c r="V438" s="87"/>
      <c r="W438" s="87"/>
      <c r="X438" s="87"/>
      <c r="Y438" s="87"/>
      <c r="Z438" s="87"/>
      <c r="AA438" s="87"/>
      <c r="AB438" s="87"/>
      <c r="AC438" s="243"/>
      <c r="AD438" s="234"/>
      <c r="AE438" s="234"/>
      <c r="AF438" s="234"/>
      <c r="AG438" s="9"/>
      <c r="AH438" s="87"/>
      <c r="AI438" s="87"/>
      <c r="AJ438" s="87"/>
      <c r="AK438" s="244"/>
      <c r="AL438" s="245"/>
      <c r="AM438" s="244"/>
      <c r="AN438" s="244"/>
      <c r="AO438" s="87"/>
      <c r="AP438" s="87"/>
      <c r="AQ438" s="87"/>
      <c r="AR438" s="87"/>
      <c r="AS438" s="87"/>
      <c r="AT438" s="87"/>
      <c r="AU438" s="87"/>
      <c r="AV438" s="87"/>
      <c r="AW438" s="87"/>
      <c r="AX438" s="87"/>
    </row>
    <row r="439">
      <c r="A439" s="9"/>
      <c r="B439" s="87"/>
      <c r="C439" s="87"/>
      <c r="D439" s="87"/>
      <c r="E439" s="9"/>
      <c r="F439" s="87"/>
      <c r="G439" s="87"/>
      <c r="H439" s="87"/>
      <c r="I439" s="9"/>
      <c r="J439" s="87"/>
      <c r="K439" s="87"/>
      <c r="L439" s="87"/>
      <c r="M439" s="9"/>
      <c r="N439" s="87"/>
      <c r="O439" s="87"/>
      <c r="P439" s="87"/>
      <c r="Q439" s="9"/>
      <c r="R439" s="87"/>
      <c r="S439" s="87"/>
      <c r="T439" s="87"/>
      <c r="U439" s="9"/>
      <c r="V439" s="87"/>
      <c r="W439" s="87"/>
      <c r="X439" s="87"/>
      <c r="Y439" s="87"/>
      <c r="Z439" s="87"/>
      <c r="AA439" s="87"/>
      <c r="AB439" s="87"/>
      <c r="AC439" s="243"/>
      <c r="AD439" s="234"/>
      <c r="AE439" s="234"/>
      <c r="AF439" s="234"/>
      <c r="AG439" s="9"/>
      <c r="AH439" s="87"/>
      <c r="AI439" s="87"/>
      <c r="AJ439" s="87"/>
      <c r="AK439" s="244"/>
      <c r="AL439" s="245"/>
      <c r="AM439" s="244"/>
      <c r="AN439" s="244"/>
      <c r="AO439" s="87"/>
      <c r="AP439" s="87"/>
      <c r="AQ439" s="87"/>
      <c r="AR439" s="87"/>
      <c r="AS439" s="87"/>
      <c r="AT439" s="87"/>
      <c r="AU439" s="87"/>
      <c r="AV439" s="87"/>
      <c r="AW439" s="87"/>
      <c r="AX439" s="87"/>
    </row>
    <row r="440">
      <c r="A440" s="9"/>
      <c r="B440" s="87"/>
      <c r="C440" s="87"/>
      <c r="D440" s="87"/>
      <c r="E440" s="9"/>
      <c r="F440" s="87"/>
      <c r="G440" s="87"/>
      <c r="H440" s="87"/>
      <c r="I440" s="9"/>
      <c r="J440" s="87"/>
      <c r="K440" s="87"/>
      <c r="L440" s="87"/>
      <c r="M440" s="9"/>
      <c r="N440" s="87"/>
      <c r="O440" s="87"/>
      <c r="P440" s="87"/>
      <c r="Q440" s="9"/>
      <c r="R440" s="87"/>
      <c r="S440" s="87"/>
      <c r="T440" s="87"/>
      <c r="U440" s="9"/>
      <c r="V440" s="87"/>
      <c r="W440" s="87"/>
      <c r="X440" s="87"/>
      <c r="Y440" s="87"/>
      <c r="Z440" s="87"/>
      <c r="AA440" s="87"/>
      <c r="AB440" s="87"/>
      <c r="AC440" s="243"/>
      <c r="AD440" s="234"/>
      <c r="AE440" s="234"/>
      <c r="AF440" s="234"/>
      <c r="AG440" s="9"/>
      <c r="AH440" s="87"/>
      <c r="AI440" s="87"/>
      <c r="AJ440" s="87"/>
      <c r="AK440" s="244"/>
      <c r="AL440" s="245"/>
      <c r="AM440" s="244"/>
      <c r="AN440" s="244"/>
      <c r="AO440" s="87"/>
      <c r="AP440" s="87"/>
      <c r="AQ440" s="87"/>
      <c r="AR440" s="87"/>
      <c r="AS440" s="87"/>
      <c r="AT440" s="87"/>
      <c r="AU440" s="87"/>
      <c r="AV440" s="87"/>
      <c r="AW440" s="87"/>
      <c r="AX440" s="87"/>
    </row>
    <row r="441">
      <c r="A441" s="9"/>
      <c r="B441" s="87"/>
      <c r="C441" s="87"/>
      <c r="D441" s="87"/>
      <c r="E441" s="9"/>
      <c r="F441" s="87"/>
      <c r="G441" s="87"/>
      <c r="H441" s="87"/>
      <c r="I441" s="9"/>
      <c r="J441" s="87"/>
      <c r="K441" s="87"/>
      <c r="L441" s="87"/>
      <c r="M441" s="9"/>
      <c r="N441" s="87"/>
      <c r="O441" s="87"/>
      <c r="P441" s="87"/>
      <c r="Q441" s="9"/>
      <c r="R441" s="87"/>
      <c r="S441" s="87"/>
      <c r="T441" s="87"/>
      <c r="U441" s="9"/>
      <c r="V441" s="87"/>
      <c r="W441" s="87"/>
      <c r="X441" s="87"/>
      <c r="Y441" s="87"/>
      <c r="Z441" s="87"/>
      <c r="AA441" s="87"/>
      <c r="AB441" s="87"/>
      <c r="AC441" s="243"/>
      <c r="AD441" s="234"/>
      <c r="AE441" s="234"/>
      <c r="AF441" s="234"/>
      <c r="AG441" s="9"/>
      <c r="AH441" s="87"/>
      <c r="AI441" s="87"/>
      <c r="AJ441" s="87"/>
      <c r="AK441" s="244"/>
      <c r="AL441" s="245"/>
      <c r="AM441" s="244"/>
      <c r="AN441" s="244"/>
      <c r="AO441" s="87"/>
      <c r="AP441" s="87"/>
      <c r="AQ441" s="87"/>
      <c r="AR441" s="87"/>
      <c r="AS441" s="87"/>
      <c r="AT441" s="87"/>
      <c r="AU441" s="87"/>
      <c r="AV441" s="87"/>
      <c r="AW441" s="87"/>
      <c r="AX441" s="87"/>
    </row>
    <row r="442">
      <c r="A442" s="9"/>
      <c r="B442" s="87"/>
      <c r="C442" s="87"/>
      <c r="D442" s="87"/>
      <c r="E442" s="9"/>
      <c r="F442" s="87"/>
      <c r="G442" s="87"/>
      <c r="H442" s="87"/>
      <c r="I442" s="9"/>
      <c r="J442" s="87"/>
      <c r="K442" s="87"/>
      <c r="L442" s="87"/>
      <c r="M442" s="9"/>
      <c r="N442" s="87"/>
      <c r="O442" s="87"/>
      <c r="P442" s="87"/>
      <c r="Q442" s="9"/>
      <c r="R442" s="87"/>
      <c r="S442" s="87"/>
      <c r="T442" s="87"/>
      <c r="U442" s="9"/>
      <c r="V442" s="87"/>
      <c r="W442" s="87"/>
      <c r="X442" s="87"/>
      <c r="Y442" s="87"/>
      <c r="Z442" s="87"/>
      <c r="AA442" s="87"/>
      <c r="AB442" s="87"/>
      <c r="AC442" s="243"/>
      <c r="AD442" s="234"/>
      <c r="AE442" s="234"/>
      <c r="AF442" s="234"/>
      <c r="AG442" s="9"/>
      <c r="AH442" s="87"/>
      <c r="AI442" s="87"/>
      <c r="AJ442" s="87"/>
      <c r="AK442" s="244"/>
      <c r="AL442" s="245"/>
      <c r="AM442" s="244"/>
      <c r="AN442" s="244"/>
      <c r="AO442" s="87"/>
      <c r="AP442" s="87"/>
      <c r="AQ442" s="87"/>
      <c r="AR442" s="87"/>
      <c r="AS442" s="87"/>
      <c r="AT442" s="87"/>
      <c r="AU442" s="87"/>
      <c r="AV442" s="87"/>
      <c r="AW442" s="87"/>
      <c r="AX442" s="87"/>
    </row>
    <row r="443">
      <c r="A443" s="9"/>
      <c r="B443" s="87"/>
      <c r="C443" s="87"/>
      <c r="D443" s="87"/>
      <c r="E443" s="9"/>
      <c r="F443" s="87"/>
      <c r="G443" s="87"/>
      <c r="H443" s="87"/>
      <c r="I443" s="9"/>
      <c r="J443" s="87"/>
      <c r="K443" s="87"/>
      <c r="L443" s="87"/>
      <c r="M443" s="9"/>
      <c r="N443" s="87"/>
      <c r="O443" s="87"/>
      <c r="P443" s="87"/>
      <c r="Q443" s="9"/>
      <c r="R443" s="87"/>
      <c r="S443" s="87"/>
      <c r="T443" s="87"/>
      <c r="U443" s="9"/>
      <c r="V443" s="87"/>
      <c r="W443" s="87"/>
      <c r="X443" s="87"/>
      <c r="Y443" s="87"/>
      <c r="Z443" s="87"/>
      <c r="AA443" s="87"/>
      <c r="AB443" s="87"/>
      <c r="AC443" s="243"/>
      <c r="AD443" s="234"/>
      <c r="AE443" s="234"/>
      <c r="AF443" s="234"/>
      <c r="AG443" s="9"/>
      <c r="AH443" s="87"/>
      <c r="AI443" s="87"/>
      <c r="AJ443" s="87"/>
      <c r="AK443" s="244"/>
      <c r="AL443" s="245"/>
      <c r="AM443" s="244"/>
      <c r="AN443" s="244"/>
      <c r="AO443" s="87"/>
      <c r="AP443" s="87"/>
      <c r="AQ443" s="87"/>
      <c r="AR443" s="87"/>
      <c r="AS443" s="87"/>
      <c r="AT443" s="87"/>
      <c r="AU443" s="87"/>
      <c r="AV443" s="87"/>
      <c r="AW443" s="87"/>
      <c r="AX443" s="87"/>
    </row>
    <row r="444">
      <c r="A444" s="9"/>
      <c r="B444" s="87"/>
      <c r="C444" s="87"/>
      <c r="D444" s="87"/>
      <c r="E444" s="9"/>
      <c r="F444" s="87"/>
      <c r="G444" s="87"/>
      <c r="H444" s="87"/>
      <c r="I444" s="9"/>
      <c r="J444" s="87"/>
      <c r="K444" s="87"/>
      <c r="L444" s="87"/>
      <c r="M444" s="9"/>
      <c r="N444" s="87"/>
      <c r="O444" s="87"/>
      <c r="P444" s="87"/>
      <c r="Q444" s="9"/>
      <c r="R444" s="87"/>
      <c r="S444" s="87"/>
      <c r="T444" s="87"/>
      <c r="U444" s="9"/>
      <c r="V444" s="87"/>
      <c r="W444" s="87"/>
      <c r="X444" s="87"/>
      <c r="Y444" s="87"/>
      <c r="Z444" s="87"/>
      <c r="AA444" s="87"/>
      <c r="AB444" s="87"/>
      <c r="AC444" s="243"/>
      <c r="AD444" s="234"/>
      <c r="AE444" s="234"/>
      <c r="AF444" s="234"/>
      <c r="AG444" s="9"/>
      <c r="AH444" s="87"/>
      <c r="AI444" s="87"/>
      <c r="AJ444" s="87"/>
      <c r="AK444" s="244"/>
      <c r="AL444" s="245"/>
      <c r="AM444" s="244"/>
      <c r="AN444" s="244"/>
      <c r="AO444" s="87"/>
      <c r="AP444" s="87"/>
      <c r="AQ444" s="87"/>
      <c r="AR444" s="87"/>
      <c r="AS444" s="87"/>
      <c r="AT444" s="87"/>
      <c r="AU444" s="87"/>
      <c r="AV444" s="87"/>
      <c r="AW444" s="87"/>
      <c r="AX444" s="87"/>
    </row>
    <row r="445">
      <c r="A445" s="9"/>
      <c r="B445" s="87"/>
      <c r="C445" s="87"/>
      <c r="D445" s="87"/>
      <c r="E445" s="9"/>
      <c r="F445" s="87"/>
      <c r="G445" s="87"/>
      <c r="H445" s="87"/>
      <c r="I445" s="9"/>
      <c r="J445" s="87"/>
      <c r="K445" s="87"/>
      <c r="L445" s="87"/>
      <c r="M445" s="9"/>
      <c r="N445" s="87"/>
      <c r="O445" s="87"/>
      <c r="P445" s="87"/>
      <c r="Q445" s="9"/>
      <c r="R445" s="87"/>
      <c r="S445" s="87"/>
      <c r="T445" s="87"/>
      <c r="U445" s="9"/>
      <c r="V445" s="87"/>
      <c r="W445" s="87"/>
      <c r="X445" s="87"/>
      <c r="Y445" s="87"/>
      <c r="Z445" s="87"/>
      <c r="AA445" s="87"/>
      <c r="AB445" s="87"/>
      <c r="AC445" s="243"/>
      <c r="AD445" s="234"/>
      <c r="AE445" s="234"/>
      <c r="AF445" s="234"/>
      <c r="AG445" s="9"/>
      <c r="AH445" s="87"/>
      <c r="AI445" s="87"/>
      <c r="AJ445" s="87"/>
      <c r="AK445" s="244"/>
      <c r="AL445" s="245"/>
      <c r="AM445" s="244"/>
      <c r="AN445" s="244"/>
      <c r="AO445" s="87"/>
      <c r="AP445" s="87"/>
      <c r="AQ445" s="87"/>
      <c r="AR445" s="87"/>
      <c r="AS445" s="87"/>
      <c r="AT445" s="87"/>
      <c r="AU445" s="87"/>
      <c r="AV445" s="87"/>
      <c r="AW445" s="87"/>
      <c r="AX445" s="87"/>
    </row>
    <row r="446">
      <c r="A446" s="9"/>
      <c r="B446" s="87"/>
      <c r="C446" s="87"/>
      <c r="D446" s="87"/>
      <c r="E446" s="9"/>
      <c r="F446" s="87"/>
      <c r="G446" s="87"/>
      <c r="H446" s="87"/>
      <c r="I446" s="9"/>
      <c r="J446" s="87"/>
      <c r="K446" s="87"/>
      <c r="L446" s="87"/>
      <c r="M446" s="9"/>
      <c r="N446" s="87"/>
      <c r="O446" s="87"/>
      <c r="P446" s="87"/>
      <c r="Q446" s="9"/>
      <c r="R446" s="87"/>
      <c r="S446" s="87"/>
      <c r="T446" s="87"/>
      <c r="U446" s="9"/>
      <c r="V446" s="87"/>
      <c r="W446" s="87"/>
      <c r="X446" s="87"/>
      <c r="Y446" s="87"/>
      <c r="Z446" s="87"/>
      <c r="AA446" s="87"/>
      <c r="AB446" s="87"/>
      <c r="AC446" s="243"/>
      <c r="AD446" s="234"/>
      <c r="AE446" s="234"/>
      <c r="AF446" s="234"/>
      <c r="AG446" s="9"/>
      <c r="AH446" s="87"/>
      <c r="AI446" s="87"/>
      <c r="AJ446" s="87"/>
      <c r="AK446" s="244"/>
      <c r="AL446" s="245"/>
      <c r="AM446" s="244"/>
      <c r="AN446" s="244"/>
      <c r="AO446" s="87"/>
      <c r="AP446" s="87"/>
      <c r="AQ446" s="87"/>
      <c r="AR446" s="87"/>
      <c r="AS446" s="87"/>
      <c r="AT446" s="87"/>
      <c r="AU446" s="87"/>
      <c r="AV446" s="87"/>
      <c r="AW446" s="87"/>
      <c r="AX446" s="87"/>
    </row>
    <row r="447">
      <c r="A447" s="9"/>
      <c r="B447" s="87"/>
      <c r="C447" s="87"/>
      <c r="D447" s="87"/>
      <c r="E447" s="9"/>
      <c r="F447" s="87"/>
      <c r="G447" s="87"/>
      <c r="H447" s="87"/>
      <c r="I447" s="9"/>
      <c r="J447" s="87"/>
      <c r="K447" s="87"/>
      <c r="L447" s="87"/>
      <c r="M447" s="9"/>
      <c r="N447" s="87"/>
      <c r="O447" s="87"/>
      <c r="P447" s="87"/>
      <c r="Q447" s="9"/>
      <c r="R447" s="87"/>
      <c r="S447" s="87"/>
      <c r="T447" s="87"/>
      <c r="U447" s="9"/>
      <c r="V447" s="87"/>
      <c r="W447" s="87"/>
      <c r="X447" s="87"/>
      <c r="Y447" s="87"/>
      <c r="Z447" s="87"/>
      <c r="AA447" s="87"/>
      <c r="AB447" s="87"/>
      <c r="AC447" s="243"/>
      <c r="AD447" s="234"/>
      <c r="AE447" s="234"/>
      <c r="AF447" s="234"/>
      <c r="AG447" s="9"/>
      <c r="AH447" s="87"/>
      <c r="AI447" s="87"/>
      <c r="AJ447" s="87"/>
      <c r="AK447" s="244"/>
      <c r="AL447" s="245"/>
      <c r="AM447" s="244"/>
      <c r="AN447" s="244"/>
      <c r="AO447" s="87"/>
      <c r="AP447" s="87"/>
      <c r="AQ447" s="87"/>
      <c r="AR447" s="87"/>
      <c r="AS447" s="87"/>
      <c r="AT447" s="87"/>
      <c r="AU447" s="87"/>
      <c r="AV447" s="87"/>
      <c r="AW447" s="87"/>
      <c r="AX447" s="87"/>
    </row>
    <row r="448">
      <c r="A448" s="9"/>
      <c r="B448" s="87"/>
      <c r="C448" s="87"/>
      <c r="D448" s="87"/>
      <c r="E448" s="9"/>
      <c r="F448" s="87"/>
      <c r="G448" s="87"/>
      <c r="H448" s="87"/>
      <c r="I448" s="9"/>
      <c r="J448" s="87"/>
      <c r="K448" s="87"/>
      <c r="L448" s="87"/>
      <c r="M448" s="9"/>
      <c r="N448" s="87"/>
      <c r="O448" s="87"/>
      <c r="P448" s="87"/>
      <c r="Q448" s="9"/>
      <c r="R448" s="87"/>
      <c r="S448" s="87"/>
      <c r="T448" s="87"/>
      <c r="U448" s="9"/>
      <c r="V448" s="87"/>
      <c r="W448" s="87"/>
      <c r="X448" s="87"/>
      <c r="Y448" s="87"/>
      <c r="Z448" s="87"/>
      <c r="AA448" s="87"/>
      <c r="AB448" s="87"/>
      <c r="AC448" s="243"/>
      <c r="AD448" s="234"/>
      <c r="AE448" s="234"/>
      <c r="AF448" s="234"/>
      <c r="AG448" s="9"/>
      <c r="AH448" s="87"/>
      <c r="AI448" s="87"/>
      <c r="AJ448" s="87"/>
      <c r="AK448" s="244"/>
      <c r="AL448" s="245"/>
      <c r="AM448" s="244"/>
      <c r="AN448" s="244"/>
      <c r="AO448" s="87"/>
      <c r="AP448" s="87"/>
      <c r="AQ448" s="87"/>
      <c r="AR448" s="87"/>
      <c r="AS448" s="87"/>
      <c r="AT448" s="87"/>
      <c r="AU448" s="87"/>
      <c r="AV448" s="87"/>
      <c r="AW448" s="87"/>
      <c r="AX448" s="87"/>
    </row>
    <row r="449">
      <c r="A449" s="9"/>
      <c r="B449" s="87"/>
      <c r="C449" s="87"/>
      <c r="D449" s="87"/>
      <c r="E449" s="9"/>
      <c r="F449" s="87"/>
      <c r="G449" s="87"/>
      <c r="H449" s="87"/>
      <c r="I449" s="9"/>
      <c r="J449" s="87"/>
      <c r="K449" s="87"/>
      <c r="L449" s="87"/>
      <c r="M449" s="9"/>
      <c r="N449" s="87"/>
      <c r="O449" s="87"/>
      <c r="P449" s="87"/>
      <c r="Q449" s="9"/>
      <c r="R449" s="87"/>
      <c r="S449" s="87"/>
      <c r="T449" s="87"/>
      <c r="U449" s="9"/>
      <c r="V449" s="87"/>
      <c r="W449" s="87"/>
      <c r="X449" s="87"/>
      <c r="Y449" s="87"/>
      <c r="Z449" s="87"/>
      <c r="AA449" s="87"/>
      <c r="AB449" s="87"/>
      <c r="AC449" s="243"/>
      <c r="AD449" s="234"/>
      <c r="AE449" s="234"/>
      <c r="AF449" s="234"/>
      <c r="AG449" s="9"/>
      <c r="AH449" s="87"/>
      <c r="AI449" s="87"/>
      <c r="AJ449" s="87"/>
      <c r="AK449" s="244"/>
      <c r="AL449" s="245"/>
      <c r="AM449" s="244"/>
      <c r="AN449" s="244"/>
      <c r="AO449" s="87"/>
      <c r="AP449" s="87"/>
      <c r="AQ449" s="87"/>
      <c r="AR449" s="87"/>
      <c r="AS449" s="87"/>
      <c r="AT449" s="87"/>
      <c r="AU449" s="87"/>
      <c r="AV449" s="87"/>
      <c r="AW449" s="87"/>
      <c r="AX449" s="87"/>
    </row>
    <row r="450">
      <c r="A450" s="9"/>
      <c r="B450" s="87"/>
      <c r="C450" s="87"/>
      <c r="D450" s="87"/>
      <c r="E450" s="9"/>
      <c r="F450" s="87"/>
      <c r="G450" s="87"/>
      <c r="H450" s="87"/>
      <c r="I450" s="9"/>
      <c r="J450" s="87"/>
      <c r="K450" s="87"/>
      <c r="L450" s="87"/>
      <c r="M450" s="9"/>
      <c r="N450" s="87"/>
      <c r="O450" s="87"/>
      <c r="P450" s="87"/>
      <c r="Q450" s="9"/>
      <c r="R450" s="87"/>
      <c r="S450" s="87"/>
      <c r="T450" s="87"/>
      <c r="U450" s="9"/>
      <c r="V450" s="87"/>
      <c r="W450" s="87"/>
      <c r="X450" s="87"/>
      <c r="Y450" s="87"/>
      <c r="Z450" s="87"/>
      <c r="AA450" s="87"/>
      <c r="AB450" s="87"/>
      <c r="AC450" s="243"/>
      <c r="AD450" s="234"/>
      <c r="AE450" s="234"/>
      <c r="AF450" s="234"/>
      <c r="AG450" s="9"/>
      <c r="AH450" s="87"/>
      <c r="AI450" s="87"/>
      <c r="AJ450" s="87"/>
      <c r="AK450" s="244"/>
      <c r="AL450" s="245"/>
      <c r="AM450" s="244"/>
      <c r="AN450" s="244"/>
      <c r="AO450" s="87"/>
      <c r="AP450" s="87"/>
      <c r="AQ450" s="87"/>
      <c r="AR450" s="87"/>
      <c r="AS450" s="87"/>
      <c r="AT450" s="87"/>
      <c r="AU450" s="87"/>
      <c r="AV450" s="87"/>
      <c r="AW450" s="87"/>
      <c r="AX450" s="87"/>
    </row>
    <row r="451">
      <c r="A451" s="9"/>
      <c r="B451" s="87"/>
      <c r="C451" s="87"/>
      <c r="D451" s="87"/>
      <c r="E451" s="9"/>
      <c r="F451" s="87"/>
      <c r="G451" s="87"/>
      <c r="H451" s="87"/>
      <c r="I451" s="9"/>
      <c r="J451" s="87"/>
      <c r="K451" s="87"/>
      <c r="L451" s="87"/>
      <c r="M451" s="9"/>
      <c r="N451" s="87"/>
      <c r="O451" s="87"/>
      <c r="P451" s="87"/>
      <c r="Q451" s="9"/>
      <c r="R451" s="87"/>
      <c r="S451" s="87"/>
      <c r="T451" s="87"/>
      <c r="U451" s="9"/>
      <c r="V451" s="87"/>
      <c r="W451" s="87"/>
      <c r="X451" s="87"/>
      <c r="Y451" s="87"/>
      <c r="Z451" s="87"/>
      <c r="AA451" s="87"/>
      <c r="AB451" s="87"/>
      <c r="AC451" s="243"/>
      <c r="AD451" s="234"/>
      <c r="AE451" s="234"/>
      <c r="AF451" s="234"/>
      <c r="AG451" s="9"/>
      <c r="AH451" s="87"/>
      <c r="AI451" s="87"/>
      <c r="AJ451" s="87"/>
      <c r="AK451" s="244"/>
      <c r="AL451" s="245"/>
      <c r="AM451" s="244"/>
      <c r="AN451" s="244"/>
      <c r="AO451" s="87"/>
      <c r="AP451" s="87"/>
      <c r="AQ451" s="87"/>
      <c r="AR451" s="87"/>
      <c r="AS451" s="87"/>
      <c r="AT451" s="87"/>
      <c r="AU451" s="87"/>
      <c r="AV451" s="87"/>
      <c r="AW451" s="87"/>
      <c r="AX451" s="87"/>
    </row>
    <row r="452">
      <c r="A452" s="9"/>
      <c r="B452" s="87"/>
      <c r="C452" s="87"/>
      <c r="D452" s="87"/>
      <c r="E452" s="9"/>
      <c r="F452" s="87"/>
      <c r="G452" s="87"/>
      <c r="H452" s="87"/>
      <c r="I452" s="9"/>
      <c r="J452" s="87"/>
      <c r="K452" s="87"/>
      <c r="L452" s="87"/>
      <c r="M452" s="9"/>
      <c r="N452" s="87"/>
      <c r="O452" s="87"/>
      <c r="P452" s="87"/>
      <c r="Q452" s="9"/>
      <c r="R452" s="87"/>
      <c r="S452" s="87"/>
      <c r="T452" s="87"/>
      <c r="U452" s="9"/>
      <c r="V452" s="87"/>
      <c r="W452" s="87"/>
      <c r="X452" s="87"/>
      <c r="Y452" s="87"/>
      <c r="Z452" s="87"/>
      <c r="AA452" s="87"/>
      <c r="AB452" s="87"/>
      <c r="AC452" s="243"/>
      <c r="AD452" s="234"/>
      <c r="AE452" s="234"/>
      <c r="AF452" s="234"/>
      <c r="AG452" s="9"/>
      <c r="AH452" s="87"/>
      <c r="AI452" s="87"/>
      <c r="AJ452" s="87"/>
      <c r="AK452" s="244"/>
      <c r="AL452" s="245"/>
      <c r="AM452" s="244"/>
      <c r="AN452" s="244"/>
      <c r="AO452" s="87"/>
      <c r="AP452" s="87"/>
      <c r="AQ452" s="87"/>
      <c r="AR452" s="87"/>
      <c r="AS452" s="87"/>
      <c r="AT452" s="87"/>
      <c r="AU452" s="87"/>
      <c r="AV452" s="87"/>
      <c r="AW452" s="87"/>
      <c r="AX452" s="87"/>
    </row>
    <row r="453">
      <c r="A453" s="9"/>
      <c r="B453" s="87"/>
      <c r="C453" s="87"/>
      <c r="D453" s="87"/>
      <c r="E453" s="9"/>
      <c r="F453" s="87"/>
      <c r="G453" s="87"/>
      <c r="H453" s="87"/>
      <c r="I453" s="9"/>
      <c r="J453" s="87"/>
      <c r="K453" s="87"/>
      <c r="L453" s="87"/>
      <c r="M453" s="9"/>
      <c r="N453" s="87"/>
      <c r="O453" s="87"/>
      <c r="P453" s="87"/>
      <c r="Q453" s="9"/>
      <c r="R453" s="87"/>
      <c r="S453" s="87"/>
      <c r="T453" s="87"/>
      <c r="U453" s="9"/>
      <c r="V453" s="87"/>
      <c r="W453" s="87"/>
      <c r="X453" s="87"/>
      <c r="Y453" s="87"/>
      <c r="Z453" s="87"/>
      <c r="AA453" s="87"/>
      <c r="AB453" s="87"/>
      <c r="AC453" s="243"/>
      <c r="AD453" s="234"/>
      <c r="AE453" s="234"/>
      <c r="AF453" s="234"/>
      <c r="AG453" s="9"/>
      <c r="AH453" s="87"/>
      <c r="AI453" s="87"/>
      <c r="AJ453" s="87"/>
      <c r="AK453" s="244"/>
      <c r="AL453" s="245"/>
      <c r="AM453" s="244"/>
      <c r="AN453" s="244"/>
      <c r="AO453" s="87"/>
      <c r="AP453" s="87"/>
      <c r="AQ453" s="87"/>
      <c r="AR453" s="87"/>
      <c r="AS453" s="87"/>
      <c r="AT453" s="87"/>
      <c r="AU453" s="87"/>
      <c r="AV453" s="87"/>
      <c r="AW453" s="87"/>
      <c r="AX453" s="87"/>
    </row>
    <row r="454">
      <c r="A454" s="9"/>
      <c r="B454" s="87"/>
      <c r="C454" s="87"/>
      <c r="D454" s="87"/>
      <c r="E454" s="9"/>
      <c r="F454" s="87"/>
      <c r="G454" s="87"/>
      <c r="H454" s="87"/>
      <c r="I454" s="9"/>
      <c r="J454" s="87"/>
      <c r="K454" s="87"/>
      <c r="L454" s="87"/>
      <c r="M454" s="9"/>
      <c r="N454" s="87"/>
      <c r="O454" s="87"/>
      <c r="P454" s="87"/>
      <c r="Q454" s="9"/>
      <c r="R454" s="87"/>
      <c r="S454" s="87"/>
      <c r="T454" s="87"/>
      <c r="U454" s="9"/>
      <c r="V454" s="87"/>
      <c r="W454" s="87"/>
      <c r="X454" s="87"/>
      <c r="Y454" s="87"/>
      <c r="Z454" s="87"/>
      <c r="AA454" s="87"/>
      <c r="AB454" s="87"/>
      <c r="AC454" s="243"/>
      <c r="AD454" s="234"/>
      <c r="AE454" s="234"/>
      <c r="AF454" s="234"/>
      <c r="AG454" s="9"/>
      <c r="AH454" s="87"/>
      <c r="AI454" s="87"/>
      <c r="AJ454" s="87"/>
      <c r="AK454" s="244"/>
      <c r="AL454" s="245"/>
      <c r="AM454" s="244"/>
      <c r="AN454" s="244"/>
      <c r="AO454" s="87"/>
      <c r="AP454" s="87"/>
      <c r="AQ454" s="87"/>
      <c r="AR454" s="87"/>
      <c r="AS454" s="87"/>
      <c r="AT454" s="87"/>
      <c r="AU454" s="87"/>
      <c r="AV454" s="87"/>
      <c r="AW454" s="87"/>
      <c r="AX454" s="87"/>
    </row>
    <row r="455">
      <c r="A455" s="9"/>
      <c r="B455" s="87"/>
      <c r="C455" s="87"/>
      <c r="D455" s="87"/>
      <c r="E455" s="9"/>
      <c r="F455" s="87"/>
      <c r="G455" s="87"/>
      <c r="H455" s="87"/>
      <c r="I455" s="9"/>
      <c r="J455" s="87"/>
      <c r="K455" s="87"/>
      <c r="L455" s="87"/>
      <c r="M455" s="9"/>
      <c r="N455" s="87"/>
      <c r="O455" s="87"/>
      <c r="P455" s="87"/>
      <c r="Q455" s="9"/>
      <c r="R455" s="87"/>
      <c r="S455" s="87"/>
      <c r="T455" s="87"/>
      <c r="U455" s="9"/>
      <c r="V455" s="87"/>
      <c r="W455" s="87"/>
      <c r="X455" s="87"/>
      <c r="Y455" s="87"/>
      <c r="Z455" s="87"/>
      <c r="AA455" s="87"/>
      <c r="AB455" s="87"/>
      <c r="AC455" s="243"/>
      <c r="AD455" s="234"/>
      <c r="AE455" s="234"/>
      <c r="AF455" s="234"/>
      <c r="AG455" s="9"/>
      <c r="AH455" s="87"/>
      <c r="AI455" s="87"/>
      <c r="AJ455" s="87"/>
      <c r="AK455" s="244"/>
      <c r="AL455" s="245"/>
      <c r="AM455" s="244"/>
      <c r="AN455" s="244"/>
      <c r="AO455" s="87"/>
      <c r="AP455" s="87"/>
      <c r="AQ455" s="87"/>
      <c r="AR455" s="87"/>
      <c r="AS455" s="87"/>
      <c r="AT455" s="87"/>
      <c r="AU455" s="87"/>
      <c r="AV455" s="87"/>
      <c r="AW455" s="87"/>
      <c r="AX455" s="87"/>
    </row>
    <row r="456">
      <c r="A456" s="9"/>
      <c r="B456" s="87"/>
      <c r="C456" s="87"/>
      <c r="D456" s="87"/>
      <c r="E456" s="9"/>
      <c r="F456" s="87"/>
      <c r="G456" s="87"/>
      <c r="H456" s="87"/>
      <c r="I456" s="9"/>
      <c r="J456" s="87"/>
      <c r="K456" s="87"/>
      <c r="L456" s="87"/>
      <c r="M456" s="9"/>
      <c r="N456" s="87"/>
      <c r="O456" s="87"/>
      <c r="P456" s="87"/>
      <c r="Q456" s="9"/>
      <c r="R456" s="87"/>
      <c r="S456" s="87"/>
      <c r="T456" s="87"/>
      <c r="U456" s="9"/>
      <c r="V456" s="87"/>
      <c r="W456" s="87"/>
      <c r="X456" s="87"/>
      <c r="Y456" s="87"/>
      <c r="Z456" s="87"/>
      <c r="AA456" s="87"/>
      <c r="AB456" s="87"/>
      <c r="AC456" s="243"/>
      <c r="AD456" s="234"/>
      <c r="AE456" s="234"/>
      <c r="AF456" s="234"/>
      <c r="AG456" s="9"/>
      <c r="AH456" s="87"/>
      <c r="AI456" s="87"/>
      <c r="AJ456" s="87"/>
      <c r="AK456" s="244"/>
      <c r="AL456" s="245"/>
      <c r="AM456" s="244"/>
      <c r="AN456" s="244"/>
      <c r="AO456" s="87"/>
      <c r="AP456" s="87"/>
      <c r="AQ456" s="87"/>
      <c r="AR456" s="87"/>
      <c r="AS456" s="87"/>
      <c r="AT456" s="87"/>
      <c r="AU456" s="87"/>
      <c r="AV456" s="87"/>
      <c r="AW456" s="87"/>
      <c r="AX456" s="87"/>
    </row>
    <row r="457">
      <c r="A457" s="9"/>
      <c r="B457" s="87"/>
      <c r="C457" s="87"/>
      <c r="D457" s="87"/>
      <c r="E457" s="9"/>
      <c r="F457" s="87"/>
      <c r="G457" s="87"/>
      <c r="H457" s="87"/>
      <c r="I457" s="9"/>
      <c r="J457" s="87"/>
      <c r="K457" s="87"/>
      <c r="L457" s="87"/>
      <c r="M457" s="9"/>
      <c r="N457" s="87"/>
      <c r="O457" s="87"/>
      <c r="P457" s="87"/>
      <c r="Q457" s="9"/>
      <c r="R457" s="87"/>
      <c r="S457" s="87"/>
      <c r="T457" s="87"/>
      <c r="U457" s="9"/>
      <c r="V457" s="87"/>
      <c r="W457" s="87"/>
      <c r="X457" s="87"/>
      <c r="Y457" s="87"/>
      <c r="Z457" s="87"/>
      <c r="AA457" s="87"/>
      <c r="AB457" s="87"/>
      <c r="AC457" s="243"/>
      <c r="AD457" s="234"/>
      <c r="AE457" s="234"/>
      <c r="AF457" s="234"/>
      <c r="AG457" s="9"/>
      <c r="AH457" s="87"/>
      <c r="AI457" s="87"/>
      <c r="AJ457" s="87"/>
      <c r="AK457" s="244"/>
      <c r="AL457" s="245"/>
      <c r="AM457" s="244"/>
      <c r="AN457" s="244"/>
      <c r="AO457" s="87"/>
      <c r="AP457" s="87"/>
      <c r="AQ457" s="87"/>
      <c r="AR457" s="87"/>
      <c r="AS457" s="87"/>
      <c r="AT457" s="87"/>
      <c r="AU457" s="87"/>
      <c r="AV457" s="87"/>
      <c r="AW457" s="87"/>
      <c r="AX457" s="87"/>
    </row>
    <row r="458">
      <c r="A458" s="9"/>
      <c r="B458" s="87"/>
      <c r="C458" s="87"/>
      <c r="D458" s="87"/>
      <c r="E458" s="9"/>
      <c r="F458" s="87"/>
      <c r="G458" s="87"/>
      <c r="H458" s="87"/>
      <c r="I458" s="9"/>
      <c r="J458" s="87"/>
      <c r="K458" s="87"/>
      <c r="L458" s="87"/>
      <c r="M458" s="9"/>
      <c r="N458" s="87"/>
      <c r="O458" s="87"/>
      <c r="P458" s="87"/>
      <c r="Q458" s="9"/>
      <c r="R458" s="87"/>
      <c r="S458" s="87"/>
      <c r="T458" s="87"/>
      <c r="U458" s="9"/>
      <c r="V458" s="87"/>
      <c r="W458" s="87"/>
      <c r="X458" s="87"/>
      <c r="Y458" s="87"/>
      <c r="Z458" s="87"/>
      <c r="AA458" s="87"/>
      <c r="AB458" s="87"/>
      <c r="AC458" s="243"/>
      <c r="AD458" s="234"/>
      <c r="AE458" s="234"/>
      <c r="AF458" s="234"/>
      <c r="AG458" s="9"/>
      <c r="AH458" s="87"/>
      <c r="AI458" s="87"/>
      <c r="AJ458" s="87"/>
      <c r="AK458" s="244"/>
      <c r="AL458" s="245"/>
      <c r="AM458" s="244"/>
      <c r="AN458" s="244"/>
      <c r="AO458" s="87"/>
      <c r="AP458" s="87"/>
      <c r="AQ458" s="87"/>
      <c r="AR458" s="87"/>
      <c r="AS458" s="87"/>
      <c r="AT458" s="87"/>
      <c r="AU458" s="87"/>
      <c r="AV458" s="87"/>
      <c r="AW458" s="87"/>
      <c r="AX458" s="87"/>
    </row>
    <row r="459">
      <c r="A459" s="9"/>
      <c r="B459" s="87"/>
      <c r="C459" s="87"/>
      <c r="D459" s="87"/>
      <c r="E459" s="9"/>
      <c r="F459" s="87"/>
      <c r="G459" s="87"/>
      <c r="H459" s="87"/>
      <c r="I459" s="9"/>
      <c r="J459" s="87"/>
      <c r="K459" s="87"/>
      <c r="L459" s="87"/>
      <c r="M459" s="9"/>
      <c r="N459" s="87"/>
      <c r="O459" s="87"/>
      <c r="P459" s="87"/>
      <c r="Q459" s="9"/>
      <c r="R459" s="87"/>
      <c r="S459" s="87"/>
      <c r="T459" s="87"/>
      <c r="U459" s="9"/>
      <c r="V459" s="87"/>
      <c r="W459" s="87"/>
      <c r="X459" s="87"/>
      <c r="Y459" s="87"/>
      <c r="Z459" s="87"/>
      <c r="AA459" s="87"/>
      <c r="AB459" s="87"/>
      <c r="AC459" s="243"/>
      <c r="AD459" s="234"/>
      <c r="AE459" s="234"/>
      <c r="AF459" s="234"/>
      <c r="AG459" s="9"/>
      <c r="AH459" s="87"/>
      <c r="AI459" s="87"/>
      <c r="AJ459" s="87"/>
      <c r="AK459" s="244"/>
      <c r="AL459" s="245"/>
      <c r="AM459" s="244"/>
      <c r="AN459" s="244"/>
      <c r="AO459" s="87"/>
      <c r="AP459" s="87"/>
      <c r="AQ459" s="87"/>
      <c r="AR459" s="87"/>
      <c r="AS459" s="87"/>
      <c r="AT459" s="87"/>
      <c r="AU459" s="87"/>
      <c r="AV459" s="87"/>
      <c r="AW459" s="87"/>
      <c r="AX459" s="87"/>
    </row>
    <row r="460">
      <c r="A460" s="9"/>
      <c r="B460" s="87"/>
      <c r="C460" s="87"/>
      <c r="D460" s="87"/>
      <c r="E460" s="9"/>
      <c r="F460" s="87"/>
      <c r="G460" s="87"/>
      <c r="H460" s="87"/>
      <c r="I460" s="9"/>
      <c r="J460" s="87"/>
      <c r="K460" s="87"/>
      <c r="L460" s="87"/>
      <c r="M460" s="9"/>
      <c r="N460" s="87"/>
      <c r="O460" s="87"/>
      <c r="P460" s="87"/>
      <c r="Q460" s="9"/>
      <c r="R460" s="87"/>
      <c r="S460" s="87"/>
      <c r="T460" s="87"/>
      <c r="U460" s="9"/>
      <c r="V460" s="87"/>
      <c r="W460" s="87"/>
      <c r="X460" s="87"/>
      <c r="Y460" s="87"/>
      <c r="Z460" s="87"/>
      <c r="AA460" s="87"/>
      <c r="AB460" s="87"/>
      <c r="AC460" s="243"/>
      <c r="AD460" s="234"/>
      <c r="AE460" s="234"/>
      <c r="AF460" s="234"/>
      <c r="AG460" s="9"/>
      <c r="AH460" s="87"/>
      <c r="AI460" s="87"/>
      <c r="AJ460" s="87"/>
      <c r="AK460" s="244"/>
      <c r="AL460" s="245"/>
      <c r="AM460" s="244"/>
      <c r="AN460" s="244"/>
      <c r="AO460" s="87"/>
      <c r="AP460" s="87"/>
      <c r="AQ460" s="87"/>
      <c r="AR460" s="87"/>
      <c r="AS460" s="87"/>
      <c r="AT460" s="87"/>
      <c r="AU460" s="87"/>
      <c r="AV460" s="87"/>
      <c r="AW460" s="87"/>
      <c r="AX460" s="87"/>
    </row>
    <row r="461">
      <c r="A461" s="9"/>
      <c r="B461" s="87"/>
      <c r="C461" s="87"/>
      <c r="D461" s="87"/>
      <c r="E461" s="9"/>
      <c r="F461" s="87"/>
      <c r="G461" s="87"/>
      <c r="H461" s="87"/>
      <c r="I461" s="9"/>
      <c r="J461" s="87"/>
      <c r="K461" s="87"/>
      <c r="L461" s="87"/>
      <c r="M461" s="9"/>
      <c r="N461" s="87"/>
      <c r="O461" s="87"/>
      <c r="P461" s="87"/>
      <c r="Q461" s="9"/>
      <c r="R461" s="87"/>
      <c r="S461" s="87"/>
      <c r="T461" s="87"/>
      <c r="U461" s="9"/>
      <c r="V461" s="87"/>
      <c r="W461" s="87"/>
      <c r="X461" s="87"/>
      <c r="Y461" s="87"/>
      <c r="Z461" s="87"/>
      <c r="AA461" s="87"/>
      <c r="AB461" s="87"/>
      <c r="AC461" s="243"/>
      <c r="AD461" s="234"/>
      <c r="AE461" s="234"/>
      <c r="AF461" s="234"/>
      <c r="AG461" s="9"/>
      <c r="AH461" s="87"/>
      <c r="AI461" s="87"/>
      <c r="AJ461" s="87"/>
      <c r="AK461" s="244"/>
      <c r="AL461" s="245"/>
      <c r="AM461" s="244"/>
      <c r="AN461" s="244"/>
      <c r="AO461" s="87"/>
      <c r="AP461" s="87"/>
      <c r="AQ461" s="87"/>
      <c r="AR461" s="87"/>
      <c r="AS461" s="87"/>
      <c r="AT461" s="87"/>
      <c r="AU461" s="87"/>
      <c r="AV461" s="87"/>
      <c r="AW461" s="87"/>
      <c r="AX461" s="87"/>
    </row>
    <row r="462">
      <c r="A462" s="9"/>
      <c r="B462" s="87"/>
      <c r="C462" s="87"/>
      <c r="D462" s="87"/>
      <c r="E462" s="9"/>
      <c r="F462" s="87"/>
      <c r="G462" s="87"/>
      <c r="H462" s="87"/>
      <c r="I462" s="9"/>
      <c r="J462" s="87"/>
      <c r="K462" s="87"/>
      <c r="L462" s="87"/>
      <c r="M462" s="9"/>
      <c r="N462" s="87"/>
      <c r="O462" s="87"/>
      <c r="P462" s="87"/>
      <c r="Q462" s="9"/>
      <c r="R462" s="87"/>
      <c r="S462" s="87"/>
      <c r="T462" s="87"/>
      <c r="U462" s="9"/>
      <c r="V462" s="87"/>
      <c r="W462" s="87"/>
      <c r="X462" s="87"/>
      <c r="Y462" s="87"/>
      <c r="Z462" s="87"/>
      <c r="AA462" s="87"/>
      <c r="AB462" s="87"/>
      <c r="AC462" s="243"/>
      <c r="AD462" s="234"/>
      <c r="AE462" s="234"/>
      <c r="AF462" s="234"/>
      <c r="AG462" s="9"/>
      <c r="AH462" s="87"/>
      <c r="AI462" s="87"/>
      <c r="AJ462" s="87"/>
      <c r="AK462" s="244"/>
      <c r="AL462" s="245"/>
      <c r="AM462" s="244"/>
      <c r="AN462" s="244"/>
      <c r="AO462" s="87"/>
      <c r="AP462" s="87"/>
      <c r="AQ462" s="87"/>
      <c r="AR462" s="87"/>
      <c r="AS462" s="87"/>
      <c r="AT462" s="87"/>
      <c r="AU462" s="87"/>
      <c r="AV462" s="87"/>
      <c r="AW462" s="87"/>
      <c r="AX462" s="87"/>
    </row>
    <row r="463">
      <c r="A463" s="9"/>
      <c r="B463" s="87"/>
      <c r="C463" s="87"/>
      <c r="D463" s="87"/>
      <c r="E463" s="9"/>
      <c r="F463" s="87"/>
      <c r="G463" s="87"/>
      <c r="H463" s="87"/>
      <c r="I463" s="9"/>
      <c r="J463" s="87"/>
      <c r="K463" s="87"/>
      <c r="L463" s="87"/>
      <c r="M463" s="9"/>
      <c r="N463" s="87"/>
      <c r="O463" s="87"/>
      <c r="P463" s="87"/>
      <c r="Q463" s="9"/>
      <c r="R463" s="87"/>
      <c r="S463" s="87"/>
      <c r="T463" s="87"/>
      <c r="U463" s="9"/>
      <c r="V463" s="87"/>
      <c r="W463" s="87"/>
      <c r="X463" s="87"/>
      <c r="Y463" s="87"/>
      <c r="Z463" s="87"/>
      <c r="AA463" s="87"/>
      <c r="AB463" s="87"/>
      <c r="AC463" s="243"/>
      <c r="AD463" s="234"/>
      <c r="AE463" s="234"/>
      <c r="AF463" s="234"/>
      <c r="AG463" s="9"/>
      <c r="AH463" s="87"/>
      <c r="AI463" s="87"/>
      <c r="AJ463" s="87"/>
      <c r="AK463" s="244"/>
      <c r="AL463" s="245"/>
      <c r="AM463" s="244"/>
      <c r="AN463" s="244"/>
      <c r="AO463" s="87"/>
      <c r="AP463" s="87"/>
      <c r="AQ463" s="87"/>
      <c r="AR463" s="87"/>
      <c r="AS463" s="87"/>
      <c r="AT463" s="87"/>
      <c r="AU463" s="87"/>
      <c r="AV463" s="87"/>
      <c r="AW463" s="87"/>
      <c r="AX463" s="87"/>
    </row>
    <row r="464">
      <c r="A464" s="9"/>
      <c r="B464" s="87"/>
      <c r="C464" s="87"/>
      <c r="D464" s="87"/>
      <c r="E464" s="9"/>
      <c r="F464" s="87"/>
      <c r="G464" s="87"/>
      <c r="H464" s="87"/>
      <c r="I464" s="9"/>
      <c r="J464" s="87"/>
      <c r="K464" s="87"/>
      <c r="L464" s="87"/>
      <c r="M464" s="9"/>
      <c r="N464" s="87"/>
      <c r="O464" s="87"/>
      <c r="P464" s="87"/>
      <c r="Q464" s="9"/>
      <c r="R464" s="87"/>
      <c r="S464" s="87"/>
      <c r="T464" s="87"/>
      <c r="U464" s="9"/>
      <c r="V464" s="87"/>
      <c r="W464" s="87"/>
      <c r="X464" s="87"/>
      <c r="Y464" s="87"/>
      <c r="Z464" s="87"/>
      <c r="AA464" s="87"/>
      <c r="AB464" s="87"/>
      <c r="AC464" s="243"/>
      <c r="AD464" s="234"/>
      <c r="AE464" s="234"/>
      <c r="AF464" s="234"/>
      <c r="AG464" s="9"/>
      <c r="AH464" s="87"/>
      <c r="AI464" s="87"/>
      <c r="AJ464" s="87"/>
      <c r="AK464" s="244"/>
      <c r="AL464" s="245"/>
      <c r="AM464" s="244"/>
      <c r="AN464" s="244"/>
      <c r="AO464" s="87"/>
      <c r="AP464" s="87"/>
      <c r="AQ464" s="87"/>
      <c r="AR464" s="87"/>
      <c r="AS464" s="87"/>
      <c r="AT464" s="87"/>
      <c r="AU464" s="87"/>
      <c r="AV464" s="87"/>
      <c r="AW464" s="87"/>
      <c r="AX464" s="87"/>
    </row>
    <row r="465">
      <c r="A465" s="9"/>
      <c r="B465" s="87"/>
      <c r="C465" s="87"/>
      <c r="D465" s="87"/>
      <c r="E465" s="9"/>
      <c r="F465" s="87"/>
      <c r="G465" s="87"/>
      <c r="H465" s="87"/>
      <c r="I465" s="9"/>
      <c r="J465" s="87"/>
      <c r="K465" s="87"/>
      <c r="L465" s="87"/>
      <c r="M465" s="9"/>
      <c r="N465" s="87"/>
      <c r="O465" s="87"/>
      <c r="P465" s="87"/>
      <c r="Q465" s="9"/>
      <c r="R465" s="87"/>
      <c r="S465" s="87"/>
      <c r="T465" s="87"/>
      <c r="U465" s="9"/>
      <c r="V465" s="87"/>
      <c r="W465" s="87"/>
      <c r="X465" s="87"/>
      <c r="Y465" s="87"/>
      <c r="Z465" s="87"/>
      <c r="AA465" s="87"/>
      <c r="AB465" s="87"/>
      <c r="AC465" s="243"/>
      <c r="AD465" s="234"/>
      <c r="AE465" s="234"/>
      <c r="AF465" s="234"/>
      <c r="AG465" s="9"/>
      <c r="AH465" s="87"/>
      <c r="AI465" s="87"/>
      <c r="AJ465" s="87"/>
      <c r="AK465" s="244"/>
      <c r="AL465" s="245"/>
      <c r="AM465" s="244"/>
      <c r="AN465" s="244"/>
      <c r="AO465" s="87"/>
      <c r="AP465" s="87"/>
      <c r="AQ465" s="87"/>
      <c r="AR465" s="87"/>
      <c r="AS465" s="87"/>
      <c r="AT465" s="87"/>
      <c r="AU465" s="87"/>
      <c r="AV465" s="87"/>
      <c r="AW465" s="87"/>
      <c r="AX465" s="87"/>
    </row>
    <row r="466">
      <c r="A466" s="9"/>
      <c r="B466" s="87"/>
      <c r="C466" s="87"/>
      <c r="D466" s="87"/>
      <c r="E466" s="9"/>
      <c r="F466" s="87"/>
      <c r="G466" s="87"/>
      <c r="H466" s="87"/>
      <c r="I466" s="9"/>
      <c r="J466" s="87"/>
      <c r="K466" s="87"/>
      <c r="L466" s="87"/>
      <c r="M466" s="9"/>
      <c r="N466" s="87"/>
      <c r="O466" s="87"/>
      <c r="P466" s="87"/>
      <c r="Q466" s="9"/>
      <c r="R466" s="87"/>
      <c r="S466" s="87"/>
      <c r="T466" s="87"/>
      <c r="U466" s="9"/>
      <c r="V466" s="87"/>
      <c r="W466" s="87"/>
      <c r="X466" s="87"/>
      <c r="Y466" s="87"/>
      <c r="Z466" s="87"/>
      <c r="AA466" s="87"/>
      <c r="AB466" s="87"/>
      <c r="AC466" s="243"/>
      <c r="AD466" s="234"/>
      <c r="AE466" s="234"/>
      <c r="AF466" s="234"/>
      <c r="AG466" s="9"/>
      <c r="AH466" s="87"/>
      <c r="AI466" s="87"/>
      <c r="AJ466" s="87"/>
      <c r="AK466" s="244"/>
      <c r="AL466" s="245"/>
      <c r="AM466" s="244"/>
      <c r="AN466" s="244"/>
      <c r="AO466" s="87"/>
      <c r="AP466" s="87"/>
      <c r="AQ466" s="87"/>
      <c r="AR466" s="87"/>
      <c r="AS466" s="87"/>
      <c r="AT466" s="87"/>
      <c r="AU466" s="87"/>
      <c r="AV466" s="87"/>
      <c r="AW466" s="87"/>
      <c r="AX466" s="87"/>
    </row>
    <row r="467">
      <c r="A467" s="9"/>
      <c r="B467" s="87"/>
      <c r="C467" s="87"/>
      <c r="D467" s="87"/>
      <c r="E467" s="9"/>
      <c r="F467" s="87"/>
      <c r="G467" s="87"/>
      <c r="H467" s="87"/>
      <c r="I467" s="9"/>
      <c r="J467" s="87"/>
      <c r="K467" s="87"/>
      <c r="L467" s="87"/>
      <c r="M467" s="9"/>
      <c r="N467" s="87"/>
      <c r="O467" s="87"/>
      <c r="P467" s="87"/>
      <c r="Q467" s="9"/>
      <c r="R467" s="87"/>
      <c r="S467" s="87"/>
      <c r="T467" s="87"/>
      <c r="U467" s="9"/>
      <c r="V467" s="87"/>
      <c r="W467" s="87"/>
      <c r="X467" s="87"/>
      <c r="Y467" s="87"/>
      <c r="Z467" s="87"/>
      <c r="AA467" s="87"/>
      <c r="AB467" s="87"/>
      <c r="AC467" s="243"/>
      <c r="AD467" s="234"/>
      <c r="AE467" s="234"/>
      <c r="AF467" s="234"/>
      <c r="AG467" s="9"/>
      <c r="AH467" s="87"/>
      <c r="AI467" s="87"/>
      <c r="AJ467" s="87"/>
      <c r="AK467" s="244"/>
      <c r="AL467" s="245"/>
      <c r="AM467" s="244"/>
      <c r="AN467" s="244"/>
      <c r="AO467" s="87"/>
      <c r="AP467" s="87"/>
      <c r="AQ467" s="87"/>
      <c r="AR467" s="87"/>
      <c r="AS467" s="87"/>
      <c r="AT467" s="87"/>
      <c r="AU467" s="87"/>
      <c r="AV467" s="87"/>
      <c r="AW467" s="87"/>
      <c r="AX467" s="87"/>
    </row>
    <row r="468">
      <c r="A468" s="9"/>
      <c r="B468" s="87"/>
      <c r="C468" s="87"/>
      <c r="D468" s="87"/>
      <c r="E468" s="9"/>
      <c r="F468" s="87"/>
      <c r="G468" s="87"/>
      <c r="H468" s="87"/>
      <c r="I468" s="9"/>
      <c r="J468" s="87"/>
      <c r="K468" s="87"/>
      <c r="L468" s="87"/>
      <c r="M468" s="9"/>
      <c r="N468" s="87"/>
      <c r="O468" s="87"/>
      <c r="P468" s="87"/>
      <c r="Q468" s="9"/>
      <c r="R468" s="87"/>
      <c r="S468" s="87"/>
      <c r="T468" s="87"/>
      <c r="U468" s="9"/>
      <c r="V468" s="87"/>
      <c r="W468" s="87"/>
      <c r="X468" s="87"/>
      <c r="Y468" s="87"/>
      <c r="Z468" s="87"/>
      <c r="AA468" s="87"/>
      <c r="AB468" s="87"/>
      <c r="AC468" s="243"/>
      <c r="AD468" s="234"/>
      <c r="AE468" s="234"/>
      <c r="AF468" s="234"/>
      <c r="AG468" s="9"/>
      <c r="AH468" s="87"/>
      <c r="AI468" s="87"/>
      <c r="AJ468" s="87"/>
      <c r="AK468" s="244"/>
      <c r="AL468" s="245"/>
      <c r="AM468" s="244"/>
      <c r="AN468" s="244"/>
      <c r="AO468" s="87"/>
      <c r="AP468" s="87"/>
      <c r="AQ468" s="87"/>
      <c r="AR468" s="87"/>
      <c r="AS468" s="87"/>
      <c r="AT468" s="87"/>
      <c r="AU468" s="87"/>
      <c r="AV468" s="87"/>
      <c r="AW468" s="87"/>
      <c r="AX468" s="87"/>
    </row>
    <row r="469">
      <c r="A469" s="9"/>
      <c r="B469" s="87"/>
      <c r="C469" s="87"/>
      <c r="D469" s="87"/>
      <c r="E469" s="9"/>
      <c r="F469" s="87"/>
      <c r="G469" s="87"/>
      <c r="H469" s="87"/>
      <c r="I469" s="9"/>
      <c r="J469" s="87"/>
      <c r="K469" s="87"/>
      <c r="L469" s="87"/>
      <c r="M469" s="9"/>
      <c r="N469" s="87"/>
      <c r="O469" s="87"/>
      <c r="P469" s="87"/>
      <c r="Q469" s="9"/>
      <c r="R469" s="87"/>
      <c r="S469" s="87"/>
      <c r="T469" s="87"/>
      <c r="U469" s="9"/>
      <c r="V469" s="87"/>
      <c r="W469" s="87"/>
      <c r="X469" s="87"/>
      <c r="Y469" s="87"/>
      <c r="Z469" s="87"/>
      <c r="AA469" s="87"/>
      <c r="AB469" s="87"/>
      <c r="AC469" s="243"/>
      <c r="AD469" s="234"/>
      <c r="AE469" s="234"/>
      <c r="AF469" s="234"/>
      <c r="AG469" s="9"/>
      <c r="AH469" s="87"/>
      <c r="AI469" s="87"/>
      <c r="AJ469" s="87"/>
      <c r="AK469" s="244"/>
      <c r="AL469" s="245"/>
      <c r="AM469" s="244"/>
      <c r="AN469" s="244"/>
      <c r="AO469" s="87"/>
      <c r="AP469" s="87"/>
      <c r="AQ469" s="87"/>
      <c r="AR469" s="87"/>
      <c r="AS469" s="87"/>
      <c r="AT469" s="87"/>
      <c r="AU469" s="87"/>
      <c r="AV469" s="87"/>
      <c r="AW469" s="87"/>
      <c r="AX469" s="87"/>
    </row>
    <row r="470">
      <c r="A470" s="9"/>
      <c r="B470" s="87"/>
      <c r="C470" s="87"/>
      <c r="D470" s="87"/>
      <c r="E470" s="9"/>
      <c r="F470" s="87"/>
      <c r="G470" s="87"/>
      <c r="H470" s="87"/>
      <c r="I470" s="9"/>
      <c r="J470" s="87"/>
      <c r="K470" s="87"/>
      <c r="L470" s="87"/>
      <c r="M470" s="9"/>
      <c r="N470" s="87"/>
      <c r="O470" s="87"/>
      <c r="P470" s="87"/>
      <c r="Q470" s="9"/>
      <c r="R470" s="87"/>
      <c r="S470" s="87"/>
      <c r="T470" s="87"/>
      <c r="U470" s="9"/>
      <c r="V470" s="87"/>
      <c r="W470" s="87"/>
      <c r="X470" s="87"/>
      <c r="Y470" s="87"/>
      <c r="Z470" s="87"/>
      <c r="AA470" s="87"/>
      <c r="AB470" s="87"/>
      <c r="AC470" s="243"/>
      <c r="AD470" s="234"/>
      <c r="AE470" s="234"/>
      <c r="AF470" s="234"/>
      <c r="AG470" s="9"/>
      <c r="AH470" s="87"/>
      <c r="AI470" s="87"/>
      <c r="AJ470" s="87"/>
      <c r="AK470" s="244"/>
      <c r="AL470" s="245"/>
      <c r="AM470" s="244"/>
      <c r="AN470" s="244"/>
      <c r="AO470" s="87"/>
      <c r="AP470" s="87"/>
      <c r="AQ470" s="87"/>
      <c r="AR470" s="87"/>
      <c r="AS470" s="87"/>
      <c r="AT470" s="87"/>
      <c r="AU470" s="87"/>
      <c r="AV470" s="87"/>
      <c r="AW470" s="87"/>
      <c r="AX470" s="87"/>
    </row>
    <row r="471">
      <c r="A471" s="9"/>
      <c r="B471" s="87"/>
      <c r="C471" s="87"/>
      <c r="D471" s="87"/>
      <c r="E471" s="9"/>
      <c r="F471" s="87"/>
      <c r="G471" s="87"/>
      <c r="H471" s="87"/>
      <c r="I471" s="9"/>
      <c r="J471" s="87"/>
      <c r="K471" s="87"/>
      <c r="L471" s="87"/>
      <c r="M471" s="9"/>
      <c r="N471" s="87"/>
      <c r="O471" s="87"/>
      <c r="P471" s="87"/>
      <c r="Q471" s="9"/>
      <c r="R471" s="87"/>
      <c r="S471" s="87"/>
      <c r="T471" s="87"/>
      <c r="U471" s="9"/>
      <c r="V471" s="87"/>
      <c r="W471" s="87"/>
      <c r="X471" s="87"/>
      <c r="Y471" s="87"/>
      <c r="Z471" s="87"/>
      <c r="AA471" s="87"/>
      <c r="AB471" s="87"/>
      <c r="AC471" s="243"/>
      <c r="AD471" s="234"/>
      <c r="AE471" s="234"/>
      <c r="AF471" s="234"/>
      <c r="AG471" s="9"/>
      <c r="AH471" s="87"/>
      <c r="AI471" s="87"/>
      <c r="AJ471" s="87"/>
      <c r="AK471" s="244"/>
      <c r="AL471" s="245"/>
      <c r="AM471" s="244"/>
      <c r="AN471" s="244"/>
      <c r="AO471" s="87"/>
      <c r="AP471" s="87"/>
      <c r="AQ471" s="87"/>
      <c r="AR471" s="87"/>
      <c r="AS471" s="87"/>
      <c r="AT471" s="87"/>
      <c r="AU471" s="87"/>
      <c r="AV471" s="87"/>
      <c r="AW471" s="87"/>
      <c r="AX471" s="87"/>
    </row>
    <row r="472">
      <c r="A472" s="9"/>
      <c r="B472" s="87"/>
      <c r="C472" s="87"/>
      <c r="D472" s="87"/>
      <c r="E472" s="9"/>
      <c r="F472" s="87"/>
      <c r="G472" s="87"/>
      <c r="H472" s="87"/>
      <c r="I472" s="9"/>
      <c r="J472" s="87"/>
      <c r="K472" s="87"/>
      <c r="L472" s="87"/>
      <c r="M472" s="9"/>
      <c r="N472" s="87"/>
      <c r="O472" s="87"/>
      <c r="P472" s="87"/>
      <c r="Q472" s="9"/>
      <c r="R472" s="87"/>
      <c r="S472" s="87"/>
      <c r="T472" s="87"/>
      <c r="U472" s="9"/>
      <c r="V472" s="87"/>
      <c r="W472" s="87"/>
      <c r="X472" s="87"/>
      <c r="Y472" s="87"/>
      <c r="Z472" s="87"/>
      <c r="AA472" s="87"/>
      <c r="AB472" s="87"/>
      <c r="AC472" s="243"/>
      <c r="AD472" s="234"/>
      <c r="AE472" s="234"/>
      <c r="AF472" s="234"/>
      <c r="AG472" s="9"/>
      <c r="AH472" s="87"/>
      <c r="AI472" s="87"/>
      <c r="AJ472" s="87"/>
      <c r="AK472" s="244"/>
      <c r="AL472" s="245"/>
      <c r="AM472" s="244"/>
      <c r="AN472" s="244"/>
      <c r="AO472" s="87"/>
      <c r="AP472" s="87"/>
      <c r="AQ472" s="87"/>
      <c r="AR472" s="87"/>
      <c r="AS472" s="87"/>
      <c r="AT472" s="87"/>
      <c r="AU472" s="87"/>
      <c r="AV472" s="87"/>
      <c r="AW472" s="87"/>
      <c r="AX472" s="87"/>
    </row>
    <row r="473">
      <c r="A473" s="9"/>
      <c r="B473" s="87"/>
      <c r="C473" s="87"/>
      <c r="D473" s="87"/>
      <c r="E473" s="9"/>
      <c r="F473" s="87"/>
      <c r="G473" s="87"/>
      <c r="H473" s="87"/>
      <c r="I473" s="9"/>
      <c r="J473" s="87"/>
      <c r="K473" s="87"/>
      <c r="L473" s="87"/>
      <c r="M473" s="9"/>
      <c r="N473" s="87"/>
      <c r="O473" s="87"/>
      <c r="P473" s="87"/>
      <c r="Q473" s="9"/>
      <c r="R473" s="87"/>
      <c r="S473" s="87"/>
      <c r="T473" s="87"/>
      <c r="U473" s="9"/>
      <c r="V473" s="87"/>
      <c r="W473" s="87"/>
      <c r="X473" s="87"/>
      <c r="Y473" s="87"/>
      <c r="Z473" s="87"/>
      <c r="AA473" s="87"/>
      <c r="AB473" s="87"/>
      <c r="AC473" s="243"/>
      <c r="AD473" s="234"/>
      <c r="AE473" s="234"/>
      <c r="AF473" s="234"/>
      <c r="AG473" s="9"/>
      <c r="AH473" s="87"/>
      <c r="AI473" s="87"/>
      <c r="AJ473" s="87"/>
      <c r="AK473" s="244"/>
      <c r="AL473" s="245"/>
      <c r="AM473" s="244"/>
      <c r="AN473" s="244"/>
      <c r="AO473" s="87"/>
      <c r="AP473" s="87"/>
      <c r="AQ473" s="87"/>
      <c r="AR473" s="87"/>
      <c r="AS473" s="87"/>
      <c r="AT473" s="87"/>
      <c r="AU473" s="87"/>
      <c r="AV473" s="87"/>
      <c r="AW473" s="87"/>
      <c r="AX473" s="87"/>
    </row>
    <row r="474">
      <c r="A474" s="9"/>
      <c r="B474" s="87"/>
      <c r="C474" s="87"/>
      <c r="D474" s="87"/>
      <c r="E474" s="9"/>
      <c r="F474" s="87"/>
      <c r="G474" s="87"/>
      <c r="H474" s="87"/>
      <c r="I474" s="9"/>
      <c r="J474" s="87"/>
      <c r="K474" s="87"/>
      <c r="L474" s="87"/>
      <c r="M474" s="9"/>
      <c r="N474" s="87"/>
      <c r="O474" s="87"/>
      <c r="P474" s="87"/>
      <c r="Q474" s="9"/>
      <c r="R474" s="87"/>
      <c r="S474" s="87"/>
      <c r="T474" s="87"/>
      <c r="U474" s="9"/>
      <c r="V474" s="87"/>
      <c r="W474" s="87"/>
      <c r="X474" s="87"/>
      <c r="Y474" s="87"/>
      <c r="Z474" s="87"/>
      <c r="AA474" s="87"/>
      <c r="AB474" s="87"/>
      <c r="AC474" s="243"/>
      <c r="AD474" s="234"/>
      <c r="AE474" s="234"/>
      <c r="AF474" s="234"/>
      <c r="AG474" s="9"/>
      <c r="AH474" s="87"/>
      <c r="AI474" s="87"/>
      <c r="AJ474" s="87"/>
      <c r="AK474" s="244"/>
      <c r="AL474" s="245"/>
      <c r="AM474" s="244"/>
      <c r="AN474" s="244"/>
      <c r="AO474" s="87"/>
      <c r="AP474" s="87"/>
      <c r="AQ474" s="87"/>
      <c r="AR474" s="87"/>
      <c r="AS474" s="87"/>
      <c r="AT474" s="87"/>
      <c r="AU474" s="87"/>
      <c r="AV474" s="87"/>
      <c r="AW474" s="87"/>
      <c r="AX474" s="87"/>
    </row>
    <row r="475">
      <c r="A475" s="9"/>
      <c r="B475" s="87"/>
      <c r="C475" s="87"/>
      <c r="D475" s="87"/>
      <c r="E475" s="9"/>
      <c r="F475" s="87"/>
      <c r="G475" s="87"/>
      <c r="H475" s="87"/>
      <c r="I475" s="9"/>
      <c r="J475" s="87"/>
      <c r="K475" s="87"/>
      <c r="L475" s="87"/>
      <c r="M475" s="9"/>
      <c r="N475" s="87"/>
      <c r="O475" s="87"/>
      <c r="P475" s="87"/>
      <c r="Q475" s="9"/>
      <c r="R475" s="87"/>
      <c r="S475" s="87"/>
      <c r="T475" s="87"/>
      <c r="U475" s="9"/>
      <c r="V475" s="87"/>
      <c r="W475" s="87"/>
      <c r="X475" s="87"/>
      <c r="Y475" s="87"/>
      <c r="Z475" s="87"/>
      <c r="AA475" s="87"/>
      <c r="AB475" s="87"/>
      <c r="AC475" s="243"/>
      <c r="AD475" s="234"/>
      <c r="AE475" s="234"/>
      <c r="AF475" s="234"/>
      <c r="AG475" s="9"/>
      <c r="AH475" s="87"/>
      <c r="AI475" s="87"/>
      <c r="AJ475" s="87"/>
      <c r="AK475" s="244"/>
      <c r="AL475" s="245"/>
      <c r="AM475" s="244"/>
      <c r="AN475" s="244"/>
      <c r="AO475" s="87"/>
      <c r="AP475" s="87"/>
      <c r="AQ475" s="87"/>
      <c r="AR475" s="87"/>
      <c r="AS475" s="87"/>
      <c r="AT475" s="87"/>
      <c r="AU475" s="87"/>
      <c r="AV475" s="87"/>
      <c r="AW475" s="87"/>
      <c r="AX475" s="87"/>
    </row>
    <row r="476">
      <c r="A476" s="9"/>
      <c r="B476" s="87"/>
      <c r="C476" s="87"/>
      <c r="D476" s="87"/>
      <c r="E476" s="9"/>
      <c r="F476" s="87"/>
      <c r="G476" s="87"/>
      <c r="H476" s="87"/>
      <c r="I476" s="9"/>
      <c r="J476" s="87"/>
      <c r="K476" s="87"/>
      <c r="L476" s="87"/>
      <c r="M476" s="9"/>
      <c r="N476" s="87"/>
      <c r="O476" s="87"/>
      <c r="P476" s="87"/>
      <c r="Q476" s="9"/>
      <c r="R476" s="87"/>
      <c r="S476" s="87"/>
      <c r="T476" s="87"/>
      <c r="U476" s="9"/>
      <c r="V476" s="87"/>
      <c r="W476" s="87"/>
      <c r="X476" s="87"/>
      <c r="Y476" s="87"/>
      <c r="Z476" s="87"/>
      <c r="AA476" s="87"/>
      <c r="AB476" s="87"/>
      <c r="AC476" s="243"/>
      <c r="AD476" s="234"/>
      <c r="AE476" s="234"/>
      <c r="AF476" s="234"/>
      <c r="AG476" s="9"/>
      <c r="AH476" s="87"/>
      <c r="AI476" s="87"/>
      <c r="AJ476" s="87"/>
      <c r="AK476" s="244"/>
      <c r="AL476" s="245"/>
      <c r="AM476" s="244"/>
      <c r="AN476" s="244"/>
      <c r="AO476" s="87"/>
      <c r="AP476" s="87"/>
      <c r="AQ476" s="87"/>
      <c r="AR476" s="87"/>
      <c r="AS476" s="87"/>
      <c r="AT476" s="87"/>
      <c r="AU476" s="87"/>
      <c r="AV476" s="87"/>
      <c r="AW476" s="87"/>
      <c r="AX476" s="87"/>
    </row>
    <row r="477">
      <c r="A477" s="9"/>
      <c r="B477" s="87"/>
      <c r="C477" s="87"/>
      <c r="D477" s="87"/>
      <c r="E477" s="9"/>
      <c r="F477" s="87"/>
      <c r="G477" s="87"/>
      <c r="H477" s="87"/>
      <c r="I477" s="9"/>
      <c r="J477" s="87"/>
      <c r="K477" s="87"/>
      <c r="L477" s="87"/>
      <c r="M477" s="9"/>
      <c r="N477" s="87"/>
      <c r="O477" s="87"/>
      <c r="P477" s="87"/>
      <c r="Q477" s="9"/>
      <c r="R477" s="87"/>
      <c r="S477" s="87"/>
      <c r="T477" s="87"/>
      <c r="U477" s="9"/>
      <c r="V477" s="87"/>
      <c r="W477" s="87"/>
      <c r="X477" s="87"/>
      <c r="Y477" s="87"/>
      <c r="Z477" s="87"/>
      <c r="AA477" s="87"/>
      <c r="AB477" s="87"/>
      <c r="AC477" s="243"/>
      <c r="AD477" s="234"/>
      <c r="AE477" s="234"/>
      <c r="AF477" s="234"/>
      <c r="AG477" s="9"/>
      <c r="AH477" s="87"/>
      <c r="AI477" s="87"/>
      <c r="AJ477" s="87"/>
      <c r="AK477" s="244"/>
      <c r="AL477" s="245"/>
      <c r="AM477" s="244"/>
      <c r="AN477" s="244"/>
      <c r="AO477" s="87"/>
      <c r="AP477" s="87"/>
      <c r="AQ477" s="87"/>
      <c r="AR477" s="87"/>
      <c r="AS477" s="87"/>
      <c r="AT477" s="87"/>
      <c r="AU477" s="87"/>
      <c r="AV477" s="87"/>
      <c r="AW477" s="87"/>
      <c r="AX477" s="87"/>
    </row>
    <row r="478">
      <c r="A478" s="9"/>
      <c r="B478" s="87"/>
      <c r="C478" s="87"/>
      <c r="D478" s="87"/>
      <c r="E478" s="9"/>
      <c r="F478" s="87"/>
      <c r="G478" s="87"/>
      <c r="H478" s="87"/>
      <c r="I478" s="9"/>
      <c r="J478" s="87"/>
      <c r="K478" s="87"/>
      <c r="L478" s="87"/>
      <c r="M478" s="9"/>
      <c r="N478" s="87"/>
      <c r="O478" s="87"/>
      <c r="P478" s="87"/>
      <c r="Q478" s="9"/>
      <c r="R478" s="87"/>
      <c r="S478" s="87"/>
      <c r="T478" s="87"/>
      <c r="U478" s="9"/>
      <c r="V478" s="87"/>
      <c r="W478" s="87"/>
      <c r="X478" s="87"/>
      <c r="Y478" s="87"/>
      <c r="Z478" s="87"/>
      <c r="AA478" s="87"/>
      <c r="AB478" s="87"/>
      <c r="AC478" s="243"/>
      <c r="AD478" s="234"/>
      <c r="AE478" s="234"/>
      <c r="AF478" s="234"/>
      <c r="AG478" s="9"/>
      <c r="AH478" s="87"/>
      <c r="AI478" s="87"/>
      <c r="AJ478" s="87"/>
      <c r="AK478" s="244"/>
      <c r="AL478" s="245"/>
      <c r="AM478" s="244"/>
      <c r="AN478" s="244"/>
      <c r="AO478" s="87"/>
      <c r="AP478" s="87"/>
      <c r="AQ478" s="87"/>
      <c r="AR478" s="87"/>
      <c r="AS478" s="87"/>
      <c r="AT478" s="87"/>
      <c r="AU478" s="87"/>
      <c r="AV478" s="87"/>
      <c r="AW478" s="87"/>
      <c r="AX478" s="87"/>
    </row>
    <row r="479">
      <c r="A479" s="9"/>
      <c r="B479" s="87"/>
      <c r="C479" s="87"/>
      <c r="D479" s="87"/>
      <c r="E479" s="9"/>
      <c r="F479" s="87"/>
      <c r="G479" s="87"/>
      <c r="H479" s="87"/>
      <c r="I479" s="9"/>
      <c r="J479" s="87"/>
      <c r="K479" s="87"/>
      <c r="L479" s="87"/>
      <c r="M479" s="9"/>
      <c r="N479" s="87"/>
      <c r="O479" s="87"/>
      <c r="P479" s="87"/>
      <c r="Q479" s="9"/>
      <c r="R479" s="87"/>
      <c r="S479" s="87"/>
      <c r="T479" s="87"/>
      <c r="U479" s="9"/>
      <c r="V479" s="87"/>
      <c r="W479" s="87"/>
      <c r="X479" s="87"/>
      <c r="Y479" s="87"/>
      <c r="Z479" s="87"/>
      <c r="AA479" s="87"/>
      <c r="AB479" s="87"/>
      <c r="AC479" s="243"/>
      <c r="AD479" s="234"/>
      <c r="AE479" s="234"/>
      <c r="AF479" s="234"/>
      <c r="AG479" s="9"/>
      <c r="AH479" s="87"/>
      <c r="AI479" s="87"/>
      <c r="AJ479" s="87"/>
      <c r="AK479" s="244"/>
      <c r="AL479" s="245"/>
      <c r="AM479" s="244"/>
      <c r="AN479" s="244"/>
      <c r="AO479" s="87"/>
      <c r="AP479" s="87"/>
      <c r="AQ479" s="87"/>
      <c r="AR479" s="87"/>
      <c r="AS479" s="87"/>
      <c r="AT479" s="87"/>
      <c r="AU479" s="87"/>
      <c r="AV479" s="87"/>
      <c r="AW479" s="87"/>
      <c r="AX479" s="87"/>
    </row>
    <row r="480">
      <c r="A480" s="9"/>
      <c r="B480" s="87"/>
      <c r="C480" s="87"/>
      <c r="D480" s="87"/>
      <c r="E480" s="9"/>
      <c r="F480" s="87"/>
      <c r="G480" s="87"/>
      <c r="H480" s="87"/>
      <c r="I480" s="9"/>
      <c r="J480" s="87"/>
      <c r="K480" s="87"/>
      <c r="L480" s="87"/>
      <c r="M480" s="9"/>
      <c r="N480" s="87"/>
      <c r="O480" s="87"/>
      <c r="P480" s="87"/>
      <c r="Q480" s="9"/>
      <c r="R480" s="87"/>
      <c r="S480" s="87"/>
      <c r="T480" s="87"/>
      <c r="U480" s="9"/>
      <c r="V480" s="87"/>
      <c r="W480" s="87"/>
      <c r="X480" s="87"/>
      <c r="Y480" s="87"/>
      <c r="Z480" s="87"/>
      <c r="AA480" s="87"/>
      <c r="AB480" s="87"/>
      <c r="AC480" s="243"/>
      <c r="AD480" s="234"/>
      <c r="AE480" s="234"/>
      <c r="AF480" s="234"/>
      <c r="AG480" s="9"/>
      <c r="AH480" s="87"/>
      <c r="AI480" s="87"/>
      <c r="AJ480" s="87"/>
      <c r="AK480" s="244"/>
      <c r="AL480" s="245"/>
      <c r="AM480" s="244"/>
      <c r="AN480" s="244"/>
      <c r="AO480" s="87"/>
      <c r="AP480" s="87"/>
      <c r="AQ480" s="87"/>
      <c r="AR480" s="87"/>
      <c r="AS480" s="87"/>
      <c r="AT480" s="87"/>
      <c r="AU480" s="87"/>
      <c r="AV480" s="87"/>
      <c r="AW480" s="87"/>
      <c r="AX480" s="87"/>
    </row>
    <row r="481">
      <c r="A481" s="9"/>
      <c r="B481" s="87"/>
      <c r="C481" s="87"/>
      <c r="D481" s="87"/>
      <c r="E481" s="9"/>
      <c r="F481" s="87"/>
      <c r="G481" s="87"/>
      <c r="H481" s="87"/>
      <c r="I481" s="9"/>
      <c r="J481" s="87"/>
      <c r="K481" s="87"/>
      <c r="L481" s="87"/>
      <c r="M481" s="9"/>
      <c r="N481" s="87"/>
      <c r="O481" s="87"/>
      <c r="P481" s="87"/>
      <c r="Q481" s="9"/>
      <c r="R481" s="87"/>
      <c r="S481" s="87"/>
      <c r="T481" s="87"/>
      <c r="U481" s="9"/>
      <c r="V481" s="87"/>
      <c r="W481" s="87"/>
      <c r="X481" s="87"/>
      <c r="Y481" s="87"/>
      <c r="Z481" s="87"/>
      <c r="AA481" s="87"/>
      <c r="AB481" s="87"/>
      <c r="AC481" s="243"/>
      <c r="AD481" s="234"/>
      <c r="AE481" s="234"/>
      <c r="AF481" s="234"/>
      <c r="AG481" s="9"/>
      <c r="AH481" s="87"/>
      <c r="AI481" s="87"/>
      <c r="AJ481" s="87"/>
      <c r="AK481" s="244"/>
      <c r="AL481" s="245"/>
      <c r="AM481" s="244"/>
      <c r="AN481" s="244"/>
      <c r="AO481" s="87"/>
      <c r="AP481" s="87"/>
      <c r="AQ481" s="87"/>
      <c r="AR481" s="87"/>
      <c r="AS481" s="87"/>
      <c r="AT481" s="87"/>
      <c r="AU481" s="87"/>
      <c r="AV481" s="87"/>
      <c r="AW481" s="87"/>
      <c r="AX481" s="87"/>
    </row>
    <row r="482">
      <c r="A482" s="9"/>
      <c r="B482" s="87"/>
      <c r="C482" s="87"/>
      <c r="D482" s="87"/>
      <c r="E482" s="9"/>
      <c r="F482" s="87"/>
      <c r="G482" s="87"/>
      <c r="H482" s="87"/>
      <c r="I482" s="9"/>
      <c r="J482" s="87"/>
      <c r="K482" s="87"/>
      <c r="L482" s="87"/>
      <c r="M482" s="9"/>
      <c r="N482" s="87"/>
      <c r="O482" s="87"/>
      <c r="P482" s="87"/>
      <c r="Q482" s="9"/>
      <c r="R482" s="87"/>
      <c r="S482" s="87"/>
      <c r="T482" s="87"/>
      <c r="U482" s="9"/>
      <c r="V482" s="87"/>
      <c r="W482" s="87"/>
      <c r="X482" s="87"/>
      <c r="Y482" s="87"/>
      <c r="Z482" s="87"/>
      <c r="AA482" s="87"/>
      <c r="AB482" s="87"/>
      <c r="AC482" s="243"/>
      <c r="AD482" s="234"/>
      <c r="AE482" s="234"/>
      <c r="AF482" s="234"/>
      <c r="AG482" s="9"/>
      <c r="AH482" s="87"/>
      <c r="AI482" s="87"/>
      <c r="AJ482" s="87"/>
      <c r="AK482" s="244"/>
      <c r="AL482" s="245"/>
      <c r="AM482" s="244"/>
      <c r="AN482" s="244"/>
      <c r="AO482" s="87"/>
      <c r="AP482" s="87"/>
      <c r="AQ482" s="87"/>
      <c r="AR482" s="87"/>
      <c r="AS482" s="87"/>
      <c r="AT482" s="87"/>
      <c r="AU482" s="87"/>
      <c r="AV482" s="87"/>
      <c r="AW482" s="87"/>
      <c r="AX482" s="87"/>
    </row>
    <row r="483">
      <c r="A483" s="9"/>
      <c r="B483" s="87"/>
      <c r="C483" s="87"/>
      <c r="D483" s="87"/>
      <c r="E483" s="9"/>
      <c r="F483" s="87"/>
      <c r="G483" s="87"/>
      <c r="H483" s="87"/>
      <c r="I483" s="9"/>
      <c r="J483" s="87"/>
      <c r="K483" s="87"/>
      <c r="L483" s="87"/>
      <c r="M483" s="9"/>
      <c r="N483" s="87"/>
      <c r="O483" s="87"/>
      <c r="P483" s="87"/>
      <c r="Q483" s="9"/>
      <c r="R483" s="87"/>
      <c r="S483" s="87"/>
      <c r="T483" s="87"/>
      <c r="U483" s="9"/>
      <c r="V483" s="87"/>
      <c r="W483" s="87"/>
      <c r="X483" s="87"/>
      <c r="Y483" s="87"/>
      <c r="Z483" s="87"/>
      <c r="AA483" s="87"/>
      <c r="AB483" s="87"/>
      <c r="AC483" s="243"/>
      <c r="AD483" s="234"/>
      <c r="AE483" s="234"/>
      <c r="AF483" s="234"/>
      <c r="AG483" s="9"/>
      <c r="AH483" s="87"/>
      <c r="AI483" s="87"/>
      <c r="AJ483" s="87"/>
      <c r="AK483" s="244"/>
      <c r="AL483" s="245"/>
      <c r="AM483" s="244"/>
      <c r="AN483" s="244"/>
      <c r="AO483" s="87"/>
      <c r="AP483" s="87"/>
      <c r="AQ483" s="87"/>
      <c r="AR483" s="87"/>
      <c r="AS483" s="87"/>
      <c r="AT483" s="87"/>
      <c r="AU483" s="87"/>
      <c r="AV483" s="87"/>
      <c r="AW483" s="87"/>
      <c r="AX483" s="87"/>
    </row>
    <row r="484">
      <c r="A484" s="9"/>
      <c r="B484" s="87"/>
      <c r="C484" s="87"/>
      <c r="D484" s="87"/>
      <c r="E484" s="9"/>
      <c r="F484" s="87"/>
      <c r="G484" s="87"/>
      <c r="H484" s="87"/>
      <c r="I484" s="9"/>
      <c r="J484" s="87"/>
      <c r="K484" s="87"/>
      <c r="L484" s="87"/>
      <c r="M484" s="9"/>
      <c r="N484" s="87"/>
      <c r="O484" s="87"/>
      <c r="P484" s="87"/>
      <c r="Q484" s="9"/>
      <c r="R484" s="87"/>
      <c r="S484" s="87"/>
      <c r="T484" s="87"/>
      <c r="U484" s="9"/>
      <c r="V484" s="87"/>
      <c r="W484" s="87"/>
      <c r="X484" s="87"/>
      <c r="Y484" s="87"/>
      <c r="Z484" s="87"/>
      <c r="AA484" s="87"/>
      <c r="AB484" s="87"/>
      <c r="AC484" s="243"/>
      <c r="AD484" s="234"/>
      <c r="AE484" s="234"/>
      <c r="AF484" s="234"/>
      <c r="AG484" s="9"/>
      <c r="AH484" s="87"/>
      <c r="AI484" s="87"/>
      <c r="AJ484" s="87"/>
      <c r="AK484" s="244"/>
      <c r="AL484" s="245"/>
      <c r="AM484" s="244"/>
      <c r="AN484" s="244"/>
      <c r="AO484" s="87"/>
      <c r="AP484" s="87"/>
      <c r="AQ484" s="87"/>
      <c r="AR484" s="87"/>
      <c r="AS484" s="87"/>
      <c r="AT484" s="87"/>
      <c r="AU484" s="87"/>
      <c r="AV484" s="87"/>
      <c r="AW484" s="87"/>
      <c r="AX484" s="87"/>
    </row>
    <row r="485">
      <c r="A485" s="9"/>
      <c r="B485" s="87"/>
      <c r="C485" s="87"/>
      <c r="D485" s="87"/>
      <c r="E485" s="9"/>
      <c r="F485" s="87"/>
      <c r="G485" s="87"/>
      <c r="H485" s="87"/>
      <c r="I485" s="9"/>
      <c r="J485" s="87"/>
      <c r="K485" s="87"/>
      <c r="L485" s="87"/>
      <c r="M485" s="9"/>
      <c r="N485" s="87"/>
      <c r="O485" s="87"/>
      <c r="P485" s="87"/>
      <c r="Q485" s="9"/>
      <c r="R485" s="87"/>
      <c r="S485" s="87"/>
      <c r="T485" s="87"/>
      <c r="U485" s="9"/>
      <c r="V485" s="87"/>
      <c r="W485" s="87"/>
      <c r="X485" s="87"/>
      <c r="Y485" s="87"/>
      <c r="Z485" s="87"/>
      <c r="AA485" s="87"/>
      <c r="AB485" s="87"/>
      <c r="AC485" s="243"/>
      <c r="AD485" s="234"/>
      <c r="AE485" s="234"/>
      <c r="AF485" s="234"/>
      <c r="AG485" s="9"/>
      <c r="AH485" s="87"/>
      <c r="AI485" s="87"/>
      <c r="AJ485" s="87"/>
      <c r="AK485" s="244"/>
      <c r="AL485" s="245"/>
      <c r="AM485" s="244"/>
      <c r="AN485" s="244"/>
      <c r="AO485" s="87"/>
      <c r="AP485" s="87"/>
      <c r="AQ485" s="87"/>
      <c r="AR485" s="87"/>
      <c r="AS485" s="87"/>
      <c r="AT485" s="87"/>
      <c r="AU485" s="87"/>
      <c r="AV485" s="87"/>
      <c r="AW485" s="87"/>
      <c r="AX485" s="87"/>
    </row>
    <row r="486">
      <c r="A486" s="9"/>
      <c r="B486" s="87"/>
      <c r="C486" s="87"/>
      <c r="D486" s="87"/>
      <c r="E486" s="9"/>
      <c r="F486" s="87"/>
      <c r="G486" s="87"/>
      <c r="H486" s="87"/>
      <c r="I486" s="9"/>
      <c r="J486" s="87"/>
      <c r="K486" s="87"/>
      <c r="L486" s="87"/>
      <c r="M486" s="9"/>
      <c r="N486" s="87"/>
      <c r="O486" s="87"/>
      <c r="P486" s="87"/>
      <c r="Q486" s="9"/>
      <c r="R486" s="87"/>
      <c r="S486" s="87"/>
      <c r="T486" s="87"/>
      <c r="U486" s="9"/>
      <c r="V486" s="87"/>
      <c r="W486" s="87"/>
      <c r="X486" s="87"/>
      <c r="Y486" s="87"/>
      <c r="Z486" s="87"/>
      <c r="AA486" s="87"/>
      <c r="AB486" s="87"/>
      <c r="AC486" s="243"/>
      <c r="AD486" s="234"/>
      <c r="AE486" s="234"/>
      <c r="AF486" s="234"/>
      <c r="AG486" s="9"/>
      <c r="AH486" s="87"/>
      <c r="AI486" s="87"/>
      <c r="AJ486" s="87"/>
      <c r="AK486" s="244"/>
      <c r="AL486" s="245"/>
      <c r="AM486" s="244"/>
      <c r="AN486" s="244"/>
      <c r="AO486" s="87"/>
      <c r="AP486" s="87"/>
      <c r="AQ486" s="87"/>
      <c r="AR486" s="87"/>
      <c r="AS486" s="87"/>
      <c r="AT486" s="87"/>
      <c r="AU486" s="87"/>
      <c r="AV486" s="87"/>
      <c r="AW486" s="87"/>
      <c r="AX486" s="87"/>
    </row>
    <row r="487">
      <c r="A487" s="9"/>
      <c r="B487" s="87"/>
      <c r="C487" s="87"/>
      <c r="D487" s="87"/>
      <c r="E487" s="9"/>
      <c r="F487" s="87"/>
      <c r="G487" s="87"/>
      <c r="H487" s="87"/>
      <c r="I487" s="9"/>
      <c r="J487" s="87"/>
      <c r="K487" s="87"/>
      <c r="L487" s="87"/>
      <c r="M487" s="9"/>
      <c r="N487" s="87"/>
      <c r="O487" s="87"/>
      <c r="P487" s="87"/>
      <c r="Q487" s="9"/>
      <c r="R487" s="87"/>
      <c r="S487" s="87"/>
      <c r="T487" s="87"/>
      <c r="U487" s="9"/>
      <c r="V487" s="87"/>
      <c r="W487" s="87"/>
      <c r="X487" s="87"/>
      <c r="Y487" s="87"/>
      <c r="Z487" s="87"/>
      <c r="AA487" s="87"/>
      <c r="AB487" s="87"/>
      <c r="AC487" s="243"/>
      <c r="AD487" s="234"/>
      <c r="AE487" s="234"/>
      <c r="AF487" s="234"/>
      <c r="AG487" s="9"/>
      <c r="AH487" s="87"/>
      <c r="AI487" s="87"/>
      <c r="AJ487" s="87"/>
      <c r="AK487" s="244"/>
      <c r="AL487" s="245"/>
      <c r="AM487" s="244"/>
      <c r="AN487" s="244"/>
      <c r="AO487" s="87"/>
      <c r="AP487" s="87"/>
      <c r="AQ487" s="87"/>
      <c r="AR487" s="87"/>
      <c r="AS487" s="87"/>
      <c r="AT487" s="87"/>
      <c r="AU487" s="87"/>
      <c r="AV487" s="87"/>
      <c r="AW487" s="87"/>
      <c r="AX487" s="87"/>
    </row>
    <row r="488">
      <c r="A488" s="9"/>
      <c r="B488" s="87"/>
      <c r="C488" s="87"/>
      <c r="D488" s="87"/>
      <c r="E488" s="9"/>
      <c r="F488" s="87"/>
      <c r="G488" s="87"/>
      <c r="H488" s="87"/>
      <c r="I488" s="9"/>
      <c r="J488" s="87"/>
      <c r="K488" s="87"/>
      <c r="L488" s="87"/>
      <c r="M488" s="9"/>
      <c r="N488" s="87"/>
      <c r="O488" s="87"/>
      <c r="P488" s="87"/>
      <c r="Q488" s="9"/>
      <c r="R488" s="87"/>
      <c r="S488" s="87"/>
      <c r="T488" s="87"/>
      <c r="U488" s="9"/>
      <c r="V488" s="87"/>
      <c r="W488" s="87"/>
      <c r="X488" s="87"/>
      <c r="Y488" s="87"/>
      <c r="Z488" s="87"/>
      <c r="AA488" s="87"/>
      <c r="AB488" s="87"/>
      <c r="AC488" s="243"/>
      <c r="AD488" s="234"/>
      <c r="AE488" s="234"/>
      <c r="AF488" s="234"/>
      <c r="AG488" s="9"/>
      <c r="AH488" s="87"/>
      <c r="AI488" s="87"/>
      <c r="AJ488" s="87"/>
      <c r="AK488" s="244"/>
      <c r="AL488" s="245"/>
      <c r="AM488" s="244"/>
      <c r="AN488" s="244"/>
      <c r="AO488" s="87"/>
      <c r="AP488" s="87"/>
      <c r="AQ488" s="87"/>
      <c r="AR488" s="87"/>
      <c r="AS488" s="87"/>
      <c r="AT488" s="87"/>
      <c r="AU488" s="87"/>
      <c r="AV488" s="87"/>
      <c r="AW488" s="87"/>
      <c r="AX488" s="87"/>
    </row>
    <row r="489">
      <c r="A489" s="9"/>
      <c r="B489" s="87"/>
      <c r="C489" s="87"/>
      <c r="D489" s="87"/>
      <c r="E489" s="9"/>
      <c r="F489" s="87"/>
      <c r="G489" s="87"/>
      <c r="H489" s="87"/>
      <c r="I489" s="9"/>
      <c r="J489" s="87"/>
      <c r="K489" s="87"/>
      <c r="L489" s="87"/>
      <c r="M489" s="9"/>
      <c r="N489" s="87"/>
      <c r="O489" s="87"/>
      <c r="P489" s="87"/>
      <c r="Q489" s="9"/>
      <c r="R489" s="87"/>
      <c r="S489" s="87"/>
      <c r="T489" s="87"/>
      <c r="U489" s="9"/>
      <c r="V489" s="87"/>
      <c r="W489" s="87"/>
      <c r="X489" s="87"/>
      <c r="Y489" s="87"/>
      <c r="Z489" s="87"/>
      <c r="AA489" s="87"/>
      <c r="AB489" s="87"/>
      <c r="AC489" s="243"/>
      <c r="AD489" s="234"/>
      <c r="AE489" s="234"/>
      <c r="AF489" s="234"/>
      <c r="AG489" s="9"/>
      <c r="AH489" s="87"/>
      <c r="AI489" s="87"/>
      <c r="AJ489" s="87"/>
      <c r="AK489" s="244"/>
      <c r="AL489" s="245"/>
      <c r="AM489" s="244"/>
      <c r="AN489" s="244"/>
      <c r="AO489" s="87"/>
      <c r="AP489" s="87"/>
      <c r="AQ489" s="87"/>
      <c r="AR489" s="87"/>
      <c r="AS489" s="87"/>
      <c r="AT489" s="87"/>
      <c r="AU489" s="87"/>
      <c r="AV489" s="87"/>
      <c r="AW489" s="87"/>
      <c r="AX489" s="87"/>
    </row>
    <row r="490">
      <c r="A490" s="9"/>
      <c r="B490" s="87"/>
      <c r="C490" s="87"/>
      <c r="D490" s="87"/>
      <c r="E490" s="9"/>
      <c r="F490" s="87"/>
      <c r="G490" s="87"/>
      <c r="H490" s="87"/>
      <c r="I490" s="9"/>
      <c r="J490" s="87"/>
      <c r="K490" s="87"/>
      <c r="L490" s="87"/>
      <c r="M490" s="9"/>
      <c r="N490" s="87"/>
      <c r="O490" s="87"/>
      <c r="P490" s="87"/>
      <c r="Q490" s="9"/>
      <c r="R490" s="87"/>
      <c r="S490" s="87"/>
      <c r="T490" s="87"/>
      <c r="U490" s="9"/>
      <c r="V490" s="87"/>
      <c r="W490" s="87"/>
      <c r="X490" s="87"/>
      <c r="Y490" s="87"/>
      <c r="Z490" s="87"/>
      <c r="AA490" s="87"/>
      <c r="AB490" s="87"/>
      <c r="AC490" s="243"/>
      <c r="AD490" s="234"/>
      <c r="AE490" s="234"/>
      <c r="AF490" s="234"/>
      <c r="AG490" s="9"/>
      <c r="AH490" s="87"/>
      <c r="AI490" s="87"/>
      <c r="AJ490" s="87"/>
      <c r="AK490" s="244"/>
      <c r="AL490" s="245"/>
      <c r="AM490" s="244"/>
      <c r="AN490" s="244"/>
      <c r="AO490" s="87"/>
      <c r="AP490" s="87"/>
      <c r="AQ490" s="87"/>
      <c r="AR490" s="87"/>
      <c r="AS490" s="87"/>
      <c r="AT490" s="87"/>
      <c r="AU490" s="87"/>
      <c r="AV490" s="87"/>
      <c r="AW490" s="87"/>
      <c r="AX490" s="87"/>
    </row>
    <row r="491">
      <c r="A491" s="9"/>
      <c r="B491" s="87"/>
      <c r="C491" s="87"/>
      <c r="D491" s="87"/>
      <c r="E491" s="9"/>
      <c r="F491" s="87"/>
      <c r="G491" s="87"/>
      <c r="H491" s="87"/>
      <c r="I491" s="9"/>
      <c r="J491" s="87"/>
      <c r="K491" s="87"/>
      <c r="L491" s="87"/>
      <c r="M491" s="9"/>
      <c r="N491" s="87"/>
      <c r="O491" s="87"/>
      <c r="P491" s="87"/>
      <c r="Q491" s="9"/>
      <c r="R491" s="87"/>
      <c r="S491" s="87"/>
      <c r="T491" s="87"/>
      <c r="U491" s="9"/>
      <c r="V491" s="87"/>
      <c r="W491" s="87"/>
      <c r="X491" s="87"/>
      <c r="Y491" s="87"/>
      <c r="Z491" s="87"/>
      <c r="AA491" s="87"/>
      <c r="AB491" s="87"/>
      <c r="AC491" s="243"/>
      <c r="AD491" s="234"/>
      <c r="AE491" s="234"/>
      <c r="AF491" s="234"/>
      <c r="AG491" s="9"/>
      <c r="AH491" s="87"/>
      <c r="AI491" s="87"/>
      <c r="AJ491" s="87"/>
      <c r="AK491" s="244"/>
      <c r="AL491" s="245"/>
      <c r="AM491" s="244"/>
      <c r="AN491" s="244"/>
      <c r="AO491" s="87"/>
      <c r="AP491" s="87"/>
      <c r="AQ491" s="87"/>
      <c r="AR491" s="87"/>
      <c r="AS491" s="87"/>
      <c r="AT491" s="87"/>
      <c r="AU491" s="87"/>
      <c r="AV491" s="87"/>
      <c r="AW491" s="87"/>
      <c r="AX491" s="87"/>
    </row>
    <row r="492">
      <c r="A492" s="9"/>
      <c r="B492" s="87"/>
      <c r="C492" s="87"/>
      <c r="D492" s="87"/>
      <c r="E492" s="9"/>
      <c r="F492" s="87"/>
      <c r="G492" s="87"/>
      <c r="H492" s="87"/>
      <c r="I492" s="9"/>
      <c r="J492" s="87"/>
      <c r="K492" s="87"/>
      <c r="L492" s="87"/>
      <c r="M492" s="9"/>
      <c r="N492" s="87"/>
      <c r="O492" s="87"/>
      <c r="P492" s="87"/>
      <c r="Q492" s="9"/>
      <c r="R492" s="87"/>
      <c r="S492" s="87"/>
      <c r="T492" s="87"/>
      <c r="U492" s="9"/>
      <c r="V492" s="87"/>
      <c r="W492" s="87"/>
      <c r="X492" s="87"/>
      <c r="Y492" s="87"/>
      <c r="Z492" s="87"/>
      <c r="AA492" s="87"/>
      <c r="AB492" s="87"/>
      <c r="AC492" s="243"/>
      <c r="AD492" s="234"/>
      <c r="AE492" s="234"/>
      <c r="AF492" s="234"/>
      <c r="AG492" s="9"/>
      <c r="AH492" s="87"/>
      <c r="AI492" s="87"/>
      <c r="AJ492" s="87"/>
      <c r="AK492" s="244"/>
      <c r="AL492" s="245"/>
      <c r="AM492" s="244"/>
      <c r="AN492" s="244"/>
      <c r="AO492" s="87"/>
      <c r="AP492" s="87"/>
      <c r="AQ492" s="87"/>
      <c r="AR492" s="87"/>
      <c r="AS492" s="87"/>
      <c r="AT492" s="87"/>
      <c r="AU492" s="87"/>
      <c r="AV492" s="87"/>
      <c r="AW492" s="87"/>
      <c r="AX492" s="87"/>
    </row>
    <row r="493">
      <c r="A493" s="9"/>
      <c r="B493" s="87"/>
      <c r="C493" s="87"/>
      <c r="D493" s="87"/>
      <c r="E493" s="9"/>
      <c r="F493" s="87"/>
      <c r="G493" s="87"/>
      <c r="H493" s="87"/>
      <c r="I493" s="9"/>
      <c r="J493" s="87"/>
      <c r="K493" s="87"/>
      <c r="L493" s="87"/>
      <c r="M493" s="9"/>
      <c r="N493" s="87"/>
      <c r="O493" s="87"/>
      <c r="P493" s="87"/>
      <c r="Q493" s="9"/>
      <c r="R493" s="87"/>
      <c r="S493" s="87"/>
      <c r="T493" s="87"/>
      <c r="U493" s="9"/>
      <c r="V493" s="87"/>
      <c r="W493" s="87"/>
      <c r="X493" s="87"/>
      <c r="Y493" s="87"/>
      <c r="Z493" s="87"/>
      <c r="AA493" s="87"/>
      <c r="AB493" s="87"/>
      <c r="AC493" s="243"/>
      <c r="AD493" s="234"/>
      <c r="AE493" s="234"/>
      <c r="AF493" s="234"/>
      <c r="AG493" s="9"/>
      <c r="AH493" s="87"/>
      <c r="AI493" s="87"/>
      <c r="AJ493" s="87"/>
      <c r="AK493" s="244"/>
      <c r="AL493" s="245"/>
      <c r="AM493" s="244"/>
      <c r="AN493" s="244"/>
      <c r="AO493" s="87"/>
      <c r="AP493" s="87"/>
      <c r="AQ493" s="87"/>
      <c r="AR493" s="87"/>
      <c r="AS493" s="87"/>
      <c r="AT493" s="87"/>
      <c r="AU493" s="87"/>
      <c r="AV493" s="87"/>
      <c r="AW493" s="87"/>
      <c r="AX493" s="87"/>
    </row>
    <row r="494">
      <c r="A494" s="9"/>
      <c r="B494" s="87"/>
      <c r="C494" s="87"/>
      <c r="D494" s="87"/>
      <c r="E494" s="9"/>
      <c r="F494" s="87"/>
      <c r="G494" s="87"/>
      <c r="H494" s="87"/>
      <c r="I494" s="9"/>
      <c r="J494" s="87"/>
      <c r="K494" s="87"/>
      <c r="L494" s="87"/>
      <c r="M494" s="9"/>
      <c r="N494" s="87"/>
      <c r="O494" s="87"/>
      <c r="P494" s="87"/>
      <c r="Q494" s="9"/>
      <c r="R494" s="87"/>
      <c r="S494" s="87"/>
      <c r="T494" s="87"/>
      <c r="U494" s="9"/>
      <c r="V494" s="87"/>
      <c r="W494" s="87"/>
      <c r="X494" s="87"/>
      <c r="Y494" s="87"/>
      <c r="Z494" s="87"/>
      <c r="AA494" s="87"/>
      <c r="AB494" s="87"/>
      <c r="AC494" s="243"/>
      <c r="AD494" s="234"/>
      <c r="AE494" s="234"/>
      <c r="AF494" s="234"/>
      <c r="AG494" s="9"/>
      <c r="AH494" s="87"/>
      <c r="AI494" s="87"/>
      <c r="AJ494" s="87"/>
      <c r="AK494" s="244"/>
      <c r="AL494" s="245"/>
      <c r="AM494" s="244"/>
      <c r="AN494" s="244"/>
      <c r="AO494" s="87"/>
      <c r="AP494" s="87"/>
      <c r="AQ494" s="87"/>
      <c r="AR494" s="87"/>
      <c r="AS494" s="87"/>
      <c r="AT494" s="87"/>
      <c r="AU494" s="87"/>
      <c r="AV494" s="87"/>
      <c r="AW494" s="87"/>
      <c r="AX494" s="87"/>
    </row>
    <row r="495">
      <c r="A495" s="9"/>
      <c r="B495" s="87"/>
      <c r="C495" s="87"/>
      <c r="D495" s="87"/>
      <c r="E495" s="9"/>
      <c r="F495" s="87"/>
      <c r="G495" s="87"/>
      <c r="H495" s="87"/>
      <c r="I495" s="9"/>
      <c r="J495" s="87"/>
      <c r="K495" s="87"/>
      <c r="L495" s="87"/>
      <c r="M495" s="9"/>
      <c r="N495" s="87"/>
      <c r="O495" s="87"/>
      <c r="P495" s="87"/>
      <c r="Q495" s="9"/>
      <c r="R495" s="87"/>
      <c r="S495" s="87"/>
      <c r="T495" s="87"/>
      <c r="U495" s="9"/>
      <c r="V495" s="87"/>
      <c r="W495" s="87"/>
      <c r="X495" s="87"/>
      <c r="Y495" s="87"/>
      <c r="Z495" s="87"/>
      <c r="AA495" s="87"/>
      <c r="AB495" s="87"/>
      <c r="AC495" s="243"/>
      <c r="AD495" s="234"/>
      <c r="AE495" s="234"/>
      <c r="AF495" s="234"/>
      <c r="AG495" s="9"/>
      <c r="AH495" s="87"/>
      <c r="AI495" s="87"/>
      <c r="AJ495" s="87"/>
      <c r="AK495" s="244"/>
      <c r="AL495" s="245"/>
      <c r="AM495" s="244"/>
      <c r="AN495" s="244"/>
      <c r="AO495" s="87"/>
      <c r="AP495" s="87"/>
      <c r="AQ495" s="87"/>
      <c r="AR495" s="87"/>
      <c r="AS495" s="87"/>
      <c r="AT495" s="87"/>
      <c r="AU495" s="87"/>
      <c r="AV495" s="87"/>
      <c r="AW495" s="87"/>
      <c r="AX495" s="87"/>
    </row>
    <row r="496">
      <c r="A496" s="9"/>
      <c r="B496" s="87"/>
      <c r="C496" s="87"/>
      <c r="D496" s="87"/>
      <c r="E496" s="9"/>
      <c r="F496" s="87"/>
      <c r="G496" s="87"/>
      <c r="H496" s="87"/>
      <c r="I496" s="9"/>
      <c r="J496" s="87"/>
      <c r="K496" s="87"/>
      <c r="L496" s="87"/>
      <c r="M496" s="9"/>
      <c r="N496" s="87"/>
      <c r="O496" s="87"/>
      <c r="P496" s="87"/>
      <c r="Q496" s="9"/>
      <c r="R496" s="87"/>
      <c r="S496" s="87"/>
      <c r="T496" s="87"/>
      <c r="U496" s="9"/>
      <c r="V496" s="87"/>
      <c r="W496" s="87"/>
      <c r="X496" s="87"/>
      <c r="Y496" s="87"/>
      <c r="Z496" s="87"/>
      <c r="AA496" s="87"/>
      <c r="AB496" s="87"/>
      <c r="AC496" s="243"/>
      <c r="AD496" s="234"/>
      <c r="AE496" s="234"/>
      <c r="AF496" s="234"/>
      <c r="AG496" s="9"/>
      <c r="AH496" s="87"/>
      <c r="AI496" s="87"/>
      <c r="AJ496" s="87"/>
      <c r="AK496" s="244"/>
      <c r="AL496" s="245"/>
      <c r="AM496" s="244"/>
      <c r="AN496" s="244"/>
      <c r="AO496" s="87"/>
      <c r="AP496" s="87"/>
      <c r="AQ496" s="87"/>
      <c r="AR496" s="87"/>
      <c r="AS496" s="87"/>
      <c r="AT496" s="87"/>
      <c r="AU496" s="87"/>
      <c r="AV496" s="87"/>
      <c r="AW496" s="87"/>
      <c r="AX496" s="87"/>
    </row>
    <row r="497">
      <c r="A497" s="9"/>
      <c r="B497" s="87"/>
      <c r="C497" s="87"/>
      <c r="D497" s="87"/>
      <c r="E497" s="9"/>
      <c r="F497" s="87"/>
      <c r="G497" s="87"/>
      <c r="H497" s="87"/>
      <c r="I497" s="9"/>
      <c r="J497" s="87"/>
      <c r="K497" s="87"/>
      <c r="L497" s="87"/>
      <c r="M497" s="9"/>
      <c r="N497" s="87"/>
      <c r="O497" s="87"/>
      <c r="P497" s="87"/>
      <c r="Q497" s="9"/>
      <c r="R497" s="87"/>
      <c r="S497" s="87"/>
      <c r="T497" s="87"/>
      <c r="U497" s="9"/>
      <c r="V497" s="87"/>
      <c r="W497" s="87"/>
      <c r="X497" s="87"/>
      <c r="Y497" s="87"/>
      <c r="Z497" s="87"/>
      <c r="AA497" s="87"/>
      <c r="AB497" s="87"/>
      <c r="AC497" s="243"/>
      <c r="AD497" s="234"/>
      <c r="AE497" s="234"/>
      <c r="AF497" s="234"/>
      <c r="AG497" s="9"/>
      <c r="AH497" s="87"/>
      <c r="AI497" s="87"/>
      <c r="AJ497" s="87"/>
      <c r="AK497" s="244"/>
      <c r="AL497" s="245"/>
      <c r="AM497" s="244"/>
      <c r="AN497" s="244"/>
      <c r="AO497" s="87"/>
      <c r="AP497" s="87"/>
      <c r="AQ497" s="87"/>
      <c r="AR497" s="87"/>
      <c r="AS497" s="87"/>
      <c r="AT497" s="87"/>
      <c r="AU497" s="87"/>
      <c r="AV497" s="87"/>
      <c r="AW497" s="87"/>
      <c r="AX497" s="87"/>
    </row>
    <row r="498">
      <c r="A498" s="9"/>
      <c r="B498" s="87"/>
      <c r="C498" s="87"/>
      <c r="D498" s="87"/>
      <c r="E498" s="9"/>
      <c r="F498" s="87"/>
      <c r="G498" s="87"/>
      <c r="H498" s="87"/>
      <c r="I498" s="9"/>
      <c r="J498" s="87"/>
      <c r="K498" s="87"/>
      <c r="L498" s="87"/>
      <c r="M498" s="9"/>
      <c r="N498" s="87"/>
      <c r="O498" s="87"/>
      <c r="P498" s="87"/>
      <c r="Q498" s="9"/>
      <c r="R498" s="87"/>
      <c r="S498" s="87"/>
      <c r="T498" s="87"/>
      <c r="U498" s="9"/>
      <c r="V498" s="87"/>
      <c r="W498" s="87"/>
      <c r="X498" s="87"/>
      <c r="Y498" s="87"/>
      <c r="Z498" s="87"/>
      <c r="AA498" s="87"/>
      <c r="AB498" s="87"/>
      <c r="AC498" s="243"/>
      <c r="AD498" s="234"/>
      <c r="AE498" s="234"/>
      <c r="AF498" s="234"/>
      <c r="AG498" s="9"/>
      <c r="AH498" s="87"/>
      <c r="AI498" s="87"/>
      <c r="AJ498" s="87"/>
      <c r="AK498" s="244"/>
      <c r="AL498" s="245"/>
      <c r="AM498" s="244"/>
      <c r="AN498" s="244"/>
      <c r="AO498" s="87"/>
      <c r="AP498" s="87"/>
      <c r="AQ498" s="87"/>
      <c r="AR498" s="87"/>
      <c r="AS498" s="87"/>
      <c r="AT498" s="87"/>
      <c r="AU498" s="87"/>
      <c r="AV498" s="87"/>
      <c r="AW498" s="87"/>
      <c r="AX498" s="87"/>
    </row>
    <row r="499">
      <c r="A499" s="9"/>
      <c r="B499" s="87"/>
      <c r="C499" s="87"/>
      <c r="D499" s="87"/>
      <c r="E499" s="9"/>
      <c r="F499" s="87"/>
      <c r="G499" s="87"/>
      <c r="H499" s="87"/>
      <c r="I499" s="9"/>
      <c r="J499" s="87"/>
      <c r="K499" s="87"/>
      <c r="L499" s="87"/>
      <c r="M499" s="9"/>
      <c r="N499" s="87"/>
      <c r="O499" s="87"/>
      <c r="P499" s="87"/>
      <c r="Q499" s="9"/>
      <c r="R499" s="87"/>
      <c r="S499" s="87"/>
      <c r="T499" s="87"/>
      <c r="U499" s="9"/>
      <c r="V499" s="87"/>
      <c r="W499" s="87"/>
      <c r="X499" s="87"/>
      <c r="Y499" s="87"/>
      <c r="Z499" s="87"/>
      <c r="AA499" s="87"/>
      <c r="AB499" s="87"/>
      <c r="AC499" s="243"/>
      <c r="AD499" s="234"/>
      <c r="AE499" s="234"/>
      <c r="AF499" s="234"/>
      <c r="AG499" s="9"/>
      <c r="AH499" s="87"/>
      <c r="AI499" s="87"/>
      <c r="AJ499" s="87"/>
      <c r="AK499" s="244"/>
      <c r="AL499" s="245"/>
      <c r="AM499" s="244"/>
      <c r="AN499" s="244"/>
      <c r="AO499" s="87"/>
      <c r="AP499" s="87"/>
      <c r="AQ499" s="87"/>
      <c r="AR499" s="87"/>
      <c r="AS499" s="87"/>
      <c r="AT499" s="87"/>
      <c r="AU499" s="87"/>
      <c r="AV499" s="87"/>
      <c r="AW499" s="87"/>
      <c r="AX499" s="87"/>
    </row>
    <row r="500">
      <c r="A500" s="9"/>
      <c r="B500" s="87"/>
      <c r="C500" s="87"/>
      <c r="D500" s="87"/>
      <c r="E500" s="9"/>
      <c r="F500" s="87"/>
      <c r="G500" s="87"/>
      <c r="H500" s="87"/>
      <c r="I500" s="9"/>
      <c r="J500" s="87"/>
      <c r="K500" s="87"/>
      <c r="L500" s="87"/>
      <c r="M500" s="9"/>
      <c r="N500" s="87"/>
      <c r="O500" s="87"/>
      <c r="P500" s="87"/>
      <c r="Q500" s="9"/>
      <c r="R500" s="87"/>
      <c r="S500" s="87"/>
      <c r="T500" s="87"/>
      <c r="U500" s="9"/>
      <c r="V500" s="87"/>
      <c r="W500" s="87"/>
      <c r="X500" s="87"/>
      <c r="Y500" s="87"/>
      <c r="Z500" s="87"/>
      <c r="AA500" s="87"/>
      <c r="AB500" s="87"/>
      <c r="AC500" s="243"/>
      <c r="AD500" s="234"/>
      <c r="AE500" s="234"/>
      <c r="AF500" s="234"/>
      <c r="AG500" s="9"/>
      <c r="AH500" s="87"/>
      <c r="AI500" s="87"/>
      <c r="AJ500" s="87"/>
      <c r="AK500" s="244"/>
      <c r="AL500" s="245"/>
      <c r="AM500" s="244"/>
      <c r="AN500" s="244"/>
      <c r="AO500" s="87"/>
      <c r="AP500" s="87"/>
      <c r="AQ500" s="87"/>
      <c r="AR500" s="87"/>
      <c r="AS500" s="87"/>
      <c r="AT500" s="87"/>
      <c r="AU500" s="87"/>
      <c r="AV500" s="87"/>
      <c r="AW500" s="87"/>
      <c r="AX500" s="87"/>
    </row>
    <row r="501">
      <c r="A501" s="9"/>
      <c r="B501" s="87"/>
      <c r="C501" s="87"/>
      <c r="D501" s="87"/>
      <c r="E501" s="9"/>
      <c r="F501" s="87"/>
      <c r="G501" s="87"/>
      <c r="H501" s="87"/>
      <c r="I501" s="9"/>
      <c r="J501" s="87"/>
      <c r="K501" s="87"/>
      <c r="L501" s="87"/>
      <c r="M501" s="9"/>
      <c r="N501" s="87"/>
      <c r="O501" s="87"/>
      <c r="P501" s="87"/>
      <c r="Q501" s="9"/>
      <c r="R501" s="87"/>
      <c r="S501" s="87"/>
      <c r="T501" s="87"/>
      <c r="U501" s="9"/>
      <c r="V501" s="87"/>
      <c r="W501" s="87"/>
      <c r="X501" s="87"/>
      <c r="Y501" s="87"/>
      <c r="Z501" s="87"/>
      <c r="AA501" s="87"/>
      <c r="AB501" s="87"/>
      <c r="AC501" s="243"/>
      <c r="AD501" s="234"/>
      <c r="AE501" s="234"/>
      <c r="AF501" s="234"/>
      <c r="AG501" s="9"/>
      <c r="AH501" s="87"/>
      <c r="AI501" s="87"/>
      <c r="AJ501" s="87"/>
      <c r="AK501" s="244"/>
      <c r="AL501" s="245"/>
      <c r="AM501" s="244"/>
      <c r="AN501" s="244"/>
      <c r="AO501" s="87"/>
      <c r="AP501" s="87"/>
      <c r="AQ501" s="87"/>
      <c r="AR501" s="87"/>
      <c r="AS501" s="87"/>
      <c r="AT501" s="87"/>
      <c r="AU501" s="87"/>
      <c r="AV501" s="87"/>
      <c r="AW501" s="87"/>
      <c r="AX501" s="87"/>
    </row>
    <row r="502">
      <c r="A502" s="9"/>
      <c r="B502" s="87"/>
      <c r="C502" s="87"/>
      <c r="D502" s="87"/>
      <c r="E502" s="9"/>
      <c r="F502" s="87"/>
      <c r="G502" s="87"/>
      <c r="H502" s="87"/>
      <c r="I502" s="9"/>
      <c r="J502" s="87"/>
      <c r="K502" s="87"/>
      <c r="L502" s="87"/>
      <c r="M502" s="9"/>
      <c r="N502" s="87"/>
      <c r="O502" s="87"/>
      <c r="P502" s="87"/>
      <c r="Q502" s="9"/>
      <c r="R502" s="87"/>
      <c r="S502" s="87"/>
      <c r="T502" s="87"/>
      <c r="U502" s="9"/>
      <c r="V502" s="87"/>
      <c r="W502" s="87"/>
      <c r="X502" s="87"/>
      <c r="Y502" s="87"/>
      <c r="Z502" s="87"/>
      <c r="AA502" s="87"/>
      <c r="AB502" s="87"/>
      <c r="AC502" s="243"/>
      <c r="AD502" s="234"/>
      <c r="AE502" s="234"/>
      <c r="AF502" s="234"/>
      <c r="AG502" s="9"/>
      <c r="AH502" s="87"/>
      <c r="AI502" s="87"/>
      <c r="AJ502" s="87"/>
      <c r="AK502" s="244"/>
      <c r="AL502" s="245"/>
      <c r="AM502" s="244"/>
      <c r="AN502" s="244"/>
      <c r="AO502" s="87"/>
      <c r="AP502" s="87"/>
      <c r="AQ502" s="87"/>
      <c r="AR502" s="87"/>
      <c r="AS502" s="87"/>
      <c r="AT502" s="87"/>
      <c r="AU502" s="87"/>
      <c r="AV502" s="87"/>
      <c r="AW502" s="87"/>
      <c r="AX502" s="87"/>
    </row>
    <row r="503">
      <c r="A503" s="9"/>
      <c r="B503" s="87"/>
      <c r="C503" s="87"/>
      <c r="D503" s="87"/>
      <c r="E503" s="9"/>
      <c r="F503" s="87"/>
      <c r="G503" s="87"/>
      <c r="H503" s="87"/>
      <c r="I503" s="9"/>
      <c r="J503" s="87"/>
      <c r="K503" s="87"/>
      <c r="L503" s="87"/>
      <c r="M503" s="9"/>
      <c r="N503" s="87"/>
      <c r="O503" s="87"/>
      <c r="P503" s="87"/>
      <c r="Q503" s="9"/>
      <c r="R503" s="87"/>
      <c r="S503" s="87"/>
      <c r="T503" s="87"/>
      <c r="U503" s="9"/>
      <c r="V503" s="87"/>
      <c r="W503" s="87"/>
      <c r="X503" s="87"/>
      <c r="Y503" s="87"/>
      <c r="Z503" s="87"/>
      <c r="AA503" s="87"/>
      <c r="AB503" s="87"/>
      <c r="AC503" s="243"/>
      <c r="AD503" s="234"/>
      <c r="AE503" s="234"/>
      <c r="AF503" s="234"/>
      <c r="AG503" s="9"/>
      <c r="AH503" s="87"/>
      <c r="AI503" s="87"/>
      <c r="AJ503" s="87"/>
      <c r="AK503" s="244"/>
      <c r="AL503" s="245"/>
      <c r="AM503" s="244"/>
      <c r="AN503" s="244"/>
      <c r="AO503" s="87"/>
      <c r="AP503" s="87"/>
      <c r="AQ503" s="87"/>
      <c r="AR503" s="87"/>
      <c r="AS503" s="87"/>
      <c r="AT503" s="87"/>
      <c r="AU503" s="87"/>
      <c r="AV503" s="87"/>
      <c r="AW503" s="87"/>
      <c r="AX503" s="87"/>
    </row>
    <row r="504">
      <c r="A504" s="9"/>
      <c r="B504" s="87"/>
      <c r="C504" s="87"/>
      <c r="D504" s="87"/>
      <c r="E504" s="9"/>
      <c r="F504" s="87"/>
      <c r="G504" s="87"/>
      <c r="H504" s="87"/>
      <c r="I504" s="9"/>
      <c r="J504" s="87"/>
      <c r="K504" s="87"/>
      <c r="L504" s="87"/>
      <c r="M504" s="9"/>
      <c r="N504" s="87"/>
      <c r="O504" s="87"/>
      <c r="P504" s="87"/>
      <c r="Q504" s="9"/>
      <c r="R504" s="87"/>
      <c r="S504" s="87"/>
      <c r="T504" s="87"/>
      <c r="U504" s="9"/>
      <c r="V504" s="87"/>
      <c r="W504" s="87"/>
      <c r="X504" s="87"/>
      <c r="Y504" s="87"/>
      <c r="Z504" s="87"/>
      <c r="AA504" s="87"/>
      <c r="AB504" s="87"/>
      <c r="AC504" s="243"/>
      <c r="AD504" s="234"/>
      <c r="AE504" s="234"/>
      <c r="AF504" s="234"/>
      <c r="AG504" s="9"/>
      <c r="AH504" s="87"/>
      <c r="AI504" s="87"/>
      <c r="AJ504" s="87"/>
      <c r="AK504" s="244"/>
      <c r="AL504" s="245"/>
      <c r="AM504" s="244"/>
      <c r="AN504" s="244"/>
      <c r="AO504" s="87"/>
      <c r="AP504" s="87"/>
      <c r="AQ504" s="87"/>
      <c r="AR504" s="87"/>
      <c r="AS504" s="87"/>
      <c r="AT504" s="87"/>
      <c r="AU504" s="87"/>
      <c r="AV504" s="87"/>
      <c r="AW504" s="87"/>
      <c r="AX504" s="87"/>
    </row>
    <row r="505">
      <c r="A505" s="9"/>
      <c r="B505" s="87"/>
      <c r="C505" s="87"/>
      <c r="D505" s="87"/>
      <c r="E505" s="9"/>
      <c r="F505" s="87"/>
      <c r="G505" s="87"/>
      <c r="H505" s="87"/>
      <c r="I505" s="9"/>
      <c r="J505" s="87"/>
      <c r="K505" s="87"/>
      <c r="L505" s="87"/>
      <c r="M505" s="9"/>
      <c r="N505" s="87"/>
      <c r="O505" s="87"/>
      <c r="P505" s="87"/>
      <c r="Q505" s="9"/>
      <c r="R505" s="87"/>
      <c r="S505" s="87"/>
      <c r="T505" s="87"/>
      <c r="U505" s="9"/>
      <c r="V505" s="87"/>
      <c r="W505" s="87"/>
      <c r="X505" s="87"/>
      <c r="Y505" s="87"/>
      <c r="Z505" s="87"/>
      <c r="AA505" s="87"/>
      <c r="AB505" s="87"/>
      <c r="AC505" s="243"/>
      <c r="AD505" s="234"/>
      <c r="AE505" s="234"/>
      <c r="AF505" s="234"/>
      <c r="AG505" s="9"/>
      <c r="AH505" s="87"/>
      <c r="AI505" s="87"/>
      <c r="AJ505" s="87"/>
      <c r="AK505" s="244"/>
      <c r="AL505" s="245"/>
      <c r="AM505" s="244"/>
      <c r="AN505" s="244"/>
      <c r="AO505" s="87"/>
      <c r="AP505" s="87"/>
      <c r="AQ505" s="87"/>
      <c r="AR505" s="87"/>
      <c r="AS505" s="87"/>
      <c r="AT505" s="87"/>
      <c r="AU505" s="87"/>
      <c r="AV505" s="87"/>
      <c r="AW505" s="87"/>
      <c r="AX505" s="87"/>
    </row>
    <row r="506">
      <c r="A506" s="9"/>
      <c r="B506" s="87"/>
      <c r="C506" s="87"/>
      <c r="D506" s="87"/>
      <c r="E506" s="9"/>
      <c r="F506" s="87"/>
      <c r="G506" s="87"/>
      <c r="H506" s="87"/>
      <c r="I506" s="9"/>
      <c r="J506" s="87"/>
      <c r="K506" s="87"/>
      <c r="L506" s="87"/>
      <c r="M506" s="9"/>
      <c r="N506" s="87"/>
      <c r="O506" s="87"/>
      <c r="P506" s="87"/>
      <c r="Q506" s="9"/>
      <c r="R506" s="87"/>
      <c r="S506" s="87"/>
      <c r="T506" s="87"/>
      <c r="U506" s="9"/>
      <c r="V506" s="87"/>
      <c r="W506" s="87"/>
      <c r="X506" s="87"/>
      <c r="Y506" s="87"/>
      <c r="Z506" s="87"/>
      <c r="AA506" s="87"/>
      <c r="AB506" s="87"/>
      <c r="AC506" s="243"/>
      <c r="AD506" s="234"/>
      <c r="AE506" s="234"/>
      <c r="AF506" s="234"/>
      <c r="AG506" s="9"/>
      <c r="AH506" s="87"/>
      <c r="AI506" s="87"/>
      <c r="AJ506" s="87"/>
      <c r="AK506" s="244"/>
      <c r="AL506" s="245"/>
      <c r="AM506" s="244"/>
      <c r="AN506" s="244"/>
      <c r="AO506" s="87"/>
      <c r="AP506" s="87"/>
      <c r="AQ506" s="87"/>
      <c r="AR506" s="87"/>
      <c r="AS506" s="87"/>
      <c r="AT506" s="87"/>
      <c r="AU506" s="87"/>
      <c r="AV506" s="87"/>
      <c r="AW506" s="87"/>
      <c r="AX506" s="87"/>
    </row>
    <row r="507">
      <c r="A507" s="9"/>
      <c r="B507" s="87"/>
      <c r="C507" s="87"/>
      <c r="D507" s="87"/>
      <c r="E507" s="9"/>
      <c r="F507" s="87"/>
      <c r="G507" s="87"/>
      <c r="H507" s="87"/>
      <c r="I507" s="9"/>
      <c r="J507" s="87"/>
      <c r="K507" s="87"/>
      <c r="L507" s="87"/>
      <c r="M507" s="9"/>
      <c r="N507" s="87"/>
      <c r="O507" s="87"/>
      <c r="P507" s="87"/>
      <c r="Q507" s="9"/>
      <c r="R507" s="87"/>
      <c r="S507" s="87"/>
      <c r="T507" s="87"/>
      <c r="U507" s="9"/>
      <c r="V507" s="87"/>
      <c r="W507" s="87"/>
      <c r="X507" s="87"/>
      <c r="Y507" s="87"/>
      <c r="Z507" s="87"/>
      <c r="AA507" s="87"/>
      <c r="AB507" s="87"/>
      <c r="AC507" s="243"/>
      <c r="AD507" s="234"/>
      <c r="AE507" s="234"/>
      <c r="AF507" s="234"/>
      <c r="AG507" s="9"/>
      <c r="AH507" s="87"/>
      <c r="AI507" s="87"/>
      <c r="AJ507" s="87"/>
      <c r="AK507" s="244"/>
      <c r="AL507" s="245"/>
      <c r="AM507" s="244"/>
      <c r="AN507" s="244"/>
      <c r="AO507" s="87"/>
      <c r="AP507" s="87"/>
      <c r="AQ507" s="87"/>
      <c r="AR507" s="87"/>
      <c r="AS507" s="87"/>
      <c r="AT507" s="87"/>
      <c r="AU507" s="87"/>
      <c r="AV507" s="87"/>
      <c r="AW507" s="87"/>
      <c r="AX507" s="87"/>
    </row>
    <row r="508">
      <c r="A508" s="9"/>
      <c r="B508" s="87"/>
      <c r="C508" s="87"/>
      <c r="D508" s="87"/>
      <c r="E508" s="9"/>
      <c r="F508" s="87"/>
      <c r="G508" s="87"/>
      <c r="H508" s="87"/>
      <c r="I508" s="9"/>
      <c r="J508" s="87"/>
      <c r="K508" s="87"/>
      <c r="L508" s="87"/>
      <c r="M508" s="9"/>
      <c r="N508" s="87"/>
      <c r="O508" s="87"/>
      <c r="P508" s="87"/>
      <c r="Q508" s="9"/>
      <c r="R508" s="87"/>
      <c r="S508" s="87"/>
      <c r="T508" s="87"/>
      <c r="U508" s="9"/>
      <c r="V508" s="87"/>
      <c r="W508" s="87"/>
      <c r="X508" s="87"/>
      <c r="Y508" s="87"/>
      <c r="Z508" s="87"/>
      <c r="AA508" s="87"/>
      <c r="AB508" s="87"/>
      <c r="AC508" s="243"/>
      <c r="AD508" s="234"/>
      <c r="AE508" s="234"/>
      <c r="AF508" s="234"/>
      <c r="AG508" s="9"/>
      <c r="AH508" s="87"/>
      <c r="AI508" s="87"/>
      <c r="AJ508" s="87"/>
      <c r="AK508" s="244"/>
      <c r="AL508" s="245"/>
      <c r="AM508" s="244"/>
      <c r="AN508" s="244"/>
      <c r="AO508" s="87"/>
      <c r="AP508" s="87"/>
      <c r="AQ508" s="87"/>
      <c r="AR508" s="87"/>
      <c r="AS508" s="87"/>
      <c r="AT508" s="87"/>
      <c r="AU508" s="87"/>
      <c r="AV508" s="87"/>
      <c r="AW508" s="87"/>
      <c r="AX508" s="87"/>
    </row>
    <row r="509">
      <c r="A509" s="9"/>
      <c r="B509" s="87"/>
      <c r="C509" s="87"/>
      <c r="D509" s="87"/>
      <c r="E509" s="9"/>
      <c r="F509" s="87"/>
      <c r="G509" s="87"/>
      <c r="H509" s="87"/>
      <c r="I509" s="9"/>
      <c r="J509" s="87"/>
      <c r="K509" s="87"/>
      <c r="L509" s="87"/>
      <c r="M509" s="9"/>
      <c r="N509" s="87"/>
      <c r="O509" s="87"/>
      <c r="P509" s="87"/>
      <c r="Q509" s="9"/>
      <c r="R509" s="87"/>
      <c r="S509" s="87"/>
      <c r="T509" s="87"/>
      <c r="U509" s="9"/>
      <c r="V509" s="87"/>
      <c r="W509" s="87"/>
      <c r="X509" s="87"/>
      <c r="Y509" s="87"/>
      <c r="Z509" s="87"/>
      <c r="AA509" s="87"/>
      <c r="AB509" s="87"/>
      <c r="AC509" s="243"/>
      <c r="AD509" s="234"/>
      <c r="AE509" s="234"/>
      <c r="AF509" s="234"/>
      <c r="AG509" s="9"/>
      <c r="AH509" s="87"/>
      <c r="AI509" s="87"/>
      <c r="AJ509" s="87"/>
      <c r="AK509" s="244"/>
      <c r="AL509" s="245"/>
      <c r="AM509" s="244"/>
      <c r="AN509" s="244"/>
      <c r="AO509" s="87"/>
      <c r="AP509" s="87"/>
      <c r="AQ509" s="87"/>
      <c r="AR509" s="87"/>
      <c r="AS509" s="87"/>
      <c r="AT509" s="87"/>
      <c r="AU509" s="87"/>
      <c r="AV509" s="87"/>
      <c r="AW509" s="87"/>
      <c r="AX509" s="87"/>
    </row>
    <row r="510">
      <c r="A510" s="9"/>
      <c r="B510" s="87"/>
      <c r="C510" s="87"/>
      <c r="D510" s="87"/>
      <c r="E510" s="9"/>
      <c r="F510" s="87"/>
      <c r="G510" s="87"/>
      <c r="H510" s="87"/>
      <c r="I510" s="9"/>
      <c r="J510" s="87"/>
      <c r="K510" s="87"/>
      <c r="L510" s="87"/>
      <c r="M510" s="9"/>
      <c r="N510" s="87"/>
      <c r="O510" s="87"/>
      <c r="P510" s="87"/>
      <c r="Q510" s="9"/>
      <c r="R510" s="87"/>
      <c r="S510" s="87"/>
      <c r="T510" s="87"/>
      <c r="U510" s="9"/>
      <c r="V510" s="87"/>
      <c r="W510" s="87"/>
      <c r="X510" s="87"/>
      <c r="Y510" s="87"/>
      <c r="Z510" s="87"/>
      <c r="AA510" s="87"/>
      <c r="AB510" s="87"/>
      <c r="AC510" s="243"/>
      <c r="AD510" s="234"/>
      <c r="AE510" s="234"/>
      <c r="AF510" s="234"/>
      <c r="AG510" s="9"/>
      <c r="AH510" s="87"/>
      <c r="AI510" s="87"/>
      <c r="AJ510" s="87"/>
      <c r="AK510" s="244"/>
      <c r="AL510" s="245"/>
      <c r="AM510" s="244"/>
      <c r="AN510" s="244"/>
      <c r="AO510" s="87"/>
      <c r="AP510" s="87"/>
      <c r="AQ510" s="87"/>
      <c r="AR510" s="87"/>
      <c r="AS510" s="87"/>
      <c r="AT510" s="87"/>
      <c r="AU510" s="87"/>
      <c r="AV510" s="87"/>
      <c r="AW510" s="87"/>
      <c r="AX510" s="87"/>
    </row>
    <row r="511">
      <c r="A511" s="9"/>
      <c r="B511" s="87"/>
      <c r="C511" s="87"/>
      <c r="D511" s="87"/>
      <c r="E511" s="9"/>
      <c r="F511" s="87"/>
      <c r="G511" s="87"/>
      <c r="H511" s="87"/>
      <c r="I511" s="9"/>
      <c r="J511" s="87"/>
      <c r="K511" s="87"/>
      <c r="L511" s="87"/>
      <c r="M511" s="9"/>
      <c r="N511" s="87"/>
      <c r="O511" s="87"/>
      <c r="P511" s="87"/>
      <c r="Q511" s="9"/>
      <c r="R511" s="87"/>
      <c r="S511" s="87"/>
      <c r="T511" s="87"/>
      <c r="U511" s="9"/>
      <c r="V511" s="87"/>
      <c r="W511" s="87"/>
      <c r="X511" s="87"/>
      <c r="Y511" s="87"/>
      <c r="Z511" s="87"/>
      <c r="AA511" s="87"/>
      <c r="AB511" s="87"/>
      <c r="AC511" s="243"/>
      <c r="AD511" s="234"/>
      <c r="AE511" s="234"/>
      <c r="AF511" s="234"/>
      <c r="AG511" s="9"/>
      <c r="AH511" s="87"/>
      <c r="AI511" s="87"/>
      <c r="AJ511" s="87"/>
      <c r="AK511" s="244"/>
      <c r="AL511" s="245"/>
      <c r="AM511" s="244"/>
      <c r="AN511" s="244"/>
      <c r="AO511" s="87"/>
      <c r="AP511" s="87"/>
      <c r="AQ511" s="87"/>
      <c r="AR511" s="87"/>
      <c r="AS511" s="87"/>
      <c r="AT511" s="87"/>
      <c r="AU511" s="87"/>
      <c r="AV511" s="87"/>
      <c r="AW511" s="87"/>
      <c r="AX511" s="87"/>
    </row>
    <row r="512">
      <c r="A512" s="9"/>
      <c r="B512" s="87"/>
      <c r="C512" s="87"/>
      <c r="D512" s="87"/>
      <c r="E512" s="9"/>
      <c r="F512" s="87"/>
      <c r="G512" s="87"/>
      <c r="H512" s="87"/>
      <c r="I512" s="9"/>
      <c r="J512" s="87"/>
      <c r="K512" s="87"/>
      <c r="L512" s="87"/>
      <c r="M512" s="9"/>
      <c r="N512" s="87"/>
      <c r="O512" s="87"/>
      <c r="P512" s="87"/>
      <c r="Q512" s="9"/>
      <c r="R512" s="87"/>
      <c r="S512" s="87"/>
      <c r="T512" s="87"/>
      <c r="U512" s="9"/>
      <c r="V512" s="87"/>
      <c r="W512" s="87"/>
      <c r="X512" s="87"/>
      <c r="Y512" s="87"/>
      <c r="Z512" s="87"/>
      <c r="AA512" s="87"/>
      <c r="AB512" s="87"/>
      <c r="AC512" s="243"/>
      <c r="AD512" s="234"/>
      <c r="AE512" s="234"/>
      <c r="AF512" s="234"/>
      <c r="AG512" s="9"/>
      <c r="AH512" s="87"/>
      <c r="AI512" s="87"/>
      <c r="AJ512" s="87"/>
      <c r="AK512" s="244"/>
      <c r="AL512" s="245"/>
      <c r="AM512" s="244"/>
      <c r="AN512" s="244"/>
      <c r="AO512" s="87"/>
      <c r="AP512" s="87"/>
      <c r="AQ512" s="87"/>
      <c r="AR512" s="87"/>
      <c r="AS512" s="87"/>
      <c r="AT512" s="87"/>
      <c r="AU512" s="87"/>
      <c r="AV512" s="87"/>
      <c r="AW512" s="87"/>
      <c r="AX512" s="87"/>
    </row>
    <row r="513">
      <c r="A513" s="9"/>
      <c r="B513" s="87"/>
      <c r="C513" s="87"/>
      <c r="D513" s="87"/>
      <c r="E513" s="9"/>
      <c r="F513" s="87"/>
      <c r="G513" s="87"/>
      <c r="H513" s="87"/>
      <c r="I513" s="9"/>
      <c r="J513" s="87"/>
      <c r="K513" s="87"/>
      <c r="L513" s="87"/>
      <c r="M513" s="9"/>
      <c r="N513" s="87"/>
      <c r="O513" s="87"/>
      <c r="P513" s="87"/>
      <c r="Q513" s="9"/>
      <c r="R513" s="87"/>
      <c r="S513" s="87"/>
      <c r="T513" s="87"/>
      <c r="U513" s="9"/>
      <c r="V513" s="87"/>
      <c r="W513" s="87"/>
      <c r="X513" s="87"/>
      <c r="Y513" s="87"/>
      <c r="Z513" s="87"/>
      <c r="AA513" s="87"/>
      <c r="AB513" s="87"/>
      <c r="AC513" s="243"/>
      <c r="AD513" s="234"/>
      <c r="AE513" s="234"/>
      <c r="AF513" s="234"/>
      <c r="AG513" s="9"/>
      <c r="AH513" s="87"/>
      <c r="AI513" s="87"/>
      <c r="AJ513" s="87"/>
      <c r="AK513" s="244"/>
      <c r="AL513" s="245"/>
      <c r="AM513" s="244"/>
      <c r="AN513" s="244"/>
      <c r="AO513" s="87"/>
      <c r="AP513" s="87"/>
      <c r="AQ513" s="87"/>
      <c r="AR513" s="87"/>
      <c r="AS513" s="87"/>
      <c r="AT513" s="87"/>
      <c r="AU513" s="87"/>
      <c r="AV513" s="87"/>
      <c r="AW513" s="87"/>
      <c r="AX513" s="87"/>
    </row>
    <row r="514">
      <c r="A514" s="9"/>
      <c r="B514" s="87"/>
      <c r="C514" s="87"/>
      <c r="D514" s="87"/>
      <c r="E514" s="9"/>
      <c r="F514" s="87"/>
      <c r="G514" s="87"/>
      <c r="H514" s="87"/>
      <c r="I514" s="9"/>
      <c r="J514" s="87"/>
      <c r="K514" s="87"/>
      <c r="L514" s="87"/>
      <c r="M514" s="9"/>
      <c r="N514" s="87"/>
      <c r="O514" s="87"/>
      <c r="P514" s="87"/>
      <c r="Q514" s="9"/>
      <c r="R514" s="87"/>
      <c r="S514" s="87"/>
      <c r="T514" s="87"/>
      <c r="U514" s="9"/>
      <c r="V514" s="87"/>
      <c r="W514" s="87"/>
      <c r="X514" s="87"/>
      <c r="Y514" s="87"/>
      <c r="Z514" s="87"/>
      <c r="AA514" s="87"/>
      <c r="AB514" s="87"/>
      <c r="AC514" s="243"/>
      <c r="AD514" s="234"/>
      <c r="AE514" s="234"/>
      <c r="AF514" s="234"/>
      <c r="AG514" s="9"/>
      <c r="AH514" s="87"/>
      <c r="AI514" s="87"/>
      <c r="AJ514" s="87"/>
      <c r="AK514" s="244"/>
      <c r="AL514" s="245"/>
      <c r="AM514" s="244"/>
      <c r="AN514" s="244"/>
      <c r="AO514" s="87"/>
      <c r="AP514" s="87"/>
      <c r="AQ514" s="87"/>
      <c r="AR514" s="87"/>
      <c r="AS514" s="87"/>
      <c r="AT514" s="87"/>
      <c r="AU514" s="87"/>
      <c r="AV514" s="87"/>
      <c r="AW514" s="87"/>
      <c r="AX514" s="87"/>
    </row>
    <row r="515">
      <c r="A515" s="9"/>
      <c r="B515" s="87"/>
      <c r="C515" s="87"/>
      <c r="D515" s="87"/>
      <c r="E515" s="9"/>
      <c r="F515" s="87"/>
      <c r="G515" s="87"/>
      <c r="H515" s="87"/>
      <c r="I515" s="9"/>
      <c r="J515" s="87"/>
      <c r="K515" s="87"/>
      <c r="L515" s="87"/>
      <c r="M515" s="9"/>
      <c r="N515" s="87"/>
      <c r="O515" s="87"/>
      <c r="P515" s="87"/>
      <c r="Q515" s="9"/>
      <c r="R515" s="87"/>
      <c r="S515" s="87"/>
      <c r="T515" s="87"/>
      <c r="U515" s="9"/>
      <c r="V515" s="87"/>
      <c r="W515" s="87"/>
      <c r="X515" s="87"/>
      <c r="Y515" s="87"/>
      <c r="Z515" s="87"/>
      <c r="AA515" s="87"/>
      <c r="AB515" s="87"/>
      <c r="AC515" s="243"/>
      <c r="AD515" s="234"/>
      <c r="AE515" s="234"/>
      <c r="AF515" s="234"/>
      <c r="AG515" s="9"/>
      <c r="AH515" s="87"/>
      <c r="AI515" s="87"/>
      <c r="AJ515" s="87"/>
      <c r="AK515" s="244"/>
      <c r="AL515" s="245"/>
      <c r="AM515" s="244"/>
      <c r="AN515" s="244"/>
      <c r="AO515" s="87"/>
      <c r="AP515" s="87"/>
      <c r="AQ515" s="87"/>
      <c r="AR515" s="87"/>
      <c r="AS515" s="87"/>
      <c r="AT515" s="87"/>
      <c r="AU515" s="87"/>
      <c r="AV515" s="87"/>
      <c r="AW515" s="87"/>
      <c r="AX515" s="87"/>
    </row>
    <row r="516">
      <c r="A516" s="9"/>
      <c r="B516" s="87"/>
      <c r="C516" s="87"/>
      <c r="D516" s="87"/>
      <c r="E516" s="9"/>
      <c r="F516" s="87"/>
      <c r="G516" s="87"/>
      <c r="H516" s="87"/>
      <c r="I516" s="9"/>
      <c r="J516" s="87"/>
      <c r="K516" s="87"/>
      <c r="L516" s="87"/>
      <c r="M516" s="9"/>
      <c r="N516" s="87"/>
      <c r="O516" s="87"/>
      <c r="P516" s="87"/>
      <c r="Q516" s="9"/>
      <c r="R516" s="87"/>
      <c r="S516" s="87"/>
      <c r="T516" s="87"/>
      <c r="U516" s="9"/>
      <c r="V516" s="87"/>
      <c r="W516" s="87"/>
      <c r="X516" s="87"/>
      <c r="Y516" s="87"/>
      <c r="Z516" s="87"/>
      <c r="AA516" s="87"/>
      <c r="AB516" s="87"/>
      <c r="AC516" s="243"/>
      <c r="AD516" s="234"/>
      <c r="AE516" s="234"/>
      <c r="AF516" s="234"/>
      <c r="AG516" s="9"/>
      <c r="AH516" s="87"/>
      <c r="AI516" s="87"/>
      <c r="AJ516" s="87"/>
      <c r="AK516" s="244"/>
      <c r="AL516" s="245"/>
      <c r="AM516" s="244"/>
      <c r="AN516" s="244"/>
      <c r="AO516" s="87"/>
      <c r="AP516" s="87"/>
      <c r="AQ516" s="87"/>
      <c r="AR516" s="87"/>
      <c r="AS516" s="87"/>
      <c r="AT516" s="87"/>
      <c r="AU516" s="87"/>
      <c r="AV516" s="87"/>
      <c r="AW516" s="87"/>
      <c r="AX516" s="87"/>
    </row>
    <row r="517">
      <c r="A517" s="9"/>
      <c r="B517" s="87"/>
      <c r="C517" s="87"/>
      <c r="D517" s="87"/>
      <c r="E517" s="9"/>
      <c r="F517" s="87"/>
      <c r="G517" s="87"/>
      <c r="H517" s="87"/>
      <c r="I517" s="9"/>
      <c r="J517" s="87"/>
      <c r="K517" s="87"/>
      <c r="L517" s="87"/>
      <c r="M517" s="9"/>
      <c r="N517" s="87"/>
      <c r="O517" s="87"/>
      <c r="P517" s="87"/>
      <c r="Q517" s="9"/>
      <c r="R517" s="87"/>
      <c r="S517" s="87"/>
      <c r="T517" s="87"/>
      <c r="U517" s="9"/>
      <c r="V517" s="87"/>
      <c r="W517" s="87"/>
      <c r="X517" s="87"/>
      <c r="Y517" s="87"/>
      <c r="Z517" s="87"/>
      <c r="AA517" s="87"/>
      <c r="AB517" s="87"/>
      <c r="AC517" s="243"/>
      <c r="AD517" s="234"/>
      <c r="AE517" s="234"/>
      <c r="AF517" s="234"/>
      <c r="AG517" s="9"/>
      <c r="AH517" s="87"/>
      <c r="AI517" s="87"/>
      <c r="AJ517" s="87"/>
      <c r="AK517" s="244"/>
      <c r="AL517" s="245"/>
      <c r="AM517" s="244"/>
      <c r="AN517" s="244"/>
      <c r="AO517" s="87"/>
      <c r="AP517" s="87"/>
      <c r="AQ517" s="87"/>
      <c r="AR517" s="87"/>
      <c r="AS517" s="87"/>
      <c r="AT517" s="87"/>
      <c r="AU517" s="87"/>
      <c r="AV517" s="87"/>
      <c r="AW517" s="87"/>
      <c r="AX517" s="87"/>
    </row>
    <row r="518">
      <c r="A518" s="9"/>
      <c r="B518" s="87"/>
      <c r="C518" s="87"/>
      <c r="D518" s="87"/>
      <c r="E518" s="9"/>
      <c r="F518" s="87"/>
      <c r="G518" s="87"/>
      <c r="H518" s="87"/>
      <c r="I518" s="9"/>
      <c r="J518" s="87"/>
      <c r="K518" s="87"/>
      <c r="L518" s="87"/>
      <c r="M518" s="9"/>
      <c r="N518" s="87"/>
      <c r="O518" s="87"/>
      <c r="P518" s="87"/>
      <c r="Q518" s="9"/>
      <c r="R518" s="87"/>
      <c r="S518" s="87"/>
      <c r="T518" s="87"/>
      <c r="U518" s="9"/>
      <c r="V518" s="87"/>
      <c r="W518" s="87"/>
      <c r="X518" s="87"/>
      <c r="Y518" s="87"/>
      <c r="Z518" s="87"/>
      <c r="AA518" s="87"/>
      <c r="AB518" s="87"/>
      <c r="AC518" s="243"/>
      <c r="AD518" s="234"/>
      <c r="AE518" s="234"/>
      <c r="AF518" s="234"/>
      <c r="AG518" s="9"/>
      <c r="AH518" s="87"/>
      <c r="AI518" s="87"/>
      <c r="AJ518" s="87"/>
      <c r="AK518" s="244"/>
      <c r="AL518" s="245"/>
      <c r="AM518" s="244"/>
      <c r="AN518" s="244"/>
      <c r="AO518" s="87"/>
      <c r="AP518" s="87"/>
      <c r="AQ518" s="87"/>
      <c r="AR518" s="87"/>
      <c r="AS518" s="87"/>
      <c r="AT518" s="87"/>
      <c r="AU518" s="87"/>
      <c r="AV518" s="87"/>
      <c r="AW518" s="87"/>
      <c r="AX518" s="87"/>
    </row>
    <row r="519">
      <c r="A519" s="9"/>
      <c r="B519" s="87"/>
      <c r="C519" s="87"/>
      <c r="D519" s="87"/>
      <c r="E519" s="9"/>
      <c r="F519" s="87"/>
      <c r="G519" s="87"/>
      <c r="H519" s="87"/>
      <c r="I519" s="9"/>
      <c r="J519" s="87"/>
      <c r="K519" s="87"/>
      <c r="L519" s="87"/>
      <c r="M519" s="9"/>
      <c r="N519" s="87"/>
      <c r="O519" s="87"/>
      <c r="P519" s="87"/>
      <c r="Q519" s="9"/>
      <c r="R519" s="87"/>
      <c r="S519" s="87"/>
      <c r="T519" s="87"/>
      <c r="U519" s="9"/>
      <c r="V519" s="87"/>
      <c r="W519" s="87"/>
      <c r="X519" s="87"/>
      <c r="Y519" s="87"/>
      <c r="Z519" s="87"/>
      <c r="AA519" s="87"/>
      <c r="AB519" s="87"/>
      <c r="AC519" s="243"/>
      <c r="AD519" s="234"/>
      <c r="AE519" s="234"/>
      <c r="AF519" s="234"/>
      <c r="AG519" s="9"/>
      <c r="AH519" s="87"/>
      <c r="AI519" s="87"/>
      <c r="AJ519" s="87"/>
      <c r="AK519" s="244"/>
      <c r="AL519" s="245"/>
      <c r="AM519" s="244"/>
      <c r="AN519" s="244"/>
      <c r="AO519" s="87"/>
      <c r="AP519" s="87"/>
      <c r="AQ519" s="87"/>
      <c r="AR519" s="87"/>
      <c r="AS519" s="87"/>
      <c r="AT519" s="87"/>
      <c r="AU519" s="87"/>
      <c r="AV519" s="87"/>
      <c r="AW519" s="87"/>
      <c r="AX519" s="87"/>
    </row>
    <row r="520">
      <c r="A520" s="9"/>
      <c r="B520" s="87"/>
      <c r="C520" s="87"/>
      <c r="D520" s="87"/>
      <c r="E520" s="9"/>
      <c r="F520" s="87"/>
      <c r="G520" s="87"/>
      <c r="H520" s="87"/>
      <c r="I520" s="9"/>
      <c r="J520" s="87"/>
      <c r="K520" s="87"/>
      <c r="L520" s="87"/>
      <c r="M520" s="9"/>
      <c r="N520" s="87"/>
      <c r="O520" s="87"/>
      <c r="P520" s="87"/>
      <c r="Q520" s="9"/>
      <c r="R520" s="87"/>
      <c r="S520" s="87"/>
      <c r="T520" s="87"/>
      <c r="U520" s="9"/>
      <c r="V520" s="87"/>
      <c r="W520" s="87"/>
      <c r="X520" s="87"/>
      <c r="Y520" s="87"/>
      <c r="Z520" s="87"/>
      <c r="AA520" s="87"/>
      <c r="AB520" s="87"/>
      <c r="AC520" s="243"/>
      <c r="AD520" s="234"/>
      <c r="AE520" s="234"/>
      <c r="AF520" s="234"/>
      <c r="AG520" s="9"/>
      <c r="AH520" s="87"/>
      <c r="AI520" s="87"/>
      <c r="AJ520" s="87"/>
      <c r="AK520" s="244"/>
      <c r="AL520" s="245"/>
      <c r="AM520" s="244"/>
      <c r="AN520" s="244"/>
      <c r="AO520" s="87"/>
      <c r="AP520" s="87"/>
      <c r="AQ520" s="87"/>
      <c r="AR520" s="87"/>
      <c r="AS520" s="87"/>
      <c r="AT520" s="87"/>
      <c r="AU520" s="87"/>
      <c r="AV520" s="87"/>
      <c r="AW520" s="87"/>
      <c r="AX520" s="87"/>
    </row>
    <row r="521">
      <c r="A521" s="9"/>
      <c r="B521" s="87"/>
      <c r="C521" s="87"/>
      <c r="D521" s="87"/>
      <c r="E521" s="9"/>
      <c r="F521" s="87"/>
      <c r="G521" s="87"/>
      <c r="H521" s="87"/>
      <c r="I521" s="9"/>
      <c r="J521" s="87"/>
      <c r="K521" s="87"/>
      <c r="L521" s="87"/>
      <c r="M521" s="9"/>
      <c r="N521" s="87"/>
      <c r="O521" s="87"/>
      <c r="P521" s="87"/>
      <c r="Q521" s="9"/>
      <c r="R521" s="87"/>
      <c r="S521" s="87"/>
      <c r="T521" s="87"/>
      <c r="U521" s="9"/>
      <c r="V521" s="87"/>
      <c r="W521" s="87"/>
      <c r="X521" s="87"/>
      <c r="Y521" s="87"/>
      <c r="Z521" s="87"/>
      <c r="AA521" s="87"/>
      <c r="AB521" s="87"/>
      <c r="AC521" s="243"/>
      <c r="AD521" s="234"/>
      <c r="AE521" s="234"/>
      <c r="AF521" s="234"/>
      <c r="AG521" s="9"/>
      <c r="AH521" s="87"/>
      <c r="AI521" s="87"/>
      <c r="AJ521" s="87"/>
      <c r="AK521" s="244"/>
      <c r="AL521" s="245"/>
      <c r="AM521" s="244"/>
      <c r="AN521" s="244"/>
      <c r="AO521" s="87"/>
      <c r="AP521" s="87"/>
      <c r="AQ521" s="87"/>
      <c r="AR521" s="87"/>
      <c r="AS521" s="87"/>
      <c r="AT521" s="87"/>
      <c r="AU521" s="87"/>
      <c r="AV521" s="87"/>
      <c r="AW521" s="87"/>
      <c r="AX521" s="87"/>
    </row>
    <row r="522">
      <c r="A522" s="9"/>
      <c r="B522" s="87"/>
      <c r="C522" s="87"/>
      <c r="D522" s="87"/>
      <c r="E522" s="9"/>
      <c r="F522" s="87"/>
      <c r="G522" s="87"/>
      <c r="H522" s="87"/>
      <c r="I522" s="9"/>
      <c r="J522" s="87"/>
      <c r="K522" s="87"/>
      <c r="L522" s="87"/>
      <c r="M522" s="9"/>
      <c r="N522" s="87"/>
      <c r="O522" s="87"/>
      <c r="P522" s="87"/>
      <c r="Q522" s="9"/>
      <c r="R522" s="87"/>
      <c r="S522" s="87"/>
      <c r="T522" s="87"/>
      <c r="U522" s="9"/>
      <c r="V522" s="87"/>
      <c r="W522" s="87"/>
      <c r="X522" s="87"/>
      <c r="Y522" s="87"/>
      <c r="Z522" s="87"/>
      <c r="AA522" s="87"/>
      <c r="AB522" s="87"/>
      <c r="AC522" s="243"/>
      <c r="AD522" s="234"/>
      <c r="AE522" s="234"/>
      <c r="AF522" s="234"/>
      <c r="AG522" s="9"/>
      <c r="AH522" s="87"/>
      <c r="AI522" s="87"/>
      <c r="AJ522" s="87"/>
      <c r="AK522" s="244"/>
      <c r="AL522" s="245"/>
      <c r="AM522" s="244"/>
      <c r="AN522" s="244"/>
      <c r="AO522" s="87"/>
      <c r="AP522" s="87"/>
      <c r="AQ522" s="87"/>
      <c r="AR522" s="87"/>
      <c r="AS522" s="87"/>
      <c r="AT522" s="87"/>
      <c r="AU522" s="87"/>
      <c r="AV522" s="87"/>
      <c r="AW522" s="87"/>
      <c r="AX522" s="87"/>
    </row>
    <row r="523">
      <c r="A523" s="9"/>
      <c r="B523" s="87"/>
      <c r="C523" s="87"/>
      <c r="D523" s="87"/>
      <c r="E523" s="9"/>
      <c r="F523" s="87"/>
      <c r="G523" s="87"/>
      <c r="H523" s="87"/>
      <c r="I523" s="9"/>
      <c r="J523" s="87"/>
      <c r="K523" s="87"/>
      <c r="L523" s="87"/>
      <c r="M523" s="9"/>
      <c r="N523" s="87"/>
      <c r="O523" s="87"/>
      <c r="P523" s="87"/>
      <c r="Q523" s="9"/>
      <c r="R523" s="87"/>
      <c r="S523" s="87"/>
      <c r="T523" s="87"/>
      <c r="U523" s="9"/>
      <c r="V523" s="87"/>
      <c r="W523" s="87"/>
      <c r="X523" s="87"/>
      <c r="Y523" s="87"/>
      <c r="Z523" s="87"/>
      <c r="AA523" s="87"/>
      <c r="AB523" s="87"/>
      <c r="AC523" s="243"/>
      <c r="AD523" s="234"/>
      <c r="AE523" s="234"/>
      <c r="AF523" s="234"/>
      <c r="AG523" s="9"/>
      <c r="AH523" s="87"/>
      <c r="AI523" s="87"/>
      <c r="AJ523" s="87"/>
      <c r="AK523" s="244"/>
      <c r="AL523" s="245"/>
      <c r="AM523" s="244"/>
      <c r="AN523" s="244"/>
      <c r="AO523" s="87"/>
      <c r="AP523" s="87"/>
      <c r="AQ523" s="87"/>
      <c r="AR523" s="87"/>
      <c r="AS523" s="87"/>
      <c r="AT523" s="87"/>
      <c r="AU523" s="87"/>
      <c r="AV523" s="87"/>
      <c r="AW523" s="87"/>
      <c r="AX523" s="87"/>
    </row>
    <row r="524">
      <c r="A524" s="9"/>
      <c r="B524" s="87"/>
      <c r="C524" s="87"/>
      <c r="D524" s="87"/>
      <c r="E524" s="9"/>
      <c r="F524" s="87"/>
      <c r="G524" s="87"/>
      <c r="H524" s="87"/>
      <c r="I524" s="9"/>
      <c r="J524" s="87"/>
      <c r="K524" s="87"/>
      <c r="L524" s="87"/>
      <c r="M524" s="9"/>
      <c r="N524" s="87"/>
      <c r="O524" s="87"/>
      <c r="P524" s="87"/>
      <c r="Q524" s="9"/>
      <c r="R524" s="87"/>
      <c r="S524" s="87"/>
      <c r="T524" s="87"/>
      <c r="U524" s="9"/>
      <c r="V524" s="87"/>
      <c r="W524" s="87"/>
      <c r="X524" s="87"/>
      <c r="Y524" s="87"/>
      <c r="Z524" s="87"/>
      <c r="AA524" s="87"/>
      <c r="AB524" s="87"/>
      <c r="AC524" s="243"/>
      <c r="AD524" s="234"/>
      <c r="AE524" s="234"/>
      <c r="AF524" s="234"/>
      <c r="AG524" s="9"/>
      <c r="AH524" s="87"/>
      <c r="AI524" s="87"/>
      <c r="AJ524" s="87"/>
      <c r="AK524" s="244"/>
      <c r="AL524" s="245"/>
      <c r="AM524" s="244"/>
      <c r="AN524" s="244"/>
      <c r="AO524" s="87"/>
      <c r="AP524" s="87"/>
      <c r="AQ524" s="87"/>
      <c r="AR524" s="87"/>
      <c r="AS524" s="87"/>
      <c r="AT524" s="87"/>
      <c r="AU524" s="87"/>
      <c r="AV524" s="87"/>
      <c r="AW524" s="87"/>
      <c r="AX524" s="87"/>
    </row>
    <row r="525">
      <c r="A525" s="9"/>
      <c r="B525" s="87"/>
      <c r="C525" s="87"/>
      <c r="D525" s="87"/>
      <c r="E525" s="9"/>
      <c r="F525" s="87"/>
      <c r="G525" s="87"/>
      <c r="H525" s="87"/>
      <c r="I525" s="9"/>
      <c r="J525" s="87"/>
      <c r="K525" s="87"/>
      <c r="L525" s="87"/>
      <c r="M525" s="9"/>
      <c r="N525" s="87"/>
      <c r="O525" s="87"/>
      <c r="P525" s="87"/>
      <c r="Q525" s="9"/>
      <c r="R525" s="87"/>
      <c r="S525" s="87"/>
      <c r="T525" s="87"/>
      <c r="U525" s="9"/>
      <c r="V525" s="87"/>
      <c r="W525" s="87"/>
      <c r="X525" s="87"/>
      <c r="Y525" s="87"/>
      <c r="Z525" s="87"/>
      <c r="AA525" s="87"/>
      <c r="AB525" s="87"/>
      <c r="AC525" s="243"/>
      <c r="AD525" s="234"/>
      <c r="AE525" s="234"/>
      <c r="AF525" s="234"/>
      <c r="AG525" s="9"/>
      <c r="AH525" s="87"/>
      <c r="AI525" s="87"/>
      <c r="AJ525" s="87"/>
      <c r="AK525" s="244"/>
      <c r="AL525" s="245"/>
      <c r="AM525" s="244"/>
      <c r="AN525" s="244"/>
      <c r="AO525" s="87"/>
      <c r="AP525" s="87"/>
      <c r="AQ525" s="87"/>
      <c r="AR525" s="87"/>
      <c r="AS525" s="87"/>
      <c r="AT525" s="87"/>
      <c r="AU525" s="87"/>
      <c r="AV525" s="87"/>
      <c r="AW525" s="87"/>
      <c r="AX525" s="87"/>
    </row>
    <row r="526">
      <c r="A526" s="9"/>
      <c r="B526" s="87"/>
      <c r="C526" s="87"/>
      <c r="D526" s="87"/>
      <c r="E526" s="9"/>
      <c r="F526" s="87"/>
      <c r="G526" s="87"/>
      <c r="H526" s="87"/>
      <c r="I526" s="9"/>
      <c r="J526" s="87"/>
      <c r="K526" s="87"/>
      <c r="L526" s="87"/>
      <c r="M526" s="9"/>
      <c r="N526" s="87"/>
      <c r="O526" s="87"/>
      <c r="P526" s="87"/>
      <c r="Q526" s="9"/>
      <c r="R526" s="87"/>
      <c r="S526" s="87"/>
      <c r="T526" s="87"/>
      <c r="U526" s="9"/>
      <c r="V526" s="87"/>
      <c r="W526" s="87"/>
      <c r="X526" s="87"/>
      <c r="Y526" s="87"/>
      <c r="Z526" s="87"/>
      <c r="AA526" s="87"/>
      <c r="AB526" s="87"/>
      <c r="AC526" s="243"/>
      <c r="AD526" s="234"/>
      <c r="AE526" s="234"/>
      <c r="AF526" s="234"/>
      <c r="AG526" s="9"/>
      <c r="AH526" s="87"/>
      <c r="AI526" s="87"/>
      <c r="AJ526" s="87"/>
      <c r="AK526" s="244"/>
      <c r="AL526" s="245"/>
      <c r="AM526" s="244"/>
      <c r="AN526" s="244"/>
      <c r="AO526" s="87"/>
      <c r="AP526" s="87"/>
      <c r="AQ526" s="87"/>
      <c r="AR526" s="87"/>
      <c r="AS526" s="87"/>
      <c r="AT526" s="87"/>
      <c r="AU526" s="87"/>
      <c r="AV526" s="87"/>
      <c r="AW526" s="87"/>
      <c r="AX526" s="87"/>
    </row>
    <row r="527">
      <c r="A527" s="9"/>
      <c r="B527" s="87"/>
      <c r="C527" s="87"/>
      <c r="D527" s="87"/>
      <c r="E527" s="9"/>
      <c r="F527" s="87"/>
      <c r="G527" s="87"/>
      <c r="H527" s="87"/>
      <c r="I527" s="9"/>
      <c r="J527" s="87"/>
      <c r="K527" s="87"/>
      <c r="L527" s="87"/>
      <c r="M527" s="9"/>
      <c r="N527" s="87"/>
      <c r="O527" s="87"/>
      <c r="P527" s="87"/>
      <c r="Q527" s="9"/>
      <c r="R527" s="87"/>
      <c r="S527" s="87"/>
      <c r="T527" s="87"/>
      <c r="U527" s="9"/>
      <c r="V527" s="87"/>
      <c r="W527" s="87"/>
      <c r="X527" s="87"/>
      <c r="Y527" s="87"/>
      <c r="Z527" s="87"/>
      <c r="AA527" s="87"/>
      <c r="AB527" s="87"/>
      <c r="AC527" s="243"/>
      <c r="AD527" s="234"/>
      <c r="AE527" s="234"/>
      <c r="AF527" s="234"/>
      <c r="AG527" s="9"/>
      <c r="AH527" s="87"/>
      <c r="AI527" s="87"/>
      <c r="AJ527" s="87"/>
      <c r="AK527" s="244"/>
      <c r="AL527" s="245"/>
      <c r="AM527" s="244"/>
      <c r="AN527" s="244"/>
      <c r="AO527" s="87"/>
      <c r="AP527" s="87"/>
      <c r="AQ527" s="87"/>
      <c r="AR527" s="87"/>
      <c r="AS527" s="87"/>
      <c r="AT527" s="87"/>
      <c r="AU527" s="87"/>
      <c r="AV527" s="87"/>
      <c r="AW527" s="87"/>
      <c r="AX527" s="87"/>
    </row>
    <row r="528">
      <c r="A528" s="9"/>
      <c r="B528" s="87"/>
      <c r="C528" s="87"/>
      <c r="D528" s="87"/>
      <c r="E528" s="9"/>
      <c r="F528" s="87"/>
      <c r="G528" s="87"/>
      <c r="H528" s="87"/>
      <c r="I528" s="9"/>
      <c r="J528" s="87"/>
      <c r="K528" s="87"/>
      <c r="L528" s="87"/>
      <c r="M528" s="9"/>
      <c r="N528" s="87"/>
      <c r="O528" s="87"/>
      <c r="P528" s="87"/>
      <c r="Q528" s="9"/>
      <c r="R528" s="87"/>
      <c r="S528" s="87"/>
      <c r="T528" s="87"/>
      <c r="U528" s="9"/>
      <c r="V528" s="87"/>
      <c r="W528" s="87"/>
      <c r="X528" s="87"/>
      <c r="Y528" s="87"/>
      <c r="Z528" s="87"/>
      <c r="AA528" s="87"/>
      <c r="AB528" s="87"/>
      <c r="AC528" s="243"/>
      <c r="AD528" s="234"/>
      <c r="AE528" s="234"/>
      <c r="AF528" s="234"/>
      <c r="AG528" s="9"/>
      <c r="AH528" s="87"/>
      <c r="AI528" s="87"/>
      <c r="AJ528" s="87"/>
      <c r="AK528" s="244"/>
      <c r="AL528" s="245"/>
      <c r="AM528" s="244"/>
      <c r="AN528" s="244"/>
      <c r="AO528" s="87"/>
      <c r="AP528" s="87"/>
      <c r="AQ528" s="87"/>
      <c r="AR528" s="87"/>
      <c r="AS528" s="87"/>
      <c r="AT528" s="87"/>
      <c r="AU528" s="87"/>
      <c r="AV528" s="87"/>
      <c r="AW528" s="87"/>
      <c r="AX528" s="87"/>
    </row>
    <row r="529">
      <c r="A529" s="9"/>
      <c r="B529" s="87"/>
      <c r="C529" s="87"/>
      <c r="D529" s="87"/>
      <c r="E529" s="9"/>
      <c r="F529" s="87"/>
      <c r="G529" s="87"/>
      <c r="H529" s="87"/>
      <c r="I529" s="9"/>
      <c r="J529" s="87"/>
      <c r="K529" s="87"/>
      <c r="L529" s="87"/>
      <c r="M529" s="9"/>
      <c r="N529" s="87"/>
      <c r="O529" s="87"/>
      <c r="P529" s="87"/>
      <c r="Q529" s="9"/>
      <c r="R529" s="87"/>
      <c r="S529" s="87"/>
      <c r="T529" s="87"/>
      <c r="U529" s="9"/>
      <c r="V529" s="87"/>
      <c r="W529" s="87"/>
      <c r="X529" s="87"/>
      <c r="Y529" s="87"/>
      <c r="Z529" s="87"/>
      <c r="AA529" s="87"/>
      <c r="AB529" s="87"/>
      <c r="AC529" s="243"/>
      <c r="AD529" s="234"/>
      <c r="AE529" s="234"/>
      <c r="AF529" s="234"/>
      <c r="AG529" s="9"/>
      <c r="AH529" s="87"/>
      <c r="AI529" s="87"/>
      <c r="AJ529" s="87"/>
      <c r="AK529" s="244"/>
      <c r="AL529" s="245"/>
      <c r="AM529" s="244"/>
      <c r="AN529" s="244"/>
      <c r="AO529" s="87"/>
      <c r="AP529" s="87"/>
      <c r="AQ529" s="87"/>
      <c r="AR529" s="87"/>
      <c r="AS529" s="87"/>
      <c r="AT529" s="87"/>
      <c r="AU529" s="87"/>
      <c r="AV529" s="87"/>
      <c r="AW529" s="87"/>
      <c r="AX529" s="87"/>
    </row>
    <row r="530">
      <c r="A530" s="9"/>
      <c r="B530" s="87"/>
      <c r="C530" s="87"/>
      <c r="D530" s="87"/>
      <c r="E530" s="9"/>
      <c r="F530" s="87"/>
      <c r="G530" s="87"/>
      <c r="H530" s="87"/>
      <c r="I530" s="9"/>
      <c r="J530" s="87"/>
      <c r="K530" s="87"/>
      <c r="L530" s="87"/>
      <c r="M530" s="9"/>
      <c r="N530" s="87"/>
      <c r="O530" s="87"/>
      <c r="P530" s="87"/>
      <c r="Q530" s="9"/>
      <c r="R530" s="87"/>
      <c r="S530" s="87"/>
      <c r="T530" s="87"/>
      <c r="U530" s="9"/>
      <c r="V530" s="87"/>
      <c r="W530" s="87"/>
      <c r="X530" s="87"/>
      <c r="Y530" s="87"/>
      <c r="Z530" s="87"/>
      <c r="AA530" s="87"/>
      <c r="AB530" s="87"/>
      <c r="AC530" s="243"/>
      <c r="AD530" s="234"/>
      <c r="AE530" s="234"/>
      <c r="AF530" s="234"/>
      <c r="AG530" s="9"/>
      <c r="AH530" s="87"/>
      <c r="AI530" s="87"/>
      <c r="AJ530" s="87"/>
      <c r="AK530" s="244"/>
      <c r="AL530" s="245"/>
      <c r="AM530" s="244"/>
      <c r="AN530" s="244"/>
      <c r="AO530" s="87"/>
      <c r="AP530" s="87"/>
      <c r="AQ530" s="87"/>
      <c r="AR530" s="87"/>
      <c r="AS530" s="87"/>
      <c r="AT530" s="87"/>
      <c r="AU530" s="87"/>
      <c r="AV530" s="87"/>
      <c r="AW530" s="87"/>
      <c r="AX530" s="87"/>
    </row>
    <row r="531">
      <c r="A531" s="9"/>
      <c r="B531" s="87"/>
      <c r="C531" s="87"/>
      <c r="D531" s="87"/>
      <c r="E531" s="9"/>
      <c r="F531" s="87"/>
      <c r="G531" s="87"/>
      <c r="H531" s="87"/>
      <c r="I531" s="9"/>
      <c r="J531" s="87"/>
      <c r="K531" s="87"/>
      <c r="L531" s="87"/>
      <c r="M531" s="9"/>
      <c r="N531" s="87"/>
      <c r="O531" s="87"/>
      <c r="P531" s="87"/>
      <c r="Q531" s="9"/>
      <c r="R531" s="87"/>
      <c r="S531" s="87"/>
      <c r="T531" s="87"/>
      <c r="U531" s="9"/>
      <c r="V531" s="87"/>
      <c r="W531" s="87"/>
      <c r="X531" s="87"/>
      <c r="Y531" s="87"/>
      <c r="Z531" s="87"/>
      <c r="AA531" s="87"/>
      <c r="AB531" s="87"/>
      <c r="AC531" s="243"/>
      <c r="AD531" s="234"/>
      <c r="AE531" s="234"/>
      <c r="AF531" s="234"/>
      <c r="AG531" s="9"/>
      <c r="AH531" s="87"/>
      <c r="AI531" s="87"/>
      <c r="AJ531" s="87"/>
      <c r="AK531" s="244"/>
      <c r="AL531" s="245"/>
      <c r="AM531" s="244"/>
      <c r="AN531" s="244"/>
      <c r="AO531" s="87"/>
      <c r="AP531" s="87"/>
      <c r="AQ531" s="87"/>
      <c r="AR531" s="87"/>
      <c r="AS531" s="87"/>
      <c r="AT531" s="87"/>
      <c r="AU531" s="87"/>
      <c r="AV531" s="87"/>
      <c r="AW531" s="87"/>
      <c r="AX531" s="87"/>
    </row>
    <row r="532">
      <c r="A532" s="9"/>
      <c r="B532" s="87"/>
      <c r="C532" s="87"/>
      <c r="D532" s="87"/>
      <c r="E532" s="9"/>
      <c r="F532" s="87"/>
      <c r="G532" s="87"/>
      <c r="H532" s="87"/>
      <c r="I532" s="9"/>
      <c r="J532" s="87"/>
      <c r="K532" s="87"/>
      <c r="L532" s="87"/>
      <c r="M532" s="9"/>
      <c r="N532" s="87"/>
      <c r="O532" s="87"/>
      <c r="P532" s="87"/>
      <c r="Q532" s="9"/>
      <c r="R532" s="87"/>
      <c r="S532" s="87"/>
      <c r="T532" s="87"/>
      <c r="U532" s="9"/>
      <c r="V532" s="87"/>
      <c r="W532" s="87"/>
      <c r="X532" s="87"/>
      <c r="Y532" s="87"/>
      <c r="Z532" s="87"/>
      <c r="AA532" s="87"/>
      <c r="AB532" s="87"/>
      <c r="AC532" s="243"/>
      <c r="AD532" s="234"/>
      <c r="AE532" s="234"/>
      <c r="AF532" s="234"/>
      <c r="AG532" s="9"/>
      <c r="AH532" s="87"/>
      <c r="AI532" s="87"/>
      <c r="AJ532" s="87"/>
      <c r="AK532" s="244"/>
      <c r="AL532" s="245"/>
      <c r="AM532" s="244"/>
      <c r="AN532" s="244"/>
      <c r="AO532" s="87"/>
      <c r="AP532" s="87"/>
      <c r="AQ532" s="87"/>
      <c r="AR532" s="87"/>
      <c r="AS532" s="87"/>
      <c r="AT532" s="87"/>
      <c r="AU532" s="87"/>
      <c r="AV532" s="87"/>
      <c r="AW532" s="87"/>
      <c r="AX532" s="87"/>
    </row>
    <row r="533">
      <c r="A533" s="9"/>
      <c r="B533" s="87"/>
      <c r="C533" s="87"/>
      <c r="D533" s="87"/>
      <c r="E533" s="9"/>
      <c r="F533" s="87"/>
      <c r="G533" s="87"/>
      <c r="H533" s="87"/>
      <c r="I533" s="9"/>
      <c r="J533" s="87"/>
      <c r="K533" s="87"/>
      <c r="L533" s="87"/>
      <c r="M533" s="9"/>
      <c r="N533" s="87"/>
      <c r="O533" s="87"/>
      <c r="P533" s="87"/>
      <c r="Q533" s="9"/>
      <c r="R533" s="87"/>
      <c r="S533" s="87"/>
      <c r="T533" s="87"/>
      <c r="U533" s="9"/>
      <c r="V533" s="87"/>
      <c r="W533" s="87"/>
      <c r="X533" s="87"/>
      <c r="Y533" s="87"/>
      <c r="Z533" s="87"/>
      <c r="AA533" s="87"/>
      <c r="AB533" s="87"/>
      <c r="AC533" s="243"/>
      <c r="AD533" s="234"/>
      <c r="AE533" s="234"/>
      <c r="AF533" s="234"/>
      <c r="AG533" s="9"/>
      <c r="AH533" s="87"/>
      <c r="AI533" s="87"/>
      <c r="AJ533" s="87"/>
      <c r="AK533" s="244"/>
      <c r="AL533" s="245"/>
      <c r="AM533" s="244"/>
      <c r="AN533" s="244"/>
      <c r="AO533" s="87"/>
      <c r="AP533" s="87"/>
      <c r="AQ533" s="87"/>
      <c r="AR533" s="87"/>
      <c r="AS533" s="87"/>
      <c r="AT533" s="87"/>
      <c r="AU533" s="87"/>
      <c r="AV533" s="87"/>
      <c r="AW533" s="87"/>
      <c r="AX533" s="87"/>
    </row>
    <row r="534">
      <c r="A534" s="9"/>
      <c r="B534" s="87"/>
      <c r="C534" s="87"/>
      <c r="D534" s="87"/>
      <c r="E534" s="9"/>
      <c r="F534" s="87"/>
      <c r="G534" s="87"/>
      <c r="H534" s="87"/>
      <c r="I534" s="9"/>
      <c r="J534" s="87"/>
      <c r="K534" s="87"/>
      <c r="L534" s="87"/>
      <c r="M534" s="9"/>
      <c r="N534" s="87"/>
      <c r="O534" s="87"/>
      <c r="P534" s="87"/>
      <c r="Q534" s="9"/>
      <c r="R534" s="87"/>
      <c r="S534" s="87"/>
      <c r="T534" s="87"/>
      <c r="U534" s="9"/>
      <c r="V534" s="87"/>
      <c r="W534" s="87"/>
      <c r="X534" s="87"/>
      <c r="Y534" s="87"/>
      <c r="Z534" s="87"/>
      <c r="AA534" s="87"/>
      <c r="AB534" s="87"/>
      <c r="AC534" s="243"/>
      <c r="AD534" s="234"/>
      <c r="AE534" s="234"/>
      <c r="AF534" s="234"/>
      <c r="AG534" s="9"/>
      <c r="AH534" s="87"/>
      <c r="AI534" s="87"/>
      <c r="AJ534" s="87"/>
      <c r="AK534" s="244"/>
      <c r="AL534" s="245"/>
      <c r="AM534" s="244"/>
      <c r="AN534" s="244"/>
      <c r="AO534" s="87"/>
      <c r="AP534" s="87"/>
      <c r="AQ534" s="87"/>
      <c r="AR534" s="87"/>
      <c r="AS534" s="87"/>
      <c r="AT534" s="87"/>
      <c r="AU534" s="87"/>
      <c r="AV534" s="87"/>
      <c r="AW534" s="87"/>
      <c r="AX534" s="87"/>
    </row>
    <row r="535">
      <c r="A535" s="9"/>
      <c r="B535" s="87"/>
      <c r="C535" s="87"/>
      <c r="D535" s="87"/>
      <c r="E535" s="9"/>
      <c r="F535" s="87"/>
      <c r="G535" s="87"/>
      <c r="H535" s="87"/>
      <c r="I535" s="9"/>
      <c r="J535" s="87"/>
      <c r="K535" s="87"/>
      <c r="L535" s="87"/>
      <c r="M535" s="9"/>
      <c r="N535" s="87"/>
      <c r="O535" s="87"/>
      <c r="P535" s="87"/>
      <c r="Q535" s="9"/>
      <c r="R535" s="87"/>
      <c r="S535" s="87"/>
      <c r="T535" s="87"/>
      <c r="U535" s="9"/>
      <c r="V535" s="87"/>
      <c r="W535" s="87"/>
      <c r="X535" s="87"/>
      <c r="Y535" s="87"/>
      <c r="Z535" s="87"/>
      <c r="AA535" s="87"/>
      <c r="AB535" s="87"/>
      <c r="AC535" s="243"/>
      <c r="AD535" s="234"/>
      <c r="AE535" s="234"/>
      <c r="AF535" s="234"/>
      <c r="AG535" s="9"/>
      <c r="AH535" s="87"/>
      <c r="AI535" s="87"/>
      <c r="AJ535" s="87"/>
      <c r="AK535" s="244"/>
      <c r="AL535" s="245"/>
      <c r="AM535" s="244"/>
      <c r="AN535" s="244"/>
      <c r="AO535" s="87"/>
      <c r="AP535" s="87"/>
      <c r="AQ535" s="87"/>
      <c r="AR535" s="87"/>
      <c r="AS535" s="87"/>
      <c r="AT535" s="87"/>
      <c r="AU535" s="87"/>
      <c r="AV535" s="87"/>
      <c r="AW535" s="87"/>
      <c r="AX535" s="87"/>
    </row>
    <row r="536">
      <c r="A536" s="9"/>
      <c r="B536" s="87"/>
      <c r="C536" s="87"/>
      <c r="D536" s="87"/>
      <c r="E536" s="9"/>
      <c r="F536" s="87"/>
      <c r="G536" s="87"/>
      <c r="H536" s="87"/>
      <c r="I536" s="9"/>
      <c r="J536" s="87"/>
      <c r="K536" s="87"/>
      <c r="L536" s="87"/>
      <c r="M536" s="9"/>
      <c r="N536" s="87"/>
      <c r="O536" s="87"/>
      <c r="P536" s="87"/>
      <c r="Q536" s="9"/>
      <c r="R536" s="87"/>
      <c r="S536" s="87"/>
      <c r="T536" s="87"/>
      <c r="U536" s="9"/>
      <c r="V536" s="87"/>
      <c r="W536" s="87"/>
      <c r="X536" s="87"/>
      <c r="Y536" s="87"/>
      <c r="Z536" s="87"/>
      <c r="AA536" s="87"/>
      <c r="AB536" s="87"/>
      <c r="AC536" s="243"/>
      <c r="AD536" s="234"/>
      <c r="AE536" s="234"/>
      <c r="AF536" s="234"/>
      <c r="AG536" s="9"/>
      <c r="AH536" s="87"/>
      <c r="AI536" s="87"/>
      <c r="AJ536" s="87"/>
      <c r="AK536" s="244"/>
      <c r="AL536" s="245"/>
      <c r="AM536" s="244"/>
      <c r="AN536" s="244"/>
      <c r="AO536" s="87"/>
      <c r="AP536" s="87"/>
      <c r="AQ536" s="87"/>
      <c r="AR536" s="87"/>
      <c r="AS536" s="87"/>
      <c r="AT536" s="87"/>
      <c r="AU536" s="87"/>
      <c r="AV536" s="87"/>
      <c r="AW536" s="87"/>
      <c r="AX536" s="87"/>
    </row>
    <row r="537">
      <c r="A537" s="9"/>
      <c r="B537" s="87"/>
      <c r="C537" s="87"/>
      <c r="D537" s="87"/>
      <c r="E537" s="9"/>
      <c r="F537" s="87"/>
      <c r="G537" s="87"/>
      <c r="H537" s="87"/>
      <c r="I537" s="9"/>
      <c r="J537" s="87"/>
      <c r="K537" s="87"/>
      <c r="L537" s="87"/>
      <c r="M537" s="9"/>
      <c r="N537" s="87"/>
      <c r="O537" s="87"/>
      <c r="P537" s="87"/>
      <c r="Q537" s="9"/>
      <c r="R537" s="87"/>
      <c r="S537" s="87"/>
      <c r="T537" s="87"/>
      <c r="U537" s="9"/>
      <c r="V537" s="87"/>
      <c r="W537" s="87"/>
      <c r="X537" s="87"/>
      <c r="Y537" s="87"/>
      <c r="Z537" s="87"/>
      <c r="AA537" s="87"/>
      <c r="AB537" s="87"/>
      <c r="AC537" s="243"/>
      <c r="AD537" s="234"/>
      <c r="AE537" s="234"/>
      <c r="AF537" s="234"/>
      <c r="AG537" s="9"/>
      <c r="AH537" s="87"/>
      <c r="AI537" s="87"/>
      <c r="AJ537" s="87"/>
      <c r="AK537" s="244"/>
      <c r="AL537" s="245"/>
      <c r="AM537" s="244"/>
      <c r="AN537" s="244"/>
      <c r="AO537" s="87"/>
      <c r="AP537" s="87"/>
      <c r="AQ537" s="87"/>
      <c r="AR537" s="87"/>
      <c r="AS537" s="87"/>
      <c r="AT537" s="87"/>
      <c r="AU537" s="87"/>
      <c r="AV537" s="87"/>
      <c r="AW537" s="87"/>
      <c r="AX537" s="87"/>
    </row>
    <row r="538">
      <c r="A538" s="9"/>
      <c r="B538" s="87"/>
      <c r="C538" s="87"/>
      <c r="D538" s="87"/>
      <c r="E538" s="9"/>
      <c r="F538" s="87"/>
      <c r="G538" s="87"/>
      <c r="H538" s="87"/>
      <c r="I538" s="9"/>
      <c r="J538" s="87"/>
      <c r="K538" s="87"/>
      <c r="L538" s="87"/>
      <c r="M538" s="9"/>
      <c r="N538" s="87"/>
      <c r="O538" s="87"/>
      <c r="P538" s="87"/>
      <c r="Q538" s="9"/>
      <c r="R538" s="87"/>
      <c r="S538" s="87"/>
      <c r="T538" s="87"/>
      <c r="U538" s="9"/>
      <c r="V538" s="87"/>
      <c r="W538" s="87"/>
      <c r="X538" s="87"/>
      <c r="Y538" s="87"/>
      <c r="Z538" s="87"/>
      <c r="AA538" s="87"/>
      <c r="AB538" s="87"/>
      <c r="AC538" s="243"/>
      <c r="AD538" s="234"/>
      <c r="AE538" s="234"/>
      <c r="AF538" s="234"/>
      <c r="AG538" s="9"/>
      <c r="AH538" s="87"/>
      <c r="AI538" s="87"/>
      <c r="AJ538" s="87"/>
      <c r="AK538" s="244"/>
      <c r="AL538" s="245"/>
      <c r="AM538" s="244"/>
      <c r="AN538" s="244"/>
      <c r="AO538" s="87"/>
      <c r="AP538" s="87"/>
      <c r="AQ538" s="87"/>
      <c r="AR538" s="87"/>
      <c r="AS538" s="87"/>
      <c r="AT538" s="87"/>
      <c r="AU538" s="87"/>
      <c r="AV538" s="87"/>
      <c r="AW538" s="87"/>
      <c r="AX538" s="87"/>
    </row>
    <row r="539">
      <c r="A539" s="9"/>
      <c r="B539" s="87"/>
      <c r="C539" s="87"/>
      <c r="D539" s="87"/>
      <c r="E539" s="9"/>
      <c r="F539" s="87"/>
      <c r="G539" s="87"/>
      <c r="H539" s="87"/>
      <c r="I539" s="9"/>
      <c r="J539" s="87"/>
      <c r="K539" s="87"/>
      <c r="L539" s="87"/>
      <c r="M539" s="9"/>
      <c r="N539" s="87"/>
      <c r="O539" s="87"/>
      <c r="P539" s="87"/>
      <c r="Q539" s="9"/>
      <c r="R539" s="87"/>
      <c r="S539" s="87"/>
      <c r="T539" s="87"/>
      <c r="U539" s="9"/>
      <c r="V539" s="87"/>
      <c r="W539" s="87"/>
      <c r="X539" s="87"/>
      <c r="Y539" s="87"/>
      <c r="Z539" s="87"/>
      <c r="AA539" s="87"/>
      <c r="AB539" s="87"/>
      <c r="AC539" s="243"/>
      <c r="AD539" s="234"/>
      <c r="AE539" s="234"/>
      <c r="AF539" s="234"/>
      <c r="AG539" s="9"/>
      <c r="AH539" s="87"/>
      <c r="AI539" s="87"/>
      <c r="AJ539" s="87"/>
      <c r="AK539" s="244"/>
      <c r="AL539" s="245"/>
      <c r="AM539" s="244"/>
      <c r="AN539" s="244"/>
      <c r="AO539" s="87"/>
      <c r="AP539" s="87"/>
      <c r="AQ539" s="87"/>
      <c r="AR539" s="87"/>
      <c r="AS539" s="87"/>
      <c r="AT539" s="87"/>
      <c r="AU539" s="87"/>
      <c r="AV539" s="87"/>
      <c r="AW539" s="87"/>
      <c r="AX539" s="87"/>
    </row>
    <row r="540">
      <c r="A540" s="9"/>
      <c r="B540" s="87"/>
      <c r="C540" s="87"/>
      <c r="D540" s="87"/>
      <c r="E540" s="9"/>
      <c r="F540" s="87"/>
      <c r="G540" s="87"/>
      <c r="H540" s="87"/>
      <c r="I540" s="9"/>
      <c r="J540" s="87"/>
      <c r="K540" s="87"/>
      <c r="L540" s="87"/>
      <c r="M540" s="9"/>
      <c r="N540" s="87"/>
      <c r="O540" s="87"/>
      <c r="P540" s="87"/>
      <c r="Q540" s="9"/>
      <c r="R540" s="87"/>
      <c r="S540" s="87"/>
      <c r="T540" s="87"/>
      <c r="U540" s="9"/>
      <c r="V540" s="87"/>
      <c r="W540" s="87"/>
      <c r="X540" s="87"/>
      <c r="Y540" s="87"/>
      <c r="Z540" s="87"/>
      <c r="AA540" s="87"/>
      <c r="AB540" s="87"/>
      <c r="AC540" s="243"/>
      <c r="AD540" s="234"/>
      <c r="AE540" s="234"/>
      <c r="AF540" s="234"/>
      <c r="AG540" s="9"/>
      <c r="AH540" s="87"/>
      <c r="AI540" s="87"/>
      <c r="AJ540" s="87"/>
      <c r="AK540" s="244"/>
      <c r="AL540" s="245"/>
      <c r="AM540" s="244"/>
      <c r="AN540" s="244"/>
      <c r="AO540" s="87"/>
      <c r="AP540" s="87"/>
      <c r="AQ540" s="87"/>
      <c r="AR540" s="87"/>
      <c r="AS540" s="87"/>
      <c r="AT540" s="87"/>
      <c r="AU540" s="87"/>
      <c r="AV540" s="87"/>
      <c r="AW540" s="87"/>
      <c r="AX540" s="87"/>
    </row>
    <row r="541">
      <c r="A541" s="9"/>
      <c r="B541" s="87"/>
      <c r="C541" s="87"/>
      <c r="D541" s="87"/>
      <c r="E541" s="9"/>
      <c r="F541" s="87"/>
      <c r="G541" s="87"/>
      <c r="H541" s="87"/>
      <c r="I541" s="9"/>
      <c r="J541" s="87"/>
      <c r="K541" s="87"/>
      <c r="L541" s="87"/>
      <c r="M541" s="9"/>
      <c r="N541" s="87"/>
      <c r="O541" s="87"/>
      <c r="P541" s="87"/>
      <c r="Q541" s="9"/>
      <c r="R541" s="87"/>
      <c r="S541" s="87"/>
      <c r="T541" s="87"/>
      <c r="U541" s="9"/>
      <c r="V541" s="87"/>
      <c r="W541" s="87"/>
      <c r="X541" s="87"/>
      <c r="Y541" s="87"/>
      <c r="Z541" s="87"/>
      <c r="AA541" s="87"/>
      <c r="AB541" s="87"/>
      <c r="AC541" s="243"/>
      <c r="AD541" s="234"/>
      <c r="AE541" s="234"/>
      <c r="AF541" s="234"/>
      <c r="AG541" s="9"/>
      <c r="AH541" s="87"/>
      <c r="AI541" s="87"/>
      <c r="AJ541" s="87"/>
      <c r="AK541" s="244"/>
      <c r="AL541" s="245"/>
      <c r="AM541" s="244"/>
      <c r="AN541" s="244"/>
      <c r="AO541" s="87"/>
      <c r="AP541" s="87"/>
      <c r="AQ541" s="87"/>
      <c r="AR541" s="87"/>
      <c r="AS541" s="87"/>
      <c r="AT541" s="87"/>
      <c r="AU541" s="87"/>
      <c r="AV541" s="87"/>
      <c r="AW541" s="87"/>
      <c r="AX541" s="87"/>
    </row>
    <row r="542">
      <c r="A542" s="9"/>
      <c r="B542" s="87"/>
      <c r="C542" s="87"/>
      <c r="D542" s="87"/>
      <c r="E542" s="9"/>
      <c r="F542" s="87"/>
      <c r="G542" s="87"/>
      <c r="H542" s="87"/>
      <c r="I542" s="9"/>
      <c r="J542" s="87"/>
      <c r="K542" s="87"/>
      <c r="L542" s="87"/>
      <c r="M542" s="9"/>
      <c r="N542" s="87"/>
      <c r="O542" s="87"/>
      <c r="P542" s="87"/>
      <c r="Q542" s="9"/>
      <c r="R542" s="87"/>
      <c r="S542" s="87"/>
      <c r="T542" s="87"/>
      <c r="U542" s="9"/>
      <c r="V542" s="87"/>
      <c r="W542" s="87"/>
      <c r="X542" s="87"/>
      <c r="Y542" s="87"/>
      <c r="Z542" s="87"/>
      <c r="AA542" s="87"/>
      <c r="AB542" s="87"/>
      <c r="AC542" s="243"/>
      <c r="AD542" s="234"/>
      <c r="AE542" s="234"/>
      <c r="AF542" s="234"/>
      <c r="AG542" s="9"/>
      <c r="AH542" s="87"/>
      <c r="AI542" s="87"/>
      <c r="AJ542" s="87"/>
      <c r="AK542" s="244"/>
      <c r="AL542" s="245"/>
      <c r="AM542" s="244"/>
      <c r="AN542" s="244"/>
      <c r="AO542" s="87"/>
      <c r="AP542" s="87"/>
      <c r="AQ542" s="87"/>
      <c r="AR542" s="87"/>
      <c r="AS542" s="87"/>
      <c r="AT542" s="87"/>
      <c r="AU542" s="87"/>
      <c r="AV542" s="87"/>
      <c r="AW542" s="87"/>
      <c r="AX542" s="87"/>
    </row>
    <row r="543">
      <c r="A543" s="9"/>
      <c r="B543" s="87"/>
      <c r="C543" s="87"/>
      <c r="D543" s="87"/>
      <c r="E543" s="9"/>
      <c r="F543" s="87"/>
      <c r="G543" s="87"/>
      <c r="H543" s="87"/>
      <c r="I543" s="9"/>
      <c r="J543" s="87"/>
      <c r="K543" s="87"/>
      <c r="L543" s="87"/>
      <c r="M543" s="9"/>
      <c r="N543" s="87"/>
      <c r="O543" s="87"/>
      <c r="P543" s="87"/>
      <c r="Q543" s="9"/>
      <c r="R543" s="87"/>
      <c r="S543" s="87"/>
      <c r="T543" s="87"/>
      <c r="U543" s="9"/>
      <c r="V543" s="87"/>
      <c r="W543" s="87"/>
      <c r="X543" s="87"/>
      <c r="Y543" s="87"/>
      <c r="Z543" s="87"/>
      <c r="AA543" s="87"/>
      <c r="AB543" s="87"/>
      <c r="AC543" s="243"/>
      <c r="AD543" s="234"/>
      <c r="AE543" s="234"/>
      <c r="AF543" s="234"/>
      <c r="AG543" s="9"/>
      <c r="AH543" s="87"/>
      <c r="AI543" s="87"/>
      <c r="AJ543" s="87"/>
      <c r="AK543" s="244"/>
      <c r="AL543" s="245"/>
      <c r="AM543" s="244"/>
      <c r="AN543" s="244"/>
      <c r="AO543" s="87"/>
      <c r="AP543" s="87"/>
      <c r="AQ543" s="87"/>
      <c r="AR543" s="87"/>
      <c r="AS543" s="87"/>
      <c r="AT543" s="87"/>
      <c r="AU543" s="87"/>
      <c r="AV543" s="87"/>
      <c r="AW543" s="87"/>
      <c r="AX543" s="87"/>
    </row>
    <row r="544">
      <c r="A544" s="9"/>
      <c r="B544" s="87"/>
      <c r="C544" s="87"/>
      <c r="D544" s="87"/>
      <c r="E544" s="9"/>
      <c r="F544" s="87"/>
      <c r="G544" s="87"/>
      <c r="H544" s="87"/>
      <c r="I544" s="9"/>
      <c r="J544" s="87"/>
      <c r="K544" s="87"/>
      <c r="L544" s="87"/>
      <c r="M544" s="9"/>
      <c r="N544" s="87"/>
      <c r="O544" s="87"/>
      <c r="P544" s="87"/>
      <c r="Q544" s="9"/>
      <c r="R544" s="87"/>
      <c r="S544" s="87"/>
      <c r="T544" s="87"/>
      <c r="U544" s="9"/>
      <c r="V544" s="87"/>
      <c r="W544" s="87"/>
      <c r="X544" s="87"/>
      <c r="Y544" s="87"/>
      <c r="Z544" s="87"/>
      <c r="AA544" s="87"/>
      <c r="AB544" s="87"/>
      <c r="AC544" s="243"/>
      <c r="AD544" s="234"/>
      <c r="AE544" s="234"/>
      <c r="AF544" s="234"/>
      <c r="AG544" s="9"/>
      <c r="AH544" s="87"/>
      <c r="AI544" s="87"/>
      <c r="AJ544" s="87"/>
      <c r="AK544" s="244"/>
      <c r="AL544" s="245"/>
      <c r="AM544" s="244"/>
      <c r="AN544" s="244"/>
      <c r="AO544" s="87"/>
      <c r="AP544" s="87"/>
      <c r="AQ544" s="87"/>
      <c r="AR544" s="87"/>
      <c r="AS544" s="87"/>
      <c r="AT544" s="87"/>
      <c r="AU544" s="87"/>
      <c r="AV544" s="87"/>
      <c r="AW544" s="87"/>
      <c r="AX544" s="87"/>
    </row>
    <row r="545">
      <c r="A545" s="9"/>
      <c r="B545" s="87"/>
      <c r="C545" s="87"/>
      <c r="D545" s="87"/>
      <c r="E545" s="9"/>
      <c r="F545" s="87"/>
      <c r="G545" s="87"/>
      <c r="H545" s="87"/>
      <c r="I545" s="9"/>
      <c r="J545" s="87"/>
      <c r="K545" s="87"/>
      <c r="L545" s="87"/>
      <c r="M545" s="9"/>
      <c r="N545" s="87"/>
      <c r="O545" s="87"/>
      <c r="P545" s="87"/>
      <c r="Q545" s="9"/>
      <c r="R545" s="87"/>
      <c r="S545" s="87"/>
      <c r="T545" s="87"/>
      <c r="U545" s="9"/>
      <c r="V545" s="87"/>
      <c r="W545" s="87"/>
      <c r="X545" s="87"/>
      <c r="Y545" s="87"/>
      <c r="Z545" s="87"/>
      <c r="AA545" s="87"/>
      <c r="AB545" s="87"/>
      <c r="AC545" s="243"/>
      <c r="AD545" s="234"/>
      <c r="AE545" s="234"/>
      <c r="AF545" s="234"/>
      <c r="AG545" s="9"/>
      <c r="AH545" s="87"/>
      <c r="AI545" s="87"/>
      <c r="AJ545" s="87"/>
      <c r="AK545" s="244"/>
      <c r="AL545" s="245"/>
      <c r="AM545" s="244"/>
      <c r="AN545" s="244"/>
      <c r="AO545" s="87"/>
      <c r="AP545" s="87"/>
      <c r="AQ545" s="87"/>
      <c r="AR545" s="87"/>
      <c r="AS545" s="87"/>
      <c r="AT545" s="87"/>
      <c r="AU545" s="87"/>
      <c r="AV545" s="87"/>
      <c r="AW545" s="87"/>
      <c r="AX545" s="87"/>
    </row>
    <row r="546">
      <c r="A546" s="9"/>
      <c r="B546" s="87"/>
      <c r="C546" s="87"/>
      <c r="D546" s="87"/>
      <c r="E546" s="9"/>
      <c r="F546" s="87"/>
      <c r="G546" s="87"/>
      <c r="H546" s="87"/>
      <c r="I546" s="9"/>
      <c r="J546" s="87"/>
      <c r="K546" s="87"/>
      <c r="L546" s="87"/>
      <c r="M546" s="9"/>
      <c r="N546" s="87"/>
      <c r="O546" s="87"/>
      <c r="P546" s="87"/>
      <c r="Q546" s="9"/>
      <c r="R546" s="87"/>
      <c r="S546" s="87"/>
      <c r="T546" s="87"/>
      <c r="U546" s="9"/>
      <c r="V546" s="87"/>
      <c r="W546" s="87"/>
      <c r="X546" s="87"/>
      <c r="Y546" s="87"/>
      <c r="Z546" s="87"/>
      <c r="AA546" s="87"/>
      <c r="AB546" s="87"/>
      <c r="AC546" s="243"/>
      <c r="AD546" s="234"/>
      <c r="AE546" s="234"/>
      <c r="AF546" s="234"/>
      <c r="AG546" s="9"/>
      <c r="AH546" s="87"/>
      <c r="AI546" s="87"/>
      <c r="AJ546" s="87"/>
      <c r="AK546" s="244"/>
      <c r="AL546" s="245"/>
      <c r="AM546" s="244"/>
      <c r="AN546" s="244"/>
      <c r="AO546" s="87"/>
      <c r="AP546" s="87"/>
      <c r="AQ546" s="87"/>
      <c r="AR546" s="87"/>
      <c r="AS546" s="87"/>
      <c r="AT546" s="87"/>
      <c r="AU546" s="87"/>
      <c r="AV546" s="87"/>
      <c r="AW546" s="87"/>
      <c r="AX546" s="87"/>
    </row>
    <row r="547">
      <c r="A547" s="9"/>
      <c r="B547" s="87"/>
      <c r="C547" s="87"/>
      <c r="D547" s="87"/>
      <c r="E547" s="9"/>
      <c r="F547" s="87"/>
      <c r="G547" s="87"/>
      <c r="H547" s="87"/>
      <c r="I547" s="9"/>
      <c r="J547" s="87"/>
      <c r="K547" s="87"/>
      <c r="L547" s="87"/>
      <c r="M547" s="9"/>
      <c r="N547" s="87"/>
      <c r="O547" s="87"/>
      <c r="P547" s="87"/>
      <c r="Q547" s="9"/>
      <c r="R547" s="87"/>
      <c r="S547" s="87"/>
      <c r="T547" s="87"/>
      <c r="U547" s="9"/>
      <c r="V547" s="87"/>
      <c r="W547" s="87"/>
      <c r="X547" s="87"/>
      <c r="Y547" s="87"/>
      <c r="Z547" s="87"/>
      <c r="AA547" s="87"/>
      <c r="AB547" s="87"/>
      <c r="AC547" s="243"/>
      <c r="AD547" s="234"/>
      <c r="AE547" s="234"/>
      <c r="AF547" s="234"/>
      <c r="AG547" s="9"/>
      <c r="AH547" s="87"/>
      <c r="AI547" s="87"/>
      <c r="AJ547" s="87"/>
      <c r="AK547" s="244"/>
      <c r="AL547" s="245"/>
      <c r="AM547" s="244"/>
      <c r="AN547" s="244"/>
      <c r="AO547" s="87"/>
      <c r="AP547" s="87"/>
      <c r="AQ547" s="87"/>
      <c r="AR547" s="87"/>
      <c r="AS547" s="87"/>
      <c r="AT547" s="87"/>
      <c r="AU547" s="87"/>
      <c r="AV547" s="87"/>
      <c r="AW547" s="87"/>
      <c r="AX547" s="87"/>
    </row>
    <row r="548">
      <c r="A548" s="9"/>
      <c r="B548" s="87"/>
      <c r="C548" s="87"/>
      <c r="D548" s="87"/>
      <c r="E548" s="9"/>
      <c r="F548" s="87"/>
      <c r="G548" s="87"/>
      <c r="H548" s="87"/>
      <c r="I548" s="9"/>
      <c r="J548" s="87"/>
      <c r="K548" s="87"/>
      <c r="L548" s="87"/>
      <c r="M548" s="9"/>
      <c r="N548" s="87"/>
      <c r="O548" s="87"/>
      <c r="P548" s="87"/>
      <c r="Q548" s="9"/>
      <c r="R548" s="87"/>
      <c r="S548" s="87"/>
      <c r="T548" s="87"/>
      <c r="U548" s="9"/>
      <c r="V548" s="87"/>
      <c r="W548" s="87"/>
      <c r="X548" s="87"/>
      <c r="Y548" s="87"/>
      <c r="Z548" s="87"/>
      <c r="AA548" s="87"/>
      <c r="AB548" s="87"/>
      <c r="AC548" s="243"/>
      <c r="AD548" s="234"/>
      <c r="AE548" s="234"/>
      <c r="AF548" s="234"/>
      <c r="AG548" s="9"/>
      <c r="AH548" s="87"/>
      <c r="AI548" s="87"/>
      <c r="AJ548" s="87"/>
      <c r="AK548" s="244"/>
      <c r="AL548" s="245"/>
      <c r="AM548" s="244"/>
      <c r="AN548" s="244"/>
      <c r="AO548" s="87"/>
      <c r="AP548" s="87"/>
      <c r="AQ548" s="87"/>
      <c r="AR548" s="87"/>
      <c r="AS548" s="87"/>
      <c r="AT548" s="87"/>
      <c r="AU548" s="87"/>
      <c r="AV548" s="87"/>
      <c r="AW548" s="87"/>
      <c r="AX548" s="87"/>
    </row>
    <row r="549">
      <c r="A549" s="9"/>
      <c r="B549" s="87"/>
      <c r="C549" s="87"/>
      <c r="D549" s="87"/>
      <c r="E549" s="9"/>
      <c r="F549" s="87"/>
      <c r="G549" s="87"/>
      <c r="H549" s="87"/>
      <c r="I549" s="9"/>
      <c r="J549" s="87"/>
      <c r="K549" s="87"/>
      <c r="L549" s="87"/>
      <c r="M549" s="9"/>
      <c r="N549" s="87"/>
      <c r="O549" s="87"/>
      <c r="P549" s="87"/>
      <c r="Q549" s="9"/>
      <c r="R549" s="87"/>
      <c r="S549" s="87"/>
      <c r="T549" s="87"/>
      <c r="U549" s="9"/>
      <c r="V549" s="87"/>
      <c r="W549" s="87"/>
      <c r="X549" s="87"/>
      <c r="Y549" s="87"/>
      <c r="Z549" s="87"/>
      <c r="AA549" s="87"/>
      <c r="AB549" s="87"/>
      <c r="AC549" s="243"/>
      <c r="AD549" s="234"/>
      <c r="AE549" s="234"/>
      <c r="AF549" s="234"/>
      <c r="AG549" s="9"/>
      <c r="AH549" s="87"/>
      <c r="AI549" s="87"/>
      <c r="AJ549" s="87"/>
      <c r="AK549" s="244"/>
      <c r="AL549" s="245"/>
      <c r="AM549" s="244"/>
      <c r="AN549" s="244"/>
      <c r="AO549" s="87"/>
      <c r="AP549" s="87"/>
      <c r="AQ549" s="87"/>
      <c r="AR549" s="87"/>
      <c r="AS549" s="87"/>
      <c r="AT549" s="87"/>
      <c r="AU549" s="87"/>
      <c r="AV549" s="87"/>
      <c r="AW549" s="87"/>
      <c r="AX549" s="87"/>
    </row>
    <row r="550">
      <c r="A550" s="9"/>
      <c r="B550" s="87"/>
      <c r="C550" s="87"/>
      <c r="D550" s="87"/>
      <c r="E550" s="9"/>
      <c r="F550" s="87"/>
      <c r="G550" s="87"/>
      <c r="H550" s="87"/>
      <c r="I550" s="9"/>
      <c r="J550" s="87"/>
      <c r="K550" s="87"/>
      <c r="L550" s="87"/>
      <c r="M550" s="9"/>
      <c r="N550" s="87"/>
      <c r="O550" s="87"/>
      <c r="P550" s="87"/>
      <c r="Q550" s="9"/>
      <c r="R550" s="87"/>
      <c r="S550" s="87"/>
      <c r="T550" s="87"/>
      <c r="U550" s="9"/>
      <c r="V550" s="87"/>
      <c r="W550" s="87"/>
      <c r="X550" s="87"/>
      <c r="Y550" s="87"/>
      <c r="Z550" s="87"/>
      <c r="AA550" s="87"/>
      <c r="AB550" s="87"/>
      <c r="AC550" s="243"/>
      <c r="AD550" s="234"/>
      <c r="AE550" s="234"/>
      <c r="AF550" s="234"/>
      <c r="AG550" s="9"/>
      <c r="AH550" s="87"/>
      <c r="AI550" s="87"/>
      <c r="AJ550" s="87"/>
      <c r="AK550" s="244"/>
      <c r="AL550" s="245"/>
      <c r="AM550" s="244"/>
      <c r="AN550" s="244"/>
      <c r="AO550" s="87"/>
      <c r="AP550" s="87"/>
      <c r="AQ550" s="87"/>
      <c r="AR550" s="87"/>
      <c r="AS550" s="87"/>
      <c r="AT550" s="87"/>
      <c r="AU550" s="87"/>
      <c r="AV550" s="87"/>
      <c r="AW550" s="87"/>
      <c r="AX550" s="87"/>
    </row>
    <row r="551">
      <c r="A551" s="9"/>
      <c r="B551" s="87"/>
      <c r="C551" s="87"/>
      <c r="D551" s="87"/>
      <c r="E551" s="9"/>
      <c r="F551" s="87"/>
      <c r="G551" s="87"/>
      <c r="H551" s="87"/>
      <c r="I551" s="9"/>
      <c r="J551" s="87"/>
      <c r="K551" s="87"/>
      <c r="L551" s="87"/>
      <c r="M551" s="9"/>
      <c r="N551" s="87"/>
      <c r="O551" s="87"/>
      <c r="P551" s="87"/>
      <c r="Q551" s="9"/>
      <c r="R551" s="87"/>
      <c r="S551" s="87"/>
      <c r="T551" s="87"/>
      <c r="U551" s="9"/>
      <c r="V551" s="87"/>
      <c r="W551" s="87"/>
      <c r="X551" s="87"/>
      <c r="Y551" s="87"/>
      <c r="Z551" s="87"/>
      <c r="AA551" s="87"/>
      <c r="AB551" s="87"/>
      <c r="AC551" s="243"/>
      <c r="AD551" s="234"/>
      <c r="AE551" s="234"/>
      <c r="AF551" s="234"/>
      <c r="AG551" s="9"/>
      <c r="AH551" s="87"/>
      <c r="AI551" s="87"/>
      <c r="AJ551" s="87"/>
      <c r="AK551" s="244"/>
      <c r="AL551" s="245"/>
      <c r="AM551" s="244"/>
      <c r="AN551" s="244"/>
      <c r="AO551" s="87"/>
      <c r="AP551" s="87"/>
      <c r="AQ551" s="87"/>
      <c r="AR551" s="87"/>
      <c r="AS551" s="87"/>
      <c r="AT551" s="87"/>
      <c r="AU551" s="87"/>
      <c r="AV551" s="87"/>
      <c r="AW551" s="87"/>
      <c r="AX551" s="87"/>
    </row>
    <row r="552">
      <c r="A552" s="9"/>
      <c r="B552" s="87"/>
      <c r="C552" s="87"/>
      <c r="D552" s="87"/>
      <c r="E552" s="9"/>
      <c r="F552" s="87"/>
      <c r="G552" s="87"/>
      <c r="H552" s="87"/>
      <c r="I552" s="9"/>
      <c r="J552" s="87"/>
      <c r="K552" s="87"/>
      <c r="L552" s="87"/>
      <c r="M552" s="9"/>
      <c r="N552" s="87"/>
      <c r="O552" s="87"/>
      <c r="P552" s="87"/>
      <c r="Q552" s="9"/>
      <c r="R552" s="87"/>
      <c r="S552" s="87"/>
      <c r="T552" s="87"/>
      <c r="U552" s="9"/>
      <c r="V552" s="87"/>
      <c r="W552" s="87"/>
      <c r="X552" s="87"/>
      <c r="Y552" s="87"/>
      <c r="Z552" s="87"/>
      <c r="AA552" s="87"/>
      <c r="AB552" s="87"/>
      <c r="AC552" s="243"/>
      <c r="AD552" s="234"/>
      <c r="AE552" s="234"/>
      <c r="AF552" s="234"/>
      <c r="AG552" s="9"/>
      <c r="AH552" s="87"/>
      <c r="AI552" s="87"/>
      <c r="AJ552" s="87"/>
      <c r="AK552" s="244"/>
      <c r="AL552" s="245"/>
      <c r="AM552" s="244"/>
      <c r="AN552" s="244"/>
      <c r="AO552" s="87"/>
      <c r="AP552" s="87"/>
      <c r="AQ552" s="87"/>
      <c r="AR552" s="87"/>
      <c r="AS552" s="87"/>
      <c r="AT552" s="87"/>
      <c r="AU552" s="87"/>
      <c r="AV552" s="87"/>
      <c r="AW552" s="87"/>
      <c r="AX552" s="87"/>
    </row>
    <row r="553">
      <c r="A553" s="9"/>
      <c r="B553" s="87"/>
      <c r="C553" s="87"/>
      <c r="D553" s="87"/>
      <c r="E553" s="9"/>
      <c r="F553" s="87"/>
      <c r="G553" s="87"/>
      <c r="H553" s="87"/>
      <c r="I553" s="9"/>
      <c r="J553" s="87"/>
      <c r="K553" s="87"/>
      <c r="L553" s="87"/>
      <c r="M553" s="9"/>
      <c r="N553" s="87"/>
      <c r="O553" s="87"/>
      <c r="P553" s="87"/>
      <c r="Q553" s="9"/>
      <c r="R553" s="87"/>
      <c r="S553" s="87"/>
      <c r="T553" s="87"/>
      <c r="U553" s="9"/>
      <c r="V553" s="87"/>
      <c r="W553" s="87"/>
      <c r="X553" s="87"/>
      <c r="Y553" s="87"/>
      <c r="Z553" s="87"/>
      <c r="AA553" s="87"/>
      <c r="AB553" s="87"/>
      <c r="AC553" s="243"/>
      <c r="AD553" s="234"/>
      <c r="AE553" s="234"/>
      <c r="AF553" s="234"/>
      <c r="AG553" s="9"/>
      <c r="AH553" s="87"/>
      <c r="AI553" s="87"/>
      <c r="AJ553" s="87"/>
      <c r="AK553" s="244"/>
      <c r="AL553" s="245"/>
      <c r="AM553" s="244"/>
      <c r="AN553" s="244"/>
      <c r="AO553" s="87"/>
      <c r="AP553" s="87"/>
      <c r="AQ553" s="87"/>
      <c r="AR553" s="87"/>
      <c r="AS553" s="87"/>
      <c r="AT553" s="87"/>
      <c r="AU553" s="87"/>
      <c r="AV553" s="87"/>
      <c r="AW553" s="87"/>
      <c r="AX553" s="87"/>
    </row>
    <row r="554">
      <c r="A554" s="9"/>
      <c r="B554" s="87"/>
      <c r="C554" s="87"/>
      <c r="D554" s="87"/>
      <c r="E554" s="9"/>
      <c r="F554" s="87"/>
      <c r="G554" s="87"/>
      <c r="H554" s="87"/>
      <c r="I554" s="9"/>
      <c r="J554" s="87"/>
      <c r="K554" s="87"/>
      <c r="L554" s="87"/>
      <c r="M554" s="9"/>
      <c r="N554" s="87"/>
      <c r="O554" s="87"/>
      <c r="P554" s="87"/>
      <c r="Q554" s="9"/>
      <c r="R554" s="87"/>
      <c r="S554" s="87"/>
      <c r="T554" s="87"/>
      <c r="U554" s="9"/>
      <c r="V554" s="87"/>
      <c r="W554" s="87"/>
      <c r="X554" s="87"/>
      <c r="Y554" s="87"/>
      <c r="Z554" s="87"/>
      <c r="AA554" s="87"/>
      <c r="AB554" s="87"/>
      <c r="AC554" s="243"/>
      <c r="AD554" s="234"/>
      <c r="AE554" s="234"/>
      <c r="AF554" s="234"/>
      <c r="AG554" s="9"/>
      <c r="AH554" s="87"/>
      <c r="AI554" s="87"/>
      <c r="AJ554" s="87"/>
      <c r="AK554" s="244"/>
      <c r="AL554" s="245"/>
      <c r="AM554" s="244"/>
      <c r="AN554" s="244"/>
      <c r="AO554" s="87"/>
      <c r="AP554" s="87"/>
      <c r="AQ554" s="87"/>
      <c r="AR554" s="87"/>
      <c r="AS554" s="87"/>
      <c r="AT554" s="87"/>
      <c r="AU554" s="87"/>
      <c r="AV554" s="87"/>
      <c r="AW554" s="87"/>
      <c r="AX554" s="87"/>
    </row>
    <row r="555">
      <c r="A555" s="9"/>
      <c r="B555" s="87"/>
      <c r="C555" s="87"/>
      <c r="D555" s="87"/>
      <c r="E555" s="9"/>
      <c r="F555" s="87"/>
      <c r="G555" s="87"/>
      <c r="H555" s="87"/>
      <c r="I555" s="9"/>
      <c r="J555" s="87"/>
      <c r="K555" s="87"/>
      <c r="L555" s="87"/>
      <c r="M555" s="9"/>
      <c r="N555" s="87"/>
      <c r="O555" s="87"/>
      <c r="P555" s="87"/>
      <c r="Q555" s="9"/>
      <c r="R555" s="87"/>
      <c r="S555" s="87"/>
      <c r="T555" s="87"/>
      <c r="U555" s="9"/>
      <c r="V555" s="87"/>
      <c r="W555" s="87"/>
      <c r="X555" s="87"/>
      <c r="Y555" s="87"/>
      <c r="Z555" s="87"/>
      <c r="AA555" s="87"/>
      <c r="AB555" s="87"/>
      <c r="AC555" s="243"/>
      <c r="AD555" s="234"/>
      <c r="AE555" s="234"/>
      <c r="AF555" s="234"/>
      <c r="AG555" s="9"/>
      <c r="AH555" s="87"/>
      <c r="AI555" s="87"/>
      <c r="AJ555" s="87"/>
      <c r="AK555" s="244"/>
      <c r="AL555" s="245"/>
      <c r="AM555" s="244"/>
      <c r="AN555" s="244"/>
      <c r="AO555" s="87"/>
      <c r="AP555" s="87"/>
      <c r="AQ555" s="87"/>
      <c r="AR555" s="87"/>
      <c r="AS555" s="87"/>
      <c r="AT555" s="87"/>
      <c r="AU555" s="87"/>
      <c r="AV555" s="87"/>
      <c r="AW555" s="87"/>
      <c r="AX555" s="87"/>
    </row>
    <row r="556">
      <c r="A556" s="9"/>
      <c r="B556" s="87"/>
      <c r="C556" s="87"/>
      <c r="D556" s="87"/>
      <c r="E556" s="9"/>
      <c r="F556" s="87"/>
      <c r="G556" s="87"/>
      <c r="H556" s="87"/>
      <c r="I556" s="9"/>
      <c r="J556" s="87"/>
      <c r="K556" s="87"/>
      <c r="L556" s="87"/>
      <c r="M556" s="9"/>
      <c r="N556" s="87"/>
      <c r="O556" s="87"/>
      <c r="P556" s="87"/>
      <c r="Q556" s="9"/>
      <c r="R556" s="87"/>
      <c r="S556" s="87"/>
      <c r="T556" s="87"/>
      <c r="U556" s="9"/>
      <c r="V556" s="87"/>
      <c r="W556" s="87"/>
      <c r="X556" s="87"/>
      <c r="Y556" s="87"/>
      <c r="Z556" s="87"/>
      <c r="AA556" s="87"/>
      <c r="AB556" s="87"/>
      <c r="AC556" s="243"/>
      <c r="AD556" s="234"/>
      <c r="AE556" s="234"/>
      <c r="AF556" s="234"/>
      <c r="AG556" s="9"/>
      <c r="AH556" s="87"/>
      <c r="AI556" s="87"/>
      <c r="AJ556" s="87"/>
      <c r="AK556" s="244"/>
      <c r="AL556" s="245"/>
      <c r="AM556" s="244"/>
      <c r="AN556" s="244"/>
      <c r="AO556" s="87"/>
      <c r="AP556" s="87"/>
      <c r="AQ556" s="87"/>
      <c r="AR556" s="87"/>
      <c r="AS556" s="87"/>
      <c r="AT556" s="87"/>
      <c r="AU556" s="87"/>
      <c r="AV556" s="87"/>
      <c r="AW556" s="87"/>
      <c r="AX556" s="87"/>
    </row>
    <row r="557">
      <c r="A557" s="9"/>
      <c r="B557" s="87"/>
      <c r="C557" s="87"/>
      <c r="D557" s="87"/>
      <c r="E557" s="9"/>
      <c r="F557" s="87"/>
      <c r="G557" s="87"/>
      <c r="H557" s="87"/>
      <c r="I557" s="9"/>
      <c r="J557" s="87"/>
      <c r="K557" s="87"/>
      <c r="L557" s="87"/>
      <c r="M557" s="9"/>
      <c r="N557" s="87"/>
      <c r="O557" s="87"/>
      <c r="P557" s="87"/>
      <c r="Q557" s="9"/>
      <c r="R557" s="87"/>
      <c r="S557" s="87"/>
      <c r="T557" s="87"/>
      <c r="U557" s="9"/>
      <c r="V557" s="87"/>
      <c r="W557" s="87"/>
      <c r="X557" s="87"/>
      <c r="Y557" s="87"/>
      <c r="Z557" s="87"/>
      <c r="AA557" s="87"/>
      <c r="AB557" s="87"/>
      <c r="AC557" s="243"/>
      <c r="AD557" s="234"/>
      <c r="AE557" s="234"/>
      <c r="AF557" s="234"/>
      <c r="AG557" s="9"/>
      <c r="AH557" s="87"/>
      <c r="AI557" s="87"/>
      <c r="AJ557" s="87"/>
      <c r="AK557" s="244"/>
      <c r="AL557" s="245"/>
      <c r="AM557" s="244"/>
      <c r="AN557" s="244"/>
      <c r="AO557" s="87"/>
      <c r="AP557" s="87"/>
      <c r="AQ557" s="87"/>
      <c r="AR557" s="87"/>
      <c r="AS557" s="87"/>
      <c r="AT557" s="87"/>
      <c r="AU557" s="87"/>
      <c r="AV557" s="87"/>
      <c r="AW557" s="87"/>
      <c r="AX557" s="87"/>
    </row>
    <row r="558">
      <c r="A558" s="9"/>
      <c r="B558" s="87"/>
      <c r="C558" s="87"/>
      <c r="D558" s="87"/>
      <c r="E558" s="9"/>
      <c r="F558" s="87"/>
      <c r="G558" s="87"/>
      <c r="H558" s="87"/>
      <c r="I558" s="9"/>
      <c r="J558" s="87"/>
      <c r="K558" s="87"/>
      <c r="L558" s="87"/>
      <c r="M558" s="9"/>
      <c r="N558" s="87"/>
      <c r="O558" s="87"/>
      <c r="P558" s="87"/>
      <c r="Q558" s="9"/>
      <c r="R558" s="87"/>
      <c r="S558" s="87"/>
      <c r="T558" s="87"/>
      <c r="U558" s="9"/>
      <c r="V558" s="87"/>
      <c r="W558" s="87"/>
      <c r="X558" s="87"/>
      <c r="Y558" s="87"/>
      <c r="Z558" s="87"/>
      <c r="AA558" s="87"/>
      <c r="AB558" s="87"/>
      <c r="AC558" s="243"/>
      <c r="AD558" s="234"/>
      <c r="AE558" s="234"/>
      <c r="AF558" s="234"/>
      <c r="AG558" s="9"/>
      <c r="AH558" s="87"/>
      <c r="AI558" s="87"/>
      <c r="AJ558" s="87"/>
      <c r="AK558" s="244"/>
      <c r="AL558" s="245"/>
      <c r="AM558" s="244"/>
      <c r="AN558" s="244"/>
      <c r="AO558" s="87"/>
      <c r="AP558" s="87"/>
      <c r="AQ558" s="87"/>
      <c r="AR558" s="87"/>
      <c r="AS558" s="87"/>
      <c r="AT558" s="87"/>
      <c r="AU558" s="87"/>
      <c r="AV558" s="87"/>
      <c r="AW558" s="87"/>
      <c r="AX558" s="87"/>
    </row>
    <row r="559">
      <c r="A559" s="9"/>
      <c r="B559" s="87"/>
      <c r="C559" s="87"/>
      <c r="D559" s="87"/>
      <c r="E559" s="9"/>
      <c r="F559" s="87"/>
      <c r="G559" s="87"/>
      <c r="H559" s="87"/>
      <c r="I559" s="9"/>
      <c r="J559" s="87"/>
      <c r="K559" s="87"/>
      <c r="L559" s="87"/>
      <c r="M559" s="9"/>
      <c r="N559" s="87"/>
      <c r="O559" s="87"/>
      <c r="P559" s="87"/>
      <c r="Q559" s="9"/>
      <c r="R559" s="87"/>
      <c r="S559" s="87"/>
      <c r="T559" s="87"/>
      <c r="U559" s="9"/>
      <c r="V559" s="87"/>
      <c r="W559" s="87"/>
      <c r="X559" s="87"/>
      <c r="Y559" s="87"/>
      <c r="Z559" s="87"/>
      <c r="AA559" s="87"/>
      <c r="AB559" s="87"/>
      <c r="AC559" s="243"/>
      <c r="AD559" s="234"/>
      <c r="AE559" s="234"/>
      <c r="AF559" s="234"/>
      <c r="AG559" s="9"/>
      <c r="AH559" s="87"/>
      <c r="AI559" s="87"/>
      <c r="AJ559" s="87"/>
      <c r="AK559" s="244"/>
      <c r="AL559" s="245"/>
      <c r="AM559" s="244"/>
      <c r="AN559" s="244"/>
      <c r="AO559" s="87"/>
      <c r="AP559" s="87"/>
      <c r="AQ559" s="87"/>
      <c r="AR559" s="87"/>
      <c r="AS559" s="87"/>
      <c r="AT559" s="87"/>
      <c r="AU559" s="87"/>
      <c r="AV559" s="87"/>
      <c r="AW559" s="87"/>
      <c r="AX559" s="87"/>
    </row>
    <row r="560">
      <c r="A560" s="9"/>
      <c r="B560" s="87"/>
      <c r="C560" s="87"/>
      <c r="D560" s="87"/>
      <c r="E560" s="9"/>
      <c r="F560" s="87"/>
      <c r="G560" s="87"/>
      <c r="H560" s="87"/>
      <c r="I560" s="9"/>
      <c r="J560" s="87"/>
      <c r="K560" s="87"/>
      <c r="L560" s="87"/>
      <c r="M560" s="9"/>
      <c r="N560" s="87"/>
      <c r="O560" s="87"/>
      <c r="P560" s="87"/>
      <c r="Q560" s="9"/>
      <c r="R560" s="87"/>
      <c r="S560" s="87"/>
      <c r="T560" s="87"/>
      <c r="U560" s="9"/>
      <c r="V560" s="87"/>
      <c r="W560" s="87"/>
      <c r="X560" s="87"/>
      <c r="Y560" s="87"/>
      <c r="Z560" s="87"/>
      <c r="AA560" s="87"/>
      <c r="AB560" s="87"/>
      <c r="AC560" s="243"/>
      <c r="AD560" s="234"/>
      <c r="AE560" s="234"/>
      <c r="AF560" s="234"/>
      <c r="AG560" s="9"/>
      <c r="AH560" s="87"/>
      <c r="AI560" s="87"/>
      <c r="AJ560" s="87"/>
      <c r="AK560" s="244"/>
      <c r="AL560" s="245"/>
      <c r="AM560" s="244"/>
      <c r="AN560" s="244"/>
      <c r="AO560" s="87"/>
      <c r="AP560" s="87"/>
      <c r="AQ560" s="87"/>
      <c r="AR560" s="87"/>
      <c r="AS560" s="87"/>
      <c r="AT560" s="87"/>
      <c r="AU560" s="87"/>
      <c r="AV560" s="87"/>
      <c r="AW560" s="87"/>
      <c r="AX560" s="87"/>
    </row>
    <row r="561">
      <c r="A561" s="9"/>
      <c r="B561" s="87"/>
      <c r="C561" s="87"/>
      <c r="D561" s="87"/>
      <c r="E561" s="9"/>
      <c r="F561" s="87"/>
      <c r="G561" s="87"/>
      <c r="H561" s="87"/>
      <c r="I561" s="9"/>
      <c r="J561" s="87"/>
      <c r="K561" s="87"/>
      <c r="L561" s="87"/>
      <c r="M561" s="9"/>
      <c r="N561" s="87"/>
      <c r="O561" s="87"/>
      <c r="P561" s="87"/>
      <c r="Q561" s="9"/>
      <c r="R561" s="87"/>
      <c r="S561" s="87"/>
      <c r="T561" s="87"/>
      <c r="U561" s="9"/>
      <c r="V561" s="87"/>
      <c r="W561" s="87"/>
      <c r="X561" s="87"/>
      <c r="Y561" s="87"/>
      <c r="Z561" s="87"/>
      <c r="AA561" s="87"/>
      <c r="AB561" s="87"/>
      <c r="AC561" s="243"/>
      <c r="AD561" s="234"/>
      <c r="AE561" s="234"/>
      <c r="AF561" s="234"/>
      <c r="AG561" s="9"/>
      <c r="AH561" s="87"/>
      <c r="AI561" s="87"/>
      <c r="AJ561" s="87"/>
      <c r="AK561" s="244"/>
      <c r="AL561" s="245"/>
      <c r="AM561" s="244"/>
      <c r="AN561" s="244"/>
      <c r="AO561" s="87"/>
      <c r="AP561" s="87"/>
      <c r="AQ561" s="87"/>
      <c r="AR561" s="87"/>
      <c r="AS561" s="87"/>
      <c r="AT561" s="87"/>
      <c r="AU561" s="87"/>
      <c r="AV561" s="87"/>
      <c r="AW561" s="87"/>
      <c r="AX561" s="87"/>
    </row>
    <row r="562">
      <c r="A562" s="9"/>
      <c r="B562" s="87"/>
      <c r="C562" s="87"/>
      <c r="D562" s="87"/>
      <c r="E562" s="9"/>
      <c r="F562" s="87"/>
      <c r="G562" s="87"/>
      <c r="H562" s="87"/>
      <c r="I562" s="9"/>
      <c r="J562" s="87"/>
      <c r="K562" s="87"/>
      <c r="L562" s="87"/>
      <c r="M562" s="9"/>
      <c r="N562" s="87"/>
      <c r="O562" s="87"/>
      <c r="P562" s="87"/>
      <c r="Q562" s="9"/>
      <c r="R562" s="87"/>
      <c r="S562" s="87"/>
      <c r="T562" s="87"/>
      <c r="U562" s="9"/>
      <c r="V562" s="87"/>
      <c r="W562" s="87"/>
      <c r="X562" s="87"/>
      <c r="Y562" s="87"/>
      <c r="Z562" s="87"/>
      <c r="AA562" s="87"/>
      <c r="AB562" s="87"/>
      <c r="AC562" s="243"/>
      <c r="AD562" s="234"/>
      <c r="AE562" s="234"/>
      <c r="AF562" s="234"/>
      <c r="AG562" s="9"/>
      <c r="AH562" s="87"/>
      <c r="AI562" s="87"/>
      <c r="AJ562" s="87"/>
      <c r="AK562" s="244"/>
      <c r="AL562" s="245"/>
      <c r="AM562" s="244"/>
      <c r="AN562" s="244"/>
      <c r="AO562" s="87"/>
      <c r="AP562" s="87"/>
      <c r="AQ562" s="87"/>
      <c r="AR562" s="87"/>
      <c r="AS562" s="87"/>
      <c r="AT562" s="87"/>
      <c r="AU562" s="87"/>
      <c r="AV562" s="87"/>
      <c r="AW562" s="87"/>
      <c r="AX562" s="87"/>
    </row>
    <row r="563">
      <c r="A563" s="9"/>
      <c r="B563" s="87"/>
      <c r="C563" s="87"/>
      <c r="D563" s="87"/>
      <c r="E563" s="9"/>
      <c r="F563" s="87"/>
      <c r="G563" s="87"/>
      <c r="H563" s="87"/>
      <c r="I563" s="9"/>
      <c r="J563" s="87"/>
      <c r="K563" s="87"/>
      <c r="L563" s="87"/>
      <c r="M563" s="9"/>
      <c r="N563" s="87"/>
      <c r="O563" s="87"/>
      <c r="P563" s="87"/>
      <c r="Q563" s="9"/>
      <c r="R563" s="87"/>
      <c r="S563" s="87"/>
      <c r="T563" s="87"/>
      <c r="U563" s="9"/>
      <c r="V563" s="87"/>
      <c r="W563" s="87"/>
      <c r="X563" s="87"/>
      <c r="Y563" s="87"/>
      <c r="Z563" s="87"/>
      <c r="AA563" s="87"/>
      <c r="AB563" s="87"/>
      <c r="AC563" s="243"/>
      <c r="AD563" s="234"/>
      <c r="AE563" s="234"/>
      <c r="AF563" s="234"/>
      <c r="AG563" s="9"/>
      <c r="AH563" s="87"/>
      <c r="AI563" s="87"/>
      <c r="AJ563" s="87"/>
      <c r="AK563" s="244"/>
      <c r="AL563" s="245"/>
      <c r="AM563" s="244"/>
      <c r="AN563" s="244"/>
      <c r="AO563" s="87"/>
      <c r="AP563" s="87"/>
      <c r="AQ563" s="87"/>
      <c r="AR563" s="87"/>
      <c r="AS563" s="87"/>
      <c r="AT563" s="87"/>
      <c r="AU563" s="87"/>
      <c r="AV563" s="87"/>
      <c r="AW563" s="87"/>
      <c r="AX563" s="87"/>
    </row>
    <row r="564">
      <c r="A564" s="9"/>
      <c r="B564" s="87"/>
      <c r="C564" s="87"/>
      <c r="D564" s="87"/>
      <c r="E564" s="9"/>
      <c r="F564" s="87"/>
      <c r="G564" s="87"/>
      <c r="H564" s="87"/>
      <c r="I564" s="9"/>
      <c r="J564" s="87"/>
      <c r="K564" s="87"/>
      <c r="L564" s="87"/>
      <c r="M564" s="9"/>
      <c r="N564" s="87"/>
      <c r="O564" s="87"/>
      <c r="P564" s="87"/>
      <c r="Q564" s="9"/>
      <c r="R564" s="87"/>
      <c r="S564" s="87"/>
      <c r="T564" s="87"/>
      <c r="U564" s="9"/>
      <c r="V564" s="87"/>
      <c r="W564" s="87"/>
      <c r="X564" s="87"/>
      <c r="Y564" s="87"/>
      <c r="Z564" s="87"/>
      <c r="AA564" s="87"/>
      <c r="AB564" s="87"/>
      <c r="AC564" s="243"/>
      <c r="AD564" s="234"/>
      <c r="AE564" s="234"/>
      <c r="AF564" s="234"/>
      <c r="AG564" s="9"/>
      <c r="AH564" s="87"/>
      <c r="AI564" s="87"/>
      <c r="AJ564" s="87"/>
      <c r="AK564" s="244"/>
      <c r="AL564" s="245"/>
      <c r="AM564" s="244"/>
      <c r="AN564" s="244"/>
      <c r="AO564" s="87"/>
      <c r="AP564" s="87"/>
      <c r="AQ564" s="87"/>
      <c r="AR564" s="87"/>
      <c r="AS564" s="87"/>
      <c r="AT564" s="87"/>
      <c r="AU564" s="87"/>
      <c r="AV564" s="87"/>
      <c r="AW564" s="87"/>
      <c r="AX564" s="87"/>
    </row>
    <row r="565">
      <c r="A565" s="9"/>
      <c r="B565" s="87"/>
      <c r="C565" s="87"/>
      <c r="D565" s="87"/>
      <c r="E565" s="9"/>
      <c r="F565" s="87"/>
      <c r="G565" s="87"/>
      <c r="H565" s="87"/>
      <c r="I565" s="9"/>
      <c r="J565" s="87"/>
      <c r="K565" s="87"/>
      <c r="L565" s="87"/>
      <c r="M565" s="9"/>
      <c r="N565" s="87"/>
      <c r="O565" s="87"/>
      <c r="P565" s="87"/>
      <c r="Q565" s="9"/>
      <c r="R565" s="87"/>
      <c r="S565" s="87"/>
      <c r="T565" s="87"/>
      <c r="U565" s="9"/>
      <c r="V565" s="87"/>
      <c r="W565" s="87"/>
      <c r="X565" s="87"/>
      <c r="Y565" s="87"/>
      <c r="Z565" s="87"/>
      <c r="AA565" s="87"/>
      <c r="AB565" s="87"/>
      <c r="AC565" s="243"/>
      <c r="AD565" s="234"/>
      <c r="AE565" s="234"/>
      <c r="AF565" s="234"/>
      <c r="AG565" s="9"/>
      <c r="AH565" s="87"/>
      <c r="AI565" s="87"/>
      <c r="AJ565" s="87"/>
      <c r="AK565" s="244"/>
      <c r="AL565" s="245"/>
      <c r="AM565" s="244"/>
      <c r="AN565" s="244"/>
      <c r="AO565" s="87"/>
      <c r="AP565" s="87"/>
      <c r="AQ565" s="87"/>
      <c r="AR565" s="87"/>
      <c r="AS565" s="87"/>
      <c r="AT565" s="87"/>
      <c r="AU565" s="87"/>
      <c r="AV565" s="87"/>
      <c r="AW565" s="87"/>
      <c r="AX565" s="87"/>
    </row>
    <row r="566">
      <c r="A566" s="9"/>
      <c r="B566" s="87"/>
      <c r="C566" s="87"/>
      <c r="D566" s="87"/>
      <c r="E566" s="9"/>
      <c r="F566" s="87"/>
      <c r="G566" s="87"/>
      <c r="H566" s="87"/>
      <c r="I566" s="9"/>
      <c r="J566" s="87"/>
      <c r="K566" s="87"/>
      <c r="L566" s="87"/>
      <c r="M566" s="9"/>
      <c r="N566" s="87"/>
      <c r="O566" s="87"/>
      <c r="P566" s="87"/>
      <c r="Q566" s="9"/>
      <c r="R566" s="87"/>
      <c r="S566" s="87"/>
      <c r="T566" s="87"/>
      <c r="U566" s="9"/>
      <c r="V566" s="87"/>
      <c r="W566" s="87"/>
      <c r="X566" s="87"/>
      <c r="Y566" s="87"/>
      <c r="Z566" s="87"/>
      <c r="AA566" s="87"/>
      <c r="AB566" s="87"/>
      <c r="AC566" s="243"/>
      <c r="AD566" s="234"/>
      <c r="AE566" s="234"/>
      <c r="AF566" s="234"/>
      <c r="AG566" s="9"/>
      <c r="AH566" s="87"/>
      <c r="AI566" s="87"/>
      <c r="AJ566" s="87"/>
      <c r="AK566" s="244"/>
      <c r="AL566" s="245"/>
      <c r="AM566" s="244"/>
      <c r="AN566" s="244"/>
      <c r="AO566" s="87"/>
      <c r="AP566" s="87"/>
      <c r="AQ566" s="87"/>
      <c r="AR566" s="87"/>
      <c r="AS566" s="87"/>
      <c r="AT566" s="87"/>
      <c r="AU566" s="87"/>
      <c r="AV566" s="87"/>
      <c r="AW566" s="87"/>
      <c r="AX566" s="87"/>
    </row>
    <row r="567">
      <c r="A567" s="9"/>
      <c r="B567" s="87"/>
      <c r="C567" s="87"/>
      <c r="D567" s="87"/>
      <c r="E567" s="9"/>
      <c r="F567" s="87"/>
      <c r="G567" s="87"/>
      <c r="H567" s="87"/>
      <c r="I567" s="9"/>
      <c r="J567" s="87"/>
      <c r="K567" s="87"/>
      <c r="L567" s="87"/>
      <c r="M567" s="9"/>
      <c r="N567" s="87"/>
      <c r="O567" s="87"/>
      <c r="P567" s="87"/>
      <c r="Q567" s="9"/>
      <c r="R567" s="87"/>
      <c r="S567" s="87"/>
      <c r="T567" s="87"/>
      <c r="U567" s="9"/>
      <c r="V567" s="87"/>
      <c r="W567" s="87"/>
      <c r="X567" s="87"/>
      <c r="Y567" s="87"/>
      <c r="Z567" s="87"/>
      <c r="AA567" s="87"/>
      <c r="AB567" s="87"/>
      <c r="AC567" s="243"/>
      <c r="AD567" s="234"/>
      <c r="AE567" s="234"/>
      <c r="AF567" s="234"/>
      <c r="AG567" s="9"/>
      <c r="AH567" s="87"/>
      <c r="AI567" s="87"/>
      <c r="AJ567" s="87"/>
      <c r="AK567" s="244"/>
      <c r="AL567" s="245"/>
      <c r="AM567" s="244"/>
      <c r="AN567" s="244"/>
      <c r="AO567" s="87"/>
      <c r="AP567" s="87"/>
      <c r="AQ567" s="87"/>
      <c r="AR567" s="87"/>
      <c r="AS567" s="87"/>
      <c r="AT567" s="87"/>
      <c r="AU567" s="87"/>
      <c r="AV567" s="87"/>
      <c r="AW567" s="87"/>
      <c r="AX567" s="87"/>
    </row>
    <row r="568">
      <c r="A568" s="9"/>
      <c r="B568" s="87"/>
      <c r="C568" s="87"/>
      <c r="D568" s="87"/>
      <c r="E568" s="9"/>
      <c r="F568" s="87"/>
      <c r="G568" s="87"/>
      <c r="H568" s="87"/>
      <c r="I568" s="9"/>
      <c r="J568" s="87"/>
      <c r="K568" s="87"/>
      <c r="L568" s="87"/>
      <c r="M568" s="9"/>
      <c r="N568" s="87"/>
      <c r="O568" s="87"/>
      <c r="P568" s="87"/>
      <c r="Q568" s="9"/>
      <c r="R568" s="87"/>
      <c r="S568" s="87"/>
      <c r="T568" s="87"/>
      <c r="U568" s="9"/>
      <c r="V568" s="87"/>
      <c r="W568" s="87"/>
      <c r="X568" s="87"/>
      <c r="Y568" s="87"/>
      <c r="Z568" s="87"/>
      <c r="AA568" s="87"/>
      <c r="AB568" s="87"/>
      <c r="AC568" s="243"/>
      <c r="AD568" s="234"/>
      <c r="AE568" s="234"/>
      <c r="AF568" s="234"/>
      <c r="AG568" s="9"/>
      <c r="AH568" s="87"/>
      <c r="AI568" s="87"/>
      <c r="AJ568" s="87"/>
      <c r="AK568" s="244"/>
      <c r="AL568" s="245"/>
      <c r="AM568" s="244"/>
      <c r="AN568" s="244"/>
      <c r="AO568" s="87"/>
      <c r="AP568" s="87"/>
      <c r="AQ568" s="87"/>
      <c r="AR568" s="87"/>
      <c r="AS568" s="87"/>
      <c r="AT568" s="87"/>
      <c r="AU568" s="87"/>
      <c r="AV568" s="87"/>
      <c r="AW568" s="87"/>
      <c r="AX568" s="87"/>
    </row>
    <row r="569">
      <c r="A569" s="9"/>
      <c r="B569" s="87"/>
      <c r="C569" s="87"/>
      <c r="D569" s="87"/>
      <c r="E569" s="9"/>
      <c r="F569" s="87"/>
      <c r="G569" s="87"/>
      <c r="H569" s="87"/>
      <c r="I569" s="9"/>
      <c r="J569" s="87"/>
      <c r="K569" s="87"/>
      <c r="L569" s="87"/>
      <c r="M569" s="9"/>
      <c r="N569" s="87"/>
      <c r="O569" s="87"/>
      <c r="P569" s="87"/>
      <c r="Q569" s="9"/>
      <c r="R569" s="87"/>
      <c r="S569" s="87"/>
      <c r="T569" s="87"/>
      <c r="U569" s="9"/>
      <c r="V569" s="87"/>
      <c r="W569" s="87"/>
      <c r="X569" s="87"/>
      <c r="Y569" s="87"/>
      <c r="Z569" s="87"/>
      <c r="AA569" s="87"/>
      <c r="AB569" s="87"/>
      <c r="AC569" s="243"/>
      <c r="AD569" s="234"/>
      <c r="AE569" s="234"/>
      <c r="AF569" s="234"/>
      <c r="AG569" s="9"/>
      <c r="AH569" s="87"/>
      <c r="AI569" s="87"/>
      <c r="AJ569" s="87"/>
      <c r="AK569" s="244"/>
      <c r="AL569" s="245"/>
      <c r="AM569" s="244"/>
      <c r="AN569" s="244"/>
      <c r="AO569" s="87"/>
      <c r="AP569" s="87"/>
      <c r="AQ569" s="87"/>
      <c r="AR569" s="87"/>
      <c r="AS569" s="87"/>
      <c r="AT569" s="87"/>
      <c r="AU569" s="87"/>
      <c r="AV569" s="87"/>
      <c r="AW569" s="87"/>
      <c r="AX569" s="87"/>
    </row>
    <row r="570">
      <c r="A570" s="9"/>
      <c r="B570" s="87"/>
      <c r="C570" s="87"/>
      <c r="D570" s="87"/>
      <c r="E570" s="9"/>
      <c r="F570" s="87"/>
      <c r="G570" s="87"/>
      <c r="H570" s="87"/>
      <c r="I570" s="9"/>
      <c r="J570" s="87"/>
      <c r="K570" s="87"/>
      <c r="L570" s="87"/>
      <c r="M570" s="9"/>
      <c r="N570" s="87"/>
      <c r="O570" s="87"/>
      <c r="P570" s="87"/>
      <c r="Q570" s="9"/>
      <c r="R570" s="87"/>
      <c r="S570" s="87"/>
      <c r="T570" s="87"/>
      <c r="U570" s="9"/>
      <c r="V570" s="87"/>
      <c r="W570" s="87"/>
      <c r="X570" s="87"/>
      <c r="Y570" s="87"/>
      <c r="Z570" s="87"/>
      <c r="AA570" s="87"/>
      <c r="AB570" s="87"/>
      <c r="AC570" s="243"/>
      <c r="AD570" s="234"/>
      <c r="AE570" s="234"/>
      <c r="AF570" s="234"/>
      <c r="AG570" s="9"/>
      <c r="AH570" s="87"/>
      <c r="AI570" s="87"/>
      <c r="AJ570" s="87"/>
      <c r="AK570" s="244"/>
      <c r="AL570" s="245"/>
      <c r="AM570" s="244"/>
      <c r="AN570" s="244"/>
      <c r="AO570" s="87"/>
      <c r="AP570" s="87"/>
      <c r="AQ570" s="87"/>
      <c r="AR570" s="87"/>
      <c r="AS570" s="87"/>
      <c r="AT570" s="87"/>
      <c r="AU570" s="87"/>
      <c r="AV570" s="87"/>
      <c r="AW570" s="87"/>
      <c r="AX570" s="87"/>
    </row>
    <row r="571">
      <c r="A571" s="9"/>
      <c r="B571" s="87"/>
      <c r="C571" s="87"/>
      <c r="D571" s="87"/>
      <c r="E571" s="9"/>
      <c r="F571" s="87"/>
      <c r="G571" s="87"/>
      <c r="H571" s="87"/>
      <c r="I571" s="9"/>
      <c r="J571" s="87"/>
      <c r="K571" s="87"/>
      <c r="L571" s="87"/>
      <c r="M571" s="9"/>
      <c r="N571" s="87"/>
      <c r="O571" s="87"/>
      <c r="P571" s="87"/>
      <c r="Q571" s="9"/>
      <c r="R571" s="87"/>
      <c r="S571" s="87"/>
      <c r="T571" s="87"/>
      <c r="U571" s="9"/>
      <c r="V571" s="87"/>
      <c r="W571" s="87"/>
      <c r="X571" s="87"/>
      <c r="Y571" s="87"/>
      <c r="Z571" s="87"/>
      <c r="AA571" s="87"/>
      <c r="AB571" s="87"/>
      <c r="AC571" s="243"/>
      <c r="AD571" s="234"/>
      <c r="AE571" s="234"/>
      <c r="AF571" s="234"/>
      <c r="AG571" s="9"/>
      <c r="AH571" s="87"/>
      <c r="AI571" s="87"/>
      <c r="AJ571" s="87"/>
      <c r="AK571" s="244"/>
      <c r="AL571" s="245"/>
      <c r="AM571" s="244"/>
      <c r="AN571" s="244"/>
      <c r="AO571" s="87"/>
      <c r="AP571" s="87"/>
      <c r="AQ571" s="87"/>
      <c r="AR571" s="87"/>
      <c r="AS571" s="87"/>
      <c r="AT571" s="87"/>
      <c r="AU571" s="87"/>
      <c r="AV571" s="87"/>
      <c r="AW571" s="87"/>
      <c r="AX571" s="87"/>
    </row>
    <row r="572">
      <c r="A572" s="9"/>
      <c r="B572" s="87"/>
      <c r="C572" s="87"/>
      <c r="D572" s="87"/>
      <c r="E572" s="9"/>
      <c r="F572" s="87"/>
      <c r="G572" s="87"/>
      <c r="H572" s="87"/>
      <c r="I572" s="9"/>
      <c r="J572" s="87"/>
      <c r="K572" s="87"/>
      <c r="L572" s="87"/>
      <c r="M572" s="9"/>
      <c r="N572" s="87"/>
      <c r="O572" s="87"/>
      <c r="P572" s="87"/>
      <c r="Q572" s="9"/>
      <c r="R572" s="87"/>
      <c r="S572" s="87"/>
      <c r="T572" s="87"/>
      <c r="U572" s="9"/>
      <c r="V572" s="87"/>
      <c r="W572" s="87"/>
      <c r="X572" s="87"/>
      <c r="Y572" s="87"/>
      <c r="Z572" s="87"/>
      <c r="AA572" s="87"/>
      <c r="AB572" s="87"/>
      <c r="AC572" s="243"/>
      <c r="AD572" s="234"/>
      <c r="AE572" s="234"/>
      <c r="AF572" s="234"/>
      <c r="AG572" s="9"/>
      <c r="AH572" s="87"/>
      <c r="AI572" s="87"/>
      <c r="AJ572" s="87"/>
      <c r="AK572" s="244"/>
      <c r="AL572" s="245"/>
      <c r="AM572" s="244"/>
      <c r="AN572" s="244"/>
      <c r="AO572" s="87"/>
      <c r="AP572" s="87"/>
      <c r="AQ572" s="87"/>
      <c r="AR572" s="87"/>
      <c r="AS572" s="87"/>
      <c r="AT572" s="87"/>
      <c r="AU572" s="87"/>
      <c r="AV572" s="87"/>
      <c r="AW572" s="87"/>
      <c r="AX572" s="87"/>
    </row>
    <row r="573">
      <c r="A573" s="9"/>
      <c r="B573" s="87"/>
      <c r="C573" s="87"/>
      <c r="D573" s="87"/>
      <c r="E573" s="9"/>
      <c r="F573" s="87"/>
      <c r="G573" s="87"/>
      <c r="H573" s="87"/>
      <c r="I573" s="9"/>
      <c r="J573" s="87"/>
      <c r="K573" s="87"/>
      <c r="L573" s="87"/>
      <c r="M573" s="9"/>
      <c r="N573" s="87"/>
      <c r="O573" s="87"/>
      <c r="P573" s="87"/>
      <c r="Q573" s="9"/>
      <c r="R573" s="87"/>
      <c r="S573" s="87"/>
      <c r="T573" s="87"/>
      <c r="U573" s="9"/>
      <c r="V573" s="87"/>
      <c r="W573" s="87"/>
      <c r="X573" s="87"/>
      <c r="Y573" s="87"/>
      <c r="Z573" s="87"/>
      <c r="AA573" s="87"/>
      <c r="AB573" s="87"/>
      <c r="AC573" s="243"/>
      <c r="AD573" s="234"/>
      <c r="AE573" s="234"/>
      <c r="AF573" s="234"/>
      <c r="AG573" s="9"/>
      <c r="AH573" s="87"/>
      <c r="AI573" s="87"/>
      <c r="AJ573" s="87"/>
      <c r="AK573" s="244"/>
      <c r="AL573" s="245"/>
      <c r="AM573" s="244"/>
      <c r="AN573" s="244"/>
      <c r="AO573" s="87"/>
      <c r="AP573" s="87"/>
      <c r="AQ573" s="87"/>
      <c r="AR573" s="87"/>
      <c r="AS573" s="87"/>
      <c r="AT573" s="87"/>
      <c r="AU573" s="87"/>
      <c r="AV573" s="87"/>
      <c r="AW573" s="87"/>
      <c r="AX573" s="87"/>
    </row>
    <row r="574">
      <c r="A574" s="9"/>
      <c r="B574" s="87"/>
      <c r="C574" s="87"/>
      <c r="D574" s="87"/>
      <c r="E574" s="9"/>
      <c r="F574" s="87"/>
      <c r="G574" s="87"/>
      <c r="H574" s="87"/>
      <c r="I574" s="9"/>
      <c r="J574" s="87"/>
      <c r="K574" s="87"/>
      <c r="L574" s="87"/>
      <c r="M574" s="9"/>
      <c r="N574" s="87"/>
      <c r="O574" s="87"/>
      <c r="P574" s="87"/>
      <c r="Q574" s="9"/>
      <c r="R574" s="87"/>
      <c r="S574" s="87"/>
      <c r="T574" s="87"/>
      <c r="U574" s="9"/>
      <c r="V574" s="87"/>
      <c r="W574" s="87"/>
      <c r="X574" s="87"/>
      <c r="Y574" s="87"/>
      <c r="Z574" s="87"/>
      <c r="AA574" s="87"/>
      <c r="AB574" s="87"/>
      <c r="AC574" s="243"/>
      <c r="AD574" s="234"/>
      <c r="AE574" s="234"/>
      <c r="AF574" s="234"/>
      <c r="AG574" s="9"/>
      <c r="AH574" s="87"/>
      <c r="AI574" s="87"/>
      <c r="AJ574" s="87"/>
      <c r="AK574" s="244"/>
      <c r="AL574" s="245"/>
      <c r="AM574" s="244"/>
      <c r="AN574" s="244"/>
      <c r="AO574" s="87"/>
      <c r="AP574" s="87"/>
      <c r="AQ574" s="87"/>
      <c r="AR574" s="87"/>
      <c r="AS574" s="87"/>
      <c r="AT574" s="87"/>
      <c r="AU574" s="87"/>
      <c r="AV574" s="87"/>
      <c r="AW574" s="87"/>
      <c r="AX574" s="87"/>
    </row>
    <row r="575">
      <c r="A575" s="9"/>
      <c r="B575" s="87"/>
      <c r="C575" s="87"/>
      <c r="D575" s="87"/>
      <c r="E575" s="9"/>
      <c r="F575" s="87"/>
      <c r="G575" s="87"/>
      <c r="H575" s="87"/>
      <c r="I575" s="9"/>
      <c r="J575" s="87"/>
      <c r="K575" s="87"/>
      <c r="L575" s="87"/>
      <c r="M575" s="9"/>
      <c r="N575" s="87"/>
      <c r="O575" s="87"/>
      <c r="P575" s="87"/>
      <c r="Q575" s="9"/>
      <c r="R575" s="87"/>
      <c r="S575" s="87"/>
      <c r="T575" s="87"/>
      <c r="U575" s="9"/>
      <c r="V575" s="87"/>
      <c r="W575" s="87"/>
      <c r="X575" s="87"/>
      <c r="Y575" s="87"/>
      <c r="Z575" s="87"/>
      <c r="AA575" s="87"/>
      <c r="AB575" s="87"/>
      <c r="AC575" s="243"/>
      <c r="AD575" s="234"/>
      <c r="AE575" s="234"/>
      <c r="AF575" s="234"/>
      <c r="AG575" s="9"/>
      <c r="AH575" s="87"/>
      <c r="AI575" s="87"/>
      <c r="AJ575" s="87"/>
      <c r="AK575" s="244"/>
      <c r="AL575" s="245"/>
      <c r="AM575" s="244"/>
      <c r="AN575" s="244"/>
      <c r="AO575" s="87"/>
      <c r="AP575" s="87"/>
      <c r="AQ575" s="87"/>
      <c r="AR575" s="87"/>
      <c r="AS575" s="87"/>
      <c r="AT575" s="87"/>
      <c r="AU575" s="87"/>
      <c r="AV575" s="87"/>
      <c r="AW575" s="87"/>
      <c r="AX575" s="87"/>
    </row>
    <row r="576">
      <c r="A576" s="9"/>
      <c r="B576" s="87"/>
      <c r="C576" s="87"/>
      <c r="D576" s="87"/>
      <c r="E576" s="9"/>
      <c r="F576" s="87"/>
      <c r="G576" s="87"/>
      <c r="H576" s="87"/>
      <c r="I576" s="9"/>
      <c r="J576" s="87"/>
      <c r="K576" s="87"/>
      <c r="L576" s="87"/>
      <c r="M576" s="9"/>
      <c r="N576" s="87"/>
      <c r="O576" s="87"/>
      <c r="P576" s="87"/>
      <c r="Q576" s="9"/>
      <c r="R576" s="87"/>
      <c r="S576" s="87"/>
      <c r="T576" s="87"/>
      <c r="U576" s="9"/>
      <c r="V576" s="87"/>
      <c r="W576" s="87"/>
      <c r="X576" s="87"/>
      <c r="Y576" s="87"/>
      <c r="Z576" s="87"/>
      <c r="AA576" s="87"/>
      <c r="AB576" s="87"/>
      <c r="AC576" s="243"/>
      <c r="AD576" s="234"/>
      <c r="AE576" s="234"/>
      <c r="AF576" s="234"/>
      <c r="AG576" s="9"/>
      <c r="AH576" s="87"/>
      <c r="AI576" s="87"/>
      <c r="AJ576" s="87"/>
      <c r="AK576" s="244"/>
      <c r="AL576" s="245"/>
      <c r="AM576" s="244"/>
      <c r="AN576" s="244"/>
      <c r="AO576" s="87"/>
      <c r="AP576" s="87"/>
      <c r="AQ576" s="87"/>
      <c r="AR576" s="87"/>
      <c r="AS576" s="87"/>
      <c r="AT576" s="87"/>
      <c r="AU576" s="87"/>
      <c r="AV576" s="87"/>
      <c r="AW576" s="87"/>
      <c r="AX576" s="87"/>
    </row>
    <row r="577">
      <c r="A577" s="9"/>
      <c r="B577" s="87"/>
      <c r="C577" s="87"/>
      <c r="D577" s="87"/>
      <c r="E577" s="9"/>
      <c r="F577" s="87"/>
      <c r="G577" s="87"/>
      <c r="H577" s="87"/>
      <c r="I577" s="9"/>
      <c r="J577" s="87"/>
      <c r="K577" s="87"/>
      <c r="L577" s="87"/>
      <c r="M577" s="9"/>
      <c r="N577" s="87"/>
      <c r="O577" s="87"/>
      <c r="P577" s="87"/>
      <c r="Q577" s="9"/>
      <c r="R577" s="87"/>
      <c r="S577" s="87"/>
      <c r="T577" s="87"/>
      <c r="U577" s="9"/>
      <c r="V577" s="87"/>
      <c r="W577" s="87"/>
      <c r="X577" s="87"/>
      <c r="Y577" s="87"/>
      <c r="Z577" s="87"/>
      <c r="AA577" s="87"/>
      <c r="AB577" s="87"/>
      <c r="AC577" s="243"/>
      <c r="AD577" s="234"/>
      <c r="AE577" s="234"/>
      <c r="AF577" s="234"/>
      <c r="AG577" s="9"/>
      <c r="AH577" s="87"/>
      <c r="AI577" s="87"/>
      <c r="AJ577" s="87"/>
      <c r="AK577" s="244"/>
      <c r="AL577" s="245"/>
      <c r="AM577" s="244"/>
      <c r="AN577" s="244"/>
      <c r="AO577" s="87"/>
      <c r="AP577" s="87"/>
      <c r="AQ577" s="87"/>
      <c r="AR577" s="87"/>
      <c r="AS577" s="87"/>
      <c r="AT577" s="87"/>
      <c r="AU577" s="87"/>
      <c r="AV577" s="87"/>
      <c r="AW577" s="87"/>
      <c r="AX577" s="87"/>
    </row>
    <row r="578">
      <c r="A578" s="9"/>
      <c r="B578" s="87"/>
      <c r="C578" s="87"/>
      <c r="D578" s="87"/>
      <c r="E578" s="9"/>
      <c r="F578" s="87"/>
      <c r="G578" s="87"/>
      <c r="H578" s="87"/>
      <c r="I578" s="9"/>
      <c r="J578" s="87"/>
      <c r="K578" s="87"/>
      <c r="L578" s="87"/>
      <c r="M578" s="9"/>
      <c r="N578" s="87"/>
      <c r="O578" s="87"/>
      <c r="P578" s="87"/>
      <c r="Q578" s="9"/>
      <c r="R578" s="87"/>
      <c r="S578" s="87"/>
      <c r="T578" s="87"/>
      <c r="U578" s="9"/>
      <c r="V578" s="87"/>
      <c r="W578" s="87"/>
      <c r="X578" s="87"/>
      <c r="Y578" s="87"/>
      <c r="Z578" s="87"/>
      <c r="AA578" s="87"/>
      <c r="AB578" s="87"/>
      <c r="AC578" s="243"/>
      <c r="AD578" s="234"/>
      <c r="AE578" s="234"/>
      <c r="AF578" s="234"/>
      <c r="AG578" s="9"/>
      <c r="AH578" s="87"/>
      <c r="AI578" s="87"/>
      <c r="AJ578" s="87"/>
      <c r="AK578" s="244"/>
      <c r="AL578" s="245"/>
      <c r="AM578" s="244"/>
      <c r="AN578" s="244"/>
      <c r="AO578" s="87"/>
      <c r="AP578" s="87"/>
      <c r="AQ578" s="87"/>
      <c r="AR578" s="87"/>
      <c r="AS578" s="87"/>
      <c r="AT578" s="87"/>
      <c r="AU578" s="87"/>
      <c r="AV578" s="87"/>
      <c r="AW578" s="87"/>
      <c r="AX578" s="87"/>
    </row>
    <row r="579">
      <c r="A579" s="9"/>
      <c r="B579" s="87"/>
      <c r="C579" s="87"/>
      <c r="D579" s="87"/>
      <c r="E579" s="9"/>
      <c r="F579" s="87"/>
      <c r="G579" s="87"/>
      <c r="H579" s="87"/>
      <c r="I579" s="9"/>
      <c r="J579" s="87"/>
      <c r="K579" s="87"/>
      <c r="L579" s="87"/>
      <c r="M579" s="9"/>
      <c r="N579" s="87"/>
      <c r="O579" s="87"/>
      <c r="P579" s="87"/>
      <c r="Q579" s="9"/>
      <c r="R579" s="87"/>
      <c r="S579" s="87"/>
      <c r="T579" s="87"/>
      <c r="U579" s="9"/>
      <c r="V579" s="87"/>
      <c r="W579" s="87"/>
      <c r="X579" s="87"/>
      <c r="Y579" s="87"/>
      <c r="Z579" s="87"/>
      <c r="AA579" s="87"/>
      <c r="AB579" s="87"/>
      <c r="AC579" s="243"/>
      <c r="AD579" s="234"/>
      <c r="AE579" s="234"/>
      <c r="AF579" s="234"/>
      <c r="AG579" s="9"/>
      <c r="AH579" s="87"/>
      <c r="AI579" s="87"/>
      <c r="AJ579" s="87"/>
      <c r="AK579" s="244"/>
      <c r="AL579" s="245"/>
      <c r="AM579" s="244"/>
      <c r="AN579" s="244"/>
      <c r="AO579" s="87"/>
      <c r="AP579" s="87"/>
      <c r="AQ579" s="87"/>
      <c r="AR579" s="87"/>
      <c r="AS579" s="87"/>
      <c r="AT579" s="87"/>
      <c r="AU579" s="87"/>
      <c r="AV579" s="87"/>
      <c r="AW579" s="87"/>
      <c r="AX579" s="87"/>
    </row>
    <row r="580">
      <c r="A580" s="9"/>
      <c r="B580" s="87"/>
      <c r="C580" s="87"/>
      <c r="D580" s="87"/>
      <c r="E580" s="9"/>
      <c r="F580" s="87"/>
      <c r="G580" s="87"/>
      <c r="H580" s="87"/>
      <c r="I580" s="9"/>
      <c r="J580" s="87"/>
      <c r="K580" s="87"/>
      <c r="L580" s="87"/>
      <c r="M580" s="9"/>
      <c r="N580" s="87"/>
      <c r="O580" s="87"/>
      <c r="P580" s="87"/>
      <c r="Q580" s="9"/>
      <c r="R580" s="87"/>
      <c r="S580" s="87"/>
      <c r="T580" s="87"/>
      <c r="U580" s="9"/>
      <c r="V580" s="87"/>
      <c r="W580" s="87"/>
      <c r="X580" s="87"/>
      <c r="Y580" s="87"/>
      <c r="Z580" s="87"/>
      <c r="AA580" s="87"/>
      <c r="AB580" s="87"/>
      <c r="AC580" s="243"/>
      <c r="AD580" s="234"/>
      <c r="AE580" s="234"/>
      <c r="AF580" s="234"/>
      <c r="AG580" s="9"/>
      <c r="AH580" s="87"/>
      <c r="AI580" s="87"/>
      <c r="AJ580" s="87"/>
      <c r="AK580" s="244"/>
      <c r="AL580" s="245"/>
      <c r="AM580" s="244"/>
      <c r="AN580" s="244"/>
      <c r="AO580" s="87"/>
      <c r="AP580" s="87"/>
      <c r="AQ580" s="87"/>
      <c r="AR580" s="87"/>
      <c r="AS580" s="87"/>
      <c r="AT580" s="87"/>
      <c r="AU580" s="87"/>
      <c r="AV580" s="87"/>
      <c r="AW580" s="87"/>
      <c r="AX580" s="87"/>
    </row>
    <row r="581">
      <c r="A581" s="9"/>
      <c r="B581" s="87"/>
      <c r="C581" s="87"/>
      <c r="D581" s="87"/>
      <c r="E581" s="9"/>
      <c r="F581" s="87"/>
      <c r="G581" s="87"/>
      <c r="H581" s="87"/>
      <c r="I581" s="9"/>
      <c r="J581" s="87"/>
      <c r="K581" s="87"/>
      <c r="L581" s="87"/>
      <c r="M581" s="9"/>
      <c r="N581" s="87"/>
      <c r="O581" s="87"/>
      <c r="P581" s="87"/>
      <c r="Q581" s="9"/>
      <c r="R581" s="87"/>
      <c r="S581" s="87"/>
      <c r="T581" s="87"/>
      <c r="U581" s="9"/>
      <c r="V581" s="87"/>
      <c r="W581" s="87"/>
      <c r="X581" s="87"/>
      <c r="Y581" s="87"/>
      <c r="Z581" s="87"/>
      <c r="AA581" s="87"/>
      <c r="AB581" s="87"/>
      <c r="AC581" s="243"/>
      <c r="AD581" s="234"/>
      <c r="AE581" s="234"/>
      <c r="AF581" s="234"/>
      <c r="AG581" s="9"/>
      <c r="AH581" s="87"/>
      <c r="AI581" s="87"/>
      <c r="AJ581" s="87"/>
      <c r="AK581" s="244"/>
      <c r="AL581" s="245"/>
      <c r="AM581" s="244"/>
      <c r="AN581" s="244"/>
      <c r="AO581" s="87"/>
      <c r="AP581" s="87"/>
      <c r="AQ581" s="87"/>
      <c r="AR581" s="87"/>
      <c r="AS581" s="87"/>
      <c r="AT581" s="87"/>
      <c r="AU581" s="87"/>
      <c r="AV581" s="87"/>
      <c r="AW581" s="87"/>
      <c r="AX581" s="87"/>
    </row>
    <row r="582">
      <c r="A582" s="9"/>
      <c r="B582" s="87"/>
      <c r="C582" s="87"/>
      <c r="D582" s="87"/>
      <c r="E582" s="9"/>
      <c r="F582" s="87"/>
      <c r="G582" s="87"/>
      <c r="H582" s="87"/>
      <c r="I582" s="9"/>
      <c r="J582" s="87"/>
      <c r="K582" s="87"/>
      <c r="L582" s="87"/>
      <c r="M582" s="9"/>
      <c r="N582" s="87"/>
      <c r="O582" s="87"/>
      <c r="P582" s="87"/>
      <c r="Q582" s="9"/>
      <c r="R582" s="87"/>
      <c r="S582" s="87"/>
      <c r="T582" s="87"/>
      <c r="U582" s="9"/>
      <c r="V582" s="87"/>
      <c r="W582" s="87"/>
      <c r="X582" s="87"/>
      <c r="Y582" s="87"/>
      <c r="Z582" s="87"/>
      <c r="AA582" s="87"/>
      <c r="AB582" s="87"/>
      <c r="AC582" s="243"/>
      <c r="AD582" s="234"/>
      <c r="AE582" s="234"/>
      <c r="AF582" s="234"/>
      <c r="AG582" s="9"/>
      <c r="AH582" s="87"/>
      <c r="AI582" s="87"/>
      <c r="AJ582" s="87"/>
      <c r="AK582" s="244"/>
      <c r="AL582" s="245"/>
      <c r="AM582" s="244"/>
      <c r="AN582" s="244"/>
      <c r="AO582" s="87"/>
      <c r="AP582" s="87"/>
      <c r="AQ582" s="87"/>
      <c r="AR582" s="87"/>
      <c r="AS582" s="87"/>
      <c r="AT582" s="87"/>
      <c r="AU582" s="87"/>
      <c r="AV582" s="87"/>
      <c r="AW582" s="87"/>
      <c r="AX582" s="87"/>
    </row>
    <row r="583">
      <c r="A583" s="9"/>
      <c r="B583" s="87"/>
      <c r="C583" s="87"/>
      <c r="D583" s="87"/>
      <c r="E583" s="9"/>
      <c r="F583" s="87"/>
      <c r="G583" s="87"/>
      <c r="H583" s="87"/>
      <c r="I583" s="9"/>
      <c r="J583" s="87"/>
      <c r="K583" s="87"/>
      <c r="L583" s="87"/>
      <c r="M583" s="9"/>
      <c r="N583" s="87"/>
      <c r="O583" s="87"/>
      <c r="P583" s="87"/>
      <c r="Q583" s="9"/>
      <c r="R583" s="87"/>
      <c r="S583" s="87"/>
      <c r="T583" s="87"/>
      <c r="U583" s="9"/>
      <c r="V583" s="87"/>
      <c r="W583" s="87"/>
      <c r="X583" s="87"/>
      <c r="Y583" s="87"/>
      <c r="Z583" s="87"/>
      <c r="AA583" s="87"/>
      <c r="AB583" s="87"/>
      <c r="AC583" s="243"/>
      <c r="AD583" s="234"/>
      <c r="AE583" s="234"/>
      <c r="AF583" s="234"/>
      <c r="AG583" s="9"/>
      <c r="AH583" s="87"/>
      <c r="AI583" s="87"/>
      <c r="AJ583" s="87"/>
      <c r="AK583" s="244"/>
      <c r="AL583" s="245"/>
      <c r="AM583" s="244"/>
      <c r="AN583" s="244"/>
      <c r="AO583" s="87"/>
      <c r="AP583" s="87"/>
      <c r="AQ583" s="87"/>
      <c r="AR583" s="87"/>
      <c r="AS583" s="87"/>
      <c r="AT583" s="87"/>
      <c r="AU583" s="87"/>
      <c r="AV583" s="87"/>
      <c r="AW583" s="87"/>
      <c r="AX583" s="87"/>
    </row>
    <row r="584">
      <c r="A584" s="9"/>
      <c r="B584" s="87"/>
      <c r="C584" s="87"/>
      <c r="D584" s="87"/>
      <c r="E584" s="9"/>
      <c r="F584" s="87"/>
      <c r="G584" s="87"/>
      <c r="H584" s="87"/>
      <c r="I584" s="9"/>
      <c r="J584" s="87"/>
      <c r="K584" s="87"/>
      <c r="L584" s="87"/>
      <c r="M584" s="9"/>
      <c r="N584" s="87"/>
      <c r="O584" s="87"/>
      <c r="P584" s="87"/>
      <c r="Q584" s="9"/>
      <c r="R584" s="87"/>
      <c r="S584" s="87"/>
      <c r="T584" s="87"/>
      <c r="U584" s="9"/>
      <c r="V584" s="87"/>
      <c r="W584" s="87"/>
      <c r="X584" s="87"/>
      <c r="Y584" s="87"/>
      <c r="Z584" s="87"/>
      <c r="AA584" s="87"/>
      <c r="AB584" s="87"/>
      <c r="AC584" s="243"/>
      <c r="AD584" s="234"/>
      <c r="AE584" s="234"/>
      <c r="AF584" s="234"/>
      <c r="AG584" s="9"/>
      <c r="AH584" s="87"/>
      <c r="AI584" s="87"/>
      <c r="AJ584" s="87"/>
      <c r="AK584" s="244"/>
      <c r="AL584" s="245"/>
      <c r="AM584" s="244"/>
      <c r="AN584" s="244"/>
      <c r="AO584" s="87"/>
      <c r="AP584" s="87"/>
      <c r="AQ584" s="87"/>
      <c r="AR584" s="87"/>
      <c r="AS584" s="87"/>
      <c r="AT584" s="87"/>
      <c r="AU584" s="87"/>
      <c r="AV584" s="87"/>
      <c r="AW584" s="87"/>
      <c r="AX584" s="87"/>
    </row>
    <row r="585">
      <c r="A585" s="9"/>
      <c r="B585" s="87"/>
      <c r="C585" s="87"/>
      <c r="D585" s="87"/>
      <c r="E585" s="9"/>
      <c r="F585" s="87"/>
      <c r="G585" s="87"/>
      <c r="H585" s="87"/>
      <c r="I585" s="9"/>
      <c r="J585" s="87"/>
      <c r="K585" s="87"/>
      <c r="L585" s="87"/>
      <c r="M585" s="9"/>
      <c r="N585" s="87"/>
      <c r="O585" s="87"/>
      <c r="P585" s="87"/>
      <c r="Q585" s="9"/>
      <c r="R585" s="87"/>
      <c r="S585" s="87"/>
      <c r="T585" s="87"/>
      <c r="U585" s="9"/>
      <c r="V585" s="87"/>
      <c r="W585" s="87"/>
      <c r="X585" s="87"/>
      <c r="Y585" s="87"/>
      <c r="Z585" s="87"/>
      <c r="AA585" s="87"/>
      <c r="AB585" s="87"/>
      <c r="AC585" s="243"/>
      <c r="AD585" s="234"/>
      <c r="AE585" s="234"/>
      <c r="AF585" s="234"/>
      <c r="AG585" s="9"/>
      <c r="AH585" s="87"/>
      <c r="AI585" s="87"/>
      <c r="AJ585" s="87"/>
      <c r="AK585" s="244"/>
      <c r="AL585" s="245"/>
      <c r="AM585" s="244"/>
      <c r="AN585" s="244"/>
      <c r="AO585" s="87"/>
      <c r="AP585" s="87"/>
      <c r="AQ585" s="87"/>
      <c r="AR585" s="87"/>
      <c r="AS585" s="87"/>
      <c r="AT585" s="87"/>
      <c r="AU585" s="87"/>
      <c r="AV585" s="87"/>
      <c r="AW585" s="87"/>
      <c r="AX585" s="87"/>
    </row>
    <row r="586">
      <c r="A586" s="9"/>
      <c r="B586" s="87"/>
      <c r="C586" s="87"/>
      <c r="D586" s="87"/>
      <c r="E586" s="9"/>
      <c r="F586" s="87"/>
      <c r="G586" s="87"/>
      <c r="H586" s="87"/>
      <c r="I586" s="9"/>
      <c r="J586" s="87"/>
      <c r="K586" s="87"/>
      <c r="L586" s="87"/>
      <c r="M586" s="9"/>
      <c r="N586" s="87"/>
      <c r="O586" s="87"/>
      <c r="P586" s="87"/>
      <c r="Q586" s="9"/>
      <c r="R586" s="87"/>
      <c r="S586" s="87"/>
      <c r="T586" s="87"/>
      <c r="U586" s="9"/>
      <c r="V586" s="87"/>
      <c r="W586" s="87"/>
      <c r="X586" s="87"/>
      <c r="Y586" s="87"/>
      <c r="Z586" s="87"/>
      <c r="AA586" s="87"/>
      <c r="AB586" s="87"/>
      <c r="AC586" s="243"/>
      <c r="AD586" s="234"/>
      <c r="AE586" s="234"/>
      <c r="AF586" s="234"/>
      <c r="AG586" s="9"/>
      <c r="AH586" s="87"/>
      <c r="AI586" s="87"/>
      <c r="AJ586" s="87"/>
      <c r="AK586" s="244"/>
      <c r="AL586" s="245"/>
      <c r="AM586" s="244"/>
      <c r="AN586" s="244"/>
      <c r="AO586" s="87"/>
      <c r="AP586" s="87"/>
      <c r="AQ586" s="87"/>
      <c r="AR586" s="87"/>
      <c r="AS586" s="87"/>
      <c r="AT586" s="87"/>
      <c r="AU586" s="87"/>
      <c r="AV586" s="87"/>
      <c r="AW586" s="87"/>
      <c r="AX586" s="87"/>
    </row>
    <row r="587">
      <c r="A587" s="9"/>
      <c r="B587" s="87"/>
      <c r="C587" s="87"/>
      <c r="D587" s="87"/>
      <c r="E587" s="9"/>
      <c r="F587" s="87"/>
      <c r="G587" s="87"/>
      <c r="H587" s="87"/>
      <c r="I587" s="9"/>
      <c r="J587" s="87"/>
      <c r="K587" s="87"/>
      <c r="L587" s="87"/>
      <c r="M587" s="9"/>
      <c r="N587" s="87"/>
      <c r="O587" s="87"/>
      <c r="P587" s="87"/>
      <c r="Q587" s="9"/>
      <c r="R587" s="87"/>
      <c r="S587" s="87"/>
      <c r="T587" s="87"/>
      <c r="U587" s="9"/>
      <c r="V587" s="87"/>
      <c r="W587" s="87"/>
      <c r="X587" s="87"/>
      <c r="Y587" s="87"/>
      <c r="Z587" s="87"/>
      <c r="AA587" s="87"/>
      <c r="AB587" s="87"/>
      <c r="AC587" s="243"/>
      <c r="AD587" s="234"/>
      <c r="AE587" s="234"/>
      <c r="AF587" s="234"/>
      <c r="AG587" s="9"/>
      <c r="AH587" s="87"/>
      <c r="AI587" s="87"/>
      <c r="AJ587" s="87"/>
      <c r="AK587" s="244"/>
      <c r="AL587" s="245"/>
      <c r="AM587" s="244"/>
      <c r="AN587" s="244"/>
      <c r="AO587" s="87"/>
      <c r="AP587" s="87"/>
      <c r="AQ587" s="87"/>
      <c r="AR587" s="87"/>
      <c r="AS587" s="87"/>
      <c r="AT587" s="87"/>
      <c r="AU587" s="87"/>
      <c r="AV587" s="87"/>
      <c r="AW587" s="87"/>
      <c r="AX587" s="87"/>
    </row>
    <row r="588">
      <c r="A588" s="9"/>
      <c r="B588" s="87"/>
      <c r="C588" s="87"/>
      <c r="D588" s="87"/>
      <c r="E588" s="9"/>
      <c r="F588" s="87"/>
      <c r="G588" s="87"/>
      <c r="H588" s="87"/>
      <c r="I588" s="9"/>
      <c r="J588" s="87"/>
      <c r="K588" s="87"/>
      <c r="L588" s="87"/>
      <c r="M588" s="9"/>
      <c r="N588" s="87"/>
      <c r="O588" s="87"/>
      <c r="P588" s="87"/>
      <c r="Q588" s="9"/>
      <c r="R588" s="87"/>
      <c r="S588" s="87"/>
      <c r="T588" s="87"/>
      <c r="U588" s="9"/>
      <c r="V588" s="87"/>
      <c r="W588" s="87"/>
      <c r="X588" s="87"/>
      <c r="Y588" s="87"/>
      <c r="Z588" s="87"/>
      <c r="AA588" s="87"/>
      <c r="AB588" s="87"/>
      <c r="AC588" s="243"/>
      <c r="AD588" s="234"/>
      <c r="AE588" s="234"/>
      <c r="AF588" s="234"/>
      <c r="AG588" s="9"/>
      <c r="AH588" s="87"/>
      <c r="AI588" s="87"/>
      <c r="AJ588" s="87"/>
      <c r="AK588" s="244"/>
      <c r="AL588" s="245"/>
      <c r="AM588" s="244"/>
      <c r="AN588" s="244"/>
      <c r="AO588" s="87"/>
      <c r="AP588" s="87"/>
      <c r="AQ588" s="87"/>
      <c r="AR588" s="87"/>
      <c r="AS588" s="87"/>
      <c r="AT588" s="87"/>
      <c r="AU588" s="87"/>
      <c r="AV588" s="87"/>
      <c r="AW588" s="87"/>
      <c r="AX588" s="87"/>
    </row>
    <row r="589">
      <c r="A589" s="9"/>
      <c r="B589" s="87"/>
      <c r="C589" s="87"/>
      <c r="D589" s="87"/>
      <c r="E589" s="9"/>
      <c r="F589" s="87"/>
      <c r="G589" s="87"/>
      <c r="H589" s="87"/>
      <c r="I589" s="9"/>
      <c r="J589" s="87"/>
      <c r="K589" s="87"/>
      <c r="L589" s="87"/>
      <c r="M589" s="9"/>
      <c r="N589" s="87"/>
      <c r="O589" s="87"/>
      <c r="P589" s="87"/>
      <c r="Q589" s="9"/>
      <c r="R589" s="87"/>
      <c r="S589" s="87"/>
      <c r="T589" s="87"/>
      <c r="U589" s="9"/>
      <c r="V589" s="87"/>
      <c r="W589" s="87"/>
      <c r="X589" s="87"/>
      <c r="Y589" s="87"/>
      <c r="Z589" s="87"/>
      <c r="AA589" s="87"/>
      <c r="AB589" s="87"/>
      <c r="AC589" s="243"/>
      <c r="AD589" s="234"/>
      <c r="AE589" s="234"/>
      <c r="AF589" s="234"/>
      <c r="AG589" s="9"/>
      <c r="AH589" s="87"/>
      <c r="AI589" s="87"/>
      <c r="AJ589" s="87"/>
      <c r="AK589" s="244"/>
      <c r="AL589" s="245"/>
      <c r="AM589" s="244"/>
      <c r="AN589" s="244"/>
      <c r="AO589" s="87"/>
      <c r="AP589" s="87"/>
      <c r="AQ589" s="87"/>
      <c r="AR589" s="87"/>
      <c r="AS589" s="87"/>
      <c r="AT589" s="87"/>
      <c r="AU589" s="87"/>
      <c r="AV589" s="87"/>
      <c r="AW589" s="87"/>
      <c r="AX589" s="87"/>
    </row>
    <row r="590">
      <c r="A590" s="9"/>
      <c r="B590" s="87"/>
      <c r="C590" s="87"/>
      <c r="D590" s="87"/>
      <c r="E590" s="9"/>
      <c r="F590" s="87"/>
      <c r="G590" s="87"/>
      <c r="H590" s="87"/>
      <c r="I590" s="9"/>
      <c r="J590" s="87"/>
      <c r="K590" s="87"/>
      <c r="L590" s="87"/>
      <c r="M590" s="9"/>
      <c r="N590" s="87"/>
      <c r="O590" s="87"/>
      <c r="P590" s="87"/>
      <c r="Q590" s="9"/>
      <c r="R590" s="87"/>
      <c r="S590" s="87"/>
      <c r="T590" s="87"/>
      <c r="U590" s="9"/>
      <c r="V590" s="87"/>
      <c r="W590" s="87"/>
      <c r="X590" s="87"/>
      <c r="Y590" s="87"/>
      <c r="Z590" s="87"/>
      <c r="AA590" s="87"/>
      <c r="AB590" s="87"/>
      <c r="AC590" s="243"/>
      <c r="AD590" s="234"/>
      <c r="AE590" s="234"/>
      <c r="AF590" s="234"/>
      <c r="AG590" s="9"/>
      <c r="AH590" s="87"/>
      <c r="AI590" s="87"/>
      <c r="AJ590" s="87"/>
      <c r="AK590" s="244"/>
      <c r="AL590" s="245"/>
      <c r="AM590" s="244"/>
      <c r="AN590" s="244"/>
      <c r="AO590" s="87"/>
      <c r="AP590" s="87"/>
      <c r="AQ590" s="87"/>
      <c r="AR590" s="87"/>
      <c r="AS590" s="87"/>
      <c r="AT590" s="87"/>
      <c r="AU590" s="87"/>
      <c r="AV590" s="87"/>
      <c r="AW590" s="87"/>
      <c r="AX590" s="87"/>
    </row>
    <row r="591">
      <c r="A591" s="9"/>
      <c r="B591" s="87"/>
      <c r="C591" s="87"/>
      <c r="D591" s="87"/>
      <c r="E591" s="9"/>
      <c r="F591" s="87"/>
      <c r="G591" s="87"/>
      <c r="H591" s="87"/>
      <c r="I591" s="9"/>
      <c r="J591" s="87"/>
      <c r="K591" s="87"/>
      <c r="L591" s="87"/>
      <c r="M591" s="9"/>
      <c r="N591" s="87"/>
      <c r="O591" s="87"/>
      <c r="P591" s="87"/>
      <c r="Q591" s="9"/>
      <c r="R591" s="87"/>
      <c r="S591" s="87"/>
      <c r="T591" s="87"/>
      <c r="U591" s="9"/>
      <c r="V591" s="87"/>
      <c r="W591" s="87"/>
      <c r="X591" s="87"/>
      <c r="Y591" s="87"/>
      <c r="Z591" s="87"/>
      <c r="AA591" s="87"/>
      <c r="AB591" s="87"/>
      <c r="AC591" s="243"/>
      <c r="AD591" s="234"/>
      <c r="AE591" s="234"/>
      <c r="AF591" s="234"/>
      <c r="AG591" s="9"/>
      <c r="AH591" s="87"/>
      <c r="AI591" s="87"/>
      <c r="AJ591" s="87"/>
      <c r="AK591" s="244"/>
      <c r="AL591" s="245"/>
      <c r="AM591" s="244"/>
      <c r="AN591" s="244"/>
      <c r="AO591" s="87"/>
      <c r="AP591" s="87"/>
      <c r="AQ591" s="87"/>
      <c r="AR591" s="87"/>
      <c r="AS591" s="87"/>
      <c r="AT591" s="87"/>
      <c r="AU591" s="87"/>
      <c r="AV591" s="87"/>
      <c r="AW591" s="87"/>
      <c r="AX591" s="87"/>
    </row>
    <row r="592">
      <c r="A592" s="9"/>
      <c r="B592" s="87"/>
      <c r="C592" s="87"/>
      <c r="D592" s="87"/>
      <c r="E592" s="9"/>
      <c r="F592" s="87"/>
      <c r="G592" s="87"/>
      <c r="H592" s="87"/>
      <c r="I592" s="9"/>
      <c r="J592" s="87"/>
      <c r="K592" s="87"/>
      <c r="L592" s="87"/>
      <c r="M592" s="9"/>
      <c r="N592" s="87"/>
      <c r="O592" s="87"/>
      <c r="P592" s="87"/>
      <c r="Q592" s="9"/>
      <c r="R592" s="87"/>
      <c r="S592" s="87"/>
      <c r="T592" s="87"/>
      <c r="U592" s="9"/>
      <c r="V592" s="87"/>
      <c r="W592" s="87"/>
      <c r="X592" s="87"/>
      <c r="Y592" s="87"/>
      <c r="Z592" s="87"/>
      <c r="AA592" s="87"/>
      <c r="AB592" s="87"/>
      <c r="AC592" s="243"/>
      <c r="AD592" s="234"/>
      <c r="AE592" s="234"/>
      <c r="AF592" s="234"/>
      <c r="AG592" s="9"/>
      <c r="AH592" s="87"/>
      <c r="AI592" s="87"/>
      <c r="AJ592" s="87"/>
      <c r="AK592" s="244"/>
      <c r="AL592" s="245"/>
      <c r="AM592" s="244"/>
      <c r="AN592" s="244"/>
      <c r="AO592" s="87"/>
      <c r="AP592" s="87"/>
      <c r="AQ592" s="87"/>
      <c r="AR592" s="87"/>
      <c r="AS592" s="87"/>
      <c r="AT592" s="87"/>
      <c r="AU592" s="87"/>
      <c r="AV592" s="87"/>
      <c r="AW592" s="87"/>
      <c r="AX592" s="87"/>
    </row>
    <row r="593">
      <c r="A593" s="9"/>
      <c r="B593" s="87"/>
      <c r="C593" s="87"/>
      <c r="D593" s="87"/>
      <c r="E593" s="9"/>
      <c r="F593" s="87"/>
      <c r="G593" s="87"/>
      <c r="H593" s="87"/>
      <c r="I593" s="9"/>
      <c r="J593" s="87"/>
      <c r="K593" s="87"/>
      <c r="L593" s="87"/>
      <c r="M593" s="9"/>
      <c r="N593" s="87"/>
      <c r="O593" s="87"/>
      <c r="P593" s="87"/>
      <c r="Q593" s="9"/>
      <c r="R593" s="87"/>
      <c r="S593" s="87"/>
      <c r="T593" s="87"/>
      <c r="U593" s="9"/>
      <c r="V593" s="87"/>
      <c r="W593" s="87"/>
      <c r="X593" s="87"/>
      <c r="Y593" s="87"/>
      <c r="Z593" s="87"/>
      <c r="AA593" s="87"/>
      <c r="AB593" s="87"/>
      <c r="AC593" s="243"/>
      <c r="AD593" s="234"/>
      <c r="AE593" s="234"/>
      <c r="AF593" s="234"/>
      <c r="AG593" s="9"/>
      <c r="AH593" s="87"/>
      <c r="AI593" s="87"/>
      <c r="AJ593" s="87"/>
      <c r="AK593" s="244"/>
      <c r="AL593" s="245"/>
      <c r="AM593" s="244"/>
      <c r="AN593" s="244"/>
      <c r="AO593" s="87"/>
      <c r="AP593" s="87"/>
      <c r="AQ593" s="87"/>
      <c r="AR593" s="87"/>
      <c r="AS593" s="87"/>
      <c r="AT593" s="87"/>
      <c r="AU593" s="87"/>
      <c r="AV593" s="87"/>
      <c r="AW593" s="87"/>
      <c r="AX593" s="87"/>
    </row>
    <row r="594">
      <c r="A594" s="9"/>
      <c r="B594" s="87"/>
      <c r="C594" s="87"/>
      <c r="D594" s="87"/>
      <c r="E594" s="9"/>
      <c r="F594" s="87"/>
      <c r="G594" s="87"/>
      <c r="H594" s="87"/>
      <c r="I594" s="9"/>
      <c r="J594" s="87"/>
      <c r="K594" s="87"/>
      <c r="L594" s="87"/>
      <c r="M594" s="9"/>
      <c r="N594" s="87"/>
      <c r="O594" s="87"/>
      <c r="P594" s="87"/>
      <c r="Q594" s="9"/>
      <c r="R594" s="87"/>
      <c r="S594" s="87"/>
      <c r="T594" s="87"/>
      <c r="U594" s="9"/>
      <c r="V594" s="87"/>
      <c r="W594" s="87"/>
      <c r="X594" s="87"/>
      <c r="Y594" s="87"/>
      <c r="Z594" s="87"/>
      <c r="AA594" s="87"/>
      <c r="AB594" s="87"/>
      <c r="AC594" s="243"/>
      <c r="AD594" s="234"/>
      <c r="AE594" s="234"/>
      <c r="AF594" s="234"/>
      <c r="AG594" s="9"/>
      <c r="AH594" s="87"/>
      <c r="AI594" s="87"/>
      <c r="AJ594" s="87"/>
      <c r="AK594" s="244"/>
      <c r="AL594" s="245"/>
      <c r="AM594" s="244"/>
      <c r="AN594" s="244"/>
      <c r="AO594" s="87"/>
      <c r="AP594" s="87"/>
      <c r="AQ594" s="87"/>
      <c r="AR594" s="87"/>
      <c r="AS594" s="87"/>
      <c r="AT594" s="87"/>
      <c r="AU594" s="87"/>
      <c r="AV594" s="87"/>
      <c r="AW594" s="87"/>
      <c r="AX594" s="87"/>
    </row>
    <row r="595">
      <c r="A595" s="9"/>
      <c r="B595" s="87"/>
      <c r="C595" s="87"/>
      <c r="D595" s="87"/>
      <c r="E595" s="9"/>
      <c r="F595" s="87"/>
      <c r="G595" s="87"/>
      <c r="H595" s="87"/>
      <c r="I595" s="9"/>
      <c r="J595" s="87"/>
      <c r="K595" s="87"/>
      <c r="L595" s="87"/>
      <c r="M595" s="9"/>
      <c r="N595" s="87"/>
      <c r="O595" s="87"/>
      <c r="P595" s="87"/>
      <c r="Q595" s="9"/>
      <c r="R595" s="87"/>
      <c r="S595" s="87"/>
      <c r="T595" s="87"/>
      <c r="U595" s="9"/>
      <c r="V595" s="87"/>
      <c r="W595" s="87"/>
      <c r="X595" s="87"/>
      <c r="Y595" s="87"/>
      <c r="Z595" s="87"/>
      <c r="AA595" s="87"/>
      <c r="AB595" s="87"/>
      <c r="AC595" s="243"/>
      <c r="AD595" s="234"/>
      <c r="AE595" s="234"/>
      <c r="AF595" s="234"/>
      <c r="AG595" s="9"/>
      <c r="AH595" s="87"/>
      <c r="AI595" s="87"/>
      <c r="AJ595" s="87"/>
      <c r="AK595" s="244"/>
      <c r="AL595" s="245"/>
      <c r="AM595" s="244"/>
      <c r="AN595" s="244"/>
      <c r="AO595" s="87"/>
      <c r="AP595" s="87"/>
      <c r="AQ595" s="87"/>
      <c r="AR595" s="87"/>
      <c r="AS595" s="87"/>
      <c r="AT595" s="87"/>
      <c r="AU595" s="87"/>
      <c r="AV595" s="87"/>
      <c r="AW595" s="87"/>
      <c r="AX595" s="87"/>
    </row>
    <row r="596">
      <c r="A596" s="9"/>
      <c r="B596" s="87"/>
      <c r="C596" s="87"/>
      <c r="D596" s="87"/>
      <c r="E596" s="9"/>
      <c r="F596" s="87"/>
      <c r="G596" s="87"/>
      <c r="H596" s="87"/>
      <c r="I596" s="9"/>
      <c r="J596" s="87"/>
      <c r="K596" s="87"/>
      <c r="L596" s="87"/>
      <c r="M596" s="9"/>
      <c r="N596" s="87"/>
      <c r="O596" s="87"/>
      <c r="P596" s="87"/>
      <c r="Q596" s="9"/>
      <c r="R596" s="87"/>
      <c r="S596" s="87"/>
      <c r="T596" s="87"/>
      <c r="U596" s="9"/>
      <c r="V596" s="87"/>
      <c r="W596" s="87"/>
      <c r="X596" s="87"/>
      <c r="Y596" s="87"/>
      <c r="Z596" s="87"/>
      <c r="AA596" s="87"/>
      <c r="AB596" s="87"/>
      <c r="AC596" s="243"/>
      <c r="AD596" s="234"/>
      <c r="AE596" s="234"/>
      <c r="AF596" s="234"/>
      <c r="AG596" s="9"/>
      <c r="AH596" s="87"/>
      <c r="AI596" s="87"/>
      <c r="AJ596" s="87"/>
      <c r="AK596" s="244"/>
      <c r="AL596" s="245"/>
      <c r="AM596" s="244"/>
      <c r="AN596" s="244"/>
      <c r="AO596" s="87"/>
      <c r="AP596" s="87"/>
      <c r="AQ596" s="87"/>
      <c r="AR596" s="87"/>
      <c r="AS596" s="87"/>
      <c r="AT596" s="87"/>
      <c r="AU596" s="87"/>
      <c r="AV596" s="87"/>
      <c r="AW596" s="87"/>
      <c r="AX596" s="87"/>
    </row>
    <row r="597">
      <c r="A597" s="9"/>
      <c r="B597" s="87"/>
      <c r="C597" s="87"/>
      <c r="D597" s="87"/>
      <c r="E597" s="9"/>
      <c r="F597" s="87"/>
      <c r="G597" s="87"/>
      <c r="H597" s="87"/>
      <c r="I597" s="9"/>
      <c r="J597" s="87"/>
      <c r="K597" s="87"/>
      <c r="L597" s="87"/>
      <c r="M597" s="9"/>
      <c r="N597" s="87"/>
      <c r="O597" s="87"/>
      <c r="P597" s="87"/>
      <c r="Q597" s="9"/>
      <c r="R597" s="87"/>
      <c r="S597" s="87"/>
      <c r="T597" s="87"/>
      <c r="U597" s="9"/>
      <c r="V597" s="87"/>
      <c r="W597" s="87"/>
      <c r="X597" s="87"/>
      <c r="Y597" s="87"/>
      <c r="Z597" s="87"/>
      <c r="AA597" s="87"/>
      <c r="AB597" s="87"/>
      <c r="AC597" s="243"/>
      <c r="AD597" s="234"/>
      <c r="AE597" s="234"/>
      <c r="AF597" s="234"/>
      <c r="AG597" s="9"/>
      <c r="AH597" s="87"/>
      <c r="AI597" s="87"/>
      <c r="AJ597" s="87"/>
      <c r="AK597" s="244"/>
      <c r="AL597" s="245"/>
      <c r="AM597" s="244"/>
      <c r="AN597" s="244"/>
      <c r="AO597" s="87"/>
      <c r="AP597" s="87"/>
      <c r="AQ597" s="87"/>
      <c r="AR597" s="87"/>
      <c r="AS597" s="87"/>
      <c r="AT597" s="87"/>
      <c r="AU597" s="87"/>
      <c r="AV597" s="87"/>
      <c r="AW597" s="87"/>
      <c r="AX597" s="87"/>
    </row>
    <row r="598">
      <c r="A598" s="9"/>
      <c r="B598" s="87"/>
      <c r="C598" s="87"/>
      <c r="D598" s="87"/>
      <c r="E598" s="9"/>
      <c r="F598" s="87"/>
      <c r="G598" s="87"/>
      <c r="H598" s="87"/>
      <c r="I598" s="9"/>
      <c r="J598" s="87"/>
      <c r="K598" s="87"/>
      <c r="L598" s="87"/>
      <c r="M598" s="9"/>
      <c r="N598" s="87"/>
      <c r="O598" s="87"/>
      <c r="P598" s="87"/>
      <c r="Q598" s="9"/>
      <c r="R598" s="87"/>
      <c r="S598" s="87"/>
      <c r="T598" s="87"/>
      <c r="U598" s="9"/>
      <c r="V598" s="87"/>
      <c r="W598" s="87"/>
      <c r="X598" s="87"/>
      <c r="Y598" s="87"/>
      <c r="Z598" s="87"/>
      <c r="AA598" s="87"/>
      <c r="AB598" s="87"/>
      <c r="AC598" s="243"/>
      <c r="AD598" s="234"/>
      <c r="AE598" s="234"/>
      <c r="AF598" s="234"/>
      <c r="AG598" s="9"/>
      <c r="AH598" s="87"/>
      <c r="AI598" s="87"/>
      <c r="AJ598" s="87"/>
      <c r="AK598" s="244"/>
      <c r="AL598" s="245"/>
      <c r="AM598" s="244"/>
      <c r="AN598" s="244"/>
      <c r="AO598" s="87"/>
      <c r="AP598" s="87"/>
      <c r="AQ598" s="87"/>
      <c r="AR598" s="87"/>
      <c r="AS598" s="87"/>
      <c r="AT598" s="87"/>
      <c r="AU598" s="87"/>
      <c r="AV598" s="87"/>
      <c r="AW598" s="87"/>
      <c r="AX598" s="87"/>
    </row>
    <row r="599">
      <c r="A599" s="9"/>
      <c r="B599" s="87"/>
      <c r="C599" s="87"/>
      <c r="D599" s="87"/>
      <c r="E599" s="9"/>
      <c r="F599" s="87"/>
      <c r="G599" s="87"/>
      <c r="H599" s="87"/>
      <c r="I599" s="9"/>
      <c r="J599" s="87"/>
      <c r="K599" s="87"/>
      <c r="L599" s="87"/>
      <c r="M599" s="9"/>
      <c r="N599" s="87"/>
      <c r="O599" s="87"/>
      <c r="P599" s="87"/>
      <c r="Q599" s="9"/>
      <c r="R599" s="87"/>
      <c r="S599" s="87"/>
      <c r="T599" s="87"/>
      <c r="U599" s="9"/>
      <c r="V599" s="87"/>
      <c r="W599" s="87"/>
      <c r="X599" s="87"/>
      <c r="Y599" s="87"/>
      <c r="Z599" s="87"/>
      <c r="AA599" s="87"/>
      <c r="AB599" s="87"/>
      <c r="AC599" s="243"/>
      <c r="AD599" s="234"/>
      <c r="AE599" s="234"/>
      <c r="AF599" s="234"/>
      <c r="AG599" s="9"/>
      <c r="AH599" s="87"/>
      <c r="AI599" s="87"/>
      <c r="AJ599" s="87"/>
      <c r="AK599" s="244"/>
      <c r="AL599" s="245"/>
      <c r="AM599" s="244"/>
      <c r="AN599" s="244"/>
      <c r="AO599" s="87"/>
      <c r="AP599" s="87"/>
      <c r="AQ599" s="87"/>
      <c r="AR599" s="87"/>
      <c r="AS599" s="87"/>
      <c r="AT599" s="87"/>
      <c r="AU599" s="87"/>
      <c r="AV599" s="87"/>
      <c r="AW599" s="87"/>
      <c r="AX599" s="87"/>
    </row>
    <row r="600">
      <c r="A600" s="9"/>
      <c r="B600" s="87"/>
      <c r="C600" s="87"/>
      <c r="D600" s="87"/>
      <c r="E600" s="9"/>
      <c r="F600" s="87"/>
      <c r="G600" s="87"/>
      <c r="H600" s="87"/>
      <c r="I600" s="9"/>
      <c r="J600" s="87"/>
      <c r="K600" s="87"/>
      <c r="L600" s="87"/>
      <c r="M600" s="9"/>
      <c r="N600" s="87"/>
      <c r="O600" s="87"/>
      <c r="P600" s="87"/>
      <c r="Q600" s="9"/>
      <c r="R600" s="87"/>
      <c r="S600" s="87"/>
      <c r="T600" s="87"/>
      <c r="U600" s="9"/>
      <c r="V600" s="87"/>
      <c r="W600" s="87"/>
      <c r="X600" s="87"/>
      <c r="Y600" s="87"/>
      <c r="Z600" s="87"/>
      <c r="AA600" s="87"/>
      <c r="AB600" s="87"/>
      <c r="AC600" s="243"/>
      <c r="AD600" s="234"/>
      <c r="AE600" s="234"/>
      <c r="AF600" s="234"/>
      <c r="AG600" s="9"/>
      <c r="AH600" s="87"/>
      <c r="AI600" s="87"/>
      <c r="AJ600" s="87"/>
      <c r="AK600" s="244"/>
      <c r="AL600" s="245"/>
      <c r="AM600" s="244"/>
      <c r="AN600" s="244"/>
      <c r="AO600" s="87"/>
      <c r="AP600" s="87"/>
      <c r="AQ600" s="87"/>
      <c r="AR600" s="87"/>
      <c r="AS600" s="87"/>
      <c r="AT600" s="87"/>
      <c r="AU600" s="87"/>
      <c r="AV600" s="87"/>
      <c r="AW600" s="87"/>
      <c r="AX600" s="87"/>
    </row>
    <row r="601">
      <c r="A601" s="9"/>
      <c r="B601" s="87"/>
      <c r="C601" s="87"/>
      <c r="D601" s="87"/>
      <c r="E601" s="9"/>
      <c r="F601" s="87"/>
      <c r="G601" s="87"/>
      <c r="H601" s="87"/>
      <c r="I601" s="9"/>
      <c r="J601" s="87"/>
      <c r="K601" s="87"/>
      <c r="L601" s="87"/>
      <c r="M601" s="9"/>
      <c r="N601" s="87"/>
      <c r="O601" s="87"/>
      <c r="P601" s="87"/>
      <c r="Q601" s="9"/>
      <c r="R601" s="87"/>
      <c r="S601" s="87"/>
      <c r="T601" s="87"/>
      <c r="U601" s="9"/>
      <c r="V601" s="87"/>
      <c r="W601" s="87"/>
      <c r="X601" s="87"/>
      <c r="Y601" s="87"/>
      <c r="Z601" s="87"/>
      <c r="AA601" s="87"/>
      <c r="AB601" s="87"/>
      <c r="AC601" s="243"/>
      <c r="AD601" s="234"/>
      <c r="AE601" s="234"/>
      <c r="AF601" s="234"/>
      <c r="AG601" s="9"/>
      <c r="AH601" s="87"/>
      <c r="AI601" s="87"/>
      <c r="AJ601" s="87"/>
      <c r="AK601" s="244"/>
      <c r="AL601" s="245"/>
      <c r="AM601" s="244"/>
      <c r="AN601" s="244"/>
      <c r="AO601" s="87"/>
      <c r="AP601" s="87"/>
      <c r="AQ601" s="87"/>
      <c r="AR601" s="87"/>
      <c r="AS601" s="87"/>
      <c r="AT601" s="87"/>
      <c r="AU601" s="87"/>
      <c r="AV601" s="87"/>
      <c r="AW601" s="87"/>
      <c r="AX601" s="87"/>
    </row>
    <row r="602">
      <c r="A602" s="9"/>
      <c r="B602" s="87"/>
      <c r="C602" s="87"/>
      <c r="D602" s="87"/>
      <c r="E602" s="9"/>
      <c r="F602" s="87"/>
      <c r="G602" s="87"/>
      <c r="H602" s="87"/>
      <c r="I602" s="9"/>
      <c r="J602" s="87"/>
      <c r="K602" s="87"/>
      <c r="L602" s="87"/>
      <c r="M602" s="9"/>
      <c r="N602" s="87"/>
      <c r="O602" s="87"/>
      <c r="P602" s="87"/>
      <c r="Q602" s="9"/>
      <c r="R602" s="87"/>
      <c r="S602" s="87"/>
      <c r="T602" s="87"/>
      <c r="U602" s="9"/>
      <c r="V602" s="87"/>
      <c r="W602" s="87"/>
      <c r="X602" s="87"/>
      <c r="Y602" s="87"/>
      <c r="Z602" s="87"/>
      <c r="AA602" s="87"/>
      <c r="AB602" s="87"/>
      <c r="AC602" s="243"/>
      <c r="AD602" s="234"/>
      <c r="AE602" s="234"/>
      <c r="AF602" s="234"/>
      <c r="AG602" s="9"/>
      <c r="AH602" s="87"/>
      <c r="AI602" s="87"/>
      <c r="AJ602" s="87"/>
      <c r="AK602" s="244"/>
      <c r="AL602" s="245"/>
      <c r="AM602" s="244"/>
      <c r="AN602" s="244"/>
      <c r="AO602" s="87"/>
      <c r="AP602" s="87"/>
      <c r="AQ602" s="87"/>
      <c r="AR602" s="87"/>
      <c r="AS602" s="87"/>
      <c r="AT602" s="87"/>
      <c r="AU602" s="87"/>
      <c r="AV602" s="87"/>
      <c r="AW602" s="87"/>
      <c r="AX602" s="87"/>
    </row>
    <row r="603">
      <c r="A603" s="9"/>
      <c r="B603" s="87"/>
      <c r="C603" s="87"/>
      <c r="D603" s="87"/>
      <c r="E603" s="9"/>
      <c r="F603" s="87"/>
      <c r="G603" s="87"/>
      <c r="H603" s="87"/>
      <c r="I603" s="9"/>
      <c r="J603" s="87"/>
      <c r="K603" s="87"/>
      <c r="L603" s="87"/>
      <c r="M603" s="9"/>
      <c r="N603" s="87"/>
      <c r="O603" s="87"/>
      <c r="P603" s="87"/>
      <c r="Q603" s="9"/>
      <c r="R603" s="87"/>
      <c r="S603" s="87"/>
      <c r="T603" s="87"/>
      <c r="U603" s="9"/>
      <c r="V603" s="87"/>
      <c r="W603" s="87"/>
      <c r="X603" s="87"/>
      <c r="Y603" s="87"/>
      <c r="Z603" s="87"/>
      <c r="AA603" s="87"/>
      <c r="AB603" s="87"/>
      <c r="AC603" s="243"/>
      <c r="AD603" s="234"/>
      <c r="AE603" s="234"/>
      <c r="AF603" s="234"/>
      <c r="AG603" s="9"/>
      <c r="AH603" s="87"/>
      <c r="AI603" s="87"/>
      <c r="AJ603" s="87"/>
      <c r="AK603" s="244"/>
      <c r="AL603" s="245"/>
      <c r="AM603" s="244"/>
      <c r="AN603" s="244"/>
      <c r="AO603" s="87"/>
      <c r="AP603" s="87"/>
      <c r="AQ603" s="87"/>
      <c r="AR603" s="87"/>
      <c r="AS603" s="87"/>
      <c r="AT603" s="87"/>
      <c r="AU603" s="87"/>
      <c r="AV603" s="87"/>
      <c r="AW603" s="87"/>
      <c r="AX603" s="87"/>
    </row>
    <row r="604">
      <c r="A604" s="9"/>
      <c r="B604" s="87"/>
      <c r="C604" s="87"/>
      <c r="D604" s="87"/>
      <c r="E604" s="9"/>
      <c r="F604" s="87"/>
      <c r="G604" s="87"/>
      <c r="H604" s="87"/>
      <c r="I604" s="9"/>
      <c r="J604" s="87"/>
      <c r="K604" s="87"/>
      <c r="L604" s="87"/>
      <c r="M604" s="9"/>
      <c r="N604" s="87"/>
      <c r="O604" s="87"/>
      <c r="P604" s="87"/>
      <c r="Q604" s="9"/>
      <c r="R604" s="87"/>
      <c r="S604" s="87"/>
      <c r="T604" s="87"/>
      <c r="U604" s="9"/>
      <c r="V604" s="87"/>
      <c r="W604" s="87"/>
      <c r="X604" s="87"/>
      <c r="Y604" s="87"/>
      <c r="Z604" s="87"/>
      <c r="AA604" s="87"/>
      <c r="AB604" s="87"/>
      <c r="AC604" s="243"/>
      <c r="AD604" s="234"/>
      <c r="AE604" s="234"/>
      <c r="AF604" s="234"/>
      <c r="AG604" s="9"/>
      <c r="AH604" s="87"/>
      <c r="AI604" s="87"/>
      <c r="AJ604" s="87"/>
      <c r="AK604" s="244"/>
      <c r="AL604" s="245"/>
      <c r="AM604" s="244"/>
      <c r="AN604" s="244"/>
      <c r="AO604" s="87"/>
      <c r="AP604" s="87"/>
      <c r="AQ604" s="87"/>
      <c r="AR604" s="87"/>
      <c r="AS604" s="87"/>
      <c r="AT604" s="87"/>
      <c r="AU604" s="87"/>
      <c r="AV604" s="87"/>
      <c r="AW604" s="87"/>
      <c r="AX604" s="87"/>
    </row>
    <row r="605">
      <c r="A605" s="9"/>
      <c r="B605" s="87"/>
      <c r="C605" s="87"/>
      <c r="D605" s="87"/>
      <c r="E605" s="9"/>
      <c r="F605" s="87"/>
      <c r="G605" s="87"/>
      <c r="H605" s="87"/>
      <c r="I605" s="9"/>
      <c r="J605" s="87"/>
      <c r="K605" s="87"/>
      <c r="L605" s="87"/>
      <c r="M605" s="9"/>
      <c r="N605" s="87"/>
      <c r="O605" s="87"/>
      <c r="P605" s="87"/>
      <c r="Q605" s="9"/>
      <c r="R605" s="87"/>
      <c r="S605" s="87"/>
      <c r="T605" s="87"/>
      <c r="U605" s="9"/>
      <c r="V605" s="87"/>
      <c r="W605" s="87"/>
      <c r="X605" s="87"/>
      <c r="Y605" s="87"/>
      <c r="Z605" s="87"/>
      <c r="AA605" s="87"/>
      <c r="AB605" s="87"/>
      <c r="AC605" s="243"/>
      <c r="AD605" s="234"/>
      <c r="AE605" s="234"/>
      <c r="AF605" s="234"/>
      <c r="AG605" s="9"/>
      <c r="AH605" s="87"/>
      <c r="AI605" s="87"/>
      <c r="AJ605" s="87"/>
      <c r="AK605" s="244"/>
      <c r="AL605" s="245"/>
      <c r="AM605" s="244"/>
      <c r="AN605" s="244"/>
      <c r="AO605" s="87"/>
      <c r="AP605" s="87"/>
      <c r="AQ605" s="87"/>
      <c r="AR605" s="87"/>
      <c r="AS605" s="87"/>
      <c r="AT605" s="87"/>
      <c r="AU605" s="87"/>
      <c r="AV605" s="87"/>
      <c r="AW605" s="87"/>
      <c r="AX605" s="87"/>
    </row>
    <row r="606">
      <c r="A606" s="9"/>
      <c r="B606" s="87"/>
      <c r="C606" s="87"/>
      <c r="D606" s="87"/>
      <c r="E606" s="9"/>
      <c r="F606" s="87"/>
      <c r="G606" s="87"/>
      <c r="H606" s="87"/>
      <c r="I606" s="9"/>
      <c r="J606" s="87"/>
      <c r="K606" s="87"/>
      <c r="L606" s="87"/>
      <c r="M606" s="9"/>
      <c r="N606" s="87"/>
      <c r="O606" s="87"/>
      <c r="P606" s="87"/>
      <c r="Q606" s="9"/>
      <c r="R606" s="87"/>
      <c r="S606" s="87"/>
      <c r="T606" s="87"/>
      <c r="U606" s="9"/>
      <c r="V606" s="87"/>
      <c r="W606" s="87"/>
      <c r="X606" s="87"/>
      <c r="Y606" s="87"/>
      <c r="Z606" s="87"/>
      <c r="AA606" s="87"/>
      <c r="AB606" s="87"/>
      <c r="AC606" s="243"/>
      <c r="AD606" s="234"/>
      <c r="AE606" s="234"/>
      <c r="AF606" s="234"/>
      <c r="AG606" s="9"/>
      <c r="AH606" s="87"/>
      <c r="AI606" s="87"/>
      <c r="AJ606" s="87"/>
      <c r="AK606" s="244"/>
      <c r="AL606" s="245"/>
      <c r="AM606" s="244"/>
      <c r="AN606" s="244"/>
      <c r="AO606" s="87"/>
      <c r="AP606" s="87"/>
      <c r="AQ606" s="87"/>
      <c r="AR606" s="87"/>
      <c r="AS606" s="87"/>
      <c r="AT606" s="87"/>
      <c r="AU606" s="87"/>
      <c r="AV606" s="87"/>
      <c r="AW606" s="87"/>
      <c r="AX606" s="87"/>
    </row>
    <row r="607">
      <c r="A607" s="9"/>
      <c r="B607" s="87"/>
      <c r="C607" s="87"/>
      <c r="D607" s="87"/>
      <c r="E607" s="9"/>
      <c r="F607" s="87"/>
      <c r="G607" s="87"/>
      <c r="H607" s="87"/>
      <c r="I607" s="9"/>
      <c r="J607" s="87"/>
      <c r="K607" s="87"/>
      <c r="L607" s="87"/>
      <c r="M607" s="9"/>
      <c r="N607" s="87"/>
      <c r="O607" s="87"/>
      <c r="P607" s="87"/>
      <c r="Q607" s="9"/>
      <c r="R607" s="87"/>
      <c r="S607" s="87"/>
      <c r="T607" s="87"/>
      <c r="U607" s="9"/>
      <c r="V607" s="87"/>
      <c r="W607" s="87"/>
      <c r="X607" s="87"/>
      <c r="Y607" s="87"/>
      <c r="Z607" s="87"/>
      <c r="AA607" s="87"/>
      <c r="AB607" s="87"/>
      <c r="AC607" s="243"/>
      <c r="AD607" s="234"/>
      <c r="AE607" s="234"/>
      <c r="AF607" s="234"/>
      <c r="AG607" s="9"/>
      <c r="AH607" s="87"/>
      <c r="AI607" s="87"/>
      <c r="AJ607" s="87"/>
      <c r="AK607" s="244"/>
      <c r="AL607" s="245"/>
      <c r="AM607" s="244"/>
      <c r="AN607" s="244"/>
      <c r="AO607" s="87"/>
      <c r="AP607" s="87"/>
      <c r="AQ607" s="87"/>
      <c r="AR607" s="87"/>
      <c r="AS607" s="87"/>
      <c r="AT607" s="87"/>
      <c r="AU607" s="87"/>
      <c r="AV607" s="87"/>
      <c r="AW607" s="87"/>
      <c r="AX607" s="87"/>
    </row>
    <row r="608">
      <c r="A608" s="9"/>
      <c r="B608" s="87"/>
      <c r="C608" s="87"/>
      <c r="D608" s="87"/>
      <c r="E608" s="9"/>
      <c r="F608" s="87"/>
      <c r="G608" s="87"/>
      <c r="H608" s="87"/>
      <c r="I608" s="9"/>
      <c r="J608" s="87"/>
      <c r="K608" s="87"/>
      <c r="L608" s="87"/>
      <c r="M608" s="9"/>
      <c r="N608" s="87"/>
      <c r="O608" s="87"/>
      <c r="P608" s="87"/>
      <c r="Q608" s="9"/>
      <c r="R608" s="87"/>
      <c r="S608" s="87"/>
      <c r="T608" s="87"/>
      <c r="U608" s="9"/>
      <c r="V608" s="87"/>
      <c r="W608" s="87"/>
      <c r="X608" s="87"/>
      <c r="Y608" s="87"/>
      <c r="Z608" s="87"/>
      <c r="AA608" s="87"/>
      <c r="AB608" s="87"/>
      <c r="AC608" s="243"/>
      <c r="AD608" s="234"/>
      <c r="AE608" s="234"/>
      <c r="AF608" s="234"/>
      <c r="AG608" s="9"/>
      <c r="AH608" s="87"/>
      <c r="AI608" s="87"/>
      <c r="AJ608" s="87"/>
      <c r="AK608" s="244"/>
      <c r="AL608" s="245"/>
      <c r="AM608" s="244"/>
      <c r="AN608" s="244"/>
      <c r="AO608" s="87"/>
      <c r="AP608" s="87"/>
      <c r="AQ608" s="87"/>
      <c r="AR608" s="87"/>
      <c r="AS608" s="87"/>
      <c r="AT608" s="87"/>
      <c r="AU608" s="87"/>
      <c r="AV608" s="87"/>
      <c r="AW608" s="87"/>
      <c r="AX608" s="87"/>
    </row>
    <row r="609">
      <c r="A609" s="9"/>
      <c r="B609" s="87"/>
      <c r="C609" s="87"/>
      <c r="D609" s="87"/>
      <c r="E609" s="9"/>
      <c r="F609" s="87"/>
      <c r="G609" s="87"/>
      <c r="H609" s="87"/>
      <c r="I609" s="9"/>
      <c r="J609" s="87"/>
      <c r="K609" s="87"/>
      <c r="L609" s="87"/>
      <c r="M609" s="9"/>
      <c r="N609" s="87"/>
      <c r="O609" s="87"/>
      <c r="P609" s="87"/>
      <c r="Q609" s="9"/>
      <c r="R609" s="87"/>
      <c r="S609" s="87"/>
      <c r="T609" s="87"/>
      <c r="U609" s="9"/>
      <c r="V609" s="87"/>
      <c r="W609" s="87"/>
      <c r="X609" s="87"/>
      <c r="Y609" s="87"/>
      <c r="Z609" s="87"/>
      <c r="AA609" s="87"/>
      <c r="AB609" s="87"/>
      <c r="AC609" s="243"/>
      <c r="AD609" s="234"/>
      <c r="AE609" s="234"/>
      <c r="AF609" s="234"/>
      <c r="AG609" s="9"/>
      <c r="AH609" s="87"/>
      <c r="AI609" s="87"/>
      <c r="AJ609" s="87"/>
      <c r="AK609" s="244"/>
      <c r="AL609" s="245"/>
      <c r="AM609" s="244"/>
      <c r="AN609" s="244"/>
      <c r="AO609" s="87"/>
      <c r="AP609" s="87"/>
      <c r="AQ609" s="87"/>
      <c r="AR609" s="87"/>
      <c r="AS609" s="87"/>
      <c r="AT609" s="87"/>
      <c r="AU609" s="87"/>
      <c r="AV609" s="87"/>
      <c r="AW609" s="87"/>
      <c r="AX609" s="87"/>
    </row>
    <row r="610">
      <c r="A610" s="9"/>
      <c r="B610" s="87"/>
      <c r="C610" s="87"/>
      <c r="D610" s="87"/>
      <c r="E610" s="9"/>
      <c r="F610" s="87"/>
      <c r="G610" s="87"/>
      <c r="H610" s="87"/>
      <c r="I610" s="9"/>
      <c r="J610" s="87"/>
      <c r="K610" s="87"/>
      <c r="L610" s="87"/>
      <c r="M610" s="9"/>
      <c r="N610" s="87"/>
      <c r="O610" s="87"/>
      <c r="P610" s="87"/>
      <c r="Q610" s="9"/>
      <c r="R610" s="87"/>
      <c r="S610" s="87"/>
      <c r="T610" s="87"/>
      <c r="U610" s="9"/>
      <c r="V610" s="87"/>
      <c r="W610" s="87"/>
      <c r="X610" s="87"/>
      <c r="Y610" s="87"/>
      <c r="Z610" s="87"/>
      <c r="AA610" s="87"/>
      <c r="AB610" s="87"/>
      <c r="AC610" s="243"/>
      <c r="AD610" s="234"/>
      <c r="AE610" s="234"/>
      <c r="AF610" s="234"/>
      <c r="AG610" s="9"/>
      <c r="AH610" s="87"/>
      <c r="AI610" s="87"/>
      <c r="AJ610" s="87"/>
      <c r="AK610" s="244"/>
      <c r="AL610" s="245"/>
      <c r="AM610" s="244"/>
      <c r="AN610" s="244"/>
      <c r="AO610" s="87"/>
      <c r="AP610" s="87"/>
      <c r="AQ610" s="87"/>
      <c r="AR610" s="87"/>
      <c r="AS610" s="87"/>
      <c r="AT610" s="87"/>
      <c r="AU610" s="87"/>
      <c r="AV610" s="87"/>
      <c r="AW610" s="87"/>
      <c r="AX610" s="87"/>
    </row>
    <row r="611">
      <c r="A611" s="9"/>
      <c r="B611" s="87"/>
      <c r="C611" s="87"/>
      <c r="D611" s="87"/>
      <c r="E611" s="9"/>
      <c r="F611" s="87"/>
      <c r="G611" s="87"/>
      <c r="H611" s="87"/>
      <c r="I611" s="9"/>
      <c r="J611" s="87"/>
      <c r="K611" s="87"/>
      <c r="L611" s="87"/>
      <c r="M611" s="9"/>
      <c r="N611" s="87"/>
      <c r="O611" s="87"/>
      <c r="P611" s="87"/>
      <c r="Q611" s="9"/>
      <c r="R611" s="87"/>
      <c r="S611" s="87"/>
      <c r="T611" s="87"/>
      <c r="U611" s="9"/>
      <c r="V611" s="87"/>
      <c r="W611" s="87"/>
      <c r="X611" s="87"/>
      <c r="Y611" s="87"/>
      <c r="Z611" s="87"/>
      <c r="AA611" s="87"/>
      <c r="AB611" s="87"/>
      <c r="AC611" s="243"/>
      <c r="AD611" s="234"/>
      <c r="AE611" s="234"/>
      <c r="AF611" s="234"/>
      <c r="AG611" s="9"/>
      <c r="AH611" s="87"/>
      <c r="AI611" s="87"/>
      <c r="AJ611" s="87"/>
      <c r="AK611" s="244"/>
      <c r="AL611" s="245"/>
      <c r="AM611" s="244"/>
      <c r="AN611" s="244"/>
      <c r="AO611" s="87"/>
      <c r="AP611" s="87"/>
      <c r="AQ611" s="87"/>
      <c r="AR611" s="87"/>
      <c r="AS611" s="87"/>
      <c r="AT611" s="87"/>
      <c r="AU611" s="87"/>
      <c r="AV611" s="87"/>
      <c r="AW611" s="87"/>
      <c r="AX611" s="87"/>
    </row>
    <row r="612">
      <c r="A612" s="9"/>
      <c r="B612" s="87"/>
      <c r="C612" s="87"/>
      <c r="D612" s="87"/>
      <c r="E612" s="9"/>
      <c r="F612" s="87"/>
      <c r="G612" s="87"/>
      <c r="H612" s="87"/>
      <c r="I612" s="9"/>
      <c r="J612" s="87"/>
      <c r="K612" s="87"/>
      <c r="L612" s="87"/>
      <c r="M612" s="9"/>
      <c r="N612" s="87"/>
      <c r="O612" s="87"/>
      <c r="P612" s="87"/>
      <c r="Q612" s="9"/>
      <c r="R612" s="87"/>
      <c r="S612" s="87"/>
      <c r="T612" s="87"/>
      <c r="U612" s="9"/>
      <c r="V612" s="87"/>
      <c r="W612" s="87"/>
      <c r="X612" s="87"/>
      <c r="Y612" s="87"/>
      <c r="Z612" s="87"/>
      <c r="AA612" s="87"/>
      <c r="AB612" s="87"/>
      <c r="AC612" s="243"/>
      <c r="AD612" s="234"/>
      <c r="AE612" s="234"/>
      <c r="AF612" s="234"/>
      <c r="AG612" s="9"/>
      <c r="AH612" s="87"/>
      <c r="AI612" s="87"/>
      <c r="AJ612" s="87"/>
      <c r="AK612" s="244"/>
      <c r="AL612" s="245"/>
      <c r="AM612" s="244"/>
      <c r="AN612" s="244"/>
      <c r="AO612" s="87"/>
      <c r="AP612" s="87"/>
      <c r="AQ612" s="87"/>
      <c r="AR612" s="87"/>
      <c r="AS612" s="87"/>
      <c r="AT612" s="87"/>
      <c r="AU612" s="87"/>
      <c r="AV612" s="87"/>
      <c r="AW612" s="87"/>
      <c r="AX612" s="87"/>
    </row>
    <row r="613">
      <c r="A613" s="9"/>
      <c r="B613" s="87"/>
      <c r="C613" s="87"/>
      <c r="D613" s="87"/>
      <c r="E613" s="9"/>
      <c r="F613" s="87"/>
      <c r="G613" s="87"/>
      <c r="H613" s="87"/>
      <c r="I613" s="9"/>
      <c r="J613" s="87"/>
      <c r="K613" s="87"/>
      <c r="L613" s="87"/>
      <c r="M613" s="9"/>
      <c r="N613" s="87"/>
      <c r="O613" s="87"/>
      <c r="P613" s="87"/>
      <c r="Q613" s="9"/>
      <c r="R613" s="87"/>
      <c r="S613" s="87"/>
      <c r="T613" s="87"/>
      <c r="U613" s="9"/>
      <c r="V613" s="87"/>
      <c r="W613" s="87"/>
      <c r="X613" s="87"/>
      <c r="Y613" s="87"/>
      <c r="Z613" s="87"/>
      <c r="AA613" s="87"/>
      <c r="AB613" s="87"/>
      <c r="AC613" s="243"/>
      <c r="AD613" s="234"/>
      <c r="AE613" s="234"/>
      <c r="AF613" s="234"/>
      <c r="AG613" s="9"/>
      <c r="AH613" s="87"/>
      <c r="AI613" s="87"/>
      <c r="AJ613" s="87"/>
      <c r="AK613" s="244"/>
      <c r="AL613" s="245"/>
      <c r="AM613" s="244"/>
      <c r="AN613" s="244"/>
      <c r="AO613" s="87"/>
      <c r="AP613" s="87"/>
      <c r="AQ613" s="87"/>
      <c r="AR613" s="87"/>
      <c r="AS613" s="87"/>
      <c r="AT613" s="87"/>
      <c r="AU613" s="87"/>
      <c r="AV613" s="87"/>
      <c r="AW613" s="87"/>
      <c r="AX613" s="87"/>
    </row>
    <row r="614">
      <c r="A614" s="9"/>
      <c r="B614" s="87"/>
      <c r="C614" s="87"/>
      <c r="D614" s="87"/>
      <c r="E614" s="9"/>
      <c r="F614" s="87"/>
      <c r="G614" s="87"/>
      <c r="H614" s="87"/>
      <c r="I614" s="9"/>
      <c r="J614" s="87"/>
      <c r="K614" s="87"/>
      <c r="L614" s="87"/>
      <c r="M614" s="9"/>
      <c r="N614" s="87"/>
      <c r="O614" s="87"/>
      <c r="P614" s="87"/>
      <c r="Q614" s="9"/>
      <c r="R614" s="87"/>
      <c r="S614" s="87"/>
      <c r="T614" s="87"/>
      <c r="U614" s="9"/>
      <c r="V614" s="87"/>
      <c r="W614" s="87"/>
      <c r="X614" s="87"/>
      <c r="Y614" s="87"/>
      <c r="Z614" s="87"/>
      <c r="AA614" s="87"/>
      <c r="AB614" s="87"/>
      <c r="AC614" s="243"/>
      <c r="AD614" s="234"/>
      <c r="AE614" s="234"/>
      <c r="AF614" s="234"/>
      <c r="AG614" s="9"/>
      <c r="AH614" s="87"/>
      <c r="AI614" s="87"/>
      <c r="AJ614" s="87"/>
      <c r="AK614" s="244"/>
      <c r="AL614" s="245"/>
      <c r="AM614" s="244"/>
      <c r="AN614" s="244"/>
      <c r="AO614" s="87"/>
      <c r="AP614" s="87"/>
      <c r="AQ614" s="87"/>
      <c r="AR614" s="87"/>
      <c r="AS614" s="87"/>
      <c r="AT614" s="87"/>
      <c r="AU614" s="87"/>
      <c r="AV614" s="87"/>
      <c r="AW614" s="87"/>
      <c r="AX614" s="87"/>
    </row>
    <row r="615">
      <c r="A615" s="9"/>
      <c r="B615" s="87"/>
      <c r="C615" s="87"/>
      <c r="D615" s="87"/>
      <c r="E615" s="9"/>
      <c r="F615" s="87"/>
      <c r="G615" s="87"/>
      <c r="H615" s="87"/>
      <c r="I615" s="9"/>
      <c r="J615" s="87"/>
      <c r="K615" s="87"/>
      <c r="L615" s="87"/>
      <c r="M615" s="9"/>
      <c r="N615" s="87"/>
      <c r="O615" s="87"/>
      <c r="P615" s="87"/>
      <c r="Q615" s="9"/>
      <c r="R615" s="87"/>
      <c r="S615" s="87"/>
      <c r="T615" s="87"/>
      <c r="U615" s="9"/>
      <c r="V615" s="87"/>
      <c r="W615" s="87"/>
      <c r="X615" s="87"/>
      <c r="Y615" s="87"/>
      <c r="Z615" s="87"/>
      <c r="AA615" s="87"/>
      <c r="AB615" s="87"/>
      <c r="AC615" s="243"/>
      <c r="AD615" s="234"/>
      <c r="AE615" s="234"/>
      <c r="AF615" s="234"/>
      <c r="AG615" s="9"/>
      <c r="AH615" s="87"/>
      <c r="AI615" s="87"/>
      <c r="AJ615" s="87"/>
      <c r="AK615" s="244"/>
      <c r="AL615" s="245"/>
      <c r="AM615" s="244"/>
      <c r="AN615" s="244"/>
      <c r="AO615" s="87"/>
      <c r="AP615" s="87"/>
      <c r="AQ615" s="87"/>
      <c r="AR615" s="87"/>
      <c r="AS615" s="87"/>
      <c r="AT615" s="87"/>
      <c r="AU615" s="87"/>
      <c r="AV615" s="87"/>
      <c r="AW615" s="87"/>
      <c r="AX615" s="87"/>
    </row>
    <row r="616">
      <c r="A616" s="9"/>
      <c r="B616" s="87"/>
      <c r="C616" s="87"/>
      <c r="D616" s="87"/>
      <c r="E616" s="9"/>
      <c r="F616" s="87"/>
      <c r="G616" s="87"/>
      <c r="H616" s="87"/>
      <c r="I616" s="9"/>
      <c r="J616" s="87"/>
      <c r="K616" s="87"/>
      <c r="L616" s="87"/>
      <c r="M616" s="9"/>
      <c r="N616" s="87"/>
      <c r="O616" s="87"/>
      <c r="P616" s="87"/>
      <c r="Q616" s="9"/>
      <c r="R616" s="87"/>
      <c r="S616" s="87"/>
      <c r="T616" s="87"/>
      <c r="U616" s="9"/>
      <c r="V616" s="87"/>
      <c r="W616" s="87"/>
      <c r="X616" s="87"/>
      <c r="Y616" s="87"/>
      <c r="Z616" s="87"/>
      <c r="AA616" s="87"/>
      <c r="AB616" s="87"/>
      <c r="AC616" s="243"/>
      <c r="AD616" s="234"/>
      <c r="AE616" s="234"/>
      <c r="AF616" s="234"/>
      <c r="AG616" s="9"/>
      <c r="AH616" s="87"/>
      <c r="AI616" s="87"/>
      <c r="AJ616" s="87"/>
      <c r="AK616" s="244"/>
      <c r="AL616" s="245"/>
      <c r="AM616" s="244"/>
      <c r="AN616" s="244"/>
      <c r="AO616" s="87"/>
      <c r="AP616" s="87"/>
      <c r="AQ616" s="87"/>
      <c r="AR616" s="87"/>
      <c r="AS616" s="87"/>
      <c r="AT616" s="87"/>
      <c r="AU616" s="87"/>
      <c r="AV616" s="87"/>
      <c r="AW616" s="87"/>
      <c r="AX616" s="87"/>
    </row>
    <row r="617">
      <c r="A617" s="9"/>
      <c r="B617" s="87"/>
      <c r="C617" s="87"/>
      <c r="D617" s="87"/>
      <c r="E617" s="9"/>
      <c r="F617" s="87"/>
      <c r="G617" s="87"/>
      <c r="H617" s="87"/>
      <c r="I617" s="9"/>
      <c r="J617" s="87"/>
      <c r="K617" s="87"/>
      <c r="L617" s="87"/>
      <c r="M617" s="9"/>
      <c r="N617" s="87"/>
      <c r="O617" s="87"/>
      <c r="P617" s="87"/>
      <c r="Q617" s="9"/>
      <c r="R617" s="87"/>
      <c r="S617" s="87"/>
      <c r="T617" s="87"/>
      <c r="U617" s="9"/>
      <c r="V617" s="87"/>
      <c r="W617" s="87"/>
      <c r="X617" s="87"/>
      <c r="Y617" s="87"/>
      <c r="Z617" s="87"/>
      <c r="AA617" s="87"/>
      <c r="AB617" s="87"/>
      <c r="AC617" s="243"/>
      <c r="AD617" s="234"/>
      <c r="AE617" s="234"/>
      <c r="AF617" s="234"/>
      <c r="AG617" s="9"/>
      <c r="AH617" s="87"/>
      <c r="AI617" s="87"/>
      <c r="AJ617" s="87"/>
      <c r="AK617" s="244"/>
      <c r="AL617" s="245"/>
      <c r="AM617" s="244"/>
      <c r="AN617" s="244"/>
      <c r="AO617" s="87"/>
      <c r="AP617" s="87"/>
      <c r="AQ617" s="87"/>
      <c r="AR617" s="87"/>
      <c r="AS617" s="87"/>
      <c r="AT617" s="87"/>
      <c r="AU617" s="87"/>
      <c r="AV617" s="87"/>
      <c r="AW617" s="87"/>
      <c r="AX617" s="87"/>
    </row>
    <row r="618">
      <c r="A618" s="9"/>
      <c r="B618" s="87"/>
      <c r="C618" s="87"/>
      <c r="D618" s="87"/>
      <c r="E618" s="9"/>
      <c r="F618" s="87"/>
      <c r="G618" s="87"/>
      <c r="H618" s="87"/>
      <c r="I618" s="9"/>
      <c r="J618" s="87"/>
      <c r="K618" s="87"/>
      <c r="L618" s="87"/>
      <c r="M618" s="9"/>
      <c r="N618" s="87"/>
      <c r="O618" s="87"/>
      <c r="P618" s="87"/>
      <c r="Q618" s="9"/>
      <c r="R618" s="87"/>
      <c r="S618" s="87"/>
      <c r="T618" s="87"/>
      <c r="U618" s="9"/>
      <c r="V618" s="87"/>
      <c r="W618" s="87"/>
      <c r="X618" s="87"/>
      <c r="Y618" s="87"/>
      <c r="Z618" s="87"/>
      <c r="AA618" s="87"/>
      <c r="AB618" s="87"/>
      <c r="AC618" s="243"/>
      <c r="AD618" s="234"/>
      <c r="AE618" s="234"/>
      <c r="AF618" s="234"/>
      <c r="AG618" s="9"/>
      <c r="AH618" s="87"/>
      <c r="AI618" s="87"/>
      <c r="AJ618" s="87"/>
      <c r="AK618" s="244"/>
      <c r="AL618" s="245"/>
      <c r="AM618" s="244"/>
      <c r="AN618" s="244"/>
      <c r="AO618" s="87"/>
      <c r="AP618" s="87"/>
      <c r="AQ618" s="87"/>
      <c r="AR618" s="87"/>
      <c r="AS618" s="87"/>
      <c r="AT618" s="87"/>
      <c r="AU618" s="87"/>
      <c r="AV618" s="87"/>
      <c r="AW618" s="87"/>
      <c r="AX618" s="87"/>
    </row>
    <row r="619">
      <c r="A619" s="9"/>
      <c r="B619" s="87"/>
      <c r="C619" s="87"/>
      <c r="D619" s="87"/>
      <c r="E619" s="9"/>
      <c r="F619" s="87"/>
      <c r="G619" s="87"/>
      <c r="H619" s="87"/>
      <c r="I619" s="9"/>
      <c r="J619" s="87"/>
      <c r="K619" s="87"/>
      <c r="L619" s="87"/>
      <c r="M619" s="9"/>
      <c r="N619" s="87"/>
      <c r="O619" s="87"/>
      <c r="P619" s="87"/>
      <c r="Q619" s="9"/>
      <c r="R619" s="87"/>
      <c r="S619" s="87"/>
      <c r="T619" s="87"/>
      <c r="U619" s="9"/>
      <c r="V619" s="87"/>
      <c r="W619" s="87"/>
      <c r="X619" s="87"/>
      <c r="Y619" s="87"/>
      <c r="Z619" s="87"/>
      <c r="AA619" s="87"/>
      <c r="AB619" s="87"/>
      <c r="AC619" s="243"/>
      <c r="AD619" s="234"/>
      <c r="AE619" s="234"/>
      <c r="AF619" s="234"/>
      <c r="AG619" s="9"/>
      <c r="AH619" s="87"/>
      <c r="AI619" s="87"/>
      <c r="AJ619" s="87"/>
      <c r="AK619" s="244"/>
      <c r="AL619" s="245"/>
      <c r="AM619" s="244"/>
      <c r="AN619" s="244"/>
      <c r="AO619" s="87"/>
      <c r="AP619" s="87"/>
      <c r="AQ619" s="87"/>
      <c r="AR619" s="87"/>
      <c r="AS619" s="87"/>
      <c r="AT619" s="87"/>
      <c r="AU619" s="87"/>
      <c r="AV619" s="87"/>
      <c r="AW619" s="87"/>
      <c r="AX619" s="87"/>
    </row>
    <row r="620">
      <c r="A620" s="9"/>
      <c r="B620" s="87"/>
      <c r="C620" s="87"/>
      <c r="D620" s="87"/>
      <c r="E620" s="9"/>
      <c r="F620" s="87"/>
      <c r="G620" s="87"/>
      <c r="H620" s="87"/>
      <c r="I620" s="9"/>
      <c r="J620" s="87"/>
      <c r="K620" s="87"/>
      <c r="L620" s="87"/>
      <c r="M620" s="9"/>
      <c r="N620" s="87"/>
      <c r="O620" s="87"/>
      <c r="P620" s="87"/>
      <c r="Q620" s="9"/>
      <c r="R620" s="87"/>
      <c r="S620" s="87"/>
      <c r="T620" s="87"/>
      <c r="U620" s="9"/>
      <c r="V620" s="87"/>
      <c r="W620" s="87"/>
      <c r="X620" s="87"/>
      <c r="Y620" s="87"/>
      <c r="Z620" s="87"/>
      <c r="AA620" s="87"/>
      <c r="AB620" s="87"/>
      <c r="AC620" s="243"/>
      <c r="AD620" s="234"/>
      <c r="AE620" s="234"/>
      <c r="AF620" s="234"/>
      <c r="AG620" s="9"/>
      <c r="AH620" s="87"/>
      <c r="AI620" s="87"/>
      <c r="AJ620" s="87"/>
      <c r="AK620" s="244"/>
      <c r="AL620" s="245"/>
      <c r="AM620" s="244"/>
      <c r="AN620" s="244"/>
      <c r="AO620" s="87"/>
      <c r="AP620" s="87"/>
      <c r="AQ620" s="87"/>
      <c r="AR620" s="87"/>
      <c r="AS620" s="87"/>
      <c r="AT620" s="87"/>
      <c r="AU620" s="87"/>
      <c r="AV620" s="87"/>
      <c r="AW620" s="87"/>
      <c r="AX620" s="87"/>
    </row>
    <row r="621">
      <c r="A621" s="9"/>
      <c r="B621" s="87"/>
      <c r="C621" s="87"/>
      <c r="D621" s="87"/>
      <c r="E621" s="9"/>
      <c r="F621" s="87"/>
      <c r="G621" s="87"/>
      <c r="H621" s="87"/>
      <c r="I621" s="9"/>
      <c r="J621" s="87"/>
      <c r="K621" s="87"/>
      <c r="L621" s="87"/>
      <c r="M621" s="9"/>
      <c r="N621" s="87"/>
      <c r="O621" s="87"/>
      <c r="P621" s="87"/>
      <c r="Q621" s="9"/>
      <c r="R621" s="87"/>
      <c r="S621" s="87"/>
      <c r="T621" s="87"/>
      <c r="U621" s="9"/>
      <c r="V621" s="87"/>
      <c r="W621" s="87"/>
      <c r="X621" s="87"/>
      <c r="Y621" s="87"/>
      <c r="Z621" s="87"/>
      <c r="AA621" s="87"/>
      <c r="AB621" s="87"/>
      <c r="AC621" s="243"/>
      <c r="AD621" s="234"/>
      <c r="AE621" s="234"/>
      <c r="AF621" s="234"/>
      <c r="AG621" s="9"/>
      <c r="AH621" s="87"/>
      <c r="AI621" s="87"/>
      <c r="AJ621" s="87"/>
      <c r="AK621" s="244"/>
      <c r="AL621" s="245"/>
      <c r="AM621" s="244"/>
      <c r="AN621" s="244"/>
      <c r="AO621" s="87"/>
      <c r="AP621" s="87"/>
      <c r="AQ621" s="87"/>
      <c r="AR621" s="87"/>
      <c r="AS621" s="87"/>
      <c r="AT621" s="87"/>
      <c r="AU621" s="87"/>
      <c r="AV621" s="87"/>
      <c r="AW621" s="87"/>
      <c r="AX621" s="87"/>
    </row>
    <row r="622">
      <c r="A622" s="9"/>
      <c r="B622" s="87"/>
      <c r="C622" s="87"/>
      <c r="D622" s="87"/>
      <c r="E622" s="9"/>
      <c r="F622" s="87"/>
      <c r="G622" s="87"/>
      <c r="H622" s="87"/>
      <c r="I622" s="9"/>
      <c r="J622" s="87"/>
      <c r="K622" s="87"/>
      <c r="L622" s="87"/>
      <c r="M622" s="9"/>
      <c r="N622" s="87"/>
      <c r="O622" s="87"/>
      <c r="P622" s="87"/>
      <c r="Q622" s="9"/>
      <c r="R622" s="87"/>
      <c r="S622" s="87"/>
      <c r="T622" s="87"/>
      <c r="U622" s="9"/>
      <c r="V622" s="87"/>
      <c r="W622" s="87"/>
      <c r="X622" s="87"/>
      <c r="Y622" s="87"/>
      <c r="Z622" s="87"/>
      <c r="AA622" s="87"/>
      <c r="AB622" s="87"/>
      <c r="AC622" s="243"/>
      <c r="AD622" s="234"/>
      <c r="AE622" s="234"/>
      <c r="AF622" s="234"/>
      <c r="AG622" s="9"/>
      <c r="AH622" s="87"/>
      <c r="AI622" s="87"/>
      <c r="AJ622" s="87"/>
      <c r="AK622" s="244"/>
      <c r="AL622" s="245"/>
      <c r="AM622" s="244"/>
      <c r="AN622" s="244"/>
      <c r="AO622" s="87"/>
      <c r="AP622" s="87"/>
      <c r="AQ622" s="87"/>
      <c r="AR622" s="87"/>
      <c r="AS622" s="87"/>
      <c r="AT622" s="87"/>
      <c r="AU622" s="87"/>
      <c r="AV622" s="87"/>
      <c r="AW622" s="87"/>
      <c r="AX622" s="87"/>
    </row>
    <row r="623">
      <c r="A623" s="9"/>
      <c r="B623" s="87"/>
      <c r="C623" s="87"/>
      <c r="D623" s="87"/>
      <c r="E623" s="9"/>
      <c r="F623" s="87"/>
      <c r="G623" s="87"/>
      <c r="H623" s="87"/>
      <c r="I623" s="9"/>
      <c r="J623" s="87"/>
      <c r="K623" s="87"/>
      <c r="L623" s="87"/>
      <c r="M623" s="9"/>
      <c r="N623" s="87"/>
      <c r="O623" s="87"/>
      <c r="P623" s="87"/>
      <c r="Q623" s="9"/>
      <c r="R623" s="87"/>
      <c r="S623" s="87"/>
      <c r="T623" s="87"/>
      <c r="U623" s="9"/>
      <c r="V623" s="87"/>
      <c r="W623" s="87"/>
      <c r="X623" s="87"/>
      <c r="Y623" s="87"/>
      <c r="Z623" s="87"/>
      <c r="AA623" s="87"/>
      <c r="AB623" s="87"/>
      <c r="AC623" s="243"/>
      <c r="AD623" s="234"/>
      <c r="AE623" s="234"/>
      <c r="AF623" s="234"/>
      <c r="AG623" s="9"/>
      <c r="AH623" s="87"/>
      <c r="AI623" s="87"/>
      <c r="AJ623" s="87"/>
      <c r="AK623" s="244"/>
      <c r="AL623" s="245"/>
      <c r="AM623" s="244"/>
      <c r="AN623" s="244"/>
      <c r="AO623" s="87"/>
      <c r="AP623" s="87"/>
      <c r="AQ623" s="87"/>
      <c r="AR623" s="87"/>
      <c r="AS623" s="87"/>
      <c r="AT623" s="87"/>
      <c r="AU623" s="87"/>
      <c r="AV623" s="87"/>
      <c r="AW623" s="87"/>
      <c r="AX623" s="87"/>
    </row>
    <row r="624">
      <c r="A624" s="9"/>
      <c r="B624" s="87"/>
      <c r="C624" s="87"/>
      <c r="D624" s="87"/>
      <c r="E624" s="9"/>
      <c r="F624" s="87"/>
      <c r="G624" s="87"/>
      <c r="H624" s="87"/>
      <c r="I624" s="9"/>
      <c r="J624" s="87"/>
      <c r="K624" s="87"/>
      <c r="L624" s="87"/>
      <c r="M624" s="9"/>
      <c r="N624" s="87"/>
      <c r="O624" s="87"/>
      <c r="P624" s="87"/>
      <c r="Q624" s="9"/>
      <c r="R624" s="87"/>
      <c r="S624" s="87"/>
      <c r="T624" s="87"/>
      <c r="U624" s="9"/>
      <c r="V624" s="87"/>
      <c r="W624" s="87"/>
      <c r="X624" s="87"/>
      <c r="Y624" s="87"/>
      <c r="Z624" s="87"/>
      <c r="AA624" s="87"/>
      <c r="AB624" s="87"/>
      <c r="AC624" s="243"/>
      <c r="AD624" s="234"/>
      <c r="AE624" s="234"/>
      <c r="AF624" s="234"/>
      <c r="AG624" s="9"/>
      <c r="AH624" s="87"/>
      <c r="AI624" s="87"/>
      <c r="AJ624" s="87"/>
      <c r="AK624" s="244"/>
      <c r="AL624" s="245"/>
      <c r="AM624" s="244"/>
      <c r="AN624" s="244"/>
      <c r="AO624" s="87"/>
      <c r="AP624" s="87"/>
      <c r="AQ624" s="87"/>
      <c r="AR624" s="87"/>
      <c r="AS624" s="87"/>
      <c r="AT624" s="87"/>
      <c r="AU624" s="87"/>
      <c r="AV624" s="87"/>
      <c r="AW624" s="87"/>
      <c r="AX624" s="87"/>
    </row>
    <row r="625">
      <c r="A625" s="9"/>
      <c r="B625" s="87"/>
      <c r="C625" s="87"/>
      <c r="D625" s="87"/>
      <c r="E625" s="9"/>
      <c r="F625" s="87"/>
      <c r="G625" s="87"/>
      <c r="H625" s="87"/>
      <c r="I625" s="9"/>
      <c r="J625" s="87"/>
      <c r="K625" s="87"/>
      <c r="L625" s="87"/>
      <c r="M625" s="9"/>
      <c r="N625" s="87"/>
      <c r="O625" s="87"/>
      <c r="P625" s="87"/>
      <c r="Q625" s="9"/>
      <c r="R625" s="87"/>
      <c r="S625" s="87"/>
      <c r="T625" s="87"/>
      <c r="U625" s="9"/>
      <c r="V625" s="87"/>
      <c r="W625" s="87"/>
      <c r="X625" s="87"/>
      <c r="Y625" s="87"/>
      <c r="Z625" s="87"/>
      <c r="AA625" s="87"/>
      <c r="AB625" s="87"/>
      <c r="AC625" s="243"/>
      <c r="AD625" s="234"/>
      <c r="AE625" s="234"/>
      <c r="AF625" s="234"/>
      <c r="AG625" s="9"/>
      <c r="AH625" s="87"/>
      <c r="AI625" s="87"/>
      <c r="AJ625" s="87"/>
      <c r="AK625" s="244"/>
      <c r="AL625" s="245"/>
      <c r="AM625" s="244"/>
      <c r="AN625" s="244"/>
      <c r="AO625" s="87"/>
      <c r="AP625" s="87"/>
      <c r="AQ625" s="87"/>
      <c r="AR625" s="87"/>
      <c r="AS625" s="87"/>
      <c r="AT625" s="87"/>
      <c r="AU625" s="87"/>
      <c r="AV625" s="87"/>
      <c r="AW625" s="87"/>
      <c r="AX625" s="87"/>
    </row>
    <row r="626">
      <c r="A626" s="9"/>
      <c r="B626" s="87"/>
      <c r="C626" s="87"/>
      <c r="D626" s="87"/>
      <c r="E626" s="9"/>
      <c r="F626" s="87"/>
      <c r="G626" s="87"/>
      <c r="H626" s="87"/>
      <c r="I626" s="9"/>
      <c r="J626" s="87"/>
      <c r="K626" s="87"/>
      <c r="L626" s="87"/>
      <c r="M626" s="9"/>
      <c r="N626" s="87"/>
      <c r="O626" s="87"/>
      <c r="P626" s="87"/>
      <c r="Q626" s="9"/>
      <c r="R626" s="87"/>
      <c r="S626" s="87"/>
      <c r="T626" s="87"/>
      <c r="U626" s="9"/>
      <c r="V626" s="87"/>
      <c r="W626" s="87"/>
      <c r="X626" s="87"/>
      <c r="Y626" s="87"/>
      <c r="Z626" s="87"/>
      <c r="AA626" s="87"/>
      <c r="AB626" s="87"/>
      <c r="AC626" s="243"/>
      <c r="AD626" s="234"/>
      <c r="AE626" s="234"/>
      <c r="AF626" s="234"/>
      <c r="AG626" s="9"/>
      <c r="AH626" s="87"/>
      <c r="AI626" s="87"/>
      <c r="AJ626" s="87"/>
      <c r="AK626" s="244"/>
      <c r="AL626" s="245"/>
      <c r="AM626" s="244"/>
      <c r="AN626" s="244"/>
      <c r="AO626" s="87"/>
      <c r="AP626" s="87"/>
      <c r="AQ626" s="87"/>
      <c r="AR626" s="87"/>
      <c r="AS626" s="87"/>
      <c r="AT626" s="87"/>
      <c r="AU626" s="87"/>
      <c r="AV626" s="87"/>
      <c r="AW626" s="87"/>
      <c r="AX626" s="87"/>
    </row>
    <row r="627">
      <c r="A627" s="9"/>
      <c r="B627" s="87"/>
      <c r="C627" s="87"/>
      <c r="D627" s="87"/>
      <c r="E627" s="9"/>
      <c r="F627" s="87"/>
      <c r="G627" s="87"/>
      <c r="H627" s="87"/>
      <c r="I627" s="9"/>
      <c r="J627" s="87"/>
      <c r="K627" s="87"/>
      <c r="L627" s="87"/>
      <c r="M627" s="9"/>
      <c r="N627" s="87"/>
      <c r="O627" s="87"/>
      <c r="P627" s="87"/>
      <c r="Q627" s="9"/>
      <c r="R627" s="87"/>
      <c r="S627" s="87"/>
      <c r="T627" s="87"/>
      <c r="U627" s="9"/>
      <c r="V627" s="87"/>
      <c r="W627" s="87"/>
      <c r="X627" s="87"/>
      <c r="Y627" s="87"/>
      <c r="Z627" s="87"/>
      <c r="AA627" s="87"/>
      <c r="AB627" s="87"/>
      <c r="AC627" s="243"/>
      <c r="AD627" s="234"/>
      <c r="AE627" s="234"/>
      <c r="AF627" s="234"/>
      <c r="AG627" s="9"/>
      <c r="AH627" s="87"/>
      <c r="AI627" s="87"/>
      <c r="AJ627" s="87"/>
      <c r="AK627" s="244"/>
      <c r="AL627" s="245"/>
      <c r="AM627" s="244"/>
      <c r="AN627" s="244"/>
      <c r="AO627" s="87"/>
      <c r="AP627" s="87"/>
      <c r="AQ627" s="87"/>
      <c r="AR627" s="87"/>
      <c r="AS627" s="87"/>
      <c r="AT627" s="87"/>
      <c r="AU627" s="87"/>
      <c r="AV627" s="87"/>
      <c r="AW627" s="87"/>
      <c r="AX627" s="87"/>
    </row>
    <row r="628">
      <c r="A628" s="9"/>
      <c r="B628" s="87"/>
      <c r="C628" s="87"/>
      <c r="D628" s="87"/>
      <c r="E628" s="9"/>
      <c r="F628" s="87"/>
      <c r="G628" s="87"/>
      <c r="H628" s="87"/>
      <c r="I628" s="9"/>
      <c r="J628" s="87"/>
      <c r="K628" s="87"/>
      <c r="L628" s="87"/>
      <c r="M628" s="9"/>
      <c r="N628" s="87"/>
      <c r="O628" s="87"/>
      <c r="P628" s="87"/>
      <c r="Q628" s="9"/>
      <c r="R628" s="87"/>
      <c r="S628" s="87"/>
      <c r="T628" s="87"/>
      <c r="U628" s="9"/>
      <c r="V628" s="87"/>
      <c r="W628" s="87"/>
      <c r="X628" s="87"/>
      <c r="Y628" s="87"/>
      <c r="Z628" s="87"/>
      <c r="AA628" s="87"/>
      <c r="AB628" s="87"/>
      <c r="AC628" s="243"/>
      <c r="AD628" s="234"/>
      <c r="AE628" s="234"/>
      <c r="AF628" s="234"/>
      <c r="AG628" s="9"/>
      <c r="AH628" s="87"/>
      <c r="AI628" s="87"/>
      <c r="AJ628" s="87"/>
      <c r="AK628" s="244"/>
      <c r="AL628" s="245"/>
      <c r="AM628" s="244"/>
      <c r="AN628" s="244"/>
      <c r="AO628" s="87"/>
      <c r="AP628" s="87"/>
      <c r="AQ628" s="87"/>
      <c r="AR628" s="87"/>
      <c r="AS628" s="87"/>
      <c r="AT628" s="87"/>
      <c r="AU628" s="87"/>
      <c r="AV628" s="87"/>
      <c r="AW628" s="87"/>
      <c r="AX628" s="87"/>
    </row>
    <row r="629">
      <c r="A629" s="9"/>
      <c r="B629" s="87"/>
      <c r="C629" s="87"/>
      <c r="D629" s="87"/>
      <c r="E629" s="9"/>
      <c r="F629" s="87"/>
      <c r="G629" s="87"/>
      <c r="H629" s="87"/>
      <c r="I629" s="9"/>
      <c r="J629" s="87"/>
      <c r="K629" s="87"/>
      <c r="L629" s="87"/>
      <c r="M629" s="9"/>
      <c r="N629" s="87"/>
      <c r="O629" s="87"/>
      <c r="P629" s="87"/>
      <c r="Q629" s="9"/>
      <c r="R629" s="87"/>
      <c r="S629" s="87"/>
      <c r="T629" s="87"/>
      <c r="U629" s="9"/>
      <c r="V629" s="87"/>
      <c r="W629" s="87"/>
      <c r="X629" s="87"/>
      <c r="Y629" s="87"/>
      <c r="Z629" s="87"/>
      <c r="AA629" s="87"/>
      <c r="AB629" s="87"/>
      <c r="AC629" s="243"/>
      <c r="AD629" s="234"/>
      <c r="AE629" s="234"/>
      <c r="AF629" s="234"/>
      <c r="AG629" s="9"/>
      <c r="AH629" s="87"/>
      <c r="AI629" s="87"/>
      <c r="AJ629" s="87"/>
      <c r="AK629" s="244"/>
      <c r="AL629" s="245"/>
      <c r="AM629" s="244"/>
      <c r="AN629" s="244"/>
      <c r="AO629" s="87"/>
      <c r="AP629" s="87"/>
      <c r="AQ629" s="87"/>
      <c r="AR629" s="87"/>
      <c r="AS629" s="87"/>
      <c r="AT629" s="87"/>
      <c r="AU629" s="87"/>
      <c r="AV629" s="87"/>
      <c r="AW629" s="87"/>
      <c r="AX629" s="87"/>
    </row>
    <row r="630">
      <c r="A630" s="9"/>
      <c r="B630" s="87"/>
      <c r="C630" s="87"/>
      <c r="D630" s="87"/>
      <c r="E630" s="9"/>
      <c r="F630" s="87"/>
      <c r="G630" s="87"/>
      <c r="H630" s="87"/>
      <c r="I630" s="9"/>
      <c r="J630" s="87"/>
      <c r="K630" s="87"/>
      <c r="L630" s="87"/>
      <c r="M630" s="9"/>
      <c r="N630" s="87"/>
      <c r="O630" s="87"/>
      <c r="P630" s="87"/>
      <c r="Q630" s="9"/>
      <c r="R630" s="87"/>
      <c r="S630" s="87"/>
      <c r="T630" s="87"/>
      <c r="U630" s="9"/>
      <c r="V630" s="87"/>
      <c r="W630" s="87"/>
      <c r="X630" s="87"/>
      <c r="Y630" s="87"/>
      <c r="Z630" s="87"/>
      <c r="AA630" s="87"/>
      <c r="AB630" s="87"/>
      <c r="AC630" s="243"/>
      <c r="AD630" s="234"/>
      <c r="AE630" s="234"/>
      <c r="AF630" s="234"/>
      <c r="AG630" s="9"/>
      <c r="AH630" s="87"/>
      <c r="AI630" s="87"/>
      <c r="AJ630" s="87"/>
      <c r="AK630" s="244"/>
      <c r="AL630" s="245"/>
      <c r="AM630" s="244"/>
      <c r="AN630" s="244"/>
      <c r="AO630" s="87"/>
      <c r="AP630" s="87"/>
      <c r="AQ630" s="87"/>
      <c r="AR630" s="87"/>
      <c r="AS630" s="87"/>
      <c r="AT630" s="87"/>
      <c r="AU630" s="87"/>
      <c r="AV630" s="87"/>
      <c r="AW630" s="87"/>
      <c r="AX630" s="87"/>
    </row>
    <row r="631">
      <c r="A631" s="9"/>
      <c r="B631" s="87"/>
      <c r="C631" s="87"/>
      <c r="D631" s="87"/>
      <c r="E631" s="9"/>
      <c r="F631" s="87"/>
      <c r="G631" s="87"/>
      <c r="H631" s="87"/>
      <c r="I631" s="9"/>
      <c r="J631" s="87"/>
      <c r="K631" s="87"/>
      <c r="L631" s="87"/>
      <c r="M631" s="9"/>
      <c r="N631" s="87"/>
      <c r="O631" s="87"/>
      <c r="P631" s="87"/>
      <c r="Q631" s="9"/>
      <c r="R631" s="87"/>
      <c r="S631" s="87"/>
      <c r="T631" s="87"/>
      <c r="U631" s="9"/>
      <c r="V631" s="87"/>
      <c r="W631" s="87"/>
      <c r="X631" s="87"/>
      <c r="Y631" s="87"/>
      <c r="Z631" s="87"/>
      <c r="AA631" s="87"/>
      <c r="AB631" s="87"/>
      <c r="AC631" s="243"/>
      <c r="AD631" s="234"/>
      <c r="AE631" s="234"/>
      <c r="AF631" s="234"/>
      <c r="AG631" s="9"/>
      <c r="AH631" s="87"/>
      <c r="AI631" s="87"/>
      <c r="AJ631" s="87"/>
      <c r="AK631" s="244"/>
      <c r="AL631" s="245"/>
      <c r="AM631" s="244"/>
      <c r="AN631" s="244"/>
      <c r="AO631" s="87"/>
      <c r="AP631" s="87"/>
      <c r="AQ631" s="87"/>
      <c r="AR631" s="87"/>
      <c r="AS631" s="87"/>
      <c r="AT631" s="87"/>
      <c r="AU631" s="87"/>
      <c r="AV631" s="87"/>
      <c r="AW631" s="87"/>
      <c r="AX631" s="87"/>
    </row>
    <row r="632">
      <c r="A632" s="9"/>
      <c r="B632" s="87"/>
      <c r="C632" s="87"/>
      <c r="D632" s="87"/>
      <c r="E632" s="9"/>
      <c r="F632" s="87"/>
      <c r="G632" s="87"/>
      <c r="H632" s="87"/>
      <c r="I632" s="9"/>
      <c r="J632" s="87"/>
      <c r="K632" s="87"/>
      <c r="L632" s="87"/>
      <c r="M632" s="9"/>
      <c r="N632" s="87"/>
      <c r="O632" s="87"/>
      <c r="P632" s="87"/>
      <c r="Q632" s="9"/>
      <c r="R632" s="87"/>
      <c r="S632" s="87"/>
      <c r="T632" s="87"/>
      <c r="U632" s="9"/>
      <c r="V632" s="87"/>
      <c r="W632" s="87"/>
      <c r="X632" s="87"/>
      <c r="Y632" s="87"/>
      <c r="Z632" s="87"/>
      <c r="AA632" s="87"/>
      <c r="AB632" s="87"/>
      <c r="AC632" s="243"/>
      <c r="AD632" s="234"/>
      <c r="AE632" s="234"/>
      <c r="AF632" s="234"/>
      <c r="AG632" s="9"/>
      <c r="AH632" s="87"/>
      <c r="AI632" s="87"/>
      <c r="AJ632" s="87"/>
      <c r="AK632" s="244"/>
      <c r="AL632" s="245"/>
      <c r="AM632" s="244"/>
      <c r="AN632" s="244"/>
      <c r="AO632" s="87"/>
      <c r="AP632" s="87"/>
      <c r="AQ632" s="87"/>
      <c r="AR632" s="87"/>
      <c r="AS632" s="87"/>
      <c r="AT632" s="87"/>
      <c r="AU632" s="87"/>
      <c r="AV632" s="87"/>
      <c r="AW632" s="87"/>
      <c r="AX632" s="87"/>
    </row>
    <row r="633">
      <c r="A633" s="9"/>
      <c r="B633" s="87"/>
      <c r="C633" s="87"/>
      <c r="D633" s="87"/>
      <c r="E633" s="9"/>
      <c r="F633" s="87"/>
      <c r="G633" s="87"/>
      <c r="H633" s="87"/>
      <c r="I633" s="9"/>
      <c r="J633" s="87"/>
      <c r="K633" s="87"/>
      <c r="L633" s="87"/>
      <c r="M633" s="9"/>
      <c r="N633" s="87"/>
      <c r="O633" s="87"/>
      <c r="P633" s="87"/>
      <c r="Q633" s="9"/>
      <c r="R633" s="87"/>
      <c r="S633" s="87"/>
      <c r="T633" s="87"/>
      <c r="U633" s="9"/>
      <c r="V633" s="87"/>
      <c r="W633" s="87"/>
      <c r="X633" s="87"/>
      <c r="Y633" s="87"/>
      <c r="Z633" s="87"/>
      <c r="AA633" s="87"/>
      <c r="AB633" s="87"/>
      <c r="AC633" s="243"/>
      <c r="AD633" s="234"/>
      <c r="AE633" s="234"/>
      <c r="AF633" s="234"/>
      <c r="AG633" s="9"/>
      <c r="AH633" s="87"/>
      <c r="AI633" s="87"/>
      <c r="AJ633" s="87"/>
      <c r="AK633" s="244"/>
      <c r="AL633" s="245"/>
      <c r="AM633" s="244"/>
      <c r="AN633" s="244"/>
      <c r="AO633" s="87"/>
      <c r="AP633" s="87"/>
      <c r="AQ633" s="87"/>
      <c r="AR633" s="87"/>
      <c r="AS633" s="87"/>
      <c r="AT633" s="87"/>
      <c r="AU633" s="87"/>
      <c r="AV633" s="87"/>
      <c r="AW633" s="87"/>
      <c r="AX633" s="87"/>
    </row>
    <row r="634">
      <c r="A634" s="9"/>
      <c r="B634" s="87"/>
      <c r="C634" s="87"/>
      <c r="D634" s="87"/>
      <c r="E634" s="9"/>
      <c r="F634" s="87"/>
      <c r="G634" s="87"/>
      <c r="H634" s="87"/>
      <c r="I634" s="9"/>
      <c r="J634" s="87"/>
      <c r="K634" s="87"/>
      <c r="L634" s="87"/>
      <c r="M634" s="9"/>
      <c r="N634" s="87"/>
      <c r="O634" s="87"/>
      <c r="P634" s="87"/>
      <c r="Q634" s="9"/>
      <c r="R634" s="87"/>
      <c r="S634" s="87"/>
      <c r="T634" s="87"/>
      <c r="U634" s="9"/>
      <c r="V634" s="87"/>
      <c r="W634" s="87"/>
      <c r="X634" s="87"/>
      <c r="Y634" s="87"/>
      <c r="Z634" s="87"/>
      <c r="AA634" s="87"/>
      <c r="AB634" s="87"/>
      <c r="AC634" s="243"/>
      <c r="AD634" s="234"/>
      <c r="AE634" s="234"/>
      <c r="AF634" s="234"/>
      <c r="AG634" s="9"/>
      <c r="AH634" s="87"/>
      <c r="AI634" s="87"/>
      <c r="AJ634" s="87"/>
      <c r="AK634" s="244"/>
      <c r="AL634" s="245"/>
      <c r="AM634" s="244"/>
      <c r="AN634" s="244"/>
      <c r="AO634" s="87"/>
      <c r="AP634" s="87"/>
      <c r="AQ634" s="87"/>
      <c r="AR634" s="87"/>
      <c r="AS634" s="87"/>
      <c r="AT634" s="87"/>
      <c r="AU634" s="87"/>
      <c r="AV634" s="87"/>
      <c r="AW634" s="87"/>
      <c r="AX634" s="87"/>
    </row>
    <row r="635">
      <c r="A635" s="9"/>
      <c r="B635" s="87"/>
      <c r="C635" s="87"/>
      <c r="D635" s="87"/>
      <c r="E635" s="9"/>
      <c r="F635" s="87"/>
      <c r="G635" s="87"/>
      <c r="H635" s="87"/>
      <c r="I635" s="9"/>
      <c r="J635" s="87"/>
      <c r="K635" s="87"/>
      <c r="L635" s="87"/>
      <c r="M635" s="9"/>
      <c r="N635" s="87"/>
      <c r="O635" s="87"/>
      <c r="P635" s="87"/>
      <c r="Q635" s="9"/>
      <c r="R635" s="87"/>
      <c r="S635" s="87"/>
      <c r="T635" s="87"/>
      <c r="U635" s="9"/>
      <c r="V635" s="87"/>
      <c r="W635" s="87"/>
      <c r="X635" s="87"/>
      <c r="Y635" s="87"/>
      <c r="Z635" s="87"/>
      <c r="AA635" s="87"/>
      <c r="AB635" s="87"/>
      <c r="AC635" s="243"/>
      <c r="AD635" s="234"/>
      <c r="AE635" s="234"/>
      <c r="AF635" s="234"/>
      <c r="AG635" s="9"/>
      <c r="AH635" s="87"/>
      <c r="AI635" s="87"/>
      <c r="AJ635" s="87"/>
      <c r="AK635" s="244"/>
      <c r="AL635" s="245"/>
      <c r="AM635" s="244"/>
      <c r="AN635" s="244"/>
      <c r="AO635" s="87"/>
      <c r="AP635" s="87"/>
      <c r="AQ635" s="87"/>
      <c r="AR635" s="87"/>
      <c r="AS635" s="87"/>
      <c r="AT635" s="87"/>
      <c r="AU635" s="87"/>
      <c r="AV635" s="87"/>
      <c r="AW635" s="87"/>
      <c r="AX635" s="87"/>
    </row>
    <row r="636">
      <c r="A636" s="9"/>
      <c r="B636" s="87"/>
      <c r="C636" s="87"/>
      <c r="D636" s="87"/>
      <c r="E636" s="9"/>
      <c r="F636" s="87"/>
      <c r="G636" s="87"/>
      <c r="H636" s="87"/>
      <c r="I636" s="9"/>
      <c r="J636" s="87"/>
      <c r="K636" s="87"/>
      <c r="L636" s="87"/>
      <c r="M636" s="9"/>
      <c r="N636" s="87"/>
      <c r="O636" s="87"/>
      <c r="P636" s="87"/>
      <c r="Q636" s="9"/>
      <c r="R636" s="87"/>
      <c r="S636" s="87"/>
      <c r="T636" s="87"/>
      <c r="U636" s="9"/>
      <c r="V636" s="87"/>
      <c r="W636" s="87"/>
      <c r="X636" s="87"/>
      <c r="Y636" s="87"/>
      <c r="Z636" s="87"/>
      <c r="AA636" s="87"/>
      <c r="AB636" s="87"/>
      <c r="AC636" s="243"/>
      <c r="AD636" s="234"/>
      <c r="AE636" s="234"/>
      <c r="AF636" s="234"/>
      <c r="AG636" s="9"/>
      <c r="AH636" s="87"/>
      <c r="AI636" s="87"/>
      <c r="AJ636" s="87"/>
      <c r="AK636" s="244"/>
      <c r="AL636" s="245"/>
      <c r="AM636" s="244"/>
      <c r="AN636" s="244"/>
      <c r="AO636" s="87"/>
      <c r="AP636" s="87"/>
      <c r="AQ636" s="87"/>
      <c r="AR636" s="87"/>
      <c r="AS636" s="87"/>
      <c r="AT636" s="87"/>
      <c r="AU636" s="87"/>
      <c r="AV636" s="87"/>
      <c r="AW636" s="87"/>
      <c r="AX636" s="87"/>
    </row>
    <row r="637">
      <c r="A637" s="9"/>
      <c r="B637" s="87"/>
      <c r="C637" s="87"/>
      <c r="D637" s="87"/>
      <c r="E637" s="9"/>
      <c r="F637" s="87"/>
      <c r="G637" s="87"/>
      <c r="H637" s="87"/>
      <c r="I637" s="9"/>
      <c r="J637" s="87"/>
      <c r="K637" s="87"/>
      <c r="L637" s="87"/>
      <c r="M637" s="9"/>
      <c r="N637" s="87"/>
      <c r="O637" s="87"/>
      <c r="P637" s="87"/>
      <c r="Q637" s="9"/>
      <c r="R637" s="87"/>
      <c r="S637" s="87"/>
      <c r="T637" s="87"/>
      <c r="U637" s="9"/>
      <c r="V637" s="87"/>
      <c r="W637" s="87"/>
      <c r="X637" s="87"/>
      <c r="Y637" s="87"/>
      <c r="Z637" s="87"/>
      <c r="AA637" s="87"/>
      <c r="AB637" s="87"/>
      <c r="AC637" s="243"/>
      <c r="AD637" s="234"/>
      <c r="AE637" s="234"/>
      <c r="AF637" s="234"/>
      <c r="AG637" s="9"/>
      <c r="AH637" s="87"/>
      <c r="AI637" s="87"/>
      <c r="AJ637" s="87"/>
      <c r="AK637" s="244"/>
      <c r="AL637" s="245"/>
      <c r="AM637" s="244"/>
      <c r="AN637" s="244"/>
      <c r="AO637" s="87"/>
      <c r="AP637" s="87"/>
      <c r="AQ637" s="87"/>
      <c r="AR637" s="87"/>
      <c r="AS637" s="87"/>
      <c r="AT637" s="87"/>
      <c r="AU637" s="87"/>
      <c r="AV637" s="87"/>
      <c r="AW637" s="87"/>
      <c r="AX637" s="87"/>
    </row>
    <row r="638">
      <c r="A638" s="9"/>
      <c r="B638" s="87"/>
      <c r="C638" s="87"/>
      <c r="D638" s="87"/>
      <c r="E638" s="9"/>
      <c r="F638" s="87"/>
      <c r="G638" s="87"/>
      <c r="H638" s="87"/>
      <c r="I638" s="9"/>
      <c r="J638" s="87"/>
      <c r="K638" s="87"/>
      <c r="L638" s="87"/>
      <c r="M638" s="9"/>
      <c r="N638" s="87"/>
      <c r="O638" s="87"/>
      <c r="P638" s="87"/>
      <c r="Q638" s="9"/>
      <c r="R638" s="87"/>
      <c r="S638" s="87"/>
      <c r="T638" s="87"/>
      <c r="U638" s="9"/>
      <c r="V638" s="87"/>
      <c r="W638" s="87"/>
      <c r="X638" s="87"/>
      <c r="Y638" s="87"/>
      <c r="Z638" s="87"/>
      <c r="AA638" s="87"/>
      <c r="AB638" s="87"/>
      <c r="AC638" s="243"/>
      <c r="AD638" s="234"/>
      <c r="AE638" s="234"/>
      <c r="AF638" s="234"/>
      <c r="AG638" s="9"/>
      <c r="AH638" s="87"/>
      <c r="AI638" s="87"/>
      <c r="AJ638" s="87"/>
      <c r="AK638" s="244"/>
      <c r="AL638" s="245"/>
      <c r="AM638" s="244"/>
      <c r="AN638" s="244"/>
      <c r="AO638" s="87"/>
      <c r="AP638" s="87"/>
      <c r="AQ638" s="87"/>
      <c r="AR638" s="87"/>
      <c r="AS638" s="87"/>
      <c r="AT638" s="87"/>
      <c r="AU638" s="87"/>
      <c r="AV638" s="87"/>
      <c r="AW638" s="87"/>
      <c r="AX638" s="87"/>
    </row>
    <row r="639">
      <c r="A639" s="9"/>
      <c r="B639" s="87"/>
      <c r="C639" s="87"/>
      <c r="D639" s="87"/>
      <c r="E639" s="9"/>
      <c r="F639" s="87"/>
      <c r="G639" s="87"/>
      <c r="H639" s="87"/>
      <c r="I639" s="9"/>
      <c r="J639" s="87"/>
      <c r="K639" s="87"/>
      <c r="L639" s="87"/>
      <c r="M639" s="9"/>
      <c r="N639" s="87"/>
      <c r="O639" s="87"/>
      <c r="P639" s="87"/>
      <c r="Q639" s="9"/>
      <c r="R639" s="87"/>
      <c r="S639" s="87"/>
      <c r="T639" s="87"/>
      <c r="U639" s="9"/>
      <c r="V639" s="87"/>
      <c r="W639" s="87"/>
      <c r="X639" s="87"/>
      <c r="Y639" s="87"/>
      <c r="Z639" s="87"/>
      <c r="AA639" s="87"/>
      <c r="AB639" s="87"/>
      <c r="AC639" s="243"/>
      <c r="AD639" s="234"/>
      <c r="AE639" s="234"/>
      <c r="AF639" s="234"/>
      <c r="AG639" s="9"/>
      <c r="AH639" s="87"/>
      <c r="AI639" s="87"/>
      <c r="AJ639" s="87"/>
      <c r="AK639" s="244"/>
      <c r="AL639" s="245"/>
      <c r="AM639" s="244"/>
      <c r="AN639" s="244"/>
      <c r="AO639" s="87"/>
      <c r="AP639" s="87"/>
      <c r="AQ639" s="87"/>
      <c r="AR639" s="87"/>
      <c r="AS639" s="87"/>
      <c r="AT639" s="87"/>
      <c r="AU639" s="87"/>
      <c r="AV639" s="87"/>
      <c r="AW639" s="87"/>
      <c r="AX639" s="87"/>
    </row>
    <row r="640">
      <c r="A640" s="9"/>
      <c r="B640" s="87"/>
      <c r="C640" s="87"/>
      <c r="D640" s="87"/>
      <c r="E640" s="9"/>
      <c r="F640" s="87"/>
      <c r="G640" s="87"/>
      <c r="H640" s="87"/>
      <c r="I640" s="9"/>
      <c r="J640" s="87"/>
      <c r="K640" s="87"/>
      <c r="L640" s="87"/>
      <c r="M640" s="9"/>
      <c r="N640" s="87"/>
      <c r="O640" s="87"/>
      <c r="P640" s="87"/>
      <c r="Q640" s="9"/>
      <c r="R640" s="87"/>
      <c r="S640" s="87"/>
      <c r="T640" s="87"/>
      <c r="U640" s="9"/>
      <c r="V640" s="87"/>
      <c r="W640" s="87"/>
      <c r="X640" s="87"/>
      <c r="Y640" s="87"/>
      <c r="Z640" s="87"/>
      <c r="AA640" s="87"/>
      <c r="AB640" s="87"/>
      <c r="AC640" s="243"/>
      <c r="AD640" s="234"/>
      <c r="AE640" s="234"/>
      <c r="AF640" s="234"/>
      <c r="AG640" s="9"/>
      <c r="AH640" s="87"/>
      <c r="AI640" s="87"/>
      <c r="AJ640" s="87"/>
      <c r="AK640" s="244"/>
      <c r="AL640" s="245"/>
      <c r="AM640" s="244"/>
      <c r="AN640" s="244"/>
      <c r="AO640" s="87"/>
      <c r="AP640" s="87"/>
      <c r="AQ640" s="87"/>
      <c r="AR640" s="87"/>
      <c r="AS640" s="87"/>
      <c r="AT640" s="87"/>
      <c r="AU640" s="87"/>
      <c r="AV640" s="87"/>
      <c r="AW640" s="87"/>
      <c r="AX640" s="87"/>
    </row>
    <row r="641">
      <c r="A641" s="9"/>
      <c r="B641" s="87"/>
      <c r="C641" s="87"/>
      <c r="D641" s="87"/>
      <c r="E641" s="9"/>
      <c r="F641" s="87"/>
      <c r="G641" s="87"/>
      <c r="H641" s="87"/>
      <c r="I641" s="9"/>
      <c r="J641" s="87"/>
      <c r="K641" s="87"/>
      <c r="L641" s="87"/>
      <c r="M641" s="9"/>
      <c r="N641" s="87"/>
      <c r="O641" s="87"/>
      <c r="P641" s="87"/>
      <c r="Q641" s="9"/>
      <c r="R641" s="87"/>
      <c r="S641" s="87"/>
      <c r="T641" s="87"/>
      <c r="U641" s="9"/>
      <c r="V641" s="87"/>
      <c r="W641" s="87"/>
      <c r="X641" s="87"/>
      <c r="Y641" s="87"/>
      <c r="Z641" s="87"/>
      <c r="AA641" s="87"/>
      <c r="AB641" s="87"/>
      <c r="AC641" s="243"/>
      <c r="AD641" s="234"/>
      <c r="AE641" s="234"/>
      <c r="AF641" s="234"/>
      <c r="AG641" s="9"/>
      <c r="AH641" s="87"/>
      <c r="AI641" s="87"/>
      <c r="AJ641" s="87"/>
      <c r="AK641" s="244"/>
      <c r="AL641" s="245"/>
      <c r="AM641" s="244"/>
      <c r="AN641" s="244"/>
      <c r="AO641" s="87"/>
      <c r="AP641" s="87"/>
      <c r="AQ641" s="87"/>
      <c r="AR641" s="87"/>
      <c r="AS641" s="87"/>
      <c r="AT641" s="87"/>
      <c r="AU641" s="87"/>
      <c r="AV641" s="87"/>
      <c r="AW641" s="87"/>
      <c r="AX641" s="87"/>
    </row>
    <row r="642">
      <c r="A642" s="9"/>
      <c r="B642" s="87"/>
      <c r="C642" s="87"/>
      <c r="D642" s="87"/>
      <c r="E642" s="9"/>
      <c r="F642" s="87"/>
      <c r="G642" s="87"/>
      <c r="H642" s="87"/>
      <c r="I642" s="9"/>
      <c r="J642" s="87"/>
      <c r="K642" s="87"/>
      <c r="L642" s="87"/>
      <c r="M642" s="9"/>
      <c r="N642" s="87"/>
      <c r="O642" s="87"/>
      <c r="P642" s="87"/>
      <c r="Q642" s="9"/>
      <c r="R642" s="87"/>
      <c r="S642" s="87"/>
      <c r="T642" s="87"/>
      <c r="U642" s="9"/>
      <c r="V642" s="87"/>
      <c r="W642" s="87"/>
      <c r="X642" s="87"/>
      <c r="Y642" s="87"/>
      <c r="Z642" s="87"/>
      <c r="AA642" s="87"/>
      <c r="AB642" s="87"/>
      <c r="AC642" s="243"/>
      <c r="AD642" s="234"/>
      <c r="AE642" s="234"/>
      <c r="AF642" s="234"/>
      <c r="AG642" s="9"/>
      <c r="AH642" s="87"/>
      <c r="AI642" s="87"/>
      <c r="AJ642" s="87"/>
      <c r="AK642" s="244"/>
      <c r="AL642" s="245"/>
      <c r="AM642" s="244"/>
      <c r="AN642" s="244"/>
      <c r="AO642" s="87"/>
      <c r="AP642" s="87"/>
      <c r="AQ642" s="87"/>
      <c r="AR642" s="87"/>
      <c r="AS642" s="87"/>
      <c r="AT642" s="87"/>
      <c r="AU642" s="87"/>
      <c r="AV642" s="87"/>
      <c r="AW642" s="87"/>
      <c r="AX642" s="87"/>
    </row>
    <row r="643">
      <c r="A643" s="9"/>
      <c r="B643" s="87"/>
      <c r="C643" s="87"/>
      <c r="D643" s="87"/>
      <c r="E643" s="9"/>
      <c r="F643" s="87"/>
      <c r="G643" s="87"/>
      <c r="H643" s="87"/>
      <c r="I643" s="9"/>
      <c r="J643" s="87"/>
      <c r="K643" s="87"/>
      <c r="L643" s="87"/>
      <c r="M643" s="9"/>
      <c r="N643" s="87"/>
      <c r="O643" s="87"/>
      <c r="P643" s="87"/>
      <c r="Q643" s="9"/>
      <c r="R643" s="87"/>
      <c r="S643" s="87"/>
      <c r="T643" s="87"/>
      <c r="U643" s="9"/>
      <c r="V643" s="87"/>
      <c r="W643" s="87"/>
      <c r="X643" s="87"/>
      <c r="Y643" s="87"/>
      <c r="Z643" s="87"/>
      <c r="AA643" s="87"/>
      <c r="AB643" s="87"/>
      <c r="AC643" s="243"/>
      <c r="AD643" s="234"/>
      <c r="AE643" s="234"/>
      <c r="AF643" s="234"/>
      <c r="AG643" s="9"/>
      <c r="AH643" s="87"/>
      <c r="AI643" s="87"/>
      <c r="AJ643" s="87"/>
      <c r="AK643" s="244"/>
      <c r="AL643" s="245"/>
      <c r="AM643" s="244"/>
      <c r="AN643" s="244"/>
      <c r="AO643" s="87"/>
      <c r="AP643" s="87"/>
      <c r="AQ643" s="87"/>
      <c r="AR643" s="87"/>
      <c r="AS643" s="87"/>
      <c r="AT643" s="87"/>
      <c r="AU643" s="87"/>
      <c r="AV643" s="87"/>
      <c r="AW643" s="87"/>
      <c r="AX643" s="87"/>
    </row>
    <row r="644">
      <c r="A644" s="9"/>
      <c r="B644" s="87"/>
      <c r="C644" s="87"/>
      <c r="D644" s="87"/>
      <c r="E644" s="9"/>
      <c r="F644" s="87"/>
      <c r="G644" s="87"/>
      <c r="H644" s="87"/>
      <c r="I644" s="9"/>
      <c r="J644" s="87"/>
      <c r="K644" s="87"/>
      <c r="L644" s="87"/>
      <c r="M644" s="9"/>
      <c r="N644" s="87"/>
      <c r="O644" s="87"/>
      <c r="P644" s="87"/>
      <c r="Q644" s="9"/>
      <c r="R644" s="87"/>
      <c r="S644" s="87"/>
      <c r="T644" s="87"/>
      <c r="U644" s="9"/>
      <c r="V644" s="87"/>
      <c r="W644" s="87"/>
      <c r="X644" s="87"/>
      <c r="Y644" s="87"/>
      <c r="Z644" s="87"/>
      <c r="AA644" s="87"/>
      <c r="AB644" s="87"/>
      <c r="AC644" s="243"/>
      <c r="AD644" s="234"/>
      <c r="AE644" s="234"/>
      <c r="AF644" s="234"/>
      <c r="AG644" s="9"/>
      <c r="AH644" s="87"/>
      <c r="AI644" s="87"/>
      <c r="AJ644" s="87"/>
      <c r="AK644" s="244"/>
      <c r="AL644" s="245"/>
      <c r="AM644" s="244"/>
      <c r="AN644" s="244"/>
      <c r="AO644" s="87"/>
      <c r="AP644" s="87"/>
      <c r="AQ644" s="87"/>
      <c r="AR644" s="87"/>
      <c r="AS644" s="87"/>
      <c r="AT644" s="87"/>
      <c r="AU644" s="87"/>
      <c r="AV644" s="87"/>
      <c r="AW644" s="87"/>
      <c r="AX644" s="87"/>
    </row>
    <row r="645">
      <c r="A645" s="9"/>
      <c r="B645" s="87"/>
      <c r="C645" s="87"/>
      <c r="D645" s="87"/>
      <c r="E645" s="9"/>
      <c r="F645" s="87"/>
      <c r="G645" s="87"/>
      <c r="H645" s="87"/>
      <c r="I645" s="9"/>
      <c r="J645" s="87"/>
      <c r="K645" s="87"/>
      <c r="L645" s="87"/>
      <c r="M645" s="9"/>
      <c r="N645" s="87"/>
      <c r="O645" s="87"/>
      <c r="P645" s="87"/>
      <c r="Q645" s="9"/>
      <c r="R645" s="87"/>
      <c r="S645" s="87"/>
      <c r="T645" s="87"/>
      <c r="U645" s="9"/>
      <c r="V645" s="87"/>
      <c r="W645" s="87"/>
      <c r="X645" s="87"/>
      <c r="Y645" s="87"/>
      <c r="Z645" s="87"/>
      <c r="AA645" s="87"/>
      <c r="AB645" s="87"/>
      <c r="AC645" s="243"/>
      <c r="AD645" s="234"/>
      <c r="AE645" s="234"/>
      <c r="AF645" s="234"/>
      <c r="AG645" s="9"/>
      <c r="AH645" s="87"/>
      <c r="AI645" s="87"/>
      <c r="AJ645" s="87"/>
      <c r="AK645" s="244"/>
      <c r="AL645" s="245"/>
      <c r="AM645" s="244"/>
      <c r="AN645" s="244"/>
      <c r="AO645" s="87"/>
      <c r="AP645" s="87"/>
      <c r="AQ645" s="87"/>
      <c r="AR645" s="87"/>
      <c r="AS645" s="87"/>
      <c r="AT645" s="87"/>
      <c r="AU645" s="87"/>
      <c r="AV645" s="87"/>
      <c r="AW645" s="87"/>
      <c r="AX645" s="87"/>
    </row>
    <row r="646">
      <c r="A646" s="9"/>
      <c r="B646" s="87"/>
      <c r="C646" s="87"/>
      <c r="D646" s="87"/>
      <c r="E646" s="9"/>
      <c r="F646" s="87"/>
      <c r="G646" s="87"/>
      <c r="H646" s="87"/>
      <c r="I646" s="9"/>
      <c r="J646" s="87"/>
      <c r="K646" s="87"/>
      <c r="L646" s="87"/>
      <c r="M646" s="9"/>
      <c r="N646" s="87"/>
      <c r="O646" s="87"/>
      <c r="P646" s="87"/>
      <c r="Q646" s="9"/>
      <c r="R646" s="87"/>
      <c r="S646" s="87"/>
      <c r="T646" s="87"/>
      <c r="U646" s="9"/>
      <c r="V646" s="87"/>
      <c r="W646" s="87"/>
      <c r="X646" s="87"/>
      <c r="Y646" s="87"/>
      <c r="Z646" s="87"/>
      <c r="AA646" s="87"/>
      <c r="AB646" s="87"/>
      <c r="AC646" s="243"/>
      <c r="AD646" s="234"/>
      <c r="AE646" s="234"/>
      <c r="AF646" s="234"/>
      <c r="AG646" s="9"/>
      <c r="AH646" s="87"/>
      <c r="AI646" s="87"/>
      <c r="AJ646" s="87"/>
      <c r="AK646" s="244"/>
      <c r="AL646" s="245"/>
      <c r="AM646" s="244"/>
      <c r="AN646" s="244"/>
      <c r="AO646" s="87"/>
      <c r="AP646" s="87"/>
      <c r="AQ646" s="87"/>
      <c r="AR646" s="87"/>
      <c r="AS646" s="87"/>
      <c r="AT646" s="87"/>
      <c r="AU646" s="87"/>
      <c r="AV646" s="87"/>
      <c r="AW646" s="87"/>
      <c r="AX646" s="87"/>
    </row>
    <row r="647">
      <c r="A647" s="9"/>
      <c r="B647" s="87"/>
      <c r="C647" s="87"/>
      <c r="D647" s="87"/>
      <c r="E647" s="9"/>
      <c r="F647" s="87"/>
      <c r="G647" s="87"/>
      <c r="H647" s="87"/>
      <c r="I647" s="9"/>
      <c r="J647" s="87"/>
      <c r="K647" s="87"/>
      <c r="L647" s="87"/>
      <c r="M647" s="9"/>
      <c r="N647" s="87"/>
      <c r="O647" s="87"/>
      <c r="P647" s="87"/>
      <c r="Q647" s="9"/>
      <c r="R647" s="87"/>
      <c r="S647" s="87"/>
      <c r="T647" s="87"/>
      <c r="U647" s="9"/>
      <c r="V647" s="87"/>
      <c r="W647" s="87"/>
      <c r="X647" s="87"/>
      <c r="Y647" s="87"/>
      <c r="Z647" s="87"/>
      <c r="AA647" s="87"/>
      <c r="AB647" s="87"/>
      <c r="AC647" s="243"/>
      <c r="AD647" s="234"/>
      <c r="AE647" s="234"/>
      <c r="AF647" s="234"/>
      <c r="AG647" s="9"/>
      <c r="AH647" s="87"/>
      <c r="AI647" s="87"/>
      <c r="AJ647" s="87"/>
      <c r="AK647" s="244"/>
      <c r="AL647" s="245"/>
      <c r="AM647" s="244"/>
      <c r="AN647" s="244"/>
      <c r="AO647" s="87"/>
      <c r="AP647" s="87"/>
      <c r="AQ647" s="87"/>
      <c r="AR647" s="87"/>
      <c r="AS647" s="87"/>
      <c r="AT647" s="87"/>
      <c r="AU647" s="87"/>
      <c r="AV647" s="87"/>
      <c r="AW647" s="87"/>
      <c r="AX647" s="87"/>
    </row>
    <row r="648">
      <c r="A648" s="9"/>
      <c r="B648" s="87"/>
      <c r="C648" s="87"/>
      <c r="D648" s="87"/>
      <c r="E648" s="9"/>
      <c r="F648" s="87"/>
      <c r="G648" s="87"/>
      <c r="H648" s="87"/>
      <c r="I648" s="9"/>
      <c r="J648" s="87"/>
      <c r="K648" s="87"/>
      <c r="L648" s="87"/>
      <c r="M648" s="9"/>
      <c r="N648" s="87"/>
      <c r="O648" s="87"/>
      <c r="P648" s="87"/>
      <c r="Q648" s="9"/>
      <c r="R648" s="87"/>
      <c r="S648" s="87"/>
      <c r="T648" s="87"/>
      <c r="U648" s="9"/>
      <c r="V648" s="87"/>
      <c r="W648" s="87"/>
      <c r="X648" s="87"/>
      <c r="Y648" s="87"/>
      <c r="Z648" s="87"/>
      <c r="AA648" s="87"/>
      <c r="AB648" s="87"/>
      <c r="AC648" s="243"/>
      <c r="AD648" s="234"/>
      <c r="AE648" s="234"/>
      <c r="AF648" s="234"/>
      <c r="AG648" s="9"/>
      <c r="AH648" s="87"/>
      <c r="AI648" s="87"/>
      <c r="AJ648" s="87"/>
      <c r="AK648" s="244"/>
      <c r="AL648" s="245"/>
      <c r="AM648" s="244"/>
      <c r="AN648" s="244"/>
      <c r="AO648" s="87"/>
      <c r="AP648" s="87"/>
      <c r="AQ648" s="87"/>
      <c r="AR648" s="87"/>
      <c r="AS648" s="87"/>
      <c r="AT648" s="87"/>
      <c r="AU648" s="87"/>
      <c r="AV648" s="87"/>
      <c r="AW648" s="87"/>
      <c r="AX648" s="87"/>
    </row>
    <row r="649">
      <c r="A649" s="9"/>
      <c r="B649" s="87"/>
      <c r="C649" s="87"/>
      <c r="D649" s="87"/>
      <c r="E649" s="9"/>
      <c r="F649" s="87"/>
      <c r="G649" s="87"/>
      <c r="H649" s="87"/>
      <c r="I649" s="9"/>
      <c r="J649" s="87"/>
      <c r="K649" s="87"/>
      <c r="L649" s="87"/>
      <c r="M649" s="9"/>
      <c r="N649" s="87"/>
      <c r="O649" s="87"/>
      <c r="P649" s="87"/>
      <c r="Q649" s="9"/>
      <c r="R649" s="87"/>
      <c r="S649" s="87"/>
      <c r="T649" s="87"/>
      <c r="U649" s="9"/>
      <c r="V649" s="87"/>
      <c r="W649" s="87"/>
      <c r="X649" s="87"/>
      <c r="Y649" s="87"/>
      <c r="Z649" s="87"/>
      <c r="AA649" s="87"/>
      <c r="AB649" s="87"/>
      <c r="AC649" s="243"/>
      <c r="AD649" s="234"/>
      <c r="AE649" s="234"/>
      <c r="AF649" s="234"/>
      <c r="AG649" s="9"/>
      <c r="AH649" s="87"/>
      <c r="AI649" s="87"/>
      <c r="AJ649" s="87"/>
      <c r="AK649" s="244"/>
      <c r="AL649" s="245"/>
      <c r="AM649" s="244"/>
      <c r="AN649" s="244"/>
      <c r="AO649" s="87"/>
      <c r="AP649" s="87"/>
      <c r="AQ649" s="87"/>
      <c r="AR649" s="87"/>
      <c r="AS649" s="87"/>
      <c r="AT649" s="87"/>
      <c r="AU649" s="87"/>
      <c r="AV649" s="87"/>
      <c r="AW649" s="87"/>
      <c r="AX649" s="87"/>
    </row>
    <row r="650">
      <c r="A650" s="9"/>
      <c r="B650" s="87"/>
      <c r="C650" s="87"/>
      <c r="D650" s="87"/>
      <c r="E650" s="9"/>
      <c r="F650" s="87"/>
      <c r="G650" s="87"/>
      <c r="H650" s="87"/>
      <c r="I650" s="9"/>
      <c r="J650" s="87"/>
      <c r="K650" s="87"/>
      <c r="L650" s="87"/>
      <c r="M650" s="9"/>
      <c r="N650" s="87"/>
      <c r="O650" s="87"/>
      <c r="P650" s="87"/>
      <c r="Q650" s="9"/>
      <c r="R650" s="87"/>
      <c r="S650" s="87"/>
      <c r="T650" s="87"/>
      <c r="U650" s="9"/>
      <c r="V650" s="87"/>
      <c r="W650" s="87"/>
      <c r="X650" s="87"/>
      <c r="Y650" s="87"/>
      <c r="Z650" s="87"/>
      <c r="AA650" s="87"/>
      <c r="AB650" s="87"/>
      <c r="AC650" s="243"/>
      <c r="AD650" s="234"/>
      <c r="AE650" s="234"/>
      <c r="AF650" s="234"/>
      <c r="AG650" s="9"/>
      <c r="AH650" s="87"/>
      <c r="AI650" s="87"/>
      <c r="AJ650" s="87"/>
      <c r="AK650" s="244"/>
      <c r="AL650" s="245"/>
      <c r="AM650" s="244"/>
      <c r="AN650" s="244"/>
      <c r="AO650" s="87"/>
      <c r="AP650" s="87"/>
      <c r="AQ650" s="87"/>
      <c r="AR650" s="87"/>
      <c r="AS650" s="87"/>
      <c r="AT650" s="87"/>
      <c r="AU650" s="87"/>
      <c r="AV650" s="87"/>
      <c r="AW650" s="87"/>
      <c r="AX650" s="87"/>
    </row>
    <row r="651">
      <c r="A651" s="9"/>
      <c r="B651" s="87"/>
      <c r="C651" s="87"/>
      <c r="D651" s="87"/>
      <c r="E651" s="9"/>
      <c r="F651" s="87"/>
      <c r="G651" s="87"/>
      <c r="H651" s="87"/>
      <c r="I651" s="9"/>
      <c r="J651" s="87"/>
      <c r="K651" s="87"/>
      <c r="L651" s="87"/>
      <c r="M651" s="9"/>
      <c r="N651" s="87"/>
      <c r="O651" s="87"/>
      <c r="P651" s="87"/>
      <c r="Q651" s="9"/>
      <c r="R651" s="87"/>
      <c r="S651" s="87"/>
      <c r="T651" s="87"/>
      <c r="U651" s="9"/>
      <c r="V651" s="87"/>
      <c r="W651" s="87"/>
      <c r="X651" s="87"/>
      <c r="Y651" s="87"/>
      <c r="Z651" s="87"/>
      <c r="AA651" s="87"/>
      <c r="AB651" s="87"/>
      <c r="AC651" s="243"/>
      <c r="AD651" s="234"/>
      <c r="AE651" s="234"/>
      <c r="AF651" s="234"/>
      <c r="AG651" s="9"/>
      <c r="AH651" s="87"/>
      <c r="AI651" s="87"/>
      <c r="AJ651" s="87"/>
      <c r="AK651" s="244"/>
      <c r="AL651" s="245"/>
      <c r="AM651" s="244"/>
      <c r="AN651" s="244"/>
      <c r="AO651" s="87"/>
      <c r="AP651" s="87"/>
      <c r="AQ651" s="87"/>
      <c r="AR651" s="87"/>
      <c r="AS651" s="87"/>
      <c r="AT651" s="87"/>
      <c r="AU651" s="87"/>
      <c r="AV651" s="87"/>
      <c r="AW651" s="87"/>
      <c r="AX651" s="87"/>
    </row>
    <row r="652">
      <c r="A652" s="9"/>
      <c r="B652" s="87"/>
      <c r="C652" s="87"/>
      <c r="D652" s="87"/>
      <c r="E652" s="9"/>
      <c r="F652" s="87"/>
      <c r="G652" s="87"/>
      <c r="H652" s="87"/>
      <c r="I652" s="9"/>
      <c r="J652" s="87"/>
      <c r="K652" s="87"/>
      <c r="L652" s="87"/>
      <c r="M652" s="9"/>
      <c r="N652" s="87"/>
      <c r="O652" s="87"/>
      <c r="P652" s="87"/>
      <c r="Q652" s="9"/>
      <c r="R652" s="87"/>
      <c r="S652" s="87"/>
      <c r="T652" s="87"/>
      <c r="U652" s="9"/>
      <c r="V652" s="87"/>
      <c r="W652" s="87"/>
      <c r="X652" s="87"/>
      <c r="Y652" s="87"/>
      <c r="Z652" s="87"/>
      <c r="AA652" s="87"/>
      <c r="AB652" s="87"/>
      <c r="AC652" s="243"/>
      <c r="AD652" s="234"/>
      <c r="AE652" s="234"/>
      <c r="AF652" s="234"/>
      <c r="AG652" s="9"/>
      <c r="AH652" s="87"/>
      <c r="AI652" s="87"/>
      <c r="AJ652" s="87"/>
      <c r="AK652" s="244"/>
      <c r="AL652" s="245"/>
      <c r="AM652" s="244"/>
      <c r="AN652" s="244"/>
      <c r="AO652" s="87"/>
      <c r="AP652" s="87"/>
      <c r="AQ652" s="87"/>
      <c r="AR652" s="87"/>
      <c r="AS652" s="87"/>
      <c r="AT652" s="87"/>
      <c r="AU652" s="87"/>
      <c r="AV652" s="87"/>
      <c r="AW652" s="87"/>
      <c r="AX652" s="87"/>
    </row>
    <row r="653">
      <c r="A653" s="9"/>
      <c r="B653" s="87"/>
      <c r="C653" s="87"/>
      <c r="D653" s="87"/>
      <c r="E653" s="9"/>
      <c r="F653" s="87"/>
      <c r="G653" s="87"/>
      <c r="H653" s="87"/>
      <c r="I653" s="9"/>
      <c r="J653" s="87"/>
      <c r="K653" s="87"/>
      <c r="L653" s="87"/>
      <c r="M653" s="9"/>
      <c r="N653" s="87"/>
      <c r="O653" s="87"/>
      <c r="P653" s="87"/>
      <c r="Q653" s="9"/>
      <c r="R653" s="87"/>
      <c r="S653" s="87"/>
      <c r="T653" s="87"/>
      <c r="U653" s="9"/>
      <c r="V653" s="87"/>
      <c r="W653" s="87"/>
      <c r="X653" s="87"/>
      <c r="Y653" s="87"/>
      <c r="Z653" s="87"/>
      <c r="AA653" s="87"/>
      <c r="AB653" s="87"/>
      <c r="AC653" s="243"/>
      <c r="AD653" s="234"/>
      <c r="AE653" s="234"/>
      <c r="AF653" s="234"/>
      <c r="AG653" s="9"/>
      <c r="AH653" s="87"/>
      <c r="AI653" s="87"/>
      <c r="AJ653" s="87"/>
      <c r="AK653" s="244"/>
      <c r="AL653" s="245"/>
      <c r="AM653" s="244"/>
      <c r="AN653" s="244"/>
      <c r="AO653" s="87"/>
      <c r="AP653" s="87"/>
      <c r="AQ653" s="87"/>
      <c r="AR653" s="87"/>
      <c r="AS653" s="87"/>
      <c r="AT653" s="87"/>
      <c r="AU653" s="87"/>
      <c r="AV653" s="87"/>
      <c r="AW653" s="87"/>
      <c r="AX653" s="87"/>
    </row>
    <row r="654">
      <c r="A654" s="9"/>
      <c r="B654" s="87"/>
      <c r="C654" s="87"/>
      <c r="D654" s="87"/>
      <c r="E654" s="9"/>
      <c r="F654" s="87"/>
      <c r="G654" s="87"/>
      <c r="H654" s="87"/>
      <c r="I654" s="9"/>
      <c r="J654" s="87"/>
      <c r="K654" s="87"/>
      <c r="L654" s="87"/>
      <c r="M654" s="9"/>
      <c r="N654" s="87"/>
      <c r="O654" s="87"/>
      <c r="P654" s="87"/>
      <c r="Q654" s="9"/>
      <c r="R654" s="87"/>
      <c r="S654" s="87"/>
      <c r="T654" s="87"/>
      <c r="U654" s="9"/>
      <c r="V654" s="87"/>
      <c r="W654" s="87"/>
      <c r="X654" s="87"/>
      <c r="Y654" s="87"/>
      <c r="Z654" s="87"/>
      <c r="AA654" s="87"/>
      <c r="AB654" s="87"/>
      <c r="AC654" s="243"/>
      <c r="AD654" s="234"/>
      <c r="AE654" s="234"/>
      <c r="AF654" s="234"/>
      <c r="AG654" s="9"/>
      <c r="AH654" s="87"/>
      <c r="AI654" s="87"/>
      <c r="AJ654" s="87"/>
      <c r="AK654" s="244"/>
      <c r="AL654" s="245"/>
      <c r="AM654" s="244"/>
      <c r="AN654" s="244"/>
      <c r="AO654" s="87"/>
      <c r="AP654" s="87"/>
      <c r="AQ654" s="87"/>
      <c r="AR654" s="87"/>
      <c r="AS654" s="87"/>
      <c r="AT654" s="87"/>
      <c r="AU654" s="87"/>
      <c r="AV654" s="87"/>
      <c r="AW654" s="87"/>
      <c r="AX654" s="87"/>
    </row>
    <row r="655">
      <c r="A655" s="9"/>
      <c r="B655" s="87"/>
      <c r="C655" s="87"/>
      <c r="D655" s="87"/>
      <c r="E655" s="9"/>
      <c r="F655" s="87"/>
      <c r="G655" s="87"/>
      <c r="H655" s="87"/>
      <c r="I655" s="9"/>
      <c r="J655" s="87"/>
      <c r="K655" s="87"/>
      <c r="L655" s="87"/>
      <c r="M655" s="9"/>
      <c r="N655" s="87"/>
      <c r="O655" s="87"/>
      <c r="P655" s="87"/>
      <c r="Q655" s="9"/>
      <c r="R655" s="87"/>
      <c r="S655" s="87"/>
      <c r="T655" s="87"/>
      <c r="U655" s="9"/>
      <c r="V655" s="87"/>
      <c r="W655" s="87"/>
      <c r="X655" s="87"/>
      <c r="Y655" s="87"/>
      <c r="Z655" s="87"/>
      <c r="AA655" s="87"/>
      <c r="AB655" s="87"/>
      <c r="AC655" s="243"/>
      <c r="AD655" s="234"/>
      <c r="AE655" s="234"/>
      <c r="AF655" s="234"/>
      <c r="AG655" s="9"/>
      <c r="AH655" s="87"/>
      <c r="AI655" s="87"/>
      <c r="AJ655" s="87"/>
      <c r="AK655" s="244"/>
      <c r="AL655" s="245"/>
      <c r="AM655" s="244"/>
      <c r="AN655" s="244"/>
      <c r="AO655" s="87"/>
      <c r="AP655" s="87"/>
      <c r="AQ655" s="87"/>
      <c r="AR655" s="87"/>
      <c r="AS655" s="87"/>
      <c r="AT655" s="87"/>
      <c r="AU655" s="87"/>
      <c r="AV655" s="87"/>
      <c r="AW655" s="87"/>
      <c r="AX655" s="87"/>
    </row>
    <row r="656">
      <c r="A656" s="9"/>
      <c r="B656" s="87"/>
      <c r="C656" s="87"/>
      <c r="D656" s="87"/>
      <c r="E656" s="9"/>
      <c r="F656" s="87"/>
      <c r="G656" s="87"/>
      <c r="H656" s="87"/>
      <c r="I656" s="9"/>
      <c r="J656" s="87"/>
      <c r="K656" s="87"/>
      <c r="L656" s="87"/>
      <c r="M656" s="9"/>
      <c r="N656" s="87"/>
      <c r="O656" s="87"/>
      <c r="P656" s="87"/>
      <c r="Q656" s="9"/>
      <c r="R656" s="87"/>
      <c r="S656" s="87"/>
      <c r="T656" s="87"/>
      <c r="U656" s="9"/>
      <c r="V656" s="87"/>
      <c r="W656" s="87"/>
      <c r="X656" s="87"/>
      <c r="Y656" s="87"/>
      <c r="Z656" s="87"/>
      <c r="AA656" s="87"/>
      <c r="AB656" s="87"/>
      <c r="AC656" s="243"/>
      <c r="AD656" s="234"/>
      <c r="AE656" s="234"/>
      <c r="AF656" s="234"/>
      <c r="AG656" s="9"/>
      <c r="AH656" s="87"/>
      <c r="AI656" s="87"/>
      <c r="AJ656" s="87"/>
      <c r="AK656" s="244"/>
      <c r="AL656" s="245"/>
      <c r="AM656" s="244"/>
      <c r="AN656" s="244"/>
      <c r="AO656" s="87"/>
      <c r="AP656" s="87"/>
      <c r="AQ656" s="87"/>
      <c r="AR656" s="87"/>
      <c r="AS656" s="87"/>
      <c r="AT656" s="87"/>
      <c r="AU656" s="87"/>
      <c r="AV656" s="87"/>
      <c r="AW656" s="87"/>
      <c r="AX656" s="87"/>
    </row>
    <row r="657">
      <c r="A657" s="9"/>
      <c r="B657" s="87"/>
      <c r="C657" s="87"/>
      <c r="D657" s="87"/>
      <c r="E657" s="9"/>
      <c r="F657" s="87"/>
      <c r="G657" s="87"/>
      <c r="H657" s="87"/>
      <c r="I657" s="9"/>
      <c r="J657" s="87"/>
      <c r="K657" s="87"/>
      <c r="L657" s="87"/>
      <c r="M657" s="9"/>
      <c r="N657" s="87"/>
      <c r="O657" s="87"/>
      <c r="P657" s="87"/>
      <c r="Q657" s="9"/>
      <c r="R657" s="87"/>
      <c r="S657" s="87"/>
      <c r="T657" s="87"/>
      <c r="U657" s="9"/>
      <c r="V657" s="87"/>
      <c r="W657" s="87"/>
      <c r="X657" s="87"/>
      <c r="Y657" s="87"/>
      <c r="Z657" s="87"/>
      <c r="AA657" s="87"/>
      <c r="AB657" s="87"/>
      <c r="AC657" s="243"/>
      <c r="AD657" s="234"/>
      <c r="AE657" s="234"/>
      <c r="AF657" s="234"/>
      <c r="AG657" s="9"/>
      <c r="AH657" s="87"/>
      <c r="AI657" s="87"/>
      <c r="AJ657" s="87"/>
      <c r="AK657" s="244"/>
      <c r="AL657" s="245"/>
      <c r="AM657" s="244"/>
      <c r="AN657" s="244"/>
      <c r="AO657" s="87"/>
      <c r="AP657" s="87"/>
      <c r="AQ657" s="87"/>
      <c r="AR657" s="87"/>
      <c r="AS657" s="87"/>
      <c r="AT657" s="87"/>
      <c r="AU657" s="87"/>
      <c r="AV657" s="87"/>
      <c r="AW657" s="87"/>
      <c r="AX657" s="87"/>
    </row>
    <row r="658">
      <c r="A658" s="9"/>
      <c r="B658" s="87"/>
      <c r="C658" s="87"/>
      <c r="D658" s="87"/>
      <c r="E658" s="9"/>
      <c r="F658" s="87"/>
      <c r="G658" s="87"/>
      <c r="H658" s="87"/>
      <c r="I658" s="9"/>
      <c r="J658" s="87"/>
      <c r="K658" s="87"/>
      <c r="L658" s="87"/>
      <c r="M658" s="9"/>
      <c r="N658" s="87"/>
      <c r="O658" s="87"/>
      <c r="P658" s="87"/>
      <c r="Q658" s="9"/>
      <c r="R658" s="87"/>
      <c r="S658" s="87"/>
      <c r="T658" s="87"/>
      <c r="U658" s="9"/>
      <c r="V658" s="87"/>
      <c r="W658" s="87"/>
      <c r="X658" s="87"/>
      <c r="Y658" s="87"/>
      <c r="Z658" s="87"/>
      <c r="AA658" s="87"/>
      <c r="AB658" s="87"/>
      <c r="AC658" s="243"/>
      <c r="AD658" s="234"/>
      <c r="AE658" s="234"/>
      <c r="AF658" s="234"/>
      <c r="AG658" s="9"/>
      <c r="AH658" s="87"/>
      <c r="AI658" s="87"/>
      <c r="AJ658" s="87"/>
      <c r="AK658" s="244"/>
      <c r="AL658" s="245"/>
      <c r="AM658" s="244"/>
      <c r="AN658" s="244"/>
      <c r="AO658" s="87"/>
      <c r="AP658" s="87"/>
      <c r="AQ658" s="87"/>
      <c r="AR658" s="87"/>
      <c r="AS658" s="87"/>
      <c r="AT658" s="87"/>
      <c r="AU658" s="87"/>
      <c r="AV658" s="87"/>
      <c r="AW658" s="87"/>
      <c r="AX658" s="87"/>
    </row>
    <row r="659">
      <c r="A659" s="9"/>
      <c r="B659" s="87"/>
      <c r="C659" s="87"/>
      <c r="D659" s="87"/>
      <c r="E659" s="9"/>
      <c r="F659" s="87"/>
      <c r="G659" s="87"/>
      <c r="H659" s="87"/>
      <c r="I659" s="9"/>
      <c r="J659" s="87"/>
      <c r="K659" s="87"/>
      <c r="L659" s="87"/>
      <c r="M659" s="9"/>
      <c r="N659" s="87"/>
      <c r="O659" s="87"/>
      <c r="P659" s="87"/>
      <c r="Q659" s="9"/>
      <c r="R659" s="87"/>
      <c r="S659" s="87"/>
      <c r="T659" s="87"/>
      <c r="U659" s="9"/>
      <c r="V659" s="87"/>
      <c r="W659" s="87"/>
      <c r="X659" s="87"/>
      <c r="Y659" s="87"/>
      <c r="Z659" s="87"/>
      <c r="AA659" s="87"/>
      <c r="AB659" s="87"/>
      <c r="AC659" s="243"/>
      <c r="AD659" s="234"/>
      <c r="AE659" s="234"/>
      <c r="AF659" s="234"/>
      <c r="AG659" s="9"/>
      <c r="AH659" s="87"/>
      <c r="AI659" s="87"/>
      <c r="AJ659" s="87"/>
      <c r="AK659" s="244"/>
      <c r="AL659" s="245"/>
      <c r="AM659" s="244"/>
      <c r="AN659" s="244"/>
      <c r="AO659" s="87"/>
      <c r="AP659" s="87"/>
      <c r="AQ659" s="87"/>
      <c r="AR659" s="87"/>
      <c r="AS659" s="87"/>
      <c r="AT659" s="87"/>
      <c r="AU659" s="87"/>
      <c r="AV659" s="87"/>
      <c r="AW659" s="87"/>
      <c r="AX659" s="87"/>
    </row>
    <row r="660">
      <c r="A660" s="9"/>
      <c r="B660" s="87"/>
      <c r="C660" s="87"/>
      <c r="D660" s="87"/>
      <c r="E660" s="9"/>
      <c r="F660" s="87"/>
      <c r="G660" s="87"/>
      <c r="H660" s="87"/>
      <c r="I660" s="9"/>
      <c r="J660" s="87"/>
      <c r="K660" s="87"/>
      <c r="L660" s="87"/>
      <c r="M660" s="9"/>
      <c r="N660" s="87"/>
      <c r="O660" s="87"/>
      <c r="P660" s="87"/>
      <c r="Q660" s="9"/>
      <c r="R660" s="87"/>
      <c r="S660" s="87"/>
      <c r="T660" s="87"/>
      <c r="U660" s="9"/>
      <c r="V660" s="87"/>
      <c r="W660" s="87"/>
      <c r="X660" s="87"/>
      <c r="Y660" s="87"/>
      <c r="Z660" s="87"/>
      <c r="AA660" s="87"/>
      <c r="AB660" s="87"/>
      <c r="AC660" s="243"/>
      <c r="AD660" s="234"/>
      <c r="AE660" s="234"/>
      <c r="AF660" s="234"/>
      <c r="AG660" s="9"/>
      <c r="AH660" s="87"/>
      <c r="AI660" s="87"/>
      <c r="AJ660" s="87"/>
      <c r="AK660" s="244"/>
      <c r="AL660" s="245"/>
      <c r="AM660" s="244"/>
      <c r="AN660" s="244"/>
      <c r="AO660" s="87"/>
      <c r="AP660" s="87"/>
      <c r="AQ660" s="87"/>
      <c r="AR660" s="87"/>
      <c r="AS660" s="87"/>
      <c r="AT660" s="87"/>
      <c r="AU660" s="87"/>
      <c r="AV660" s="87"/>
      <c r="AW660" s="87"/>
      <c r="AX660" s="87"/>
    </row>
    <row r="661">
      <c r="A661" s="9"/>
      <c r="B661" s="87"/>
      <c r="C661" s="87"/>
      <c r="D661" s="87"/>
      <c r="E661" s="9"/>
      <c r="F661" s="87"/>
      <c r="G661" s="87"/>
      <c r="H661" s="87"/>
      <c r="I661" s="9"/>
      <c r="J661" s="87"/>
      <c r="K661" s="87"/>
      <c r="L661" s="87"/>
      <c r="M661" s="9"/>
      <c r="N661" s="87"/>
      <c r="O661" s="87"/>
      <c r="P661" s="87"/>
      <c r="Q661" s="9"/>
      <c r="R661" s="87"/>
      <c r="S661" s="87"/>
      <c r="T661" s="87"/>
      <c r="U661" s="9"/>
      <c r="V661" s="87"/>
      <c r="W661" s="87"/>
      <c r="X661" s="87"/>
      <c r="Y661" s="87"/>
      <c r="Z661" s="87"/>
      <c r="AA661" s="87"/>
      <c r="AB661" s="87"/>
      <c r="AC661" s="243"/>
      <c r="AD661" s="234"/>
      <c r="AE661" s="234"/>
      <c r="AF661" s="234"/>
      <c r="AG661" s="9"/>
      <c r="AH661" s="87"/>
      <c r="AI661" s="87"/>
      <c r="AJ661" s="87"/>
      <c r="AK661" s="244"/>
      <c r="AL661" s="245"/>
      <c r="AM661" s="244"/>
      <c r="AN661" s="244"/>
      <c r="AO661" s="87"/>
      <c r="AP661" s="87"/>
      <c r="AQ661" s="87"/>
      <c r="AR661" s="87"/>
      <c r="AS661" s="87"/>
      <c r="AT661" s="87"/>
      <c r="AU661" s="87"/>
      <c r="AV661" s="87"/>
      <c r="AW661" s="87"/>
      <c r="AX661" s="87"/>
    </row>
    <row r="662">
      <c r="A662" s="9"/>
      <c r="B662" s="87"/>
      <c r="C662" s="87"/>
      <c r="D662" s="87"/>
      <c r="E662" s="9"/>
      <c r="F662" s="87"/>
      <c r="G662" s="87"/>
      <c r="H662" s="87"/>
      <c r="I662" s="9"/>
      <c r="J662" s="87"/>
      <c r="K662" s="87"/>
      <c r="L662" s="87"/>
      <c r="M662" s="9"/>
      <c r="N662" s="87"/>
      <c r="O662" s="87"/>
      <c r="P662" s="87"/>
      <c r="Q662" s="9"/>
      <c r="R662" s="87"/>
      <c r="S662" s="87"/>
      <c r="T662" s="87"/>
      <c r="U662" s="9"/>
      <c r="V662" s="87"/>
      <c r="W662" s="87"/>
      <c r="X662" s="87"/>
      <c r="Y662" s="87"/>
      <c r="Z662" s="87"/>
      <c r="AA662" s="87"/>
      <c r="AB662" s="87"/>
      <c r="AC662" s="243"/>
      <c r="AD662" s="234"/>
      <c r="AE662" s="234"/>
      <c r="AF662" s="234"/>
      <c r="AG662" s="9"/>
      <c r="AH662" s="87"/>
      <c r="AI662" s="87"/>
      <c r="AJ662" s="87"/>
      <c r="AK662" s="244"/>
      <c r="AL662" s="245"/>
      <c r="AM662" s="244"/>
      <c r="AN662" s="244"/>
      <c r="AO662" s="87"/>
      <c r="AP662" s="87"/>
      <c r="AQ662" s="87"/>
      <c r="AR662" s="87"/>
      <c r="AS662" s="87"/>
      <c r="AT662" s="87"/>
      <c r="AU662" s="87"/>
      <c r="AV662" s="87"/>
      <c r="AW662" s="87"/>
      <c r="AX662" s="87"/>
    </row>
    <row r="663">
      <c r="A663" s="9"/>
      <c r="B663" s="87"/>
      <c r="C663" s="87"/>
      <c r="D663" s="87"/>
      <c r="E663" s="9"/>
      <c r="F663" s="87"/>
      <c r="G663" s="87"/>
      <c r="H663" s="87"/>
      <c r="I663" s="9"/>
      <c r="J663" s="87"/>
      <c r="K663" s="87"/>
      <c r="L663" s="87"/>
      <c r="M663" s="9"/>
      <c r="N663" s="87"/>
      <c r="O663" s="87"/>
      <c r="P663" s="87"/>
      <c r="Q663" s="9"/>
      <c r="R663" s="87"/>
      <c r="S663" s="87"/>
      <c r="T663" s="87"/>
      <c r="U663" s="9"/>
      <c r="V663" s="87"/>
      <c r="W663" s="87"/>
      <c r="X663" s="87"/>
      <c r="Y663" s="87"/>
      <c r="Z663" s="87"/>
      <c r="AA663" s="87"/>
      <c r="AB663" s="87"/>
      <c r="AC663" s="243"/>
      <c r="AD663" s="234"/>
      <c r="AE663" s="234"/>
      <c r="AF663" s="234"/>
      <c r="AG663" s="9"/>
      <c r="AH663" s="87"/>
      <c r="AI663" s="87"/>
      <c r="AJ663" s="87"/>
      <c r="AK663" s="244"/>
      <c r="AL663" s="245"/>
      <c r="AM663" s="244"/>
      <c r="AN663" s="244"/>
      <c r="AO663" s="87"/>
      <c r="AP663" s="87"/>
      <c r="AQ663" s="87"/>
      <c r="AR663" s="87"/>
      <c r="AS663" s="87"/>
      <c r="AT663" s="87"/>
      <c r="AU663" s="87"/>
      <c r="AV663" s="87"/>
      <c r="AW663" s="87"/>
      <c r="AX663" s="87"/>
    </row>
    <row r="664">
      <c r="A664" s="9"/>
      <c r="B664" s="87"/>
      <c r="C664" s="87"/>
      <c r="D664" s="87"/>
      <c r="E664" s="9"/>
      <c r="F664" s="87"/>
      <c r="G664" s="87"/>
      <c r="H664" s="87"/>
      <c r="I664" s="9"/>
      <c r="J664" s="87"/>
      <c r="K664" s="87"/>
      <c r="L664" s="87"/>
      <c r="M664" s="9"/>
      <c r="N664" s="87"/>
      <c r="O664" s="87"/>
      <c r="P664" s="87"/>
      <c r="Q664" s="9"/>
      <c r="R664" s="87"/>
      <c r="S664" s="87"/>
      <c r="T664" s="87"/>
      <c r="U664" s="9"/>
      <c r="V664" s="87"/>
      <c r="W664" s="87"/>
      <c r="X664" s="87"/>
      <c r="Y664" s="87"/>
      <c r="Z664" s="87"/>
      <c r="AA664" s="87"/>
      <c r="AB664" s="87"/>
      <c r="AC664" s="243"/>
      <c r="AD664" s="234"/>
      <c r="AE664" s="234"/>
      <c r="AF664" s="234"/>
      <c r="AG664" s="9"/>
      <c r="AH664" s="87"/>
      <c r="AI664" s="87"/>
      <c r="AJ664" s="87"/>
      <c r="AK664" s="244"/>
      <c r="AL664" s="245"/>
      <c r="AM664" s="244"/>
      <c r="AN664" s="244"/>
      <c r="AO664" s="87"/>
      <c r="AP664" s="87"/>
      <c r="AQ664" s="87"/>
      <c r="AR664" s="87"/>
      <c r="AS664" s="87"/>
      <c r="AT664" s="87"/>
      <c r="AU664" s="87"/>
      <c r="AV664" s="87"/>
      <c r="AW664" s="87"/>
      <c r="AX664" s="87"/>
    </row>
    <row r="665">
      <c r="A665" s="9"/>
      <c r="B665" s="87"/>
      <c r="C665" s="87"/>
      <c r="D665" s="87"/>
      <c r="E665" s="9"/>
      <c r="F665" s="87"/>
      <c r="G665" s="87"/>
      <c r="H665" s="87"/>
      <c r="I665" s="9"/>
      <c r="J665" s="87"/>
      <c r="K665" s="87"/>
      <c r="L665" s="87"/>
      <c r="M665" s="9"/>
      <c r="N665" s="87"/>
      <c r="O665" s="87"/>
      <c r="P665" s="87"/>
      <c r="Q665" s="9"/>
      <c r="R665" s="87"/>
      <c r="S665" s="87"/>
      <c r="T665" s="87"/>
      <c r="U665" s="9"/>
      <c r="V665" s="87"/>
      <c r="W665" s="87"/>
      <c r="X665" s="87"/>
      <c r="Y665" s="87"/>
      <c r="Z665" s="87"/>
      <c r="AA665" s="87"/>
      <c r="AB665" s="87"/>
      <c r="AC665" s="243"/>
      <c r="AD665" s="234"/>
      <c r="AE665" s="234"/>
      <c r="AF665" s="234"/>
      <c r="AG665" s="9"/>
      <c r="AH665" s="87"/>
      <c r="AI665" s="87"/>
      <c r="AJ665" s="87"/>
      <c r="AK665" s="244"/>
      <c r="AL665" s="245"/>
      <c r="AM665" s="244"/>
      <c r="AN665" s="244"/>
      <c r="AO665" s="87"/>
      <c r="AP665" s="87"/>
      <c r="AQ665" s="87"/>
      <c r="AR665" s="87"/>
      <c r="AS665" s="87"/>
      <c r="AT665" s="87"/>
      <c r="AU665" s="87"/>
      <c r="AV665" s="87"/>
      <c r="AW665" s="87"/>
      <c r="AX665" s="87"/>
    </row>
    <row r="666">
      <c r="A666" s="9"/>
      <c r="B666" s="87"/>
      <c r="C666" s="87"/>
      <c r="D666" s="87"/>
      <c r="E666" s="9"/>
      <c r="F666" s="87"/>
      <c r="G666" s="87"/>
      <c r="H666" s="87"/>
      <c r="I666" s="9"/>
      <c r="J666" s="87"/>
      <c r="K666" s="87"/>
      <c r="L666" s="87"/>
      <c r="M666" s="9"/>
      <c r="N666" s="87"/>
      <c r="O666" s="87"/>
      <c r="P666" s="87"/>
      <c r="Q666" s="9"/>
      <c r="R666" s="87"/>
      <c r="S666" s="87"/>
      <c r="T666" s="87"/>
      <c r="U666" s="9"/>
      <c r="V666" s="87"/>
      <c r="W666" s="87"/>
      <c r="X666" s="87"/>
      <c r="Y666" s="87"/>
      <c r="Z666" s="87"/>
      <c r="AA666" s="87"/>
      <c r="AB666" s="87"/>
      <c r="AC666" s="243"/>
      <c r="AD666" s="234"/>
      <c r="AE666" s="234"/>
      <c r="AF666" s="234"/>
      <c r="AG666" s="9"/>
      <c r="AH666" s="87"/>
      <c r="AI666" s="87"/>
      <c r="AJ666" s="87"/>
      <c r="AK666" s="244"/>
      <c r="AL666" s="245"/>
      <c r="AM666" s="244"/>
      <c r="AN666" s="244"/>
      <c r="AO666" s="87"/>
      <c r="AP666" s="87"/>
      <c r="AQ666" s="87"/>
      <c r="AR666" s="87"/>
      <c r="AS666" s="87"/>
      <c r="AT666" s="87"/>
      <c r="AU666" s="87"/>
      <c r="AV666" s="87"/>
      <c r="AW666" s="87"/>
      <c r="AX666" s="87"/>
    </row>
    <row r="667">
      <c r="A667" s="9"/>
      <c r="B667" s="87"/>
      <c r="C667" s="87"/>
      <c r="D667" s="87"/>
      <c r="E667" s="9"/>
      <c r="F667" s="87"/>
      <c r="G667" s="87"/>
      <c r="H667" s="87"/>
      <c r="I667" s="9"/>
      <c r="J667" s="87"/>
      <c r="K667" s="87"/>
      <c r="L667" s="87"/>
      <c r="M667" s="9"/>
      <c r="N667" s="87"/>
      <c r="O667" s="87"/>
      <c r="P667" s="87"/>
      <c r="Q667" s="9"/>
      <c r="R667" s="87"/>
      <c r="S667" s="87"/>
      <c r="T667" s="87"/>
      <c r="U667" s="9"/>
      <c r="V667" s="87"/>
      <c r="W667" s="87"/>
      <c r="X667" s="87"/>
      <c r="Y667" s="87"/>
      <c r="Z667" s="87"/>
      <c r="AA667" s="87"/>
      <c r="AB667" s="87"/>
      <c r="AC667" s="243"/>
      <c r="AD667" s="234"/>
      <c r="AE667" s="234"/>
      <c r="AF667" s="234"/>
      <c r="AG667" s="9"/>
      <c r="AH667" s="87"/>
      <c r="AI667" s="87"/>
      <c r="AJ667" s="87"/>
      <c r="AK667" s="244"/>
      <c r="AL667" s="245"/>
      <c r="AM667" s="244"/>
      <c r="AN667" s="244"/>
      <c r="AO667" s="87"/>
      <c r="AP667" s="87"/>
      <c r="AQ667" s="87"/>
      <c r="AR667" s="87"/>
      <c r="AS667" s="87"/>
      <c r="AT667" s="87"/>
      <c r="AU667" s="87"/>
      <c r="AV667" s="87"/>
      <c r="AW667" s="87"/>
      <c r="AX667" s="87"/>
    </row>
    <row r="668">
      <c r="A668" s="9"/>
      <c r="B668" s="87"/>
      <c r="C668" s="87"/>
      <c r="D668" s="87"/>
      <c r="E668" s="9"/>
      <c r="F668" s="87"/>
      <c r="G668" s="87"/>
      <c r="H668" s="87"/>
      <c r="I668" s="9"/>
      <c r="J668" s="87"/>
      <c r="K668" s="87"/>
      <c r="L668" s="87"/>
      <c r="M668" s="9"/>
      <c r="N668" s="87"/>
      <c r="O668" s="87"/>
      <c r="P668" s="87"/>
      <c r="Q668" s="9"/>
      <c r="R668" s="87"/>
      <c r="S668" s="87"/>
      <c r="T668" s="87"/>
      <c r="U668" s="9"/>
      <c r="V668" s="87"/>
      <c r="W668" s="87"/>
      <c r="X668" s="87"/>
      <c r="Y668" s="87"/>
      <c r="Z668" s="87"/>
      <c r="AA668" s="87"/>
      <c r="AB668" s="87"/>
      <c r="AC668" s="243"/>
      <c r="AD668" s="234"/>
      <c r="AE668" s="234"/>
      <c r="AF668" s="234"/>
      <c r="AG668" s="9"/>
      <c r="AH668" s="87"/>
      <c r="AI668" s="87"/>
      <c r="AJ668" s="87"/>
      <c r="AK668" s="244"/>
      <c r="AL668" s="245"/>
      <c r="AM668" s="244"/>
      <c r="AN668" s="244"/>
      <c r="AO668" s="87"/>
      <c r="AP668" s="87"/>
      <c r="AQ668" s="87"/>
      <c r="AR668" s="87"/>
      <c r="AS668" s="87"/>
      <c r="AT668" s="87"/>
      <c r="AU668" s="87"/>
      <c r="AV668" s="87"/>
      <c r="AW668" s="87"/>
      <c r="AX668" s="87"/>
    </row>
    <row r="669">
      <c r="A669" s="9"/>
      <c r="B669" s="87"/>
      <c r="C669" s="87"/>
      <c r="D669" s="87"/>
      <c r="E669" s="9"/>
      <c r="F669" s="87"/>
      <c r="G669" s="87"/>
      <c r="H669" s="87"/>
      <c r="I669" s="9"/>
      <c r="J669" s="87"/>
      <c r="K669" s="87"/>
      <c r="L669" s="87"/>
      <c r="M669" s="9"/>
      <c r="N669" s="87"/>
      <c r="O669" s="87"/>
      <c r="P669" s="87"/>
      <c r="Q669" s="9"/>
      <c r="R669" s="87"/>
      <c r="S669" s="87"/>
      <c r="T669" s="87"/>
      <c r="U669" s="9"/>
      <c r="V669" s="87"/>
      <c r="W669" s="87"/>
      <c r="X669" s="87"/>
      <c r="Y669" s="87"/>
      <c r="Z669" s="87"/>
      <c r="AA669" s="87"/>
      <c r="AB669" s="87"/>
      <c r="AC669" s="243"/>
      <c r="AD669" s="234"/>
      <c r="AE669" s="234"/>
      <c r="AF669" s="234"/>
      <c r="AG669" s="9"/>
      <c r="AH669" s="87"/>
      <c r="AI669" s="87"/>
      <c r="AJ669" s="87"/>
      <c r="AK669" s="244"/>
      <c r="AL669" s="245"/>
      <c r="AM669" s="244"/>
      <c r="AN669" s="244"/>
      <c r="AO669" s="87"/>
      <c r="AP669" s="87"/>
      <c r="AQ669" s="87"/>
      <c r="AR669" s="87"/>
      <c r="AS669" s="87"/>
      <c r="AT669" s="87"/>
      <c r="AU669" s="87"/>
      <c r="AV669" s="87"/>
      <c r="AW669" s="87"/>
      <c r="AX669" s="87"/>
    </row>
    <row r="670">
      <c r="A670" s="9"/>
      <c r="B670" s="87"/>
      <c r="C670" s="87"/>
      <c r="D670" s="87"/>
      <c r="E670" s="9"/>
      <c r="F670" s="87"/>
      <c r="G670" s="87"/>
      <c r="H670" s="87"/>
      <c r="I670" s="9"/>
      <c r="J670" s="87"/>
      <c r="K670" s="87"/>
      <c r="L670" s="87"/>
      <c r="M670" s="9"/>
      <c r="N670" s="87"/>
      <c r="O670" s="87"/>
      <c r="P670" s="87"/>
      <c r="Q670" s="9"/>
      <c r="R670" s="87"/>
      <c r="S670" s="87"/>
      <c r="T670" s="87"/>
      <c r="U670" s="9"/>
      <c r="V670" s="87"/>
      <c r="W670" s="87"/>
      <c r="X670" s="87"/>
      <c r="Y670" s="87"/>
      <c r="Z670" s="87"/>
      <c r="AA670" s="87"/>
      <c r="AB670" s="87"/>
      <c r="AC670" s="243"/>
      <c r="AD670" s="234"/>
      <c r="AE670" s="234"/>
      <c r="AF670" s="234"/>
      <c r="AG670" s="9"/>
      <c r="AH670" s="87"/>
      <c r="AI670" s="87"/>
      <c r="AJ670" s="87"/>
      <c r="AK670" s="244"/>
      <c r="AL670" s="245"/>
      <c r="AM670" s="244"/>
      <c r="AN670" s="244"/>
      <c r="AO670" s="87"/>
      <c r="AP670" s="87"/>
      <c r="AQ670" s="87"/>
      <c r="AR670" s="87"/>
      <c r="AS670" s="87"/>
      <c r="AT670" s="87"/>
      <c r="AU670" s="87"/>
      <c r="AV670" s="87"/>
      <c r="AW670" s="87"/>
      <c r="AX670" s="87"/>
    </row>
    <row r="671">
      <c r="A671" s="9"/>
      <c r="B671" s="87"/>
      <c r="C671" s="87"/>
      <c r="D671" s="87"/>
      <c r="E671" s="9"/>
      <c r="F671" s="87"/>
      <c r="G671" s="87"/>
      <c r="H671" s="87"/>
      <c r="I671" s="9"/>
      <c r="J671" s="87"/>
      <c r="K671" s="87"/>
      <c r="L671" s="87"/>
      <c r="M671" s="9"/>
      <c r="N671" s="87"/>
      <c r="O671" s="87"/>
      <c r="P671" s="87"/>
      <c r="Q671" s="9"/>
      <c r="R671" s="87"/>
      <c r="S671" s="87"/>
      <c r="T671" s="87"/>
      <c r="U671" s="9"/>
      <c r="V671" s="87"/>
      <c r="W671" s="87"/>
      <c r="X671" s="87"/>
      <c r="Y671" s="87"/>
      <c r="Z671" s="87"/>
      <c r="AA671" s="87"/>
      <c r="AB671" s="87"/>
      <c r="AC671" s="243"/>
      <c r="AD671" s="234"/>
      <c r="AE671" s="234"/>
      <c r="AF671" s="234"/>
      <c r="AG671" s="9"/>
      <c r="AH671" s="87"/>
      <c r="AI671" s="87"/>
      <c r="AJ671" s="87"/>
      <c r="AK671" s="244"/>
      <c r="AL671" s="245"/>
      <c r="AM671" s="244"/>
      <c r="AN671" s="244"/>
      <c r="AO671" s="87"/>
      <c r="AP671" s="87"/>
      <c r="AQ671" s="87"/>
      <c r="AR671" s="87"/>
      <c r="AS671" s="87"/>
      <c r="AT671" s="87"/>
      <c r="AU671" s="87"/>
      <c r="AV671" s="87"/>
      <c r="AW671" s="87"/>
      <c r="AX671" s="87"/>
    </row>
    <row r="672">
      <c r="A672" s="9"/>
      <c r="B672" s="87"/>
      <c r="C672" s="87"/>
      <c r="D672" s="87"/>
      <c r="E672" s="9"/>
      <c r="F672" s="87"/>
      <c r="G672" s="87"/>
      <c r="H672" s="87"/>
      <c r="I672" s="9"/>
      <c r="J672" s="87"/>
      <c r="K672" s="87"/>
      <c r="L672" s="87"/>
      <c r="M672" s="9"/>
      <c r="N672" s="87"/>
      <c r="O672" s="87"/>
      <c r="P672" s="87"/>
      <c r="Q672" s="9"/>
      <c r="R672" s="87"/>
      <c r="S672" s="87"/>
      <c r="T672" s="87"/>
      <c r="U672" s="9"/>
      <c r="V672" s="87"/>
      <c r="W672" s="87"/>
      <c r="X672" s="87"/>
      <c r="Y672" s="87"/>
      <c r="Z672" s="87"/>
      <c r="AA672" s="87"/>
      <c r="AB672" s="87"/>
      <c r="AC672" s="243"/>
      <c r="AD672" s="234"/>
      <c r="AE672" s="234"/>
      <c r="AF672" s="234"/>
      <c r="AG672" s="9"/>
      <c r="AH672" s="87"/>
      <c r="AI672" s="87"/>
      <c r="AJ672" s="87"/>
      <c r="AK672" s="244"/>
      <c r="AL672" s="245"/>
      <c r="AM672" s="244"/>
      <c r="AN672" s="244"/>
      <c r="AO672" s="87"/>
      <c r="AP672" s="87"/>
      <c r="AQ672" s="87"/>
      <c r="AR672" s="87"/>
      <c r="AS672" s="87"/>
      <c r="AT672" s="87"/>
      <c r="AU672" s="87"/>
      <c r="AV672" s="87"/>
      <c r="AW672" s="87"/>
      <c r="AX672" s="87"/>
    </row>
    <row r="673">
      <c r="A673" s="9"/>
      <c r="B673" s="87"/>
      <c r="C673" s="87"/>
      <c r="D673" s="87"/>
      <c r="E673" s="9"/>
      <c r="F673" s="87"/>
      <c r="G673" s="87"/>
      <c r="H673" s="87"/>
      <c r="I673" s="9"/>
      <c r="J673" s="87"/>
      <c r="K673" s="87"/>
      <c r="L673" s="87"/>
      <c r="M673" s="9"/>
      <c r="N673" s="87"/>
      <c r="O673" s="87"/>
      <c r="P673" s="87"/>
      <c r="Q673" s="9"/>
      <c r="R673" s="87"/>
      <c r="S673" s="87"/>
      <c r="T673" s="87"/>
      <c r="U673" s="9"/>
      <c r="V673" s="87"/>
      <c r="W673" s="87"/>
      <c r="X673" s="87"/>
      <c r="Y673" s="87"/>
      <c r="Z673" s="87"/>
      <c r="AA673" s="87"/>
      <c r="AB673" s="87"/>
      <c r="AC673" s="243"/>
      <c r="AD673" s="234"/>
      <c r="AE673" s="234"/>
      <c r="AF673" s="234"/>
      <c r="AG673" s="9"/>
      <c r="AH673" s="87"/>
      <c r="AI673" s="87"/>
      <c r="AJ673" s="87"/>
      <c r="AK673" s="244"/>
      <c r="AL673" s="245"/>
      <c r="AM673" s="244"/>
      <c r="AN673" s="244"/>
      <c r="AO673" s="87"/>
      <c r="AP673" s="87"/>
      <c r="AQ673" s="87"/>
      <c r="AR673" s="87"/>
      <c r="AS673" s="87"/>
      <c r="AT673" s="87"/>
      <c r="AU673" s="87"/>
      <c r="AV673" s="87"/>
      <c r="AW673" s="87"/>
      <c r="AX673" s="87"/>
    </row>
    <row r="674">
      <c r="A674" s="9"/>
      <c r="B674" s="87"/>
      <c r="C674" s="87"/>
      <c r="D674" s="87"/>
      <c r="E674" s="9"/>
      <c r="F674" s="87"/>
      <c r="G674" s="87"/>
      <c r="H674" s="87"/>
      <c r="I674" s="9"/>
      <c r="J674" s="87"/>
      <c r="K674" s="87"/>
      <c r="L674" s="87"/>
      <c r="M674" s="9"/>
      <c r="N674" s="87"/>
      <c r="O674" s="87"/>
      <c r="P674" s="87"/>
      <c r="Q674" s="9"/>
      <c r="R674" s="87"/>
      <c r="S674" s="87"/>
      <c r="T674" s="87"/>
      <c r="U674" s="9"/>
      <c r="V674" s="87"/>
      <c r="W674" s="87"/>
      <c r="X674" s="87"/>
      <c r="Y674" s="87"/>
      <c r="Z674" s="87"/>
      <c r="AA674" s="87"/>
      <c r="AB674" s="87"/>
      <c r="AC674" s="243"/>
      <c r="AD674" s="234"/>
      <c r="AE674" s="234"/>
      <c r="AF674" s="234"/>
      <c r="AG674" s="9"/>
      <c r="AH674" s="87"/>
      <c r="AI674" s="87"/>
      <c r="AJ674" s="87"/>
      <c r="AK674" s="244"/>
      <c r="AL674" s="245"/>
      <c r="AM674" s="244"/>
      <c r="AN674" s="244"/>
      <c r="AO674" s="87"/>
      <c r="AP674" s="87"/>
      <c r="AQ674" s="87"/>
      <c r="AR674" s="87"/>
      <c r="AS674" s="87"/>
      <c r="AT674" s="87"/>
      <c r="AU674" s="87"/>
      <c r="AV674" s="87"/>
      <c r="AW674" s="87"/>
      <c r="AX674" s="87"/>
    </row>
    <row r="675">
      <c r="A675" s="9"/>
      <c r="B675" s="87"/>
      <c r="C675" s="87"/>
      <c r="D675" s="87"/>
      <c r="E675" s="9"/>
      <c r="F675" s="87"/>
      <c r="G675" s="87"/>
      <c r="H675" s="87"/>
      <c r="I675" s="9"/>
      <c r="J675" s="87"/>
      <c r="K675" s="87"/>
      <c r="L675" s="87"/>
      <c r="M675" s="9"/>
      <c r="N675" s="87"/>
      <c r="O675" s="87"/>
      <c r="P675" s="87"/>
      <c r="Q675" s="9"/>
      <c r="R675" s="87"/>
      <c r="S675" s="87"/>
      <c r="T675" s="87"/>
      <c r="U675" s="9"/>
      <c r="V675" s="87"/>
      <c r="W675" s="87"/>
      <c r="X675" s="87"/>
      <c r="Y675" s="87"/>
      <c r="Z675" s="87"/>
      <c r="AA675" s="87"/>
      <c r="AB675" s="87"/>
      <c r="AC675" s="243"/>
      <c r="AD675" s="234"/>
      <c r="AE675" s="234"/>
      <c r="AF675" s="234"/>
      <c r="AG675" s="9"/>
      <c r="AH675" s="87"/>
      <c r="AI675" s="87"/>
      <c r="AJ675" s="87"/>
      <c r="AK675" s="244"/>
      <c r="AL675" s="245"/>
      <c r="AM675" s="244"/>
      <c r="AN675" s="244"/>
      <c r="AO675" s="87"/>
      <c r="AP675" s="87"/>
      <c r="AQ675" s="87"/>
      <c r="AR675" s="87"/>
      <c r="AS675" s="87"/>
      <c r="AT675" s="87"/>
      <c r="AU675" s="87"/>
      <c r="AV675" s="87"/>
      <c r="AW675" s="87"/>
      <c r="AX675" s="87"/>
    </row>
    <row r="676">
      <c r="A676" s="9"/>
      <c r="B676" s="87"/>
      <c r="C676" s="87"/>
      <c r="D676" s="87"/>
      <c r="E676" s="9"/>
      <c r="F676" s="87"/>
      <c r="G676" s="87"/>
      <c r="H676" s="87"/>
      <c r="I676" s="9"/>
      <c r="J676" s="87"/>
      <c r="K676" s="87"/>
      <c r="L676" s="87"/>
      <c r="M676" s="9"/>
      <c r="N676" s="87"/>
      <c r="O676" s="87"/>
      <c r="P676" s="87"/>
      <c r="Q676" s="9"/>
      <c r="R676" s="87"/>
      <c r="S676" s="87"/>
      <c r="T676" s="87"/>
      <c r="U676" s="9"/>
      <c r="V676" s="87"/>
      <c r="W676" s="87"/>
      <c r="X676" s="87"/>
      <c r="Y676" s="87"/>
      <c r="Z676" s="87"/>
      <c r="AA676" s="87"/>
      <c r="AB676" s="87"/>
      <c r="AC676" s="243"/>
      <c r="AD676" s="234"/>
      <c r="AE676" s="234"/>
      <c r="AF676" s="234"/>
      <c r="AG676" s="9"/>
      <c r="AH676" s="87"/>
      <c r="AI676" s="87"/>
      <c r="AJ676" s="87"/>
      <c r="AK676" s="244"/>
      <c r="AL676" s="245"/>
      <c r="AM676" s="244"/>
      <c r="AN676" s="244"/>
      <c r="AO676" s="87"/>
      <c r="AP676" s="87"/>
      <c r="AQ676" s="87"/>
      <c r="AR676" s="87"/>
      <c r="AS676" s="87"/>
      <c r="AT676" s="87"/>
      <c r="AU676" s="87"/>
      <c r="AV676" s="87"/>
      <c r="AW676" s="87"/>
      <c r="AX676" s="87"/>
    </row>
    <row r="677">
      <c r="A677" s="9"/>
      <c r="B677" s="87"/>
      <c r="C677" s="87"/>
      <c r="D677" s="87"/>
      <c r="E677" s="9"/>
      <c r="F677" s="87"/>
      <c r="G677" s="87"/>
      <c r="H677" s="87"/>
      <c r="I677" s="9"/>
      <c r="J677" s="87"/>
      <c r="K677" s="87"/>
      <c r="L677" s="87"/>
      <c r="M677" s="9"/>
      <c r="N677" s="87"/>
      <c r="O677" s="87"/>
      <c r="P677" s="87"/>
      <c r="Q677" s="9"/>
      <c r="R677" s="87"/>
      <c r="S677" s="87"/>
      <c r="T677" s="87"/>
      <c r="U677" s="9"/>
      <c r="V677" s="87"/>
      <c r="W677" s="87"/>
      <c r="X677" s="87"/>
      <c r="Y677" s="87"/>
      <c r="Z677" s="87"/>
      <c r="AA677" s="87"/>
      <c r="AB677" s="87"/>
      <c r="AC677" s="243"/>
      <c r="AD677" s="234"/>
      <c r="AE677" s="234"/>
      <c r="AF677" s="234"/>
      <c r="AG677" s="9"/>
      <c r="AH677" s="87"/>
      <c r="AI677" s="87"/>
      <c r="AJ677" s="87"/>
      <c r="AK677" s="244"/>
      <c r="AL677" s="245"/>
      <c r="AM677" s="244"/>
      <c r="AN677" s="244"/>
      <c r="AO677" s="87"/>
      <c r="AP677" s="87"/>
      <c r="AQ677" s="87"/>
      <c r="AR677" s="87"/>
      <c r="AS677" s="87"/>
      <c r="AT677" s="87"/>
      <c r="AU677" s="87"/>
      <c r="AV677" s="87"/>
      <c r="AW677" s="87"/>
      <c r="AX677" s="87"/>
    </row>
    <row r="678">
      <c r="A678" s="9"/>
      <c r="B678" s="87"/>
      <c r="C678" s="87"/>
      <c r="D678" s="87"/>
      <c r="E678" s="9"/>
      <c r="F678" s="87"/>
      <c r="G678" s="87"/>
      <c r="H678" s="87"/>
      <c r="I678" s="9"/>
      <c r="J678" s="87"/>
      <c r="K678" s="87"/>
      <c r="L678" s="87"/>
      <c r="M678" s="9"/>
      <c r="N678" s="87"/>
      <c r="O678" s="87"/>
      <c r="P678" s="87"/>
      <c r="Q678" s="9"/>
      <c r="R678" s="87"/>
      <c r="S678" s="87"/>
      <c r="T678" s="87"/>
      <c r="U678" s="9"/>
      <c r="V678" s="87"/>
      <c r="W678" s="87"/>
      <c r="X678" s="87"/>
      <c r="Y678" s="87"/>
      <c r="Z678" s="87"/>
      <c r="AA678" s="87"/>
      <c r="AB678" s="87"/>
      <c r="AC678" s="243"/>
      <c r="AD678" s="234"/>
      <c r="AE678" s="234"/>
      <c r="AF678" s="234"/>
      <c r="AG678" s="9"/>
      <c r="AH678" s="87"/>
      <c r="AI678" s="87"/>
      <c r="AJ678" s="87"/>
      <c r="AK678" s="244"/>
      <c r="AL678" s="245"/>
      <c r="AM678" s="244"/>
      <c r="AN678" s="244"/>
      <c r="AO678" s="87"/>
      <c r="AP678" s="87"/>
      <c r="AQ678" s="87"/>
      <c r="AR678" s="87"/>
      <c r="AS678" s="87"/>
      <c r="AT678" s="87"/>
      <c r="AU678" s="87"/>
      <c r="AV678" s="87"/>
      <c r="AW678" s="87"/>
      <c r="AX678" s="87"/>
    </row>
    <row r="679">
      <c r="A679" s="9"/>
      <c r="B679" s="87"/>
      <c r="C679" s="87"/>
      <c r="D679" s="87"/>
      <c r="E679" s="9"/>
      <c r="F679" s="87"/>
      <c r="G679" s="87"/>
      <c r="H679" s="87"/>
      <c r="I679" s="9"/>
      <c r="J679" s="87"/>
      <c r="K679" s="87"/>
      <c r="L679" s="87"/>
      <c r="M679" s="9"/>
      <c r="N679" s="87"/>
      <c r="O679" s="87"/>
      <c r="P679" s="87"/>
      <c r="Q679" s="9"/>
      <c r="R679" s="87"/>
      <c r="S679" s="87"/>
      <c r="T679" s="87"/>
      <c r="U679" s="9"/>
      <c r="V679" s="87"/>
      <c r="W679" s="87"/>
      <c r="X679" s="87"/>
      <c r="Y679" s="87"/>
      <c r="Z679" s="87"/>
      <c r="AA679" s="87"/>
      <c r="AB679" s="87"/>
      <c r="AC679" s="243"/>
      <c r="AD679" s="234"/>
      <c r="AE679" s="234"/>
      <c r="AF679" s="234"/>
      <c r="AG679" s="9"/>
      <c r="AH679" s="87"/>
      <c r="AI679" s="87"/>
      <c r="AJ679" s="87"/>
      <c r="AK679" s="244"/>
      <c r="AL679" s="245"/>
      <c r="AM679" s="244"/>
      <c r="AN679" s="244"/>
      <c r="AO679" s="87"/>
      <c r="AP679" s="87"/>
      <c r="AQ679" s="87"/>
      <c r="AR679" s="87"/>
      <c r="AS679" s="87"/>
      <c r="AT679" s="87"/>
      <c r="AU679" s="87"/>
      <c r="AV679" s="87"/>
      <c r="AW679" s="87"/>
      <c r="AX679" s="87"/>
    </row>
    <row r="680">
      <c r="A680" s="9"/>
      <c r="B680" s="87"/>
      <c r="C680" s="87"/>
      <c r="D680" s="87"/>
      <c r="E680" s="9"/>
      <c r="F680" s="87"/>
      <c r="G680" s="87"/>
      <c r="H680" s="87"/>
      <c r="I680" s="9"/>
      <c r="J680" s="87"/>
      <c r="K680" s="87"/>
      <c r="L680" s="87"/>
      <c r="M680" s="9"/>
      <c r="N680" s="87"/>
      <c r="O680" s="87"/>
      <c r="P680" s="87"/>
      <c r="Q680" s="9"/>
      <c r="R680" s="87"/>
      <c r="S680" s="87"/>
      <c r="T680" s="87"/>
      <c r="U680" s="9"/>
      <c r="V680" s="87"/>
      <c r="W680" s="87"/>
      <c r="X680" s="87"/>
      <c r="Y680" s="87"/>
      <c r="Z680" s="87"/>
      <c r="AA680" s="87"/>
      <c r="AB680" s="87"/>
      <c r="AC680" s="243"/>
      <c r="AD680" s="234"/>
      <c r="AE680" s="234"/>
      <c r="AF680" s="234"/>
      <c r="AG680" s="9"/>
      <c r="AH680" s="87"/>
      <c r="AI680" s="87"/>
      <c r="AJ680" s="87"/>
      <c r="AK680" s="244"/>
      <c r="AL680" s="245"/>
      <c r="AM680" s="244"/>
      <c r="AN680" s="244"/>
      <c r="AO680" s="87"/>
      <c r="AP680" s="87"/>
      <c r="AQ680" s="87"/>
      <c r="AR680" s="87"/>
      <c r="AS680" s="87"/>
      <c r="AT680" s="87"/>
      <c r="AU680" s="87"/>
      <c r="AV680" s="87"/>
      <c r="AW680" s="87"/>
      <c r="AX680" s="87"/>
    </row>
    <row r="681">
      <c r="A681" s="9"/>
      <c r="B681" s="87"/>
      <c r="C681" s="87"/>
      <c r="D681" s="87"/>
      <c r="E681" s="9"/>
      <c r="F681" s="87"/>
      <c r="G681" s="87"/>
      <c r="H681" s="87"/>
      <c r="I681" s="9"/>
      <c r="J681" s="87"/>
      <c r="K681" s="87"/>
      <c r="L681" s="87"/>
      <c r="M681" s="9"/>
      <c r="N681" s="87"/>
      <c r="O681" s="87"/>
      <c r="P681" s="87"/>
      <c r="Q681" s="9"/>
      <c r="R681" s="87"/>
      <c r="S681" s="87"/>
      <c r="T681" s="87"/>
      <c r="U681" s="9"/>
      <c r="V681" s="87"/>
      <c r="W681" s="87"/>
      <c r="X681" s="87"/>
      <c r="Y681" s="87"/>
      <c r="Z681" s="87"/>
      <c r="AA681" s="87"/>
      <c r="AB681" s="87"/>
      <c r="AC681" s="243"/>
      <c r="AD681" s="234"/>
      <c r="AE681" s="234"/>
      <c r="AF681" s="234"/>
      <c r="AG681" s="9"/>
      <c r="AH681" s="87"/>
      <c r="AI681" s="87"/>
      <c r="AJ681" s="87"/>
      <c r="AK681" s="244"/>
      <c r="AL681" s="245"/>
      <c r="AM681" s="244"/>
      <c r="AN681" s="244"/>
      <c r="AO681" s="87"/>
      <c r="AP681" s="87"/>
      <c r="AQ681" s="87"/>
      <c r="AR681" s="87"/>
      <c r="AS681" s="87"/>
      <c r="AT681" s="87"/>
      <c r="AU681" s="87"/>
      <c r="AV681" s="87"/>
      <c r="AW681" s="87"/>
      <c r="AX681" s="87"/>
    </row>
    <row r="682">
      <c r="A682" s="9"/>
      <c r="B682" s="87"/>
      <c r="C682" s="87"/>
      <c r="D682" s="87"/>
      <c r="E682" s="9"/>
      <c r="F682" s="87"/>
      <c r="G682" s="87"/>
      <c r="H682" s="87"/>
      <c r="I682" s="9"/>
      <c r="J682" s="87"/>
      <c r="K682" s="87"/>
      <c r="L682" s="87"/>
      <c r="M682" s="9"/>
      <c r="N682" s="87"/>
      <c r="O682" s="87"/>
      <c r="P682" s="87"/>
      <c r="Q682" s="9"/>
      <c r="R682" s="87"/>
      <c r="S682" s="87"/>
      <c r="T682" s="87"/>
      <c r="U682" s="9"/>
      <c r="V682" s="87"/>
      <c r="W682" s="87"/>
      <c r="X682" s="87"/>
      <c r="Y682" s="87"/>
      <c r="Z682" s="87"/>
      <c r="AA682" s="87"/>
      <c r="AB682" s="87"/>
      <c r="AC682" s="243"/>
      <c r="AD682" s="234"/>
      <c r="AE682" s="234"/>
      <c r="AF682" s="234"/>
      <c r="AG682" s="9"/>
      <c r="AH682" s="87"/>
      <c r="AI682" s="87"/>
      <c r="AJ682" s="87"/>
      <c r="AK682" s="244"/>
      <c r="AL682" s="245"/>
      <c r="AM682" s="244"/>
      <c r="AN682" s="244"/>
      <c r="AO682" s="87"/>
      <c r="AP682" s="87"/>
      <c r="AQ682" s="87"/>
      <c r="AR682" s="87"/>
      <c r="AS682" s="87"/>
      <c r="AT682" s="87"/>
      <c r="AU682" s="87"/>
      <c r="AV682" s="87"/>
      <c r="AW682" s="87"/>
      <c r="AX682" s="87"/>
    </row>
    <row r="683">
      <c r="A683" s="9"/>
      <c r="B683" s="87"/>
      <c r="C683" s="87"/>
      <c r="D683" s="87"/>
      <c r="E683" s="9"/>
      <c r="F683" s="87"/>
      <c r="G683" s="87"/>
      <c r="H683" s="87"/>
      <c r="I683" s="9"/>
      <c r="J683" s="87"/>
      <c r="K683" s="87"/>
      <c r="L683" s="87"/>
      <c r="M683" s="9"/>
      <c r="N683" s="87"/>
      <c r="O683" s="87"/>
      <c r="P683" s="87"/>
      <c r="Q683" s="9"/>
      <c r="R683" s="87"/>
      <c r="S683" s="87"/>
      <c r="T683" s="87"/>
      <c r="U683" s="9"/>
      <c r="V683" s="87"/>
      <c r="W683" s="87"/>
      <c r="X683" s="87"/>
      <c r="Y683" s="87"/>
      <c r="Z683" s="87"/>
      <c r="AA683" s="87"/>
      <c r="AB683" s="87"/>
      <c r="AC683" s="243"/>
      <c r="AD683" s="234"/>
      <c r="AE683" s="234"/>
      <c r="AF683" s="234"/>
      <c r="AG683" s="9"/>
      <c r="AH683" s="87"/>
      <c r="AI683" s="87"/>
      <c r="AJ683" s="87"/>
      <c r="AK683" s="244"/>
      <c r="AL683" s="245"/>
      <c r="AM683" s="244"/>
      <c r="AN683" s="244"/>
      <c r="AO683" s="87"/>
      <c r="AP683" s="87"/>
      <c r="AQ683" s="87"/>
      <c r="AR683" s="87"/>
      <c r="AS683" s="87"/>
      <c r="AT683" s="87"/>
      <c r="AU683" s="87"/>
      <c r="AV683" s="87"/>
      <c r="AW683" s="87"/>
      <c r="AX683" s="87"/>
    </row>
    <row r="684">
      <c r="A684" s="9"/>
      <c r="B684" s="87"/>
      <c r="C684" s="87"/>
      <c r="D684" s="87"/>
      <c r="E684" s="9"/>
      <c r="F684" s="87"/>
      <c r="G684" s="87"/>
      <c r="H684" s="87"/>
      <c r="I684" s="9"/>
      <c r="J684" s="87"/>
      <c r="K684" s="87"/>
      <c r="L684" s="87"/>
      <c r="M684" s="9"/>
      <c r="N684" s="87"/>
      <c r="O684" s="87"/>
      <c r="P684" s="87"/>
      <c r="Q684" s="9"/>
      <c r="R684" s="87"/>
      <c r="S684" s="87"/>
      <c r="T684" s="87"/>
      <c r="U684" s="9"/>
      <c r="V684" s="87"/>
      <c r="W684" s="87"/>
      <c r="X684" s="87"/>
      <c r="Y684" s="87"/>
      <c r="Z684" s="87"/>
      <c r="AA684" s="87"/>
      <c r="AB684" s="87"/>
      <c r="AC684" s="243"/>
      <c r="AD684" s="234"/>
      <c r="AE684" s="234"/>
      <c r="AF684" s="234"/>
      <c r="AG684" s="9"/>
      <c r="AH684" s="87"/>
      <c r="AI684" s="87"/>
      <c r="AJ684" s="87"/>
      <c r="AK684" s="244"/>
      <c r="AL684" s="245"/>
      <c r="AM684" s="244"/>
      <c r="AN684" s="244"/>
      <c r="AO684" s="87"/>
      <c r="AP684" s="87"/>
      <c r="AQ684" s="87"/>
      <c r="AR684" s="87"/>
      <c r="AS684" s="87"/>
      <c r="AT684" s="87"/>
      <c r="AU684" s="87"/>
      <c r="AV684" s="87"/>
      <c r="AW684" s="87"/>
      <c r="AX684" s="87"/>
    </row>
    <row r="685">
      <c r="A685" s="9"/>
      <c r="B685" s="87"/>
      <c r="C685" s="87"/>
      <c r="D685" s="87"/>
      <c r="E685" s="9"/>
      <c r="F685" s="87"/>
      <c r="G685" s="87"/>
      <c r="H685" s="87"/>
      <c r="I685" s="9"/>
      <c r="J685" s="87"/>
      <c r="K685" s="87"/>
      <c r="L685" s="87"/>
      <c r="M685" s="9"/>
      <c r="N685" s="87"/>
      <c r="O685" s="87"/>
      <c r="P685" s="87"/>
      <c r="Q685" s="9"/>
      <c r="R685" s="87"/>
      <c r="S685" s="87"/>
      <c r="T685" s="87"/>
      <c r="U685" s="9"/>
      <c r="V685" s="87"/>
      <c r="W685" s="87"/>
      <c r="X685" s="87"/>
      <c r="Y685" s="87"/>
      <c r="Z685" s="87"/>
      <c r="AA685" s="87"/>
      <c r="AB685" s="87"/>
      <c r="AC685" s="243"/>
      <c r="AD685" s="234"/>
      <c r="AE685" s="234"/>
      <c r="AF685" s="234"/>
      <c r="AG685" s="9"/>
      <c r="AH685" s="87"/>
      <c r="AI685" s="87"/>
      <c r="AJ685" s="87"/>
      <c r="AK685" s="244"/>
      <c r="AL685" s="245"/>
      <c r="AM685" s="244"/>
      <c r="AN685" s="244"/>
      <c r="AO685" s="87"/>
      <c r="AP685" s="87"/>
      <c r="AQ685" s="87"/>
      <c r="AR685" s="87"/>
      <c r="AS685" s="87"/>
      <c r="AT685" s="87"/>
      <c r="AU685" s="87"/>
      <c r="AV685" s="87"/>
      <c r="AW685" s="87"/>
      <c r="AX685" s="87"/>
    </row>
    <row r="686">
      <c r="A686" s="9"/>
      <c r="B686" s="87"/>
      <c r="C686" s="87"/>
      <c r="D686" s="87"/>
      <c r="E686" s="9"/>
      <c r="F686" s="87"/>
      <c r="G686" s="87"/>
      <c r="H686" s="87"/>
      <c r="I686" s="9"/>
      <c r="J686" s="87"/>
      <c r="K686" s="87"/>
      <c r="L686" s="87"/>
      <c r="M686" s="9"/>
      <c r="N686" s="87"/>
      <c r="O686" s="87"/>
      <c r="P686" s="87"/>
      <c r="Q686" s="9"/>
      <c r="R686" s="87"/>
      <c r="S686" s="87"/>
      <c r="T686" s="87"/>
      <c r="U686" s="9"/>
      <c r="V686" s="87"/>
      <c r="W686" s="87"/>
      <c r="X686" s="87"/>
      <c r="Y686" s="87"/>
      <c r="Z686" s="87"/>
      <c r="AA686" s="87"/>
      <c r="AB686" s="87"/>
      <c r="AC686" s="243"/>
      <c r="AD686" s="234"/>
      <c r="AE686" s="234"/>
      <c r="AF686" s="234"/>
      <c r="AG686" s="9"/>
      <c r="AH686" s="87"/>
      <c r="AI686" s="87"/>
      <c r="AJ686" s="87"/>
      <c r="AK686" s="244"/>
      <c r="AL686" s="245"/>
      <c r="AM686" s="244"/>
      <c r="AN686" s="244"/>
      <c r="AO686" s="87"/>
      <c r="AP686" s="87"/>
      <c r="AQ686" s="87"/>
      <c r="AR686" s="87"/>
      <c r="AS686" s="87"/>
      <c r="AT686" s="87"/>
      <c r="AU686" s="87"/>
      <c r="AV686" s="87"/>
      <c r="AW686" s="87"/>
      <c r="AX686" s="87"/>
    </row>
    <row r="687">
      <c r="A687" s="9"/>
      <c r="B687" s="87"/>
      <c r="C687" s="87"/>
      <c r="D687" s="87"/>
      <c r="E687" s="9"/>
      <c r="F687" s="87"/>
      <c r="G687" s="87"/>
      <c r="H687" s="87"/>
      <c r="I687" s="9"/>
      <c r="J687" s="87"/>
      <c r="K687" s="87"/>
      <c r="L687" s="87"/>
      <c r="M687" s="9"/>
      <c r="N687" s="87"/>
      <c r="O687" s="87"/>
      <c r="P687" s="87"/>
      <c r="Q687" s="9"/>
      <c r="R687" s="87"/>
      <c r="S687" s="87"/>
      <c r="T687" s="87"/>
      <c r="U687" s="9"/>
      <c r="V687" s="87"/>
      <c r="W687" s="87"/>
      <c r="X687" s="87"/>
      <c r="Y687" s="87"/>
      <c r="Z687" s="87"/>
      <c r="AA687" s="87"/>
      <c r="AB687" s="87"/>
      <c r="AC687" s="243"/>
      <c r="AD687" s="234"/>
      <c r="AE687" s="234"/>
      <c r="AF687" s="234"/>
      <c r="AG687" s="9"/>
      <c r="AH687" s="87"/>
      <c r="AI687" s="87"/>
      <c r="AJ687" s="87"/>
      <c r="AK687" s="244"/>
      <c r="AL687" s="245"/>
      <c r="AM687" s="244"/>
      <c r="AN687" s="244"/>
      <c r="AO687" s="87"/>
      <c r="AP687" s="87"/>
      <c r="AQ687" s="87"/>
      <c r="AR687" s="87"/>
      <c r="AS687" s="87"/>
      <c r="AT687" s="87"/>
      <c r="AU687" s="87"/>
      <c r="AV687" s="87"/>
      <c r="AW687" s="87"/>
      <c r="AX687" s="87"/>
    </row>
    <row r="688">
      <c r="A688" s="9"/>
      <c r="B688" s="87"/>
      <c r="C688" s="87"/>
      <c r="D688" s="87"/>
      <c r="E688" s="9"/>
      <c r="F688" s="87"/>
      <c r="G688" s="87"/>
      <c r="H688" s="87"/>
      <c r="I688" s="9"/>
      <c r="J688" s="87"/>
      <c r="K688" s="87"/>
      <c r="L688" s="87"/>
      <c r="M688" s="9"/>
      <c r="N688" s="87"/>
      <c r="O688" s="87"/>
      <c r="P688" s="87"/>
      <c r="Q688" s="9"/>
      <c r="R688" s="87"/>
      <c r="S688" s="87"/>
      <c r="T688" s="87"/>
      <c r="U688" s="9"/>
      <c r="V688" s="87"/>
      <c r="W688" s="87"/>
      <c r="X688" s="87"/>
      <c r="Y688" s="87"/>
      <c r="Z688" s="87"/>
      <c r="AA688" s="87"/>
      <c r="AB688" s="87"/>
      <c r="AC688" s="243"/>
      <c r="AD688" s="234"/>
      <c r="AE688" s="234"/>
      <c r="AF688" s="234"/>
      <c r="AG688" s="9"/>
      <c r="AH688" s="87"/>
      <c r="AI688" s="87"/>
      <c r="AJ688" s="87"/>
      <c r="AK688" s="244"/>
      <c r="AL688" s="245"/>
      <c r="AM688" s="244"/>
      <c r="AN688" s="244"/>
      <c r="AO688" s="87"/>
      <c r="AP688" s="87"/>
      <c r="AQ688" s="87"/>
      <c r="AR688" s="87"/>
      <c r="AS688" s="87"/>
      <c r="AT688" s="87"/>
      <c r="AU688" s="87"/>
      <c r="AV688" s="87"/>
      <c r="AW688" s="87"/>
      <c r="AX688" s="87"/>
    </row>
    <row r="689">
      <c r="A689" s="9"/>
      <c r="B689" s="87"/>
      <c r="C689" s="87"/>
      <c r="D689" s="87"/>
      <c r="E689" s="9"/>
      <c r="F689" s="87"/>
      <c r="G689" s="87"/>
      <c r="H689" s="87"/>
      <c r="I689" s="9"/>
      <c r="J689" s="87"/>
      <c r="K689" s="87"/>
      <c r="L689" s="87"/>
      <c r="M689" s="9"/>
      <c r="N689" s="87"/>
      <c r="O689" s="87"/>
      <c r="P689" s="87"/>
      <c r="Q689" s="9"/>
      <c r="R689" s="87"/>
      <c r="S689" s="87"/>
      <c r="T689" s="87"/>
      <c r="U689" s="9"/>
      <c r="V689" s="87"/>
      <c r="W689" s="87"/>
      <c r="X689" s="87"/>
      <c r="Y689" s="87"/>
      <c r="Z689" s="87"/>
      <c r="AA689" s="87"/>
      <c r="AB689" s="87"/>
      <c r="AC689" s="243"/>
      <c r="AD689" s="234"/>
      <c r="AE689" s="234"/>
      <c r="AF689" s="234"/>
      <c r="AG689" s="9"/>
      <c r="AH689" s="87"/>
      <c r="AI689" s="87"/>
      <c r="AJ689" s="87"/>
      <c r="AK689" s="244"/>
      <c r="AL689" s="245"/>
      <c r="AM689" s="244"/>
      <c r="AN689" s="244"/>
      <c r="AO689" s="87"/>
      <c r="AP689" s="87"/>
      <c r="AQ689" s="87"/>
      <c r="AR689" s="87"/>
      <c r="AS689" s="87"/>
      <c r="AT689" s="87"/>
      <c r="AU689" s="87"/>
      <c r="AV689" s="87"/>
      <c r="AW689" s="87"/>
      <c r="AX689" s="87"/>
    </row>
    <row r="690">
      <c r="A690" s="9"/>
      <c r="B690" s="87"/>
      <c r="C690" s="87"/>
      <c r="D690" s="87"/>
      <c r="E690" s="9"/>
      <c r="F690" s="87"/>
      <c r="G690" s="87"/>
      <c r="H690" s="87"/>
      <c r="I690" s="9"/>
      <c r="J690" s="87"/>
      <c r="K690" s="87"/>
      <c r="L690" s="87"/>
      <c r="M690" s="9"/>
      <c r="N690" s="87"/>
      <c r="O690" s="87"/>
      <c r="P690" s="87"/>
      <c r="Q690" s="9"/>
      <c r="R690" s="87"/>
      <c r="S690" s="87"/>
      <c r="T690" s="87"/>
      <c r="U690" s="9"/>
      <c r="V690" s="87"/>
      <c r="W690" s="87"/>
      <c r="X690" s="87"/>
      <c r="Y690" s="87"/>
      <c r="Z690" s="87"/>
      <c r="AA690" s="87"/>
      <c r="AB690" s="87"/>
      <c r="AC690" s="243"/>
      <c r="AD690" s="234"/>
      <c r="AE690" s="234"/>
      <c r="AF690" s="234"/>
      <c r="AG690" s="9"/>
      <c r="AH690" s="87"/>
      <c r="AI690" s="87"/>
      <c r="AJ690" s="87"/>
      <c r="AK690" s="244"/>
      <c r="AL690" s="245"/>
      <c r="AM690" s="244"/>
      <c r="AN690" s="244"/>
      <c r="AO690" s="87"/>
      <c r="AP690" s="87"/>
      <c r="AQ690" s="87"/>
      <c r="AR690" s="87"/>
      <c r="AS690" s="87"/>
      <c r="AT690" s="87"/>
      <c r="AU690" s="87"/>
      <c r="AV690" s="87"/>
      <c r="AW690" s="87"/>
      <c r="AX690" s="87"/>
    </row>
    <row r="691">
      <c r="A691" s="9"/>
      <c r="B691" s="87"/>
      <c r="C691" s="87"/>
      <c r="D691" s="87"/>
      <c r="E691" s="9"/>
      <c r="F691" s="87"/>
      <c r="G691" s="87"/>
      <c r="H691" s="87"/>
      <c r="I691" s="9"/>
      <c r="J691" s="87"/>
      <c r="K691" s="87"/>
      <c r="L691" s="87"/>
      <c r="M691" s="9"/>
      <c r="N691" s="87"/>
      <c r="O691" s="87"/>
      <c r="P691" s="87"/>
      <c r="Q691" s="9"/>
      <c r="R691" s="87"/>
      <c r="S691" s="87"/>
      <c r="T691" s="87"/>
      <c r="U691" s="9"/>
      <c r="V691" s="87"/>
      <c r="W691" s="87"/>
      <c r="X691" s="87"/>
      <c r="Y691" s="87"/>
      <c r="Z691" s="87"/>
      <c r="AA691" s="87"/>
      <c r="AB691" s="87"/>
      <c r="AC691" s="243"/>
      <c r="AD691" s="234"/>
      <c r="AE691" s="234"/>
      <c r="AF691" s="234"/>
      <c r="AG691" s="9"/>
      <c r="AH691" s="87"/>
      <c r="AI691" s="87"/>
      <c r="AJ691" s="87"/>
      <c r="AK691" s="244"/>
      <c r="AL691" s="245"/>
      <c r="AM691" s="244"/>
      <c r="AN691" s="244"/>
      <c r="AO691" s="87"/>
      <c r="AP691" s="87"/>
      <c r="AQ691" s="87"/>
      <c r="AR691" s="87"/>
      <c r="AS691" s="87"/>
      <c r="AT691" s="87"/>
      <c r="AU691" s="87"/>
      <c r="AV691" s="87"/>
      <c r="AW691" s="87"/>
      <c r="AX691" s="87"/>
    </row>
    <row r="692">
      <c r="A692" s="9"/>
      <c r="B692" s="87"/>
      <c r="C692" s="87"/>
      <c r="D692" s="87"/>
      <c r="E692" s="9"/>
      <c r="F692" s="87"/>
      <c r="G692" s="87"/>
      <c r="H692" s="87"/>
      <c r="I692" s="9"/>
      <c r="J692" s="87"/>
      <c r="K692" s="87"/>
      <c r="L692" s="87"/>
      <c r="M692" s="9"/>
      <c r="N692" s="87"/>
      <c r="O692" s="87"/>
      <c r="P692" s="87"/>
      <c r="Q692" s="9"/>
      <c r="R692" s="87"/>
      <c r="S692" s="87"/>
      <c r="T692" s="87"/>
      <c r="U692" s="9"/>
      <c r="V692" s="87"/>
      <c r="W692" s="87"/>
      <c r="X692" s="87"/>
      <c r="Y692" s="87"/>
      <c r="Z692" s="87"/>
      <c r="AA692" s="87"/>
      <c r="AB692" s="87"/>
      <c r="AC692" s="243"/>
      <c r="AD692" s="234"/>
      <c r="AE692" s="234"/>
      <c r="AF692" s="234"/>
      <c r="AG692" s="9"/>
      <c r="AH692" s="87"/>
      <c r="AI692" s="87"/>
      <c r="AJ692" s="87"/>
      <c r="AK692" s="244"/>
      <c r="AL692" s="245"/>
      <c r="AM692" s="244"/>
      <c r="AN692" s="244"/>
      <c r="AO692" s="87"/>
      <c r="AP692" s="87"/>
      <c r="AQ692" s="87"/>
      <c r="AR692" s="87"/>
      <c r="AS692" s="87"/>
      <c r="AT692" s="87"/>
      <c r="AU692" s="87"/>
      <c r="AV692" s="87"/>
      <c r="AW692" s="87"/>
      <c r="AX692" s="87"/>
    </row>
    <row r="693">
      <c r="A693" s="9"/>
      <c r="B693" s="87"/>
      <c r="C693" s="87"/>
      <c r="D693" s="87"/>
      <c r="E693" s="9"/>
      <c r="F693" s="87"/>
      <c r="G693" s="87"/>
      <c r="H693" s="87"/>
      <c r="I693" s="9"/>
      <c r="J693" s="87"/>
      <c r="K693" s="87"/>
      <c r="L693" s="87"/>
      <c r="M693" s="9"/>
      <c r="N693" s="87"/>
      <c r="O693" s="87"/>
      <c r="P693" s="87"/>
      <c r="Q693" s="9"/>
      <c r="R693" s="87"/>
      <c r="S693" s="87"/>
      <c r="T693" s="87"/>
      <c r="U693" s="9"/>
      <c r="V693" s="87"/>
      <c r="W693" s="87"/>
      <c r="X693" s="87"/>
      <c r="Y693" s="87"/>
      <c r="Z693" s="87"/>
      <c r="AA693" s="87"/>
      <c r="AB693" s="87"/>
      <c r="AC693" s="243"/>
      <c r="AD693" s="234"/>
      <c r="AE693" s="234"/>
      <c r="AF693" s="234"/>
      <c r="AG693" s="9"/>
      <c r="AH693" s="87"/>
      <c r="AI693" s="87"/>
      <c r="AJ693" s="87"/>
      <c r="AK693" s="244"/>
      <c r="AL693" s="245"/>
      <c r="AM693" s="244"/>
      <c r="AN693" s="244"/>
      <c r="AO693" s="87"/>
      <c r="AP693" s="87"/>
      <c r="AQ693" s="87"/>
      <c r="AR693" s="87"/>
      <c r="AS693" s="87"/>
      <c r="AT693" s="87"/>
      <c r="AU693" s="87"/>
      <c r="AV693" s="87"/>
      <c r="AW693" s="87"/>
      <c r="AX693" s="87"/>
    </row>
    <row r="694">
      <c r="A694" s="9"/>
      <c r="B694" s="87"/>
      <c r="C694" s="87"/>
      <c r="D694" s="87"/>
      <c r="E694" s="9"/>
      <c r="F694" s="87"/>
      <c r="G694" s="87"/>
      <c r="H694" s="87"/>
      <c r="I694" s="9"/>
      <c r="J694" s="87"/>
      <c r="K694" s="87"/>
      <c r="L694" s="87"/>
      <c r="M694" s="9"/>
      <c r="N694" s="87"/>
      <c r="O694" s="87"/>
      <c r="P694" s="87"/>
      <c r="Q694" s="9"/>
      <c r="R694" s="87"/>
      <c r="S694" s="87"/>
      <c r="T694" s="87"/>
      <c r="U694" s="9"/>
      <c r="V694" s="87"/>
      <c r="W694" s="87"/>
      <c r="X694" s="87"/>
      <c r="Y694" s="87"/>
      <c r="Z694" s="87"/>
      <c r="AA694" s="87"/>
      <c r="AB694" s="87"/>
      <c r="AC694" s="243"/>
      <c r="AD694" s="234"/>
      <c r="AE694" s="234"/>
      <c r="AF694" s="234"/>
      <c r="AG694" s="9"/>
      <c r="AH694" s="87"/>
      <c r="AI694" s="87"/>
      <c r="AJ694" s="87"/>
      <c r="AK694" s="244"/>
      <c r="AL694" s="245"/>
      <c r="AM694" s="244"/>
      <c r="AN694" s="244"/>
      <c r="AO694" s="87"/>
      <c r="AP694" s="87"/>
      <c r="AQ694" s="87"/>
      <c r="AR694" s="87"/>
      <c r="AS694" s="87"/>
      <c r="AT694" s="87"/>
      <c r="AU694" s="87"/>
      <c r="AV694" s="87"/>
      <c r="AW694" s="87"/>
      <c r="AX694" s="87"/>
    </row>
    <row r="695">
      <c r="A695" s="9"/>
      <c r="B695" s="87"/>
      <c r="C695" s="87"/>
      <c r="D695" s="87"/>
      <c r="E695" s="9"/>
      <c r="F695" s="87"/>
      <c r="G695" s="87"/>
      <c r="H695" s="87"/>
      <c r="I695" s="9"/>
      <c r="J695" s="87"/>
      <c r="K695" s="87"/>
      <c r="L695" s="87"/>
      <c r="M695" s="9"/>
      <c r="N695" s="87"/>
      <c r="O695" s="87"/>
      <c r="P695" s="87"/>
      <c r="Q695" s="9"/>
      <c r="R695" s="87"/>
      <c r="S695" s="87"/>
      <c r="T695" s="87"/>
      <c r="U695" s="9"/>
      <c r="V695" s="87"/>
      <c r="W695" s="87"/>
      <c r="X695" s="87"/>
      <c r="Y695" s="87"/>
      <c r="Z695" s="87"/>
      <c r="AA695" s="87"/>
      <c r="AB695" s="87"/>
      <c r="AC695" s="243"/>
      <c r="AD695" s="234"/>
      <c r="AE695" s="234"/>
      <c r="AF695" s="234"/>
      <c r="AG695" s="9"/>
      <c r="AH695" s="87"/>
      <c r="AI695" s="87"/>
      <c r="AJ695" s="87"/>
      <c r="AK695" s="244"/>
      <c r="AL695" s="245"/>
      <c r="AM695" s="244"/>
      <c r="AN695" s="244"/>
      <c r="AO695" s="87"/>
      <c r="AP695" s="87"/>
      <c r="AQ695" s="87"/>
      <c r="AR695" s="87"/>
      <c r="AS695" s="87"/>
      <c r="AT695" s="87"/>
      <c r="AU695" s="87"/>
      <c r="AV695" s="87"/>
      <c r="AW695" s="87"/>
      <c r="AX695" s="87"/>
    </row>
    <row r="696">
      <c r="A696" s="9"/>
      <c r="B696" s="87"/>
      <c r="C696" s="87"/>
      <c r="D696" s="87"/>
      <c r="E696" s="9"/>
      <c r="F696" s="87"/>
      <c r="G696" s="87"/>
      <c r="H696" s="87"/>
      <c r="I696" s="9"/>
      <c r="J696" s="87"/>
      <c r="K696" s="87"/>
      <c r="L696" s="87"/>
      <c r="M696" s="9"/>
      <c r="N696" s="87"/>
      <c r="O696" s="87"/>
      <c r="P696" s="87"/>
      <c r="Q696" s="9"/>
      <c r="R696" s="87"/>
      <c r="S696" s="87"/>
      <c r="T696" s="87"/>
      <c r="U696" s="9"/>
      <c r="V696" s="87"/>
      <c r="W696" s="87"/>
      <c r="X696" s="87"/>
      <c r="Y696" s="87"/>
      <c r="Z696" s="87"/>
      <c r="AA696" s="87"/>
      <c r="AB696" s="87"/>
      <c r="AC696" s="243"/>
      <c r="AD696" s="234"/>
      <c r="AE696" s="234"/>
      <c r="AF696" s="234"/>
      <c r="AG696" s="9"/>
      <c r="AH696" s="87"/>
      <c r="AI696" s="87"/>
      <c r="AJ696" s="87"/>
      <c r="AK696" s="244"/>
      <c r="AL696" s="245"/>
      <c r="AM696" s="244"/>
      <c r="AN696" s="244"/>
      <c r="AO696" s="87"/>
      <c r="AP696" s="87"/>
      <c r="AQ696" s="87"/>
      <c r="AR696" s="87"/>
      <c r="AS696" s="87"/>
      <c r="AT696" s="87"/>
      <c r="AU696" s="87"/>
      <c r="AV696" s="87"/>
      <c r="AW696" s="87"/>
      <c r="AX696" s="87"/>
    </row>
    <row r="697">
      <c r="A697" s="9"/>
      <c r="B697" s="87"/>
      <c r="C697" s="87"/>
      <c r="D697" s="87"/>
      <c r="E697" s="9"/>
      <c r="F697" s="87"/>
      <c r="G697" s="87"/>
      <c r="H697" s="87"/>
      <c r="I697" s="9"/>
      <c r="J697" s="87"/>
      <c r="K697" s="87"/>
      <c r="L697" s="87"/>
      <c r="M697" s="9"/>
      <c r="N697" s="87"/>
      <c r="O697" s="87"/>
      <c r="P697" s="87"/>
      <c r="Q697" s="9"/>
      <c r="R697" s="87"/>
      <c r="S697" s="87"/>
      <c r="T697" s="87"/>
      <c r="U697" s="9"/>
      <c r="V697" s="87"/>
      <c r="W697" s="87"/>
      <c r="X697" s="87"/>
      <c r="Y697" s="87"/>
      <c r="Z697" s="87"/>
      <c r="AA697" s="87"/>
      <c r="AB697" s="87"/>
      <c r="AC697" s="243"/>
      <c r="AD697" s="234"/>
      <c r="AE697" s="234"/>
      <c r="AF697" s="234"/>
      <c r="AG697" s="9"/>
      <c r="AH697" s="87"/>
      <c r="AI697" s="87"/>
      <c r="AJ697" s="87"/>
      <c r="AK697" s="244"/>
      <c r="AL697" s="245"/>
      <c r="AM697" s="244"/>
      <c r="AN697" s="244"/>
      <c r="AO697" s="87"/>
      <c r="AP697" s="87"/>
      <c r="AQ697" s="87"/>
      <c r="AR697" s="87"/>
      <c r="AS697" s="87"/>
      <c r="AT697" s="87"/>
      <c r="AU697" s="87"/>
      <c r="AV697" s="87"/>
      <c r="AW697" s="87"/>
      <c r="AX697" s="87"/>
    </row>
    <row r="698">
      <c r="A698" s="9"/>
      <c r="B698" s="87"/>
      <c r="C698" s="87"/>
      <c r="D698" s="87"/>
      <c r="E698" s="9"/>
      <c r="F698" s="87"/>
      <c r="G698" s="87"/>
      <c r="H698" s="87"/>
      <c r="I698" s="9"/>
      <c r="J698" s="87"/>
      <c r="K698" s="87"/>
      <c r="L698" s="87"/>
      <c r="M698" s="9"/>
      <c r="N698" s="87"/>
      <c r="O698" s="87"/>
      <c r="P698" s="87"/>
      <c r="Q698" s="9"/>
      <c r="R698" s="87"/>
      <c r="S698" s="87"/>
      <c r="T698" s="87"/>
      <c r="U698" s="9"/>
      <c r="V698" s="87"/>
      <c r="W698" s="87"/>
      <c r="X698" s="87"/>
      <c r="Y698" s="87"/>
      <c r="Z698" s="87"/>
      <c r="AA698" s="87"/>
      <c r="AB698" s="87"/>
      <c r="AC698" s="243"/>
      <c r="AD698" s="234"/>
      <c r="AE698" s="234"/>
      <c r="AF698" s="234"/>
      <c r="AG698" s="9"/>
      <c r="AH698" s="87"/>
      <c r="AI698" s="87"/>
      <c r="AJ698" s="87"/>
      <c r="AK698" s="244"/>
      <c r="AL698" s="245"/>
      <c r="AM698" s="244"/>
      <c r="AN698" s="244"/>
      <c r="AO698" s="87"/>
      <c r="AP698" s="87"/>
      <c r="AQ698" s="87"/>
      <c r="AR698" s="87"/>
      <c r="AS698" s="87"/>
      <c r="AT698" s="87"/>
      <c r="AU698" s="87"/>
      <c r="AV698" s="87"/>
      <c r="AW698" s="87"/>
      <c r="AX698" s="87"/>
    </row>
    <row r="699">
      <c r="A699" s="9"/>
      <c r="B699" s="87"/>
      <c r="C699" s="87"/>
      <c r="D699" s="87"/>
      <c r="E699" s="9"/>
      <c r="F699" s="87"/>
      <c r="G699" s="87"/>
      <c r="H699" s="87"/>
      <c r="I699" s="9"/>
      <c r="J699" s="87"/>
      <c r="K699" s="87"/>
      <c r="L699" s="87"/>
      <c r="M699" s="9"/>
      <c r="N699" s="87"/>
      <c r="O699" s="87"/>
      <c r="P699" s="87"/>
      <c r="Q699" s="9"/>
      <c r="R699" s="87"/>
      <c r="S699" s="87"/>
      <c r="T699" s="87"/>
      <c r="U699" s="9"/>
      <c r="V699" s="87"/>
      <c r="W699" s="87"/>
      <c r="X699" s="87"/>
      <c r="Y699" s="87"/>
      <c r="Z699" s="87"/>
      <c r="AA699" s="87"/>
      <c r="AB699" s="87"/>
      <c r="AC699" s="243"/>
      <c r="AD699" s="234"/>
      <c r="AE699" s="234"/>
      <c r="AF699" s="234"/>
      <c r="AG699" s="9"/>
      <c r="AH699" s="87"/>
      <c r="AI699" s="87"/>
      <c r="AJ699" s="87"/>
      <c r="AK699" s="244"/>
      <c r="AL699" s="245"/>
      <c r="AM699" s="244"/>
      <c r="AN699" s="244"/>
      <c r="AO699" s="87"/>
      <c r="AP699" s="87"/>
      <c r="AQ699" s="87"/>
      <c r="AR699" s="87"/>
      <c r="AS699" s="87"/>
      <c r="AT699" s="87"/>
      <c r="AU699" s="87"/>
      <c r="AV699" s="87"/>
      <c r="AW699" s="87"/>
      <c r="AX699" s="87"/>
    </row>
    <row r="700">
      <c r="A700" s="9"/>
      <c r="B700" s="87"/>
      <c r="C700" s="87"/>
      <c r="D700" s="87"/>
      <c r="E700" s="9"/>
      <c r="F700" s="87"/>
      <c r="G700" s="87"/>
      <c r="H700" s="87"/>
      <c r="I700" s="9"/>
      <c r="J700" s="87"/>
      <c r="K700" s="87"/>
      <c r="L700" s="87"/>
      <c r="M700" s="9"/>
      <c r="N700" s="87"/>
      <c r="O700" s="87"/>
      <c r="P700" s="87"/>
      <c r="Q700" s="9"/>
      <c r="R700" s="87"/>
      <c r="S700" s="87"/>
      <c r="T700" s="87"/>
      <c r="U700" s="9"/>
      <c r="V700" s="87"/>
      <c r="W700" s="87"/>
      <c r="X700" s="87"/>
      <c r="Y700" s="87"/>
      <c r="Z700" s="87"/>
      <c r="AA700" s="87"/>
      <c r="AB700" s="87"/>
      <c r="AC700" s="243"/>
      <c r="AD700" s="234"/>
      <c r="AE700" s="234"/>
      <c r="AF700" s="234"/>
      <c r="AG700" s="9"/>
      <c r="AH700" s="87"/>
      <c r="AI700" s="87"/>
      <c r="AJ700" s="87"/>
      <c r="AK700" s="244"/>
      <c r="AL700" s="245"/>
      <c r="AM700" s="244"/>
      <c r="AN700" s="244"/>
      <c r="AO700" s="87"/>
      <c r="AP700" s="87"/>
      <c r="AQ700" s="87"/>
      <c r="AR700" s="87"/>
      <c r="AS700" s="87"/>
      <c r="AT700" s="87"/>
      <c r="AU700" s="87"/>
      <c r="AV700" s="87"/>
      <c r="AW700" s="87"/>
      <c r="AX700" s="87"/>
    </row>
    <row r="701">
      <c r="A701" s="9"/>
      <c r="B701" s="87"/>
      <c r="C701" s="87"/>
      <c r="D701" s="87"/>
      <c r="E701" s="9"/>
      <c r="F701" s="87"/>
      <c r="G701" s="87"/>
      <c r="H701" s="87"/>
      <c r="I701" s="9"/>
      <c r="J701" s="87"/>
      <c r="K701" s="87"/>
      <c r="L701" s="87"/>
      <c r="M701" s="9"/>
      <c r="N701" s="87"/>
      <c r="O701" s="87"/>
      <c r="P701" s="87"/>
      <c r="Q701" s="9"/>
      <c r="R701" s="87"/>
      <c r="S701" s="87"/>
      <c r="T701" s="87"/>
      <c r="U701" s="9"/>
      <c r="V701" s="87"/>
      <c r="W701" s="87"/>
      <c r="X701" s="87"/>
      <c r="Y701" s="87"/>
      <c r="Z701" s="87"/>
      <c r="AA701" s="87"/>
      <c r="AB701" s="87"/>
      <c r="AC701" s="243"/>
      <c r="AD701" s="234"/>
      <c r="AE701" s="234"/>
      <c r="AF701" s="234"/>
      <c r="AG701" s="9"/>
      <c r="AH701" s="87"/>
      <c r="AI701" s="87"/>
      <c r="AJ701" s="87"/>
      <c r="AK701" s="244"/>
      <c r="AL701" s="245"/>
      <c r="AM701" s="244"/>
      <c r="AN701" s="244"/>
      <c r="AO701" s="87"/>
      <c r="AP701" s="87"/>
      <c r="AQ701" s="87"/>
      <c r="AR701" s="87"/>
      <c r="AS701" s="87"/>
      <c r="AT701" s="87"/>
      <c r="AU701" s="87"/>
      <c r="AV701" s="87"/>
      <c r="AW701" s="87"/>
      <c r="AX701" s="87"/>
    </row>
    <row r="702">
      <c r="A702" s="9"/>
      <c r="B702" s="87"/>
      <c r="C702" s="87"/>
      <c r="D702" s="87"/>
      <c r="E702" s="9"/>
      <c r="F702" s="87"/>
      <c r="G702" s="87"/>
      <c r="H702" s="87"/>
      <c r="I702" s="9"/>
      <c r="J702" s="87"/>
      <c r="K702" s="87"/>
      <c r="L702" s="87"/>
      <c r="M702" s="9"/>
      <c r="N702" s="87"/>
      <c r="O702" s="87"/>
      <c r="P702" s="87"/>
      <c r="Q702" s="9"/>
      <c r="R702" s="87"/>
      <c r="S702" s="87"/>
      <c r="T702" s="87"/>
      <c r="U702" s="9"/>
      <c r="V702" s="87"/>
      <c r="W702" s="87"/>
      <c r="X702" s="87"/>
      <c r="Y702" s="87"/>
      <c r="Z702" s="87"/>
      <c r="AA702" s="87"/>
      <c r="AB702" s="87"/>
      <c r="AC702" s="243"/>
      <c r="AD702" s="234"/>
      <c r="AE702" s="234"/>
      <c r="AF702" s="234"/>
      <c r="AG702" s="9"/>
      <c r="AH702" s="87"/>
      <c r="AI702" s="87"/>
      <c r="AJ702" s="87"/>
      <c r="AK702" s="244"/>
      <c r="AL702" s="245"/>
      <c r="AM702" s="244"/>
      <c r="AN702" s="244"/>
      <c r="AO702" s="87"/>
      <c r="AP702" s="87"/>
      <c r="AQ702" s="87"/>
      <c r="AR702" s="87"/>
      <c r="AS702" s="87"/>
      <c r="AT702" s="87"/>
      <c r="AU702" s="87"/>
      <c r="AV702" s="87"/>
      <c r="AW702" s="87"/>
      <c r="AX702" s="87"/>
    </row>
    <row r="703">
      <c r="A703" s="9"/>
      <c r="B703" s="87"/>
      <c r="C703" s="87"/>
      <c r="D703" s="87"/>
      <c r="E703" s="9"/>
      <c r="F703" s="87"/>
      <c r="G703" s="87"/>
      <c r="H703" s="87"/>
      <c r="I703" s="9"/>
      <c r="J703" s="87"/>
      <c r="K703" s="87"/>
      <c r="L703" s="87"/>
      <c r="M703" s="9"/>
      <c r="N703" s="87"/>
      <c r="O703" s="87"/>
      <c r="P703" s="87"/>
      <c r="Q703" s="9"/>
      <c r="R703" s="87"/>
      <c r="S703" s="87"/>
      <c r="T703" s="87"/>
      <c r="U703" s="9"/>
      <c r="V703" s="87"/>
      <c r="W703" s="87"/>
      <c r="X703" s="87"/>
      <c r="Y703" s="87"/>
      <c r="Z703" s="87"/>
      <c r="AA703" s="87"/>
      <c r="AB703" s="87"/>
      <c r="AC703" s="243"/>
      <c r="AD703" s="234"/>
      <c r="AE703" s="234"/>
      <c r="AF703" s="234"/>
      <c r="AG703" s="9"/>
      <c r="AH703" s="87"/>
      <c r="AI703" s="87"/>
      <c r="AJ703" s="87"/>
      <c r="AK703" s="244"/>
      <c r="AL703" s="245"/>
      <c r="AM703" s="244"/>
      <c r="AN703" s="244"/>
      <c r="AO703" s="87"/>
      <c r="AP703" s="87"/>
      <c r="AQ703" s="87"/>
      <c r="AR703" s="87"/>
      <c r="AS703" s="87"/>
      <c r="AT703" s="87"/>
      <c r="AU703" s="87"/>
      <c r="AV703" s="87"/>
      <c r="AW703" s="87"/>
      <c r="AX703" s="87"/>
    </row>
    <row r="704">
      <c r="A704" s="9"/>
      <c r="B704" s="87"/>
      <c r="C704" s="87"/>
      <c r="D704" s="87"/>
      <c r="E704" s="9"/>
      <c r="F704" s="87"/>
      <c r="G704" s="87"/>
      <c r="H704" s="87"/>
      <c r="I704" s="9"/>
      <c r="J704" s="87"/>
      <c r="K704" s="87"/>
      <c r="L704" s="87"/>
      <c r="M704" s="9"/>
      <c r="N704" s="87"/>
      <c r="O704" s="87"/>
      <c r="P704" s="87"/>
      <c r="Q704" s="9"/>
      <c r="R704" s="87"/>
      <c r="S704" s="87"/>
      <c r="T704" s="87"/>
      <c r="U704" s="9"/>
      <c r="V704" s="87"/>
      <c r="W704" s="87"/>
      <c r="X704" s="87"/>
      <c r="Y704" s="87"/>
      <c r="Z704" s="87"/>
      <c r="AA704" s="87"/>
      <c r="AB704" s="87"/>
      <c r="AC704" s="243"/>
      <c r="AD704" s="234"/>
      <c r="AE704" s="234"/>
      <c r="AF704" s="234"/>
      <c r="AG704" s="9"/>
      <c r="AH704" s="87"/>
      <c r="AI704" s="87"/>
      <c r="AJ704" s="87"/>
      <c r="AK704" s="244"/>
      <c r="AL704" s="245"/>
      <c r="AM704" s="244"/>
      <c r="AN704" s="244"/>
      <c r="AO704" s="87"/>
      <c r="AP704" s="87"/>
      <c r="AQ704" s="87"/>
      <c r="AR704" s="87"/>
      <c r="AS704" s="87"/>
      <c r="AT704" s="87"/>
      <c r="AU704" s="87"/>
      <c r="AV704" s="87"/>
      <c r="AW704" s="87"/>
      <c r="AX704" s="87"/>
    </row>
    <row r="705">
      <c r="A705" s="9"/>
      <c r="B705" s="87"/>
      <c r="C705" s="87"/>
      <c r="D705" s="87"/>
      <c r="E705" s="9"/>
      <c r="F705" s="87"/>
      <c r="G705" s="87"/>
      <c r="H705" s="87"/>
      <c r="I705" s="9"/>
      <c r="J705" s="87"/>
      <c r="K705" s="87"/>
      <c r="L705" s="87"/>
      <c r="M705" s="9"/>
      <c r="N705" s="87"/>
      <c r="O705" s="87"/>
      <c r="P705" s="87"/>
      <c r="Q705" s="9"/>
      <c r="R705" s="87"/>
      <c r="S705" s="87"/>
      <c r="T705" s="87"/>
      <c r="U705" s="9"/>
      <c r="V705" s="87"/>
      <c r="W705" s="87"/>
      <c r="X705" s="87"/>
      <c r="Y705" s="87"/>
      <c r="Z705" s="87"/>
      <c r="AA705" s="87"/>
      <c r="AB705" s="87"/>
      <c r="AC705" s="243"/>
      <c r="AD705" s="234"/>
      <c r="AE705" s="234"/>
      <c r="AF705" s="234"/>
      <c r="AG705" s="9"/>
      <c r="AH705" s="87"/>
      <c r="AI705" s="87"/>
      <c r="AJ705" s="87"/>
      <c r="AK705" s="244"/>
      <c r="AL705" s="245"/>
      <c r="AM705" s="244"/>
      <c r="AN705" s="244"/>
      <c r="AO705" s="87"/>
      <c r="AP705" s="87"/>
      <c r="AQ705" s="87"/>
      <c r="AR705" s="87"/>
      <c r="AS705" s="87"/>
      <c r="AT705" s="87"/>
      <c r="AU705" s="87"/>
      <c r="AV705" s="87"/>
      <c r="AW705" s="87"/>
      <c r="AX705" s="87"/>
    </row>
    <row r="706">
      <c r="A706" s="9"/>
      <c r="B706" s="87"/>
      <c r="C706" s="87"/>
      <c r="D706" s="87"/>
      <c r="E706" s="9"/>
      <c r="F706" s="87"/>
      <c r="G706" s="87"/>
      <c r="H706" s="87"/>
      <c r="I706" s="9"/>
      <c r="J706" s="87"/>
      <c r="K706" s="87"/>
      <c r="L706" s="87"/>
      <c r="M706" s="9"/>
      <c r="N706" s="87"/>
      <c r="O706" s="87"/>
      <c r="P706" s="87"/>
      <c r="Q706" s="9"/>
      <c r="R706" s="87"/>
      <c r="S706" s="87"/>
      <c r="T706" s="87"/>
      <c r="U706" s="9"/>
      <c r="V706" s="87"/>
      <c r="W706" s="87"/>
      <c r="X706" s="87"/>
      <c r="Y706" s="87"/>
      <c r="Z706" s="87"/>
      <c r="AA706" s="87"/>
      <c r="AB706" s="87"/>
      <c r="AC706" s="243"/>
      <c r="AD706" s="234"/>
      <c r="AE706" s="234"/>
      <c r="AF706" s="234"/>
      <c r="AG706" s="9"/>
      <c r="AH706" s="87"/>
      <c r="AI706" s="87"/>
      <c r="AJ706" s="87"/>
      <c r="AK706" s="244"/>
      <c r="AL706" s="245"/>
      <c r="AM706" s="244"/>
      <c r="AN706" s="244"/>
      <c r="AO706" s="87"/>
      <c r="AP706" s="87"/>
      <c r="AQ706" s="87"/>
      <c r="AR706" s="87"/>
      <c r="AS706" s="87"/>
      <c r="AT706" s="87"/>
      <c r="AU706" s="87"/>
      <c r="AV706" s="87"/>
      <c r="AW706" s="87"/>
      <c r="AX706" s="87"/>
    </row>
    <row r="707">
      <c r="A707" s="9"/>
      <c r="B707" s="87"/>
      <c r="C707" s="87"/>
      <c r="D707" s="87"/>
      <c r="E707" s="9"/>
      <c r="F707" s="87"/>
      <c r="G707" s="87"/>
      <c r="H707" s="87"/>
      <c r="I707" s="9"/>
      <c r="J707" s="87"/>
      <c r="K707" s="87"/>
      <c r="L707" s="87"/>
      <c r="M707" s="9"/>
      <c r="N707" s="87"/>
      <c r="O707" s="87"/>
      <c r="P707" s="87"/>
      <c r="Q707" s="9"/>
      <c r="R707" s="87"/>
      <c r="S707" s="87"/>
      <c r="T707" s="87"/>
      <c r="U707" s="9"/>
      <c r="V707" s="87"/>
      <c r="W707" s="87"/>
      <c r="X707" s="87"/>
      <c r="Y707" s="87"/>
      <c r="Z707" s="87"/>
      <c r="AA707" s="87"/>
      <c r="AB707" s="87"/>
      <c r="AC707" s="243"/>
      <c r="AD707" s="234"/>
      <c r="AE707" s="234"/>
      <c r="AF707" s="234"/>
      <c r="AG707" s="9"/>
      <c r="AH707" s="87"/>
      <c r="AI707" s="87"/>
      <c r="AJ707" s="87"/>
      <c r="AK707" s="244"/>
      <c r="AL707" s="245"/>
      <c r="AM707" s="244"/>
      <c r="AN707" s="244"/>
      <c r="AO707" s="87"/>
      <c r="AP707" s="87"/>
      <c r="AQ707" s="87"/>
      <c r="AR707" s="87"/>
      <c r="AS707" s="87"/>
      <c r="AT707" s="87"/>
      <c r="AU707" s="87"/>
      <c r="AV707" s="87"/>
      <c r="AW707" s="87"/>
      <c r="AX707" s="87"/>
    </row>
    <row r="708">
      <c r="A708" s="9"/>
      <c r="B708" s="87"/>
      <c r="C708" s="87"/>
      <c r="D708" s="87"/>
      <c r="E708" s="9"/>
      <c r="F708" s="87"/>
      <c r="G708" s="87"/>
      <c r="H708" s="87"/>
      <c r="I708" s="9"/>
      <c r="J708" s="87"/>
      <c r="K708" s="87"/>
      <c r="L708" s="87"/>
      <c r="M708" s="9"/>
      <c r="N708" s="87"/>
      <c r="O708" s="87"/>
      <c r="P708" s="87"/>
      <c r="Q708" s="9"/>
      <c r="R708" s="87"/>
      <c r="S708" s="87"/>
      <c r="T708" s="87"/>
      <c r="U708" s="9"/>
      <c r="V708" s="87"/>
      <c r="W708" s="87"/>
      <c r="X708" s="87"/>
      <c r="Y708" s="87"/>
      <c r="Z708" s="87"/>
      <c r="AA708" s="87"/>
      <c r="AB708" s="87"/>
      <c r="AC708" s="243"/>
      <c r="AD708" s="234"/>
      <c r="AE708" s="234"/>
      <c r="AF708" s="234"/>
      <c r="AG708" s="9"/>
      <c r="AH708" s="87"/>
      <c r="AI708" s="87"/>
      <c r="AJ708" s="87"/>
      <c r="AK708" s="244"/>
      <c r="AL708" s="245"/>
      <c r="AM708" s="244"/>
      <c r="AN708" s="244"/>
      <c r="AO708" s="87"/>
      <c r="AP708" s="87"/>
      <c r="AQ708" s="87"/>
      <c r="AR708" s="87"/>
      <c r="AS708" s="87"/>
      <c r="AT708" s="87"/>
      <c r="AU708" s="87"/>
      <c r="AV708" s="87"/>
      <c r="AW708" s="87"/>
      <c r="AX708" s="87"/>
    </row>
    <row r="709">
      <c r="A709" s="9"/>
      <c r="B709" s="87"/>
      <c r="C709" s="87"/>
      <c r="D709" s="87"/>
      <c r="E709" s="9"/>
      <c r="F709" s="87"/>
      <c r="G709" s="87"/>
      <c r="H709" s="87"/>
      <c r="I709" s="9"/>
      <c r="J709" s="87"/>
      <c r="K709" s="87"/>
      <c r="L709" s="87"/>
      <c r="M709" s="9"/>
      <c r="N709" s="87"/>
      <c r="O709" s="87"/>
      <c r="P709" s="87"/>
      <c r="Q709" s="9"/>
      <c r="R709" s="87"/>
      <c r="S709" s="87"/>
      <c r="T709" s="87"/>
      <c r="U709" s="9"/>
      <c r="V709" s="87"/>
      <c r="W709" s="87"/>
      <c r="X709" s="87"/>
      <c r="Y709" s="87"/>
      <c r="Z709" s="87"/>
      <c r="AA709" s="87"/>
      <c r="AB709" s="87"/>
      <c r="AC709" s="243"/>
      <c r="AD709" s="234"/>
      <c r="AE709" s="234"/>
      <c r="AF709" s="234"/>
      <c r="AG709" s="9"/>
      <c r="AH709" s="87"/>
      <c r="AI709" s="87"/>
      <c r="AJ709" s="87"/>
      <c r="AK709" s="244"/>
      <c r="AL709" s="245"/>
      <c r="AM709" s="244"/>
      <c r="AN709" s="244"/>
      <c r="AO709" s="87"/>
      <c r="AP709" s="87"/>
      <c r="AQ709" s="87"/>
      <c r="AR709" s="87"/>
      <c r="AS709" s="87"/>
      <c r="AT709" s="87"/>
      <c r="AU709" s="87"/>
      <c r="AV709" s="87"/>
      <c r="AW709" s="87"/>
      <c r="AX709" s="87"/>
    </row>
    <row r="710">
      <c r="A710" s="9"/>
      <c r="B710" s="87"/>
      <c r="C710" s="87"/>
      <c r="D710" s="87"/>
      <c r="E710" s="9"/>
      <c r="F710" s="87"/>
      <c r="G710" s="87"/>
      <c r="H710" s="87"/>
      <c r="I710" s="9"/>
      <c r="J710" s="87"/>
      <c r="K710" s="87"/>
      <c r="L710" s="87"/>
      <c r="M710" s="9"/>
      <c r="N710" s="87"/>
      <c r="O710" s="87"/>
      <c r="P710" s="87"/>
      <c r="Q710" s="9"/>
      <c r="R710" s="87"/>
      <c r="S710" s="87"/>
      <c r="T710" s="87"/>
      <c r="U710" s="9"/>
      <c r="V710" s="87"/>
      <c r="W710" s="87"/>
      <c r="X710" s="87"/>
      <c r="Y710" s="87"/>
      <c r="Z710" s="87"/>
      <c r="AA710" s="87"/>
      <c r="AB710" s="87"/>
      <c r="AC710" s="243"/>
      <c r="AD710" s="234"/>
      <c r="AE710" s="234"/>
      <c r="AF710" s="234"/>
      <c r="AG710" s="9"/>
      <c r="AH710" s="87"/>
      <c r="AI710" s="87"/>
      <c r="AJ710" s="87"/>
      <c r="AK710" s="244"/>
      <c r="AL710" s="245"/>
      <c r="AM710" s="244"/>
      <c r="AN710" s="244"/>
      <c r="AO710" s="87"/>
      <c r="AP710" s="87"/>
      <c r="AQ710" s="87"/>
      <c r="AR710" s="87"/>
      <c r="AS710" s="87"/>
      <c r="AT710" s="87"/>
      <c r="AU710" s="87"/>
      <c r="AV710" s="87"/>
      <c r="AW710" s="87"/>
      <c r="AX710" s="87"/>
    </row>
    <row r="711">
      <c r="A711" s="9"/>
      <c r="B711" s="87"/>
      <c r="C711" s="87"/>
      <c r="D711" s="87"/>
      <c r="E711" s="9"/>
      <c r="F711" s="87"/>
      <c r="G711" s="87"/>
      <c r="H711" s="87"/>
      <c r="I711" s="9"/>
      <c r="J711" s="87"/>
      <c r="K711" s="87"/>
      <c r="L711" s="87"/>
      <c r="M711" s="9"/>
      <c r="N711" s="87"/>
      <c r="O711" s="87"/>
      <c r="P711" s="87"/>
      <c r="Q711" s="9"/>
      <c r="R711" s="87"/>
      <c r="S711" s="87"/>
      <c r="T711" s="87"/>
      <c r="U711" s="9"/>
      <c r="V711" s="87"/>
      <c r="W711" s="87"/>
      <c r="X711" s="87"/>
      <c r="Y711" s="87"/>
      <c r="Z711" s="87"/>
      <c r="AA711" s="87"/>
      <c r="AB711" s="87"/>
      <c r="AC711" s="243"/>
      <c r="AD711" s="234"/>
      <c r="AE711" s="234"/>
      <c r="AF711" s="234"/>
      <c r="AG711" s="9"/>
      <c r="AH711" s="87"/>
      <c r="AI711" s="87"/>
      <c r="AJ711" s="87"/>
      <c r="AK711" s="244"/>
      <c r="AL711" s="245"/>
      <c r="AM711" s="244"/>
      <c r="AN711" s="244"/>
      <c r="AO711" s="87"/>
      <c r="AP711" s="87"/>
      <c r="AQ711" s="87"/>
      <c r="AR711" s="87"/>
      <c r="AS711" s="87"/>
      <c r="AT711" s="87"/>
      <c r="AU711" s="87"/>
      <c r="AV711" s="87"/>
      <c r="AW711" s="87"/>
      <c r="AX711" s="87"/>
    </row>
    <row r="712">
      <c r="A712" s="9"/>
      <c r="B712" s="87"/>
      <c r="C712" s="87"/>
      <c r="D712" s="87"/>
      <c r="E712" s="9"/>
      <c r="F712" s="87"/>
      <c r="G712" s="87"/>
      <c r="H712" s="87"/>
      <c r="I712" s="9"/>
      <c r="J712" s="87"/>
      <c r="K712" s="87"/>
      <c r="L712" s="87"/>
      <c r="M712" s="9"/>
      <c r="N712" s="87"/>
      <c r="O712" s="87"/>
      <c r="P712" s="87"/>
      <c r="Q712" s="9"/>
      <c r="R712" s="87"/>
      <c r="S712" s="87"/>
      <c r="T712" s="87"/>
      <c r="U712" s="9"/>
      <c r="V712" s="87"/>
      <c r="W712" s="87"/>
      <c r="X712" s="87"/>
      <c r="Y712" s="87"/>
      <c r="Z712" s="87"/>
      <c r="AA712" s="87"/>
      <c r="AB712" s="87"/>
      <c r="AC712" s="243"/>
      <c r="AD712" s="234"/>
      <c r="AE712" s="234"/>
      <c r="AF712" s="234"/>
      <c r="AG712" s="9"/>
      <c r="AH712" s="87"/>
      <c r="AI712" s="87"/>
      <c r="AJ712" s="87"/>
      <c r="AK712" s="244"/>
      <c r="AL712" s="245"/>
      <c r="AM712" s="244"/>
      <c r="AN712" s="244"/>
      <c r="AO712" s="87"/>
      <c r="AP712" s="87"/>
      <c r="AQ712" s="87"/>
      <c r="AR712" s="87"/>
      <c r="AS712" s="87"/>
      <c r="AT712" s="87"/>
      <c r="AU712" s="87"/>
      <c r="AV712" s="87"/>
      <c r="AW712" s="87"/>
      <c r="AX712" s="87"/>
    </row>
    <row r="713">
      <c r="A713" s="9"/>
      <c r="B713" s="87"/>
      <c r="C713" s="87"/>
      <c r="D713" s="87"/>
      <c r="E713" s="9"/>
      <c r="F713" s="87"/>
      <c r="G713" s="87"/>
      <c r="H713" s="87"/>
      <c r="I713" s="9"/>
      <c r="J713" s="87"/>
      <c r="K713" s="87"/>
      <c r="L713" s="87"/>
      <c r="M713" s="9"/>
      <c r="N713" s="87"/>
      <c r="O713" s="87"/>
      <c r="P713" s="87"/>
      <c r="Q713" s="9"/>
      <c r="R713" s="87"/>
      <c r="S713" s="87"/>
      <c r="T713" s="87"/>
      <c r="U713" s="9"/>
      <c r="V713" s="87"/>
      <c r="W713" s="87"/>
      <c r="X713" s="87"/>
      <c r="Y713" s="87"/>
      <c r="Z713" s="87"/>
      <c r="AA713" s="87"/>
      <c r="AB713" s="87"/>
      <c r="AC713" s="243"/>
      <c r="AD713" s="234"/>
      <c r="AE713" s="234"/>
      <c r="AF713" s="234"/>
      <c r="AG713" s="9"/>
      <c r="AH713" s="87"/>
      <c r="AI713" s="87"/>
      <c r="AJ713" s="87"/>
      <c r="AK713" s="244"/>
      <c r="AL713" s="245"/>
      <c r="AM713" s="244"/>
      <c r="AN713" s="244"/>
      <c r="AO713" s="87"/>
      <c r="AP713" s="87"/>
      <c r="AQ713" s="87"/>
      <c r="AR713" s="87"/>
      <c r="AS713" s="87"/>
      <c r="AT713" s="87"/>
      <c r="AU713" s="87"/>
      <c r="AV713" s="87"/>
      <c r="AW713" s="87"/>
      <c r="AX713" s="87"/>
    </row>
    <row r="714">
      <c r="A714" s="9"/>
      <c r="B714" s="87"/>
      <c r="C714" s="87"/>
      <c r="D714" s="87"/>
      <c r="E714" s="9"/>
      <c r="F714" s="87"/>
      <c r="G714" s="87"/>
      <c r="H714" s="87"/>
      <c r="I714" s="9"/>
      <c r="J714" s="87"/>
      <c r="K714" s="87"/>
      <c r="L714" s="87"/>
      <c r="M714" s="9"/>
      <c r="N714" s="87"/>
      <c r="O714" s="87"/>
      <c r="P714" s="87"/>
      <c r="Q714" s="9"/>
      <c r="R714" s="87"/>
      <c r="S714" s="87"/>
      <c r="T714" s="87"/>
      <c r="U714" s="9"/>
      <c r="V714" s="87"/>
      <c r="W714" s="87"/>
      <c r="X714" s="87"/>
      <c r="Y714" s="87"/>
      <c r="Z714" s="87"/>
      <c r="AA714" s="87"/>
      <c r="AB714" s="87"/>
      <c r="AC714" s="243"/>
      <c r="AD714" s="234"/>
      <c r="AE714" s="234"/>
      <c r="AF714" s="234"/>
      <c r="AG714" s="9"/>
      <c r="AH714" s="87"/>
      <c r="AI714" s="87"/>
      <c r="AJ714" s="87"/>
      <c r="AK714" s="244"/>
      <c r="AL714" s="245"/>
      <c r="AM714" s="244"/>
      <c r="AN714" s="244"/>
      <c r="AO714" s="87"/>
      <c r="AP714" s="87"/>
      <c r="AQ714" s="87"/>
      <c r="AR714" s="87"/>
      <c r="AS714" s="87"/>
      <c r="AT714" s="87"/>
      <c r="AU714" s="87"/>
      <c r="AV714" s="87"/>
      <c r="AW714" s="87"/>
      <c r="AX714" s="87"/>
    </row>
    <row r="715">
      <c r="A715" s="9"/>
      <c r="B715" s="87"/>
      <c r="C715" s="87"/>
      <c r="D715" s="87"/>
      <c r="E715" s="9"/>
      <c r="F715" s="87"/>
      <c r="G715" s="87"/>
      <c r="H715" s="87"/>
      <c r="I715" s="9"/>
      <c r="J715" s="87"/>
      <c r="K715" s="87"/>
      <c r="L715" s="87"/>
      <c r="M715" s="9"/>
      <c r="N715" s="87"/>
      <c r="O715" s="87"/>
      <c r="P715" s="87"/>
      <c r="Q715" s="9"/>
      <c r="R715" s="87"/>
      <c r="S715" s="87"/>
      <c r="T715" s="87"/>
      <c r="U715" s="9"/>
      <c r="V715" s="87"/>
      <c r="W715" s="87"/>
      <c r="X715" s="87"/>
      <c r="Y715" s="87"/>
      <c r="Z715" s="87"/>
      <c r="AA715" s="87"/>
      <c r="AB715" s="87"/>
      <c r="AC715" s="243"/>
      <c r="AD715" s="234"/>
      <c r="AE715" s="234"/>
      <c r="AF715" s="234"/>
      <c r="AG715" s="9"/>
      <c r="AH715" s="87"/>
      <c r="AI715" s="87"/>
      <c r="AJ715" s="87"/>
      <c r="AK715" s="244"/>
      <c r="AL715" s="245"/>
      <c r="AM715" s="244"/>
      <c r="AN715" s="244"/>
      <c r="AO715" s="87"/>
      <c r="AP715" s="87"/>
      <c r="AQ715" s="87"/>
      <c r="AR715" s="87"/>
      <c r="AS715" s="87"/>
      <c r="AT715" s="87"/>
      <c r="AU715" s="87"/>
      <c r="AV715" s="87"/>
      <c r="AW715" s="87"/>
      <c r="AX715" s="87"/>
    </row>
    <row r="716">
      <c r="A716" s="9"/>
      <c r="B716" s="87"/>
      <c r="C716" s="87"/>
      <c r="D716" s="87"/>
      <c r="E716" s="9"/>
      <c r="F716" s="87"/>
      <c r="G716" s="87"/>
      <c r="H716" s="87"/>
      <c r="I716" s="9"/>
      <c r="J716" s="87"/>
      <c r="K716" s="87"/>
      <c r="L716" s="87"/>
      <c r="M716" s="9"/>
      <c r="N716" s="87"/>
      <c r="O716" s="87"/>
      <c r="P716" s="87"/>
      <c r="Q716" s="9"/>
      <c r="R716" s="87"/>
      <c r="S716" s="87"/>
      <c r="T716" s="87"/>
      <c r="U716" s="9"/>
      <c r="V716" s="87"/>
      <c r="W716" s="87"/>
      <c r="X716" s="87"/>
      <c r="Y716" s="87"/>
      <c r="Z716" s="87"/>
      <c r="AA716" s="87"/>
      <c r="AB716" s="87"/>
      <c r="AC716" s="243"/>
      <c r="AD716" s="234"/>
      <c r="AE716" s="234"/>
      <c r="AF716" s="234"/>
      <c r="AG716" s="9"/>
      <c r="AH716" s="87"/>
      <c r="AI716" s="87"/>
      <c r="AJ716" s="87"/>
      <c r="AK716" s="244"/>
      <c r="AL716" s="245"/>
      <c r="AM716" s="244"/>
      <c r="AN716" s="244"/>
      <c r="AO716" s="87"/>
      <c r="AP716" s="87"/>
      <c r="AQ716" s="87"/>
      <c r="AR716" s="87"/>
      <c r="AS716" s="87"/>
      <c r="AT716" s="87"/>
      <c r="AU716" s="87"/>
      <c r="AV716" s="87"/>
      <c r="AW716" s="87"/>
      <c r="AX716" s="87"/>
    </row>
    <row r="717">
      <c r="A717" s="9"/>
      <c r="B717" s="87"/>
      <c r="C717" s="87"/>
      <c r="D717" s="87"/>
      <c r="E717" s="9"/>
      <c r="F717" s="87"/>
      <c r="G717" s="87"/>
      <c r="H717" s="87"/>
      <c r="I717" s="9"/>
      <c r="J717" s="87"/>
      <c r="K717" s="87"/>
      <c r="L717" s="87"/>
      <c r="M717" s="9"/>
      <c r="N717" s="87"/>
      <c r="O717" s="87"/>
      <c r="P717" s="87"/>
      <c r="Q717" s="9"/>
      <c r="R717" s="87"/>
      <c r="S717" s="87"/>
      <c r="T717" s="87"/>
      <c r="U717" s="9"/>
      <c r="V717" s="87"/>
      <c r="W717" s="87"/>
      <c r="X717" s="87"/>
      <c r="Y717" s="87"/>
      <c r="Z717" s="87"/>
      <c r="AA717" s="87"/>
      <c r="AB717" s="87"/>
      <c r="AC717" s="243"/>
      <c r="AD717" s="234"/>
      <c r="AE717" s="234"/>
      <c r="AF717" s="234"/>
      <c r="AG717" s="9"/>
      <c r="AH717" s="87"/>
      <c r="AI717" s="87"/>
      <c r="AJ717" s="87"/>
      <c r="AK717" s="244"/>
      <c r="AL717" s="245"/>
      <c r="AM717" s="244"/>
      <c r="AN717" s="244"/>
      <c r="AO717" s="87"/>
      <c r="AP717" s="87"/>
      <c r="AQ717" s="87"/>
      <c r="AR717" s="87"/>
      <c r="AS717" s="87"/>
      <c r="AT717" s="87"/>
      <c r="AU717" s="87"/>
      <c r="AV717" s="87"/>
      <c r="AW717" s="87"/>
      <c r="AX717" s="87"/>
    </row>
    <row r="718">
      <c r="A718" s="9"/>
      <c r="B718" s="87"/>
      <c r="C718" s="87"/>
      <c r="D718" s="87"/>
      <c r="E718" s="9"/>
      <c r="F718" s="87"/>
      <c r="G718" s="87"/>
      <c r="H718" s="87"/>
      <c r="I718" s="9"/>
      <c r="J718" s="87"/>
      <c r="K718" s="87"/>
      <c r="L718" s="87"/>
      <c r="M718" s="9"/>
      <c r="N718" s="87"/>
      <c r="O718" s="87"/>
      <c r="P718" s="87"/>
      <c r="Q718" s="9"/>
      <c r="R718" s="87"/>
      <c r="S718" s="87"/>
      <c r="T718" s="87"/>
      <c r="U718" s="9"/>
      <c r="V718" s="87"/>
      <c r="W718" s="87"/>
      <c r="X718" s="87"/>
      <c r="Y718" s="87"/>
      <c r="Z718" s="87"/>
      <c r="AA718" s="87"/>
      <c r="AB718" s="87"/>
      <c r="AC718" s="243"/>
      <c r="AD718" s="234"/>
      <c r="AE718" s="234"/>
      <c r="AF718" s="234"/>
      <c r="AG718" s="9"/>
      <c r="AH718" s="87"/>
      <c r="AI718" s="87"/>
      <c r="AJ718" s="87"/>
      <c r="AK718" s="244"/>
      <c r="AL718" s="245"/>
      <c r="AM718" s="244"/>
      <c r="AN718" s="244"/>
      <c r="AO718" s="87"/>
      <c r="AP718" s="87"/>
      <c r="AQ718" s="87"/>
      <c r="AR718" s="87"/>
      <c r="AS718" s="87"/>
      <c r="AT718" s="87"/>
      <c r="AU718" s="87"/>
      <c r="AV718" s="87"/>
      <c r="AW718" s="87"/>
      <c r="AX718" s="87"/>
    </row>
    <row r="719">
      <c r="A719" s="9"/>
      <c r="B719" s="87"/>
      <c r="C719" s="87"/>
      <c r="D719" s="87"/>
      <c r="E719" s="9"/>
      <c r="F719" s="87"/>
      <c r="G719" s="87"/>
      <c r="H719" s="87"/>
      <c r="I719" s="9"/>
      <c r="J719" s="87"/>
      <c r="K719" s="87"/>
      <c r="L719" s="87"/>
      <c r="M719" s="9"/>
      <c r="N719" s="87"/>
      <c r="O719" s="87"/>
      <c r="P719" s="87"/>
      <c r="Q719" s="9"/>
      <c r="R719" s="87"/>
      <c r="S719" s="87"/>
      <c r="T719" s="87"/>
      <c r="U719" s="9"/>
      <c r="V719" s="87"/>
      <c r="W719" s="87"/>
      <c r="X719" s="87"/>
      <c r="Y719" s="87"/>
      <c r="Z719" s="87"/>
      <c r="AA719" s="87"/>
      <c r="AB719" s="87"/>
      <c r="AC719" s="243"/>
      <c r="AD719" s="234"/>
      <c r="AE719" s="234"/>
      <c r="AF719" s="234"/>
      <c r="AG719" s="9"/>
      <c r="AH719" s="87"/>
      <c r="AI719" s="87"/>
      <c r="AJ719" s="87"/>
      <c r="AK719" s="244"/>
      <c r="AL719" s="245"/>
      <c r="AM719" s="244"/>
      <c r="AN719" s="244"/>
      <c r="AO719" s="87"/>
      <c r="AP719" s="87"/>
      <c r="AQ719" s="87"/>
      <c r="AR719" s="87"/>
      <c r="AS719" s="87"/>
      <c r="AT719" s="87"/>
      <c r="AU719" s="87"/>
      <c r="AV719" s="87"/>
      <c r="AW719" s="87"/>
      <c r="AX719" s="87"/>
    </row>
    <row r="720">
      <c r="A720" s="9"/>
      <c r="B720" s="87"/>
      <c r="C720" s="87"/>
      <c r="D720" s="87"/>
      <c r="E720" s="9"/>
      <c r="F720" s="87"/>
      <c r="G720" s="87"/>
      <c r="H720" s="87"/>
      <c r="I720" s="9"/>
      <c r="J720" s="87"/>
      <c r="K720" s="87"/>
      <c r="L720" s="87"/>
      <c r="M720" s="9"/>
      <c r="N720" s="87"/>
      <c r="O720" s="87"/>
      <c r="P720" s="87"/>
      <c r="Q720" s="9"/>
      <c r="R720" s="87"/>
      <c r="S720" s="87"/>
      <c r="T720" s="87"/>
      <c r="U720" s="9"/>
      <c r="V720" s="87"/>
      <c r="W720" s="87"/>
      <c r="X720" s="87"/>
      <c r="Y720" s="87"/>
      <c r="Z720" s="87"/>
      <c r="AA720" s="87"/>
      <c r="AB720" s="87"/>
      <c r="AC720" s="243"/>
      <c r="AD720" s="234"/>
      <c r="AE720" s="234"/>
      <c r="AF720" s="234"/>
      <c r="AG720" s="9"/>
      <c r="AH720" s="87"/>
      <c r="AI720" s="87"/>
      <c r="AJ720" s="87"/>
      <c r="AK720" s="244"/>
      <c r="AL720" s="245"/>
      <c r="AM720" s="244"/>
      <c r="AN720" s="244"/>
      <c r="AO720" s="87"/>
      <c r="AP720" s="87"/>
      <c r="AQ720" s="87"/>
      <c r="AR720" s="87"/>
      <c r="AS720" s="87"/>
      <c r="AT720" s="87"/>
      <c r="AU720" s="87"/>
      <c r="AV720" s="87"/>
      <c r="AW720" s="87"/>
      <c r="AX720" s="87"/>
    </row>
    <row r="721">
      <c r="A721" s="9"/>
      <c r="B721" s="87"/>
      <c r="C721" s="87"/>
      <c r="D721" s="87"/>
      <c r="E721" s="9"/>
      <c r="F721" s="87"/>
      <c r="G721" s="87"/>
      <c r="H721" s="87"/>
      <c r="I721" s="9"/>
      <c r="J721" s="87"/>
      <c r="K721" s="87"/>
      <c r="L721" s="87"/>
      <c r="M721" s="9"/>
      <c r="N721" s="87"/>
      <c r="O721" s="87"/>
      <c r="P721" s="87"/>
      <c r="Q721" s="9"/>
      <c r="R721" s="87"/>
      <c r="S721" s="87"/>
      <c r="T721" s="87"/>
      <c r="U721" s="9"/>
      <c r="V721" s="87"/>
      <c r="W721" s="87"/>
      <c r="X721" s="87"/>
      <c r="Y721" s="87"/>
      <c r="Z721" s="87"/>
      <c r="AA721" s="87"/>
      <c r="AB721" s="87"/>
      <c r="AC721" s="243"/>
      <c r="AD721" s="234"/>
      <c r="AE721" s="234"/>
      <c r="AF721" s="234"/>
      <c r="AG721" s="9"/>
      <c r="AH721" s="87"/>
      <c r="AI721" s="87"/>
      <c r="AJ721" s="87"/>
      <c r="AK721" s="244"/>
      <c r="AL721" s="245"/>
      <c r="AM721" s="244"/>
      <c r="AN721" s="244"/>
      <c r="AO721" s="87"/>
      <c r="AP721" s="87"/>
      <c r="AQ721" s="87"/>
      <c r="AR721" s="87"/>
      <c r="AS721" s="87"/>
      <c r="AT721" s="87"/>
      <c r="AU721" s="87"/>
      <c r="AV721" s="87"/>
      <c r="AW721" s="87"/>
      <c r="AX721" s="87"/>
    </row>
    <row r="722">
      <c r="A722" s="9"/>
      <c r="B722" s="87"/>
      <c r="C722" s="87"/>
      <c r="D722" s="87"/>
      <c r="E722" s="9"/>
      <c r="F722" s="87"/>
      <c r="G722" s="87"/>
      <c r="H722" s="87"/>
      <c r="I722" s="9"/>
      <c r="J722" s="87"/>
      <c r="K722" s="87"/>
      <c r="L722" s="87"/>
      <c r="M722" s="9"/>
      <c r="N722" s="87"/>
      <c r="O722" s="87"/>
      <c r="P722" s="87"/>
      <c r="Q722" s="9"/>
      <c r="R722" s="87"/>
      <c r="S722" s="87"/>
      <c r="T722" s="87"/>
      <c r="U722" s="9"/>
      <c r="V722" s="87"/>
      <c r="W722" s="87"/>
      <c r="X722" s="87"/>
      <c r="Y722" s="87"/>
      <c r="Z722" s="87"/>
      <c r="AA722" s="87"/>
      <c r="AB722" s="87"/>
      <c r="AC722" s="243"/>
      <c r="AD722" s="234"/>
      <c r="AE722" s="234"/>
      <c r="AF722" s="234"/>
      <c r="AG722" s="9"/>
      <c r="AH722" s="87"/>
      <c r="AI722" s="87"/>
      <c r="AJ722" s="87"/>
      <c r="AK722" s="244"/>
      <c r="AL722" s="245"/>
      <c r="AM722" s="244"/>
      <c r="AN722" s="244"/>
      <c r="AO722" s="87"/>
      <c r="AP722" s="87"/>
      <c r="AQ722" s="87"/>
      <c r="AR722" s="87"/>
      <c r="AS722" s="87"/>
      <c r="AT722" s="87"/>
      <c r="AU722" s="87"/>
      <c r="AV722" s="87"/>
      <c r="AW722" s="87"/>
      <c r="AX722" s="87"/>
    </row>
    <row r="723">
      <c r="A723" s="9"/>
      <c r="B723" s="87"/>
      <c r="C723" s="87"/>
      <c r="D723" s="87"/>
      <c r="E723" s="9"/>
      <c r="F723" s="87"/>
      <c r="G723" s="87"/>
      <c r="H723" s="87"/>
      <c r="I723" s="9"/>
      <c r="J723" s="87"/>
      <c r="K723" s="87"/>
      <c r="L723" s="87"/>
      <c r="M723" s="9"/>
      <c r="N723" s="87"/>
      <c r="O723" s="87"/>
      <c r="P723" s="87"/>
      <c r="Q723" s="9"/>
      <c r="R723" s="87"/>
      <c r="S723" s="87"/>
      <c r="T723" s="87"/>
      <c r="U723" s="9"/>
      <c r="V723" s="87"/>
      <c r="W723" s="87"/>
      <c r="X723" s="87"/>
      <c r="Y723" s="87"/>
      <c r="Z723" s="87"/>
      <c r="AA723" s="87"/>
      <c r="AB723" s="87"/>
      <c r="AC723" s="243"/>
      <c r="AD723" s="234"/>
      <c r="AE723" s="234"/>
      <c r="AF723" s="234"/>
      <c r="AG723" s="9"/>
      <c r="AH723" s="87"/>
      <c r="AI723" s="87"/>
      <c r="AJ723" s="87"/>
      <c r="AK723" s="244"/>
      <c r="AL723" s="245"/>
      <c r="AM723" s="244"/>
      <c r="AN723" s="244"/>
      <c r="AO723" s="87"/>
      <c r="AP723" s="87"/>
      <c r="AQ723" s="87"/>
      <c r="AR723" s="87"/>
      <c r="AS723" s="87"/>
      <c r="AT723" s="87"/>
      <c r="AU723" s="87"/>
      <c r="AV723" s="87"/>
      <c r="AW723" s="87"/>
      <c r="AX723" s="87"/>
    </row>
    <row r="724">
      <c r="A724" s="9"/>
      <c r="B724" s="87"/>
      <c r="C724" s="87"/>
      <c r="D724" s="87"/>
      <c r="E724" s="9"/>
      <c r="F724" s="87"/>
      <c r="G724" s="87"/>
      <c r="H724" s="87"/>
      <c r="I724" s="9"/>
      <c r="J724" s="87"/>
      <c r="K724" s="87"/>
      <c r="L724" s="87"/>
      <c r="M724" s="9"/>
      <c r="N724" s="87"/>
      <c r="O724" s="87"/>
      <c r="P724" s="87"/>
      <c r="Q724" s="9"/>
      <c r="R724" s="87"/>
      <c r="S724" s="87"/>
      <c r="T724" s="87"/>
      <c r="U724" s="9"/>
      <c r="V724" s="87"/>
      <c r="W724" s="87"/>
      <c r="X724" s="87"/>
      <c r="Y724" s="87"/>
      <c r="Z724" s="87"/>
      <c r="AA724" s="87"/>
      <c r="AB724" s="87"/>
      <c r="AC724" s="243"/>
      <c r="AD724" s="234"/>
      <c r="AE724" s="234"/>
      <c r="AF724" s="234"/>
      <c r="AG724" s="9"/>
      <c r="AH724" s="87"/>
      <c r="AI724" s="87"/>
      <c r="AJ724" s="87"/>
      <c r="AK724" s="244"/>
      <c r="AL724" s="245"/>
      <c r="AM724" s="244"/>
      <c r="AN724" s="244"/>
      <c r="AO724" s="87"/>
      <c r="AP724" s="87"/>
      <c r="AQ724" s="87"/>
      <c r="AR724" s="87"/>
      <c r="AS724" s="87"/>
      <c r="AT724" s="87"/>
      <c r="AU724" s="87"/>
      <c r="AV724" s="87"/>
      <c r="AW724" s="87"/>
      <c r="AX724" s="87"/>
    </row>
    <row r="725">
      <c r="A725" s="9"/>
      <c r="B725" s="87"/>
      <c r="C725" s="87"/>
      <c r="D725" s="87"/>
      <c r="E725" s="9"/>
      <c r="F725" s="87"/>
      <c r="G725" s="87"/>
      <c r="H725" s="87"/>
      <c r="I725" s="9"/>
      <c r="J725" s="87"/>
      <c r="K725" s="87"/>
      <c r="L725" s="87"/>
      <c r="M725" s="9"/>
      <c r="N725" s="87"/>
      <c r="O725" s="87"/>
      <c r="P725" s="87"/>
      <c r="Q725" s="9"/>
      <c r="R725" s="87"/>
      <c r="S725" s="87"/>
      <c r="T725" s="87"/>
      <c r="U725" s="9"/>
      <c r="V725" s="87"/>
      <c r="W725" s="87"/>
      <c r="X725" s="87"/>
      <c r="Y725" s="87"/>
      <c r="Z725" s="87"/>
      <c r="AA725" s="87"/>
      <c r="AB725" s="87"/>
      <c r="AC725" s="243"/>
      <c r="AD725" s="234"/>
      <c r="AE725" s="234"/>
      <c r="AF725" s="234"/>
      <c r="AG725" s="9"/>
      <c r="AH725" s="87"/>
      <c r="AI725" s="87"/>
      <c r="AJ725" s="87"/>
      <c r="AK725" s="244"/>
      <c r="AL725" s="245"/>
      <c r="AM725" s="244"/>
      <c r="AN725" s="244"/>
      <c r="AO725" s="87"/>
      <c r="AP725" s="87"/>
      <c r="AQ725" s="87"/>
      <c r="AR725" s="87"/>
      <c r="AS725" s="87"/>
      <c r="AT725" s="87"/>
      <c r="AU725" s="87"/>
      <c r="AV725" s="87"/>
      <c r="AW725" s="87"/>
      <c r="AX725" s="87"/>
    </row>
    <row r="726">
      <c r="A726" s="9"/>
      <c r="B726" s="87"/>
      <c r="C726" s="87"/>
      <c r="D726" s="87"/>
      <c r="E726" s="9"/>
      <c r="F726" s="87"/>
      <c r="G726" s="87"/>
      <c r="H726" s="87"/>
      <c r="I726" s="9"/>
      <c r="J726" s="87"/>
      <c r="K726" s="87"/>
      <c r="L726" s="87"/>
      <c r="M726" s="9"/>
      <c r="N726" s="87"/>
      <c r="O726" s="87"/>
      <c r="P726" s="87"/>
      <c r="Q726" s="9"/>
      <c r="R726" s="87"/>
      <c r="S726" s="87"/>
      <c r="T726" s="87"/>
      <c r="U726" s="9"/>
      <c r="V726" s="87"/>
      <c r="W726" s="87"/>
      <c r="X726" s="87"/>
      <c r="Y726" s="87"/>
      <c r="Z726" s="87"/>
      <c r="AA726" s="87"/>
      <c r="AB726" s="87"/>
      <c r="AC726" s="243"/>
      <c r="AD726" s="234"/>
      <c r="AE726" s="234"/>
      <c r="AF726" s="234"/>
      <c r="AG726" s="9"/>
      <c r="AH726" s="87"/>
      <c r="AI726" s="87"/>
      <c r="AJ726" s="87"/>
      <c r="AK726" s="244"/>
      <c r="AL726" s="245"/>
      <c r="AM726" s="244"/>
      <c r="AN726" s="244"/>
      <c r="AO726" s="87"/>
      <c r="AP726" s="87"/>
      <c r="AQ726" s="87"/>
      <c r="AR726" s="87"/>
      <c r="AS726" s="87"/>
      <c r="AT726" s="87"/>
      <c r="AU726" s="87"/>
      <c r="AV726" s="87"/>
      <c r="AW726" s="87"/>
      <c r="AX726" s="87"/>
    </row>
    <row r="727">
      <c r="A727" s="9"/>
      <c r="B727" s="87"/>
      <c r="C727" s="87"/>
      <c r="D727" s="87"/>
      <c r="E727" s="9"/>
      <c r="F727" s="87"/>
      <c r="G727" s="87"/>
      <c r="H727" s="87"/>
      <c r="I727" s="9"/>
      <c r="J727" s="87"/>
      <c r="K727" s="87"/>
      <c r="L727" s="87"/>
      <c r="M727" s="9"/>
      <c r="N727" s="87"/>
      <c r="O727" s="87"/>
      <c r="P727" s="87"/>
      <c r="Q727" s="9"/>
      <c r="R727" s="87"/>
      <c r="S727" s="87"/>
      <c r="T727" s="87"/>
      <c r="U727" s="9"/>
      <c r="V727" s="87"/>
      <c r="W727" s="87"/>
      <c r="X727" s="87"/>
      <c r="Y727" s="87"/>
      <c r="Z727" s="87"/>
      <c r="AA727" s="87"/>
      <c r="AB727" s="87"/>
      <c r="AC727" s="243"/>
      <c r="AD727" s="234"/>
      <c r="AE727" s="234"/>
      <c r="AF727" s="234"/>
      <c r="AG727" s="9"/>
      <c r="AH727" s="87"/>
      <c r="AI727" s="87"/>
      <c r="AJ727" s="87"/>
      <c r="AK727" s="244"/>
      <c r="AL727" s="245"/>
      <c r="AM727" s="244"/>
      <c r="AN727" s="244"/>
      <c r="AO727" s="87"/>
      <c r="AP727" s="87"/>
      <c r="AQ727" s="87"/>
      <c r="AR727" s="87"/>
      <c r="AS727" s="87"/>
      <c r="AT727" s="87"/>
      <c r="AU727" s="87"/>
      <c r="AV727" s="87"/>
      <c r="AW727" s="87"/>
      <c r="AX727" s="87"/>
    </row>
    <row r="728">
      <c r="A728" s="9"/>
      <c r="B728" s="87"/>
      <c r="C728" s="87"/>
      <c r="D728" s="87"/>
      <c r="E728" s="9"/>
      <c r="F728" s="87"/>
      <c r="G728" s="87"/>
      <c r="H728" s="87"/>
      <c r="I728" s="9"/>
      <c r="J728" s="87"/>
      <c r="K728" s="87"/>
      <c r="L728" s="87"/>
      <c r="M728" s="9"/>
      <c r="N728" s="87"/>
      <c r="O728" s="87"/>
      <c r="P728" s="87"/>
      <c r="Q728" s="9"/>
      <c r="R728" s="87"/>
      <c r="S728" s="87"/>
      <c r="T728" s="87"/>
      <c r="U728" s="9"/>
      <c r="V728" s="87"/>
      <c r="W728" s="87"/>
      <c r="X728" s="87"/>
      <c r="Y728" s="87"/>
      <c r="Z728" s="87"/>
      <c r="AA728" s="87"/>
      <c r="AB728" s="87"/>
      <c r="AC728" s="243"/>
      <c r="AD728" s="234"/>
      <c r="AE728" s="234"/>
      <c r="AF728" s="234"/>
      <c r="AG728" s="9"/>
      <c r="AH728" s="87"/>
      <c r="AI728" s="87"/>
      <c r="AJ728" s="87"/>
      <c r="AK728" s="244"/>
      <c r="AL728" s="245"/>
      <c r="AM728" s="244"/>
      <c r="AN728" s="244"/>
      <c r="AO728" s="87"/>
      <c r="AP728" s="87"/>
      <c r="AQ728" s="87"/>
      <c r="AR728" s="87"/>
      <c r="AS728" s="87"/>
      <c r="AT728" s="87"/>
      <c r="AU728" s="87"/>
      <c r="AV728" s="87"/>
      <c r="AW728" s="87"/>
      <c r="AX728" s="87"/>
    </row>
    <row r="729">
      <c r="A729" s="9"/>
      <c r="B729" s="87"/>
      <c r="C729" s="87"/>
      <c r="D729" s="87"/>
      <c r="E729" s="9"/>
      <c r="F729" s="87"/>
      <c r="G729" s="87"/>
      <c r="H729" s="87"/>
      <c r="I729" s="9"/>
      <c r="J729" s="87"/>
      <c r="K729" s="87"/>
      <c r="L729" s="87"/>
      <c r="M729" s="9"/>
      <c r="N729" s="87"/>
      <c r="O729" s="87"/>
      <c r="P729" s="87"/>
      <c r="Q729" s="9"/>
      <c r="R729" s="87"/>
      <c r="S729" s="87"/>
      <c r="T729" s="87"/>
      <c r="U729" s="9"/>
      <c r="V729" s="87"/>
      <c r="W729" s="87"/>
      <c r="X729" s="87"/>
      <c r="Y729" s="87"/>
      <c r="Z729" s="87"/>
      <c r="AA729" s="87"/>
      <c r="AB729" s="87"/>
      <c r="AC729" s="243"/>
      <c r="AD729" s="234"/>
      <c r="AE729" s="234"/>
      <c r="AF729" s="234"/>
      <c r="AG729" s="9"/>
      <c r="AH729" s="87"/>
      <c r="AI729" s="87"/>
      <c r="AJ729" s="87"/>
      <c r="AK729" s="244"/>
      <c r="AL729" s="245"/>
      <c r="AM729" s="244"/>
      <c r="AN729" s="244"/>
      <c r="AO729" s="87"/>
      <c r="AP729" s="87"/>
      <c r="AQ729" s="87"/>
      <c r="AR729" s="87"/>
      <c r="AS729" s="87"/>
      <c r="AT729" s="87"/>
      <c r="AU729" s="87"/>
      <c r="AV729" s="87"/>
      <c r="AW729" s="87"/>
      <c r="AX729" s="87"/>
    </row>
    <row r="730">
      <c r="A730" s="9"/>
      <c r="B730" s="87"/>
      <c r="C730" s="87"/>
      <c r="D730" s="87"/>
      <c r="E730" s="9"/>
      <c r="F730" s="87"/>
      <c r="G730" s="87"/>
      <c r="H730" s="87"/>
      <c r="I730" s="9"/>
      <c r="J730" s="87"/>
      <c r="K730" s="87"/>
      <c r="L730" s="87"/>
      <c r="M730" s="9"/>
      <c r="N730" s="87"/>
      <c r="O730" s="87"/>
      <c r="P730" s="87"/>
      <c r="Q730" s="9"/>
      <c r="R730" s="87"/>
      <c r="S730" s="87"/>
      <c r="T730" s="87"/>
      <c r="U730" s="9"/>
      <c r="V730" s="87"/>
      <c r="W730" s="87"/>
      <c r="X730" s="87"/>
      <c r="Y730" s="87"/>
      <c r="Z730" s="87"/>
      <c r="AA730" s="87"/>
      <c r="AB730" s="87"/>
      <c r="AC730" s="243"/>
      <c r="AD730" s="234"/>
      <c r="AE730" s="234"/>
      <c r="AF730" s="234"/>
      <c r="AG730" s="9"/>
      <c r="AH730" s="87"/>
      <c r="AI730" s="87"/>
      <c r="AJ730" s="87"/>
      <c r="AK730" s="244"/>
      <c r="AL730" s="245"/>
      <c r="AM730" s="244"/>
      <c r="AN730" s="244"/>
      <c r="AO730" s="87"/>
      <c r="AP730" s="87"/>
      <c r="AQ730" s="87"/>
      <c r="AR730" s="87"/>
      <c r="AS730" s="87"/>
      <c r="AT730" s="87"/>
      <c r="AU730" s="87"/>
      <c r="AV730" s="87"/>
      <c r="AW730" s="87"/>
      <c r="AX730" s="87"/>
    </row>
    <row r="731">
      <c r="A731" s="9"/>
      <c r="B731" s="87"/>
      <c r="C731" s="87"/>
      <c r="D731" s="87"/>
      <c r="E731" s="9"/>
      <c r="F731" s="87"/>
      <c r="G731" s="87"/>
      <c r="H731" s="87"/>
      <c r="I731" s="9"/>
      <c r="J731" s="87"/>
      <c r="K731" s="87"/>
      <c r="L731" s="87"/>
      <c r="M731" s="9"/>
      <c r="N731" s="87"/>
      <c r="O731" s="87"/>
      <c r="P731" s="87"/>
      <c r="Q731" s="9"/>
      <c r="R731" s="87"/>
      <c r="S731" s="87"/>
      <c r="T731" s="87"/>
      <c r="U731" s="9"/>
      <c r="V731" s="87"/>
      <c r="W731" s="87"/>
      <c r="X731" s="87"/>
      <c r="Y731" s="87"/>
      <c r="Z731" s="87"/>
      <c r="AA731" s="87"/>
      <c r="AB731" s="87"/>
      <c r="AC731" s="243"/>
      <c r="AD731" s="234"/>
      <c r="AE731" s="234"/>
      <c r="AF731" s="234"/>
      <c r="AG731" s="9"/>
      <c r="AH731" s="87"/>
      <c r="AI731" s="87"/>
      <c r="AJ731" s="87"/>
      <c r="AK731" s="244"/>
      <c r="AL731" s="245"/>
      <c r="AM731" s="244"/>
      <c r="AN731" s="244"/>
      <c r="AO731" s="87"/>
      <c r="AP731" s="87"/>
      <c r="AQ731" s="87"/>
      <c r="AR731" s="87"/>
      <c r="AS731" s="87"/>
      <c r="AT731" s="87"/>
      <c r="AU731" s="87"/>
      <c r="AV731" s="87"/>
      <c r="AW731" s="87"/>
      <c r="AX731" s="87"/>
    </row>
    <row r="732">
      <c r="A732" s="9"/>
      <c r="B732" s="87"/>
      <c r="C732" s="87"/>
      <c r="D732" s="87"/>
      <c r="E732" s="9"/>
      <c r="F732" s="87"/>
      <c r="G732" s="87"/>
      <c r="H732" s="87"/>
      <c r="I732" s="9"/>
      <c r="J732" s="87"/>
      <c r="K732" s="87"/>
      <c r="L732" s="87"/>
      <c r="M732" s="9"/>
      <c r="N732" s="87"/>
      <c r="O732" s="87"/>
      <c r="P732" s="87"/>
      <c r="Q732" s="9"/>
      <c r="R732" s="87"/>
      <c r="S732" s="87"/>
      <c r="T732" s="87"/>
      <c r="U732" s="9"/>
      <c r="V732" s="87"/>
      <c r="W732" s="87"/>
      <c r="X732" s="87"/>
      <c r="Y732" s="87"/>
      <c r="Z732" s="87"/>
      <c r="AA732" s="87"/>
      <c r="AB732" s="87"/>
      <c r="AC732" s="243"/>
      <c r="AD732" s="234"/>
      <c r="AE732" s="234"/>
      <c r="AF732" s="234"/>
      <c r="AG732" s="9"/>
      <c r="AH732" s="87"/>
      <c r="AI732" s="87"/>
      <c r="AJ732" s="87"/>
      <c r="AK732" s="244"/>
      <c r="AL732" s="245"/>
      <c r="AM732" s="244"/>
      <c r="AN732" s="244"/>
      <c r="AO732" s="87"/>
      <c r="AP732" s="87"/>
      <c r="AQ732" s="87"/>
      <c r="AR732" s="87"/>
      <c r="AS732" s="87"/>
      <c r="AT732" s="87"/>
      <c r="AU732" s="87"/>
      <c r="AV732" s="87"/>
      <c r="AW732" s="87"/>
      <c r="AX732" s="87"/>
    </row>
    <row r="733">
      <c r="A733" s="9"/>
      <c r="B733" s="87"/>
      <c r="C733" s="87"/>
      <c r="D733" s="87"/>
      <c r="E733" s="9"/>
      <c r="F733" s="87"/>
      <c r="G733" s="87"/>
      <c r="H733" s="87"/>
      <c r="I733" s="9"/>
      <c r="J733" s="87"/>
      <c r="K733" s="87"/>
      <c r="L733" s="87"/>
      <c r="M733" s="9"/>
      <c r="N733" s="87"/>
      <c r="O733" s="87"/>
      <c r="P733" s="87"/>
      <c r="Q733" s="9"/>
      <c r="R733" s="87"/>
      <c r="S733" s="87"/>
      <c r="T733" s="87"/>
      <c r="U733" s="9"/>
      <c r="V733" s="87"/>
      <c r="W733" s="87"/>
      <c r="X733" s="87"/>
      <c r="Y733" s="87"/>
      <c r="Z733" s="87"/>
      <c r="AA733" s="87"/>
      <c r="AB733" s="87"/>
      <c r="AC733" s="243"/>
      <c r="AD733" s="234"/>
      <c r="AE733" s="234"/>
      <c r="AF733" s="234"/>
      <c r="AG733" s="9"/>
      <c r="AH733" s="87"/>
      <c r="AI733" s="87"/>
      <c r="AJ733" s="87"/>
      <c r="AK733" s="244"/>
      <c r="AL733" s="245"/>
      <c r="AM733" s="244"/>
      <c r="AN733" s="244"/>
      <c r="AO733" s="87"/>
      <c r="AP733" s="87"/>
      <c r="AQ733" s="87"/>
      <c r="AR733" s="87"/>
      <c r="AS733" s="87"/>
      <c r="AT733" s="87"/>
      <c r="AU733" s="87"/>
      <c r="AV733" s="87"/>
      <c r="AW733" s="87"/>
      <c r="AX733" s="87"/>
    </row>
    <row r="734">
      <c r="A734" s="9"/>
      <c r="B734" s="87"/>
      <c r="C734" s="87"/>
      <c r="D734" s="87"/>
      <c r="E734" s="9"/>
      <c r="F734" s="87"/>
      <c r="G734" s="87"/>
      <c r="H734" s="87"/>
      <c r="I734" s="9"/>
      <c r="J734" s="87"/>
      <c r="K734" s="87"/>
      <c r="L734" s="87"/>
      <c r="M734" s="9"/>
      <c r="N734" s="87"/>
      <c r="O734" s="87"/>
      <c r="P734" s="87"/>
      <c r="Q734" s="9"/>
      <c r="R734" s="87"/>
      <c r="S734" s="87"/>
      <c r="T734" s="87"/>
      <c r="U734" s="9"/>
      <c r="V734" s="87"/>
      <c r="W734" s="87"/>
      <c r="X734" s="87"/>
      <c r="Y734" s="87"/>
      <c r="Z734" s="87"/>
      <c r="AA734" s="87"/>
      <c r="AB734" s="87"/>
      <c r="AC734" s="243"/>
      <c r="AD734" s="234"/>
      <c r="AE734" s="234"/>
      <c r="AF734" s="234"/>
      <c r="AG734" s="9"/>
      <c r="AH734" s="87"/>
      <c r="AI734" s="87"/>
      <c r="AJ734" s="87"/>
      <c r="AK734" s="244"/>
      <c r="AL734" s="245"/>
      <c r="AM734" s="244"/>
      <c r="AN734" s="244"/>
      <c r="AO734" s="87"/>
      <c r="AP734" s="87"/>
      <c r="AQ734" s="87"/>
      <c r="AR734" s="87"/>
      <c r="AS734" s="87"/>
      <c r="AT734" s="87"/>
      <c r="AU734" s="87"/>
      <c r="AV734" s="87"/>
      <c r="AW734" s="87"/>
      <c r="AX734" s="87"/>
    </row>
    <row r="735">
      <c r="A735" s="9"/>
      <c r="B735" s="87"/>
      <c r="C735" s="87"/>
      <c r="D735" s="87"/>
      <c r="E735" s="9"/>
      <c r="F735" s="87"/>
      <c r="G735" s="87"/>
      <c r="H735" s="87"/>
      <c r="I735" s="9"/>
      <c r="J735" s="87"/>
      <c r="K735" s="87"/>
      <c r="L735" s="87"/>
      <c r="M735" s="9"/>
      <c r="N735" s="87"/>
      <c r="O735" s="87"/>
      <c r="P735" s="87"/>
      <c r="Q735" s="9"/>
      <c r="R735" s="87"/>
      <c r="S735" s="87"/>
      <c r="T735" s="87"/>
      <c r="U735" s="9"/>
      <c r="V735" s="87"/>
      <c r="W735" s="87"/>
      <c r="X735" s="87"/>
      <c r="Y735" s="87"/>
      <c r="Z735" s="87"/>
      <c r="AA735" s="87"/>
      <c r="AB735" s="87"/>
      <c r="AC735" s="243"/>
      <c r="AD735" s="234"/>
      <c r="AE735" s="234"/>
      <c r="AF735" s="234"/>
      <c r="AG735" s="9"/>
      <c r="AH735" s="87"/>
      <c r="AI735" s="87"/>
      <c r="AJ735" s="87"/>
      <c r="AK735" s="244"/>
      <c r="AL735" s="245"/>
      <c r="AM735" s="244"/>
      <c r="AN735" s="244"/>
      <c r="AO735" s="87"/>
      <c r="AP735" s="87"/>
      <c r="AQ735" s="87"/>
      <c r="AR735" s="87"/>
      <c r="AS735" s="87"/>
      <c r="AT735" s="87"/>
      <c r="AU735" s="87"/>
      <c r="AV735" s="87"/>
      <c r="AW735" s="87"/>
      <c r="AX735" s="87"/>
    </row>
    <row r="736">
      <c r="A736" s="9"/>
      <c r="B736" s="87"/>
      <c r="C736" s="87"/>
      <c r="D736" s="87"/>
      <c r="E736" s="9"/>
      <c r="F736" s="87"/>
      <c r="G736" s="87"/>
      <c r="H736" s="87"/>
      <c r="I736" s="9"/>
      <c r="J736" s="87"/>
      <c r="K736" s="87"/>
      <c r="L736" s="87"/>
      <c r="M736" s="9"/>
      <c r="N736" s="87"/>
      <c r="O736" s="87"/>
      <c r="P736" s="87"/>
      <c r="Q736" s="9"/>
      <c r="R736" s="87"/>
      <c r="S736" s="87"/>
      <c r="T736" s="87"/>
      <c r="U736" s="9"/>
      <c r="V736" s="87"/>
      <c r="W736" s="87"/>
      <c r="X736" s="87"/>
      <c r="Y736" s="87"/>
      <c r="Z736" s="87"/>
      <c r="AA736" s="87"/>
      <c r="AB736" s="87"/>
      <c r="AC736" s="243"/>
      <c r="AD736" s="234"/>
      <c r="AE736" s="234"/>
      <c r="AF736" s="234"/>
      <c r="AG736" s="9"/>
      <c r="AH736" s="87"/>
      <c r="AI736" s="87"/>
      <c r="AJ736" s="87"/>
      <c r="AK736" s="244"/>
      <c r="AL736" s="245"/>
      <c r="AM736" s="244"/>
      <c r="AN736" s="244"/>
      <c r="AO736" s="87"/>
      <c r="AP736" s="87"/>
      <c r="AQ736" s="87"/>
      <c r="AR736" s="87"/>
      <c r="AS736" s="87"/>
      <c r="AT736" s="87"/>
      <c r="AU736" s="87"/>
      <c r="AV736" s="87"/>
      <c r="AW736" s="87"/>
      <c r="AX736" s="87"/>
    </row>
    <row r="737">
      <c r="A737" s="9"/>
      <c r="B737" s="87"/>
      <c r="C737" s="87"/>
      <c r="D737" s="87"/>
      <c r="E737" s="9"/>
      <c r="F737" s="87"/>
      <c r="G737" s="87"/>
      <c r="H737" s="87"/>
      <c r="I737" s="9"/>
      <c r="J737" s="87"/>
      <c r="K737" s="87"/>
      <c r="L737" s="87"/>
      <c r="M737" s="9"/>
      <c r="N737" s="87"/>
      <c r="O737" s="87"/>
      <c r="P737" s="87"/>
      <c r="Q737" s="9"/>
      <c r="R737" s="87"/>
      <c r="S737" s="87"/>
      <c r="T737" s="87"/>
      <c r="U737" s="9"/>
      <c r="V737" s="87"/>
      <c r="W737" s="87"/>
      <c r="X737" s="87"/>
      <c r="Y737" s="87"/>
      <c r="Z737" s="87"/>
      <c r="AA737" s="87"/>
      <c r="AB737" s="87"/>
      <c r="AC737" s="243"/>
      <c r="AD737" s="234"/>
      <c r="AE737" s="234"/>
      <c r="AF737" s="234"/>
      <c r="AG737" s="9"/>
      <c r="AH737" s="87"/>
      <c r="AI737" s="87"/>
      <c r="AJ737" s="87"/>
      <c r="AK737" s="244"/>
      <c r="AL737" s="245"/>
      <c r="AM737" s="244"/>
      <c r="AN737" s="244"/>
      <c r="AO737" s="87"/>
      <c r="AP737" s="87"/>
      <c r="AQ737" s="87"/>
      <c r="AR737" s="87"/>
      <c r="AS737" s="87"/>
      <c r="AT737" s="87"/>
      <c r="AU737" s="87"/>
      <c r="AV737" s="87"/>
      <c r="AW737" s="87"/>
      <c r="AX737" s="87"/>
    </row>
    <row r="738">
      <c r="A738" s="9"/>
      <c r="B738" s="87"/>
      <c r="C738" s="87"/>
      <c r="D738" s="87"/>
      <c r="E738" s="9"/>
      <c r="F738" s="87"/>
      <c r="G738" s="87"/>
      <c r="H738" s="87"/>
      <c r="I738" s="9"/>
      <c r="J738" s="87"/>
      <c r="K738" s="87"/>
      <c r="L738" s="87"/>
      <c r="M738" s="9"/>
      <c r="N738" s="87"/>
      <c r="O738" s="87"/>
      <c r="P738" s="87"/>
      <c r="Q738" s="9"/>
      <c r="R738" s="87"/>
      <c r="S738" s="87"/>
      <c r="T738" s="87"/>
      <c r="U738" s="9"/>
      <c r="V738" s="87"/>
      <c r="W738" s="87"/>
      <c r="X738" s="87"/>
      <c r="Y738" s="87"/>
      <c r="Z738" s="87"/>
      <c r="AA738" s="87"/>
      <c r="AB738" s="87"/>
      <c r="AC738" s="243"/>
      <c r="AD738" s="234"/>
      <c r="AE738" s="234"/>
      <c r="AF738" s="234"/>
      <c r="AG738" s="9"/>
      <c r="AH738" s="87"/>
      <c r="AI738" s="87"/>
      <c r="AJ738" s="87"/>
      <c r="AK738" s="244"/>
      <c r="AL738" s="245"/>
      <c r="AM738" s="244"/>
      <c r="AN738" s="244"/>
      <c r="AO738" s="87"/>
      <c r="AP738" s="87"/>
      <c r="AQ738" s="87"/>
      <c r="AR738" s="87"/>
      <c r="AS738" s="87"/>
      <c r="AT738" s="87"/>
      <c r="AU738" s="87"/>
      <c r="AV738" s="87"/>
      <c r="AW738" s="87"/>
      <c r="AX738" s="87"/>
    </row>
    <row r="739">
      <c r="A739" s="9"/>
      <c r="B739" s="87"/>
      <c r="C739" s="87"/>
      <c r="D739" s="87"/>
      <c r="E739" s="9"/>
      <c r="F739" s="87"/>
      <c r="G739" s="87"/>
      <c r="H739" s="87"/>
      <c r="I739" s="9"/>
      <c r="J739" s="87"/>
      <c r="K739" s="87"/>
      <c r="L739" s="87"/>
      <c r="M739" s="9"/>
      <c r="N739" s="87"/>
      <c r="O739" s="87"/>
      <c r="P739" s="87"/>
      <c r="Q739" s="9"/>
      <c r="R739" s="87"/>
      <c r="S739" s="87"/>
      <c r="T739" s="87"/>
      <c r="U739" s="9"/>
      <c r="V739" s="87"/>
      <c r="W739" s="87"/>
      <c r="X739" s="87"/>
      <c r="Y739" s="87"/>
      <c r="Z739" s="87"/>
      <c r="AA739" s="87"/>
      <c r="AB739" s="87"/>
      <c r="AC739" s="243"/>
      <c r="AD739" s="234"/>
      <c r="AE739" s="234"/>
      <c r="AF739" s="234"/>
      <c r="AG739" s="9"/>
      <c r="AH739" s="87"/>
      <c r="AI739" s="87"/>
      <c r="AJ739" s="87"/>
      <c r="AK739" s="244"/>
      <c r="AL739" s="245"/>
      <c r="AM739" s="244"/>
      <c r="AN739" s="244"/>
      <c r="AO739" s="87"/>
      <c r="AP739" s="87"/>
      <c r="AQ739" s="87"/>
      <c r="AR739" s="87"/>
      <c r="AS739" s="87"/>
      <c r="AT739" s="87"/>
      <c r="AU739" s="87"/>
      <c r="AV739" s="87"/>
      <c r="AW739" s="87"/>
      <c r="AX739" s="87"/>
    </row>
    <row r="740">
      <c r="A740" s="9"/>
      <c r="B740" s="87"/>
      <c r="C740" s="87"/>
      <c r="D740" s="87"/>
      <c r="E740" s="9"/>
      <c r="F740" s="87"/>
      <c r="G740" s="87"/>
      <c r="H740" s="87"/>
      <c r="I740" s="9"/>
      <c r="J740" s="87"/>
      <c r="K740" s="87"/>
      <c r="L740" s="87"/>
      <c r="M740" s="9"/>
      <c r="N740" s="87"/>
      <c r="O740" s="87"/>
      <c r="P740" s="87"/>
      <c r="Q740" s="9"/>
      <c r="R740" s="87"/>
      <c r="S740" s="87"/>
      <c r="T740" s="87"/>
      <c r="U740" s="9"/>
      <c r="V740" s="87"/>
      <c r="W740" s="87"/>
      <c r="X740" s="87"/>
      <c r="Y740" s="87"/>
      <c r="Z740" s="87"/>
      <c r="AA740" s="87"/>
      <c r="AB740" s="87"/>
      <c r="AC740" s="243"/>
      <c r="AD740" s="234"/>
      <c r="AE740" s="234"/>
      <c r="AF740" s="234"/>
      <c r="AG740" s="9"/>
      <c r="AH740" s="87"/>
      <c r="AI740" s="87"/>
      <c r="AJ740" s="87"/>
      <c r="AK740" s="244"/>
      <c r="AL740" s="245"/>
      <c r="AM740" s="244"/>
      <c r="AN740" s="244"/>
      <c r="AO740" s="87"/>
      <c r="AP740" s="87"/>
      <c r="AQ740" s="87"/>
      <c r="AR740" s="87"/>
      <c r="AS740" s="87"/>
      <c r="AT740" s="87"/>
      <c r="AU740" s="87"/>
      <c r="AV740" s="87"/>
      <c r="AW740" s="87"/>
      <c r="AX740" s="87"/>
    </row>
    <row r="741">
      <c r="A741" s="9"/>
      <c r="B741" s="87"/>
      <c r="C741" s="87"/>
      <c r="D741" s="87"/>
      <c r="E741" s="9"/>
      <c r="F741" s="87"/>
      <c r="G741" s="87"/>
      <c r="H741" s="87"/>
      <c r="I741" s="9"/>
      <c r="J741" s="87"/>
      <c r="K741" s="87"/>
      <c r="L741" s="87"/>
      <c r="M741" s="9"/>
      <c r="N741" s="87"/>
      <c r="O741" s="87"/>
      <c r="P741" s="87"/>
      <c r="Q741" s="9"/>
      <c r="R741" s="87"/>
      <c r="S741" s="87"/>
      <c r="T741" s="87"/>
      <c r="U741" s="9"/>
      <c r="V741" s="87"/>
      <c r="W741" s="87"/>
      <c r="X741" s="87"/>
      <c r="Y741" s="87"/>
      <c r="Z741" s="87"/>
      <c r="AA741" s="87"/>
      <c r="AB741" s="87"/>
      <c r="AC741" s="243"/>
      <c r="AD741" s="234"/>
      <c r="AE741" s="234"/>
      <c r="AF741" s="234"/>
      <c r="AG741" s="9"/>
      <c r="AH741" s="87"/>
      <c r="AI741" s="87"/>
      <c r="AJ741" s="87"/>
      <c r="AK741" s="244"/>
      <c r="AL741" s="245"/>
      <c r="AM741" s="244"/>
      <c r="AN741" s="244"/>
      <c r="AO741" s="87"/>
      <c r="AP741" s="87"/>
      <c r="AQ741" s="87"/>
      <c r="AR741" s="87"/>
      <c r="AS741" s="87"/>
      <c r="AT741" s="87"/>
      <c r="AU741" s="87"/>
      <c r="AV741" s="87"/>
      <c r="AW741" s="87"/>
      <c r="AX741" s="87"/>
    </row>
    <row r="742">
      <c r="A742" s="9"/>
      <c r="B742" s="87"/>
      <c r="C742" s="87"/>
      <c r="D742" s="87"/>
      <c r="E742" s="9"/>
      <c r="F742" s="87"/>
      <c r="G742" s="87"/>
      <c r="H742" s="87"/>
      <c r="I742" s="9"/>
      <c r="J742" s="87"/>
      <c r="K742" s="87"/>
      <c r="L742" s="87"/>
      <c r="M742" s="9"/>
      <c r="N742" s="87"/>
      <c r="O742" s="87"/>
      <c r="P742" s="87"/>
      <c r="Q742" s="9"/>
      <c r="R742" s="87"/>
      <c r="S742" s="87"/>
      <c r="T742" s="87"/>
      <c r="U742" s="9"/>
      <c r="V742" s="87"/>
      <c r="W742" s="87"/>
      <c r="X742" s="87"/>
      <c r="Y742" s="87"/>
      <c r="Z742" s="87"/>
      <c r="AA742" s="87"/>
      <c r="AB742" s="87"/>
      <c r="AC742" s="243"/>
      <c r="AD742" s="234"/>
      <c r="AE742" s="234"/>
      <c r="AF742" s="234"/>
      <c r="AG742" s="9"/>
      <c r="AH742" s="87"/>
      <c r="AI742" s="87"/>
      <c r="AJ742" s="87"/>
      <c r="AK742" s="244"/>
      <c r="AL742" s="245"/>
      <c r="AM742" s="244"/>
      <c r="AN742" s="244"/>
      <c r="AO742" s="87"/>
      <c r="AP742" s="87"/>
      <c r="AQ742" s="87"/>
      <c r="AR742" s="87"/>
      <c r="AS742" s="87"/>
      <c r="AT742" s="87"/>
      <c r="AU742" s="87"/>
      <c r="AV742" s="87"/>
      <c r="AW742" s="87"/>
      <c r="AX742" s="87"/>
    </row>
    <row r="743">
      <c r="A743" s="9"/>
      <c r="B743" s="87"/>
      <c r="C743" s="87"/>
      <c r="D743" s="87"/>
      <c r="E743" s="9"/>
      <c r="F743" s="87"/>
      <c r="G743" s="87"/>
      <c r="H743" s="87"/>
      <c r="I743" s="9"/>
      <c r="J743" s="87"/>
      <c r="K743" s="87"/>
      <c r="L743" s="87"/>
      <c r="M743" s="9"/>
      <c r="N743" s="87"/>
      <c r="O743" s="87"/>
      <c r="P743" s="87"/>
      <c r="Q743" s="9"/>
      <c r="R743" s="87"/>
      <c r="S743" s="87"/>
      <c r="T743" s="87"/>
      <c r="U743" s="9"/>
      <c r="V743" s="87"/>
      <c r="W743" s="87"/>
      <c r="X743" s="87"/>
      <c r="Y743" s="87"/>
      <c r="Z743" s="87"/>
      <c r="AA743" s="87"/>
      <c r="AB743" s="87"/>
      <c r="AC743" s="243"/>
      <c r="AD743" s="234"/>
      <c r="AE743" s="234"/>
      <c r="AF743" s="234"/>
      <c r="AG743" s="9"/>
      <c r="AH743" s="87"/>
      <c r="AI743" s="87"/>
      <c r="AJ743" s="87"/>
      <c r="AK743" s="244"/>
      <c r="AL743" s="245"/>
      <c r="AM743" s="244"/>
      <c r="AN743" s="244"/>
      <c r="AO743" s="87"/>
      <c r="AP743" s="87"/>
      <c r="AQ743" s="87"/>
      <c r="AR743" s="87"/>
      <c r="AS743" s="87"/>
      <c r="AT743" s="87"/>
      <c r="AU743" s="87"/>
      <c r="AV743" s="87"/>
      <c r="AW743" s="87"/>
      <c r="AX743" s="87"/>
    </row>
    <row r="744">
      <c r="A744" s="9"/>
      <c r="B744" s="87"/>
      <c r="C744" s="87"/>
      <c r="D744" s="87"/>
      <c r="E744" s="9"/>
      <c r="F744" s="87"/>
      <c r="G744" s="87"/>
      <c r="H744" s="87"/>
      <c r="I744" s="9"/>
      <c r="J744" s="87"/>
      <c r="K744" s="87"/>
      <c r="L744" s="87"/>
      <c r="M744" s="9"/>
      <c r="N744" s="87"/>
      <c r="O744" s="87"/>
      <c r="P744" s="87"/>
      <c r="Q744" s="9"/>
      <c r="R744" s="87"/>
      <c r="S744" s="87"/>
      <c r="T744" s="87"/>
      <c r="U744" s="9"/>
      <c r="V744" s="87"/>
      <c r="W744" s="87"/>
      <c r="X744" s="87"/>
      <c r="Y744" s="87"/>
      <c r="Z744" s="87"/>
      <c r="AA744" s="87"/>
      <c r="AB744" s="87"/>
      <c r="AC744" s="243"/>
      <c r="AD744" s="234"/>
      <c r="AE744" s="234"/>
      <c r="AF744" s="234"/>
      <c r="AG744" s="9"/>
      <c r="AH744" s="87"/>
      <c r="AI744" s="87"/>
      <c r="AJ744" s="87"/>
      <c r="AK744" s="244"/>
      <c r="AL744" s="245"/>
      <c r="AM744" s="244"/>
      <c r="AN744" s="244"/>
      <c r="AO744" s="87"/>
      <c r="AP744" s="87"/>
      <c r="AQ744" s="87"/>
      <c r="AR744" s="87"/>
      <c r="AS744" s="87"/>
      <c r="AT744" s="87"/>
      <c r="AU744" s="87"/>
      <c r="AV744" s="87"/>
      <c r="AW744" s="87"/>
      <c r="AX744" s="87"/>
    </row>
    <row r="745">
      <c r="A745" s="9"/>
      <c r="B745" s="87"/>
      <c r="C745" s="87"/>
      <c r="D745" s="87"/>
      <c r="E745" s="9"/>
      <c r="F745" s="87"/>
      <c r="G745" s="87"/>
      <c r="H745" s="87"/>
      <c r="I745" s="9"/>
      <c r="J745" s="87"/>
      <c r="K745" s="87"/>
      <c r="L745" s="87"/>
      <c r="M745" s="9"/>
      <c r="N745" s="87"/>
      <c r="O745" s="87"/>
      <c r="P745" s="87"/>
      <c r="Q745" s="9"/>
      <c r="R745" s="87"/>
      <c r="S745" s="87"/>
      <c r="T745" s="87"/>
      <c r="U745" s="9"/>
      <c r="V745" s="87"/>
      <c r="W745" s="87"/>
      <c r="X745" s="87"/>
      <c r="Y745" s="87"/>
      <c r="Z745" s="87"/>
      <c r="AA745" s="87"/>
      <c r="AB745" s="87"/>
      <c r="AC745" s="243"/>
      <c r="AD745" s="234"/>
      <c r="AE745" s="234"/>
      <c r="AF745" s="234"/>
      <c r="AG745" s="9"/>
      <c r="AH745" s="87"/>
      <c r="AI745" s="87"/>
      <c r="AJ745" s="87"/>
      <c r="AK745" s="244"/>
      <c r="AL745" s="245"/>
      <c r="AM745" s="244"/>
      <c r="AN745" s="244"/>
      <c r="AO745" s="87"/>
      <c r="AP745" s="87"/>
      <c r="AQ745" s="87"/>
      <c r="AR745" s="87"/>
      <c r="AS745" s="87"/>
      <c r="AT745" s="87"/>
      <c r="AU745" s="87"/>
      <c r="AV745" s="87"/>
      <c r="AW745" s="87"/>
      <c r="AX745" s="87"/>
    </row>
    <row r="746">
      <c r="A746" s="9"/>
      <c r="B746" s="87"/>
      <c r="C746" s="87"/>
      <c r="D746" s="87"/>
      <c r="E746" s="9"/>
      <c r="F746" s="87"/>
      <c r="G746" s="87"/>
      <c r="H746" s="87"/>
      <c r="I746" s="9"/>
      <c r="J746" s="87"/>
      <c r="K746" s="87"/>
      <c r="L746" s="87"/>
      <c r="M746" s="9"/>
      <c r="N746" s="87"/>
      <c r="O746" s="87"/>
      <c r="P746" s="87"/>
      <c r="Q746" s="9"/>
      <c r="R746" s="87"/>
      <c r="S746" s="87"/>
      <c r="T746" s="87"/>
      <c r="U746" s="9"/>
      <c r="V746" s="87"/>
      <c r="W746" s="87"/>
      <c r="X746" s="87"/>
      <c r="Y746" s="87"/>
      <c r="Z746" s="87"/>
      <c r="AA746" s="87"/>
      <c r="AB746" s="87"/>
      <c r="AC746" s="243"/>
      <c r="AD746" s="234"/>
      <c r="AE746" s="234"/>
      <c r="AF746" s="234"/>
      <c r="AG746" s="9"/>
      <c r="AH746" s="87"/>
      <c r="AI746" s="87"/>
      <c r="AJ746" s="87"/>
      <c r="AK746" s="244"/>
      <c r="AL746" s="245"/>
      <c r="AM746" s="244"/>
      <c r="AN746" s="244"/>
      <c r="AO746" s="87"/>
      <c r="AP746" s="87"/>
      <c r="AQ746" s="87"/>
      <c r="AR746" s="87"/>
      <c r="AS746" s="87"/>
      <c r="AT746" s="87"/>
      <c r="AU746" s="87"/>
      <c r="AV746" s="87"/>
      <c r="AW746" s="87"/>
      <c r="AX746" s="87"/>
    </row>
    <row r="747">
      <c r="A747" s="9"/>
      <c r="B747" s="87"/>
      <c r="C747" s="87"/>
      <c r="D747" s="87"/>
      <c r="E747" s="9"/>
      <c r="F747" s="87"/>
      <c r="G747" s="87"/>
      <c r="H747" s="87"/>
      <c r="I747" s="9"/>
      <c r="J747" s="87"/>
      <c r="K747" s="87"/>
      <c r="L747" s="87"/>
      <c r="M747" s="9"/>
      <c r="N747" s="87"/>
      <c r="O747" s="87"/>
      <c r="P747" s="87"/>
      <c r="Q747" s="9"/>
      <c r="R747" s="87"/>
      <c r="S747" s="87"/>
      <c r="T747" s="87"/>
      <c r="U747" s="9"/>
      <c r="V747" s="87"/>
      <c r="W747" s="87"/>
      <c r="X747" s="87"/>
      <c r="Y747" s="87"/>
      <c r="Z747" s="87"/>
      <c r="AA747" s="87"/>
      <c r="AB747" s="87"/>
      <c r="AC747" s="243"/>
      <c r="AD747" s="234"/>
      <c r="AE747" s="234"/>
      <c r="AF747" s="234"/>
      <c r="AG747" s="9"/>
      <c r="AH747" s="87"/>
      <c r="AI747" s="87"/>
      <c r="AJ747" s="87"/>
      <c r="AK747" s="244"/>
      <c r="AL747" s="245"/>
      <c r="AM747" s="244"/>
      <c r="AN747" s="244"/>
      <c r="AO747" s="87"/>
      <c r="AP747" s="87"/>
      <c r="AQ747" s="87"/>
      <c r="AR747" s="87"/>
      <c r="AS747" s="87"/>
      <c r="AT747" s="87"/>
      <c r="AU747" s="87"/>
      <c r="AV747" s="87"/>
      <c r="AW747" s="87"/>
      <c r="AX747" s="87"/>
    </row>
    <row r="748">
      <c r="A748" s="9"/>
      <c r="B748" s="87"/>
      <c r="C748" s="87"/>
      <c r="D748" s="87"/>
      <c r="E748" s="9"/>
      <c r="F748" s="87"/>
      <c r="G748" s="87"/>
      <c r="H748" s="87"/>
      <c r="I748" s="9"/>
      <c r="J748" s="87"/>
      <c r="K748" s="87"/>
      <c r="L748" s="87"/>
      <c r="M748" s="9"/>
      <c r="N748" s="87"/>
      <c r="O748" s="87"/>
      <c r="P748" s="87"/>
      <c r="Q748" s="9"/>
      <c r="R748" s="87"/>
      <c r="S748" s="87"/>
      <c r="T748" s="87"/>
      <c r="U748" s="9"/>
      <c r="V748" s="87"/>
      <c r="W748" s="87"/>
      <c r="X748" s="87"/>
      <c r="Y748" s="87"/>
      <c r="Z748" s="87"/>
      <c r="AA748" s="87"/>
      <c r="AB748" s="87"/>
      <c r="AC748" s="243"/>
      <c r="AD748" s="234"/>
      <c r="AE748" s="234"/>
      <c r="AF748" s="234"/>
      <c r="AG748" s="9"/>
      <c r="AH748" s="87"/>
      <c r="AI748" s="87"/>
      <c r="AJ748" s="87"/>
      <c r="AK748" s="244"/>
      <c r="AL748" s="245"/>
      <c r="AM748" s="244"/>
      <c r="AN748" s="244"/>
      <c r="AO748" s="87"/>
      <c r="AP748" s="87"/>
      <c r="AQ748" s="87"/>
      <c r="AR748" s="87"/>
      <c r="AS748" s="87"/>
      <c r="AT748" s="87"/>
      <c r="AU748" s="87"/>
      <c r="AV748" s="87"/>
      <c r="AW748" s="87"/>
      <c r="AX748" s="87"/>
    </row>
    <row r="749">
      <c r="A749" s="9"/>
      <c r="B749" s="87"/>
      <c r="C749" s="87"/>
      <c r="D749" s="87"/>
      <c r="E749" s="9"/>
      <c r="F749" s="87"/>
      <c r="G749" s="87"/>
      <c r="H749" s="87"/>
      <c r="I749" s="9"/>
      <c r="J749" s="87"/>
      <c r="K749" s="87"/>
      <c r="L749" s="87"/>
      <c r="M749" s="9"/>
      <c r="N749" s="87"/>
      <c r="O749" s="87"/>
      <c r="P749" s="87"/>
      <c r="Q749" s="9"/>
      <c r="R749" s="87"/>
      <c r="S749" s="87"/>
      <c r="T749" s="87"/>
      <c r="U749" s="9"/>
      <c r="V749" s="87"/>
      <c r="W749" s="87"/>
      <c r="X749" s="87"/>
      <c r="Y749" s="87"/>
      <c r="Z749" s="87"/>
      <c r="AA749" s="87"/>
      <c r="AB749" s="87"/>
      <c r="AC749" s="243"/>
      <c r="AD749" s="234"/>
      <c r="AE749" s="234"/>
      <c r="AF749" s="234"/>
      <c r="AG749" s="9"/>
      <c r="AH749" s="87"/>
      <c r="AI749" s="87"/>
      <c r="AJ749" s="87"/>
      <c r="AK749" s="244"/>
      <c r="AL749" s="245"/>
      <c r="AM749" s="244"/>
      <c r="AN749" s="244"/>
      <c r="AO749" s="87"/>
      <c r="AP749" s="87"/>
      <c r="AQ749" s="87"/>
      <c r="AR749" s="87"/>
      <c r="AS749" s="87"/>
      <c r="AT749" s="87"/>
      <c r="AU749" s="87"/>
      <c r="AV749" s="87"/>
      <c r="AW749" s="87"/>
      <c r="AX749" s="87"/>
    </row>
    <row r="750">
      <c r="A750" s="9"/>
      <c r="B750" s="87"/>
      <c r="C750" s="87"/>
      <c r="D750" s="87"/>
      <c r="E750" s="9"/>
      <c r="F750" s="87"/>
      <c r="G750" s="87"/>
      <c r="H750" s="87"/>
      <c r="I750" s="9"/>
      <c r="J750" s="87"/>
      <c r="K750" s="87"/>
      <c r="L750" s="87"/>
      <c r="M750" s="9"/>
      <c r="N750" s="87"/>
      <c r="O750" s="87"/>
      <c r="P750" s="87"/>
      <c r="Q750" s="9"/>
      <c r="R750" s="87"/>
      <c r="S750" s="87"/>
      <c r="T750" s="87"/>
      <c r="U750" s="9"/>
      <c r="V750" s="87"/>
      <c r="W750" s="87"/>
      <c r="X750" s="87"/>
      <c r="Y750" s="87"/>
      <c r="Z750" s="87"/>
      <c r="AA750" s="87"/>
      <c r="AB750" s="87"/>
      <c r="AC750" s="243"/>
      <c r="AD750" s="234"/>
      <c r="AE750" s="234"/>
      <c r="AF750" s="234"/>
      <c r="AG750" s="9"/>
      <c r="AH750" s="87"/>
      <c r="AI750" s="87"/>
      <c r="AJ750" s="87"/>
      <c r="AK750" s="244"/>
      <c r="AL750" s="245"/>
      <c r="AM750" s="244"/>
      <c r="AN750" s="244"/>
      <c r="AO750" s="87"/>
      <c r="AP750" s="87"/>
      <c r="AQ750" s="87"/>
      <c r="AR750" s="87"/>
      <c r="AS750" s="87"/>
      <c r="AT750" s="87"/>
      <c r="AU750" s="87"/>
      <c r="AV750" s="87"/>
      <c r="AW750" s="87"/>
      <c r="AX750" s="87"/>
    </row>
    <row r="751">
      <c r="A751" s="9"/>
      <c r="B751" s="87"/>
      <c r="C751" s="87"/>
      <c r="D751" s="87"/>
      <c r="E751" s="9"/>
      <c r="F751" s="87"/>
      <c r="G751" s="87"/>
      <c r="H751" s="87"/>
      <c r="I751" s="9"/>
      <c r="J751" s="87"/>
      <c r="K751" s="87"/>
      <c r="L751" s="87"/>
      <c r="M751" s="9"/>
      <c r="N751" s="87"/>
      <c r="O751" s="87"/>
      <c r="P751" s="87"/>
      <c r="Q751" s="9"/>
      <c r="R751" s="87"/>
      <c r="S751" s="87"/>
      <c r="T751" s="87"/>
      <c r="U751" s="9"/>
      <c r="V751" s="87"/>
      <c r="W751" s="87"/>
      <c r="X751" s="87"/>
      <c r="Y751" s="87"/>
      <c r="Z751" s="87"/>
      <c r="AA751" s="87"/>
      <c r="AB751" s="87"/>
      <c r="AC751" s="243"/>
      <c r="AD751" s="234"/>
      <c r="AE751" s="234"/>
      <c r="AF751" s="234"/>
      <c r="AG751" s="9"/>
      <c r="AH751" s="87"/>
      <c r="AI751" s="87"/>
      <c r="AJ751" s="87"/>
      <c r="AK751" s="244"/>
      <c r="AL751" s="245"/>
      <c r="AM751" s="244"/>
      <c r="AN751" s="244"/>
      <c r="AO751" s="87"/>
      <c r="AP751" s="87"/>
      <c r="AQ751" s="87"/>
      <c r="AR751" s="87"/>
      <c r="AS751" s="87"/>
      <c r="AT751" s="87"/>
      <c r="AU751" s="87"/>
      <c r="AV751" s="87"/>
      <c r="AW751" s="87"/>
      <c r="AX751" s="87"/>
    </row>
    <row r="752">
      <c r="A752" s="9"/>
      <c r="B752" s="87"/>
      <c r="C752" s="87"/>
      <c r="D752" s="87"/>
      <c r="E752" s="9"/>
      <c r="F752" s="87"/>
      <c r="G752" s="87"/>
      <c r="H752" s="87"/>
      <c r="I752" s="9"/>
      <c r="J752" s="87"/>
      <c r="K752" s="87"/>
      <c r="L752" s="87"/>
      <c r="M752" s="9"/>
      <c r="N752" s="87"/>
      <c r="O752" s="87"/>
      <c r="P752" s="87"/>
      <c r="Q752" s="9"/>
      <c r="R752" s="87"/>
      <c r="S752" s="87"/>
      <c r="T752" s="87"/>
      <c r="U752" s="9"/>
      <c r="V752" s="87"/>
      <c r="W752" s="87"/>
      <c r="X752" s="87"/>
      <c r="Y752" s="87"/>
      <c r="Z752" s="87"/>
      <c r="AA752" s="87"/>
      <c r="AB752" s="87"/>
      <c r="AC752" s="243"/>
      <c r="AD752" s="234"/>
      <c r="AE752" s="234"/>
      <c r="AF752" s="234"/>
      <c r="AG752" s="9"/>
      <c r="AH752" s="87"/>
      <c r="AI752" s="87"/>
      <c r="AJ752" s="87"/>
      <c r="AK752" s="244"/>
      <c r="AL752" s="245"/>
      <c r="AM752" s="244"/>
      <c r="AN752" s="244"/>
      <c r="AO752" s="87"/>
      <c r="AP752" s="87"/>
      <c r="AQ752" s="87"/>
      <c r="AR752" s="87"/>
      <c r="AS752" s="87"/>
      <c r="AT752" s="87"/>
      <c r="AU752" s="87"/>
      <c r="AV752" s="87"/>
      <c r="AW752" s="87"/>
      <c r="AX752" s="87"/>
    </row>
    <row r="753">
      <c r="A753" s="9"/>
      <c r="B753" s="87"/>
      <c r="C753" s="87"/>
      <c r="D753" s="87"/>
      <c r="E753" s="9"/>
      <c r="F753" s="87"/>
      <c r="G753" s="87"/>
      <c r="H753" s="87"/>
      <c r="I753" s="9"/>
      <c r="J753" s="87"/>
      <c r="K753" s="87"/>
      <c r="L753" s="87"/>
      <c r="M753" s="9"/>
      <c r="N753" s="87"/>
      <c r="O753" s="87"/>
      <c r="P753" s="87"/>
      <c r="Q753" s="9"/>
      <c r="R753" s="87"/>
      <c r="S753" s="87"/>
      <c r="T753" s="87"/>
      <c r="U753" s="9"/>
      <c r="V753" s="87"/>
      <c r="W753" s="87"/>
      <c r="X753" s="87"/>
      <c r="Y753" s="87"/>
      <c r="Z753" s="87"/>
      <c r="AA753" s="87"/>
      <c r="AB753" s="87"/>
      <c r="AC753" s="243"/>
      <c r="AD753" s="234"/>
      <c r="AE753" s="234"/>
      <c r="AF753" s="234"/>
      <c r="AG753" s="9"/>
      <c r="AH753" s="87"/>
      <c r="AI753" s="87"/>
      <c r="AJ753" s="87"/>
      <c r="AK753" s="244"/>
      <c r="AL753" s="245"/>
      <c r="AM753" s="244"/>
      <c r="AN753" s="244"/>
      <c r="AO753" s="87"/>
      <c r="AP753" s="87"/>
      <c r="AQ753" s="87"/>
      <c r="AR753" s="87"/>
      <c r="AS753" s="87"/>
      <c r="AT753" s="87"/>
      <c r="AU753" s="87"/>
      <c r="AV753" s="87"/>
      <c r="AW753" s="87"/>
      <c r="AX753" s="87"/>
    </row>
    <row r="754">
      <c r="A754" s="9"/>
      <c r="B754" s="87"/>
      <c r="C754" s="87"/>
      <c r="D754" s="87"/>
      <c r="E754" s="9"/>
      <c r="F754" s="87"/>
      <c r="G754" s="87"/>
      <c r="H754" s="87"/>
      <c r="I754" s="9"/>
      <c r="J754" s="87"/>
      <c r="K754" s="87"/>
      <c r="L754" s="87"/>
      <c r="M754" s="9"/>
      <c r="N754" s="87"/>
      <c r="O754" s="87"/>
      <c r="P754" s="87"/>
      <c r="Q754" s="9"/>
      <c r="R754" s="87"/>
      <c r="S754" s="87"/>
      <c r="T754" s="87"/>
      <c r="U754" s="9"/>
      <c r="V754" s="87"/>
      <c r="W754" s="87"/>
      <c r="X754" s="87"/>
      <c r="Y754" s="87"/>
      <c r="Z754" s="87"/>
      <c r="AA754" s="87"/>
      <c r="AB754" s="87"/>
      <c r="AC754" s="243"/>
      <c r="AD754" s="234"/>
      <c r="AE754" s="234"/>
      <c r="AF754" s="234"/>
      <c r="AG754" s="9"/>
      <c r="AH754" s="87"/>
      <c r="AI754" s="87"/>
      <c r="AJ754" s="87"/>
      <c r="AK754" s="244"/>
      <c r="AL754" s="245"/>
      <c r="AM754" s="244"/>
      <c r="AN754" s="244"/>
      <c r="AO754" s="87"/>
      <c r="AP754" s="87"/>
      <c r="AQ754" s="87"/>
      <c r="AR754" s="87"/>
      <c r="AS754" s="87"/>
      <c r="AT754" s="87"/>
      <c r="AU754" s="87"/>
      <c r="AV754" s="87"/>
      <c r="AW754" s="87"/>
      <c r="AX754" s="87"/>
    </row>
    <row r="755">
      <c r="A755" s="9"/>
      <c r="B755" s="87"/>
      <c r="C755" s="87"/>
      <c r="D755" s="87"/>
      <c r="E755" s="9"/>
      <c r="F755" s="87"/>
      <c r="G755" s="87"/>
      <c r="H755" s="87"/>
      <c r="I755" s="9"/>
      <c r="J755" s="87"/>
      <c r="K755" s="87"/>
      <c r="L755" s="87"/>
      <c r="M755" s="9"/>
      <c r="N755" s="87"/>
      <c r="O755" s="87"/>
      <c r="P755" s="87"/>
      <c r="Q755" s="9"/>
      <c r="R755" s="87"/>
      <c r="S755" s="87"/>
      <c r="T755" s="87"/>
      <c r="U755" s="9"/>
      <c r="V755" s="87"/>
      <c r="W755" s="87"/>
      <c r="X755" s="87"/>
      <c r="Y755" s="87"/>
      <c r="Z755" s="87"/>
      <c r="AA755" s="87"/>
      <c r="AB755" s="87"/>
      <c r="AC755" s="243"/>
      <c r="AD755" s="234"/>
      <c r="AE755" s="234"/>
      <c r="AF755" s="234"/>
      <c r="AG755" s="9"/>
      <c r="AH755" s="87"/>
      <c r="AI755" s="87"/>
      <c r="AJ755" s="87"/>
      <c r="AK755" s="244"/>
      <c r="AL755" s="245"/>
      <c r="AM755" s="244"/>
      <c r="AN755" s="244"/>
      <c r="AO755" s="87"/>
      <c r="AP755" s="87"/>
      <c r="AQ755" s="87"/>
      <c r="AR755" s="87"/>
      <c r="AS755" s="87"/>
      <c r="AT755" s="87"/>
      <c r="AU755" s="87"/>
      <c r="AV755" s="87"/>
      <c r="AW755" s="87"/>
      <c r="AX755" s="87"/>
    </row>
    <row r="756">
      <c r="A756" s="9"/>
      <c r="B756" s="87"/>
      <c r="C756" s="87"/>
      <c r="D756" s="87"/>
      <c r="E756" s="9"/>
      <c r="F756" s="87"/>
      <c r="G756" s="87"/>
      <c r="H756" s="87"/>
      <c r="I756" s="9"/>
      <c r="J756" s="87"/>
      <c r="K756" s="87"/>
      <c r="L756" s="87"/>
      <c r="M756" s="9"/>
      <c r="N756" s="87"/>
      <c r="O756" s="87"/>
      <c r="P756" s="87"/>
      <c r="Q756" s="9"/>
      <c r="R756" s="87"/>
      <c r="S756" s="87"/>
      <c r="T756" s="87"/>
      <c r="U756" s="9"/>
      <c r="V756" s="87"/>
      <c r="W756" s="87"/>
      <c r="X756" s="87"/>
      <c r="Y756" s="87"/>
      <c r="Z756" s="87"/>
      <c r="AA756" s="87"/>
      <c r="AB756" s="87"/>
      <c r="AC756" s="243"/>
      <c r="AD756" s="234"/>
      <c r="AE756" s="234"/>
      <c r="AF756" s="234"/>
      <c r="AG756" s="9"/>
      <c r="AH756" s="87"/>
      <c r="AI756" s="87"/>
      <c r="AJ756" s="87"/>
      <c r="AK756" s="244"/>
      <c r="AL756" s="245"/>
      <c r="AM756" s="244"/>
      <c r="AN756" s="244"/>
      <c r="AO756" s="87"/>
      <c r="AP756" s="87"/>
      <c r="AQ756" s="87"/>
      <c r="AR756" s="87"/>
      <c r="AS756" s="87"/>
      <c r="AT756" s="87"/>
      <c r="AU756" s="87"/>
      <c r="AV756" s="87"/>
      <c r="AW756" s="87"/>
      <c r="AX756" s="87"/>
    </row>
    <row r="757">
      <c r="A757" s="9"/>
      <c r="B757" s="87"/>
      <c r="C757" s="87"/>
      <c r="D757" s="87"/>
      <c r="E757" s="9"/>
      <c r="F757" s="87"/>
      <c r="G757" s="87"/>
      <c r="H757" s="87"/>
      <c r="I757" s="9"/>
      <c r="J757" s="87"/>
      <c r="K757" s="87"/>
      <c r="L757" s="87"/>
      <c r="M757" s="9"/>
      <c r="N757" s="87"/>
      <c r="O757" s="87"/>
      <c r="P757" s="87"/>
      <c r="Q757" s="9"/>
      <c r="R757" s="87"/>
      <c r="S757" s="87"/>
      <c r="T757" s="87"/>
      <c r="U757" s="9"/>
      <c r="V757" s="87"/>
      <c r="W757" s="87"/>
      <c r="X757" s="87"/>
      <c r="Y757" s="87"/>
      <c r="Z757" s="87"/>
      <c r="AA757" s="87"/>
      <c r="AB757" s="87"/>
      <c r="AC757" s="243"/>
      <c r="AD757" s="234"/>
      <c r="AE757" s="234"/>
      <c r="AF757" s="234"/>
      <c r="AG757" s="9"/>
      <c r="AH757" s="87"/>
      <c r="AI757" s="87"/>
      <c r="AJ757" s="87"/>
      <c r="AK757" s="244"/>
      <c r="AL757" s="245"/>
      <c r="AM757" s="244"/>
      <c r="AN757" s="244"/>
      <c r="AO757" s="87"/>
      <c r="AP757" s="87"/>
      <c r="AQ757" s="87"/>
      <c r="AR757" s="87"/>
      <c r="AS757" s="87"/>
      <c r="AT757" s="87"/>
      <c r="AU757" s="87"/>
      <c r="AV757" s="87"/>
      <c r="AW757" s="87"/>
      <c r="AX757" s="87"/>
    </row>
    <row r="758">
      <c r="A758" s="9"/>
      <c r="B758" s="87"/>
      <c r="C758" s="87"/>
      <c r="D758" s="87"/>
      <c r="E758" s="9"/>
      <c r="F758" s="87"/>
      <c r="G758" s="87"/>
      <c r="H758" s="87"/>
      <c r="I758" s="9"/>
      <c r="J758" s="87"/>
      <c r="K758" s="87"/>
      <c r="L758" s="87"/>
      <c r="M758" s="9"/>
      <c r="N758" s="87"/>
      <c r="O758" s="87"/>
      <c r="P758" s="87"/>
      <c r="Q758" s="9"/>
      <c r="R758" s="87"/>
      <c r="S758" s="87"/>
      <c r="T758" s="87"/>
      <c r="U758" s="9"/>
      <c r="V758" s="87"/>
      <c r="W758" s="87"/>
      <c r="X758" s="87"/>
      <c r="Y758" s="87"/>
      <c r="Z758" s="87"/>
      <c r="AA758" s="87"/>
      <c r="AB758" s="87"/>
      <c r="AC758" s="243"/>
      <c r="AD758" s="234"/>
      <c r="AE758" s="234"/>
      <c r="AF758" s="234"/>
      <c r="AG758" s="9"/>
      <c r="AH758" s="87"/>
      <c r="AI758" s="87"/>
      <c r="AJ758" s="87"/>
      <c r="AK758" s="244"/>
      <c r="AL758" s="245"/>
      <c r="AM758" s="244"/>
      <c r="AN758" s="244"/>
      <c r="AO758" s="87"/>
      <c r="AP758" s="87"/>
      <c r="AQ758" s="87"/>
      <c r="AR758" s="87"/>
      <c r="AS758" s="87"/>
      <c r="AT758" s="87"/>
      <c r="AU758" s="87"/>
      <c r="AV758" s="87"/>
      <c r="AW758" s="87"/>
      <c r="AX758" s="87"/>
    </row>
    <row r="759">
      <c r="A759" s="9"/>
      <c r="B759" s="87"/>
      <c r="C759" s="87"/>
      <c r="D759" s="87"/>
      <c r="E759" s="9"/>
      <c r="F759" s="87"/>
      <c r="G759" s="87"/>
      <c r="H759" s="87"/>
      <c r="I759" s="9"/>
      <c r="J759" s="87"/>
      <c r="K759" s="87"/>
      <c r="L759" s="87"/>
      <c r="M759" s="9"/>
      <c r="N759" s="87"/>
      <c r="O759" s="87"/>
      <c r="P759" s="87"/>
      <c r="Q759" s="9"/>
      <c r="R759" s="87"/>
      <c r="S759" s="87"/>
      <c r="T759" s="87"/>
      <c r="U759" s="9"/>
      <c r="V759" s="87"/>
      <c r="W759" s="87"/>
      <c r="X759" s="87"/>
      <c r="Y759" s="87"/>
      <c r="Z759" s="87"/>
      <c r="AA759" s="87"/>
      <c r="AB759" s="87"/>
      <c r="AC759" s="243"/>
      <c r="AD759" s="234"/>
      <c r="AE759" s="234"/>
      <c r="AF759" s="234"/>
      <c r="AG759" s="9"/>
      <c r="AH759" s="87"/>
      <c r="AI759" s="87"/>
      <c r="AJ759" s="87"/>
      <c r="AK759" s="244"/>
      <c r="AL759" s="245"/>
      <c r="AM759" s="244"/>
      <c r="AN759" s="244"/>
      <c r="AO759" s="87"/>
      <c r="AP759" s="87"/>
      <c r="AQ759" s="87"/>
      <c r="AR759" s="87"/>
      <c r="AS759" s="87"/>
      <c r="AT759" s="87"/>
      <c r="AU759" s="87"/>
      <c r="AV759" s="87"/>
      <c r="AW759" s="87"/>
      <c r="AX759" s="87"/>
    </row>
    <row r="760">
      <c r="A760" s="9"/>
      <c r="B760" s="87"/>
      <c r="C760" s="87"/>
      <c r="D760" s="87"/>
      <c r="E760" s="9"/>
      <c r="F760" s="87"/>
      <c r="G760" s="87"/>
      <c r="H760" s="87"/>
      <c r="I760" s="9"/>
      <c r="J760" s="87"/>
      <c r="K760" s="87"/>
      <c r="L760" s="87"/>
      <c r="M760" s="9"/>
      <c r="N760" s="87"/>
      <c r="O760" s="87"/>
      <c r="P760" s="87"/>
      <c r="Q760" s="9"/>
      <c r="R760" s="87"/>
      <c r="S760" s="87"/>
      <c r="T760" s="87"/>
      <c r="U760" s="9"/>
      <c r="V760" s="87"/>
      <c r="W760" s="87"/>
      <c r="X760" s="87"/>
      <c r="Y760" s="87"/>
      <c r="Z760" s="87"/>
      <c r="AA760" s="87"/>
      <c r="AB760" s="87"/>
      <c r="AC760" s="243"/>
      <c r="AD760" s="234"/>
      <c r="AE760" s="234"/>
      <c r="AF760" s="234"/>
      <c r="AG760" s="9"/>
      <c r="AH760" s="87"/>
      <c r="AI760" s="87"/>
      <c r="AJ760" s="87"/>
      <c r="AK760" s="244"/>
      <c r="AL760" s="245"/>
      <c r="AM760" s="244"/>
      <c r="AN760" s="244"/>
      <c r="AO760" s="87"/>
      <c r="AP760" s="87"/>
      <c r="AQ760" s="87"/>
      <c r="AR760" s="87"/>
      <c r="AS760" s="87"/>
      <c r="AT760" s="87"/>
      <c r="AU760" s="87"/>
      <c r="AV760" s="87"/>
      <c r="AW760" s="87"/>
      <c r="AX760" s="87"/>
    </row>
    <row r="761">
      <c r="A761" s="9"/>
      <c r="B761" s="87"/>
      <c r="C761" s="87"/>
      <c r="D761" s="87"/>
      <c r="E761" s="9"/>
      <c r="F761" s="87"/>
      <c r="G761" s="87"/>
      <c r="H761" s="87"/>
      <c r="I761" s="9"/>
      <c r="J761" s="87"/>
      <c r="K761" s="87"/>
      <c r="L761" s="87"/>
      <c r="M761" s="9"/>
      <c r="N761" s="87"/>
      <c r="O761" s="87"/>
      <c r="P761" s="87"/>
      <c r="Q761" s="9"/>
      <c r="R761" s="87"/>
      <c r="S761" s="87"/>
      <c r="T761" s="87"/>
      <c r="U761" s="9"/>
      <c r="V761" s="87"/>
      <c r="W761" s="87"/>
      <c r="X761" s="87"/>
      <c r="Y761" s="87"/>
      <c r="Z761" s="87"/>
      <c r="AA761" s="87"/>
      <c r="AB761" s="87"/>
      <c r="AC761" s="243"/>
      <c r="AD761" s="234"/>
      <c r="AE761" s="234"/>
      <c r="AF761" s="234"/>
      <c r="AG761" s="9"/>
      <c r="AH761" s="87"/>
      <c r="AI761" s="87"/>
      <c r="AJ761" s="87"/>
      <c r="AK761" s="244"/>
      <c r="AL761" s="245"/>
      <c r="AM761" s="244"/>
      <c r="AN761" s="244"/>
      <c r="AO761" s="87"/>
      <c r="AP761" s="87"/>
      <c r="AQ761" s="87"/>
      <c r="AR761" s="87"/>
      <c r="AS761" s="87"/>
      <c r="AT761" s="87"/>
      <c r="AU761" s="87"/>
      <c r="AV761" s="87"/>
      <c r="AW761" s="87"/>
      <c r="AX761" s="87"/>
    </row>
    <row r="762">
      <c r="A762" s="9"/>
      <c r="B762" s="87"/>
      <c r="C762" s="87"/>
      <c r="D762" s="87"/>
      <c r="E762" s="9"/>
      <c r="F762" s="87"/>
      <c r="G762" s="87"/>
      <c r="H762" s="87"/>
      <c r="I762" s="9"/>
      <c r="J762" s="87"/>
      <c r="K762" s="87"/>
      <c r="L762" s="87"/>
      <c r="M762" s="9"/>
      <c r="N762" s="87"/>
      <c r="O762" s="87"/>
      <c r="P762" s="87"/>
      <c r="Q762" s="9"/>
      <c r="R762" s="87"/>
      <c r="S762" s="87"/>
      <c r="T762" s="87"/>
      <c r="U762" s="9"/>
      <c r="V762" s="87"/>
      <c r="W762" s="87"/>
      <c r="X762" s="87"/>
      <c r="Y762" s="87"/>
      <c r="Z762" s="87"/>
      <c r="AA762" s="87"/>
      <c r="AB762" s="87"/>
      <c r="AC762" s="243"/>
      <c r="AD762" s="234"/>
      <c r="AE762" s="234"/>
      <c r="AF762" s="234"/>
      <c r="AG762" s="9"/>
      <c r="AH762" s="87"/>
      <c r="AI762" s="87"/>
      <c r="AJ762" s="87"/>
      <c r="AK762" s="244"/>
      <c r="AL762" s="245"/>
      <c r="AM762" s="244"/>
      <c r="AN762" s="244"/>
      <c r="AO762" s="87"/>
      <c r="AP762" s="87"/>
      <c r="AQ762" s="87"/>
      <c r="AR762" s="87"/>
      <c r="AS762" s="87"/>
      <c r="AT762" s="87"/>
      <c r="AU762" s="87"/>
      <c r="AV762" s="87"/>
      <c r="AW762" s="87"/>
      <c r="AX762" s="87"/>
    </row>
    <row r="763">
      <c r="A763" s="9"/>
      <c r="B763" s="87"/>
      <c r="C763" s="87"/>
      <c r="D763" s="87"/>
      <c r="E763" s="9"/>
      <c r="F763" s="87"/>
      <c r="G763" s="87"/>
      <c r="H763" s="87"/>
      <c r="I763" s="9"/>
      <c r="J763" s="87"/>
      <c r="K763" s="87"/>
      <c r="L763" s="87"/>
      <c r="M763" s="9"/>
      <c r="N763" s="87"/>
      <c r="O763" s="87"/>
      <c r="P763" s="87"/>
      <c r="Q763" s="9"/>
      <c r="R763" s="87"/>
      <c r="S763" s="87"/>
      <c r="T763" s="87"/>
      <c r="U763" s="9"/>
      <c r="V763" s="87"/>
      <c r="W763" s="87"/>
      <c r="X763" s="87"/>
      <c r="Y763" s="87"/>
      <c r="Z763" s="87"/>
      <c r="AA763" s="87"/>
      <c r="AB763" s="87"/>
      <c r="AC763" s="243"/>
      <c r="AD763" s="234"/>
      <c r="AE763" s="234"/>
      <c r="AF763" s="234"/>
      <c r="AG763" s="9"/>
      <c r="AH763" s="87"/>
      <c r="AI763" s="87"/>
      <c r="AJ763" s="87"/>
      <c r="AK763" s="244"/>
      <c r="AL763" s="245"/>
      <c r="AM763" s="244"/>
      <c r="AN763" s="244"/>
      <c r="AO763" s="87"/>
      <c r="AP763" s="87"/>
      <c r="AQ763" s="87"/>
      <c r="AR763" s="87"/>
      <c r="AS763" s="87"/>
      <c r="AT763" s="87"/>
      <c r="AU763" s="87"/>
      <c r="AV763" s="87"/>
      <c r="AW763" s="87"/>
      <c r="AX763" s="87"/>
    </row>
    <row r="764">
      <c r="A764" s="9"/>
      <c r="B764" s="87"/>
      <c r="C764" s="87"/>
      <c r="D764" s="87"/>
      <c r="E764" s="9"/>
      <c r="F764" s="87"/>
      <c r="G764" s="87"/>
      <c r="H764" s="87"/>
      <c r="I764" s="9"/>
      <c r="J764" s="87"/>
      <c r="K764" s="87"/>
      <c r="L764" s="87"/>
      <c r="M764" s="9"/>
      <c r="N764" s="87"/>
      <c r="O764" s="87"/>
      <c r="P764" s="87"/>
      <c r="Q764" s="9"/>
      <c r="R764" s="87"/>
      <c r="S764" s="87"/>
      <c r="T764" s="87"/>
      <c r="U764" s="9"/>
      <c r="V764" s="87"/>
      <c r="W764" s="87"/>
      <c r="X764" s="87"/>
      <c r="Y764" s="87"/>
      <c r="Z764" s="87"/>
      <c r="AA764" s="87"/>
      <c r="AB764" s="87"/>
      <c r="AC764" s="243"/>
      <c r="AD764" s="234"/>
      <c r="AE764" s="234"/>
      <c r="AF764" s="234"/>
      <c r="AG764" s="9"/>
      <c r="AH764" s="87"/>
      <c r="AI764" s="87"/>
      <c r="AJ764" s="87"/>
      <c r="AK764" s="244"/>
      <c r="AL764" s="245"/>
      <c r="AM764" s="244"/>
      <c r="AN764" s="244"/>
      <c r="AO764" s="87"/>
      <c r="AP764" s="87"/>
      <c r="AQ764" s="87"/>
      <c r="AR764" s="87"/>
      <c r="AS764" s="87"/>
      <c r="AT764" s="87"/>
      <c r="AU764" s="87"/>
      <c r="AV764" s="87"/>
      <c r="AW764" s="87"/>
      <c r="AX764" s="87"/>
    </row>
    <row r="765">
      <c r="A765" s="9"/>
      <c r="B765" s="87"/>
      <c r="C765" s="87"/>
      <c r="D765" s="87"/>
      <c r="E765" s="9"/>
      <c r="F765" s="87"/>
      <c r="G765" s="87"/>
      <c r="H765" s="87"/>
      <c r="I765" s="9"/>
      <c r="J765" s="87"/>
      <c r="K765" s="87"/>
      <c r="L765" s="87"/>
      <c r="M765" s="9"/>
      <c r="N765" s="87"/>
      <c r="O765" s="87"/>
      <c r="P765" s="87"/>
      <c r="Q765" s="9"/>
      <c r="R765" s="87"/>
      <c r="S765" s="87"/>
      <c r="T765" s="87"/>
      <c r="U765" s="9"/>
      <c r="V765" s="87"/>
      <c r="W765" s="87"/>
      <c r="X765" s="87"/>
      <c r="Y765" s="87"/>
      <c r="Z765" s="87"/>
      <c r="AA765" s="87"/>
      <c r="AB765" s="87"/>
      <c r="AC765" s="243"/>
      <c r="AD765" s="234"/>
      <c r="AE765" s="234"/>
      <c r="AF765" s="234"/>
      <c r="AG765" s="9"/>
      <c r="AH765" s="87"/>
      <c r="AI765" s="87"/>
      <c r="AJ765" s="87"/>
      <c r="AK765" s="244"/>
      <c r="AL765" s="245"/>
      <c r="AM765" s="244"/>
      <c r="AN765" s="244"/>
      <c r="AO765" s="87"/>
      <c r="AP765" s="87"/>
      <c r="AQ765" s="87"/>
      <c r="AR765" s="87"/>
      <c r="AS765" s="87"/>
      <c r="AT765" s="87"/>
      <c r="AU765" s="87"/>
      <c r="AV765" s="87"/>
      <c r="AW765" s="87"/>
      <c r="AX765" s="87"/>
    </row>
    <row r="766">
      <c r="A766" s="9"/>
      <c r="B766" s="87"/>
      <c r="C766" s="87"/>
      <c r="D766" s="87"/>
      <c r="E766" s="9"/>
      <c r="F766" s="87"/>
      <c r="G766" s="87"/>
      <c r="H766" s="87"/>
      <c r="I766" s="9"/>
      <c r="J766" s="87"/>
      <c r="K766" s="87"/>
      <c r="L766" s="87"/>
      <c r="M766" s="9"/>
      <c r="N766" s="87"/>
      <c r="O766" s="87"/>
      <c r="P766" s="87"/>
      <c r="Q766" s="9"/>
      <c r="R766" s="87"/>
      <c r="S766" s="87"/>
      <c r="T766" s="87"/>
      <c r="U766" s="9"/>
      <c r="V766" s="87"/>
      <c r="W766" s="87"/>
      <c r="X766" s="87"/>
      <c r="Y766" s="87"/>
      <c r="Z766" s="87"/>
      <c r="AA766" s="87"/>
      <c r="AB766" s="87"/>
      <c r="AC766" s="243"/>
      <c r="AD766" s="234"/>
      <c r="AE766" s="234"/>
      <c r="AF766" s="234"/>
      <c r="AG766" s="9"/>
      <c r="AH766" s="87"/>
      <c r="AI766" s="87"/>
      <c r="AJ766" s="87"/>
      <c r="AK766" s="244"/>
      <c r="AL766" s="245"/>
      <c r="AM766" s="244"/>
      <c r="AN766" s="244"/>
      <c r="AO766" s="87"/>
      <c r="AP766" s="87"/>
      <c r="AQ766" s="87"/>
      <c r="AR766" s="87"/>
      <c r="AS766" s="87"/>
      <c r="AT766" s="87"/>
      <c r="AU766" s="87"/>
      <c r="AV766" s="87"/>
      <c r="AW766" s="87"/>
      <c r="AX766" s="87"/>
    </row>
    <row r="767">
      <c r="A767" s="9"/>
      <c r="B767" s="87"/>
      <c r="C767" s="87"/>
      <c r="D767" s="87"/>
      <c r="E767" s="9"/>
      <c r="F767" s="87"/>
      <c r="G767" s="87"/>
      <c r="H767" s="87"/>
      <c r="I767" s="9"/>
      <c r="J767" s="87"/>
      <c r="K767" s="87"/>
      <c r="L767" s="87"/>
      <c r="M767" s="9"/>
      <c r="N767" s="87"/>
      <c r="O767" s="87"/>
      <c r="P767" s="87"/>
      <c r="Q767" s="9"/>
      <c r="R767" s="87"/>
      <c r="S767" s="87"/>
      <c r="T767" s="87"/>
      <c r="U767" s="9"/>
      <c r="V767" s="87"/>
      <c r="W767" s="87"/>
      <c r="X767" s="87"/>
      <c r="Y767" s="87"/>
      <c r="Z767" s="87"/>
      <c r="AA767" s="87"/>
      <c r="AB767" s="87"/>
      <c r="AC767" s="243"/>
      <c r="AD767" s="234"/>
      <c r="AE767" s="234"/>
      <c r="AF767" s="234"/>
      <c r="AG767" s="9"/>
      <c r="AH767" s="87"/>
      <c r="AI767" s="87"/>
      <c r="AJ767" s="87"/>
      <c r="AK767" s="244"/>
      <c r="AL767" s="245"/>
      <c r="AM767" s="244"/>
      <c r="AN767" s="244"/>
      <c r="AO767" s="87"/>
      <c r="AP767" s="87"/>
      <c r="AQ767" s="87"/>
      <c r="AR767" s="87"/>
      <c r="AS767" s="87"/>
      <c r="AT767" s="87"/>
      <c r="AU767" s="87"/>
      <c r="AV767" s="87"/>
      <c r="AW767" s="87"/>
      <c r="AX767" s="87"/>
    </row>
    <row r="768">
      <c r="A768" s="9"/>
      <c r="B768" s="87"/>
      <c r="C768" s="87"/>
      <c r="D768" s="87"/>
      <c r="E768" s="9"/>
      <c r="F768" s="87"/>
      <c r="G768" s="87"/>
      <c r="H768" s="87"/>
      <c r="I768" s="9"/>
      <c r="J768" s="87"/>
      <c r="K768" s="87"/>
      <c r="L768" s="87"/>
      <c r="M768" s="9"/>
      <c r="N768" s="87"/>
      <c r="O768" s="87"/>
      <c r="P768" s="87"/>
      <c r="Q768" s="9"/>
      <c r="R768" s="87"/>
      <c r="S768" s="87"/>
      <c r="T768" s="87"/>
      <c r="U768" s="9"/>
      <c r="V768" s="87"/>
      <c r="W768" s="87"/>
      <c r="X768" s="87"/>
      <c r="Y768" s="87"/>
      <c r="Z768" s="87"/>
      <c r="AA768" s="87"/>
      <c r="AB768" s="87"/>
      <c r="AC768" s="243"/>
      <c r="AD768" s="234"/>
      <c r="AE768" s="234"/>
      <c r="AF768" s="234"/>
      <c r="AG768" s="9"/>
      <c r="AH768" s="87"/>
      <c r="AI768" s="87"/>
      <c r="AJ768" s="87"/>
      <c r="AK768" s="244"/>
      <c r="AL768" s="245"/>
      <c r="AM768" s="244"/>
      <c r="AN768" s="244"/>
      <c r="AO768" s="87"/>
      <c r="AP768" s="87"/>
      <c r="AQ768" s="87"/>
      <c r="AR768" s="87"/>
      <c r="AS768" s="87"/>
      <c r="AT768" s="87"/>
      <c r="AU768" s="87"/>
      <c r="AV768" s="87"/>
      <c r="AW768" s="87"/>
      <c r="AX768" s="87"/>
    </row>
    <row r="769">
      <c r="A769" s="9"/>
      <c r="B769" s="87"/>
      <c r="C769" s="87"/>
      <c r="D769" s="87"/>
      <c r="E769" s="9"/>
      <c r="F769" s="87"/>
      <c r="G769" s="87"/>
      <c r="H769" s="87"/>
      <c r="I769" s="9"/>
      <c r="J769" s="87"/>
      <c r="K769" s="87"/>
      <c r="L769" s="87"/>
      <c r="M769" s="9"/>
      <c r="N769" s="87"/>
      <c r="O769" s="87"/>
      <c r="P769" s="87"/>
      <c r="Q769" s="9"/>
      <c r="R769" s="87"/>
      <c r="S769" s="87"/>
      <c r="T769" s="87"/>
      <c r="U769" s="9"/>
      <c r="V769" s="87"/>
      <c r="W769" s="87"/>
      <c r="X769" s="87"/>
      <c r="Y769" s="87"/>
      <c r="Z769" s="87"/>
      <c r="AA769" s="87"/>
      <c r="AB769" s="87"/>
      <c r="AC769" s="243"/>
      <c r="AD769" s="234"/>
      <c r="AE769" s="234"/>
      <c r="AF769" s="234"/>
      <c r="AG769" s="9"/>
      <c r="AH769" s="87"/>
      <c r="AI769" s="87"/>
      <c r="AJ769" s="87"/>
      <c r="AK769" s="244"/>
      <c r="AL769" s="245"/>
      <c r="AM769" s="244"/>
      <c r="AN769" s="244"/>
      <c r="AO769" s="87"/>
      <c r="AP769" s="87"/>
      <c r="AQ769" s="87"/>
      <c r="AR769" s="87"/>
      <c r="AS769" s="87"/>
      <c r="AT769" s="87"/>
      <c r="AU769" s="87"/>
      <c r="AV769" s="87"/>
      <c r="AW769" s="87"/>
      <c r="AX769" s="87"/>
    </row>
    <row r="770">
      <c r="A770" s="9"/>
      <c r="B770" s="87"/>
      <c r="C770" s="87"/>
      <c r="D770" s="87"/>
      <c r="E770" s="9"/>
      <c r="F770" s="87"/>
      <c r="G770" s="87"/>
      <c r="H770" s="87"/>
      <c r="I770" s="9"/>
      <c r="J770" s="87"/>
      <c r="K770" s="87"/>
      <c r="L770" s="87"/>
      <c r="M770" s="9"/>
      <c r="N770" s="87"/>
      <c r="O770" s="87"/>
      <c r="P770" s="87"/>
      <c r="Q770" s="9"/>
      <c r="R770" s="87"/>
      <c r="S770" s="87"/>
      <c r="T770" s="87"/>
      <c r="U770" s="9"/>
      <c r="V770" s="87"/>
      <c r="W770" s="87"/>
      <c r="X770" s="87"/>
      <c r="Y770" s="87"/>
      <c r="Z770" s="87"/>
      <c r="AA770" s="87"/>
      <c r="AB770" s="87"/>
      <c r="AC770" s="243"/>
      <c r="AD770" s="234"/>
      <c r="AE770" s="234"/>
      <c r="AF770" s="234"/>
      <c r="AG770" s="9"/>
      <c r="AH770" s="87"/>
      <c r="AI770" s="87"/>
      <c r="AJ770" s="87"/>
      <c r="AK770" s="244"/>
      <c r="AL770" s="245"/>
      <c r="AM770" s="244"/>
      <c r="AN770" s="244"/>
      <c r="AO770" s="87"/>
      <c r="AP770" s="87"/>
      <c r="AQ770" s="87"/>
      <c r="AR770" s="87"/>
      <c r="AS770" s="87"/>
      <c r="AT770" s="87"/>
      <c r="AU770" s="87"/>
      <c r="AV770" s="87"/>
      <c r="AW770" s="87"/>
      <c r="AX770" s="87"/>
    </row>
    <row r="771">
      <c r="A771" s="9"/>
      <c r="B771" s="87"/>
      <c r="C771" s="87"/>
      <c r="D771" s="87"/>
      <c r="E771" s="9"/>
      <c r="F771" s="87"/>
      <c r="G771" s="87"/>
      <c r="H771" s="87"/>
      <c r="I771" s="9"/>
      <c r="J771" s="87"/>
      <c r="K771" s="87"/>
      <c r="L771" s="87"/>
      <c r="M771" s="9"/>
      <c r="N771" s="87"/>
      <c r="O771" s="87"/>
      <c r="P771" s="87"/>
      <c r="Q771" s="9"/>
      <c r="R771" s="87"/>
      <c r="S771" s="87"/>
      <c r="T771" s="87"/>
      <c r="U771" s="9"/>
      <c r="V771" s="87"/>
      <c r="W771" s="87"/>
      <c r="X771" s="87"/>
      <c r="Y771" s="87"/>
      <c r="Z771" s="87"/>
      <c r="AA771" s="87"/>
      <c r="AB771" s="87"/>
      <c r="AC771" s="243"/>
      <c r="AD771" s="234"/>
      <c r="AE771" s="234"/>
      <c r="AF771" s="234"/>
      <c r="AG771" s="9"/>
      <c r="AH771" s="87"/>
      <c r="AI771" s="87"/>
      <c r="AJ771" s="87"/>
      <c r="AK771" s="244"/>
      <c r="AL771" s="245"/>
      <c r="AM771" s="244"/>
      <c r="AN771" s="244"/>
      <c r="AO771" s="87"/>
      <c r="AP771" s="87"/>
      <c r="AQ771" s="87"/>
      <c r="AR771" s="87"/>
      <c r="AS771" s="87"/>
      <c r="AT771" s="87"/>
      <c r="AU771" s="87"/>
      <c r="AV771" s="87"/>
      <c r="AW771" s="87"/>
      <c r="AX771" s="87"/>
    </row>
    <row r="772">
      <c r="A772" s="9"/>
      <c r="B772" s="87"/>
      <c r="C772" s="87"/>
      <c r="D772" s="87"/>
      <c r="E772" s="9"/>
      <c r="F772" s="87"/>
      <c r="G772" s="87"/>
      <c r="H772" s="87"/>
      <c r="I772" s="9"/>
      <c r="J772" s="87"/>
      <c r="K772" s="87"/>
      <c r="L772" s="87"/>
      <c r="M772" s="9"/>
      <c r="N772" s="87"/>
      <c r="O772" s="87"/>
      <c r="P772" s="87"/>
      <c r="Q772" s="9"/>
      <c r="R772" s="87"/>
      <c r="S772" s="87"/>
      <c r="T772" s="87"/>
      <c r="U772" s="9"/>
      <c r="V772" s="87"/>
      <c r="W772" s="87"/>
      <c r="X772" s="87"/>
      <c r="Y772" s="87"/>
      <c r="Z772" s="87"/>
      <c r="AA772" s="87"/>
      <c r="AB772" s="87"/>
      <c r="AC772" s="243"/>
      <c r="AD772" s="234"/>
      <c r="AE772" s="234"/>
      <c r="AF772" s="234"/>
      <c r="AG772" s="9"/>
      <c r="AH772" s="87"/>
      <c r="AI772" s="87"/>
      <c r="AJ772" s="87"/>
      <c r="AK772" s="244"/>
      <c r="AL772" s="245"/>
      <c r="AM772" s="244"/>
      <c r="AN772" s="244"/>
      <c r="AO772" s="87"/>
      <c r="AP772" s="87"/>
      <c r="AQ772" s="87"/>
      <c r="AR772" s="87"/>
      <c r="AS772" s="87"/>
      <c r="AT772" s="87"/>
      <c r="AU772" s="87"/>
      <c r="AV772" s="87"/>
      <c r="AW772" s="87"/>
      <c r="AX772" s="87"/>
    </row>
    <row r="773">
      <c r="A773" s="9"/>
      <c r="B773" s="87"/>
      <c r="C773" s="87"/>
      <c r="D773" s="87"/>
      <c r="E773" s="9"/>
      <c r="F773" s="87"/>
      <c r="G773" s="87"/>
      <c r="H773" s="87"/>
      <c r="I773" s="9"/>
      <c r="J773" s="87"/>
      <c r="K773" s="87"/>
      <c r="L773" s="87"/>
      <c r="M773" s="9"/>
      <c r="N773" s="87"/>
      <c r="O773" s="87"/>
      <c r="P773" s="87"/>
      <c r="Q773" s="9"/>
      <c r="R773" s="87"/>
      <c r="S773" s="87"/>
      <c r="T773" s="87"/>
      <c r="U773" s="9"/>
      <c r="V773" s="87"/>
      <c r="W773" s="87"/>
      <c r="X773" s="87"/>
      <c r="Y773" s="87"/>
      <c r="Z773" s="87"/>
      <c r="AA773" s="87"/>
      <c r="AB773" s="87"/>
      <c r="AC773" s="243"/>
      <c r="AD773" s="234"/>
      <c r="AE773" s="234"/>
      <c r="AF773" s="234"/>
      <c r="AG773" s="9"/>
      <c r="AH773" s="87"/>
      <c r="AI773" s="87"/>
      <c r="AJ773" s="87"/>
      <c r="AK773" s="244"/>
      <c r="AL773" s="245"/>
      <c r="AM773" s="244"/>
      <c r="AN773" s="244"/>
      <c r="AO773" s="87"/>
      <c r="AP773" s="87"/>
      <c r="AQ773" s="87"/>
      <c r="AR773" s="87"/>
      <c r="AS773" s="87"/>
      <c r="AT773" s="87"/>
      <c r="AU773" s="87"/>
      <c r="AV773" s="87"/>
      <c r="AW773" s="87"/>
      <c r="AX773" s="87"/>
    </row>
    <row r="774">
      <c r="A774" s="9"/>
      <c r="B774" s="87"/>
      <c r="C774" s="87"/>
      <c r="D774" s="87"/>
      <c r="E774" s="9"/>
      <c r="F774" s="87"/>
      <c r="G774" s="87"/>
      <c r="H774" s="87"/>
      <c r="I774" s="9"/>
      <c r="J774" s="87"/>
      <c r="K774" s="87"/>
      <c r="L774" s="87"/>
      <c r="M774" s="9"/>
      <c r="N774" s="87"/>
      <c r="O774" s="87"/>
      <c r="P774" s="87"/>
      <c r="Q774" s="9"/>
      <c r="R774" s="87"/>
      <c r="S774" s="87"/>
      <c r="T774" s="87"/>
      <c r="U774" s="9"/>
      <c r="V774" s="87"/>
      <c r="W774" s="87"/>
      <c r="X774" s="87"/>
      <c r="Y774" s="87"/>
      <c r="Z774" s="87"/>
      <c r="AA774" s="87"/>
      <c r="AB774" s="87"/>
      <c r="AC774" s="243"/>
      <c r="AD774" s="234"/>
      <c r="AE774" s="234"/>
      <c r="AF774" s="234"/>
      <c r="AG774" s="9"/>
      <c r="AH774" s="87"/>
      <c r="AI774" s="87"/>
      <c r="AJ774" s="87"/>
      <c r="AK774" s="244"/>
      <c r="AL774" s="245"/>
      <c r="AM774" s="244"/>
      <c r="AN774" s="244"/>
      <c r="AO774" s="87"/>
      <c r="AP774" s="87"/>
      <c r="AQ774" s="87"/>
      <c r="AR774" s="87"/>
      <c r="AS774" s="87"/>
      <c r="AT774" s="87"/>
      <c r="AU774" s="87"/>
      <c r="AV774" s="87"/>
      <c r="AW774" s="87"/>
      <c r="AX774" s="87"/>
    </row>
    <row r="775">
      <c r="A775" s="9"/>
      <c r="B775" s="87"/>
      <c r="C775" s="87"/>
      <c r="D775" s="87"/>
      <c r="E775" s="9"/>
      <c r="F775" s="87"/>
      <c r="G775" s="87"/>
      <c r="H775" s="87"/>
      <c r="I775" s="9"/>
      <c r="J775" s="87"/>
      <c r="K775" s="87"/>
      <c r="L775" s="87"/>
      <c r="M775" s="9"/>
      <c r="N775" s="87"/>
      <c r="O775" s="87"/>
      <c r="P775" s="87"/>
      <c r="Q775" s="9"/>
      <c r="R775" s="87"/>
      <c r="S775" s="87"/>
      <c r="T775" s="87"/>
      <c r="U775" s="9"/>
      <c r="V775" s="87"/>
      <c r="W775" s="87"/>
      <c r="X775" s="87"/>
      <c r="Y775" s="87"/>
      <c r="Z775" s="87"/>
      <c r="AA775" s="87"/>
      <c r="AB775" s="87"/>
      <c r="AC775" s="243"/>
      <c r="AD775" s="234"/>
      <c r="AE775" s="234"/>
      <c r="AF775" s="234"/>
      <c r="AG775" s="9"/>
      <c r="AH775" s="87"/>
      <c r="AI775" s="87"/>
      <c r="AJ775" s="87"/>
      <c r="AK775" s="244"/>
      <c r="AL775" s="245"/>
      <c r="AM775" s="244"/>
      <c r="AN775" s="244"/>
      <c r="AO775" s="87"/>
      <c r="AP775" s="87"/>
      <c r="AQ775" s="87"/>
      <c r="AR775" s="87"/>
      <c r="AS775" s="87"/>
      <c r="AT775" s="87"/>
      <c r="AU775" s="87"/>
      <c r="AV775" s="87"/>
      <c r="AW775" s="87"/>
      <c r="AX775" s="87"/>
    </row>
    <row r="776">
      <c r="A776" s="9"/>
      <c r="B776" s="87"/>
      <c r="C776" s="87"/>
      <c r="D776" s="87"/>
      <c r="E776" s="9"/>
      <c r="F776" s="87"/>
      <c r="G776" s="87"/>
      <c r="H776" s="87"/>
      <c r="I776" s="9"/>
      <c r="J776" s="87"/>
      <c r="K776" s="87"/>
      <c r="L776" s="87"/>
      <c r="M776" s="9"/>
      <c r="N776" s="87"/>
      <c r="O776" s="87"/>
      <c r="P776" s="87"/>
      <c r="Q776" s="9"/>
      <c r="R776" s="87"/>
      <c r="S776" s="87"/>
      <c r="T776" s="87"/>
      <c r="U776" s="9"/>
      <c r="V776" s="87"/>
      <c r="W776" s="87"/>
      <c r="X776" s="87"/>
      <c r="Y776" s="87"/>
      <c r="Z776" s="87"/>
      <c r="AA776" s="87"/>
      <c r="AB776" s="87"/>
      <c r="AC776" s="243"/>
      <c r="AD776" s="234"/>
      <c r="AE776" s="234"/>
      <c r="AF776" s="234"/>
      <c r="AG776" s="9"/>
      <c r="AH776" s="87"/>
      <c r="AI776" s="87"/>
      <c r="AJ776" s="87"/>
      <c r="AK776" s="244"/>
      <c r="AL776" s="245"/>
      <c r="AM776" s="244"/>
      <c r="AN776" s="244"/>
      <c r="AO776" s="87"/>
      <c r="AP776" s="87"/>
      <c r="AQ776" s="87"/>
      <c r="AR776" s="87"/>
      <c r="AS776" s="87"/>
      <c r="AT776" s="87"/>
      <c r="AU776" s="87"/>
      <c r="AV776" s="87"/>
      <c r="AW776" s="87"/>
      <c r="AX776" s="87"/>
    </row>
    <row r="777">
      <c r="A777" s="9"/>
      <c r="B777" s="87"/>
      <c r="C777" s="87"/>
      <c r="D777" s="87"/>
      <c r="E777" s="9"/>
      <c r="F777" s="87"/>
      <c r="G777" s="87"/>
      <c r="H777" s="87"/>
      <c r="I777" s="9"/>
      <c r="J777" s="87"/>
      <c r="K777" s="87"/>
      <c r="L777" s="87"/>
      <c r="M777" s="9"/>
      <c r="N777" s="87"/>
      <c r="O777" s="87"/>
      <c r="P777" s="87"/>
      <c r="Q777" s="9"/>
      <c r="R777" s="87"/>
      <c r="S777" s="87"/>
      <c r="T777" s="87"/>
      <c r="U777" s="9"/>
      <c r="V777" s="87"/>
      <c r="W777" s="87"/>
      <c r="X777" s="87"/>
      <c r="Y777" s="87"/>
      <c r="Z777" s="87"/>
      <c r="AA777" s="87"/>
      <c r="AB777" s="87"/>
      <c r="AC777" s="243"/>
      <c r="AD777" s="234"/>
      <c r="AE777" s="234"/>
      <c r="AF777" s="234"/>
      <c r="AG777" s="9"/>
      <c r="AH777" s="87"/>
      <c r="AI777" s="87"/>
      <c r="AJ777" s="87"/>
      <c r="AK777" s="244"/>
      <c r="AL777" s="245"/>
      <c r="AM777" s="244"/>
      <c r="AN777" s="244"/>
      <c r="AO777" s="87"/>
      <c r="AP777" s="87"/>
      <c r="AQ777" s="87"/>
      <c r="AR777" s="87"/>
      <c r="AS777" s="87"/>
      <c r="AT777" s="87"/>
      <c r="AU777" s="87"/>
      <c r="AV777" s="87"/>
      <c r="AW777" s="87"/>
      <c r="AX777" s="87"/>
    </row>
    <row r="778">
      <c r="A778" s="9"/>
      <c r="B778" s="87"/>
      <c r="C778" s="87"/>
      <c r="D778" s="87"/>
      <c r="E778" s="9"/>
      <c r="F778" s="87"/>
      <c r="G778" s="87"/>
      <c r="H778" s="87"/>
      <c r="I778" s="9"/>
      <c r="J778" s="87"/>
      <c r="K778" s="87"/>
      <c r="L778" s="87"/>
      <c r="M778" s="9"/>
      <c r="N778" s="87"/>
      <c r="O778" s="87"/>
      <c r="P778" s="87"/>
      <c r="Q778" s="9"/>
      <c r="R778" s="87"/>
      <c r="S778" s="87"/>
      <c r="T778" s="87"/>
      <c r="U778" s="9"/>
      <c r="V778" s="87"/>
      <c r="W778" s="87"/>
      <c r="X778" s="87"/>
      <c r="Y778" s="87"/>
      <c r="Z778" s="87"/>
      <c r="AA778" s="87"/>
      <c r="AB778" s="87"/>
      <c r="AC778" s="243"/>
      <c r="AD778" s="234"/>
      <c r="AE778" s="234"/>
      <c r="AF778" s="234"/>
      <c r="AG778" s="9"/>
      <c r="AH778" s="87"/>
      <c r="AI778" s="87"/>
      <c r="AJ778" s="87"/>
      <c r="AK778" s="244"/>
      <c r="AL778" s="245"/>
      <c r="AM778" s="244"/>
      <c r="AN778" s="244"/>
      <c r="AO778" s="87"/>
      <c r="AP778" s="87"/>
      <c r="AQ778" s="87"/>
      <c r="AR778" s="87"/>
      <c r="AS778" s="87"/>
      <c r="AT778" s="87"/>
      <c r="AU778" s="87"/>
      <c r="AV778" s="87"/>
      <c r="AW778" s="87"/>
      <c r="AX778" s="87"/>
    </row>
    <row r="779">
      <c r="A779" s="9"/>
      <c r="B779" s="87"/>
      <c r="C779" s="87"/>
      <c r="D779" s="87"/>
      <c r="E779" s="9"/>
      <c r="F779" s="87"/>
      <c r="G779" s="87"/>
      <c r="H779" s="87"/>
      <c r="I779" s="9"/>
      <c r="J779" s="87"/>
      <c r="K779" s="87"/>
      <c r="L779" s="87"/>
      <c r="M779" s="9"/>
      <c r="N779" s="87"/>
      <c r="O779" s="87"/>
      <c r="P779" s="87"/>
      <c r="Q779" s="9"/>
      <c r="R779" s="87"/>
      <c r="S779" s="87"/>
      <c r="T779" s="87"/>
      <c r="U779" s="9"/>
      <c r="V779" s="87"/>
      <c r="W779" s="87"/>
      <c r="X779" s="87"/>
      <c r="Y779" s="87"/>
      <c r="Z779" s="87"/>
      <c r="AA779" s="87"/>
      <c r="AB779" s="87"/>
      <c r="AC779" s="243"/>
      <c r="AD779" s="234"/>
      <c r="AE779" s="234"/>
      <c r="AF779" s="234"/>
      <c r="AG779" s="9"/>
      <c r="AH779" s="87"/>
      <c r="AI779" s="87"/>
      <c r="AJ779" s="87"/>
      <c r="AK779" s="244"/>
      <c r="AL779" s="245"/>
      <c r="AM779" s="244"/>
      <c r="AN779" s="244"/>
      <c r="AO779" s="87"/>
      <c r="AP779" s="87"/>
      <c r="AQ779" s="87"/>
      <c r="AR779" s="87"/>
      <c r="AS779" s="87"/>
      <c r="AT779" s="87"/>
      <c r="AU779" s="87"/>
      <c r="AV779" s="87"/>
      <c r="AW779" s="87"/>
      <c r="AX779" s="87"/>
    </row>
    <row r="780">
      <c r="A780" s="9"/>
      <c r="B780" s="87"/>
      <c r="C780" s="87"/>
      <c r="D780" s="87"/>
      <c r="E780" s="9"/>
      <c r="F780" s="87"/>
      <c r="G780" s="87"/>
      <c r="H780" s="87"/>
      <c r="I780" s="9"/>
      <c r="J780" s="87"/>
      <c r="K780" s="87"/>
      <c r="L780" s="87"/>
      <c r="M780" s="9"/>
      <c r="N780" s="87"/>
      <c r="O780" s="87"/>
      <c r="P780" s="87"/>
      <c r="Q780" s="9"/>
      <c r="R780" s="87"/>
      <c r="S780" s="87"/>
      <c r="T780" s="87"/>
      <c r="U780" s="9"/>
      <c r="V780" s="87"/>
      <c r="W780" s="87"/>
      <c r="X780" s="87"/>
      <c r="Y780" s="87"/>
      <c r="Z780" s="87"/>
      <c r="AA780" s="87"/>
      <c r="AB780" s="87"/>
      <c r="AC780" s="243"/>
      <c r="AD780" s="234"/>
      <c r="AE780" s="234"/>
      <c r="AF780" s="234"/>
      <c r="AG780" s="9"/>
      <c r="AH780" s="87"/>
      <c r="AI780" s="87"/>
      <c r="AJ780" s="87"/>
      <c r="AK780" s="244"/>
      <c r="AL780" s="245"/>
      <c r="AM780" s="244"/>
      <c r="AN780" s="244"/>
      <c r="AO780" s="87"/>
      <c r="AP780" s="87"/>
      <c r="AQ780" s="87"/>
      <c r="AR780" s="87"/>
      <c r="AS780" s="87"/>
      <c r="AT780" s="87"/>
      <c r="AU780" s="87"/>
      <c r="AV780" s="87"/>
      <c r="AW780" s="87"/>
      <c r="AX780" s="87"/>
    </row>
    <row r="781">
      <c r="A781" s="9"/>
      <c r="B781" s="87"/>
      <c r="C781" s="87"/>
      <c r="D781" s="87"/>
      <c r="E781" s="9"/>
      <c r="F781" s="87"/>
      <c r="G781" s="87"/>
      <c r="H781" s="87"/>
      <c r="I781" s="9"/>
      <c r="J781" s="87"/>
      <c r="K781" s="87"/>
      <c r="L781" s="87"/>
      <c r="M781" s="9"/>
      <c r="N781" s="87"/>
      <c r="O781" s="87"/>
      <c r="P781" s="87"/>
      <c r="Q781" s="9"/>
      <c r="R781" s="87"/>
      <c r="S781" s="87"/>
      <c r="T781" s="87"/>
      <c r="U781" s="9"/>
      <c r="V781" s="87"/>
      <c r="W781" s="87"/>
      <c r="X781" s="87"/>
      <c r="Y781" s="87"/>
      <c r="Z781" s="87"/>
      <c r="AA781" s="87"/>
      <c r="AB781" s="87"/>
      <c r="AC781" s="243"/>
      <c r="AD781" s="234"/>
      <c r="AE781" s="234"/>
      <c r="AF781" s="234"/>
      <c r="AG781" s="9"/>
      <c r="AH781" s="87"/>
      <c r="AI781" s="87"/>
      <c r="AJ781" s="87"/>
      <c r="AK781" s="244"/>
      <c r="AL781" s="245"/>
      <c r="AM781" s="244"/>
      <c r="AN781" s="244"/>
      <c r="AO781" s="87"/>
      <c r="AP781" s="87"/>
      <c r="AQ781" s="87"/>
      <c r="AR781" s="87"/>
      <c r="AS781" s="87"/>
      <c r="AT781" s="87"/>
      <c r="AU781" s="87"/>
      <c r="AV781" s="87"/>
      <c r="AW781" s="87"/>
      <c r="AX781" s="87"/>
    </row>
    <row r="782">
      <c r="A782" s="9"/>
      <c r="B782" s="87"/>
      <c r="C782" s="87"/>
      <c r="D782" s="87"/>
      <c r="E782" s="9"/>
      <c r="F782" s="87"/>
      <c r="G782" s="87"/>
      <c r="H782" s="87"/>
      <c r="I782" s="9"/>
      <c r="J782" s="87"/>
      <c r="K782" s="87"/>
      <c r="L782" s="87"/>
      <c r="M782" s="9"/>
      <c r="N782" s="87"/>
      <c r="O782" s="87"/>
      <c r="P782" s="87"/>
      <c r="Q782" s="9"/>
      <c r="R782" s="87"/>
      <c r="S782" s="87"/>
      <c r="T782" s="87"/>
      <c r="U782" s="9"/>
      <c r="V782" s="87"/>
      <c r="W782" s="87"/>
      <c r="X782" s="87"/>
      <c r="Y782" s="87"/>
      <c r="Z782" s="87"/>
      <c r="AA782" s="87"/>
      <c r="AB782" s="87"/>
      <c r="AC782" s="243"/>
      <c r="AD782" s="234"/>
      <c r="AE782" s="234"/>
      <c r="AF782" s="234"/>
      <c r="AG782" s="9"/>
      <c r="AH782" s="87"/>
      <c r="AI782" s="87"/>
      <c r="AJ782" s="87"/>
      <c r="AK782" s="244"/>
      <c r="AL782" s="245"/>
      <c r="AM782" s="244"/>
      <c r="AN782" s="244"/>
      <c r="AO782" s="87"/>
      <c r="AP782" s="87"/>
      <c r="AQ782" s="87"/>
      <c r="AR782" s="87"/>
      <c r="AS782" s="87"/>
      <c r="AT782" s="87"/>
      <c r="AU782" s="87"/>
      <c r="AV782" s="87"/>
      <c r="AW782" s="87"/>
      <c r="AX782" s="87"/>
    </row>
    <row r="783">
      <c r="A783" s="9"/>
      <c r="B783" s="87"/>
      <c r="C783" s="87"/>
      <c r="D783" s="87"/>
      <c r="E783" s="9"/>
      <c r="F783" s="87"/>
      <c r="G783" s="87"/>
      <c r="H783" s="87"/>
      <c r="I783" s="9"/>
      <c r="J783" s="87"/>
      <c r="K783" s="87"/>
      <c r="L783" s="87"/>
      <c r="M783" s="9"/>
      <c r="N783" s="87"/>
      <c r="O783" s="87"/>
      <c r="P783" s="87"/>
      <c r="Q783" s="9"/>
      <c r="R783" s="87"/>
      <c r="S783" s="87"/>
      <c r="T783" s="87"/>
      <c r="U783" s="9"/>
      <c r="V783" s="87"/>
      <c r="W783" s="87"/>
      <c r="X783" s="87"/>
      <c r="Y783" s="87"/>
      <c r="Z783" s="87"/>
      <c r="AA783" s="87"/>
      <c r="AB783" s="87"/>
      <c r="AC783" s="243"/>
      <c r="AD783" s="234"/>
      <c r="AE783" s="234"/>
      <c r="AF783" s="234"/>
      <c r="AG783" s="9"/>
      <c r="AH783" s="87"/>
      <c r="AI783" s="87"/>
      <c r="AJ783" s="87"/>
      <c r="AK783" s="244"/>
      <c r="AL783" s="245"/>
      <c r="AM783" s="244"/>
      <c r="AN783" s="244"/>
      <c r="AO783" s="87"/>
      <c r="AP783" s="87"/>
      <c r="AQ783" s="87"/>
      <c r="AR783" s="87"/>
      <c r="AS783" s="87"/>
      <c r="AT783" s="87"/>
      <c r="AU783" s="87"/>
      <c r="AV783" s="87"/>
      <c r="AW783" s="87"/>
      <c r="AX783" s="87"/>
    </row>
    <row r="784">
      <c r="A784" s="9"/>
      <c r="B784" s="87"/>
      <c r="C784" s="87"/>
      <c r="D784" s="87"/>
      <c r="E784" s="9"/>
      <c r="F784" s="87"/>
      <c r="G784" s="87"/>
      <c r="H784" s="87"/>
      <c r="I784" s="9"/>
      <c r="J784" s="87"/>
      <c r="K784" s="87"/>
      <c r="L784" s="87"/>
      <c r="M784" s="9"/>
      <c r="N784" s="87"/>
      <c r="O784" s="87"/>
      <c r="P784" s="87"/>
      <c r="Q784" s="9"/>
      <c r="R784" s="87"/>
      <c r="S784" s="87"/>
      <c r="T784" s="87"/>
      <c r="U784" s="9"/>
      <c r="V784" s="87"/>
      <c r="W784" s="87"/>
      <c r="X784" s="87"/>
      <c r="Y784" s="87"/>
      <c r="Z784" s="87"/>
      <c r="AA784" s="87"/>
      <c r="AB784" s="87"/>
      <c r="AC784" s="243"/>
      <c r="AD784" s="234"/>
      <c r="AE784" s="234"/>
      <c r="AF784" s="234"/>
      <c r="AG784" s="9"/>
      <c r="AH784" s="87"/>
      <c r="AI784" s="87"/>
      <c r="AJ784" s="87"/>
      <c r="AK784" s="244"/>
      <c r="AL784" s="245"/>
      <c r="AM784" s="244"/>
      <c r="AN784" s="244"/>
      <c r="AO784" s="87"/>
      <c r="AP784" s="87"/>
      <c r="AQ784" s="87"/>
      <c r="AR784" s="87"/>
      <c r="AS784" s="87"/>
      <c r="AT784" s="87"/>
      <c r="AU784" s="87"/>
      <c r="AV784" s="87"/>
      <c r="AW784" s="87"/>
      <c r="AX784" s="87"/>
    </row>
    <row r="785">
      <c r="A785" s="9"/>
      <c r="B785" s="87"/>
      <c r="C785" s="87"/>
      <c r="D785" s="87"/>
      <c r="E785" s="9"/>
      <c r="F785" s="87"/>
      <c r="G785" s="87"/>
      <c r="H785" s="87"/>
      <c r="I785" s="9"/>
      <c r="J785" s="87"/>
      <c r="K785" s="87"/>
      <c r="L785" s="87"/>
      <c r="M785" s="9"/>
      <c r="N785" s="87"/>
      <c r="O785" s="87"/>
      <c r="P785" s="87"/>
      <c r="Q785" s="9"/>
      <c r="R785" s="87"/>
      <c r="S785" s="87"/>
      <c r="T785" s="87"/>
      <c r="U785" s="9"/>
      <c r="V785" s="87"/>
      <c r="W785" s="87"/>
      <c r="X785" s="87"/>
      <c r="Y785" s="87"/>
      <c r="Z785" s="87"/>
      <c r="AA785" s="87"/>
      <c r="AB785" s="87"/>
      <c r="AC785" s="243"/>
      <c r="AD785" s="234"/>
      <c r="AE785" s="234"/>
      <c r="AF785" s="234"/>
      <c r="AG785" s="9"/>
      <c r="AH785" s="87"/>
      <c r="AI785" s="87"/>
      <c r="AJ785" s="87"/>
      <c r="AK785" s="244"/>
      <c r="AL785" s="245"/>
      <c r="AM785" s="244"/>
      <c r="AN785" s="244"/>
      <c r="AO785" s="87"/>
      <c r="AP785" s="87"/>
      <c r="AQ785" s="87"/>
      <c r="AR785" s="87"/>
      <c r="AS785" s="87"/>
      <c r="AT785" s="87"/>
      <c r="AU785" s="87"/>
      <c r="AV785" s="87"/>
      <c r="AW785" s="87"/>
      <c r="AX785" s="87"/>
    </row>
    <row r="786">
      <c r="A786" s="9"/>
      <c r="B786" s="87"/>
      <c r="C786" s="87"/>
      <c r="D786" s="87"/>
      <c r="E786" s="9"/>
      <c r="F786" s="87"/>
      <c r="G786" s="87"/>
      <c r="H786" s="87"/>
      <c r="I786" s="9"/>
      <c r="J786" s="87"/>
      <c r="K786" s="87"/>
      <c r="L786" s="87"/>
      <c r="M786" s="9"/>
      <c r="N786" s="87"/>
      <c r="O786" s="87"/>
      <c r="P786" s="87"/>
      <c r="Q786" s="9"/>
      <c r="R786" s="87"/>
      <c r="S786" s="87"/>
      <c r="T786" s="87"/>
      <c r="U786" s="9"/>
      <c r="V786" s="87"/>
      <c r="W786" s="87"/>
      <c r="X786" s="87"/>
      <c r="Y786" s="87"/>
      <c r="Z786" s="87"/>
      <c r="AA786" s="87"/>
      <c r="AB786" s="87"/>
      <c r="AC786" s="243"/>
      <c r="AD786" s="234"/>
      <c r="AE786" s="234"/>
      <c r="AF786" s="234"/>
      <c r="AG786" s="9"/>
      <c r="AH786" s="87"/>
      <c r="AI786" s="87"/>
      <c r="AJ786" s="87"/>
      <c r="AK786" s="244"/>
      <c r="AL786" s="245"/>
      <c r="AM786" s="244"/>
      <c r="AN786" s="244"/>
      <c r="AO786" s="87"/>
      <c r="AP786" s="87"/>
      <c r="AQ786" s="87"/>
      <c r="AR786" s="87"/>
      <c r="AS786" s="87"/>
      <c r="AT786" s="87"/>
      <c r="AU786" s="87"/>
      <c r="AV786" s="87"/>
      <c r="AW786" s="87"/>
      <c r="AX786" s="87"/>
    </row>
    <row r="787">
      <c r="A787" s="9"/>
      <c r="B787" s="87"/>
      <c r="C787" s="87"/>
      <c r="D787" s="87"/>
      <c r="E787" s="9"/>
      <c r="F787" s="87"/>
      <c r="G787" s="87"/>
      <c r="H787" s="87"/>
      <c r="I787" s="9"/>
      <c r="J787" s="87"/>
      <c r="K787" s="87"/>
      <c r="L787" s="87"/>
      <c r="M787" s="9"/>
      <c r="N787" s="87"/>
      <c r="O787" s="87"/>
      <c r="P787" s="87"/>
      <c r="Q787" s="9"/>
      <c r="R787" s="87"/>
      <c r="S787" s="87"/>
      <c r="T787" s="87"/>
      <c r="U787" s="9"/>
      <c r="V787" s="87"/>
      <c r="W787" s="87"/>
      <c r="X787" s="87"/>
      <c r="Y787" s="87"/>
      <c r="Z787" s="87"/>
      <c r="AA787" s="87"/>
      <c r="AB787" s="87"/>
      <c r="AC787" s="243"/>
      <c r="AD787" s="234"/>
      <c r="AE787" s="234"/>
      <c r="AF787" s="234"/>
      <c r="AG787" s="9"/>
      <c r="AH787" s="87"/>
      <c r="AI787" s="87"/>
      <c r="AJ787" s="87"/>
      <c r="AK787" s="244"/>
      <c r="AL787" s="245"/>
      <c r="AM787" s="244"/>
      <c r="AN787" s="244"/>
      <c r="AO787" s="87"/>
      <c r="AP787" s="87"/>
      <c r="AQ787" s="87"/>
      <c r="AR787" s="87"/>
      <c r="AS787" s="87"/>
      <c r="AT787" s="87"/>
      <c r="AU787" s="87"/>
      <c r="AV787" s="87"/>
      <c r="AW787" s="87"/>
      <c r="AX787" s="87"/>
    </row>
    <row r="788">
      <c r="A788" s="9"/>
      <c r="B788" s="87"/>
      <c r="C788" s="87"/>
      <c r="D788" s="87"/>
      <c r="E788" s="9"/>
      <c r="F788" s="87"/>
      <c r="G788" s="87"/>
      <c r="H788" s="87"/>
      <c r="I788" s="9"/>
      <c r="J788" s="87"/>
      <c r="K788" s="87"/>
      <c r="L788" s="87"/>
      <c r="M788" s="9"/>
      <c r="N788" s="87"/>
      <c r="O788" s="87"/>
      <c r="P788" s="87"/>
      <c r="Q788" s="9"/>
      <c r="R788" s="87"/>
      <c r="S788" s="87"/>
      <c r="T788" s="87"/>
      <c r="U788" s="9"/>
      <c r="V788" s="87"/>
      <c r="W788" s="87"/>
      <c r="X788" s="87"/>
      <c r="Y788" s="87"/>
      <c r="Z788" s="87"/>
      <c r="AA788" s="87"/>
      <c r="AB788" s="87"/>
      <c r="AC788" s="243"/>
      <c r="AD788" s="234"/>
      <c r="AE788" s="234"/>
      <c r="AF788" s="234"/>
      <c r="AG788" s="9"/>
      <c r="AH788" s="87"/>
      <c r="AI788" s="87"/>
      <c r="AJ788" s="87"/>
      <c r="AK788" s="244"/>
      <c r="AL788" s="245"/>
      <c r="AM788" s="244"/>
      <c r="AN788" s="244"/>
      <c r="AO788" s="87"/>
      <c r="AP788" s="87"/>
      <c r="AQ788" s="87"/>
      <c r="AR788" s="87"/>
      <c r="AS788" s="87"/>
      <c r="AT788" s="87"/>
      <c r="AU788" s="87"/>
      <c r="AV788" s="87"/>
      <c r="AW788" s="87"/>
      <c r="AX788" s="87"/>
    </row>
    <row r="789">
      <c r="A789" s="9"/>
      <c r="B789" s="87"/>
      <c r="C789" s="87"/>
      <c r="D789" s="87"/>
      <c r="E789" s="9"/>
      <c r="F789" s="87"/>
      <c r="G789" s="87"/>
      <c r="H789" s="87"/>
      <c r="I789" s="9"/>
      <c r="J789" s="87"/>
      <c r="K789" s="87"/>
      <c r="L789" s="87"/>
      <c r="M789" s="9"/>
      <c r="N789" s="87"/>
      <c r="O789" s="87"/>
      <c r="P789" s="87"/>
      <c r="Q789" s="9"/>
      <c r="R789" s="87"/>
      <c r="S789" s="87"/>
      <c r="T789" s="87"/>
      <c r="U789" s="9"/>
      <c r="V789" s="87"/>
      <c r="W789" s="87"/>
      <c r="X789" s="87"/>
      <c r="Y789" s="87"/>
      <c r="Z789" s="87"/>
      <c r="AA789" s="87"/>
      <c r="AB789" s="87"/>
      <c r="AC789" s="243"/>
      <c r="AD789" s="234"/>
      <c r="AE789" s="234"/>
      <c r="AF789" s="234"/>
      <c r="AG789" s="9"/>
      <c r="AH789" s="87"/>
      <c r="AI789" s="87"/>
      <c r="AJ789" s="87"/>
      <c r="AK789" s="244"/>
      <c r="AL789" s="245"/>
      <c r="AM789" s="244"/>
      <c r="AN789" s="244"/>
      <c r="AO789" s="87"/>
      <c r="AP789" s="87"/>
      <c r="AQ789" s="87"/>
      <c r="AR789" s="87"/>
      <c r="AS789" s="87"/>
      <c r="AT789" s="87"/>
      <c r="AU789" s="87"/>
      <c r="AV789" s="87"/>
      <c r="AW789" s="87"/>
      <c r="AX789" s="87"/>
    </row>
    <row r="790">
      <c r="A790" s="9"/>
      <c r="B790" s="87"/>
      <c r="C790" s="87"/>
      <c r="D790" s="87"/>
      <c r="E790" s="9"/>
      <c r="F790" s="87"/>
      <c r="G790" s="87"/>
      <c r="H790" s="87"/>
      <c r="I790" s="9"/>
      <c r="J790" s="87"/>
      <c r="K790" s="87"/>
      <c r="L790" s="87"/>
      <c r="M790" s="9"/>
      <c r="N790" s="87"/>
      <c r="O790" s="87"/>
      <c r="P790" s="87"/>
      <c r="Q790" s="9"/>
      <c r="R790" s="87"/>
      <c r="S790" s="87"/>
      <c r="T790" s="87"/>
      <c r="U790" s="9"/>
      <c r="V790" s="87"/>
      <c r="W790" s="87"/>
      <c r="X790" s="87"/>
      <c r="Y790" s="87"/>
      <c r="Z790" s="87"/>
      <c r="AA790" s="87"/>
      <c r="AB790" s="87"/>
      <c r="AC790" s="243"/>
      <c r="AD790" s="234"/>
      <c r="AE790" s="234"/>
      <c r="AF790" s="234"/>
      <c r="AG790" s="9"/>
      <c r="AH790" s="87"/>
      <c r="AI790" s="87"/>
      <c r="AJ790" s="87"/>
      <c r="AK790" s="244"/>
      <c r="AL790" s="245"/>
      <c r="AM790" s="244"/>
      <c r="AN790" s="244"/>
      <c r="AO790" s="87"/>
      <c r="AP790" s="87"/>
      <c r="AQ790" s="87"/>
      <c r="AR790" s="87"/>
      <c r="AS790" s="87"/>
      <c r="AT790" s="87"/>
      <c r="AU790" s="87"/>
      <c r="AV790" s="87"/>
      <c r="AW790" s="87"/>
      <c r="AX790" s="87"/>
    </row>
    <row r="791">
      <c r="A791" s="9"/>
      <c r="B791" s="87"/>
      <c r="C791" s="87"/>
      <c r="D791" s="87"/>
      <c r="E791" s="9"/>
      <c r="F791" s="87"/>
      <c r="G791" s="87"/>
      <c r="H791" s="87"/>
      <c r="I791" s="9"/>
      <c r="J791" s="87"/>
      <c r="K791" s="87"/>
      <c r="L791" s="87"/>
      <c r="M791" s="9"/>
      <c r="N791" s="87"/>
      <c r="O791" s="87"/>
      <c r="P791" s="87"/>
      <c r="Q791" s="9"/>
      <c r="R791" s="87"/>
      <c r="S791" s="87"/>
      <c r="T791" s="87"/>
      <c r="U791" s="9"/>
      <c r="V791" s="87"/>
      <c r="W791" s="87"/>
      <c r="X791" s="87"/>
      <c r="Y791" s="87"/>
      <c r="Z791" s="87"/>
      <c r="AA791" s="87"/>
      <c r="AB791" s="87"/>
      <c r="AC791" s="243"/>
      <c r="AD791" s="234"/>
      <c r="AE791" s="234"/>
      <c r="AF791" s="234"/>
      <c r="AG791" s="9"/>
      <c r="AH791" s="87"/>
      <c r="AI791" s="87"/>
      <c r="AJ791" s="87"/>
      <c r="AK791" s="244"/>
      <c r="AL791" s="245"/>
      <c r="AM791" s="244"/>
      <c r="AN791" s="244"/>
      <c r="AO791" s="87"/>
      <c r="AP791" s="87"/>
      <c r="AQ791" s="87"/>
      <c r="AR791" s="87"/>
      <c r="AS791" s="87"/>
      <c r="AT791" s="87"/>
      <c r="AU791" s="87"/>
      <c r="AV791" s="87"/>
      <c r="AW791" s="87"/>
      <c r="AX791" s="87"/>
    </row>
    <row r="792">
      <c r="A792" s="9"/>
      <c r="B792" s="87"/>
      <c r="C792" s="87"/>
      <c r="D792" s="87"/>
      <c r="E792" s="9"/>
      <c r="F792" s="87"/>
      <c r="G792" s="87"/>
      <c r="H792" s="87"/>
      <c r="I792" s="9"/>
      <c r="J792" s="87"/>
      <c r="K792" s="87"/>
      <c r="L792" s="87"/>
      <c r="M792" s="9"/>
      <c r="N792" s="87"/>
      <c r="O792" s="87"/>
      <c r="P792" s="87"/>
      <c r="Q792" s="9"/>
      <c r="R792" s="87"/>
      <c r="S792" s="87"/>
      <c r="T792" s="87"/>
      <c r="U792" s="9"/>
      <c r="V792" s="87"/>
      <c r="W792" s="87"/>
      <c r="X792" s="87"/>
      <c r="Y792" s="87"/>
      <c r="Z792" s="87"/>
      <c r="AA792" s="87"/>
      <c r="AB792" s="87"/>
      <c r="AC792" s="243"/>
      <c r="AD792" s="234"/>
      <c r="AE792" s="234"/>
      <c r="AF792" s="234"/>
      <c r="AG792" s="9"/>
      <c r="AH792" s="87"/>
      <c r="AI792" s="87"/>
      <c r="AJ792" s="87"/>
      <c r="AK792" s="244"/>
      <c r="AL792" s="245"/>
      <c r="AM792" s="244"/>
      <c r="AN792" s="244"/>
      <c r="AO792" s="87"/>
      <c r="AP792" s="87"/>
      <c r="AQ792" s="87"/>
      <c r="AR792" s="87"/>
      <c r="AS792" s="87"/>
      <c r="AT792" s="87"/>
      <c r="AU792" s="87"/>
      <c r="AV792" s="87"/>
      <c r="AW792" s="87"/>
      <c r="AX792" s="87"/>
    </row>
    <row r="793">
      <c r="A793" s="9"/>
      <c r="B793" s="87"/>
      <c r="C793" s="87"/>
      <c r="D793" s="87"/>
      <c r="E793" s="9"/>
      <c r="F793" s="87"/>
      <c r="G793" s="87"/>
      <c r="H793" s="87"/>
      <c r="I793" s="9"/>
      <c r="J793" s="87"/>
      <c r="K793" s="87"/>
      <c r="L793" s="87"/>
      <c r="M793" s="9"/>
      <c r="N793" s="87"/>
      <c r="O793" s="87"/>
      <c r="P793" s="87"/>
      <c r="Q793" s="9"/>
      <c r="R793" s="87"/>
      <c r="S793" s="87"/>
      <c r="T793" s="87"/>
      <c r="U793" s="9"/>
      <c r="V793" s="87"/>
      <c r="W793" s="87"/>
      <c r="X793" s="87"/>
      <c r="Y793" s="87"/>
      <c r="Z793" s="87"/>
      <c r="AA793" s="87"/>
      <c r="AB793" s="87"/>
      <c r="AC793" s="243"/>
      <c r="AD793" s="234"/>
      <c r="AE793" s="234"/>
      <c r="AF793" s="234"/>
      <c r="AG793" s="9"/>
      <c r="AH793" s="87"/>
      <c r="AI793" s="87"/>
      <c r="AJ793" s="87"/>
      <c r="AK793" s="244"/>
      <c r="AL793" s="245"/>
      <c r="AM793" s="244"/>
      <c r="AN793" s="244"/>
      <c r="AO793" s="87"/>
      <c r="AP793" s="87"/>
      <c r="AQ793" s="87"/>
      <c r="AR793" s="87"/>
      <c r="AS793" s="87"/>
      <c r="AT793" s="87"/>
      <c r="AU793" s="87"/>
      <c r="AV793" s="87"/>
      <c r="AW793" s="87"/>
      <c r="AX793" s="87"/>
    </row>
    <row r="794">
      <c r="A794" s="9"/>
      <c r="B794" s="87"/>
      <c r="C794" s="87"/>
      <c r="D794" s="87"/>
      <c r="E794" s="9"/>
      <c r="F794" s="87"/>
      <c r="G794" s="87"/>
      <c r="H794" s="87"/>
      <c r="I794" s="9"/>
      <c r="J794" s="87"/>
      <c r="K794" s="87"/>
      <c r="L794" s="87"/>
      <c r="M794" s="9"/>
      <c r="N794" s="87"/>
      <c r="O794" s="87"/>
      <c r="P794" s="87"/>
      <c r="Q794" s="9"/>
      <c r="R794" s="87"/>
      <c r="S794" s="87"/>
      <c r="T794" s="87"/>
      <c r="U794" s="9"/>
      <c r="V794" s="87"/>
      <c r="W794" s="87"/>
      <c r="X794" s="87"/>
      <c r="Y794" s="87"/>
      <c r="Z794" s="87"/>
      <c r="AA794" s="87"/>
      <c r="AB794" s="87"/>
      <c r="AC794" s="243"/>
      <c r="AD794" s="234"/>
      <c r="AE794" s="234"/>
      <c r="AF794" s="234"/>
      <c r="AG794" s="9"/>
      <c r="AH794" s="87"/>
      <c r="AI794" s="87"/>
      <c r="AJ794" s="87"/>
      <c r="AK794" s="244"/>
      <c r="AL794" s="245"/>
      <c r="AM794" s="244"/>
      <c r="AN794" s="244"/>
      <c r="AO794" s="87"/>
      <c r="AP794" s="87"/>
      <c r="AQ794" s="87"/>
      <c r="AR794" s="87"/>
      <c r="AS794" s="87"/>
      <c r="AT794" s="87"/>
      <c r="AU794" s="87"/>
      <c r="AV794" s="87"/>
      <c r="AW794" s="87"/>
      <c r="AX794" s="87"/>
    </row>
    <row r="795">
      <c r="A795" s="9"/>
      <c r="B795" s="87"/>
      <c r="C795" s="87"/>
      <c r="D795" s="87"/>
      <c r="E795" s="9"/>
      <c r="F795" s="87"/>
      <c r="G795" s="87"/>
      <c r="H795" s="87"/>
      <c r="I795" s="9"/>
      <c r="J795" s="87"/>
      <c r="K795" s="87"/>
      <c r="L795" s="87"/>
      <c r="M795" s="9"/>
      <c r="N795" s="87"/>
      <c r="O795" s="87"/>
      <c r="P795" s="87"/>
      <c r="Q795" s="9"/>
      <c r="R795" s="87"/>
      <c r="S795" s="87"/>
      <c r="T795" s="87"/>
      <c r="U795" s="9"/>
      <c r="V795" s="87"/>
      <c r="W795" s="87"/>
      <c r="X795" s="87"/>
      <c r="Y795" s="87"/>
      <c r="Z795" s="87"/>
      <c r="AA795" s="87"/>
      <c r="AB795" s="87"/>
      <c r="AC795" s="243"/>
      <c r="AD795" s="234"/>
      <c r="AE795" s="234"/>
      <c r="AF795" s="234"/>
      <c r="AG795" s="9"/>
      <c r="AH795" s="87"/>
      <c r="AI795" s="87"/>
      <c r="AJ795" s="87"/>
      <c r="AK795" s="244"/>
      <c r="AL795" s="245"/>
      <c r="AM795" s="244"/>
      <c r="AN795" s="244"/>
      <c r="AO795" s="87"/>
      <c r="AP795" s="87"/>
      <c r="AQ795" s="87"/>
      <c r="AR795" s="87"/>
      <c r="AS795" s="87"/>
      <c r="AT795" s="87"/>
      <c r="AU795" s="87"/>
      <c r="AV795" s="87"/>
      <c r="AW795" s="87"/>
      <c r="AX795" s="87"/>
    </row>
    <row r="796">
      <c r="A796" s="9"/>
      <c r="B796" s="87"/>
      <c r="C796" s="87"/>
      <c r="D796" s="87"/>
      <c r="E796" s="9"/>
      <c r="F796" s="87"/>
      <c r="G796" s="87"/>
      <c r="H796" s="87"/>
      <c r="I796" s="9"/>
      <c r="J796" s="87"/>
      <c r="K796" s="87"/>
      <c r="L796" s="87"/>
      <c r="M796" s="9"/>
      <c r="N796" s="87"/>
      <c r="O796" s="87"/>
      <c r="P796" s="87"/>
      <c r="Q796" s="9"/>
      <c r="R796" s="87"/>
      <c r="S796" s="87"/>
      <c r="T796" s="87"/>
      <c r="U796" s="9"/>
      <c r="V796" s="87"/>
      <c r="W796" s="87"/>
      <c r="X796" s="87"/>
      <c r="Y796" s="87"/>
      <c r="Z796" s="87"/>
      <c r="AA796" s="87"/>
      <c r="AB796" s="87"/>
      <c r="AC796" s="243"/>
      <c r="AD796" s="234"/>
      <c r="AE796" s="234"/>
      <c r="AF796" s="234"/>
      <c r="AG796" s="9"/>
      <c r="AH796" s="87"/>
      <c r="AI796" s="87"/>
      <c r="AJ796" s="87"/>
      <c r="AK796" s="244"/>
      <c r="AL796" s="245"/>
      <c r="AM796" s="244"/>
      <c r="AN796" s="244"/>
      <c r="AO796" s="87"/>
      <c r="AP796" s="87"/>
      <c r="AQ796" s="87"/>
      <c r="AR796" s="87"/>
      <c r="AS796" s="87"/>
      <c r="AT796" s="87"/>
      <c r="AU796" s="87"/>
      <c r="AV796" s="87"/>
      <c r="AW796" s="87"/>
      <c r="AX796" s="87"/>
    </row>
    <row r="797">
      <c r="A797" s="9"/>
      <c r="B797" s="87"/>
      <c r="C797" s="87"/>
      <c r="D797" s="87"/>
      <c r="E797" s="9"/>
      <c r="F797" s="87"/>
      <c r="G797" s="87"/>
      <c r="H797" s="87"/>
      <c r="I797" s="9"/>
      <c r="J797" s="87"/>
      <c r="K797" s="87"/>
      <c r="L797" s="87"/>
      <c r="M797" s="9"/>
      <c r="N797" s="87"/>
      <c r="O797" s="87"/>
      <c r="P797" s="87"/>
      <c r="Q797" s="9"/>
      <c r="R797" s="87"/>
      <c r="S797" s="87"/>
      <c r="T797" s="87"/>
      <c r="U797" s="9"/>
      <c r="V797" s="87"/>
      <c r="W797" s="87"/>
      <c r="X797" s="87"/>
      <c r="Y797" s="87"/>
      <c r="Z797" s="87"/>
      <c r="AA797" s="87"/>
      <c r="AB797" s="87"/>
      <c r="AC797" s="243"/>
      <c r="AD797" s="234"/>
      <c r="AE797" s="234"/>
      <c r="AF797" s="234"/>
      <c r="AG797" s="9"/>
      <c r="AH797" s="87"/>
      <c r="AI797" s="87"/>
      <c r="AJ797" s="87"/>
      <c r="AK797" s="244"/>
      <c r="AL797" s="245"/>
      <c r="AM797" s="244"/>
      <c r="AN797" s="244"/>
      <c r="AO797" s="87"/>
      <c r="AP797" s="87"/>
      <c r="AQ797" s="87"/>
      <c r="AR797" s="87"/>
      <c r="AS797" s="87"/>
      <c r="AT797" s="87"/>
      <c r="AU797" s="87"/>
      <c r="AV797" s="87"/>
      <c r="AW797" s="87"/>
      <c r="AX797" s="87"/>
    </row>
    <row r="798">
      <c r="A798" s="9"/>
      <c r="B798" s="87"/>
      <c r="C798" s="87"/>
      <c r="D798" s="87"/>
      <c r="E798" s="9"/>
      <c r="F798" s="87"/>
      <c r="G798" s="87"/>
      <c r="H798" s="87"/>
      <c r="I798" s="9"/>
      <c r="J798" s="87"/>
      <c r="K798" s="87"/>
      <c r="L798" s="87"/>
      <c r="M798" s="9"/>
      <c r="N798" s="87"/>
      <c r="O798" s="87"/>
      <c r="P798" s="87"/>
      <c r="Q798" s="9"/>
      <c r="R798" s="87"/>
      <c r="S798" s="87"/>
      <c r="T798" s="87"/>
      <c r="U798" s="9"/>
      <c r="V798" s="87"/>
      <c r="W798" s="87"/>
      <c r="X798" s="87"/>
      <c r="Y798" s="87"/>
      <c r="Z798" s="87"/>
      <c r="AA798" s="87"/>
      <c r="AB798" s="87"/>
      <c r="AC798" s="243"/>
      <c r="AD798" s="234"/>
      <c r="AE798" s="234"/>
      <c r="AF798" s="234"/>
      <c r="AG798" s="9"/>
      <c r="AH798" s="87"/>
      <c r="AI798" s="87"/>
      <c r="AJ798" s="87"/>
      <c r="AK798" s="244"/>
      <c r="AL798" s="245"/>
      <c r="AM798" s="244"/>
      <c r="AN798" s="244"/>
      <c r="AO798" s="87"/>
      <c r="AP798" s="87"/>
      <c r="AQ798" s="87"/>
      <c r="AR798" s="87"/>
      <c r="AS798" s="87"/>
      <c r="AT798" s="87"/>
      <c r="AU798" s="87"/>
      <c r="AV798" s="87"/>
      <c r="AW798" s="87"/>
      <c r="AX798" s="87"/>
    </row>
    <row r="799">
      <c r="A799" s="9"/>
      <c r="B799" s="87"/>
      <c r="C799" s="87"/>
      <c r="D799" s="87"/>
      <c r="E799" s="9"/>
      <c r="F799" s="87"/>
      <c r="G799" s="87"/>
      <c r="H799" s="87"/>
      <c r="I799" s="9"/>
      <c r="J799" s="87"/>
      <c r="K799" s="87"/>
      <c r="L799" s="87"/>
      <c r="M799" s="9"/>
      <c r="N799" s="87"/>
      <c r="O799" s="87"/>
      <c r="P799" s="87"/>
      <c r="Q799" s="9"/>
      <c r="R799" s="87"/>
      <c r="S799" s="87"/>
      <c r="T799" s="87"/>
      <c r="U799" s="9"/>
      <c r="V799" s="87"/>
      <c r="W799" s="87"/>
      <c r="X799" s="87"/>
      <c r="Y799" s="87"/>
      <c r="Z799" s="87"/>
      <c r="AA799" s="87"/>
      <c r="AB799" s="87"/>
      <c r="AC799" s="243"/>
      <c r="AD799" s="234"/>
      <c r="AE799" s="234"/>
      <c r="AF799" s="234"/>
      <c r="AG799" s="9"/>
      <c r="AH799" s="87"/>
      <c r="AI799" s="87"/>
      <c r="AJ799" s="87"/>
      <c r="AK799" s="244"/>
      <c r="AL799" s="245"/>
      <c r="AM799" s="244"/>
      <c r="AN799" s="244"/>
      <c r="AO799" s="87"/>
      <c r="AP799" s="87"/>
      <c r="AQ799" s="87"/>
      <c r="AR799" s="87"/>
      <c r="AS799" s="87"/>
      <c r="AT799" s="87"/>
      <c r="AU799" s="87"/>
      <c r="AV799" s="87"/>
      <c r="AW799" s="87"/>
      <c r="AX799" s="87"/>
    </row>
    <row r="800">
      <c r="A800" s="9"/>
      <c r="B800" s="87"/>
      <c r="C800" s="87"/>
      <c r="D800" s="87"/>
      <c r="E800" s="9"/>
      <c r="F800" s="87"/>
      <c r="G800" s="87"/>
      <c r="H800" s="87"/>
      <c r="I800" s="9"/>
      <c r="J800" s="87"/>
      <c r="K800" s="87"/>
      <c r="L800" s="87"/>
      <c r="M800" s="9"/>
      <c r="N800" s="87"/>
      <c r="O800" s="87"/>
      <c r="P800" s="87"/>
      <c r="Q800" s="9"/>
      <c r="R800" s="87"/>
      <c r="S800" s="87"/>
      <c r="T800" s="87"/>
      <c r="U800" s="9"/>
      <c r="V800" s="87"/>
      <c r="W800" s="87"/>
      <c r="X800" s="87"/>
      <c r="Y800" s="87"/>
      <c r="Z800" s="87"/>
      <c r="AA800" s="87"/>
      <c r="AB800" s="87"/>
      <c r="AC800" s="243"/>
      <c r="AD800" s="234"/>
      <c r="AE800" s="234"/>
      <c r="AF800" s="234"/>
      <c r="AG800" s="9"/>
      <c r="AH800" s="87"/>
      <c r="AI800" s="87"/>
      <c r="AJ800" s="87"/>
      <c r="AK800" s="244"/>
      <c r="AL800" s="245"/>
      <c r="AM800" s="244"/>
      <c r="AN800" s="244"/>
      <c r="AO800" s="87"/>
      <c r="AP800" s="87"/>
      <c r="AQ800" s="87"/>
      <c r="AR800" s="87"/>
      <c r="AS800" s="87"/>
      <c r="AT800" s="87"/>
      <c r="AU800" s="87"/>
      <c r="AV800" s="87"/>
      <c r="AW800" s="87"/>
      <c r="AX800" s="87"/>
    </row>
    <row r="801">
      <c r="A801" s="9"/>
      <c r="B801" s="87"/>
      <c r="C801" s="87"/>
      <c r="D801" s="87"/>
      <c r="E801" s="9"/>
      <c r="F801" s="87"/>
      <c r="G801" s="87"/>
      <c r="H801" s="87"/>
      <c r="I801" s="9"/>
      <c r="J801" s="87"/>
      <c r="K801" s="87"/>
      <c r="L801" s="87"/>
      <c r="M801" s="9"/>
      <c r="N801" s="87"/>
      <c r="O801" s="87"/>
      <c r="P801" s="87"/>
      <c r="Q801" s="9"/>
      <c r="R801" s="87"/>
      <c r="S801" s="87"/>
      <c r="T801" s="87"/>
      <c r="U801" s="9"/>
      <c r="V801" s="87"/>
      <c r="W801" s="87"/>
      <c r="X801" s="87"/>
      <c r="Y801" s="87"/>
      <c r="Z801" s="87"/>
      <c r="AA801" s="87"/>
      <c r="AB801" s="87"/>
      <c r="AC801" s="243"/>
      <c r="AD801" s="234"/>
      <c r="AE801" s="234"/>
      <c r="AF801" s="234"/>
      <c r="AG801" s="9"/>
      <c r="AH801" s="87"/>
      <c r="AI801" s="87"/>
      <c r="AJ801" s="87"/>
      <c r="AK801" s="244"/>
      <c r="AL801" s="245"/>
      <c r="AM801" s="244"/>
      <c r="AN801" s="244"/>
      <c r="AO801" s="87"/>
      <c r="AP801" s="87"/>
      <c r="AQ801" s="87"/>
      <c r="AR801" s="87"/>
      <c r="AS801" s="87"/>
      <c r="AT801" s="87"/>
      <c r="AU801" s="87"/>
      <c r="AV801" s="87"/>
      <c r="AW801" s="87"/>
      <c r="AX801" s="87"/>
    </row>
    <row r="802">
      <c r="A802" s="9"/>
      <c r="B802" s="87"/>
      <c r="C802" s="87"/>
      <c r="D802" s="87"/>
      <c r="E802" s="9"/>
      <c r="F802" s="87"/>
      <c r="G802" s="87"/>
      <c r="H802" s="87"/>
      <c r="I802" s="9"/>
      <c r="J802" s="87"/>
      <c r="K802" s="87"/>
      <c r="L802" s="87"/>
      <c r="M802" s="9"/>
      <c r="N802" s="87"/>
      <c r="O802" s="87"/>
      <c r="P802" s="87"/>
      <c r="Q802" s="9"/>
      <c r="R802" s="87"/>
      <c r="S802" s="87"/>
      <c r="T802" s="87"/>
      <c r="U802" s="9"/>
      <c r="V802" s="87"/>
      <c r="W802" s="87"/>
      <c r="X802" s="87"/>
      <c r="Y802" s="87"/>
      <c r="Z802" s="87"/>
      <c r="AA802" s="87"/>
      <c r="AB802" s="87"/>
      <c r="AC802" s="243"/>
      <c r="AD802" s="234"/>
      <c r="AE802" s="234"/>
      <c r="AF802" s="234"/>
      <c r="AG802" s="9"/>
      <c r="AH802" s="87"/>
      <c r="AI802" s="87"/>
      <c r="AJ802" s="87"/>
      <c r="AK802" s="244"/>
      <c r="AL802" s="245"/>
      <c r="AM802" s="244"/>
      <c r="AN802" s="244"/>
      <c r="AO802" s="87"/>
      <c r="AP802" s="87"/>
      <c r="AQ802" s="87"/>
      <c r="AR802" s="87"/>
      <c r="AS802" s="87"/>
      <c r="AT802" s="87"/>
      <c r="AU802" s="87"/>
      <c r="AV802" s="87"/>
      <c r="AW802" s="87"/>
      <c r="AX802" s="87"/>
    </row>
    <row r="803">
      <c r="A803" s="9"/>
      <c r="B803" s="87"/>
      <c r="C803" s="87"/>
      <c r="D803" s="87"/>
      <c r="E803" s="9"/>
      <c r="F803" s="87"/>
      <c r="G803" s="87"/>
      <c r="H803" s="87"/>
      <c r="I803" s="9"/>
      <c r="J803" s="87"/>
      <c r="K803" s="87"/>
      <c r="L803" s="87"/>
      <c r="M803" s="9"/>
      <c r="N803" s="87"/>
      <c r="O803" s="87"/>
      <c r="P803" s="87"/>
      <c r="Q803" s="9"/>
      <c r="R803" s="87"/>
      <c r="S803" s="87"/>
      <c r="T803" s="87"/>
      <c r="U803" s="9"/>
      <c r="V803" s="87"/>
      <c r="W803" s="87"/>
      <c r="X803" s="87"/>
      <c r="Y803" s="87"/>
      <c r="Z803" s="87"/>
      <c r="AA803" s="87"/>
      <c r="AB803" s="87"/>
      <c r="AC803" s="243"/>
      <c r="AD803" s="234"/>
      <c r="AE803" s="234"/>
      <c r="AF803" s="234"/>
      <c r="AG803" s="9"/>
      <c r="AH803" s="87"/>
      <c r="AI803" s="87"/>
      <c r="AJ803" s="87"/>
      <c r="AK803" s="244"/>
      <c r="AL803" s="245"/>
      <c r="AM803" s="244"/>
      <c r="AN803" s="244"/>
      <c r="AO803" s="87"/>
      <c r="AP803" s="87"/>
      <c r="AQ803" s="87"/>
      <c r="AR803" s="87"/>
      <c r="AS803" s="87"/>
      <c r="AT803" s="87"/>
      <c r="AU803" s="87"/>
      <c r="AV803" s="87"/>
      <c r="AW803" s="87"/>
      <c r="AX803" s="87"/>
    </row>
    <row r="804">
      <c r="A804" s="9"/>
      <c r="B804" s="87"/>
      <c r="C804" s="87"/>
      <c r="D804" s="87"/>
      <c r="E804" s="9"/>
      <c r="F804" s="87"/>
      <c r="G804" s="87"/>
      <c r="H804" s="87"/>
      <c r="I804" s="9"/>
      <c r="J804" s="87"/>
      <c r="K804" s="87"/>
      <c r="L804" s="87"/>
      <c r="M804" s="9"/>
      <c r="N804" s="87"/>
      <c r="O804" s="87"/>
      <c r="P804" s="87"/>
      <c r="Q804" s="9"/>
      <c r="R804" s="87"/>
      <c r="S804" s="87"/>
      <c r="T804" s="87"/>
      <c r="U804" s="9"/>
      <c r="V804" s="87"/>
      <c r="W804" s="87"/>
      <c r="X804" s="87"/>
      <c r="Y804" s="87"/>
      <c r="Z804" s="87"/>
      <c r="AA804" s="87"/>
      <c r="AB804" s="87"/>
      <c r="AC804" s="243"/>
      <c r="AD804" s="234"/>
      <c r="AE804" s="234"/>
      <c r="AF804" s="234"/>
      <c r="AG804" s="9"/>
      <c r="AH804" s="87"/>
      <c r="AI804" s="87"/>
      <c r="AJ804" s="87"/>
      <c r="AK804" s="244"/>
      <c r="AL804" s="245"/>
      <c r="AM804" s="244"/>
      <c r="AN804" s="244"/>
      <c r="AO804" s="87"/>
      <c r="AP804" s="87"/>
      <c r="AQ804" s="87"/>
      <c r="AR804" s="87"/>
      <c r="AS804" s="87"/>
      <c r="AT804" s="87"/>
      <c r="AU804" s="87"/>
      <c r="AV804" s="87"/>
      <c r="AW804" s="87"/>
      <c r="AX804" s="87"/>
    </row>
    <row r="805">
      <c r="A805" s="9"/>
      <c r="B805" s="87"/>
      <c r="C805" s="87"/>
      <c r="D805" s="87"/>
      <c r="E805" s="9"/>
      <c r="F805" s="87"/>
      <c r="G805" s="87"/>
      <c r="H805" s="87"/>
      <c r="I805" s="9"/>
      <c r="J805" s="87"/>
      <c r="K805" s="87"/>
      <c r="L805" s="87"/>
      <c r="M805" s="9"/>
      <c r="N805" s="87"/>
      <c r="O805" s="87"/>
      <c r="P805" s="87"/>
      <c r="Q805" s="9"/>
      <c r="R805" s="87"/>
      <c r="S805" s="87"/>
      <c r="T805" s="87"/>
      <c r="U805" s="9"/>
      <c r="V805" s="87"/>
      <c r="W805" s="87"/>
      <c r="X805" s="87"/>
      <c r="Y805" s="87"/>
      <c r="Z805" s="87"/>
      <c r="AA805" s="87"/>
      <c r="AB805" s="87"/>
      <c r="AC805" s="243"/>
      <c r="AD805" s="234"/>
      <c r="AE805" s="234"/>
      <c r="AF805" s="234"/>
      <c r="AG805" s="9"/>
      <c r="AH805" s="87"/>
      <c r="AI805" s="87"/>
      <c r="AJ805" s="87"/>
      <c r="AK805" s="244"/>
      <c r="AL805" s="245"/>
      <c r="AM805" s="244"/>
      <c r="AN805" s="244"/>
      <c r="AO805" s="87"/>
      <c r="AP805" s="87"/>
      <c r="AQ805" s="87"/>
      <c r="AR805" s="87"/>
      <c r="AS805" s="87"/>
      <c r="AT805" s="87"/>
      <c r="AU805" s="87"/>
      <c r="AV805" s="87"/>
      <c r="AW805" s="87"/>
      <c r="AX805" s="87"/>
    </row>
    <row r="806">
      <c r="A806" s="9"/>
      <c r="B806" s="87"/>
      <c r="C806" s="87"/>
      <c r="D806" s="87"/>
      <c r="E806" s="9"/>
      <c r="F806" s="87"/>
      <c r="G806" s="87"/>
      <c r="H806" s="87"/>
      <c r="I806" s="9"/>
      <c r="J806" s="87"/>
      <c r="K806" s="87"/>
      <c r="L806" s="87"/>
      <c r="M806" s="9"/>
      <c r="N806" s="87"/>
      <c r="O806" s="87"/>
      <c r="P806" s="87"/>
      <c r="Q806" s="9"/>
      <c r="R806" s="87"/>
      <c r="S806" s="87"/>
      <c r="T806" s="87"/>
      <c r="U806" s="9"/>
      <c r="V806" s="87"/>
      <c r="W806" s="87"/>
      <c r="X806" s="87"/>
      <c r="Y806" s="87"/>
      <c r="Z806" s="87"/>
      <c r="AA806" s="87"/>
      <c r="AB806" s="87"/>
      <c r="AC806" s="243"/>
      <c r="AD806" s="234"/>
      <c r="AE806" s="234"/>
      <c r="AF806" s="234"/>
      <c r="AG806" s="9"/>
      <c r="AH806" s="87"/>
      <c r="AI806" s="87"/>
      <c r="AJ806" s="87"/>
      <c r="AK806" s="244"/>
      <c r="AL806" s="245"/>
      <c r="AM806" s="244"/>
      <c r="AN806" s="244"/>
      <c r="AO806" s="87"/>
      <c r="AP806" s="87"/>
      <c r="AQ806" s="87"/>
      <c r="AR806" s="87"/>
      <c r="AS806" s="87"/>
      <c r="AT806" s="87"/>
      <c r="AU806" s="87"/>
      <c r="AV806" s="87"/>
      <c r="AW806" s="87"/>
      <c r="AX806" s="87"/>
    </row>
    <row r="807">
      <c r="A807" s="9"/>
      <c r="B807" s="87"/>
      <c r="C807" s="87"/>
      <c r="D807" s="87"/>
      <c r="E807" s="9"/>
      <c r="F807" s="87"/>
      <c r="G807" s="87"/>
      <c r="H807" s="87"/>
      <c r="I807" s="9"/>
      <c r="J807" s="87"/>
      <c r="K807" s="87"/>
      <c r="L807" s="87"/>
      <c r="M807" s="9"/>
      <c r="N807" s="87"/>
      <c r="O807" s="87"/>
      <c r="P807" s="87"/>
      <c r="Q807" s="9"/>
      <c r="R807" s="87"/>
      <c r="S807" s="87"/>
      <c r="T807" s="87"/>
      <c r="U807" s="9"/>
      <c r="V807" s="87"/>
      <c r="W807" s="87"/>
      <c r="X807" s="87"/>
      <c r="Y807" s="87"/>
      <c r="Z807" s="87"/>
      <c r="AA807" s="87"/>
      <c r="AB807" s="87"/>
      <c r="AC807" s="243"/>
      <c r="AD807" s="234"/>
      <c r="AE807" s="234"/>
      <c r="AF807" s="234"/>
      <c r="AG807" s="9"/>
      <c r="AH807" s="87"/>
      <c r="AI807" s="87"/>
      <c r="AJ807" s="87"/>
      <c r="AK807" s="244"/>
      <c r="AL807" s="245"/>
      <c r="AM807" s="244"/>
      <c r="AN807" s="244"/>
      <c r="AO807" s="87"/>
      <c r="AP807" s="87"/>
      <c r="AQ807" s="87"/>
      <c r="AR807" s="87"/>
      <c r="AS807" s="87"/>
      <c r="AT807" s="87"/>
      <c r="AU807" s="87"/>
      <c r="AV807" s="87"/>
      <c r="AW807" s="87"/>
      <c r="AX807" s="87"/>
    </row>
    <row r="808">
      <c r="A808" s="9"/>
      <c r="B808" s="87"/>
      <c r="C808" s="87"/>
      <c r="D808" s="87"/>
      <c r="E808" s="9"/>
      <c r="F808" s="87"/>
      <c r="G808" s="87"/>
      <c r="H808" s="87"/>
      <c r="I808" s="9"/>
      <c r="J808" s="87"/>
      <c r="K808" s="87"/>
      <c r="L808" s="87"/>
      <c r="M808" s="9"/>
      <c r="N808" s="87"/>
      <c r="O808" s="87"/>
      <c r="P808" s="87"/>
      <c r="Q808" s="9"/>
      <c r="R808" s="87"/>
      <c r="S808" s="87"/>
      <c r="T808" s="87"/>
      <c r="U808" s="9"/>
      <c r="V808" s="87"/>
      <c r="W808" s="87"/>
      <c r="X808" s="87"/>
      <c r="Y808" s="87"/>
      <c r="Z808" s="87"/>
      <c r="AA808" s="87"/>
      <c r="AB808" s="87"/>
      <c r="AC808" s="243"/>
      <c r="AD808" s="234"/>
      <c r="AE808" s="234"/>
      <c r="AF808" s="234"/>
      <c r="AG808" s="9"/>
      <c r="AH808" s="87"/>
      <c r="AI808" s="87"/>
      <c r="AJ808" s="87"/>
      <c r="AK808" s="244"/>
      <c r="AL808" s="245"/>
      <c r="AM808" s="244"/>
      <c r="AN808" s="244"/>
      <c r="AO808" s="87"/>
      <c r="AP808" s="87"/>
      <c r="AQ808" s="87"/>
      <c r="AR808" s="87"/>
      <c r="AS808" s="87"/>
      <c r="AT808" s="87"/>
      <c r="AU808" s="87"/>
      <c r="AV808" s="87"/>
      <c r="AW808" s="87"/>
      <c r="AX808" s="87"/>
    </row>
    <row r="809">
      <c r="A809" s="9"/>
      <c r="B809" s="87"/>
      <c r="C809" s="87"/>
      <c r="D809" s="87"/>
      <c r="E809" s="9"/>
      <c r="F809" s="87"/>
      <c r="G809" s="87"/>
      <c r="H809" s="87"/>
      <c r="I809" s="9"/>
      <c r="J809" s="87"/>
      <c r="K809" s="87"/>
      <c r="L809" s="87"/>
      <c r="M809" s="9"/>
      <c r="N809" s="87"/>
      <c r="O809" s="87"/>
      <c r="P809" s="87"/>
      <c r="Q809" s="9"/>
      <c r="R809" s="87"/>
      <c r="S809" s="87"/>
      <c r="T809" s="87"/>
      <c r="U809" s="9"/>
      <c r="V809" s="87"/>
      <c r="W809" s="87"/>
      <c r="X809" s="87"/>
      <c r="Y809" s="87"/>
      <c r="Z809" s="87"/>
      <c r="AA809" s="87"/>
      <c r="AB809" s="87"/>
      <c r="AC809" s="243"/>
      <c r="AD809" s="234"/>
      <c r="AE809" s="234"/>
      <c r="AF809" s="234"/>
      <c r="AG809" s="9"/>
      <c r="AH809" s="87"/>
      <c r="AI809" s="87"/>
      <c r="AJ809" s="87"/>
      <c r="AK809" s="244"/>
      <c r="AL809" s="245"/>
      <c r="AM809" s="244"/>
      <c r="AN809" s="244"/>
      <c r="AO809" s="87"/>
      <c r="AP809" s="87"/>
      <c r="AQ809" s="87"/>
      <c r="AR809" s="87"/>
      <c r="AS809" s="87"/>
      <c r="AT809" s="87"/>
      <c r="AU809" s="87"/>
      <c r="AV809" s="87"/>
      <c r="AW809" s="87"/>
      <c r="AX809" s="87"/>
    </row>
    <row r="810">
      <c r="A810" s="9"/>
      <c r="B810" s="87"/>
      <c r="C810" s="87"/>
      <c r="D810" s="87"/>
      <c r="E810" s="9"/>
      <c r="F810" s="87"/>
      <c r="G810" s="87"/>
      <c r="H810" s="87"/>
      <c r="I810" s="9"/>
      <c r="J810" s="87"/>
      <c r="K810" s="87"/>
      <c r="L810" s="87"/>
      <c r="M810" s="9"/>
      <c r="N810" s="87"/>
      <c r="O810" s="87"/>
      <c r="P810" s="87"/>
      <c r="Q810" s="9"/>
      <c r="R810" s="87"/>
      <c r="S810" s="87"/>
      <c r="T810" s="87"/>
      <c r="U810" s="9"/>
      <c r="V810" s="87"/>
      <c r="W810" s="87"/>
      <c r="X810" s="87"/>
      <c r="Y810" s="87"/>
      <c r="Z810" s="87"/>
      <c r="AA810" s="87"/>
      <c r="AB810" s="87"/>
      <c r="AC810" s="243"/>
      <c r="AD810" s="234"/>
      <c r="AE810" s="234"/>
      <c r="AF810" s="234"/>
      <c r="AG810" s="9"/>
      <c r="AH810" s="87"/>
      <c r="AI810" s="87"/>
      <c r="AJ810" s="87"/>
      <c r="AK810" s="244"/>
      <c r="AL810" s="245"/>
      <c r="AM810" s="244"/>
      <c r="AN810" s="244"/>
      <c r="AO810" s="87"/>
      <c r="AP810" s="87"/>
      <c r="AQ810" s="87"/>
      <c r="AR810" s="87"/>
      <c r="AS810" s="87"/>
      <c r="AT810" s="87"/>
      <c r="AU810" s="87"/>
      <c r="AV810" s="87"/>
      <c r="AW810" s="87"/>
      <c r="AX810" s="87"/>
    </row>
    <row r="811">
      <c r="A811" s="9"/>
      <c r="B811" s="87"/>
      <c r="C811" s="87"/>
      <c r="D811" s="87"/>
      <c r="E811" s="9"/>
      <c r="F811" s="87"/>
      <c r="G811" s="87"/>
      <c r="H811" s="87"/>
      <c r="I811" s="9"/>
      <c r="J811" s="87"/>
      <c r="K811" s="87"/>
      <c r="L811" s="87"/>
      <c r="M811" s="9"/>
      <c r="N811" s="87"/>
      <c r="O811" s="87"/>
      <c r="P811" s="87"/>
      <c r="Q811" s="9"/>
      <c r="R811" s="87"/>
      <c r="S811" s="87"/>
      <c r="T811" s="87"/>
      <c r="U811" s="9"/>
      <c r="V811" s="87"/>
      <c r="W811" s="87"/>
      <c r="X811" s="87"/>
      <c r="Y811" s="87"/>
      <c r="Z811" s="87"/>
      <c r="AA811" s="87"/>
      <c r="AB811" s="87"/>
      <c r="AC811" s="243"/>
      <c r="AD811" s="234"/>
      <c r="AE811" s="234"/>
      <c r="AF811" s="234"/>
      <c r="AG811" s="9"/>
      <c r="AH811" s="87"/>
      <c r="AI811" s="87"/>
      <c r="AJ811" s="87"/>
      <c r="AK811" s="244"/>
      <c r="AL811" s="245"/>
      <c r="AM811" s="244"/>
      <c r="AN811" s="244"/>
      <c r="AO811" s="87"/>
      <c r="AP811" s="87"/>
      <c r="AQ811" s="87"/>
      <c r="AR811" s="87"/>
      <c r="AS811" s="87"/>
      <c r="AT811" s="87"/>
      <c r="AU811" s="87"/>
      <c r="AV811" s="87"/>
      <c r="AW811" s="87"/>
      <c r="AX811" s="87"/>
    </row>
    <row r="812">
      <c r="A812" s="9"/>
      <c r="B812" s="87"/>
      <c r="C812" s="87"/>
      <c r="D812" s="87"/>
      <c r="E812" s="9"/>
      <c r="F812" s="87"/>
      <c r="G812" s="87"/>
      <c r="H812" s="87"/>
      <c r="I812" s="9"/>
      <c r="J812" s="87"/>
      <c r="K812" s="87"/>
      <c r="L812" s="87"/>
      <c r="M812" s="9"/>
      <c r="N812" s="87"/>
      <c r="O812" s="87"/>
      <c r="P812" s="87"/>
      <c r="Q812" s="9"/>
      <c r="R812" s="87"/>
      <c r="S812" s="87"/>
      <c r="T812" s="87"/>
      <c r="U812" s="9"/>
      <c r="V812" s="87"/>
      <c r="W812" s="87"/>
      <c r="X812" s="87"/>
      <c r="Y812" s="87"/>
      <c r="Z812" s="87"/>
      <c r="AA812" s="87"/>
      <c r="AB812" s="87"/>
      <c r="AC812" s="243"/>
      <c r="AD812" s="234"/>
      <c r="AE812" s="234"/>
      <c r="AF812" s="234"/>
      <c r="AG812" s="9"/>
      <c r="AH812" s="87"/>
      <c r="AI812" s="87"/>
      <c r="AJ812" s="87"/>
      <c r="AK812" s="244"/>
      <c r="AL812" s="245"/>
      <c r="AM812" s="244"/>
      <c r="AN812" s="244"/>
      <c r="AO812" s="87"/>
      <c r="AP812" s="87"/>
      <c r="AQ812" s="87"/>
      <c r="AR812" s="87"/>
      <c r="AS812" s="87"/>
      <c r="AT812" s="87"/>
      <c r="AU812" s="87"/>
      <c r="AV812" s="87"/>
      <c r="AW812" s="87"/>
      <c r="AX812" s="87"/>
    </row>
    <row r="813">
      <c r="A813" s="9"/>
      <c r="B813" s="87"/>
      <c r="C813" s="87"/>
      <c r="D813" s="87"/>
      <c r="E813" s="9"/>
      <c r="F813" s="87"/>
      <c r="G813" s="87"/>
      <c r="H813" s="87"/>
      <c r="I813" s="9"/>
      <c r="J813" s="87"/>
      <c r="K813" s="87"/>
      <c r="L813" s="87"/>
      <c r="M813" s="9"/>
      <c r="N813" s="87"/>
      <c r="O813" s="87"/>
      <c r="P813" s="87"/>
      <c r="Q813" s="9"/>
      <c r="R813" s="87"/>
      <c r="S813" s="87"/>
      <c r="T813" s="87"/>
      <c r="U813" s="9"/>
      <c r="V813" s="87"/>
      <c r="W813" s="87"/>
      <c r="X813" s="87"/>
      <c r="Y813" s="87"/>
      <c r="Z813" s="87"/>
      <c r="AA813" s="87"/>
      <c r="AB813" s="87"/>
      <c r="AC813" s="243"/>
      <c r="AD813" s="234"/>
      <c r="AE813" s="234"/>
      <c r="AF813" s="234"/>
      <c r="AG813" s="9"/>
      <c r="AH813" s="87"/>
      <c r="AI813" s="87"/>
      <c r="AJ813" s="87"/>
      <c r="AK813" s="244"/>
      <c r="AL813" s="245"/>
      <c r="AM813" s="244"/>
      <c r="AN813" s="244"/>
      <c r="AO813" s="87"/>
      <c r="AP813" s="87"/>
      <c r="AQ813" s="87"/>
      <c r="AR813" s="87"/>
      <c r="AS813" s="87"/>
      <c r="AT813" s="87"/>
      <c r="AU813" s="87"/>
      <c r="AV813" s="87"/>
      <c r="AW813" s="87"/>
      <c r="AX813" s="87"/>
    </row>
    <row r="814">
      <c r="A814" s="9"/>
      <c r="B814" s="87"/>
      <c r="C814" s="87"/>
      <c r="D814" s="87"/>
      <c r="E814" s="9"/>
      <c r="F814" s="87"/>
      <c r="G814" s="87"/>
      <c r="H814" s="87"/>
      <c r="I814" s="9"/>
      <c r="J814" s="87"/>
      <c r="K814" s="87"/>
      <c r="L814" s="87"/>
      <c r="M814" s="9"/>
      <c r="N814" s="87"/>
      <c r="O814" s="87"/>
      <c r="P814" s="87"/>
      <c r="Q814" s="9"/>
      <c r="R814" s="87"/>
      <c r="S814" s="87"/>
      <c r="T814" s="87"/>
      <c r="U814" s="9"/>
      <c r="V814" s="87"/>
      <c r="W814" s="87"/>
      <c r="X814" s="87"/>
      <c r="Y814" s="87"/>
      <c r="Z814" s="87"/>
      <c r="AA814" s="87"/>
      <c r="AB814" s="87"/>
      <c r="AC814" s="243"/>
      <c r="AD814" s="234"/>
      <c r="AE814" s="234"/>
      <c r="AF814" s="234"/>
      <c r="AG814" s="9"/>
      <c r="AH814" s="87"/>
      <c r="AI814" s="87"/>
      <c r="AJ814" s="87"/>
      <c r="AK814" s="244"/>
      <c r="AL814" s="245"/>
      <c r="AM814" s="244"/>
      <c r="AN814" s="244"/>
      <c r="AO814" s="87"/>
      <c r="AP814" s="87"/>
      <c r="AQ814" s="87"/>
      <c r="AR814" s="87"/>
      <c r="AS814" s="87"/>
      <c r="AT814" s="87"/>
      <c r="AU814" s="87"/>
      <c r="AV814" s="87"/>
      <c r="AW814" s="87"/>
      <c r="AX814" s="87"/>
    </row>
    <row r="815">
      <c r="A815" s="9"/>
      <c r="B815" s="87"/>
      <c r="C815" s="87"/>
      <c r="D815" s="87"/>
      <c r="E815" s="9"/>
      <c r="F815" s="87"/>
      <c r="G815" s="87"/>
      <c r="H815" s="87"/>
      <c r="I815" s="9"/>
      <c r="J815" s="87"/>
      <c r="K815" s="87"/>
      <c r="L815" s="87"/>
      <c r="M815" s="9"/>
      <c r="N815" s="87"/>
      <c r="O815" s="87"/>
      <c r="P815" s="87"/>
      <c r="Q815" s="9"/>
      <c r="R815" s="87"/>
      <c r="S815" s="87"/>
      <c r="T815" s="87"/>
      <c r="U815" s="9"/>
      <c r="V815" s="87"/>
      <c r="W815" s="87"/>
      <c r="X815" s="87"/>
      <c r="Y815" s="87"/>
      <c r="Z815" s="87"/>
      <c r="AA815" s="87"/>
      <c r="AB815" s="87"/>
      <c r="AC815" s="243"/>
      <c r="AD815" s="234"/>
      <c r="AE815" s="234"/>
      <c r="AF815" s="234"/>
      <c r="AG815" s="9"/>
      <c r="AH815" s="87"/>
      <c r="AI815" s="87"/>
      <c r="AJ815" s="87"/>
      <c r="AK815" s="244"/>
      <c r="AL815" s="245"/>
      <c r="AM815" s="244"/>
      <c r="AN815" s="244"/>
      <c r="AO815" s="87"/>
      <c r="AP815" s="87"/>
      <c r="AQ815" s="87"/>
      <c r="AR815" s="87"/>
      <c r="AS815" s="87"/>
      <c r="AT815" s="87"/>
      <c r="AU815" s="87"/>
      <c r="AV815" s="87"/>
      <c r="AW815" s="87"/>
      <c r="AX815" s="87"/>
    </row>
    <row r="816">
      <c r="A816" s="9"/>
      <c r="B816" s="87"/>
      <c r="C816" s="87"/>
      <c r="D816" s="87"/>
      <c r="E816" s="9"/>
      <c r="F816" s="87"/>
      <c r="G816" s="87"/>
      <c r="H816" s="87"/>
      <c r="I816" s="9"/>
      <c r="J816" s="87"/>
      <c r="K816" s="87"/>
      <c r="L816" s="87"/>
      <c r="M816" s="9"/>
      <c r="N816" s="87"/>
      <c r="O816" s="87"/>
      <c r="P816" s="87"/>
      <c r="Q816" s="9"/>
      <c r="R816" s="87"/>
      <c r="S816" s="87"/>
      <c r="T816" s="87"/>
      <c r="U816" s="9"/>
      <c r="V816" s="87"/>
      <c r="W816" s="87"/>
      <c r="X816" s="87"/>
      <c r="Y816" s="87"/>
      <c r="Z816" s="87"/>
      <c r="AA816" s="87"/>
      <c r="AB816" s="87"/>
      <c r="AC816" s="243"/>
      <c r="AD816" s="234"/>
      <c r="AE816" s="234"/>
      <c r="AF816" s="234"/>
      <c r="AG816" s="9"/>
      <c r="AH816" s="87"/>
      <c r="AI816" s="87"/>
      <c r="AJ816" s="87"/>
      <c r="AK816" s="244"/>
      <c r="AL816" s="245"/>
      <c r="AM816" s="244"/>
      <c r="AN816" s="244"/>
      <c r="AO816" s="87"/>
      <c r="AP816" s="87"/>
      <c r="AQ816" s="87"/>
      <c r="AR816" s="87"/>
      <c r="AS816" s="87"/>
      <c r="AT816" s="87"/>
      <c r="AU816" s="87"/>
      <c r="AV816" s="87"/>
      <c r="AW816" s="87"/>
      <c r="AX816" s="87"/>
    </row>
    <row r="817">
      <c r="A817" s="9"/>
      <c r="B817" s="87"/>
      <c r="C817" s="87"/>
      <c r="D817" s="87"/>
      <c r="E817" s="9"/>
      <c r="F817" s="87"/>
      <c r="G817" s="87"/>
      <c r="H817" s="87"/>
      <c r="I817" s="9"/>
      <c r="J817" s="87"/>
      <c r="K817" s="87"/>
      <c r="L817" s="87"/>
      <c r="M817" s="9"/>
      <c r="N817" s="87"/>
      <c r="O817" s="87"/>
      <c r="P817" s="87"/>
      <c r="Q817" s="9"/>
      <c r="R817" s="87"/>
      <c r="S817" s="87"/>
      <c r="T817" s="87"/>
      <c r="U817" s="9"/>
      <c r="V817" s="87"/>
      <c r="W817" s="87"/>
      <c r="X817" s="87"/>
      <c r="Y817" s="87"/>
      <c r="Z817" s="87"/>
      <c r="AA817" s="87"/>
      <c r="AB817" s="87"/>
      <c r="AC817" s="243"/>
      <c r="AD817" s="234"/>
      <c r="AE817" s="234"/>
      <c r="AF817" s="234"/>
      <c r="AG817" s="9"/>
      <c r="AH817" s="87"/>
      <c r="AI817" s="87"/>
      <c r="AJ817" s="87"/>
      <c r="AK817" s="244"/>
      <c r="AL817" s="245"/>
      <c r="AM817" s="244"/>
      <c r="AN817" s="244"/>
      <c r="AO817" s="87"/>
      <c r="AP817" s="87"/>
      <c r="AQ817" s="87"/>
      <c r="AR817" s="87"/>
      <c r="AS817" s="87"/>
      <c r="AT817" s="87"/>
      <c r="AU817" s="87"/>
      <c r="AV817" s="87"/>
      <c r="AW817" s="87"/>
      <c r="AX817" s="87"/>
    </row>
    <row r="818">
      <c r="A818" s="9"/>
      <c r="B818" s="87"/>
      <c r="C818" s="87"/>
      <c r="D818" s="87"/>
      <c r="E818" s="9"/>
      <c r="F818" s="87"/>
      <c r="G818" s="87"/>
      <c r="H818" s="87"/>
      <c r="I818" s="9"/>
      <c r="J818" s="87"/>
      <c r="K818" s="87"/>
      <c r="L818" s="87"/>
      <c r="M818" s="9"/>
      <c r="N818" s="87"/>
      <c r="O818" s="87"/>
      <c r="P818" s="87"/>
      <c r="Q818" s="9"/>
      <c r="R818" s="87"/>
      <c r="S818" s="87"/>
      <c r="T818" s="87"/>
      <c r="U818" s="9"/>
      <c r="V818" s="87"/>
      <c r="W818" s="87"/>
      <c r="X818" s="87"/>
      <c r="Y818" s="87"/>
      <c r="Z818" s="87"/>
      <c r="AA818" s="87"/>
      <c r="AB818" s="87"/>
      <c r="AC818" s="243"/>
      <c r="AD818" s="234"/>
      <c r="AE818" s="234"/>
      <c r="AF818" s="234"/>
      <c r="AG818" s="9"/>
      <c r="AH818" s="87"/>
      <c r="AI818" s="87"/>
      <c r="AJ818" s="87"/>
      <c r="AK818" s="244"/>
      <c r="AL818" s="245"/>
      <c r="AM818" s="244"/>
      <c r="AN818" s="244"/>
      <c r="AO818" s="87"/>
      <c r="AP818" s="87"/>
      <c r="AQ818" s="87"/>
      <c r="AR818" s="87"/>
      <c r="AS818" s="87"/>
      <c r="AT818" s="87"/>
      <c r="AU818" s="87"/>
      <c r="AV818" s="87"/>
      <c r="AW818" s="87"/>
      <c r="AX818" s="87"/>
    </row>
    <row r="819">
      <c r="A819" s="9"/>
      <c r="B819" s="87"/>
      <c r="C819" s="87"/>
      <c r="D819" s="87"/>
      <c r="E819" s="9"/>
      <c r="F819" s="87"/>
      <c r="G819" s="87"/>
      <c r="H819" s="87"/>
      <c r="I819" s="9"/>
      <c r="J819" s="87"/>
      <c r="K819" s="87"/>
      <c r="L819" s="87"/>
      <c r="M819" s="9"/>
      <c r="N819" s="87"/>
      <c r="O819" s="87"/>
      <c r="P819" s="87"/>
      <c r="Q819" s="9"/>
      <c r="R819" s="87"/>
      <c r="S819" s="87"/>
      <c r="T819" s="87"/>
      <c r="U819" s="9"/>
      <c r="V819" s="87"/>
      <c r="W819" s="87"/>
      <c r="X819" s="87"/>
      <c r="Y819" s="87"/>
      <c r="Z819" s="87"/>
      <c r="AA819" s="87"/>
      <c r="AB819" s="87"/>
      <c r="AC819" s="243"/>
      <c r="AD819" s="234"/>
      <c r="AE819" s="234"/>
      <c r="AF819" s="234"/>
      <c r="AG819" s="9"/>
      <c r="AH819" s="87"/>
      <c r="AI819" s="87"/>
      <c r="AJ819" s="87"/>
      <c r="AK819" s="244"/>
      <c r="AL819" s="245"/>
      <c r="AM819" s="244"/>
      <c r="AN819" s="244"/>
      <c r="AO819" s="87"/>
      <c r="AP819" s="87"/>
      <c r="AQ819" s="87"/>
      <c r="AR819" s="87"/>
      <c r="AS819" s="87"/>
      <c r="AT819" s="87"/>
      <c r="AU819" s="87"/>
      <c r="AV819" s="87"/>
      <c r="AW819" s="87"/>
      <c r="AX819" s="87"/>
    </row>
    <row r="820">
      <c r="A820" s="9"/>
      <c r="B820" s="87"/>
      <c r="C820" s="87"/>
      <c r="D820" s="87"/>
      <c r="E820" s="9"/>
      <c r="F820" s="87"/>
      <c r="G820" s="87"/>
      <c r="H820" s="87"/>
      <c r="I820" s="9"/>
      <c r="J820" s="87"/>
      <c r="K820" s="87"/>
      <c r="L820" s="87"/>
      <c r="M820" s="9"/>
      <c r="N820" s="87"/>
      <c r="O820" s="87"/>
      <c r="P820" s="87"/>
      <c r="Q820" s="9"/>
      <c r="R820" s="87"/>
      <c r="S820" s="87"/>
      <c r="T820" s="87"/>
      <c r="U820" s="9"/>
      <c r="V820" s="87"/>
      <c r="W820" s="87"/>
      <c r="X820" s="87"/>
      <c r="Y820" s="87"/>
      <c r="Z820" s="87"/>
      <c r="AA820" s="87"/>
      <c r="AB820" s="87"/>
      <c r="AC820" s="243"/>
      <c r="AD820" s="234"/>
      <c r="AE820" s="234"/>
      <c r="AF820" s="234"/>
      <c r="AG820" s="9"/>
      <c r="AH820" s="87"/>
      <c r="AI820" s="87"/>
      <c r="AJ820" s="87"/>
      <c r="AK820" s="244"/>
      <c r="AL820" s="245"/>
      <c r="AM820" s="244"/>
      <c r="AN820" s="244"/>
      <c r="AO820" s="87"/>
      <c r="AP820" s="87"/>
      <c r="AQ820" s="87"/>
      <c r="AR820" s="87"/>
      <c r="AS820" s="87"/>
      <c r="AT820" s="87"/>
      <c r="AU820" s="87"/>
      <c r="AV820" s="87"/>
      <c r="AW820" s="87"/>
      <c r="AX820" s="87"/>
    </row>
    <row r="821">
      <c r="A821" s="9"/>
      <c r="B821" s="87"/>
      <c r="C821" s="87"/>
      <c r="D821" s="87"/>
      <c r="E821" s="9"/>
      <c r="F821" s="87"/>
      <c r="G821" s="87"/>
      <c r="H821" s="87"/>
      <c r="I821" s="9"/>
      <c r="J821" s="87"/>
      <c r="K821" s="87"/>
      <c r="L821" s="87"/>
      <c r="M821" s="9"/>
      <c r="N821" s="87"/>
      <c r="O821" s="87"/>
      <c r="P821" s="87"/>
      <c r="Q821" s="9"/>
      <c r="R821" s="87"/>
      <c r="S821" s="87"/>
      <c r="T821" s="87"/>
      <c r="U821" s="9"/>
      <c r="V821" s="87"/>
      <c r="W821" s="87"/>
      <c r="X821" s="87"/>
      <c r="Y821" s="87"/>
      <c r="Z821" s="87"/>
      <c r="AA821" s="87"/>
      <c r="AB821" s="87"/>
      <c r="AC821" s="243"/>
      <c r="AD821" s="234"/>
      <c r="AE821" s="234"/>
      <c r="AF821" s="234"/>
      <c r="AG821" s="9"/>
      <c r="AH821" s="87"/>
      <c r="AI821" s="87"/>
      <c r="AJ821" s="87"/>
      <c r="AK821" s="244"/>
      <c r="AL821" s="245"/>
      <c r="AM821" s="244"/>
      <c r="AN821" s="244"/>
      <c r="AO821" s="87"/>
      <c r="AP821" s="87"/>
      <c r="AQ821" s="87"/>
      <c r="AR821" s="87"/>
      <c r="AS821" s="87"/>
      <c r="AT821" s="87"/>
      <c r="AU821" s="87"/>
      <c r="AV821" s="87"/>
      <c r="AW821" s="87"/>
      <c r="AX821" s="87"/>
    </row>
    <row r="822">
      <c r="A822" s="9"/>
      <c r="B822" s="87"/>
      <c r="C822" s="87"/>
      <c r="D822" s="87"/>
      <c r="E822" s="9"/>
      <c r="F822" s="87"/>
      <c r="G822" s="87"/>
      <c r="H822" s="87"/>
      <c r="I822" s="9"/>
      <c r="J822" s="87"/>
      <c r="K822" s="87"/>
      <c r="L822" s="87"/>
      <c r="M822" s="9"/>
      <c r="N822" s="87"/>
      <c r="O822" s="87"/>
      <c r="P822" s="87"/>
      <c r="Q822" s="9"/>
      <c r="R822" s="87"/>
      <c r="S822" s="87"/>
      <c r="T822" s="87"/>
      <c r="U822" s="9"/>
      <c r="V822" s="87"/>
      <c r="W822" s="87"/>
      <c r="X822" s="87"/>
      <c r="Y822" s="87"/>
      <c r="Z822" s="87"/>
      <c r="AA822" s="87"/>
      <c r="AB822" s="87"/>
      <c r="AC822" s="243"/>
      <c r="AD822" s="234"/>
      <c r="AE822" s="234"/>
      <c r="AF822" s="234"/>
      <c r="AG822" s="9"/>
      <c r="AH822" s="87"/>
      <c r="AI822" s="87"/>
      <c r="AJ822" s="87"/>
      <c r="AK822" s="244"/>
      <c r="AL822" s="245"/>
      <c r="AM822" s="244"/>
      <c r="AN822" s="244"/>
      <c r="AO822" s="87"/>
      <c r="AP822" s="87"/>
      <c r="AQ822" s="87"/>
      <c r="AR822" s="87"/>
      <c r="AS822" s="87"/>
      <c r="AT822" s="87"/>
      <c r="AU822" s="87"/>
      <c r="AV822" s="87"/>
      <c r="AW822" s="87"/>
      <c r="AX822" s="87"/>
    </row>
    <row r="823">
      <c r="A823" s="9"/>
      <c r="B823" s="87"/>
      <c r="C823" s="87"/>
      <c r="D823" s="87"/>
      <c r="E823" s="9"/>
      <c r="F823" s="87"/>
      <c r="G823" s="87"/>
      <c r="H823" s="87"/>
      <c r="I823" s="9"/>
      <c r="J823" s="87"/>
      <c r="K823" s="87"/>
      <c r="L823" s="87"/>
      <c r="M823" s="9"/>
      <c r="N823" s="87"/>
      <c r="O823" s="87"/>
      <c r="P823" s="87"/>
      <c r="Q823" s="9"/>
      <c r="R823" s="87"/>
      <c r="S823" s="87"/>
      <c r="T823" s="87"/>
      <c r="U823" s="9"/>
      <c r="V823" s="87"/>
      <c r="W823" s="87"/>
      <c r="X823" s="87"/>
      <c r="Y823" s="87"/>
      <c r="Z823" s="87"/>
      <c r="AA823" s="87"/>
      <c r="AB823" s="87"/>
      <c r="AC823" s="243"/>
      <c r="AD823" s="234"/>
      <c r="AE823" s="234"/>
      <c r="AF823" s="234"/>
      <c r="AG823" s="9"/>
      <c r="AH823" s="87"/>
      <c r="AI823" s="87"/>
      <c r="AJ823" s="87"/>
      <c r="AK823" s="244"/>
      <c r="AL823" s="245"/>
      <c r="AM823" s="244"/>
      <c r="AN823" s="244"/>
      <c r="AO823" s="87"/>
      <c r="AP823" s="87"/>
      <c r="AQ823" s="87"/>
      <c r="AR823" s="87"/>
      <c r="AS823" s="87"/>
      <c r="AT823" s="87"/>
      <c r="AU823" s="87"/>
      <c r="AV823" s="87"/>
      <c r="AW823" s="87"/>
      <c r="AX823" s="87"/>
    </row>
    <row r="824">
      <c r="A824" s="9"/>
      <c r="B824" s="87"/>
      <c r="C824" s="87"/>
      <c r="D824" s="87"/>
      <c r="E824" s="9"/>
      <c r="F824" s="87"/>
      <c r="G824" s="87"/>
      <c r="H824" s="87"/>
      <c r="I824" s="9"/>
      <c r="J824" s="87"/>
      <c r="K824" s="87"/>
      <c r="L824" s="87"/>
      <c r="M824" s="9"/>
      <c r="N824" s="87"/>
      <c r="O824" s="87"/>
      <c r="P824" s="87"/>
      <c r="Q824" s="9"/>
      <c r="R824" s="87"/>
      <c r="S824" s="87"/>
      <c r="T824" s="87"/>
      <c r="U824" s="9"/>
      <c r="V824" s="87"/>
      <c r="W824" s="87"/>
      <c r="X824" s="87"/>
      <c r="Y824" s="87"/>
      <c r="Z824" s="87"/>
      <c r="AA824" s="87"/>
      <c r="AB824" s="87"/>
      <c r="AC824" s="243"/>
      <c r="AD824" s="234"/>
      <c r="AE824" s="234"/>
      <c r="AF824" s="234"/>
      <c r="AG824" s="9"/>
      <c r="AH824" s="87"/>
      <c r="AI824" s="87"/>
      <c r="AJ824" s="87"/>
      <c r="AK824" s="244"/>
      <c r="AL824" s="245"/>
      <c r="AM824" s="244"/>
      <c r="AN824" s="244"/>
      <c r="AO824" s="87"/>
      <c r="AP824" s="87"/>
      <c r="AQ824" s="87"/>
      <c r="AR824" s="87"/>
      <c r="AS824" s="87"/>
      <c r="AT824" s="87"/>
      <c r="AU824" s="87"/>
      <c r="AV824" s="87"/>
      <c r="AW824" s="87"/>
      <c r="AX824" s="87"/>
    </row>
    <row r="825">
      <c r="A825" s="9"/>
      <c r="B825" s="87"/>
      <c r="C825" s="87"/>
      <c r="D825" s="87"/>
      <c r="E825" s="9"/>
      <c r="F825" s="87"/>
      <c r="G825" s="87"/>
      <c r="H825" s="87"/>
      <c r="I825" s="9"/>
      <c r="J825" s="87"/>
      <c r="K825" s="87"/>
      <c r="L825" s="87"/>
      <c r="M825" s="9"/>
      <c r="N825" s="87"/>
      <c r="O825" s="87"/>
      <c r="P825" s="87"/>
      <c r="Q825" s="9"/>
      <c r="R825" s="87"/>
      <c r="S825" s="87"/>
      <c r="T825" s="87"/>
      <c r="U825" s="9"/>
      <c r="V825" s="87"/>
      <c r="W825" s="87"/>
      <c r="X825" s="87"/>
      <c r="Y825" s="87"/>
      <c r="Z825" s="87"/>
      <c r="AA825" s="87"/>
      <c r="AB825" s="87"/>
      <c r="AC825" s="243"/>
      <c r="AD825" s="234"/>
      <c r="AE825" s="234"/>
      <c r="AF825" s="234"/>
      <c r="AG825" s="9"/>
      <c r="AH825" s="87"/>
      <c r="AI825" s="87"/>
      <c r="AJ825" s="87"/>
      <c r="AK825" s="244"/>
      <c r="AL825" s="245"/>
      <c r="AM825" s="244"/>
      <c r="AN825" s="244"/>
      <c r="AO825" s="87"/>
      <c r="AP825" s="87"/>
      <c r="AQ825" s="87"/>
      <c r="AR825" s="87"/>
      <c r="AS825" s="87"/>
      <c r="AT825" s="87"/>
      <c r="AU825" s="87"/>
      <c r="AV825" s="87"/>
      <c r="AW825" s="87"/>
      <c r="AX825" s="87"/>
    </row>
    <row r="826">
      <c r="A826" s="9"/>
      <c r="B826" s="87"/>
      <c r="C826" s="87"/>
      <c r="D826" s="87"/>
      <c r="E826" s="9"/>
      <c r="F826" s="87"/>
      <c r="G826" s="87"/>
      <c r="H826" s="87"/>
      <c r="I826" s="9"/>
      <c r="J826" s="87"/>
      <c r="K826" s="87"/>
      <c r="L826" s="87"/>
      <c r="M826" s="9"/>
      <c r="N826" s="87"/>
      <c r="O826" s="87"/>
      <c r="P826" s="87"/>
      <c r="Q826" s="9"/>
      <c r="R826" s="87"/>
      <c r="S826" s="87"/>
      <c r="T826" s="87"/>
      <c r="U826" s="9"/>
      <c r="V826" s="87"/>
      <c r="W826" s="87"/>
      <c r="X826" s="87"/>
      <c r="Y826" s="87"/>
      <c r="Z826" s="87"/>
      <c r="AA826" s="87"/>
      <c r="AB826" s="87"/>
      <c r="AC826" s="243"/>
      <c r="AD826" s="234"/>
      <c r="AE826" s="234"/>
      <c r="AF826" s="234"/>
      <c r="AG826" s="9"/>
      <c r="AH826" s="87"/>
      <c r="AI826" s="87"/>
      <c r="AJ826" s="87"/>
      <c r="AK826" s="244"/>
      <c r="AL826" s="245"/>
      <c r="AM826" s="244"/>
      <c r="AN826" s="244"/>
      <c r="AO826" s="87"/>
      <c r="AP826" s="87"/>
      <c r="AQ826" s="87"/>
      <c r="AR826" s="87"/>
      <c r="AS826" s="87"/>
      <c r="AT826" s="87"/>
      <c r="AU826" s="87"/>
      <c r="AV826" s="87"/>
      <c r="AW826" s="87"/>
      <c r="AX826" s="87"/>
    </row>
    <row r="827">
      <c r="A827" s="9"/>
      <c r="B827" s="87"/>
      <c r="C827" s="87"/>
      <c r="D827" s="87"/>
      <c r="E827" s="9"/>
      <c r="F827" s="87"/>
      <c r="G827" s="87"/>
      <c r="H827" s="87"/>
      <c r="I827" s="9"/>
      <c r="J827" s="87"/>
      <c r="K827" s="87"/>
      <c r="L827" s="87"/>
      <c r="M827" s="9"/>
      <c r="N827" s="87"/>
      <c r="O827" s="87"/>
      <c r="P827" s="87"/>
      <c r="Q827" s="9"/>
      <c r="R827" s="87"/>
      <c r="S827" s="87"/>
      <c r="T827" s="87"/>
      <c r="U827" s="9"/>
      <c r="V827" s="87"/>
      <c r="W827" s="87"/>
      <c r="X827" s="87"/>
      <c r="Y827" s="87"/>
      <c r="Z827" s="87"/>
      <c r="AA827" s="87"/>
      <c r="AB827" s="87"/>
      <c r="AC827" s="243"/>
      <c r="AD827" s="234"/>
      <c r="AE827" s="234"/>
      <c r="AF827" s="234"/>
      <c r="AG827" s="9"/>
      <c r="AH827" s="87"/>
      <c r="AI827" s="87"/>
      <c r="AJ827" s="87"/>
      <c r="AK827" s="244"/>
      <c r="AL827" s="245"/>
      <c r="AM827" s="244"/>
      <c r="AN827" s="244"/>
      <c r="AO827" s="87"/>
      <c r="AP827" s="87"/>
      <c r="AQ827" s="87"/>
      <c r="AR827" s="87"/>
      <c r="AS827" s="87"/>
      <c r="AT827" s="87"/>
      <c r="AU827" s="87"/>
      <c r="AV827" s="87"/>
      <c r="AW827" s="87"/>
      <c r="AX827" s="87"/>
    </row>
    <row r="828">
      <c r="A828" s="9"/>
      <c r="B828" s="87"/>
      <c r="C828" s="87"/>
      <c r="D828" s="87"/>
      <c r="E828" s="9"/>
      <c r="F828" s="87"/>
      <c r="G828" s="87"/>
      <c r="H828" s="87"/>
      <c r="I828" s="9"/>
      <c r="J828" s="87"/>
      <c r="K828" s="87"/>
      <c r="L828" s="87"/>
      <c r="M828" s="9"/>
      <c r="N828" s="87"/>
      <c r="O828" s="87"/>
      <c r="P828" s="87"/>
      <c r="Q828" s="9"/>
      <c r="R828" s="87"/>
      <c r="S828" s="87"/>
      <c r="T828" s="87"/>
      <c r="U828" s="9"/>
      <c r="V828" s="87"/>
      <c r="W828" s="87"/>
      <c r="X828" s="87"/>
      <c r="Y828" s="87"/>
      <c r="Z828" s="87"/>
      <c r="AA828" s="87"/>
      <c r="AB828" s="87"/>
      <c r="AC828" s="243"/>
      <c r="AD828" s="234"/>
      <c r="AE828" s="234"/>
      <c r="AF828" s="234"/>
      <c r="AG828" s="9"/>
      <c r="AH828" s="87"/>
      <c r="AI828" s="87"/>
      <c r="AJ828" s="87"/>
      <c r="AK828" s="244"/>
      <c r="AL828" s="245"/>
      <c r="AM828" s="244"/>
      <c r="AN828" s="244"/>
      <c r="AO828" s="87"/>
      <c r="AP828" s="87"/>
      <c r="AQ828" s="87"/>
      <c r="AR828" s="87"/>
      <c r="AS828" s="87"/>
      <c r="AT828" s="87"/>
      <c r="AU828" s="87"/>
      <c r="AV828" s="87"/>
      <c r="AW828" s="87"/>
      <c r="AX828" s="87"/>
    </row>
    <row r="829">
      <c r="A829" s="9"/>
      <c r="B829" s="87"/>
      <c r="C829" s="87"/>
      <c r="D829" s="87"/>
      <c r="E829" s="9"/>
      <c r="F829" s="87"/>
      <c r="G829" s="87"/>
      <c r="H829" s="87"/>
      <c r="I829" s="9"/>
      <c r="J829" s="87"/>
      <c r="K829" s="87"/>
      <c r="L829" s="87"/>
      <c r="M829" s="9"/>
      <c r="N829" s="87"/>
      <c r="O829" s="87"/>
      <c r="P829" s="87"/>
      <c r="Q829" s="9"/>
      <c r="R829" s="87"/>
      <c r="S829" s="87"/>
      <c r="T829" s="87"/>
      <c r="U829" s="9"/>
      <c r="V829" s="87"/>
      <c r="W829" s="87"/>
      <c r="X829" s="87"/>
      <c r="Y829" s="87"/>
      <c r="Z829" s="87"/>
      <c r="AA829" s="87"/>
      <c r="AB829" s="87"/>
      <c r="AC829" s="243"/>
      <c r="AD829" s="234"/>
      <c r="AE829" s="234"/>
      <c r="AF829" s="234"/>
      <c r="AG829" s="9"/>
      <c r="AH829" s="87"/>
      <c r="AI829" s="87"/>
      <c r="AJ829" s="87"/>
      <c r="AK829" s="244"/>
      <c r="AL829" s="245"/>
      <c r="AM829" s="244"/>
      <c r="AN829" s="244"/>
      <c r="AO829" s="87"/>
      <c r="AP829" s="87"/>
      <c r="AQ829" s="87"/>
      <c r="AR829" s="87"/>
      <c r="AS829" s="87"/>
      <c r="AT829" s="87"/>
      <c r="AU829" s="87"/>
      <c r="AV829" s="87"/>
      <c r="AW829" s="87"/>
      <c r="AX829" s="87"/>
    </row>
    <row r="830">
      <c r="A830" s="9"/>
      <c r="B830" s="87"/>
      <c r="C830" s="87"/>
      <c r="D830" s="87"/>
      <c r="E830" s="9"/>
      <c r="F830" s="87"/>
      <c r="G830" s="87"/>
      <c r="H830" s="87"/>
      <c r="I830" s="9"/>
      <c r="J830" s="87"/>
      <c r="K830" s="87"/>
      <c r="L830" s="87"/>
      <c r="M830" s="9"/>
      <c r="N830" s="87"/>
      <c r="O830" s="87"/>
      <c r="P830" s="87"/>
      <c r="Q830" s="9"/>
      <c r="R830" s="87"/>
      <c r="S830" s="87"/>
      <c r="T830" s="87"/>
      <c r="U830" s="9"/>
      <c r="V830" s="87"/>
      <c r="W830" s="87"/>
      <c r="X830" s="87"/>
      <c r="Y830" s="87"/>
      <c r="Z830" s="87"/>
      <c r="AA830" s="87"/>
      <c r="AB830" s="87"/>
      <c r="AC830" s="243"/>
      <c r="AD830" s="234"/>
      <c r="AE830" s="234"/>
      <c r="AF830" s="234"/>
      <c r="AG830" s="9"/>
      <c r="AH830" s="87"/>
      <c r="AI830" s="87"/>
      <c r="AJ830" s="87"/>
      <c r="AK830" s="244"/>
      <c r="AL830" s="245"/>
      <c r="AM830" s="244"/>
      <c r="AN830" s="244"/>
      <c r="AO830" s="87"/>
      <c r="AP830" s="87"/>
      <c r="AQ830" s="87"/>
      <c r="AR830" s="87"/>
      <c r="AS830" s="87"/>
      <c r="AT830" s="87"/>
      <c r="AU830" s="87"/>
      <c r="AV830" s="87"/>
      <c r="AW830" s="87"/>
      <c r="AX830" s="87"/>
    </row>
    <row r="831">
      <c r="A831" s="9"/>
      <c r="B831" s="87"/>
      <c r="C831" s="87"/>
      <c r="D831" s="87"/>
      <c r="E831" s="9"/>
      <c r="F831" s="87"/>
      <c r="G831" s="87"/>
      <c r="H831" s="87"/>
      <c r="I831" s="9"/>
      <c r="J831" s="87"/>
      <c r="K831" s="87"/>
      <c r="L831" s="87"/>
      <c r="M831" s="9"/>
      <c r="N831" s="87"/>
      <c r="O831" s="87"/>
      <c r="P831" s="87"/>
      <c r="Q831" s="9"/>
      <c r="R831" s="87"/>
      <c r="S831" s="87"/>
      <c r="T831" s="87"/>
      <c r="U831" s="9"/>
      <c r="V831" s="87"/>
      <c r="W831" s="87"/>
      <c r="X831" s="87"/>
      <c r="Y831" s="87"/>
      <c r="Z831" s="87"/>
      <c r="AA831" s="87"/>
      <c r="AB831" s="87"/>
      <c r="AC831" s="243"/>
      <c r="AD831" s="234"/>
      <c r="AE831" s="234"/>
      <c r="AF831" s="234"/>
      <c r="AG831" s="9"/>
      <c r="AH831" s="87"/>
      <c r="AI831" s="87"/>
      <c r="AJ831" s="87"/>
      <c r="AK831" s="244"/>
      <c r="AL831" s="245"/>
      <c r="AM831" s="244"/>
      <c r="AN831" s="244"/>
      <c r="AO831" s="87"/>
      <c r="AP831" s="87"/>
      <c r="AQ831" s="87"/>
      <c r="AR831" s="87"/>
      <c r="AS831" s="87"/>
      <c r="AT831" s="87"/>
      <c r="AU831" s="87"/>
      <c r="AV831" s="87"/>
      <c r="AW831" s="87"/>
      <c r="AX831" s="87"/>
    </row>
    <row r="832">
      <c r="A832" s="9"/>
      <c r="B832" s="87"/>
      <c r="C832" s="87"/>
      <c r="D832" s="87"/>
      <c r="E832" s="9"/>
      <c r="F832" s="87"/>
      <c r="G832" s="87"/>
      <c r="H832" s="87"/>
      <c r="I832" s="9"/>
      <c r="J832" s="87"/>
      <c r="K832" s="87"/>
      <c r="L832" s="87"/>
      <c r="M832" s="9"/>
      <c r="N832" s="87"/>
      <c r="O832" s="87"/>
      <c r="P832" s="87"/>
      <c r="Q832" s="9"/>
      <c r="R832" s="87"/>
      <c r="S832" s="87"/>
      <c r="T832" s="87"/>
      <c r="U832" s="9"/>
      <c r="V832" s="87"/>
      <c r="W832" s="87"/>
      <c r="X832" s="87"/>
      <c r="Y832" s="87"/>
      <c r="Z832" s="87"/>
      <c r="AA832" s="87"/>
      <c r="AB832" s="87"/>
      <c r="AC832" s="243"/>
      <c r="AD832" s="234"/>
      <c r="AE832" s="234"/>
      <c r="AF832" s="234"/>
      <c r="AG832" s="9"/>
      <c r="AH832" s="87"/>
      <c r="AI832" s="87"/>
      <c r="AJ832" s="87"/>
      <c r="AK832" s="244"/>
      <c r="AL832" s="245"/>
      <c r="AM832" s="244"/>
      <c r="AN832" s="244"/>
      <c r="AO832" s="87"/>
      <c r="AP832" s="87"/>
      <c r="AQ832" s="87"/>
      <c r="AR832" s="87"/>
      <c r="AS832" s="87"/>
      <c r="AT832" s="87"/>
      <c r="AU832" s="87"/>
      <c r="AV832" s="87"/>
      <c r="AW832" s="87"/>
      <c r="AX832" s="87"/>
    </row>
    <row r="833">
      <c r="A833" s="9"/>
      <c r="B833" s="87"/>
      <c r="C833" s="87"/>
      <c r="D833" s="87"/>
      <c r="E833" s="9"/>
      <c r="F833" s="87"/>
      <c r="G833" s="87"/>
      <c r="H833" s="87"/>
      <c r="I833" s="9"/>
      <c r="J833" s="87"/>
      <c r="K833" s="87"/>
      <c r="L833" s="87"/>
      <c r="M833" s="9"/>
      <c r="N833" s="87"/>
      <c r="O833" s="87"/>
      <c r="P833" s="87"/>
      <c r="Q833" s="9"/>
      <c r="R833" s="87"/>
      <c r="S833" s="87"/>
      <c r="T833" s="87"/>
      <c r="U833" s="9"/>
      <c r="V833" s="87"/>
      <c r="W833" s="87"/>
      <c r="X833" s="87"/>
      <c r="Y833" s="87"/>
      <c r="Z833" s="87"/>
      <c r="AA833" s="87"/>
      <c r="AB833" s="87"/>
      <c r="AC833" s="243"/>
      <c r="AD833" s="234"/>
      <c r="AE833" s="234"/>
      <c r="AF833" s="234"/>
      <c r="AG833" s="9"/>
      <c r="AH833" s="87"/>
      <c r="AI833" s="87"/>
      <c r="AJ833" s="87"/>
      <c r="AK833" s="244"/>
      <c r="AL833" s="245"/>
      <c r="AM833" s="244"/>
      <c r="AN833" s="244"/>
      <c r="AO833" s="87"/>
      <c r="AP833" s="87"/>
      <c r="AQ833" s="87"/>
      <c r="AR833" s="87"/>
      <c r="AS833" s="87"/>
      <c r="AT833" s="87"/>
      <c r="AU833" s="87"/>
      <c r="AV833" s="87"/>
      <c r="AW833" s="87"/>
      <c r="AX833" s="87"/>
    </row>
    <row r="834">
      <c r="A834" s="9"/>
      <c r="B834" s="87"/>
      <c r="C834" s="87"/>
      <c r="D834" s="87"/>
      <c r="E834" s="9"/>
      <c r="F834" s="87"/>
      <c r="G834" s="87"/>
      <c r="H834" s="87"/>
      <c r="I834" s="9"/>
      <c r="J834" s="87"/>
      <c r="K834" s="87"/>
      <c r="L834" s="87"/>
      <c r="M834" s="9"/>
      <c r="N834" s="87"/>
      <c r="O834" s="87"/>
      <c r="P834" s="87"/>
      <c r="Q834" s="9"/>
      <c r="R834" s="87"/>
      <c r="S834" s="87"/>
      <c r="T834" s="87"/>
      <c r="U834" s="9"/>
      <c r="V834" s="87"/>
      <c r="W834" s="87"/>
      <c r="X834" s="87"/>
      <c r="Y834" s="87"/>
      <c r="Z834" s="87"/>
      <c r="AA834" s="87"/>
      <c r="AB834" s="87"/>
      <c r="AC834" s="243"/>
      <c r="AD834" s="234"/>
      <c r="AE834" s="234"/>
      <c r="AF834" s="234"/>
      <c r="AG834" s="9"/>
      <c r="AH834" s="87"/>
      <c r="AI834" s="87"/>
      <c r="AJ834" s="87"/>
      <c r="AK834" s="244"/>
      <c r="AL834" s="245"/>
      <c r="AM834" s="244"/>
      <c r="AN834" s="244"/>
      <c r="AO834" s="87"/>
      <c r="AP834" s="87"/>
      <c r="AQ834" s="87"/>
      <c r="AR834" s="87"/>
      <c r="AS834" s="87"/>
      <c r="AT834" s="87"/>
      <c r="AU834" s="87"/>
      <c r="AV834" s="87"/>
      <c r="AW834" s="87"/>
      <c r="AX834" s="87"/>
    </row>
    <row r="835">
      <c r="A835" s="9"/>
      <c r="B835" s="87"/>
      <c r="C835" s="87"/>
      <c r="D835" s="87"/>
      <c r="E835" s="9"/>
      <c r="F835" s="87"/>
      <c r="G835" s="87"/>
      <c r="H835" s="87"/>
      <c r="I835" s="9"/>
      <c r="J835" s="87"/>
      <c r="K835" s="87"/>
      <c r="L835" s="87"/>
      <c r="M835" s="9"/>
      <c r="N835" s="87"/>
      <c r="O835" s="87"/>
      <c r="P835" s="87"/>
      <c r="Q835" s="9"/>
      <c r="R835" s="87"/>
      <c r="S835" s="87"/>
      <c r="T835" s="87"/>
      <c r="U835" s="9"/>
      <c r="V835" s="87"/>
      <c r="W835" s="87"/>
      <c r="X835" s="87"/>
      <c r="Y835" s="87"/>
      <c r="Z835" s="87"/>
      <c r="AA835" s="87"/>
      <c r="AB835" s="87"/>
      <c r="AC835" s="243"/>
      <c r="AD835" s="234"/>
      <c r="AE835" s="234"/>
      <c r="AF835" s="234"/>
      <c r="AG835" s="9"/>
      <c r="AH835" s="87"/>
      <c r="AI835" s="87"/>
      <c r="AJ835" s="87"/>
      <c r="AK835" s="244"/>
      <c r="AL835" s="245"/>
      <c r="AM835" s="244"/>
      <c r="AN835" s="244"/>
      <c r="AO835" s="87"/>
      <c r="AP835" s="87"/>
      <c r="AQ835" s="87"/>
      <c r="AR835" s="87"/>
      <c r="AS835" s="87"/>
      <c r="AT835" s="87"/>
      <c r="AU835" s="87"/>
      <c r="AV835" s="87"/>
      <c r="AW835" s="87"/>
      <c r="AX835" s="87"/>
    </row>
    <row r="836">
      <c r="A836" s="9"/>
      <c r="B836" s="87"/>
      <c r="C836" s="87"/>
      <c r="D836" s="87"/>
      <c r="E836" s="9"/>
      <c r="F836" s="87"/>
      <c r="G836" s="87"/>
      <c r="H836" s="87"/>
      <c r="I836" s="9"/>
      <c r="J836" s="87"/>
      <c r="K836" s="87"/>
      <c r="L836" s="87"/>
      <c r="M836" s="9"/>
      <c r="N836" s="87"/>
      <c r="O836" s="87"/>
      <c r="P836" s="87"/>
      <c r="Q836" s="9"/>
      <c r="R836" s="87"/>
      <c r="S836" s="87"/>
      <c r="T836" s="87"/>
      <c r="U836" s="9"/>
      <c r="V836" s="87"/>
      <c r="W836" s="87"/>
      <c r="X836" s="87"/>
      <c r="Y836" s="87"/>
      <c r="Z836" s="87"/>
      <c r="AA836" s="87"/>
      <c r="AB836" s="87"/>
      <c r="AC836" s="243"/>
      <c r="AD836" s="234"/>
      <c r="AE836" s="234"/>
      <c r="AF836" s="234"/>
      <c r="AG836" s="9"/>
      <c r="AH836" s="87"/>
      <c r="AI836" s="87"/>
      <c r="AJ836" s="87"/>
      <c r="AK836" s="244"/>
      <c r="AL836" s="245"/>
      <c r="AM836" s="244"/>
      <c r="AN836" s="244"/>
      <c r="AO836" s="87"/>
      <c r="AP836" s="87"/>
      <c r="AQ836" s="87"/>
      <c r="AR836" s="87"/>
      <c r="AS836" s="87"/>
      <c r="AT836" s="87"/>
      <c r="AU836" s="87"/>
      <c r="AV836" s="87"/>
      <c r="AW836" s="87"/>
      <c r="AX836" s="87"/>
    </row>
    <row r="837">
      <c r="A837" s="9"/>
      <c r="B837" s="87"/>
      <c r="C837" s="87"/>
      <c r="D837" s="87"/>
      <c r="E837" s="9"/>
      <c r="F837" s="87"/>
      <c r="G837" s="87"/>
      <c r="H837" s="87"/>
      <c r="I837" s="9"/>
      <c r="J837" s="87"/>
      <c r="K837" s="87"/>
      <c r="L837" s="87"/>
      <c r="M837" s="9"/>
      <c r="N837" s="87"/>
      <c r="O837" s="87"/>
      <c r="P837" s="87"/>
      <c r="Q837" s="9"/>
      <c r="R837" s="87"/>
      <c r="S837" s="87"/>
      <c r="T837" s="87"/>
      <c r="U837" s="9"/>
      <c r="V837" s="87"/>
      <c r="W837" s="87"/>
      <c r="X837" s="87"/>
      <c r="Y837" s="87"/>
      <c r="Z837" s="87"/>
      <c r="AA837" s="87"/>
      <c r="AB837" s="87"/>
      <c r="AC837" s="243"/>
      <c r="AD837" s="234"/>
      <c r="AE837" s="234"/>
      <c r="AF837" s="234"/>
      <c r="AG837" s="9"/>
      <c r="AH837" s="87"/>
      <c r="AI837" s="87"/>
      <c r="AJ837" s="87"/>
      <c r="AK837" s="244"/>
      <c r="AL837" s="245"/>
      <c r="AM837" s="244"/>
      <c r="AN837" s="244"/>
      <c r="AO837" s="87"/>
      <c r="AP837" s="87"/>
      <c r="AQ837" s="87"/>
      <c r="AR837" s="87"/>
      <c r="AS837" s="87"/>
      <c r="AT837" s="87"/>
      <c r="AU837" s="87"/>
      <c r="AV837" s="87"/>
      <c r="AW837" s="87"/>
      <c r="AX837" s="87"/>
    </row>
    <row r="838">
      <c r="A838" s="9"/>
      <c r="B838" s="87"/>
      <c r="C838" s="87"/>
      <c r="D838" s="87"/>
      <c r="E838" s="9"/>
      <c r="F838" s="87"/>
      <c r="G838" s="87"/>
      <c r="H838" s="87"/>
      <c r="I838" s="9"/>
      <c r="J838" s="87"/>
      <c r="K838" s="87"/>
      <c r="L838" s="87"/>
      <c r="M838" s="9"/>
      <c r="N838" s="87"/>
      <c r="O838" s="87"/>
      <c r="P838" s="87"/>
      <c r="Q838" s="9"/>
      <c r="R838" s="87"/>
      <c r="S838" s="87"/>
      <c r="T838" s="87"/>
      <c r="U838" s="9"/>
      <c r="V838" s="87"/>
      <c r="W838" s="87"/>
      <c r="X838" s="87"/>
      <c r="Y838" s="87"/>
      <c r="Z838" s="87"/>
      <c r="AA838" s="87"/>
      <c r="AB838" s="87"/>
      <c r="AC838" s="243"/>
      <c r="AD838" s="234"/>
      <c r="AE838" s="234"/>
      <c r="AF838" s="234"/>
      <c r="AG838" s="9"/>
      <c r="AH838" s="87"/>
      <c r="AI838" s="87"/>
      <c r="AJ838" s="87"/>
      <c r="AK838" s="244"/>
      <c r="AL838" s="245"/>
      <c r="AM838" s="244"/>
      <c r="AN838" s="244"/>
      <c r="AO838" s="87"/>
      <c r="AP838" s="87"/>
      <c r="AQ838" s="87"/>
      <c r="AR838" s="87"/>
      <c r="AS838" s="87"/>
      <c r="AT838" s="87"/>
      <c r="AU838" s="87"/>
      <c r="AV838" s="87"/>
      <c r="AW838" s="87"/>
      <c r="AX838" s="87"/>
    </row>
    <row r="839">
      <c r="A839" s="9"/>
      <c r="B839" s="87"/>
      <c r="C839" s="87"/>
      <c r="D839" s="87"/>
      <c r="E839" s="9"/>
      <c r="F839" s="87"/>
      <c r="G839" s="87"/>
      <c r="H839" s="87"/>
      <c r="I839" s="9"/>
      <c r="J839" s="87"/>
      <c r="K839" s="87"/>
      <c r="L839" s="87"/>
      <c r="M839" s="9"/>
      <c r="N839" s="87"/>
      <c r="O839" s="87"/>
      <c r="P839" s="87"/>
      <c r="Q839" s="9"/>
      <c r="R839" s="87"/>
      <c r="S839" s="87"/>
      <c r="T839" s="87"/>
      <c r="U839" s="9"/>
      <c r="V839" s="87"/>
      <c r="W839" s="87"/>
      <c r="X839" s="87"/>
      <c r="Y839" s="87"/>
      <c r="Z839" s="87"/>
      <c r="AA839" s="87"/>
      <c r="AB839" s="87"/>
      <c r="AC839" s="243"/>
      <c r="AD839" s="234"/>
      <c r="AE839" s="234"/>
      <c r="AF839" s="234"/>
      <c r="AG839" s="9"/>
      <c r="AH839" s="87"/>
      <c r="AI839" s="87"/>
      <c r="AJ839" s="87"/>
      <c r="AK839" s="244"/>
      <c r="AL839" s="245"/>
      <c r="AM839" s="244"/>
      <c r="AN839" s="244"/>
      <c r="AO839" s="87"/>
      <c r="AP839" s="87"/>
      <c r="AQ839" s="87"/>
      <c r="AR839" s="87"/>
      <c r="AS839" s="87"/>
      <c r="AT839" s="87"/>
      <c r="AU839" s="87"/>
      <c r="AV839" s="87"/>
      <c r="AW839" s="87"/>
      <c r="AX839" s="87"/>
    </row>
    <row r="840">
      <c r="A840" s="9"/>
      <c r="B840" s="87"/>
      <c r="C840" s="87"/>
      <c r="D840" s="87"/>
      <c r="E840" s="9"/>
      <c r="F840" s="87"/>
      <c r="G840" s="87"/>
      <c r="H840" s="87"/>
      <c r="I840" s="9"/>
      <c r="J840" s="87"/>
      <c r="K840" s="87"/>
      <c r="L840" s="87"/>
      <c r="M840" s="9"/>
      <c r="N840" s="87"/>
      <c r="O840" s="87"/>
      <c r="P840" s="87"/>
      <c r="Q840" s="9"/>
      <c r="R840" s="87"/>
      <c r="S840" s="87"/>
      <c r="T840" s="87"/>
      <c r="U840" s="9"/>
      <c r="V840" s="87"/>
      <c r="W840" s="87"/>
      <c r="X840" s="87"/>
      <c r="Y840" s="87"/>
      <c r="Z840" s="87"/>
      <c r="AA840" s="87"/>
      <c r="AB840" s="87"/>
      <c r="AC840" s="243"/>
      <c r="AD840" s="234"/>
      <c r="AE840" s="234"/>
      <c r="AF840" s="234"/>
      <c r="AG840" s="9"/>
      <c r="AH840" s="87"/>
      <c r="AI840" s="87"/>
      <c r="AJ840" s="87"/>
      <c r="AK840" s="244"/>
      <c r="AL840" s="245"/>
      <c r="AM840" s="244"/>
      <c r="AN840" s="244"/>
      <c r="AO840" s="87"/>
      <c r="AP840" s="87"/>
      <c r="AQ840" s="87"/>
      <c r="AR840" s="87"/>
      <c r="AS840" s="87"/>
      <c r="AT840" s="87"/>
      <c r="AU840" s="87"/>
      <c r="AV840" s="87"/>
      <c r="AW840" s="87"/>
      <c r="AX840" s="87"/>
    </row>
    <row r="841">
      <c r="A841" s="9"/>
      <c r="B841" s="87"/>
      <c r="C841" s="87"/>
      <c r="D841" s="87"/>
      <c r="E841" s="9"/>
      <c r="F841" s="87"/>
      <c r="G841" s="87"/>
      <c r="H841" s="87"/>
      <c r="I841" s="9"/>
      <c r="J841" s="87"/>
      <c r="K841" s="87"/>
      <c r="L841" s="87"/>
      <c r="M841" s="9"/>
      <c r="N841" s="87"/>
      <c r="O841" s="87"/>
      <c r="P841" s="87"/>
      <c r="Q841" s="9"/>
      <c r="R841" s="87"/>
      <c r="S841" s="87"/>
      <c r="T841" s="87"/>
      <c r="U841" s="9"/>
      <c r="V841" s="87"/>
      <c r="W841" s="87"/>
      <c r="X841" s="87"/>
      <c r="Y841" s="87"/>
      <c r="Z841" s="87"/>
      <c r="AA841" s="87"/>
      <c r="AB841" s="87"/>
      <c r="AC841" s="243"/>
      <c r="AD841" s="234"/>
      <c r="AE841" s="234"/>
      <c r="AF841" s="234"/>
      <c r="AG841" s="9"/>
      <c r="AH841" s="87"/>
      <c r="AI841" s="87"/>
      <c r="AJ841" s="87"/>
      <c r="AK841" s="244"/>
      <c r="AL841" s="245"/>
      <c r="AM841" s="244"/>
      <c r="AN841" s="244"/>
      <c r="AO841" s="87"/>
      <c r="AP841" s="87"/>
      <c r="AQ841" s="87"/>
      <c r="AR841" s="87"/>
      <c r="AS841" s="87"/>
      <c r="AT841" s="87"/>
      <c r="AU841" s="87"/>
      <c r="AV841" s="87"/>
      <c r="AW841" s="87"/>
      <c r="AX841" s="87"/>
    </row>
    <row r="842">
      <c r="A842" s="9"/>
      <c r="B842" s="87"/>
      <c r="C842" s="87"/>
      <c r="D842" s="87"/>
      <c r="E842" s="9"/>
      <c r="F842" s="87"/>
      <c r="G842" s="87"/>
      <c r="H842" s="87"/>
      <c r="I842" s="9"/>
      <c r="J842" s="87"/>
      <c r="K842" s="87"/>
      <c r="L842" s="87"/>
      <c r="M842" s="9"/>
      <c r="N842" s="87"/>
      <c r="O842" s="87"/>
      <c r="P842" s="87"/>
      <c r="Q842" s="9"/>
      <c r="R842" s="87"/>
      <c r="S842" s="87"/>
      <c r="T842" s="87"/>
      <c r="U842" s="9"/>
      <c r="V842" s="87"/>
      <c r="W842" s="87"/>
      <c r="X842" s="87"/>
      <c r="Y842" s="87"/>
      <c r="Z842" s="87"/>
      <c r="AA842" s="87"/>
      <c r="AB842" s="87"/>
      <c r="AC842" s="243"/>
      <c r="AD842" s="234"/>
      <c r="AE842" s="234"/>
      <c r="AF842" s="234"/>
      <c r="AG842" s="9"/>
      <c r="AH842" s="87"/>
      <c r="AI842" s="87"/>
      <c r="AJ842" s="87"/>
      <c r="AK842" s="244"/>
      <c r="AL842" s="245"/>
      <c r="AM842" s="244"/>
      <c r="AN842" s="244"/>
      <c r="AO842" s="87"/>
      <c r="AP842" s="87"/>
      <c r="AQ842" s="87"/>
      <c r="AR842" s="87"/>
      <c r="AS842" s="87"/>
      <c r="AT842" s="87"/>
      <c r="AU842" s="87"/>
      <c r="AV842" s="87"/>
      <c r="AW842" s="87"/>
      <c r="AX842" s="87"/>
    </row>
    <row r="843">
      <c r="A843" s="9"/>
      <c r="B843" s="87"/>
      <c r="C843" s="87"/>
      <c r="D843" s="87"/>
      <c r="E843" s="9"/>
      <c r="F843" s="87"/>
      <c r="G843" s="87"/>
      <c r="H843" s="87"/>
      <c r="I843" s="9"/>
      <c r="J843" s="87"/>
      <c r="K843" s="87"/>
      <c r="L843" s="87"/>
      <c r="M843" s="9"/>
      <c r="N843" s="87"/>
      <c r="O843" s="87"/>
      <c r="P843" s="87"/>
      <c r="Q843" s="9"/>
      <c r="R843" s="87"/>
      <c r="S843" s="87"/>
      <c r="T843" s="87"/>
      <c r="U843" s="9"/>
      <c r="V843" s="87"/>
      <c r="W843" s="87"/>
      <c r="X843" s="87"/>
      <c r="Y843" s="87"/>
      <c r="Z843" s="87"/>
      <c r="AA843" s="87"/>
      <c r="AB843" s="87"/>
      <c r="AC843" s="243"/>
      <c r="AD843" s="234"/>
      <c r="AE843" s="234"/>
      <c r="AF843" s="234"/>
      <c r="AG843" s="9"/>
      <c r="AH843" s="87"/>
      <c r="AI843" s="87"/>
      <c r="AJ843" s="87"/>
      <c r="AK843" s="244"/>
      <c r="AL843" s="245"/>
      <c r="AM843" s="244"/>
      <c r="AN843" s="244"/>
      <c r="AO843" s="87"/>
      <c r="AP843" s="87"/>
      <c r="AQ843" s="87"/>
      <c r="AR843" s="87"/>
      <c r="AS843" s="87"/>
      <c r="AT843" s="87"/>
      <c r="AU843" s="87"/>
      <c r="AV843" s="87"/>
      <c r="AW843" s="87"/>
      <c r="AX843" s="87"/>
    </row>
    <row r="844">
      <c r="A844" s="9"/>
      <c r="B844" s="87"/>
      <c r="C844" s="87"/>
      <c r="D844" s="87"/>
      <c r="E844" s="9"/>
      <c r="F844" s="87"/>
      <c r="G844" s="87"/>
      <c r="H844" s="87"/>
      <c r="I844" s="9"/>
      <c r="J844" s="87"/>
      <c r="K844" s="87"/>
      <c r="L844" s="87"/>
      <c r="M844" s="9"/>
      <c r="N844" s="87"/>
      <c r="O844" s="87"/>
      <c r="P844" s="87"/>
      <c r="Q844" s="9"/>
      <c r="R844" s="87"/>
      <c r="S844" s="87"/>
      <c r="T844" s="87"/>
      <c r="U844" s="9"/>
      <c r="V844" s="87"/>
      <c r="W844" s="87"/>
      <c r="X844" s="87"/>
      <c r="Y844" s="87"/>
      <c r="Z844" s="87"/>
      <c r="AA844" s="87"/>
      <c r="AB844" s="87"/>
      <c r="AC844" s="243"/>
      <c r="AD844" s="234"/>
      <c r="AE844" s="234"/>
      <c r="AF844" s="234"/>
      <c r="AG844" s="9"/>
      <c r="AH844" s="87"/>
      <c r="AI844" s="87"/>
      <c r="AJ844" s="87"/>
      <c r="AK844" s="244"/>
      <c r="AL844" s="245"/>
      <c r="AM844" s="244"/>
      <c r="AN844" s="244"/>
      <c r="AO844" s="87"/>
      <c r="AP844" s="87"/>
      <c r="AQ844" s="87"/>
      <c r="AR844" s="87"/>
      <c r="AS844" s="87"/>
      <c r="AT844" s="87"/>
      <c r="AU844" s="87"/>
      <c r="AV844" s="87"/>
      <c r="AW844" s="87"/>
      <c r="AX844" s="87"/>
    </row>
    <row r="845">
      <c r="A845" s="9"/>
      <c r="B845" s="87"/>
      <c r="C845" s="87"/>
      <c r="D845" s="87"/>
      <c r="E845" s="9"/>
      <c r="F845" s="87"/>
      <c r="G845" s="87"/>
      <c r="H845" s="87"/>
      <c r="I845" s="9"/>
      <c r="J845" s="87"/>
      <c r="K845" s="87"/>
      <c r="L845" s="87"/>
      <c r="M845" s="9"/>
      <c r="N845" s="87"/>
      <c r="O845" s="87"/>
      <c r="P845" s="87"/>
      <c r="Q845" s="9"/>
      <c r="R845" s="87"/>
      <c r="S845" s="87"/>
      <c r="T845" s="87"/>
      <c r="U845" s="9"/>
      <c r="V845" s="87"/>
      <c r="W845" s="87"/>
      <c r="X845" s="87"/>
      <c r="Y845" s="87"/>
      <c r="Z845" s="87"/>
      <c r="AA845" s="87"/>
      <c r="AB845" s="87"/>
      <c r="AC845" s="243"/>
      <c r="AD845" s="234"/>
      <c r="AE845" s="234"/>
      <c r="AF845" s="234"/>
      <c r="AG845" s="9"/>
      <c r="AH845" s="87"/>
      <c r="AI845" s="87"/>
      <c r="AJ845" s="87"/>
      <c r="AK845" s="244"/>
      <c r="AL845" s="245"/>
      <c r="AM845" s="244"/>
      <c r="AN845" s="244"/>
      <c r="AO845" s="87"/>
      <c r="AP845" s="87"/>
      <c r="AQ845" s="87"/>
      <c r="AR845" s="87"/>
      <c r="AS845" s="87"/>
      <c r="AT845" s="87"/>
      <c r="AU845" s="87"/>
      <c r="AV845" s="87"/>
      <c r="AW845" s="87"/>
      <c r="AX845" s="87"/>
    </row>
    <row r="846">
      <c r="A846" s="9"/>
      <c r="B846" s="87"/>
      <c r="C846" s="87"/>
      <c r="D846" s="87"/>
      <c r="E846" s="9"/>
      <c r="F846" s="87"/>
      <c r="G846" s="87"/>
      <c r="H846" s="87"/>
      <c r="I846" s="9"/>
      <c r="J846" s="87"/>
      <c r="K846" s="87"/>
      <c r="L846" s="87"/>
      <c r="M846" s="9"/>
      <c r="N846" s="87"/>
      <c r="O846" s="87"/>
      <c r="P846" s="87"/>
      <c r="Q846" s="9"/>
      <c r="R846" s="87"/>
      <c r="S846" s="87"/>
      <c r="T846" s="87"/>
      <c r="U846" s="9"/>
      <c r="V846" s="87"/>
      <c r="W846" s="87"/>
      <c r="X846" s="87"/>
      <c r="Y846" s="87"/>
      <c r="Z846" s="87"/>
      <c r="AA846" s="87"/>
      <c r="AB846" s="87"/>
      <c r="AC846" s="243"/>
      <c r="AD846" s="234"/>
      <c r="AE846" s="234"/>
      <c r="AF846" s="234"/>
      <c r="AG846" s="9"/>
      <c r="AH846" s="87"/>
      <c r="AI846" s="87"/>
      <c r="AJ846" s="87"/>
      <c r="AK846" s="244"/>
      <c r="AL846" s="245"/>
      <c r="AM846" s="244"/>
      <c r="AN846" s="244"/>
      <c r="AO846" s="87"/>
      <c r="AP846" s="87"/>
      <c r="AQ846" s="87"/>
      <c r="AR846" s="87"/>
      <c r="AS846" s="87"/>
      <c r="AT846" s="87"/>
      <c r="AU846" s="87"/>
      <c r="AV846" s="87"/>
      <c r="AW846" s="87"/>
      <c r="AX846" s="87"/>
    </row>
    <row r="847">
      <c r="A847" s="9"/>
      <c r="B847" s="87"/>
      <c r="C847" s="87"/>
      <c r="D847" s="87"/>
      <c r="E847" s="9"/>
      <c r="F847" s="87"/>
      <c r="G847" s="87"/>
      <c r="H847" s="87"/>
      <c r="I847" s="9"/>
      <c r="J847" s="87"/>
      <c r="K847" s="87"/>
      <c r="L847" s="87"/>
      <c r="M847" s="9"/>
      <c r="N847" s="87"/>
      <c r="O847" s="87"/>
      <c r="P847" s="87"/>
      <c r="Q847" s="9"/>
      <c r="R847" s="87"/>
      <c r="S847" s="87"/>
      <c r="T847" s="87"/>
      <c r="U847" s="9"/>
      <c r="V847" s="87"/>
      <c r="W847" s="87"/>
      <c r="X847" s="87"/>
      <c r="Y847" s="87"/>
      <c r="Z847" s="87"/>
      <c r="AA847" s="87"/>
      <c r="AB847" s="87"/>
      <c r="AC847" s="243"/>
      <c r="AD847" s="234"/>
      <c r="AE847" s="234"/>
      <c r="AF847" s="234"/>
      <c r="AG847" s="9"/>
      <c r="AH847" s="87"/>
      <c r="AI847" s="87"/>
      <c r="AJ847" s="87"/>
      <c r="AK847" s="244"/>
      <c r="AL847" s="245"/>
      <c r="AM847" s="244"/>
      <c r="AN847" s="244"/>
      <c r="AO847" s="87"/>
      <c r="AP847" s="87"/>
      <c r="AQ847" s="87"/>
      <c r="AR847" s="87"/>
      <c r="AS847" s="87"/>
      <c r="AT847" s="87"/>
      <c r="AU847" s="87"/>
      <c r="AV847" s="87"/>
      <c r="AW847" s="87"/>
      <c r="AX847" s="87"/>
    </row>
    <row r="848">
      <c r="A848" s="9"/>
      <c r="B848" s="87"/>
      <c r="C848" s="87"/>
      <c r="D848" s="87"/>
      <c r="E848" s="9"/>
      <c r="F848" s="87"/>
      <c r="G848" s="87"/>
      <c r="H848" s="87"/>
      <c r="I848" s="9"/>
      <c r="J848" s="87"/>
      <c r="K848" s="87"/>
      <c r="L848" s="87"/>
      <c r="M848" s="9"/>
      <c r="N848" s="87"/>
      <c r="O848" s="87"/>
      <c r="P848" s="87"/>
      <c r="Q848" s="9"/>
      <c r="R848" s="87"/>
      <c r="S848" s="87"/>
      <c r="T848" s="87"/>
      <c r="U848" s="9"/>
      <c r="V848" s="87"/>
      <c r="W848" s="87"/>
      <c r="X848" s="87"/>
      <c r="Y848" s="87"/>
      <c r="Z848" s="87"/>
      <c r="AA848" s="87"/>
      <c r="AB848" s="87"/>
      <c r="AC848" s="243"/>
      <c r="AD848" s="234"/>
      <c r="AE848" s="234"/>
      <c r="AF848" s="234"/>
      <c r="AG848" s="9"/>
      <c r="AH848" s="87"/>
      <c r="AI848" s="87"/>
      <c r="AJ848" s="87"/>
      <c r="AK848" s="244"/>
      <c r="AL848" s="245"/>
      <c r="AM848" s="244"/>
      <c r="AN848" s="244"/>
      <c r="AO848" s="87"/>
      <c r="AP848" s="87"/>
      <c r="AQ848" s="87"/>
      <c r="AR848" s="87"/>
      <c r="AS848" s="87"/>
      <c r="AT848" s="87"/>
      <c r="AU848" s="87"/>
      <c r="AV848" s="87"/>
      <c r="AW848" s="87"/>
      <c r="AX848" s="87"/>
    </row>
    <row r="849">
      <c r="A849" s="9"/>
      <c r="B849" s="87"/>
      <c r="C849" s="87"/>
      <c r="D849" s="87"/>
      <c r="E849" s="9"/>
      <c r="F849" s="87"/>
      <c r="G849" s="87"/>
      <c r="H849" s="87"/>
      <c r="I849" s="9"/>
      <c r="J849" s="87"/>
      <c r="K849" s="87"/>
      <c r="L849" s="87"/>
      <c r="M849" s="9"/>
      <c r="N849" s="87"/>
      <c r="O849" s="87"/>
      <c r="P849" s="87"/>
      <c r="Q849" s="9"/>
      <c r="R849" s="87"/>
      <c r="S849" s="87"/>
      <c r="T849" s="87"/>
      <c r="U849" s="9"/>
      <c r="V849" s="87"/>
      <c r="W849" s="87"/>
      <c r="X849" s="87"/>
      <c r="Y849" s="87"/>
      <c r="Z849" s="87"/>
      <c r="AA849" s="87"/>
      <c r="AB849" s="87"/>
      <c r="AC849" s="243"/>
      <c r="AD849" s="234"/>
      <c r="AE849" s="234"/>
      <c r="AF849" s="234"/>
      <c r="AG849" s="9"/>
      <c r="AH849" s="87"/>
      <c r="AI849" s="87"/>
      <c r="AJ849" s="87"/>
      <c r="AK849" s="244"/>
      <c r="AL849" s="245"/>
      <c r="AM849" s="244"/>
      <c r="AN849" s="244"/>
      <c r="AO849" s="87"/>
      <c r="AP849" s="87"/>
      <c r="AQ849" s="87"/>
      <c r="AR849" s="87"/>
      <c r="AS849" s="87"/>
      <c r="AT849" s="87"/>
      <c r="AU849" s="87"/>
      <c r="AV849" s="87"/>
      <c r="AW849" s="87"/>
      <c r="AX849" s="87"/>
    </row>
    <row r="850">
      <c r="A850" s="9"/>
      <c r="B850" s="87"/>
      <c r="C850" s="87"/>
      <c r="D850" s="87"/>
      <c r="E850" s="9"/>
      <c r="F850" s="87"/>
      <c r="G850" s="87"/>
      <c r="H850" s="87"/>
      <c r="I850" s="9"/>
      <c r="J850" s="87"/>
      <c r="K850" s="87"/>
      <c r="L850" s="87"/>
      <c r="M850" s="9"/>
      <c r="N850" s="87"/>
      <c r="O850" s="87"/>
      <c r="P850" s="87"/>
      <c r="Q850" s="9"/>
      <c r="R850" s="87"/>
      <c r="S850" s="87"/>
      <c r="T850" s="87"/>
      <c r="U850" s="9"/>
      <c r="V850" s="87"/>
      <c r="W850" s="87"/>
      <c r="X850" s="87"/>
      <c r="Y850" s="87"/>
      <c r="Z850" s="87"/>
      <c r="AA850" s="87"/>
      <c r="AB850" s="87"/>
      <c r="AC850" s="243"/>
      <c r="AD850" s="234"/>
      <c r="AE850" s="234"/>
      <c r="AF850" s="234"/>
      <c r="AG850" s="9"/>
      <c r="AH850" s="87"/>
      <c r="AI850" s="87"/>
      <c r="AJ850" s="87"/>
      <c r="AK850" s="244"/>
      <c r="AL850" s="245"/>
      <c r="AM850" s="244"/>
      <c r="AN850" s="244"/>
      <c r="AO850" s="87"/>
      <c r="AP850" s="87"/>
      <c r="AQ850" s="87"/>
      <c r="AR850" s="87"/>
      <c r="AS850" s="87"/>
      <c r="AT850" s="87"/>
      <c r="AU850" s="87"/>
      <c r="AV850" s="87"/>
      <c r="AW850" s="87"/>
      <c r="AX850" s="87"/>
    </row>
    <row r="851">
      <c r="A851" s="9"/>
      <c r="B851" s="87"/>
      <c r="C851" s="87"/>
      <c r="D851" s="87"/>
      <c r="E851" s="9"/>
      <c r="F851" s="87"/>
      <c r="G851" s="87"/>
      <c r="H851" s="87"/>
      <c r="I851" s="9"/>
      <c r="J851" s="87"/>
      <c r="K851" s="87"/>
      <c r="L851" s="87"/>
      <c r="M851" s="9"/>
      <c r="N851" s="87"/>
      <c r="O851" s="87"/>
      <c r="P851" s="87"/>
      <c r="Q851" s="9"/>
      <c r="R851" s="87"/>
      <c r="S851" s="87"/>
      <c r="T851" s="87"/>
      <c r="U851" s="9"/>
      <c r="V851" s="87"/>
      <c r="W851" s="87"/>
      <c r="X851" s="87"/>
      <c r="Y851" s="87"/>
      <c r="Z851" s="87"/>
      <c r="AA851" s="87"/>
      <c r="AB851" s="87"/>
      <c r="AC851" s="243"/>
      <c r="AD851" s="234"/>
      <c r="AE851" s="234"/>
      <c r="AF851" s="234"/>
      <c r="AG851" s="9"/>
      <c r="AH851" s="87"/>
      <c r="AI851" s="87"/>
      <c r="AJ851" s="87"/>
      <c r="AK851" s="244"/>
      <c r="AL851" s="245"/>
      <c r="AM851" s="244"/>
      <c r="AN851" s="244"/>
      <c r="AO851" s="87"/>
      <c r="AP851" s="87"/>
      <c r="AQ851" s="87"/>
      <c r="AR851" s="87"/>
      <c r="AS851" s="87"/>
      <c r="AT851" s="87"/>
      <c r="AU851" s="87"/>
      <c r="AV851" s="87"/>
      <c r="AW851" s="87"/>
      <c r="AX851" s="87"/>
    </row>
    <row r="852">
      <c r="A852" s="9"/>
      <c r="B852" s="87"/>
      <c r="C852" s="87"/>
      <c r="D852" s="87"/>
      <c r="E852" s="9"/>
      <c r="F852" s="87"/>
      <c r="G852" s="87"/>
      <c r="H852" s="87"/>
      <c r="I852" s="9"/>
      <c r="J852" s="87"/>
      <c r="K852" s="87"/>
      <c r="L852" s="87"/>
      <c r="M852" s="9"/>
      <c r="N852" s="87"/>
      <c r="O852" s="87"/>
      <c r="P852" s="87"/>
      <c r="Q852" s="9"/>
      <c r="R852" s="87"/>
      <c r="S852" s="87"/>
      <c r="T852" s="87"/>
      <c r="U852" s="9"/>
      <c r="V852" s="87"/>
      <c r="W852" s="87"/>
      <c r="X852" s="87"/>
      <c r="Y852" s="87"/>
      <c r="Z852" s="87"/>
      <c r="AA852" s="87"/>
      <c r="AB852" s="87"/>
      <c r="AC852" s="243"/>
      <c r="AD852" s="234"/>
      <c r="AE852" s="234"/>
      <c r="AF852" s="234"/>
      <c r="AG852" s="9"/>
      <c r="AH852" s="87"/>
      <c r="AI852" s="87"/>
      <c r="AJ852" s="87"/>
      <c r="AK852" s="244"/>
      <c r="AL852" s="245"/>
      <c r="AM852" s="244"/>
      <c r="AN852" s="244"/>
      <c r="AO852" s="87"/>
      <c r="AP852" s="87"/>
      <c r="AQ852" s="87"/>
      <c r="AR852" s="87"/>
      <c r="AS852" s="87"/>
      <c r="AT852" s="87"/>
      <c r="AU852" s="87"/>
      <c r="AV852" s="87"/>
      <c r="AW852" s="87"/>
      <c r="AX852" s="87"/>
    </row>
    <row r="853">
      <c r="A853" s="9"/>
      <c r="B853" s="87"/>
      <c r="C853" s="87"/>
      <c r="D853" s="87"/>
      <c r="E853" s="9"/>
      <c r="F853" s="87"/>
      <c r="G853" s="87"/>
      <c r="H853" s="87"/>
      <c r="I853" s="9"/>
      <c r="J853" s="87"/>
      <c r="K853" s="87"/>
      <c r="L853" s="87"/>
      <c r="M853" s="9"/>
      <c r="N853" s="87"/>
      <c r="O853" s="87"/>
      <c r="P853" s="87"/>
      <c r="Q853" s="9"/>
      <c r="R853" s="87"/>
      <c r="S853" s="87"/>
      <c r="T853" s="87"/>
      <c r="U853" s="9"/>
      <c r="V853" s="87"/>
      <c r="W853" s="87"/>
      <c r="X853" s="87"/>
      <c r="Y853" s="87"/>
      <c r="Z853" s="87"/>
      <c r="AA853" s="87"/>
      <c r="AB853" s="87"/>
      <c r="AC853" s="243"/>
      <c r="AD853" s="234"/>
      <c r="AE853" s="234"/>
      <c r="AF853" s="234"/>
      <c r="AG853" s="9"/>
      <c r="AH853" s="87"/>
      <c r="AI853" s="87"/>
      <c r="AJ853" s="87"/>
      <c r="AK853" s="244"/>
      <c r="AL853" s="245"/>
      <c r="AM853" s="244"/>
      <c r="AN853" s="244"/>
      <c r="AO853" s="87"/>
      <c r="AP853" s="87"/>
      <c r="AQ853" s="87"/>
      <c r="AR853" s="87"/>
      <c r="AS853" s="87"/>
      <c r="AT853" s="87"/>
      <c r="AU853" s="87"/>
      <c r="AV853" s="87"/>
      <c r="AW853" s="87"/>
      <c r="AX853" s="87"/>
    </row>
    <row r="854">
      <c r="A854" s="9"/>
      <c r="B854" s="87"/>
      <c r="C854" s="87"/>
      <c r="D854" s="87"/>
      <c r="E854" s="9"/>
      <c r="F854" s="87"/>
      <c r="G854" s="87"/>
      <c r="H854" s="87"/>
      <c r="I854" s="9"/>
      <c r="J854" s="87"/>
      <c r="K854" s="87"/>
      <c r="L854" s="87"/>
      <c r="M854" s="9"/>
      <c r="N854" s="87"/>
      <c r="O854" s="87"/>
      <c r="P854" s="87"/>
      <c r="Q854" s="9"/>
      <c r="R854" s="87"/>
      <c r="S854" s="87"/>
      <c r="T854" s="87"/>
      <c r="U854" s="9"/>
      <c r="V854" s="87"/>
      <c r="W854" s="87"/>
      <c r="X854" s="87"/>
      <c r="Y854" s="87"/>
      <c r="Z854" s="87"/>
      <c r="AA854" s="87"/>
      <c r="AB854" s="87"/>
      <c r="AC854" s="243"/>
      <c r="AD854" s="234"/>
      <c r="AE854" s="234"/>
      <c r="AF854" s="234"/>
      <c r="AG854" s="9"/>
      <c r="AH854" s="87"/>
      <c r="AI854" s="87"/>
      <c r="AJ854" s="87"/>
      <c r="AK854" s="244"/>
      <c r="AL854" s="245"/>
      <c r="AM854" s="244"/>
      <c r="AN854" s="244"/>
      <c r="AO854" s="87"/>
      <c r="AP854" s="87"/>
      <c r="AQ854" s="87"/>
      <c r="AR854" s="87"/>
      <c r="AS854" s="87"/>
      <c r="AT854" s="87"/>
      <c r="AU854" s="87"/>
      <c r="AV854" s="87"/>
      <c r="AW854" s="87"/>
      <c r="AX854" s="87"/>
    </row>
    <row r="855">
      <c r="A855" s="9"/>
      <c r="B855" s="87"/>
      <c r="C855" s="87"/>
      <c r="D855" s="87"/>
      <c r="E855" s="9"/>
      <c r="F855" s="87"/>
      <c r="G855" s="87"/>
      <c r="H855" s="87"/>
      <c r="I855" s="9"/>
      <c r="J855" s="87"/>
      <c r="K855" s="87"/>
      <c r="L855" s="87"/>
      <c r="M855" s="9"/>
      <c r="N855" s="87"/>
      <c r="O855" s="87"/>
      <c r="P855" s="87"/>
      <c r="Q855" s="9"/>
      <c r="R855" s="87"/>
      <c r="S855" s="87"/>
      <c r="T855" s="87"/>
      <c r="U855" s="9"/>
      <c r="V855" s="87"/>
      <c r="W855" s="87"/>
      <c r="X855" s="87"/>
      <c r="Y855" s="87"/>
      <c r="Z855" s="87"/>
      <c r="AA855" s="87"/>
      <c r="AB855" s="87"/>
      <c r="AC855" s="243"/>
      <c r="AD855" s="234"/>
      <c r="AE855" s="234"/>
      <c r="AF855" s="234"/>
      <c r="AG855" s="9"/>
      <c r="AH855" s="87"/>
      <c r="AI855" s="87"/>
      <c r="AJ855" s="87"/>
      <c r="AK855" s="244"/>
      <c r="AL855" s="245"/>
      <c r="AM855" s="244"/>
      <c r="AN855" s="244"/>
      <c r="AO855" s="87"/>
      <c r="AP855" s="87"/>
      <c r="AQ855" s="87"/>
      <c r="AR855" s="87"/>
      <c r="AS855" s="87"/>
      <c r="AT855" s="87"/>
      <c r="AU855" s="87"/>
      <c r="AV855" s="87"/>
      <c r="AW855" s="87"/>
      <c r="AX855" s="87"/>
    </row>
    <row r="856">
      <c r="A856" s="9"/>
      <c r="B856" s="87"/>
      <c r="C856" s="87"/>
      <c r="D856" s="87"/>
      <c r="E856" s="9"/>
      <c r="F856" s="87"/>
      <c r="G856" s="87"/>
      <c r="H856" s="87"/>
      <c r="I856" s="9"/>
      <c r="J856" s="87"/>
      <c r="K856" s="87"/>
      <c r="L856" s="87"/>
      <c r="M856" s="9"/>
      <c r="N856" s="87"/>
      <c r="O856" s="87"/>
      <c r="P856" s="87"/>
      <c r="Q856" s="9"/>
      <c r="R856" s="87"/>
      <c r="S856" s="87"/>
      <c r="T856" s="87"/>
      <c r="U856" s="9"/>
      <c r="V856" s="87"/>
      <c r="W856" s="87"/>
      <c r="X856" s="87"/>
      <c r="Y856" s="87"/>
      <c r="Z856" s="87"/>
      <c r="AA856" s="87"/>
      <c r="AB856" s="87"/>
      <c r="AC856" s="243"/>
      <c r="AD856" s="234"/>
      <c r="AE856" s="234"/>
      <c r="AF856" s="234"/>
      <c r="AG856" s="9"/>
      <c r="AH856" s="87"/>
      <c r="AI856" s="87"/>
      <c r="AJ856" s="87"/>
      <c r="AK856" s="244"/>
      <c r="AL856" s="245"/>
      <c r="AM856" s="244"/>
      <c r="AN856" s="244"/>
      <c r="AO856" s="87"/>
      <c r="AP856" s="87"/>
      <c r="AQ856" s="87"/>
      <c r="AR856" s="87"/>
      <c r="AS856" s="87"/>
      <c r="AT856" s="87"/>
      <c r="AU856" s="87"/>
      <c r="AV856" s="87"/>
      <c r="AW856" s="87"/>
      <c r="AX856" s="87"/>
    </row>
    <row r="857">
      <c r="A857" s="9"/>
      <c r="B857" s="87"/>
      <c r="C857" s="87"/>
      <c r="D857" s="87"/>
      <c r="E857" s="9"/>
      <c r="F857" s="87"/>
      <c r="G857" s="87"/>
      <c r="H857" s="87"/>
      <c r="I857" s="9"/>
      <c r="J857" s="87"/>
      <c r="K857" s="87"/>
      <c r="L857" s="87"/>
      <c r="M857" s="9"/>
      <c r="N857" s="87"/>
      <c r="O857" s="87"/>
      <c r="P857" s="87"/>
      <c r="Q857" s="9"/>
      <c r="R857" s="87"/>
      <c r="S857" s="87"/>
      <c r="T857" s="87"/>
      <c r="U857" s="9"/>
      <c r="V857" s="87"/>
      <c r="W857" s="87"/>
      <c r="X857" s="87"/>
      <c r="Y857" s="87"/>
      <c r="Z857" s="87"/>
      <c r="AA857" s="87"/>
      <c r="AB857" s="87"/>
      <c r="AC857" s="243"/>
      <c r="AD857" s="234"/>
      <c r="AE857" s="234"/>
      <c r="AF857" s="234"/>
      <c r="AG857" s="9"/>
      <c r="AH857" s="87"/>
      <c r="AI857" s="87"/>
      <c r="AJ857" s="87"/>
      <c r="AK857" s="244"/>
      <c r="AL857" s="245"/>
      <c r="AM857" s="244"/>
      <c r="AN857" s="244"/>
      <c r="AO857" s="87"/>
      <c r="AP857" s="87"/>
      <c r="AQ857" s="87"/>
      <c r="AR857" s="87"/>
      <c r="AS857" s="87"/>
      <c r="AT857" s="87"/>
      <c r="AU857" s="87"/>
      <c r="AV857" s="87"/>
      <c r="AW857" s="87"/>
      <c r="AX857" s="87"/>
    </row>
    <row r="858">
      <c r="A858" s="9"/>
      <c r="B858" s="87"/>
      <c r="C858" s="87"/>
      <c r="D858" s="87"/>
      <c r="E858" s="9"/>
      <c r="F858" s="87"/>
      <c r="G858" s="87"/>
      <c r="H858" s="87"/>
      <c r="I858" s="9"/>
      <c r="J858" s="87"/>
      <c r="K858" s="87"/>
      <c r="L858" s="87"/>
      <c r="M858" s="9"/>
      <c r="N858" s="87"/>
      <c r="O858" s="87"/>
      <c r="P858" s="87"/>
      <c r="Q858" s="9"/>
      <c r="R858" s="87"/>
      <c r="S858" s="87"/>
      <c r="T858" s="87"/>
      <c r="U858" s="9"/>
      <c r="V858" s="87"/>
      <c r="W858" s="87"/>
      <c r="X858" s="87"/>
      <c r="Y858" s="87"/>
      <c r="Z858" s="87"/>
      <c r="AA858" s="87"/>
      <c r="AB858" s="87"/>
      <c r="AC858" s="243"/>
      <c r="AD858" s="234"/>
      <c r="AE858" s="234"/>
      <c r="AF858" s="234"/>
      <c r="AG858" s="9"/>
      <c r="AH858" s="87"/>
      <c r="AI858" s="87"/>
      <c r="AJ858" s="87"/>
      <c r="AK858" s="244"/>
      <c r="AL858" s="245"/>
      <c r="AM858" s="244"/>
      <c r="AN858" s="244"/>
      <c r="AO858" s="87"/>
      <c r="AP858" s="87"/>
      <c r="AQ858" s="87"/>
      <c r="AR858" s="87"/>
      <c r="AS858" s="87"/>
      <c r="AT858" s="87"/>
      <c r="AU858" s="87"/>
      <c r="AV858" s="87"/>
      <c r="AW858" s="87"/>
      <c r="AX858" s="87"/>
    </row>
    <row r="859">
      <c r="A859" s="9"/>
      <c r="B859" s="87"/>
      <c r="C859" s="87"/>
      <c r="D859" s="87"/>
      <c r="E859" s="9"/>
      <c r="F859" s="87"/>
      <c r="G859" s="87"/>
      <c r="H859" s="87"/>
      <c r="I859" s="9"/>
      <c r="J859" s="87"/>
      <c r="K859" s="87"/>
      <c r="L859" s="87"/>
      <c r="M859" s="9"/>
      <c r="N859" s="87"/>
      <c r="O859" s="87"/>
      <c r="P859" s="87"/>
      <c r="Q859" s="9"/>
      <c r="R859" s="87"/>
      <c r="S859" s="87"/>
      <c r="T859" s="87"/>
      <c r="U859" s="9"/>
      <c r="V859" s="87"/>
      <c r="W859" s="87"/>
      <c r="X859" s="87"/>
      <c r="Y859" s="87"/>
      <c r="Z859" s="87"/>
      <c r="AA859" s="87"/>
      <c r="AB859" s="87"/>
      <c r="AC859" s="243"/>
      <c r="AD859" s="234"/>
      <c r="AE859" s="234"/>
      <c r="AF859" s="234"/>
      <c r="AG859" s="9"/>
      <c r="AH859" s="87"/>
      <c r="AI859" s="87"/>
      <c r="AJ859" s="87"/>
      <c r="AK859" s="244"/>
      <c r="AL859" s="245"/>
      <c r="AM859" s="244"/>
      <c r="AN859" s="244"/>
      <c r="AO859" s="87"/>
      <c r="AP859" s="87"/>
      <c r="AQ859" s="87"/>
      <c r="AR859" s="87"/>
      <c r="AS859" s="87"/>
      <c r="AT859" s="87"/>
      <c r="AU859" s="87"/>
      <c r="AV859" s="87"/>
      <c r="AW859" s="87"/>
      <c r="AX859" s="87"/>
    </row>
    <row r="860">
      <c r="A860" s="9"/>
      <c r="B860" s="87"/>
      <c r="C860" s="87"/>
      <c r="D860" s="87"/>
      <c r="E860" s="9"/>
      <c r="F860" s="87"/>
      <c r="G860" s="87"/>
      <c r="H860" s="87"/>
      <c r="I860" s="9"/>
      <c r="J860" s="87"/>
      <c r="K860" s="87"/>
      <c r="L860" s="87"/>
      <c r="M860" s="9"/>
      <c r="N860" s="87"/>
      <c r="O860" s="87"/>
      <c r="P860" s="87"/>
      <c r="Q860" s="9"/>
      <c r="R860" s="87"/>
      <c r="S860" s="87"/>
      <c r="T860" s="87"/>
      <c r="U860" s="9"/>
      <c r="V860" s="87"/>
      <c r="W860" s="87"/>
      <c r="X860" s="87"/>
      <c r="Y860" s="87"/>
      <c r="Z860" s="87"/>
      <c r="AA860" s="87"/>
      <c r="AB860" s="87"/>
      <c r="AC860" s="243"/>
      <c r="AD860" s="234"/>
      <c r="AE860" s="234"/>
      <c r="AF860" s="234"/>
      <c r="AG860" s="9"/>
      <c r="AH860" s="87"/>
      <c r="AI860" s="87"/>
      <c r="AJ860" s="87"/>
      <c r="AK860" s="244"/>
      <c r="AL860" s="245"/>
      <c r="AM860" s="244"/>
      <c r="AN860" s="244"/>
      <c r="AO860" s="87"/>
      <c r="AP860" s="87"/>
      <c r="AQ860" s="87"/>
      <c r="AR860" s="87"/>
      <c r="AS860" s="87"/>
      <c r="AT860" s="87"/>
      <c r="AU860" s="87"/>
      <c r="AV860" s="87"/>
      <c r="AW860" s="87"/>
      <c r="AX860" s="87"/>
    </row>
    <row r="861">
      <c r="A861" s="9"/>
      <c r="B861" s="87"/>
      <c r="C861" s="87"/>
      <c r="D861" s="87"/>
      <c r="E861" s="9"/>
      <c r="F861" s="87"/>
      <c r="G861" s="87"/>
      <c r="H861" s="87"/>
      <c r="I861" s="9"/>
      <c r="J861" s="87"/>
      <c r="K861" s="87"/>
      <c r="L861" s="87"/>
      <c r="M861" s="9"/>
      <c r="N861" s="87"/>
      <c r="O861" s="87"/>
      <c r="P861" s="87"/>
      <c r="Q861" s="9"/>
      <c r="R861" s="87"/>
      <c r="S861" s="87"/>
      <c r="T861" s="87"/>
      <c r="U861" s="9"/>
      <c r="V861" s="87"/>
      <c r="W861" s="87"/>
      <c r="X861" s="87"/>
      <c r="Y861" s="87"/>
      <c r="Z861" s="87"/>
      <c r="AA861" s="87"/>
      <c r="AB861" s="87"/>
      <c r="AC861" s="243"/>
      <c r="AD861" s="234"/>
      <c r="AE861" s="234"/>
      <c r="AF861" s="234"/>
      <c r="AG861" s="9"/>
      <c r="AH861" s="87"/>
      <c r="AI861" s="87"/>
      <c r="AJ861" s="87"/>
      <c r="AK861" s="244"/>
      <c r="AL861" s="245"/>
      <c r="AM861" s="244"/>
      <c r="AN861" s="244"/>
      <c r="AO861" s="87"/>
      <c r="AP861" s="87"/>
      <c r="AQ861" s="87"/>
      <c r="AR861" s="87"/>
      <c r="AS861" s="87"/>
      <c r="AT861" s="87"/>
      <c r="AU861" s="87"/>
      <c r="AV861" s="87"/>
      <c r="AW861" s="87"/>
      <c r="AX861" s="87"/>
    </row>
    <row r="862">
      <c r="A862" s="9"/>
      <c r="B862" s="87"/>
      <c r="C862" s="87"/>
      <c r="D862" s="87"/>
      <c r="E862" s="9"/>
      <c r="F862" s="87"/>
      <c r="G862" s="87"/>
      <c r="H862" s="87"/>
      <c r="I862" s="9"/>
      <c r="J862" s="87"/>
      <c r="K862" s="87"/>
      <c r="L862" s="87"/>
      <c r="M862" s="9"/>
      <c r="N862" s="87"/>
      <c r="O862" s="87"/>
      <c r="P862" s="87"/>
      <c r="Q862" s="9"/>
      <c r="R862" s="87"/>
      <c r="S862" s="87"/>
      <c r="T862" s="87"/>
      <c r="U862" s="9"/>
      <c r="V862" s="87"/>
      <c r="W862" s="87"/>
      <c r="X862" s="87"/>
      <c r="Y862" s="87"/>
      <c r="Z862" s="87"/>
      <c r="AA862" s="87"/>
      <c r="AB862" s="87"/>
      <c r="AC862" s="243"/>
      <c r="AD862" s="234"/>
      <c r="AE862" s="234"/>
      <c r="AF862" s="234"/>
      <c r="AG862" s="9"/>
      <c r="AH862" s="87"/>
      <c r="AI862" s="87"/>
      <c r="AJ862" s="87"/>
      <c r="AK862" s="244"/>
      <c r="AL862" s="245"/>
      <c r="AM862" s="244"/>
      <c r="AN862" s="244"/>
      <c r="AO862" s="87"/>
      <c r="AP862" s="87"/>
      <c r="AQ862" s="87"/>
      <c r="AR862" s="87"/>
      <c r="AS862" s="87"/>
      <c r="AT862" s="87"/>
      <c r="AU862" s="87"/>
      <c r="AV862" s="87"/>
      <c r="AW862" s="87"/>
      <c r="AX862" s="87"/>
    </row>
    <row r="863">
      <c r="A863" s="9"/>
      <c r="B863" s="87"/>
      <c r="C863" s="87"/>
      <c r="D863" s="87"/>
      <c r="E863" s="9"/>
      <c r="F863" s="87"/>
      <c r="G863" s="87"/>
      <c r="H863" s="87"/>
      <c r="I863" s="9"/>
      <c r="J863" s="87"/>
      <c r="K863" s="87"/>
      <c r="L863" s="87"/>
      <c r="M863" s="9"/>
      <c r="N863" s="87"/>
      <c r="O863" s="87"/>
      <c r="P863" s="87"/>
      <c r="Q863" s="9"/>
      <c r="R863" s="87"/>
      <c r="S863" s="87"/>
      <c r="T863" s="87"/>
      <c r="U863" s="9"/>
      <c r="V863" s="87"/>
      <c r="W863" s="87"/>
      <c r="X863" s="87"/>
      <c r="Y863" s="87"/>
      <c r="Z863" s="87"/>
      <c r="AA863" s="87"/>
      <c r="AB863" s="87"/>
      <c r="AC863" s="243"/>
      <c r="AD863" s="234"/>
      <c r="AE863" s="234"/>
      <c r="AF863" s="234"/>
      <c r="AG863" s="9"/>
      <c r="AH863" s="87"/>
      <c r="AI863" s="87"/>
      <c r="AJ863" s="87"/>
      <c r="AK863" s="244"/>
      <c r="AL863" s="245"/>
      <c r="AM863" s="244"/>
      <c r="AN863" s="244"/>
      <c r="AO863" s="87"/>
      <c r="AP863" s="87"/>
      <c r="AQ863" s="87"/>
      <c r="AR863" s="87"/>
      <c r="AS863" s="87"/>
      <c r="AT863" s="87"/>
      <c r="AU863" s="87"/>
      <c r="AV863" s="87"/>
      <c r="AW863" s="87"/>
      <c r="AX863" s="87"/>
    </row>
    <row r="864">
      <c r="A864" s="9"/>
      <c r="B864" s="87"/>
      <c r="C864" s="87"/>
      <c r="D864" s="87"/>
      <c r="E864" s="9"/>
      <c r="F864" s="87"/>
      <c r="G864" s="87"/>
      <c r="H864" s="87"/>
      <c r="I864" s="9"/>
      <c r="J864" s="87"/>
      <c r="K864" s="87"/>
      <c r="L864" s="87"/>
      <c r="M864" s="9"/>
      <c r="N864" s="87"/>
      <c r="O864" s="87"/>
      <c r="P864" s="87"/>
      <c r="Q864" s="9"/>
      <c r="R864" s="87"/>
      <c r="S864" s="87"/>
      <c r="T864" s="87"/>
      <c r="U864" s="9"/>
      <c r="V864" s="87"/>
      <c r="W864" s="87"/>
      <c r="X864" s="87"/>
      <c r="Y864" s="87"/>
      <c r="Z864" s="87"/>
      <c r="AA864" s="87"/>
      <c r="AB864" s="87"/>
      <c r="AC864" s="243"/>
      <c r="AD864" s="234"/>
      <c r="AE864" s="234"/>
      <c r="AF864" s="234"/>
      <c r="AG864" s="9"/>
      <c r="AH864" s="87"/>
      <c r="AI864" s="87"/>
      <c r="AJ864" s="87"/>
      <c r="AK864" s="244"/>
      <c r="AL864" s="245"/>
      <c r="AM864" s="244"/>
      <c r="AN864" s="244"/>
      <c r="AO864" s="87"/>
      <c r="AP864" s="87"/>
      <c r="AQ864" s="87"/>
      <c r="AR864" s="87"/>
      <c r="AS864" s="87"/>
      <c r="AT864" s="87"/>
      <c r="AU864" s="87"/>
      <c r="AV864" s="87"/>
      <c r="AW864" s="87"/>
      <c r="AX864" s="87"/>
    </row>
    <row r="865">
      <c r="A865" s="9"/>
      <c r="B865" s="87"/>
      <c r="C865" s="87"/>
      <c r="D865" s="87"/>
      <c r="E865" s="9"/>
      <c r="F865" s="87"/>
      <c r="G865" s="87"/>
      <c r="H865" s="87"/>
      <c r="I865" s="9"/>
      <c r="J865" s="87"/>
      <c r="K865" s="87"/>
      <c r="L865" s="87"/>
      <c r="M865" s="9"/>
      <c r="N865" s="87"/>
      <c r="O865" s="87"/>
      <c r="P865" s="87"/>
      <c r="Q865" s="9"/>
      <c r="R865" s="87"/>
      <c r="S865" s="87"/>
      <c r="T865" s="87"/>
      <c r="U865" s="9"/>
      <c r="V865" s="87"/>
      <c r="W865" s="87"/>
      <c r="X865" s="87"/>
      <c r="Y865" s="87"/>
      <c r="Z865" s="87"/>
      <c r="AA865" s="87"/>
      <c r="AB865" s="87"/>
      <c r="AC865" s="243"/>
      <c r="AD865" s="234"/>
      <c r="AE865" s="234"/>
      <c r="AF865" s="234"/>
      <c r="AG865" s="9"/>
      <c r="AH865" s="87"/>
      <c r="AI865" s="87"/>
      <c r="AJ865" s="87"/>
      <c r="AK865" s="244"/>
      <c r="AL865" s="245"/>
      <c r="AM865" s="244"/>
      <c r="AN865" s="244"/>
      <c r="AO865" s="87"/>
      <c r="AP865" s="87"/>
      <c r="AQ865" s="87"/>
      <c r="AR865" s="87"/>
      <c r="AS865" s="87"/>
      <c r="AT865" s="87"/>
      <c r="AU865" s="87"/>
      <c r="AV865" s="87"/>
      <c r="AW865" s="87"/>
      <c r="AX865" s="87"/>
    </row>
    <row r="866">
      <c r="A866" s="9"/>
      <c r="B866" s="87"/>
      <c r="C866" s="87"/>
      <c r="D866" s="87"/>
      <c r="E866" s="9"/>
      <c r="F866" s="87"/>
      <c r="G866" s="87"/>
      <c r="H866" s="87"/>
      <c r="I866" s="9"/>
      <c r="J866" s="87"/>
      <c r="K866" s="87"/>
      <c r="L866" s="87"/>
      <c r="M866" s="9"/>
      <c r="N866" s="87"/>
      <c r="O866" s="87"/>
      <c r="P866" s="87"/>
      <c r="Q866" s="9"/>
      <c r="R866" s="87"/>
      <c r="S866" s="87"/>
      <c r="T866" s="87"/>
      <c r="U866" s="9"/>
      <c r="V866" s="87"/>
      <c r="W866" s="87"/>
      <c r="X866" s="87"/>
      <c r="Y866" s="87"/>
      <c r="Z866" s="87"/>
      <c r="AA866" s="87"/>
      <c r="AB866" s="87"/>
      <c r="AC866" s="243"/>
      <c r="AD866" s="234"/>
      <c r="AE866" s="234"/>
      <c r="AF866" s="234"/>
      <c r="AG866" s="9"/>
      <c r="AH866" s="87"/>
      <c r="AI866" s="87"/>
      <c r="AJ866" s="87"/>
      <c r="AK866" s="244"/>
      <c r="AL866" s="245"/>
      <c r="AM866" s="244"/>
      <c r="AN866" s="244"/>
      <c r="AO866" s="87"/>
      <c r="AP866" s="87"/>
      <c r="AQ866" s="87"/>
      <c r="AR866" s="87"/>
      <c r="AS866" s="87"/>
      <c r="AT866" s="87"/>
      <c r="AU866" s="87"/>
      <c r="AV866" s="87"/>
      <c r="AW866" s="87"/>
      <c r="AX866" s="87"/>
    </row>
    <row r="867">
      <c r="A867" s="9"/>
      <c r="B867" s="87"/>
      <c r="C867" s="87"/>
      <c r="D867" s="87"/>
      <c r="E867" s="9"/>
      <c r="F867" s="87"/>
      <c r="G867" s="87"/>
      <c r="H867" s="87"/>
      <c r="I867" s="9"/>
      <c r="J867" s="87"/>
      <c r="K867" s="87"/>
      <c r="L867" s="87"/>
      <c r="M867" s="9"/>
      <c r="N867" s="87"/>
      <c r="O867" s="87"/>
      <c r="P867" s="87"/>
      <c r="Q867" s="9"/>
      <c r="R867" s="87"/>
      <c r="S867" s="87"/>
      <c r="T867" s="87"/>
      <c r="U867" s="9"/>
      <c r="V867" s="87"/>
      <c r="W867" s="87"/>
      <c r="X867" s="87"/>
      <c r="Y867" s="87"/>
      <c r="Z867" s="87"/>
      <c r="AA867" s="87"/>
      <c r="AB867" s="87"/>
      <c r="AC867" s="243"/>
      <c r="AD867" s="234"/>
      <c r="AE867" s="234"/>
      <c r="AF867" s="234"/>
      <c r="AG867" s="9"/>
      <c r="AH867" s="87"/>
      <c r="AI867" s="87"/>
      <c r="AJ867" s="87"/>
      <c r="AK867" s="244"/>
      <c r="AL867" s="245"/>
      <c r="AM867" s="244"/>
      <c r="AN867" s="244"/>
      <c r="AO867" s="87"/>
      <c r="AP867" s="87"/>
      <c r="AQ867" s="87"/>
      <c r="AR867" s="87"/>
      <c r="AS867" s="87"/>
      <c r="AT867" s="87"/>
      <c r="AU867" s="87"/>
      <c r="AV867" s="87"/>
      <c r="AW867" s="87"/>
      <c r="AX867" s="87"/>
    </row>
    <row r="868">
      <c r="A868" s="9"/>
      <c r="B868" s="87"/>
      <c r="C868" s="87"/>
      <c r="D868" s="87"/>
      <c r="E868" s="9"/>
      <c r="F868" s="87"/>
      <c r="G868" s="87"/>
      <c r="H868" s="87"/>
      <c r="I868" s="9"/>
      <c r="J868" s="87"/>
      <c r="K868" s="87"/>
      <c r="L868" s="87"/>
      <c r="M868" s="9"/>
      <c r="N868" s="87"/>
      <c r="O868" s="87"/>
      <c r="P868" s="87"/>
      <c r="Q868" s="9"/>
      <c r="R868" s="87"/>
      <c r="S868" s="87"/>
      <c r="T868" s="87"/>
      <c r="U868" s="9"/>
      <c r="V868" s="87"/>
      <c r="W868" s="87"/>
      <c r="X868" s="87"/>
      <c r="Y868" s="87"/>
      <c r="Z868" s="87"/>
      <c r="AA868" s="87"/>
      <c r="AB868" s="87"/>
      <c r="AC868" s="243"/>
      <c r="AD868" s="234"/>
      <c r="AE868" s="234"/>
      <c r="AF868" s="234"/>
      <c r="AG868" s="9"/>
      <c r="AH868" s="87"/>
      <c r="AI868" s="87"/>
      <c r="AJ868" s="87"/>
      <c r="AK868" s="244"/>
      <c r="AL868" s="245"/>
      <c r="AM868" s="244"/>
      <c r="AN868" s="244"/>
      <c r="AO868" s="87"/>
      <c r="AP868" s="87"/>
      <c r="AQ868" s="87"/>
      <c r="AR868" s="87"/>
      <c r="AS868" s="87"/>
      <c r="AT868" s="87"/>
      <c r="AU868" s="87"/>
      <c r="AV868" s="87"/>
      <c r="AW868" s="87"/>
      <c r="AX868" s="87"/>
    </row>
    <row r="869">
      <c r="A869" s="9"/>
      <c r="B869" s="87"/>
      <c r="C869" s="87"/>
      <c r="D869" s="87"/>
      <c r="E869" s="9"/>
      <c r="F869" s="87"/>
      <c r="G869" s="87"/>
      <c r="H869" s="87"/>
      <c r="I869" s="9"/>
      <c r="J869" s="87"/>
      <c r="K869" s="87"/>
      <c r="L869" s="87"/>
      <c r="M869" s="9"/>
      <c r="N869" s="87"/>
      <c r="O869" s="87"/>
      <c r="P869" s="87"/>
      <c r="Q869" s="9"/>
      <c r="R869" s="87"/>
      <c r="S869" s="87"/>
      <c r="T869" s="87"/>
      <c r="U869" s="9"/>
      <c r="V869" s="87"/>
      <c r="W869" s="87"/>
      <c r="X869" s="87"/>
      <c r="Y869" s="87"/>
      <c r="Z869" s="87"/>
      <c r="AA869" s="87"/>
      <c r="AB869" s="87"/>
      <c r="AC869" s="243"/>
      <c r="AD869" s="234"/>
      <c r="AE869" s="234"/>
      <c r="AF869" s="234"/>
      <c r="AG869" s="9"/>
      <c r="AH869" s="87"/>
      <c r="AI869" s="87"/>
      <c r="AJ869" s="87"/>
      <c r="AK869" s="244"/>
      <c r="AL869" s="245"/>
      <c r="AM869" s="244"/>
      <c r="AN869" s="244"/>
      <c r="AO869" s="87"/>
      <c r="AP869" s="87"/>
      <c r="AQ869" s="87"/>
      <c r="AR869" s="87"/>
      <c r="AS869" s="87"/>
      <c r="AT869" s="87"/>
      <c r="AU869" s="87"/>
      <c r="AV869" s="87"/>
      <c r="AW869" s="87"/>
      <c r="AX869" s="87"/>
    </row>
    <row r="870">
      <c r="A870" s="9"/>
      <c r="B870" s="87"/>
      <c r="C870" s="87"/>
      <c r="D870" s="87"/>
      <c r="E870" s="9"/>
      <c r="F870" s="87"/>
      <c r="G870" s="87"/>
      <c r="H870" s="87"/>
      <c r="I870" s="9"/>
      <c r="J870" s="87"/>
      <c r="K870" s="87"/>
      <c r="L870" s="87"/>
      <c r="M870" s="9"/>
      <c r="N870" s="87"/>
      <c r="O870" s="87"/>
      <c r="P870" s="87"/>
      <c r="Q870" s="9"/>
      <c r="R870" s="87"/>
      <c r="S870" s="87"/>
      <c r="T870" s="87"/>
      <c r="U870" s="9"/>
      <c r="V870" s="87"/>
      <c r="W870" s="87"/>
      <c r="X870" s="87"/>
      <c r="Y870" s="87"/>
      <c r="Z870" s="87"/>
      <c r="AA870" s="87"/>
      <c r="AB870" s="87"/>
      <c r="AC870" s="243"/>
      <c r="AD870" s="234"/>
      <c r="AE870" s="234"/>
      <c r="AF870" s="234"/>
      <c r="AG870" s="9"/>
      <c r="AH870" s="87"/>
      <c r="AI870" s="87"/>
      <c r="AJ870" s="87"/>
      <c r="AK870" s="244"/>
      <c r="AL870" s="245"/>
      <c r="AM870" s="244"/>
      <c r="AN870" s="244"/>
      <c r="AO870" s="87"/>
      <c r="AP870" s="87"/>
      <c r="AQ870" s="87"/>
      <c r="AR870" s="87"/>
      <c r="AS870" s="87"/>
      <c r="AT870" s="87"/>
      <c r="AU870" s="87"/>
      <c r="AV870" s="87"/>
      <c r="AW870" s="87"/>
      <c r="AX870" s="87"/>
    </row>
    <row r="871">
      <c r="A871" s="9"/>
      <c r="B871" s="87"/>
      <c r="C871" s="87"/>
      <c r="D871" s="87"/>
      <c r="E871" s="9"/>
      <c r="F871" s="87"/>
      <c r="G871" s="87"/>
      <c r="H871" s="87"/>
      <c r="I871" s="9"/>
      <c r="J871" s="87"/>
      <c r="K871" s="87"/>
      <c r="L871" s="87"/>
      <c r="M871" s="9"/>
      <c r="N871" s="87"/>
      <c r="O871" s="87"/>
      <c r="P871" s="87"/>
      <c r="Q871" s="9"/>
      <c r="R871" s="87"/>
      <c r="S871" s="87"/>
      <c r="T871" s="87"/>
      <c r="U871" s="9"/>
      <c r="V871" s="87"/>
      <c r="W871" s="87"/>
      <c r="X871" s="87"/>
      <c r="Y871" s="87"/>
      <c r="Z871" s="87"/>
      <c r="AA871" s="87"/>
      <c r="AB871" s="87"/>
      <c r="AC871" s="243"/>
      <c r="AD871" s="234"/>
      <c r="AE871" s="234"/>
      <c r="AF871" s="234"/>
      <c r="AG871" s="9"/>
      <c r="AH871" s="87"/>
      <c r="AI871" s="87"/>
      <c r="AJ871" s="87"/>
      <c r="AK871" s="244"/>
      <c r="AL871" s="245"/>
      <c r="AM871" s="244"/>
      <c r="AN871" s="244"/>
      <c r="AO871" s="87"/>
      <c r="AP871" s="87"/>
      <c r="AQ871" s="87"/>
      <c r="AR871" s="87"/>
      <c r="AS871" s="87"/>
      <c r="AT871" s="87"/>
      <c r="AU871" s="87"/>
      <c r="AV871" s="87"/>
      <c r="AW871" s="87"/>
      <c r="AX871" s="87"/>
    </row>
    <row r="872">
      <c r="A872" s="9"/>
      <c r="B872" s="87"/>
      <c r="C872" s="87"/>
      <c r="D872" s="87"/>
      <c r="E872" s="9"/>
      <c r="F872" s="87"/>
      <c r="G872" s="87"/>
      <c r="H872" s="87"/>
      <c r="I872" s="9"/>
      <c r="J872" s="87"/>
      <c r="K872" s="87"/>
      <c r="L872" s="87"/>
      <c r="M872" s="9"/>
      <c r="N872" s="87"/>
      <c r="O872" s="87"/>
      <c r="P872" s="87"/>
      <c r="Q872" s="9"/>
      <c r="R872" s="87"/>
      <c r="S872" s="87"/>
      <c r="T872" s="87"/>
      <c r="U872" s="9"/>
      <c r="V872" s="87"/>
      <c r="W872" s="87"/>
      <c r="X872" s="87"/>
      <c r="Y872" s="87"/>
      <c r="Z872" s="87"/>
      <c r="AA872" s="87"/>
      <c r="AB872" s="87"/>
      <c r="AC872" s="243"/>
      <c r="AD872" s="234"/>
      <c r="AE872" s="234"/>
      <c r="AF872" s="234"/>
      <c r="AG872" s="9"/>
      <c r="AH872" s="87"/>
      <c r="AI872" s="87"/>
      <c r="AJ872" s="87"/>
      <c r="AK872" s="244"/>
      <c r="AL872" s="245"/>
      <c r="AM872" s="244"/>
      <c r="AN872" s="244"/>
      <c r="AO872" s="87"/>
      <c r="AP872" s="87"/>
      <c r="AQ872" s="87"/>
      <c r="AR872" s="87"/>
      <c r="AS872" s="87"/>
      <c r="AT872" s="87"/>
      <c r="AU872" s="87"/>
      <c r="AV872" s="87"/>
      <c r="AW872" s="87"/>
      <c r="AX872" s="87"/>
    </row>
    <row r="873">
      <c r="A873" s="9"/>
      <c r="B873" s="87"/>
      <c r="C873" s="87"/>
      <c r="D873" s="87"/>
      <c r="E873" s="9"/>
      <c r="F873" s="87"/>
      <c r="G873" s="87"/>
      <c r="H873" s="87"/>
      <c r="I873" s="9"/>
      <c r="J873" s="87"/>
      <c r="K873" s="87"/>
      <c r="L873" s="87"/>
      <c r="M873" s="9"/>
      <c r="N873" s="87"/>
      <c r="O873" s="87"/>
      <c r="P873" s="87"/>
      <c r="Q873" s="9"/>
      <c r="R873" s="87"/>
      <c r="S873" s="87"/>
      <c r="T873" s="87"/>
      <c r="U873" s="9"/>
      <c r="V873" s="87"/>
      <c r="W873" s="87"/>
      <c r="X873" s="87"/>
      <c r="Y873" s="87"/>
      <c r="Z873" s="87"/>
      <c r="AA873" s="87"/>
      <c r="AB873" s="87"/>
      <c r="AC873" s="243"/>
      <c r="AD873" s="234"/>
      <c r="AE873" s="234"/>
      <c r="AF873" s="234"/>
      <c r="AG873" s="9"/>
      <c r="AH873" s="87"/>
      <c r="AI873" s="87"/>
      <c r="AJ873" s="87"/>
      <c r="AK873" s="244"/>
      <c r="AL873" s="245"/>
      <c r="AM873" s="244"/>
      <c r="AN873" s="244"/>
      <c r="AO873" s="87"/>
      <c r="AP873" s="87"/>
      <c r="AQ873" s="87"/>
      <c r="AR873" s="87"/>
      <c r="AS873" s="87"/>
      <c r="AT873" s="87"/>
      <c r="AU873" s="87"/>
      <c r="AV873" s="87"/>
      <c r="AW873" s="87"/>
      <c r="AX873" s="87"/>
    </row>
    <row r="874">
      <c r="A874" s="9"/>
      <c r="B874" s="87"/>
      <c r="C874" s="87"/>
      <c r="D874" s="87"/>
      <c r="E874" s="9"/>
      <c r="F874" s="87"/>
      <c r="G874" s="87"/>
      <c r="H874" s="87"/>
      <c r="I874" s="9"/>
      <c r="J874" s="87"/>
      <c r="K874" s="87"/>
      <c r="L874" s="87"/>
      <c r="M874" s="9"/>
      <c r="N874" s="87"/>
      <c r="O874" s="87"/>
      <c r="P874" s="87"/>
      <c r="Q874" s="9"/>
      <c r="R874" s="87"/>
      <c r="S874" s="87"/>
      <c r="T874" s="87"/>
      <c r="U874" s="9"/>
      <c r="V874" s="87"/>
      <c r="W874" s="87"/>
      <c r="X874" s="87"/>
      <c r="Y874" s="87"/>
      <c r="Z874" s="87"/>
      <c r="AA874" s="87"/>
      <c r="AB874" s="87"/>
      <c r="AC874" s="243"/>
      <c r="AD874" s="234"/>
      <c r="AE874" s="234"/>
      <c r="AF874" s="234"/>
      <c r="AG874" s="9"/>
      <c r="AH874" s="87"/>
      <c r="AI874" s="87"/>
      <c r="AJ874" s="87"/>
      <c r="AK874" s="244"/>
      <c r="AL874" s="245"/>
      <c r="AM874" s="244"/>
      <c r="AN874" s="244"/>
      <c r="AO874" s="87"/>
      <c r="AP874" s="87"/>
      <c r="AQ874" s="87"/>
      <c r="AR874" s="87"/>
      <c r="AS874" s="87"/>
      <c r="AT874" s="87"/>
      <c r="AU874" s="87"/>
      <c r="AV874" s="87"/>
      <c r="AW874" s="87"/>
      <c r="AX874" s="87"/>
    </row>
    <row r="875">
      <c r="A875" s="9"/>
      <c r="B875" s="87"/>
      <c r="C875" s="87"/>
      <c r="D875" s="87"/>
      <c r="E875" s="9"/>
      <c r="F875" s="87"/>
      <c r="G875" s="87"/>
      <c r="H875" s="87"/>
      <c r="I875" s="9"/>
      <c r="J875" s="87"/>
      <c r="K875" s="87"/>
      <c r="L875" s="87"/>
      <c r="M875" s="9"/>
      <c r="N875" s="87"/>
      <c r="O875" s="87"/>
      <c r="P875" s="87"/>
      <c r="Q875" s="9"/>
      <c r="R875" s="87"/>
      <c r="S875" s="87"/>
      <c r="T875" s="87"/>
      <c r="U875" s="9"/>
      <c r="V875" s="87"/>
      <c r="W875" s="87"/>
      <c r="X875" s="87"/>
      <c r="Y875" s="87"/>
      <c r="Z875" s="87"/>
      <c r="AA875" s="87"/>
      <c r="AB875" s="87"/>
      <c r="AC875" s="243"/>
      <c r="AD875" s="234"/>
      <c r="AE875" s="234"/>
      <c r="AF875" s="234"/>
      <c r="AG875" s="9"/>
      <c r="AH875" s="87"/>
      <c r="AI875" s="87"/>
      <c r="AJ875" s="87"/>
      <c r="AK875" s="244"/>
      <c r="AL875" s="245"/>
      <c r="AM875" s="244"/>
      <c r="AN875" s="244"/>
      <c r="AO875" s="87"/>
      <c r="AP875" s="87"/>
      <c r="AQ875" s="87"/>
      <c r="AR875" s="87"/>
      <c r="AS875" s="87"/>
      <c r="AT875" s="87"/>
      <c r="AU875" s="87"/>
      <c r="AV875" s="87"/>
      <c r="AW875" s="87"/>
      <c r="AX875" s="87"/>
    </row>
    <row r="876">
      <c r="A876" s="9"/>
      <c r="B876" s="87"/>
      <c r="C876" s="87"/>
      <c r="D876" s="87"/>
      <c r="E876" s="9"/>
      <c r="F876" s="87"/>
      <c r="G876" s="87"/>
      <c r="H876" s="87"/>
      <c r="I876" s="9"/>
      <c r="J876" s="87"/>
      <c r="K876" s="87"/>
      <c r="L876" s="87"/>
      <c r="M876" s="9"/>
      <c r="N876" s="87"/>
      <c r="O876" s="87"/>
      <c r="P876" s="87"/>
      <c r="Q876" s="9"/>
      <c r="R876" s="87"/>
      <c r="S876" s="87"/>
      <c r="T876" s="87"/>
      <c r="U876" s="9"/>
      <c r="V876" s="87"/>
      <c r="W876" s="87"/>
      <c r="X876" s="87"/>
      <c r="Y876" s="87"/>
      <c r="Z876" s="87"/>
      <c r="AA876" s="87"/>
      <c r="AB876" s="87"/>
      <c r="AC876" s="243"/>
      <c r="AD876" s="234"/>
      <c r="AE876" s="234"/>
      <c r="AF876" s="234"/>
      <c r="AG876" s="9"/>
      <c r="AH876" s="87"/>
      <c r="AI876" s="87"/>
      <c r="AJ876" s="87"/>
      <c r="AK876" s="244"/>
      <c r="AL876" s="245"/>
      <c r="AM876" s="244"/>
      <c r="AN876" s="244"/>
      <c r="AO876" s="87"/>
      <c r="AP876" s="87"/>
      <c r="AQ876" s="87"/>
      <c r="AR876" s="87"/>
      <c r="AS876" s="87"/>
      <c r="AT876" s="87"/>
      <c r="AU876" s="87"/>
      <c r="AV876" s="87"/>
      <c r="AW876" s="87"/>
      <c r="AX876" s="87"/>
    </row>
    <row r="877">
      <c r="A877" s="9"/>
      <c r="B877" s="87"/>
      <c r="C877" s="87"/>
      <c r="D877" s="87"/>
      <c r="E877" s="9"/>
      <c r="F877" s="87"/>
      <c r="G877" s="87"/>
      <c r="H877" s="87"/>
      <c r="I877" s="9"/>
      <c r="J877" s="87"/>
      <c r="K877" s="87"/>
      <c r="L877" s="87"/>
      <c r="M877" s="9"/>
      <c r="N877" s="87"/>
      <c r="O877" s="87"/>
      <c r="P877" s="87"/>
      <c r="Q877" s="9"/>
      <c r="R877" s="87"/>
      <c r="S877" s="87"/>
      <c r="T877" s="87"/>
      <c r="U877" s="9"/>
      <c r="V877" s="87"/>
      <c r="W877" s="87"/>
      <c r="X877" s="87"/>
      <c r="Y877" s="87"/>
      <c r="Z877" s="87"/>
      <c r="AA877" s="87"/>
      <c r="AB877" s="87"/>
      <c r="AC877" s="243"/>
      <c r="AD877" s="234"/>
      <c r="AE877" s="234"/>
      <c r="AF877" s="234"/>
      <c r="AG877" s="9"/>
      <c r="AH877" s="87"/>
      <c r="AI877" s="87"/>
      <c r="AJ877" s="87"/>
      <c r="AK877" s="244"/>
      <c r="AL877" s="245"/>
      <c r="AM877" s="244"/>
      <c r="AN877" s="244"/>
      <c r="AO877" s="87"/>
      <c r="AP877" s="87"/>
      <c r="AQ877" s="87"/>
      <c r="AR877" s="87"/>
      <c r="AS877" s="87"/>
      <c r="AT877" s="87"/>
      <c r="AU877" s="87"/>
      <c r="AV877" s="87"/>
      <c r="AW877" s="87"/>
      <c r="AX877" s="87"/>
    </row>
    <row r="878">
      <c r="A878" s="9"/>
      <c r="B878" s="87"/>
      <c r="C878" s="87"/>
      <c r="D878" s="87"/>
      <c r="E878" s="9"/>
      <c r="F878" s="87"/>
      <c r="G878" s="87"/>
      <c r="H878" s="87"/>
      <c r="I878" s="9"/>
      <c r="J878" s="87"/>
      <c r="K878" s="87"/>
      <c r="L878" s="87"/>
      <c r="M878" s="9"/>
      <c r="N878" s="87"/>
      <c r="O878" s="87"/>
      <c r="P878" s="87"/>
      <c r="Q878" s="9"/>
      <c r="R878" s="87"/>
      <c r="S878" s="87"/>
      <c r="T878" s="87"/>
      <c r="U878" s="9"/>
      <c r="V878" s="87"/>
      <c r="W878" s="87"/>
      <c r="X878" s="87"/>
      <c r="Y878" s="87"/>
      <c r="Z878" s="87"/>
      <c r="AA878" s="87"/>
      <c r="AB878" s="87"/>
      <c r="AC878" s="243"/>
      <c r="AD878" s="234"/>
      <c r="AE878" s="234"/>
      <c r="AF878" s="234"/>
      <c r="AG878" s="9"/>
      <c r="AH878" s="87"/>
      <c r="AI878" s="87"/>
      <c r="AJ878" s="87"/>
      <c r="AK878" s="244"/>
      <c r="AL878" s="245"/>
      <c r="AM878" s="244"/>
      <c r="AN878" s="244"/>
      <c r="AO878" s="87"/>
      <c r="AP878" s="87"/>
      <c r="AQ878" s="87"/>
      <c r="AR878" s="87"/>
      <c r="AS878" s="87"/>
      <c r="AT878" s="87"/>
      <c r="AU878" s="87"/>
      <c r="AV878" s="87"/>
      <c r="AW878" s="87"/>
      <c r="AX878" s="87"/>
    </row>
    <row r="879">
      <c r="A879" s="9"/>
      <c r="B879" s="87"/>
      <c r="C879" s="87"/>
      <c r="D879" s="87"/>
      <c r="E879" s="9"/>
      <c r="F879" s="87"/>
      <c r="G879" s="87"/>
      <c r="H879" s="87"/>
      <c r="I879" s="9"/>
      <c r="J879" s="87"/>
      <c r="K879" s="87"/>
      <c r="L879" s="87"/>
      <c r="M879" s="9"/>
      <c r="N879" s="87"/>
      <c r="O879" s="87"/>
      <c r="P879" s="87"/>
      <c r="Q879" s="9"/>
      <c r="R879" s="87"/>
      <c r="S879" s="87"/>
      <c r="T879" s="87"/>
      <c r="U879" s="9"/>
      <c r="V879" s="87"/>
      <c r="W879" s="87"/>
      <c r="X879" s="87"/>
      <c r="Y879" s="87"/>
      <c r="Z879" s="87"/>
      <c r="AA879" s="87"/>
      <c r="AB879" s="87"/>
      <c r="AC879" s="243"/>
      <c r="AD879" s="234"/>
      <c r="AE879" s="234"/>
      <c r="AF879" s="234"/>
      <c r="AG879" s="9"/>
      <c r="AH879" s="87"/>
      <c r="AI879" s="87"/>
      <c r="AJ879" s="87"/>
      <c r="AK879" s="244"/>
      <c r="AL879" s="245"/>
      <c r="AM879" s="244"/>
      <c r="AN879" s="244"/>
      <c r="AO879" s="87"/>
      <c r="AP879" s="87"/>
      <c r="AQ879" s="87"/>
      <c r="AR879" s="87"/>
      <c r="AS879" s="87"/>
      <c r="AT879" s="87"/>
      <c r="AU879" s="87"/>
      <c r="AV879" s="87"/>
      <c r="AW879" s="87"/>
      <c r="AX879" s="87"/>
    </row>
    <row r="880">
      <c r="A880" s="9"/>
      <c r="B880" s="87"/>
      <c r="C880" s="87"/>
      <c r="D880" s="87"/>
      <c r="E880" s="9"/>
      <c r="F880" s="87"/>
      <c r="G880" s="87"/>
      <c r="H880" s="87"/>
      <c r="I880" s="9"/>
      <c r="J880" s="87"/>
      <c r="K880" s="87"/>
      <c r="L880" s="87"/>
      <c r="M880" s="9"/>
      <c r="N880" s="87"/>
      <c r="O880" s="87"/>
      <c r="P880" s="87"/>
      <c r="Q880" s="9"/>
      <c r="R880" s="87"/>
      <c r="S880" s="87"/>
      <c r="T880" s="87"/>
      <c r="U880" s="9"/>
      <c r="V880" s="87"/>
      <c r="W880" s="87"/>
      <c r="X880" s="87"/>
      <c r="Y880" s="87"/>
      <c r="Z880" s="87"/>
      <c r="AA880" s="87"/>
      <c r="AB880" s="87"/>
      <c r="AC880" s="243"/>
      <c r="AD880" s="234"/>
      <c r="AE880" s="234"/>
      <c r="AF880" s="234"/>
      <c r="AG880" s="9"/>
      <c r="AH880" s="87"/>
      <c r="AI880" s="87"/>
      <c r="AJ880" s="87"/>
      <c r="AK880" s="244"/>
      <c r="AL880" s="245"/>
      <c r="AM880" s="244"/>
      <c r="AN880" s="244"/>
      <c r="AO880" s="87"/>
      <c r="AP880" s="87"/>
      <c r="AQ880" s="87"/>
      <c r="AR880" s="87"/>
      <c r="AS880" s="87"/>
      <c r="AT880" s="87"/>
      <c r="AU880" s="87"/>
      <c r="AV880" s="87"/>
      <c r="AW880" s="87"/>
      <c r="AX880" s="87"/>
    </row>
    <row r="881">
      <c r="A881" s="9"/>
      <c r="B881" s="87"/>
      <c r="C881" s="87"/>
      <c r="D881" s="87"/>
      <c r="E881" s="9"/>
      <c r="F881" s="87"/>
      <c r="G881" s="87"/>
      <c r="H881" s="87"/>
      <c r="I881" s="9"/>
      <c r="J881" s="87"/>
      <c r="K881" s="87"/>
      <c r="L881" s="87"/>
      <c r="M881" s="9"/>
      <c r="N881" s="87"/>
      <c r="O881" s="87"/>
      <c r="P881" s="87"/>
      <c r="Q881" s="9"/>
      <c r="R881" s="87"/>
      <c r="S881" s="87"/>
      <c r="T881" s="87"/>
      <c r="U881" s="9"/>
      <c r="V881" s="87"/>
      <c r="W881" s="87"/>
      <c r="X881" s="87"/>
      <c r="Y881" s="87"/>
      <c r="Z881" s="87"/>
      <c r="AA881" s="87"/>
      <c r="AB881" s="87"/>
      <c r="AC881" s="243"/>
      <c r="AD881" s="234"/>
      <c r="AE881" s="234"/>
      <c r="AF881" s="234"/>
      <c r="AG881" s="9"/>
      <c r="AH881" s="87"/>
      <c r="AI881" s="87"/>
      <c r="AJ881" s="87"/>
      <c r="AK881" s="244"/>
      <c r="AL881" s="245"/>
      <c r="AM881" s="244"/>
      <c r="AN881" s="244"/>
      <c r="AO881" s="87"/>
      <c r="AP881" s="87"/>
      <c r="AQ881" s="87"/>
      <c r="AR881" s="87"/>
      <c r="AS881" s="87"/>
      <c r="AT881" s="87"/>
      <c r="AU881" s="87"/>
      <c r="AV881" s="87"/>
      <c r="AW881" s="87"/>
      <c r="AX881" s="87"/>
    </row>
    <row r="882">
      <c r="A882" s="9"/>
      <c r="B882" s="87"/>
      <c r="C882" s="87"/>
      <c r="D882" s="87"/>
      <c r="E882" s="9"/>
      <c r="F882" s="87"/>
      <c r="G882" s="87"/>
      <c r="H882" s="87"/>
      <c r="I882" s="9"/>
      <c r="J882" s="87"/>
      <c r="K882" s="87"/>
      <c r="L882" s="87"/>
      <c r="M882" s="9"/>
      <c r="N882" s="87"/>
      <c r="O882" s="87"/>
      <c r="P882" s="87"/>
      <c r="Q882" s="9"/>
      <c r="R882" s="87"/>
      <c r="S882" s="87"/>
      <c r="T882" s="87"/>
      <c r="U882" s="9"/>
      <c r="V882" s="87"/>
      <c r="W882" s="87"/>
      <c r="X882" s="87"/>
      <c r="Y882" s="87"/>
      <c r="Z882" s="87"/>
      <c r="AA882" s="87"/>
      <c r="AB882" s="87"/>
      <c r="AC882" s="243"/>
      <c r="AD882" s="234"/>
      <c r="AE882" s="234"/>
      <c r="AF882" s="234"/>
      <c r="AG882" s="9"/>
      <c r="AH882" s="87"/>
      <c r="AI882" s="87"/>
      <c r="AJ882" s="87"/>
      <c r="AK882" s="244"/>
      <c r="AL882" s="245"/>
      <c r="AM882" s="244"/>
      <c r="AN882" s="244"/>
      <c r="AO882" s="87"/>
      <c r="AP882" s="87"/>
      <c r="AQ882" s="87"/>
      <c r="AR882" s="87"/>
      <c r="AS882" s="87"/>
      <c r="AT882" s="87"/>
      <c r="AU882" s="87"/>
      <c r="AV882" s="87"/>
      <c r="AW882" s="87"/>
      <c r="AX882" s="87"/>
    </row>
    <row r="883">
      <c r="A883" s="9"/>
      <c r="B883" s="87"/>
      <c r="C883" s="87"/>
      <c r="D883" s="87"/>
      <c r="E883" s="9"/>
      <c r="F883" s="87"/>
      <c r="G883" s="87"/>
      <c r="H883" s="87"/>
      <c r="I883" s="9"/>
      <c r="J883" s="87"/>
      <c r="K883" s="87"/>
      <c r="L883" s="87"/>
      <c r="M883" s="9"/>
      <c r="N883" s="87"/>
      <c r="O883" s="87"/>
      <c r="P883" s="87"/>
      <c r="Q883" s="9"/>
      <c r="R883" s="87"/>
      <c r="S883" s="87"/>
      <c r="T883" s="87"/>
      <c r="U883" s="9"/>
      <c r="V883" s="87"/>
      <c r="W883" s="87"/>
      <c r="X883" s="87"/>
      <c r="Y883" s="87"/>
      <c r="Z883" s="87"/>
      <c r="AA883" s="87"/>
      <c r="AB883" s="87"/>
      <c r="AC883" s="243"/>
      <c r="AD883" s="234"/>
      <c r="AE883" s="234"/>
      <c r="AF883" s="234"/>
      <c r="AG883" s="9"/>
      <c r="AH883" s="87"/>
      <c r="AI883" s="87"/>
      <c r="AJ883" s="87"/>
      <c r="AK883" s="244"/>
      <c r="AL883" s="245"/>
      <c r="AM883" s="244"/>
      <c r="AN883" s="244"/>
      <c r="AO883" s="87"/>
      <c r="AP883" s="87"/>
      <c r="AQ883" s="87"/>
      <c r="AR883" s="87"/>
      <c r="AS883" s="87"/>
      <c r="AT883" s="87"/>
      <c r="AU883" s="87"/>
      <c r="AV883" s="87"/>
      <c r="AW883" s="87"/>
      <c r="AX883" s="87"/>
    </row>
    <row r="884">
      <c r="A884" s="9"/>
      <c r="B884" s="87"/>
      <c r="C884" s="87"/>
      <c r="D884" s="87"/>
      <c r="E884" s="9"/>
      <c r="F884" s="87"/>
      <c r="G884" s="87"/>
      <c r="H884" s="87"/>
      <c r="I884" s="9"/>
      <c r="J884" s="87"/>
      <c r="K884" s="87"/>
      <c r="L884" s="87"/>
      <c r="M884" s="9"/>
      <c r="N884" s="87"/>
      <c r="O884" s="87"/>
      <c r="P884" s="87"/>
      <c r="Q884" s="9"/>
      <c r="R884" s="87"/>
      <c r="S884" s="87"/>
      <c r="T884" s="87"/>
      <c r="U884" s="9"/>
      <c r="V884" s="87"/>
      <c r="W884" s="87"/>
      <c r="X884" s="87"/>
      <c r="Y884" s="87"/>
      <c r="Z884" s="87"/>
      <c r="AA884" s="87"/>
      <c r="AB884" s="87"/>
      <c r="AC884" s="243"/>
      <c r="AD884" s="234"/>
      <c r="AE884" s="234"/>
      <c r="AF884" s="234"/>
      <c r="AG884" s="9"/>
      <c r="AH884" s="87"/>
      <c r="AI884" s="87"/>
      <c r="AJ884" s="87"/>
      <c r="AK884" s="244"/>
      <c r="AL884" s="245"/>
      <c r="AM884" s="244"/>
      <c r="AN884" s="244"/>
      <c r="AO884" s="87"/>
      <c r="AP884" s="87"/>
      <c r="AQ884" s="87"/>
      <c r="AR884" s="87"/>
      <c r="AS884" s="87"/>
      <c r="AT884" s="87"/>
      <c r="AU884" s="87"/>
      <c r="AV884" s="87"/>
      <c r="AW884" s="87"/>
      <c r="AX884" s="87"/>
    </row>
    <row r="885">
      <c r="A885" s="9"/>
      <c r="B885" s="87"/>
      <c r="C885" s="87"/>
      <c r="D885" s="87"/>
      <c r="E885" s="9"/>
      <c r="F885" s="87"/>
      <c r="G885" s="87"/>
      <c r="H885" s="87"/>
      <c r="I885" s="9"/>
      <c r="J885" s="87"/>
      <c r="K885" s="87"/>
      <c r="L885" s="87"/>
      <c r="M885" s="9"/>
      <c r="N885" s="87"/>
      <c r="O885" s="87"/>
      <c r="P885" s="87"/>
      <c r="Q885" s="9"/>
      <c r="R885" s="87"/>
      <c r="S885" s="87"/>
      <c r="T885" s="87"/>
      <c r="U885" s="9"/>
      <c r="V885" s="87"/>
      <c r="W885" s="87"/>
      <c r="X885" s="87"/>
      <c r="Y885" s="87"/>
      <c r="Z885" s="87"/>
      <c r="AA885" s="87"/>
      <c r="AB885" s="87"/>
      <c r="AC885" s="243"/>
      <c r="AD885" s="234"/>
      <c r="AE885" s="234"/>
      <c r="AF885" s="234"/>
      <c r="AG885" s="9"/>
      <c r="AH885" s="87"/>
      <c r="AI885" s="87"/>
      <c r="AJ885" s="87"/>
      <c r="AK885" s="244"/>
      <c r="AL885" s="245"/>
      <c r="AM885" s="244"/>
      <c r="AN885" s="244"/>
      <c r="AO885" s="87"/>
      <c r="AP885" s="87"/>
      <c r="AQ885" s="87"/>
      <c r="AR885" s="87"/>
      <c r="AS885" s="87"/>
      <c r="AT885" s="87"/>
      <c r="AU885" s="87"/>
      <c r="AV885" s="87"/>
      <c r="AW885" s="87"/>
      <c r="AX885" s="87"/>
    </row>
    <row r="886">
      <c r="A886" s="9"/>
      <c r="B886" s="87"/>
      <c r="C886" s="87"/>
      <c r="D886" s="87"/>
      <c r="E886" s="9"/>
      <c r="F886" s="87"/>
      <c r="G886" s="87"/>
      <c r="H886" s="87"/>
      <c r="I886" s="9"/>
      <c r="J886" s="87"/>
      <c r="K886" s="87"/>
      <c r="L886" s="87"/>
      <c r="M886" s="9"/>
      <c r="N886" s="87"/>
      <c r="O886" s="87"/>
      <c r="P886" s="87"/>
      <c r="Q886" s="9"/>
      <c r="R886" s="87"/>
      <c r="S886" s="87"/>
      <c r="T886" s="87"/>
      <c r="U886" s="9"/>
      <c r="V886" s="87"/>
      <c r="W886" s="87"/>
      <c r="X886" s="87"/>
      <c r="Y886" s="87"/>
      <c r="Z886" s="87"/>
      <c r="AA886" s="87"/>
      <c r="AB886" s="87"/>
      <c r="AC886" s="243"/>
      <c r="AD886" s="234"/>
      <c r="AE886" s="234"/>
      <c r="AF886" s="234"/>
      <c r="AG886" s="9"/>
      <c r="AH886" s="87"/>
      <c r="AI886" s="87"/>
      <c r="AJ886" s="87"/>
      <c r="AK886" s="244"/>
      <c r="AL886" s="245"/>
      <c r="AM886" s="244"/>
      <c r="AN886" s="244"/>
      <c r="AO886" s="87"/>
      <c r="AP886" s="87"/>
      <c r="AQ886" s="87"/>
      <c r="AR886" s="87"/>
      <c r="AS886" s="87"/>
      <c r="AT886" s="87"/>
      <c r="AU886" s="87"/>
      <c r="AV886" s="87"/>
      <c r="AW886" s="87"/>
      <c r="AX886" s="87"/>
    </row>
    <row r="887">
      <c r="A887" s="9"/>
      <c r="B887" s="87"/>
      <c r="C887" s="87"/>
      <c r="D887" s="87"/>
      <c r="E887" s="9"/>
      <c r="F887" s="87"/>
      <c r="G887" s="87"/>
      <c r="H887" s="87"/>
      <c r="I887" s="9"/>
      <c r="J887" s="87"/>
      <c r="K887" s="87"/>
      <c r="L887" s="87"/>
      <c r="M887" s="9"/>
      <c r="N887" s="87"/>
      <c r="O887" s="87"/>
      <c r="P887" s="87"/>
      <c r="Q887" s="9"/>
      <c r="R887" s="87"/>
      <c r="S887" s="87"/>
      <c r="T887" s="87"/>
      <c r="U887" s="9"/>
      <c r="V887" s="87"/>
      <c r="W887" s="87"/>
      <c r="X887" s="87"/>
      <c r="Y887" s="87"/>
      <c r="Z887" s="87"/>
      <c r="AA887" s="87"/>
      <c r="AB887" s="87"/>
      <c r="AC887" s="243"/>
      <c r="AD887" s="234"/>
      <c r="AE887" s="234"/>
      <c r="AF887" s="234"/>
      <c r="AG887" s="9"/>
      <c r="AH887" s="87"/>
      <c r="AI887" s="87"/>
      <c r="AJ887" s="87"/>
      <c r="AK887" s="244"/>
      <c r="AL887" s="245"/>
      <c r="AM887" s="244"/>
      <c r="AN887" s="244"/>
      <c r="AO887" s="87"/>
      <c r="AP887" s="87"/>
      <c r="AQ887" s="87"/>
      <c r="AR887" s="87"/>
      <c r="AS887" s="87"/>
      <c r="AT887" s="87"/>
      <c r="AU887" s="87"/>
      <c r="AV887" s="87"/>
      <c r="AW887" s="87"/>
      <c r="AX887" s="87"/>
    </row>
    <row r="888">
      <c r="A888" s="9"/>
      <c r="B888" s="87"/>
      <c r="C888" s="87"/>
      <c r="D888" s="87"/>
      <c r="E888" s="9"/>
      <c r="F888" s="87"/>
      <c r="G888" s="87"/>
      <c r="H888" s="87"/>
      <c r="I888" s="9"/>
      <c r="J888" s="87"/>
      <c r="K888" s="87"/>
      <c r="L888" s="87"/>
      <c r="M888" s="9"/>
      <c r="N888" s="87"/>
      <c r="O888" s="87"/>
      <c r="P888" s="87"/>
      <c r="Q888" s="9"/>
      <c r="R888" s="87"/>
      <c r="S888" s="87"/>
      <c r="T888" s="87"/>
      <c r="U888" s="9"/>
      <c r="V888" s="87"/>
      <c r="W888" s="87"/>
      <c r="X888" s="87"/>
      <c r="Y888" s="87"/>
      <c r="Z888" s="87"/>
      <c r="AA888" s="87"/>
      <c r="AB888" s="87"/>
      <c r="AC888" s="243"/>
      <c r="AD888" s="234"/>
      <c r="AE888" s="234"/>
      <c r="AF888" s="234"/>
      <c r="AG888" s="9"/>
      <c r="AH888" s="87"/>
      <c r="AI888" s="87"/>
      <c r="AJ888" s="87"/>
      <c r="AK888" s="244"/>
      <c r="AL888" s="245"/>
      <c r="AM888" s="244"/>
      <c r="AN888" s="244"/>
      <c r="AO888" s="87"/>
      <c r="AP888" s="87"/>
      <c r="AQ888" s="87"/>
      <c r="AR888" s="87"/>
      <c r="AS888" s="87"/>
      <c r="AT888" s="87"/>
      <c r="AU888" s="87"/>
      <c r="AV888" s="87"/>
      <c r="AW888" s="87"/>
      <c r="AX888" s="87"/>
    </row>
    <row r="889">
      <c r="A889" s="9"/>
      <c r="B889" s="87"/>
      <c r="C889" s="87"/>
      <c r="D889" s="87"/>
      <c r="E889" s="9"/>
      <c r="F889" s="87"/>
      <c r="G889" s="87"/>
      <c r="H889" s="87"/>
      <c r="I889" s="9"/>
      <c r="J889" s="87"/>
      <c r="K889" s="87"/>
      <c r="L889" s="87"/>
      <c r="M889" s="9"/>
      <c r="N889" s="87"/>
      <c r="O889" s="87"/>
      <c r="P889" s="87"/>
      <c r="Q889" s="9"/>
      <c r="R889" s="87"/>
      <c r="S889" s="87"/>
      <c r="T889" s="87"/>
      <c r="U889" s="9"/>
      <c r="V889" s="87"/>
      <c r="W889" s="87"/>
      <c r="X889" s="87"/>
      <c r="Y889" s="87"/>
      <c r="Z889" s="87"/>
      <c r="AA889" s="87"/>
      <c r="AB889" s="87"/>
      <c r="AC889" s="243"/>
      <c r="AD889" s="234"/>
      <c r="AE889" s="234"/>
      <c r="AF889" s="234"/>
      <c r="AG889" s="9"/>
      <c r="AH889" s="87"/>
      <c r="AI889" s="87"/>
      <c r="AJ889" s="87"/>
      <c r="AK889" s="244"/>
      <c r="AL889" s="245"/>
      <c r="AM889" s="244"/>
      <c r="AN889" s="244"/>
      <c r="AO889" s="87"/>
      <c r="AP889" s="87"/>
      <c r="AQ889" s="87"/>
      <c r="AR889" s="87"/>
      <c r="AS889" s="87"/>
      <c r="AT889" s="87"/>
      <c r="AU889" s="87"/>
      <c r="AV889" s="87"/>
      <c r="AW889" s="87"/>
      <c r="AX889" s="87"/>
    </row>
    <row r="890">
      <c r="A890" s="9"/>
      <c r="B890" s="87"/>
      <c r="C890" s="87"/>
      <c r="D890" s="87"/>
      <c r="E890" s="9"/>
      <c r="F890" s="87"/>
      <c r="G890" s="87"/>
      <c r="H890" s="87"/>
      <c r="I890" s="9"/>
      <c r="J890" s="87"/>
      <c r="K890" s="87"/>
      <c r="L890" s="87"/>
      <c r="M890" s="9"/>
      <c r="N890" s="87"/>
      <c r="O890" s="87"/>
      <c r="P890" s="87"/>
      <c r="Q890" s="9"/>
      <c r="R890" s="87"/>
      <c r="S890" s="87"/>
      <c r="T890" s="87"/>
      <c r="U890" s="9"/>
      <c r="V890" s="87"/>
      <c r="W890" s="87"/>
      <c r="X890" s="87"/>
      <c r="Y890" s="87"/>
      <c r="Z890" s="87"/>
      <c r="AA890" s="87"/>
      <c r="AB890" s="87"/>
      <c r="AC890" s="243"/>
      <c r="AD890" s="234"/>
      <c r="AE890" s="234"/>
      <c r="AF890" s="234"/>
      <c r="AG890" s="9"/>
      <c r="AH890" s="87"/>
      <c r="AI890" s="87"/>
      <c r="AJ890" s="87"/>
      <c r="AK890" s="244"/>
      <c r="AL890" s="245"/>
      <c r="AM890" s="244"/>
      <c r="AN890" s="244"/>
      <c r="AO890" s="87"/>
      <c r="AP890" s="87"/>
      <c r="AQ890" s="87"/>
      <c r="AR890" s="87"/>
      <c r="AS890" s="87"/>
      <c r="AT890" s="87"/>
      <c r="AU890" s="87"/>
      <c r="AV890" s="87"/>
      <c r="AW890" s="87"/>
      <c r="AX890" s="87"/>
    </row>
    <row r="891">
      <c r="A891" s="9"/>
      <c r="B891" s="87"/>
      <c r="C891" s="87"/>
      <c r="D891" s="87"/>
      <c r="E891" s="9"/>
      <c r="F891" s="87"/>
      <c r="G891" s="87"/>
      <c r="H891" s="87"/>
      <c r="I891" s="9"/>
      <c r="J891" s="87"/>
      <c r="K891" s="87"/>
      <c r="L891" s="87"/>
      <c r="M891" s="9"/>
      <c r="N891" s="87"/>
      <c r="O891" s="87"/>
      <c r="P891" s="87"/>
      <c r="Q891" s="9"/>
      <c r="R891" s="87"/>
      <c r="S891" s="87"/>
      <c r="T891" s="87"/>
      <c r="U891" s="9"/>
      <c r="V891" s="87"/>
      <c r="W891" s="87"/>
      <c r="X891" s="87"/>
      <c r="Y891" s="87"/>
      <c r="Z891" s="87"/>
      <c r="AA891" s="87"/>
      <c r="AB891" s="87"/>
      <c r="AC891" s="243"/>
      <c r="AD891" s="234"/>
      <c r="AE891" s="234"/>
      <c r="AF891" s="234"/>
      <c r="AG891" s="9"/>
      <c r="AH891" s="87"/>
      <c r="AI891" s="87"/>
      <c r="AJ891" s="87"/>
      <c r="AK891" s="244"/>
      <c r="AL891" s="245"/>
      <c r="AM891" s="244"/>
      <c r="AN891" s="244"/>
      <c r="AO891" s="87"/>
      <c r="AP891" s="87"/>
      <c r="AQ891" s="87"/>
      <c r="AR891" s="87"/>
      <c r="AS891" s="87"/>
      <c r="AT891" s="87"/>
      <c r="AU891" s="87"/>
      <c r="AV891" s="87"/>
      <c r="AW891" s="87"/>
      <c r="AX891" s="87"/>
    </row>
    <row r="892">
      <c r="A892" s="9"/>
      <c r="B892" s="87"/>
      <c r="C892" s="87"/>
      <c r="D892" s="87"/>
      <c r="E892" s="9"/>
      <c r="F892" s="87"/>
      <c r="G892" s="87"/>
      <c r="H892" s="87"/>
      <c r="I892" s="9"/>
      <c r="J892" s="87"/>
      <c r="K892" s="87"/>
      <c r="L892" s="87"/>
      <c r="M892" s="9"/>
      <c r="N892" s="87"/>
      <c r="O892" s="87"/>
      <c r="P892" s="87"/>
      <c r="Q892" s="9"/>
      <c r="R892" s="87"/>
      <c r="S892" s="87"/>
      <c r="T892" s="87"/>
      <c r="U892" s="9"/>
      <c r="V892" s="87"/>
      <c r="W892" s="87"/>
      <c r="X892" s="87"/>
      <c r="Y892" s="87"/>
      <c r="Z892" s="87"/>
      <c r="AA892" s="87"/>
      <c r="AB892" s="87"/>
      <c r="AC892" s="243"/>
      <c r="AD892" s="234"/>
      <c r="AE892" s="234"/>
      <c r="AF892" s="234"/>
      <c r="AG892" s="9"/>
      <c r="AH892" s="87"/>
      <c r="AI892" s="87"/>
      <c r="AJ892" s="87"/>
      <c r="AK892" s="244"/>
      <c r="AL892" s="245"/>
      <c r="AM892" s="244"/>
      <c r="AN892" s="244"/>
      <c r="AO892" s="87"/>
      <c r="AP892" s="87"/>
      <c r="AQ892" s="87"/>
      <c r="AR892" s="87"/>
      <c r="AS892" s="87"/>
      <c r="AT892" s="87"/>
      <c r="AU892" s="87"/>
      <c r="AV892" s="87"/>
      <c r="AW892" s="87"/>
      <c r="AX892" s="87"/>
    </row>
    <row r="893">
      <c r="A893" s="9"/>
      <c r="B893" s="87"/>
      <c r="C893" s="87"/>
      <c r="D893" s="87"/>
      <c r="E893" s="9"/>
      <c r="F893" s="87"/>
      <c r="G893" s="87"/>
      <c r="H893" s="87"/>
      <c r="I893" s="9"/>
      <c r="J893" s="87"/>
      <c r="K893" s="87"/>
      <c r="L893" s="87"/>
      <c r="M893" s="9"/>
      <c r="N893" s="87"/>
      <c r="O893" s="87"/>
      <c r="P893" s="87"/>
      <c r="Q893" s="9"/>
      <c r="R893" s="87"/>
      <c r="S893" s="87"/>
      <c r="T893" s="87"/>
      <c r="U893" s="9"/>
      <c r="V893" s="87"/>
      <c r="W893" s="87"/>
      <c r="X893" s="87"/>
      <c r="Y893" s="87"/>
      <c r="Z893" s="87"/>
      <c r="AA893" s="87"/>
      <c r="AB893" s="87"/>
      <c r="AC893" s="243"/>
      <c r="AD893" s="234"/>
      <c r="AE893" s="234"/>
      <c r="AF893" s="234"/>
      <c r="AG893" s="9"/>
      <c r="AH893" s="87"/>
      <c r="AI893" s="87"/>
      <c r="AJ893" s="87"/>
      <c r="AK893" s="244"/>
      <c r="AL893" s="245"/>
      <c r="AM893" s="244"/>
      <c r="AN893" s="244"/>
      <c r="AO893" s="87"/>
      <c r="AP893" s="87"/>
      <c r="AQ893" s="87"/>
      <c r="AR893" s="87"/>
      <c r="AS893" s="87"/>
      <c r="AT893" s="87"/>
      <c r="AU893" s="87"/>
      <c r="AV893" s="87"/>
      <c r="AW893" s="87"/>
      <c r="AX893" s="87"/>
    </row>
    <row r="894">
      <c r="A894" s="9"/>
      <c r="B894" s="87"/>
      <c r="C894" s="87"/>
      <c r="D894" s="87"/>
      <c r="E894" s="9"/>
      <c r="F894" s="87"/>
      <c r="G894" s="87"/>
      <c r="H894" s="87"/>
      <c r="I894" s="9"/>
      <c r="J894" s="87"/>
      <c r="K894" s="87"/>
      <c r="L894" s="87"/>
      <c r="M894" s="9"/>
      <c r="N894" s="87"/>
      <c r="O894" s="87"/>
      <c r="P894" s="87"/>
      <c r="Q894" s="9"/>
      <c r="R894" s="87"/>
      <c r="S894" s="87"/>
      <c r="T894" s="87"/>
      <c r="U894" s="9"/>
      <c r="V894" s="87"/>
      <c r="W894" s="87"/>
      <c r="X894" s="87"/>
      <c r="Y894" s="87"/>
      <c r="Z894" s="87"/>
      <c r="AA894" s="87"/>
      <c r="AB894" s="87"/>
      <c r="AC894" s="243"/>
      <c r="AD894" s="234"/>
      <c r="AE894" s="234"/>
      <c r="AF894" s="234"/>
      <c r="AG894" s="9"/>
      <c r="AH894" s="87"/>
      <c r="AI894" s="87"/>
      <c r="AJ894" s="87"/>
      <c r="AK894" s="244"/>
      <c r="AL894" s="245"/>
      <c r="AM894" s="244"/>
      <c r="AN894" s="244"/>
      <c r="AO894" s="87"/>
      <c r="AP894" s="87"/>
      <c r="AQ894" s="87"/>
      <c r="AR894" s="87"/>
      <c r="AS894" s="87"/>
      <c r="AT894" s="87"/>
      <c r="AU894" s="87"/>
      <c r="AV894" s="87"/>
      <c r="AW894" s="87"/>
      <c r="AX894" s="87"/>
    </row>
    <row r="895">
      <c r="A895" s="9"/>
      <c r="B895" s="87"/>
      <c r="C895" s="87"/>
      <c r="D895" s="87"/>
      <c r="E895" s="9"/>
      <c r="F895" s="87"/>
      <c r="G895" s="87"/>
      <c r="H895" s="87"/>
      <c r="I895" s="9"/>
      <c r="J895" s="87"/>
      <c r="K895" s="87"/>
      <c r="L895" s="87"/>
      <c r="M895" s="9"/>
      <c r="N895" s="87"/>
      <c r="O895" s="87"/>
      <c r="P895" s="87"/>
      <c r="Q895" s="9"/>
      <c r="R895" s="87"/>
      <c r="S895" s="87"/>
      <c r="T895" s="87"/>
      <c r="U895" s="9"/>
      <c r="V895" s="87"/>
      <c r="W895" s="87"/>
      <c r="X895" s="87"/>
      <c r="Y895" s="87"/>
      <c r="Z895" s="87"/>
      <c r="AA895" s="87"/>
      <c r="AB895" s="87"/>
      <c r="AC895" s="243"/>
      <c r="AD895" s="234"/>
      <c r="AE895" s="234"/>
      <c r="AF895" s="234"/>
      <c r="AG895" s="9"/>
      <c r="AH895" s="87"/>
      <c r="AI895" s="87"/>
      <c r="AJ895" s="87"/>
      <c r="AK895" s="244"/>
      <c r="AL895" s="245"/>
      <c r="AM895" s="244"/>
      <c r="AN895" s="244"/>
      <c r="AO895" s="87"/>
      <c r="AP895" s="87"/>
      <c r="AQ895" s="87"/>
      <c r="AR895" s="87"/>
      <c r="AS895" s="87"/>
      <c r="AT895" s="87"/>
      <c r="AU895" s="87"/>
      <c r="AV895" s="87"/>
      <c r="AW895" s="87"/>
      <c r="AX895" s="87"/>
    </row>
    <row r="896">
      <c r="A896" s="9"/>
      <c r="B896" s="87"/>
      <c r="C896" s="87"/>
      <c r="D896" s="87"/>
      <c r="E896" s="9"/>
      <c r="F896" s="87"/>
      <c r="G896" s="87"/>
      <c r="H896" s="87"/>
      <c r="I896" s="9"/>
      <c r="J896" s="87"/>
      <c r="K896" s="87"/>
      <c r="L896" s="87"/>
      <c r="M896" s="9"/>
      <c r="N896" s="87"/>
      <c r="O896" s="87"/>
      <c r="P896" s="87"/>
      <c r="Q896" s="9"/>
      <c r="R896" s="87"/>
      <c r="S896" s="87"/>
      <c r="T896" s="87"/>
      <c r="U896" s="9"/>
      <c r="V896" s="87"/>
      <c r="W896" s="87"/>
      <c r="X896" s="87"/>
      <c r="Y896" s="87"/>
      <c r="Z896" s="87"/>
      <c r="AA896" s="87"/>
      <c r="AB896" s="87"/>
      <c r="AC896" s="243"/>
      <c r="AD896" s="234"/>
      <c r="AE896" s="234"/>
      <c r="AF896" s="234"/>
      <c r="AG896" s="9"/>
      <c r="AH896" s="87"/>
      <c r="AI896" s="87"/>
      <c r="AJ896" s="87"/>
      <c r="AK896" s="244"/>
      <c r="AL896" s="245"/>
      <c r="AM896" s="244"/>
      <c r="AN896" s="244"/>
      <c r="AO896" s="87"/>
      <c r="AP896" s="87"/>
      <c r="AQ896" s="87"/>
      <c r="AR896" s="87"/>
      <c r="AS896" s="87"/>
      <c r="AT896" s="87"/>
      <c r="AU896" s="87"/>
      <c r="AV896" s="87"/>
      <c r="AW896" s="87"/>
      <c r="AX896" s="87"/>
    </row>
    <row r="897">
      <c r="A897" s="9"/>
      <c r="B897" s="87"/>
      <c r="C897" s="87"/>
      <c r="D897" s="87"/>
      <c r="E897" s="9"/>
      <c r="F897" s="87"/>
      <c r="G897" s="87"/>
      <c r="H897" s="87"/>
      <c r="I897" s="9"/>
      <c r="J897" s="87"/>
      <c r="K897" s="87"/>
      <c r="L897" s="87"/>
      <c r="M897" s="9"/>
      <c r="N897" s="87"/>
      <c r="O897" s="87"/>
      <c r="P897" s="87"/>
      <c r="Q897" s="9"/>
      <c r="R897" s="87"/>
      <c r="S897" s="87"/>
      <c r="T897" s="87"/>
      <c r="U897" s="9"/>
      <c r="V897" s="87"/>
      <c r="W897" s="87"/>
      <c r="X897" s="87"/>
      <c r="Y897" s="87"/>
      <c r="Z897" s="87"/>
      <c r="AA897" s="87"/>
      <c r="AB897" s="87"/>
      <c r="AC897" s="243"/>
      <c r="AD897" s="234"/>
      <c r="AE897" s="234"/>
      <c r="AF897" s="234"/>
      <c r="AG897" s="9"/>
      <c r="AH897" s="87"/>
      <c r="AI897" s="87"/>
      <c r="AJ897" s="87"/>
      <c r="AK897" s="244"/>
      <c r="AL897" s="245"/>
      <c r="AM897" s="244"/>
      <c r="AN897" s="244"/>
      <c r="AO897" s="87"/>
      <c r="AP897" s="87"/>
      <c r="AQ897" s="87"/>
      <c r="AR897" s="87"/>
      <c r="AS897" s="87"/>
      <c r="AT897" s="87"/>
      <c r="AU897" s="87"/>
      <c r="AV897" s="87"/>
      <c r="AW897" s="87"/>
      <c r="AX897" s="87"/>
    </row>
    <row r="898">
      <c r="A898" s="9"/>
      <c r="B898" s="87"/>
      <c r="C898" s="87"/>
      <c r="D898" s="87"/>
      <c r="E898" s="9"/>
      <c r="F898" s="87"/>
      <c r="G898" s="87"/>
      <c r="H898" s="87"/>
      <c r="I898" s="9"/>
      <c r="J898" s="87"/>
      <c r="K898" s="87"/>
      <c r="L898" s="87"/>
      <c r="M898" s="9"/>
      <c r="N898" s="87"/>
      <c r="O898" s="87"/>
      <c r="P898" s="87"/>
      <c r="Q898" s="9"/>
      <c r="R898" s="87"/>
      <c r="S898" s="87"/>
      <c r="T898" s="87"/>
      <c r="U898" s="9"/>
      <c r="V898" s="87"/>
      <c r="W898" s="87"/>
      <c r="X898" s="87"/>
      <c r="Y898" s="87"/>
      <c r="Z898" s="87"/>
      <c r="AA898" s="87"/>
      <c r="AB898" s="87"/>
      <c r="AC898" s="243"/>
      <c r="AD898" s="234"/>
      <c r="AE898" s="234"/>
      <c r="AF898" s="234"/>
      <c r="AG898" s="9"/>
      <c r="AH898" s="87"/>
      <c r="AI898" s="87"/>
      <c r="AJ898" s="87"/>
      <c r="AK898" s="244"/>
      <c r="AL898" s="245"/>
      <c r="AM898" s="244"/>
      <c r="AN898" s="244"/>
      <c r="AO898" s="87"/>
      <c r="AP898" s="87"/>
      <c r="AQ898" s="87"/>
      <c r="AR898" s="87"/>
      <c r="AS898" s="87"/>
      <c r="AT898" s="87"/>
      <c r="AU898" s="87"/>
      <c r="AV898" s="87"/>
      <c r="AW898" s="87"/>
      <c r="AX898" s="87"/>
    </row>
    <row r="899">
      <c r="A899" s="9"/>
      <c r="B899" s="87"/>
      <c r="C899" s="87"/>
      <c r="D899" s="87"/>
      <c r="E899" s="9"/>
      <c r="F899" s="87"/>
      <c r="G899" s="87"/>
      <c r="H899" s="87"/>
      <c r="I899" s="9"/>
      <c r="J899" s="87"/>
      <c r="K899" s="87"/>
      <c r="L899" s="87"/>
      <c r="M899" s="9"/>
      <c r="N899" s="87"/>
      <c r="O899" s="87"/>
      <c r="P899" s="87"/>
      <c r="Q899" s="9"/>
      <c r="R899" s="87"/>
      <c r="S899" s="87"/>
      <c r="T899" s="87"/>
      <c r="U899" s="9"/>
      <c r="V899" s="87"/>
      <c r="W899" s="87"/>
      <c r="X899" s="87"/>
      <c r="Y899" s="87"/>
      <c r="Z899" s="87"/>
      <c r="AA899" s="87"/>
      <c r="AB899" s="87"/>
      <c r="AC899" s="243"/>
      <c r="AD899" s="234"/>
      <c r="AE899" s="234"/>
      <c r="AF899" s="234"/>
      <c r="AG899" s="9"/>
      <c r="AH899" s="87"/>
      <c r="AI899" s="87"/>
      <c r="AJ899" s="87"/>
      <c r="AK899" s="244"/>
      <c r="AL899" s="245"/>
      <c r="AM899" s="244"/>
      <c r="AN899" s="244"/>
      <c r="AO899" s="87"/>
      <c r="AP899" s="87"/>
      <c r="AQ899" s="87"/>
      <c r="AR899" s="87"/>
      <c r="AS899" s="87"/>
      <c r="AT899" s="87"/>
      <c r="AU899" s="87"/>
      <c r="AV899" s="87"/>
      <c r="AW899" s="87"/>
      <c r="AX899" s="87"/>
    </row>
    <row r="900">
      <c r="A900" s="9"/>
      <c r="B900" s="87"/>
      <c r="C900" s="87"/>
      <c r="D900" s="87"/>
      <c r="E900" s="9"/>
      <c r="F900" s="87"/>
      <c r="G900" s="87"/>
      <c r="H900" s="87"/>
      <c r="I900" s="9"/>
      <c r="J900" s="87"/>
      <c r="K900" s="87"/>
      <c r="L900" s="87"/>
      <c r="M900" s="9"/>
      <c r="N900" s="87"/>
      <c r="O900" s="87"/>
      <c r="P900" s="87"/>
      <c r="Q900" s="9"/>
      <c r="R900" s="87"/>
      <c r="S900" s="87"/>
      <c r="T900" s="87"/>
      <c r="U900" s="9"/>
      <c r="V900" s="87"/>
      <c r="W900" s="87"/>
      <c r="X900" s="87"/>
      <c r="Y900" s="87"/>
      <c r="Z900" s="87"/>
      <c r="AA900" s="87"/>
      <c r="AB900" s="87"/>
      <c r="AC900" s="243"/>
      <c r="AD900" s="234"/>
      <c r="AE900" s="234"/>
      <c r="AF900" s="234"/>
      <c r="AG900" s="9"/>
      <c r="AH900" s="87"/>
      <c r="AI900" s="87"/>
      <c r="AJ900" s="87"/>
      <c r="AK900" s="244"/>
      <c r="AL900" s="245"/>
      <c r="AM900" s="244"/>
      <c r="AN900" s="244"/>
      <c r="AO900" s="87"/>
      <c r="AP900" s="87"/>
      <c r="AQ900" s="87"/>
      <c r="AR900" s="87"/>
      <c r="AS900" s="87"/>
      <c r="AT900" s="87"/>
      <c r="AU900" s="87"/>
      <c r="AV900" s="87"/>
      <c r="AW900" s="87"/>
      <c r="AX900" s="87"/>
    </row>
    <row r="901">
      <c r="A901" s="9"/>
      <c r="B901" s="87"/>
      <c r="C901" s="87"/>
      <c r="D901" s="87"/>
      <c r="E901" s="9"/>
      <c r="F901" s="87"/>
      <c r="G901" s="87"/>
      <c r="H901" s="87"/>
      <c r="I901" s="9"/>
      <c r="J901" s="87"/>
      <c r="K901" s="87"/>
      <c r="L901" s="87"/>
      <c r="M901" s="9"/>
      <c r="N901" s="87"/>
      <c r="O901" s="87"/>
      <c r="P901" s="87"/>
      <c r="Q901" s="9"/>
      <c r="R901" s="87"/>
      <c r="S901" s="87"/>
      <c r="T901" s="87"/>
      <c r="U901" s="9"/>
      <c r="V901" s="87"/>
      <c r="W901" s="87"/>
      <c r="X901" s="87"/>
      <c r="Y901" s="87"/>
      <c r="Z901" s="87"/>
      <c r="AA901" s="87"/>
      <c r="AB901" s="87"/>
      <c r="AC901" s="243"/>
      <c r="AD901" s="234"/>
      <c r="AE901" s="234"/>
      <c r="AF901" s="234"/>
      <c r="AG901" s="9"/>
      <c r="AH901" s="87"/>
      <c r="AI901" s="87"/>
      <c r="AJ901" s="87"/>
      <c r="AK901" s="244"/>
      <c r="AL901" s="245"/>
      <c r="AM901" s="244"/>
      <c r="AN901" s="244"/>
      <c r="AO901" s="87"/>
      <c r="AP901" s="87"/>
      <c r="AQ901" s="87"/>
      <c r="AR901" s="87"/>
      <c r="AS901" s="87"/>
      <c r="AT901" s="87"/>
      <c r="AU901" s="87"/>
      <c r="AV901" s="87"/>
      <c r="AW901" s="87"/>
      <c r="AX901" s="87"/>
    </row>
    <row r="902">
      <c r="A902" s="9"/>
      <c r="B902" s="87"/>
      <c r="C902" s="87"/>
      <c r="D902" s="87"/>
      <c r="E902" s="9"/>
      <c r="F902" s="87"/>
      <c r="G902" s="87"/>
      <c r="H902" s="87"/>
      <c r="I902" s="9"/>
      <c r="J902" s="87"/>
      <c r="K902" s="87"/>
      <c r="L902" s="87"/>
      <c r="M902" s="9"/>
      <c r="N902" s="87"/>
      <c r="O902" s="87"/>
      <c r="P902" s="87"/>
      <c r="Q902" s="9"/>
      <c r="R902" s="87"/>
      <c r="S902" s="87"/>
      <c r="T902" s="87"/>
      <c r="U902" s="9"/>
      <c r="V902" s="87"/>
      <c r="W902" s="87"/>
      <c r="X902" s="87"/>
      <c r="Y902" s="87"/>
      <c r="Z902" s="87"/>
      <c r="AA902" s="87"/>
      <c r="AB902" s="87"/>
      <c r="AC902" s="243"/>
      <c r="AD902" s="234"/>
      <c r="AE902" s="234"/>
      <c r="AF902" s="234"/>
      <c r="AG902" s="9"/>
      <c r="AH902" s="87"/>
      <c r="AI902" s="87"/>
      <c r="AJ902" s="87"/>
      <c r="AK902" s="244"/>
      <c r="AL902" s="245"/>
      <c r="AM902" s="244"/>
      <c r="AN902" s="244"/>
      <c r="AO902" s="87"/>
      <c r="AP902" s="87"/>
      <c r="AQ902" s="87"/>
      <c r="AR902" s="87"/>
      <c r="AS902" s="87"/>
      <c r="AT902" s="87"/>
      <c r="AU902" s="87"/>
      <c r="AV902" s="87"/>
      <c r="AW902" s="87"/>
      <c r="AX902" s="87"/>
    </row>
    <row r="903">
      <c r="A903" s="9"/>
      <c r="B903" s="87"/>
      <c r="C903" s="87"/>
      <c r="D903" s="87"/>
      <c r="E903" s="9"/>
      <c r="F903" s="87"/>
      <c r="G903" s="87"/>
      <c r="H903" s="87"/>
      <c r="I903" s="9"/>
      <c r="J903" s="87"/>
      <c r="K903" s="87"/>
      <c r="L903" s="87"/>
      <c r="M903" s="9"/>
      <c r="N903" s="87"/>
      <c r="O903" s="87"/>
      <c r="P903" s="87"/>
      <c r="Q903" s="9"/>
      <c r="R903" s="87"/>
      <c r="S903" s="87"/>
      <c r="T903" s="87"/>
      <c r="U903" s="9"/>
      <c r="V903" s="87"/>
      <c r="W903" s="87"/>
      <c r="X903" s="87"/>
      <c r="Y903" s="87"/>
      <c r="Z903" s="87"/>
      <c r="AA903" s="87"/>
      <c r="AB903" s="87"/>
      <c r="AC903" s="243"/>
      <c r="AD903" s="234"/>
      <c r="AE903" s="234"/>
      <c r="AF903" s="234"/>
      <c r="AG903" s="9"/>
      <c r="AH903" s="87"/>
      <c r="AI903" s="87"/>
      <c r="AJ903" s="87"/>
      <c r="AK903" s="244"/>
      <c r="AL903" s="245"/>
      <c r="AM903" s="244"/>
      <c r="AN903" s="244"/>
      <c r="AO903" s="87"/>
      <c r="AP903" s="87"/>
      <c r="AQ903" s="87"/>
      <c r="AR903" s="87"/>
      <c r="AS903" s="87"/>
      <c r="AT903" s="87"/>
      <c r="AU903" s="87"/>
      <c r="AV903" s="87"/>
      <c r="AW903" s="87"/>
      <c r="AX903" s="87"/>
    </row>
    <row r="904">
      <c r="A904" s="9"/>
      <c r="B904" s="87"/>
      <c r="C904" s="87"/>
      <c r="D904" s="87"/>
      <c r="E904" s="9"/>
      <c r="F904" s="87"/>
      <c r="G904" s="87"/>
      <c r="H904" s="87"/>
      <c r="I904" s="9"/>
      <c r="J904" s="87"/>
      <c r="K904" s="87"/>
      <c r="L904" s="87"/>
      <c r="M904" s="9"/>
      <c r="N904" s="87"/>
      <c r="O904" s="87"/>
      <c r="P904" s="87"/>
      <c r="Q904" s="9"/>
      <c r="R904" s="87"/>
      <c r="S904" s="87"/>
      <c r="T904" s="87"/>
      <c r="U904" s="9"/>
      <c r="V904" s="87"/>
      <c r="W904" s="87"/>
      <c r="X904" s="87"/>
      <c r="Y904" s="87"/>
      <c r="Z904" s="87"/>
      <c r="AA904" s="87"/>
      <c r="AB904" s="87"/>
      <c r="AC904" s="243"/>
      <c r="AD904" s="234"/>
      <c r="AE904" s="234"/>
      <c r="AF904" s="234"/>
      <c r="AG904" s="9"/>
      <c r="AH904" s="87"/>
      <c r="AI904" s="87"/>
      <c r="AJ904" s="87"/>
      <c r="AK904" s="244"/>
      <c r="AL904" s="245"/>
      <c r="AM904" s="244"/>
      <c r="AN904" s="244"/>
      <c r="AO904" s="87"/>
      <c r="AP904" s="87"/>
      <c r="AQ904" s="87"/>
      <c r="AR904" s="87"/>
      <c r="AS904" s="87"/>
      <c r="AT904" s="87"/>
      <c r="AU904" s="87"/>
      <c r="AV904" s="87"/>
      <c r="AW904" s="87"/>
      <c r="AX904" s="87"/>
    </row>
    <row r="905">
      <c r="A905" s="9"/>
      <c r="B905" s="87"/>
      <c r="C905" s="87"/>
      <c r="D905" s="87"/>
      <c r="E905" s="9"/>
      <c r="F905" s="87"/>
      <c r="G905" s="87"/>
      <c r="H905" s="87"/>
      <c r="I905" s="9"/>
      <c r="J905" s="87"/>
      <c r="K905" s="87"/>
      <c r="L905" s="87"/>
      <c r="M905" s="9"/>
      <c r="N905" s="87"/>
      <c r="O905" s="87"/>
      <c r="P905" s="87"/>
      <c r="Q905" s="9"/>
      <c r="R905" s="87"/>
      <c r="S905" s="87"/>
      <c r="T905" s="87"/>
      <c r="U905" s="9"/>
      <c r="V905" s="87"/>
      <c r="W905" s="87"/>
      <c r="X905" s="87"/>
      <c r="Y905" s="87"/>
      <c r="Z905" s="87"/>
      <c r="AA905" s="87"/>
      <c r="AB905" s="87"/>
      <c r="AC905" s="243"/>
      <c r="AD905" s="234"/>
      <c r="AE905" s="234"/>
      <c r="AF905" s="234"/>
      <c r="AG905" s="9"/>
      <c r="AH905" s="87"/>
      <c r="AI905" s="87"/>
      <c r="AJ905" s="87"/>
      <c r="AK905" s="244"/>
      <c r="AL905" s="245"/>
      <c r="AM905" s="244"/>
      <c r="AN905" s="244"/>
      <c r="AO905" s="87"/>
      <c r="AP905" s="87"/>
      <c r="AQ905" s="87"/>
      <c r="AR905" s="87"/>
      <c r="AS905" s="87"/>
      <c r="AT905" s="87"/>
      <c r="AU905" s="87"/>
      <c r="AV905" s="87"/>
      <c r="AW905" s="87"/>
      <c r="AX905" s="87"/>
    </row>
    <row r="906">
      <c r="A906" s="9"/>
      <c r="B906" s="87"/>
      <c r="C906" s="87"/>
      <c r="D906" s="87"/>
      <c r="E906" s="9"/>
      <c r="F906" s="87"/>
      <c r="G906" s="87"/>
      <c r="H906" s="87"/>
      <c r="I906" s="9"/>
      <c r="J906" s="87"/>
      <c r="K906" s="87"/>
      <c r="L906" s="87"/>
      <c r="M906" s="9"/>
      <c r="N906" s="87"/>
      <c r="O906" s="87"/>
      <c r="P906" s="87"/>
      <c r="Q906" s="9"/>
      <c r="R906" s="87"/>
      <c r="S906" s="87"/>
      <c r="T906" s="87"/>
      <c r="U906" s="9"/>
      <c r="V906" s="87"/>
      <c r="W906" s="87"/>
      <c r="X906" s="87"/>
      <c r="Y906" s="87"/>
      <c r="Z906" s="87"/>
      <c r="AA906" s="87"/>
      <c r="AB906" s="87"/>
      <c r="AC906" s="243"/>
      <c r="AD906" s="234"/>
      <c r="AE906" s="234"/>
      <c r="AF906" s="234"/>
      <c r="AG906" s="9"/>
      <c r="AH906" s="87"/>
      <c r="AI906" s="87"/>
      <c r="AJ906" s="87"/>
      <c r="AK906" s="244"/>
      <c r="AL906" s="245"/>
      <c r="AM906" s="244"/>
      <c r="AN906" s="244"/>
      <c r="AO906" s="87"/>
      <c r="AP906" s="87"/>
      <c r="AQ906" s="87"/>
      <c r="AR906" s="87"/>
      <c r="AS906" s="87"/>
      <c r="AT906" s="87"/>
      <c r="AU906" s="87"/>
      <c r="AV906" s="87"/>
      <c r="AW906" s="87"/>
      <c r="AX906" s="87"/>
    </row>
    <row r="907">
      <c r="A907" s="9"/>
      <c r="B907" s="87"/>
      <c r="C907" s="87"/>
      <c r="D907" s="87"/>
      <c r="E907" s="9"/>
      <c r="F907" s="87"/>
      <c r="G907" s="87"/>
      <c r="H907" s="87"/>
      <c r="I907" s="9"/>
      <c r="J907" s="87"/>
      <c r="K907" s="87"/>
      <c r="L907" s="87"/>
      <c r="M907" s="9"/>
      <c r="N907" s="87"/>
      <c r="O907" s="87"/>
      <c r="P907" s="87"/>
      <c r="Q907" s="9"/>
      <c r="R907" s="87"/>
      <c r="S907" s="87"/>
      <c r="T907" s="87"/>
      <c r="U907" s="9"/>
      <c r="V907" s="87"/>
      <c r="W907" s="87"/>
      <c r="X907" s="87"/>
      <c r="Y907" s="87"/>
      <c r="Z907" s="87"/>
      <c r="AA907" s="87"/>
      <c r="AB907" s="87"/>
      <c r="AC907" s="243"/>
      <c r="AD907" s="234"/>
      <c r="AE907" s="234"/>
      <c r="AF907" s="234"/>
      <c r="AG907" s="9"/>
      <c r="AH907" s="87"/>
      <c r="AI907" s="87"/>
      <c r="AJ907" s="87"/>
      <c r="AK907" s="244"/>
      <c r="AL907" s="245"/>
      <c r="AM907" s="244"/>
      <c r="AN907" s="244"/>
      <c r="AO907" s="87"/>
      <c r="AP907" s="87"/>
      <c r="AQ907" s="87"/>
      <c r="AR907" s="87"/>
      <c r="AS907" s="87"/>
      <c r="AT907" s="87"/>
      <c r="AU907" s="87"/>
      <c r="AV907" s="87"/>
      <c r="AW907" s="87"/>
      <c r="AX907" s="87"/>
    </row>
    <row r="908">
      <c r="A908" s="9"/>
      <c r="B908" s="87"/>
      <c r="C908" s="87"/>
      <c r="D908" s="87"/>
      <c r="E908" s="9"/>
      <c r="F908" s="87"/>
      <c r="G908" s="87"/>
      <c r="H908" s="87"/>
      <c r="I908" s="9"/>
      <c r="J908" s="87"/>
      <c r="K908" s="87"/>
      <c r="L908" s="87"/>
      <c r="M908" s="9"/>
      <c r="N908" s="87"/>
      <c r="O908" s="87"/>
      <c r="P908" s="87"/>
      <c r="Q908" s="9"/>
      <c r="R908" s="87"/>
      <c r="S908" s="87"/>
      <c r="T908" s="87"/>
      <c r="U908" s="9"/>
      <c r="V908" s="87"/>
      <c r="W908" s="87"/>
      <c r="X908" s="87"/>
      <c r="Y908" s="87"/>
      <c r="Z908" s="87"/>
      <c r="AA908" s="87"/>
      <c r="AB908" s="87"/>
      <c r="AC908" s="243"/>
      <c r="AD908" s="234"/>
      <c r="AE908" s="234"/>
      <c r="AF908" s="234"/>
      <c r="AG908" s="9"/>
      <c r="AH908" s="87"/>
      <c r="AI908" s="87"/>
      <c r="AJ908" s="87"/>
      <c r="AK908" s="244"/>
      <c r="AL908" s="245"/>
      <c r="AM908" s="244"/>
      <c r="AN908" s="244"/>
      <c r="AO908" s="87"/>
      <c r="AP908" s="87"/>
      <c r="AQ908" s="87"/>
      <c r="AR908" s="87"/>
      <c r="AS908" s="87"/>
      <c r="AT908" s="87"/>
      <c r="AU908" s="87"/>
      <c r="AV908" s="87"/>
      <c r="AW908" s="87"/>
      <c r="AX908" s="87"/>
    </row>
    <row r="909">
      <c r="A909" s="9"/>
      <c r="B909" s="87"/>
      <c r="C909" s="87"/>
      <c r="D909" s="87"/>
      <c r="E909" s="9"/>
      <c r="F909" s="87"/>
      <c r="G909" s="87"/>
      <c r="H909" s="87"/>
      <c r="I909" s="9"/>
      <c r="J909" s="87"/>
      <c r="K909" s="87"/>
      <c r="L909" s="87"/>
      <c r="M909" s="9"/>
      <c r="N909" s="87"/>
      <c r="O909" s="87"/>
      <c r="P909" s="87"/>
      <c r="Q909" s="9"/>
      <c r="R909" s="87"/>
      <c r="S909" s="87"/>
      <c r="T909" s="87"/>
      <c r="U909" s="9"/>
      <c r="V909" s="87"/>
      <c r="W909" s="87"/>
      <c r="X909" s="87"/>
      <c r="Y909" s="87"/>
      <c r="Z909" s="87"/>
      <c r="AA909" s="87"/>
      <c r="AB909" s="87"/>
      <c r="AC909" s="243"/>
      <c r="AD909" s="234"/>
      <c r="AE909" s="234"/>
      <c r="AF909" s="234"/>
      <c r="AG909" s="9"/>
      <c r="AH909" s="87"/>
      <c r="AI909" s="87"/>
      <c r="AJ909" s="87"/>
      <c r="AK909" s="244"/>
      <c r="AL909" s="245"/>
      <c r="AM909" s="244"/>
      <c r="AN909" s="244"/>
      <c r="AO909" s="87"/>
      <c r="AP909" s="87"/>
      <c r="AQ909" s="87"/>
      <c r="AR909" s="87"/>
      <c r="AS909" s="87"/>
      <c r="AT909" s="87"/>
      <c r="AU909" s="87"/>
      <c r="AV909" s="87"/>
      <c r="AW909" s="87"/>
      <c r="AX909" s="87"/>
    </row>
    <row r="910">
      <c r="A910" s="9"/>
      <c r="B910" s="87"/>
      <c r="C910" s="87"/>
      <c r="D910" s="87"/>
      <c r="E910" s="9"/>
      <c r="F910" s="87"/>
      <c r="G910" s="87"/>
      <c r="H910" s="87"/>
      <c r="I910" s="9"/>
      <c r="J910" s="87"/>
      <c r="K910" s="87"/>
      <c r="L910" s="87"/>
      <c r="M910" s="9"/>
      <c r="N910" s="87"/>
      <c r="O910" s="87"/>
      <c r="P910" s="87"/>
      <c r="Q910" s="9"/>
      <c r="R910" s="87"/>
      <c r="S910" s="87"/>
      <c r="T910" s="87"/>
      <c r="U910" s="9"/>
      <c r="V910" s="87"/>
      <c r="W910" s="87"/>
      <c r="X910" s="87"/>
      <c r="Y910" s="87"/>
      <c r="Z910" s="87"/>
      <c r="AA910" s="87"/>
      <c r="AB910" s="87"/>
      <c r="AC910" s="243"/>
      <c r="AD910" s="234"/>
      <c r="AE910" s="234"/>
      <c r="AF910" s="234"/>
      <c r="AG910" s="9"/>
      <c r="AH910" s="87"/>
      <c r="AI910" s="87"/>
      <c r="AJ910" s="87"/>
      <c r="AK910" s="244"/>
      <c r="AL910" s="245"/>
      <c r="AM910" s="244"/>
      <c r="AN910" s="244"/>
      <c r="AO910" s="87"/>
      <c r="AP910" s="87"/>
      <c r="AQ910" s="87"/>
      <c r="AR910" s="87"/>
      <c r="AS910" s="87"/>
      <c r="AT910" s="87"/>
      <c r="AU910" s="87"/>
      <c r="AV910" s="87"/>
      <c r="AW910" s="87"/>
      <c r="AX910" s="87"/>
    </row>
    <row r="911">
      <c r="A911" s="9"/>
      <c r="B911" s="87"/>
      <c r="C911" s="87"/>
      <c r="D911" s="87"/>
      <c r="E911" s="9"/>
      <c r="F911" s="87"/>
      <c r="G911" s="87"/>
      <c r="H911" s="87"/>
      <c r="I911" s="9"/>
      <c r="J911" s="87"/>
      <c r="K911" s="87"/>
      <c r="L911" s="87"/>
      <c r="M911" s="9"/>
      <c r="N911" s="87"/>
      <c r="O911" s="87"/>
      <c r="P911" s="87"/>
      <c r="Q911" s="9"/>
      <c r="R911" s="87"/>
      <c r="S911" s="87"/>
      <c r="T911" s="87"/>
      <c r="U911" s="9"/>
      <c r="V911" s="87"/>
      <c r="W911" s="87"/>
      <c r="X911" s="87"/>
      <c r="Y911" s="87"/>
      <c r="Z911" s="87"/>
      <c r="AA911" s="87"/>
      <c r="AB911" s="87"/>
      <c r="AC911" s="243"/>
      <c r="AD911" s="234"/>
      <c r="AE911" s="234"/>
      <c r="AF911" s="234"/>
      <c r="AG911" s="9"/>
      <c r="AH911" s="87"/>
      <c r="AI911" s="87"/>
      <c r="AJ911" s="87"/>
      <c r="AK911" s="244"/>
      <c r="AL911" s="245"/>
      <c r="AM911" s="244"/>
      <c r="AN911" s="244"/>
      <c r="AO911" s="87"/>
      <c r="AP911" s="87"/>
      <c r="AQ911" s="87"/>
      <c r="AR911" s="87"/>
      <c r="AS911" s="87"/>
      <c r="AT911" s="87"/>
      <c r="AU911" s="87"/>
      <c r="AV911" s="87"/>
      <c r="AW911" s="87"/>
      <c r="AX911" s="87"/>
    </row>
    <row r="912">
      <c r="A912" s="9"/>
      <c r="B912" s="87"/>
      <c r="C912" s="87"/>
      <c r="D912" s="87"/>
      <c r="E912" s="9"/>
      <c r="F912" s="87"/>
      <c r="G912" s="87"/>
      <c r="H912" s="87"/>
      <c r="I912" s="9"/>
      <c r="J912" s="87"/>
      <c r="K912" s="87"/>
      <c r="L912" s="87"/>
      <c r="M912" s="9"/>
      <c r="N912" s="87"/>
      <c r="O912" s="87"/>
      <c r="P912" s="87"/>
      <c r="Q912" s="9"/>
      <c r="R912" s="87"/>
      <c r="S912" s="87"/>
      <c r="T912" s="87"/>
      <c r="U912" s="9"/>
      <c r="V912" s="87"/>
      <c r="W912" s="87"/>
      <c r="X912" s="87"/>
      <c r="Y912" s="87"/>
      <c r="Z912" s="87"/>
      <c r="AA912" s="87"/>
      <c r="AB912" s="87"/>
      <c r="AC912" s="243"/>
      <c r="AD912" s="234"/>
      <c r="AE912" s="234"/>
      <c r="AF912" s="234"/>
      <c r="AG912" s="9"/>
      <c r="AH912" s="87"/>
      <c r="AI912" s="87"/>
      <c r="AJ912" s="87"/>
      <c r="AK912" s="244"/>
      <c r="AL912" s="245"/>
      <c r="AM912" s="244"/>
      <c r="AN912" s="244"/>
      <c r="AO912" s="87"/>
      <c r="AP912" s="87"/>
      <c r="AQ912" s="87"/>
      <c r="AR912" s="87"/>
      <c r="AS912" s="87"/>
      <c r="AT912" s="87"/>
      <c r="AU912" s="87"/>
      <c r="AV912" s="87"/>
      <c r="AW912" s="87"/>
      <c r="AX912" s="87"/>
    </row>
    <row r="913">
      <c r="A913" s="9"/>
      <c r="B913" s="87"/>
      <c r="C913" s="87"/>
      <c r="D913" s="87"/>
      <c r="E913" s="9"/>
      <c r="F913" s="87"/>
      <c r="G913" s="87"/>
      <c r="H913" s="87"/>
      <c r="I913" s="9"/>
      <c r="J913" s="87"/>
      <c r="K913" s="87"/>
      <c r="L913" s="87"/>
      <c r="M913" s="9"/>
      <c r="N913" s="87"/>
      <c r="O913" s="87"/>
      <c r="P913" s="87"/>
      <c r="Q913" s="9"/>
      <c r="R913" s="87"/>
      <c r="S913" s="87"/>
      <c r="T913" s="87"/>
      <c r="U913" s="9"/>
      <c r="V913" s="87"/>
      <c r="W913" s="87"/>
      <c r="X913" s="87"/>
      <c r="Y913" s="87"/>
      <c r="Z913" s="87"/>
      <c r="AA913" s="87"/>
      <c r="AB913" s="87"/>
      <c r="AC913" s="243"/>
      <c r="AD913" s="234"/>
      <c r="AE913" s="234"/>
      <c r="AF913" s="234"/>
      <c r="AG913" s="9"/>
      <c r="AH913" s="87"/>
      <c r="AI913" s="87"/>
      <c r="AJ913" s="87"/>
      <c r="AK913" s="244"/>
      <c r="AL913" s="245"/>
      <c r="AM913" s="244"/>
      <c r="AN913" s="244"/>
      <c r="AO913" s="87"/>
      <c r="AP913" s="87"/>
      <c r="AQ913" s="87"/>
      <c r="AR913" s="87"/>
      <c r="AS913" s="87"/>
      <c r="AT913" s="87"/>
      <c r="AU913" s="87"/>
      <c r="AV913" s="87"/>
      <c r="AW913" s="87"/>
      <c r="AX913" s="87"/>
    </row>
    <row r="914">
      <c r="A914" s="9"/>
      <c r="B914" s="87"/>
      <c r="C914" s="87"/>
      <c r="D914" s="87"/>
      <c r="E914" s="9"/>
      <c r="F914" s="87"/>
      <c r="G914" s="87"/>
      <c r="H914" s="87"/>
      <c r="I914" s="9"/>
      <c r="J914" s="87"/>
      <c r="K914" s="87"/>
      <c r="L914" s="87"/>
      <c r="M914" s="9"/>
      <c r="N914" s="87"/>
      <c r="O914" s="87"/>
      <c r="P914" s="87"/>
      <c r="Q914" s="9"/>
      <c r="R914" s="87"/>
      <c r="S914" s="87"/>
      <c r="T914" s="87"/>
      <c r="U914" s="9"/>
      <c r="V914" s="87"/>
      <c r="W914" s="87"/>
      <c r="X914" s="87"/>
      <c r="Y914" s="87"/>
      <c r="Z914" s="87"/>
      <c r="AA914" s="87"/>
      <c r="AB914" s="87"/>
      <c r="AC914" s="243"/>
      <c r="AD914" s="234"/>
      <c r="AE914" s="234"/>
      <c r="AF914" s="234"/>
      <c r="AG914" s="9"/>
      <c r="AH914" s="87"/>
      <c r="AI914" s="87"/>
      <c r="AJ914" s="87"/>
      <c r="AK914" s="244"/>
      <c r="AL914" s="245"/>
      <c r="AM914" s="244"/>
      <c r="AN914" s="244"/>
      <c r="AO914" s="87"/>
      <c r="AP914" s="87"/>
      <c r="AQ914" s="87"/>
      <c r="AR914" s="87"/>
      <c r="AS914" s="87"/>
      <c r="AT914" s="87"/>
      <c r="AU914" s="87"/>
      <c r="AV914" s="87"/>
      <c r="AW914" s="87"/>
      <c r="AX914" s="87"/>
    </row>
    <row r="915">
      <c r="A915" s="9"/>
      <c r="B915" s="87"/>
      <c r="C915" s="87"/>
      <c r="D915" s="87"/>
      <c r="E915" s="9"/>
      <c r="F915" s="87"/>
      <c r="G915" s="87"/>
      <c r="H915" s="87"/>
      <c r="I915" s="9"/>
      <c r="J915" s="87"/>
      <c r="K915" s="87"/>
      <c r="L915" s="87"/>
      <c r="M915" s="9"/>
      <c r="N915" s="87"/>
      <c r="O915" s="87"/>
      <c r="P915" s="87"/>
      <c r="Q915" s="9"/>
      <c r="R915" s="87"/>
      <c r="S915" s="87"/>
      <c r="T915" s="87"/>
      <c r="U915" s="9"/>
      <c r="V915" s="87"/>
      <c r="W915" s="87"/>
      <c r="X915" s="87"/>
      <c r="Y915" s="87"/>
      <c r="Z915" s="87"/>
      <c r="AA915" s="87"/>
      <c r="AB915" s="87"/>
      <c r="AC915" s="243"/>
      <c r="AD915" s="234"/>
      <c r="AE915" s="234"/>
      <c r="AF915" s="234"/>
      <c r="AG915" s="9"/>
      <c r="AH915" s="87"/>
      <c r="AI915" s="87"/>
      <c r="AJ915" s="87"/>
      <c r="AK915" s="244"/>
      <c r="AL915" s="245"/>
      <c r="AM915" s="244"/>
      <c r="AN915" s="244"/>
      <c r="AO915" s="87"/>
      <c r="AP915" s="87"/>
      <c r="AQ915" s="87"/>
      <c r="AR915" s="87"/>
      <c r="AS915" s="87"/>
      <c r="AT915" s="87"/>
      <c r="AU915" s="87"/>
      <c r="AV915" s="87"/>
      <c r="AW915" s="87"/>
      <c r="AX915" s="87"/>
    </row>
    <row r="916">
      <c r="A916" s="9"/>
      <c r="B916" s="87"/>
      <c r="C916" s="87"/>
      <c r="D916" s="87"/>
      <c r="E916" s="9"/>
      <c r="F916" s="87"/>
      <c r="G916" s="87"/>
      <c r="H916" s="87"/>
      <c r="I916" s="9"/>
      <c r="J916" s="87"/>
      <c r="K916" s="87"/>
      <c r="L916" s="87"/>
      <c r="M916" s="9"/>
      <c r="N916" s="87"/>
      <c r="O916" s="87"/>
      <c r="P916" s="87"/>
      <c r="Q916" s="9"/>
      <c r="R916" s="87"/>
      <c r="S916" s="87"/>
      <c r="T916" s="87"/>
      <c r="U916" s="9"/>
      <c r="V916" s="87"/>
      <c r="W916" s="87"/>
      <c r="X916" s="87"/>
      <c r="Y916" s="87"/>
      <c r="Z916" s="87"/>
      <c r="AA916" s="87"/>
      <c r="AB916" s="87"/>
      <c r="AC916" s="243"/>
      <c r="AD916" s="234"/>
      <c r="AE916" s="234"/>
      <c r="AF916" s="234"/>
      <c r="AG916" s="9"/>
      <c r="AH916" s="87"/>
      <c r="AI916" s="87"/>
      <c r="AJ916" s="87"/>
      <c r="AK916" s="244"/>
      <c r="AL916" s="245"/>
      <c r="AM916" s="244"/>
      <c r="AN916" s="244"/>
      <c r="AO916" s="87"/>
      <c r="AP916" s="87"/>
      <c r="AQ916" s="87"/>
      <c r="AR916" s="87"/>
      <c r="AS916" s="87"/>
      <c r="AT916" s="87"/>
      <c r="AU916" s="87"/>
      <c r="AV916" s="87"/>
      <c r="AW916" s="87"/>
      <c r="AX916" s="87"/>
    </row>
    <row r="917">
      <c r="A917" s="9"/>
      <c r="B917" s="87"/>
      <c r="C917" s="87"/>
      <c r="D917" s="87"/>
      <c r="E917" s="9"/>
      <c r="F917" s="87"/>
      <c r="G917" s="87"/>
      <c r="H917" s="87"/>
      <c r="I917" s="9"/>
      <c r="J917" s="87"/>
      <c r="K917" s="87"/>
      <c r="L917" s="87"/>
      <c r="M917" s="9"/>
      <c r="N917" s="87"/>
      <c r="O917" s="87"/>
      <c r="P917" s="87"/>
      <c r="Q917" s="9"/>
      <c r="R917" s="87"/>
      <c r="S917" s="87"/>
      <c r="T917" s="87"/>
      <c r="U917" s="9"/>
      <c r="V917" s="87"/>
      <c r="W917" s="87"/>
      <c r="X917" s="87"/>
      <c r="Y917" s="87"/>
      <c r="Z917" s="87"/>
      <c r="AA917" s="87"/>
      <c r="AB917" s="87"/>
      <c r="AC917" s="243"/>
      <c r="AD917" s="234"/>
      <c r="AE917" s="234"/>
      <c r="AF917" s="234"/>
      <c r="AG917" s="9"/>
      <c r="AH917" s="87"/>
      <c r="AI917" s="87"/>
      <c r="AJ917" s="87"/>
      <c r="AK917" s="244"/>
      <c r="AL917" s="245"/>
      <c r="AM917" s="244"/>
      <c r="AN917" s="244"/>
      <c r="AO917" s="87"/>
      <c r="AP917" s="87"/>
      <c r="AQ917" s="87"/>
      <c r="AR917" s="87"/>
      <c r="AS917" s="87"/>
      <c r="AT917" s="87"/>
      <c r="AU917" s="87"/>
      <c r="AV917" s="87"/>
      <c r="AW917" s="87"/>
      <c r="AX917" s="87"/>
    </row>
    <row r="918">
      <c r="A918" s="9"/>
      <c r="B918" s="87"/>
      <c r="C918" s="87"/>
      <c r="D918" s="87"/>
      <c r="E918" s="9"/>
      <c r="F918" s="87"/>
      <c r="G918" s="87"/>
      <c r="H918" s="87"/>
      <c r="I918" s="9"/>
      <c r="J918" s="87"/>
      <c r="K918" s="87"/>
      <c r="L918" s="87"/>
      <c r="M918" s="9"/>
      <c r="N918" s="87"/>
      <c r="O918" s="87"/>
      <c r="P918" s="87"/>
      <c r="Q918" s="9"/>
      <c r="R918" s="87"/>
      <c r="S918" s="87"/>
      <c r="T918" s="87"/>
      <c r="U918" s="9"/>
      <c r="V918" s="87"/>
      <c r="W918" s="87"/>
      <c r="X918" s="87"/>
      <c r="Y918" s="87"/>
      <c r="Z918" s="87"/>
      <c r="AA918" s="87"/>
      <c r="AB918" s="87"/>
      <c r="AC918" s="243"/>
      <c r="AD918" s="234"/>
      <c r="AE918" s="234"/>
      <c r="AF918" s="234"/>
      <c r="AG918" s="9"/>
      <c r="AH918" s="87"/>
      <c r="AI918" s="87"/>
      <c r="AJ918" s="87"/>
      <c r="AK918" s="244"/>
      <c r="AL918" s="245"/>
      <c r="AM918" s="244"/>
      <c r="AN918" s="244"/>
      <c r="AO918" s="87"/>
      <c r="AP918" s="87"/>
      <c r="AQ918" s="87"/>
      <c r="AR918" s="87"/>
      <c r="AS918" s="87"/>
      <c r="AT918" s="87"/>
      <c r="AU918" s="87"/>
      <c r="AV918" s="87"/>
      <c r="AW918" s="87"/>
      <c r="AX918" s="87"/>
    </row>
    <row r="919">
      <c r="A919" s="9"/>
      <c r="B919" s="87"/>
      <c r="C919" s="87"/>
      <c r="D919" s="87"/>
      <c r="E919" s="9"/>
      <c r="F919" s="87"/>
      <c r="G919" s="87"/>
      <c r="H919" s="87"/>
      <c r="I919" s="9"/>
      <c r="J919" s="87"/>
      <c r="K919" s="87"/>
      <c r="L919" s="87"/>
      <c r="M919" s="9"/>
      <c r="N919" s="87"/>
      <c r="O919" s="87"/>
      <c r="P919" s="87"/>
      <c r="Q919" s="9"/>
      <c r="R919" s="87"/>
      <c r="S919" s="87"/>
      <c r="T919" s="87"/>
      <c r="U919" s="9"/>
      <c r="V919" s="87"/>
      <c r="W919" s="87"/>
      <c r="X919" s="87"/>
      <c r="Y919" s="87"/>
      <c r="Z919" s="87"/>
      <c r="AA919" s="87"/>
      <c r="AB919" s="87"/>
      <c r="AC919" s="243"/>
      <c r="AD919" s="234"/>
      <c r="AE919" s="234"/>
      <c r="AF919" s="234"/>
      <c r="AG919" s="9"/>
      <c r="AH919" s="87"/>
      <c r="AI919" s="87"/>
      <c r="AJ919" s="87"/>
      <c r="AK919" s="244"/>
      <c r="AL919" s="245"/>
      <c r="AM919" s="244"/>
      <c r="AN919" s="244"/>
      <c r="AO919" s="87"/>
      <c r="AP919" s="87"/>
      <c r="AQ919" s="87"/>
      <c r="AR919" s="87"/>
      <c r="AS919" s="87"/>
      <c r="AT919" s="87"/>
      <c r="AU919" s="87"/>
      <c r="AV919" s="87"/>
      <c r="AW919" s="87"/>
      <c r="AX919" s="87"/>
    </row>
    <row r="920">
      <c r="A920" s="9"/>
      <c r="B920" s="87"/>
      <c r="C920" s="87"/>
      <c r="D920" s="87"/>
      <c r="E920" s="9"/>
      <c r="F920" s="87"/>
      <c r="G920" s="87"/>
      <c r="H920" s="87"/>
      <c r="I920" s="9"/>
      <c r="J920" s="87"/>
      <c r="K920" s="87"/>
      <c r="L920" s="87"/>
      <c r="M920" s="9"/>
      <c r="N920" s="87"/>
      <c r="O920" s="87"/>
      <c r="P920" s="87"/>
      <c r="Q920" s="9"/>
      <c r="R920" s="87"/>
      <c r="S920" s="87"/>
      <c r="T920" s="87"/>
      <c r="U920" s="9"/>
      <c r="V920" s="87"/>
      <c r="W920" s="87"/>
      <c r="X920" s="87"/>
      <c r="Y920" s="87"/>
      <c r="Z920" s="87"/>
      <c r="AA920" s="87"/>
      <c r="AB920" s="87"/>
      <c r="AC920" s="243"/>
      <c r="AD920" s="234"/>
      <c r="AE920" s="234"/>
      <c r="AF920" s="234"/>
      <c r="AG920" s="9"/>
      <c r="AH920" s="87"/>
      <c r="AI920" s="87"/>
      <c r="AJ920" s="87"/>
      <c r="AK920" s="244"/>
      <c r="AL920" s="245"/>
      <c r="AM920" s="244"/>
      <c r="AN920" s="244"/>
      <c r="AO920" s="87"/>
      <c r="AP920" s="87"/>
      <c r="AQ920" s="87"/>
      <c r="AR920" s="87"/>
      <c r="AS920" s="87"/>
      <c r="AT920" s="87"/>
      <c r="AU920" s="87"/>
      <c r="AV920" s="87"/>
      <c r="AW920" s="87"/>
      <c r="AX920" s="87"/>
    </row>
    <row r="921">
      <c r="A921" s="9"/>
      <c r="B921" s="87"/>
      <c r="C921" s="87"/>
      <c r="D921" s="87"/>
      <c r="E921" s="9"/>
      <c r="F921" s="87"/>
      <c r="G921" s="87"/>
      <c r="H921" s="87"/>
      <c r="I921" s="9"/>
      <c r="J921" s="87"/>
      <c r="K921" s="87"/>
      <c r="L921" s="87"/>
      <c r="M921" s="9"/>
      <c r="N921" s="87"/>
      <c r="O921" s="87"/>
      <c r="P921" s="87"/>
      <c r="Q921" s="9"/>
      <c r="R921" s="87"/>
      <c r="S921" s="87"/>
      <c r="T921" s="87"/>
      <c r="U921" s="9"/>
      <c r="V921" s="87"/>
      <c r="W921" s="87"/>
      <c r="X921" s="87"/>
      <c r="Y921" s="87"/>
      <c r="Z921" s="87"/>
      <c r="AA921" s="87"/>
      <c r="AB921" s="87"/>
      <c r="AC921" s="243"/>
      <c r="AD921" s="234"/>
      <c r="AE921" s="234"/>
      <c r="AF921" s="234"/>
      <c r="AG921" s="9"/>
      <c r="AH921" s="87"/>
      <c r="AI921" s="87"/>
      <c r="AJ921" s="87"/>
      <c r="AK921" s="244"/>
      <c r="AL921" s="245"/>
      <c r="AM921" s="244"/>
      <c r="AN921" s="244"/>
      <c r="AO921" s="87"/>
      <c r="AP921" s="87"/>
      <c r="AQ921" s="87"/>
      <c r="AR921" s="87"/>
      <c r="AS921" s="87"/>
      <c r="AT921" s="87"/>
      <c r="AU921" s="87"/>
      <c r="AV921" s="87"/>
      <c r="AW921" s="87"/>
      <c r="AX921" s="87"/>
    </row>
    <row r="922">
      <c r="A922" s="9"/>
      <c r="B922" s="87"/>
      <c r="C922" s="87"/>
      <c r="D922" s="87"/>
      <c r="E922" s="9"/>
      <c r="F922" s="87"/>
      <c r="G922" s="87"/>
      <c r="H922" s="87"/>
      <c r="I922" s="9"/>
      <c r="J922" s="87"/>
      <c r="K922" s="87"/>
      <c r="L922" s="87"/>
      <c r="M922" s="9"/>
      <c r="N922" s="87"/>
      <c r="O922" s="87"/>
      <c r="P922" s="87"/>
      <c r="Q922" s="9"/>
      <c r="R922" s="87"/>
      <c r="S922" s="87"/>
      <c r="T922" s="87"/>
      <c r="U922" s="9"/>
      <c r="V922" s="87"/>
      <c r="W922" s="87"/>
      <c r="X922" s="87"/>
      <c r="Y922" s="87"/>
      <c r="Z922" s="87"/>
      <c r="AA922" s="87"/>
      <c r="AB922" s="87"/>
      <c r="AC922" s="243"/>
      <c r="AD922" s="234"/>
      <c r="AE922" s="234"/>
      <c r="AF922" s="234"/>
      <c r="AG922" s="9"/>
      <c r="AH922" s="87"/>
      <c r="AI922" s="87"/>
      <c r="AJ922" s="87"/>
      <c r="AK922" s="244"/>
      <c r="AL922" s="245"/>
      <c r="AM922" s="244"/>
      <c r="AN922" s="244"/>
      <c r="AO922" s="87"/>
      <c r="AP922" s="87"/>
      <c r="AQ922" s="87"/>
      <c r="AR922" s="87"/>
      <c r="AS922" s="87"/>
      <c r="AT922" s="87"/>
      <c r="AU922" s="87"/>
      <c r="AV922" s="87"/>
      <c r="AW922" s="87"/>
      <c r="AX922" s="87"/>
    </row>
    <row r="923">
      <c r="A923" s="9"/>
      <c r="B923" s="87"/>
      <c r="C923" s="87"/>
      <c r="D923" s="87"/>
      <c r="E923" s="9"/>
      <c r="F923" s="87"/>
      <c r="G923" s="87"/>
      <c r="H923" s="87"/>
      <c r="I923" s="9"/>
      <c r="J923" s="87"/>
      <c r="K923" s="87"/>
      <c r="L923" s="87"/>
      <c r="M923" s="9"/>
      <c r="N923" s="87"/>
      <c r="O923" s="87"/>
      <c r="P923" s="87"/>
      <c r="Q923" s="9"/>
      <c r="R923" s="87"/>
      <c r="S923" s="87"/>
      <c r="T923" s="87"/>
      <c r="U923" s="9"/>
      <c r="V923" s="87"/>
      <c r="W923" s="87"/>
      <c r="X923" s="87"/>
      <c r="Y923" s="87"/>
      <c r="Z923" s="87"/>
      <c r="AA923" s="87"/>
      <c r="AB923" s="87"/>
      <c r="AC923" s="243"/>
      <c r="AD923" s="234"/>
      <c r="AE923" s="234"/>
      <c r="AF923" s="234"/>
      <c r="AG923" s="9"/>
      <c r="AH923" s="87"/>
      <c r="AI923" s="87"/>
      <c r="AJ923" s="87"/>
      <c r="AK923" s="244"/>
      <c r="AL923" s="245"/>
      <c r="AM923" s="244"/>
      <c r="AN923" s="244"/>
      <c r="AO923" s="87"/>
      <c r="AP923" s="87"/>
      <c r="AQ923" s="87"/>
      <c r="AR923" s="87"/>
      <c r="AS923" s="87"/>
      <c r="AT923" s="87"/>
      <c r="AU923" s="87"/>
      <c r="AV923" s="87"/>
      <c r="AW923" s="87"/>
      <c r="AX923" s="87"/>
    </row>
    <row r="924">
      <c r="A924" s="9"/>
      <c r="B924" s="87"/>
      <c r="C924" s="87"/>
      <c r="D924" s="87"/>
      <c r="E924" s="9"/>
      <c r="F924" s="87"/>
      <c r="G924" s="87"/>
      <c r="H924" s="87"/>
      <c r="I924" s="9"/>
      <c r="J924" s="87"/>
      <c r="K924" s="87"/>
      <c r="L924" s="87"/>
      <c r="M924" s="9"/>
      <c r="N924" s="87"/>
      <c r="O924" s="87"/>
      <c r="P924" s="87"/>
      <c r="Q924" s="9"/>
      <c r="R924" s="87"/>
      <c r="S924" s="87"/>
      <c r="T924" s="87"/>
      <c r="U924" s="9"/>
      <c r="V924" s="87"/>
      <c r="W924" s="87"/>
      <c r="X924" s="87"/>
      <c r="Y924" s="87"/>
      <c r="Z924" s="87"/>
      <c r="AA924" s="87"/>
      <c r="AB924" s="87"/>
      <c r="AC924" s="243"/>
      <c r="AD924" s="234"/>
      <c r="AE924" s="234"/>
      <c r="AF924" s="234"/>
      <c r="AG924" s="9"/>
      <c r="AH924" s="87"/>
      <c r="AI924" s="87"/>
      <c r="AJ924" s="87"/>
      <c r="AK924" s="244"/>
      <c r="AL924" s="245"/>
      <c r="AM924" s="244"/>
      <c r="AN924" s="244"/>
      <c r="AO924" s="87"/>
      <c r="AP924" s="87"/>
      <c r="AQ924" s="87"/>
      <c r="AR924" s="87"/>
      <c r="AS924" s="87"/>
      <c r="AT924" s="87"/>
      <c r="AU924" s="87"/>
      <c r="AV924" s="87"/>
      <c r="AW924" s="87"/>
      <c r="AX924" s="87"/>
    </row>
    <row r="925">
      <c r="A925" s="9"/>
      <c r="B925" s="87"/>
      <c r="C925" s="87"/>
      <c r="D925" s="87"/>
      <c r="E925" s="9"/>
      <c r="F925" s="87"/>
      <c r="G925" s="87"/>
      <c r="H925" s="87"/>
      <c r="I925" s="9"/>
      <c r="J925" s="87"/>
      <c r="K925" s="87"/>
      <c r="L925" s="87"/>
      <c r="M925" s="9"/>
      <c r="N925" s="87"/>
      <c r="O925" s="87"/>
      <c r="P925" s="87"/>
      <c r="Q925" s="9"/>
      <c r="R925" s="87"/>
      <c r="S925" s="87"/>
      <c r="T925" s="87"/>
      <c r="U925" s="9"/>
      <c r="V925" s="87"/>
      <c r="W925" s="87"/>
      <c r="X925" s="87"/>
      <c r="Y925" s="87"/>
      <c r="Z925" s="87"/>
      <c r="AA925" s="87"/>
      <c r="AB925" s="87"/>
      <c r="AC925" s="243"/>
      <c r="AD925" s="234"/>
      <c r="AE925" s="234"/>
      <c r="AF925" s="234"/>
      <c r="AG925" s="9"/>
      <c r="AH925" s="87"/>
      <c r="AI925" s="87"/>
      <c r="AJ925" s="87"/>
      <c r="AK925" s="244"/>
      <c r="AL925" s="245"/>
      <c r="AM925" s="244"/>
      <c r="AN925" s="244"/>
      <c r="AO925" s="87"/>
      <c r="AP925" s="87"/>
      <c r="AQ925" s="87"/>
      <c r="AR925" s="87"/>
      <c r="AS925" s="87"/>
      <c r="AT925" s="87"/>
      <c r="AU925" s="87"/>
      <c r="AV925" s="87"/>
      <c r="AW925" s="87"/>
      <c r="AX925" s="87"/>
    </row>
    <row r="926">
      <c r="A926" s="9"/>
      <c r="B926" s="87"/>
      <c r="C926" s="87"/>
      <c r="D926" s="87"/>
      <c r="E926" s="9"/>
      <c r="F926" s="87"/>
      <c r="G926" s="87"/>
      <c r="H926" s="87"/>
      <c r="I926" s="9"/>
      <c r="J926" s="87"/>
      <c r="K926" s="87"/>
      <c r="L926" s="87"/>
      <c r="M926" s="9"/>
      <c r="N926" s="87"/>
      <c r="O926" s="87"/>
      <c r="P926" s="87"/>
      <c r="Q926" s="9"/>
      <c r="R926" s="87"/>
      <c r="S926" s="87"/>
      <c r="T926" s="87"/>
      <c r="U926" s="9"/>
      <c r="V926" s="87"/>
      <c r="W926" s="87"/>
      <c r="X926" s="87"/>
      <c r="Y926" s="87"/>
      <c r="Z926" s="87"/>
      <c r="AA926" s="87"/>
      <c r="AB926" s="87"/>
      <c r="AC926" s="243"/>
      <c r="AD926" s="234"/>
      <c r="AE926" s="234"/>
      <c r="AF926" s="234"/>
      <c r="AG926" s="9"/>
      <c r="AH926" s="87"/>
      <c r="AI926" s="87"/>
      <c r="AJ926" s="87"/>
      <c r="AK926" s="244"/>
      <c r="AL926" s="245"/>
      <c r="AM926" s="244"/>
      <c r="AN926" s="244"/>
      <c r="AO926" s="87"/>
      <c r="AP926" s="87"/>
      <c r="AQ926" s="87"/>
      <c r="AR926" s="87"/>
      <c r="AS926" s="87"/>
      <c r="AT926" s="87"/>
      <c r="AU926" s="87"/>
      <c r="AV926" s="87"/>
      <c r="AW926" s="87"/>
      <c r="AX926" s="87"/>
    </row>
    <row r="927">
      <c r="A927" s="9"/>
      <c r="B927" s="87"/>
      <c r="C927" s="87"/>
      <c r="D927" s="87"/>
      <c r="E927" s="9"/>
      <c r="F927" s="87"/>
      <c r="G927" s="87"/>
      <c r="H927" s="87"/>
      <c r="I927" s="9"/>
      <c r="J927" s="87"/>
      <c r="K927" s="87"/>
      <c r="L927" s="87"/>
      <c r="M927" s="9"/>
      <c r="N927" s="87"/>
      <c r="O927" s="87"/>
      <c r="P927" s="87"/>
      <c r="Q927" s="9"/>
      <c r="R927" s="87"/>
      <c r="S927" s="87"/>
      <c r="T927" s="87"/>
      <c r="U927" s="9"/>
      <c r="V927" s="87"/>
      <c r="W927" s="87"/>
      <c r="X927" s="87"/>
      <c r="Y927" s="87"/>
      <c r="Z927" s="87"/>
      <c r="AA927" s="87"/>
      <c r="AB927" s="87"/>
      <c r="AC927" s="243"/>
      <c r="AD927" s="234"/>
      <c r="AE927" s="234"/>
      <c r="AF927" s="234"/>
      <c r="AG927" s="9"/>
      <c r="AH927" s="87"/>
      <c r="AI927" s="87"/>
      <c r="AJ927" s="87"/>
      <c r="AK927" s="244"/>
      <c r="AL927" s="245"/>
      <c r="AM927" s="244"/>
      <c r="AN927" s="244"/>
      <c r="AO927" s="87"/>
      <c r="AP927" s="87"/>
      <c r="AQ927" s="87"/>
      <c r="AR927" s="87"/>
      <c r="AS927" s="87"/>
      <c r="AT927" s="87"/>
      <c r="AU927" s="87"/>
      <c r="AV927" s="87"/>
      <c r="AW927" s="87"/>
      <c r="AX927" s="87"/>
    </row>
    <row r="928">
      <c r="A928" s="9"/>
      <c r="B928" s="87"/>
      <c r="C928" s="87"/>
      <c r="D928" s="87"/>
      <c r="E928" s="9"/>
      <c r="F928" s="87"/>
      <c r="G928" s="87"/>
      <c r="H928" s="87"/>
      <c r="I928" s="9"/>
      <c r="J928" s="87"/>
      <c r="K928" s="87"/>
      <c r="L928" s="87"/>
      <c r="M928" s="9"/>
      <c r="N928" s="87"/>
      <c r="O928" s="87"/>
      <c r="P928" s="87"/>
      <c r="Q928" s="9"/>
      <c r="R928" s="87"/>
      <c r="S928" s="87"/>
      <c r="T928" s="87"/>
      <c r="U928" s="9"/>
      <c r="V928" s="87"/>
      <c r="W928" s="87"/>
      <c r="X928" s="87"/>
      <c r="Y928" s="87"/>
      <c r="Z928" s="87"/>
      <c r="AA928" s="87"/>
      <c r="AB928" s="87"/>
      <c r="AC928" s="243"/>
      <c r="AD928" s="234"/>
      <c r="AE928" s="234"/>
      <c r="AF928" s="234"/>
      <c r="AG928" s="9"/>
      <c r="AH928" s="87"/>
      <c r="AI928" s="87"/>
      <c r="AJ928" s="87"/>
      <c r="AK928" s="244"/>
      <c r="AL928" s="245"/>
      <c r="AM928" s="244"/>
      <c r="AN928" s="244"/>
      <c r="AO928" s="87"/>
      <c r="AP928" s="87"/>
      <c r="AQ928" s="87"/>
      <c r="AR928" s="87"/>
      <c r="AS928" s="87"/>
      <c r="AT928" s="87"/>
      <c r="AU928" s="87"/>
      <c r="AV928" s="87"/>
      <c r="AW928" s="87"/>
      <c r="AX928" s="87"/>
    </row>
    <row r="929">
      <c r="A929" s="9"/>
      <c r="B929" s="87"/>
      <c r="C929" s="87"/>
      <c r="D929" s="87"/>
      <c r="E929" s="9"/>
      <c r="F929" s="87"/>
      <c r="G929" s="87"/>
      <c r="H929" s="87"/>
      <c r="I929" s="9"/>
      <c r="J929" s="87"/>
      <c r="K929" s="87"/>
      <c r="L929" s="87"/>
      <c r="M929" s="9"/>
      <c r="N929" s="87"/>
      <c r="O929" s="87"/>
      <c r="P929" s="87"/>
      <c r="Q929" s="9"/>
      <c r="R929" s="87"/>
      <c r="S929" s="87"/>
      <c r="T929" s="87"/>
      <c r="U929" s="9"/>
      <c r="V929" s="87"/>
      <c r="W929" s="87"/>
      <c r="X929" s="87"/>
      <c r="Y929" s="87"/>
      <c r="Z929" s="87"/>
      <c r="AA929" s="87"/>
      <c r="AB929" s="87"/>
      <c r="AC929" s="243"/>
      <c r="AD929" s="234"/>
      <c r="AE929" s="234"/>
      <c r="AF929" s="234"/>
      <c r="AG929" s="9"/>
      <c r="AH929" s="87"/>
      <c r="AI929" s="87"/>
      <c r="AJ929" s="87"/>
      <c r="AK929" s="244"/>
      <c r="AL929" s="245"/>
      <c r="AM929" s="244"/>
      <c r="AN929" s="244"/>
      <c r="AO929" s="87"/>
      <c r="AP929" s="87"/>
      <c r="AQ929" s="87"/>
      <c r="AR929" s="87"/>
      <c r="AS929" s="87"/>
      <c r="AT929" s="87"/>
      <c r="AU929" s="87"/>
      <c r="AV929" s="87"/>
      <c r="AW929" s="87"/>
      <c r="AX929" s="87"/>
    </row>
    <row r="930">
      <c r="A930" s="9"/>
      <c r="B930" s="87"/>
      <c r="C930" s="87"/>
      <c r="D930" s="87"/>
      <c r="E930" s="9"/>
      <c r="F930" s="87"/>
      <c r="G930" s="87"/>
      <c r="H930" s="87"/>
      <c r="I930" s="9"/>
      <c r="J930" s="87"/>
      <c r="K930" s="87"/>
      <c r="L930" s="87"/>
      <c r="M930" s="9"/>
      <c r="N930" s="87"/>
      <c r="O930" s="87"/>
      <c r="P930" s="87"/>
      <c r="Q930" s="9"/>
      <c r="R930" s="87"/>
      <c r="S930" s="87"/>
      <c r="T930" s="87"/>
      <c r="U930" s="9"/>
      <c r="V930" s="87"/>
      <c r="W930" s="87"/>
      <c r="X930" s="87"/>
      <c r="Y930" s="87"/>
      <c r="Z930" s="87"/>
      <c r="AA930" s="87"/>
      <c r="AB930" s="87"/>
      <c r="AC930" s="243"/>
      <c r="AD930" s="234"/>
      <c r="AE930" s="234"/>
      <c r="AF930" s="234"/>
      <c r="AG930" s="9"/>
      <c r="AH930" s="87"/>
      <c r="AI930" s="87"/>
      <c r="AJ930" s="87"/>
      <c r="AK930" s="244"/>
      <c r="AL930" s="245"/>
      <c r="AM930" s="244"/>
      <c r="AN930" s="244"/>
      <c r="AO930" s="87"/>
      <c r="AP930" s="87"/>
      <c r="AQ930" s="87"/>
      <c r="AR930" s="87"/>
      <c r="AS930" s="87"/>
      <c r="AT930" s="87"/>
      <c r="AU930" s="87"/>
      <c r="AV930" s="87"/>
      <c r="AW930" s="87"/>
      <c r="AX930" s="87"/>
    </row>
    <row r="931">
      <c r="A931" s="9"/>
      <c r="B931" s="87"/>
      <c r="C931" s="87"/>
      <c r="D931" s="87"/>
      <c r="E931" s="9"/>
      <c r="F931" s="87"/>
      <c r="G931" s="87"/>
      <c r="H931" s="87"/>
      <c r="I931" s="9"/>
      <c r="J931" s="87"/>
      <c r="K931" s="87"/>
      <c r="L931" s="87"/>
      <c r="M931" s="9"/>
      <c r="N931" s="87"/>
      <c r="O931" s="87"/>
      <c r="P931" s="87"/>
      <c r="Q931" s="9"/>
      <c r="R931" s="87"/>
      <c r="S931" s="87"/>
      <c r="T931" s="87"/>
      <c r="U931" s="9"/>
      <c r="V931" s="87"/>
      <c r="W931" s="87"/>
      <c r="X931" s="87"/>
      <c r="Y931" s="87"/>
      <c r="Z931" s="87"/>
      <c r="AA931" s="87"/>
      <c r="AB931" s="87"/>
      <c r="AC931" s="243"/>
      <c r="AD931" s="234"/>
      <c r="AE931" s="234"/>
      <c r="AF931" s="234"/>
      <c r="AG931" s="9"/>
      <c r="AH931" s="87"/>
      <c r="AI931" s="87"/>
      <c r="AJ931" s="87"/>
      <c r="AK931" s="244"/>
      <c r="AL931" s="245"/>
      <c r="AM931" s="244"/>
      <c r="AN931" s="244"/>
      <c r="AO931" s="87"/>
      <c r="AP931" s="87"/>
      <c r="AQ931" s="87"/>
      <c r="AR931" s="87"/>
      <c r="AS931" s="87"/>
      <c r="AT931" s="87"/>
      <c r="AU931" s="87"/>
      <c r="AV931" s="87"/>
      <c r="AW931" s="87"/>
      <c r="AX931" s="87"/>
    </row>
    <row r="932">
      <c r="A932" s="9"/>
      <c r="B932" s="87"/>
      <c r="C932" s="87"/>
      <c r="D932" s="87"/>
      <c r="E932" s="9"/>
      <c r="F932" s="87"/>
      <c r="G932" s="87"/>
      <c r="H932" s="87"/>
      <c r="I932" s="9"/>
      <c r="J932" s="87"/>
      <c r="K932" s="87"/>
      <c r="L932" s="87"/>
      <c r="M932" s="9"/>
      <c r="N932" s="87"/>
      <c r="O932" s="87"/>
      <c r="P932" s="87"/>
      <c r="Q932" s="9"/>
      <c r="R932" s="87"/>
      <c r="S932" s="87"/>
      <c r="T932" s="87"/>
      <c r="U932" s="9"/>
      <c r="V932" s="87"/>
      <c r="W932" s="87"/>
      <c r="X932" s="87"/>
      <c r="Y932" s="87"/>
      <c r="Z932" s="87"/>
      <c r="AA932" s="87"/>
      <c r="AB932" s="87"/>
      <c r="AC932" s="243"/>
      <c r="AD932" s="234"/>
      <c r="AE932" s="234"/>
      <c r="AF932" s="234"/>
      <c r="AG932" s="9"/>
      <c r="AH932" s="87"/>
      <c r="AI932" s="87"/>
      <c r="AJ932" s="87"/>
      <c r="AK932" s="244"/>
      <c r="AL932" s="245"/>
      <c r="AM932" s="244"/>
      <c r="AN932" s="244"/>
      <c r="AO932" s="87"/>
      <c r="AP932" s="87"/>
      <c r="AQ932" s="87"/>
      <c r="AR932" s="87"/>
      <c r="AS932" s="87"/>
      <c r="AT932" s="87"/>
      <c r="AU932" s="87"/>
      <c r="AV932" s="87"/>
      <c r="AW932" s="87"/>
      <c r="AX932" s="87"/>
    </row>
    <row r="933">
      <c r="A933" s="9"/>
      <c r="B933" s="87"/>
      <c r="C933" s="87"/>
      <c r="D933" s="87"/>
      <c r="E933" s="9"/>
      <c r="F933" s="87"/>
      <c r="G933" s="87"/>
      <c r="H933" s="87"/>
      <c r="I933" s="9"/>
      <c r="J933" s="87"/>
      <c r="K933" s="87"/>
      <c r="L933" s="87"/>
      <c r="M933" s="9"/>
      <c r="N933" s="87"/>
      <c r="O933" s="87"/>
      <c r="P933" s="87"/>
      <c r="Q933" s="9"/>
      <c r="R933" s="87"/>
      <c r="S933" s="87"/>
      <c r="T933" s="87"/>
      <c r="U933" s="9"/>
      <c r="V933" s="87"/>
      <c r="W933" s="87"/>
      <c r="X933" s="87"/>
      <c r="Y933" s="87"/>
      <c r="Z933" s="87"/>
      <c r="AA933" s="87"/>
      <c r="AB933" s="87"/>
      <c r="AC933" s="243"/>
      <c r="AD933" s="234"/>
      <c r="AE933" s="234"/>
      <c r="AF933" s="234"/>
      <c r="AG933" s="9"/>
      <c r="AH933" s="87"/>
      <c r="AI933" s="87"/>
      <c r="AJ933" s="87"/>
      <c r="AK933" s="244"/>
      <c r="AL933" s="245"/>
      <c r="AM933" s="244"/>
      <c r="AN933" s="244"/>
      <c r="AO933" s="87"/>
      <c r="AP933" s="87"/>
      <c r="AQ933" s="87"/>
      <c r="AR933" s="87"/>
      <c r="AS933" s="87"/>
      <c r="AT933" s="87"/>
      <c r="AU933" s="87"/>
      <c r="AV933" s="87"/>
      <c r="AW933" s="87"/>
      <c r="AX933" s="87"/>
    </row>
    <row r="934">
      <c r="A934" s="9"/>
      <c r="B934" s="87"/>
      <c r="C934" s="87"/>
      <c r="D934" s="87"/>
      <c r="E934" s="9"/>
      <c r="F934" s="87"/>
      <c r="G934" s="87"/>
      <c r="H934" s="87"/>
      <c r="I934" s="9"/>
      <c r="J934" s="87"/>
      <c r="K934" s="87"/>
      <c r="L934" s="87"/>
      <c r="M934" s="9"/>
      <c r="N934" s="87"/>
      <c r="O934" s="87"/>
      <c r="P934" s="87"/>
      <c r="Q934" s="9"/>
      <c r="R934" s="87"/>
      <c r="S934" s="87"/>
      <c r="T934" s="87"/>
      <c r="U934" s="9"/>
      <c r="V934" s="87"/>
      <c r="W934" s="87"/>
      <c r="X934" s="87"/>
      <c r="Y934" s="87"/>
      <c r="Z934" s="87"/>
      <c r="AA934" s="87"/>
      <c r="AB934" s="87"/>
      <c r="AC934" s="243"/>
      <c r="AD934" s="234"/>
      <c r="AE934" s="234"/>
      <c r="AF934" s="234"/>
      <c r="AG934" s="9"/>
      <c r="AH934" s="87"/>
      <c r="AI934" s="87"/>
      <c r="AJ934" s="87"/>
      <c r="AK934" s="244"/>
      <c r="AL934" s="245"/>
      <c r="AM934" s="244"/>
      <c r="AN934" s="244"/>
      <c r="AO934" s="87"/>
      <c r="AP934" s="87"/>
      <c r="AQ934" s="87"/>
      <c r="AR934" s="87"/>
      <c r="AS934" s="87"/>
      <c r="AT934" s="87"/>
      <c r="AU934" s="87"/>
      <c r="AV934" s="87"/>
      <c r="AW934" s="87"/>
      <c r="AX934" s="87"/>
    </row>
    <row r="935">
      <c r="A935" s="9"/>
      <c r="B935" s="87"/>
      <c r="C935" s="87"/>
      <c r="D935" s="87"/>
      <c r="E935" s="9"/>
      <c r="F935" s="87"/>
      <c r="G935" s="87"/>
      <c r="H935" s="87"/>
      <c r="I935" s="9"/>
      <c r="J935" s="87"/>
      <c r="K935" s="87"/>
      <c r="L935" s="87"/>
      <c r="M935" s="9"/>
      <c r="N935" s="87"/>
      <c r="O935" s="87"/>
      <c r="P935" s="87"/>
      <c r="Q935" s="9"/>
      <c r="R935" s="87"/>
      <c r="S935" s="87"/>
      <c r="T935" s="87"/>
      <c r="U935" s="9"/>
      <c r="V935" s="87"/>
      <c r="W935" s="87"/>
      <c r="X935" s="87"/>
      <c r="Y935" s="87"/>
      <c r="Z935" s="87"/>
      <c r="AA935" s="87"/>
      <c r="AB935" s="87"/>
      <c r="AC935" s="243"/>
      <c r="AD935" s="234"/>
      <c r="AE935" s="234"/>
      <c r="AF935" s="234"/>
      <c r="AG935" s="9"/>
      <c r="AH935" s="87"/>
      <c r="AI935" s="87"/>
      <c r="AJ935" s="87"/>
      <c r="AK935" s="244"/>
      <c r="AL935" s="245"/>
      <c r="AM935" s="244"/>
      <c r="AN935" s="244"/>
      <c r="AO935" s="87"/>
      <c r="AP935" s="87"/>
      <c r="AQ935" s="87"/>
      <c r="AR935" s="87"/>
      <c r="AS935" s="87"/>
      <c r="AT935" s="87"/>
      <c r="AU935" s="87"/>
      <c r="AV935" s="87"/>
      <c r="AW935" s="87"/>
      <c r="AX935" s="87"/>
    </row>
    <row r="936">
      <c r="A936" s="9"/>
      <c r="B936" s="87"/>
      <c r="C936" s="87"/>
      <c r="D936" s="87"/>
      <c r="E936" s="9"/>
      <c r="F936" s="87"/>
      <c r="G936" s="87"/>
      <c r="H936" s="87"/>
      <c r="I936" s="9"/>
      <c r="J936" s="87"/>
      <c r="K936" s="87"/>
      <c r="L936" s="87"/>
      <c r="M936" s="9"/>
      <c r="N936" s="87"/>
      <c r="O936" s="87"/>
      <c r="P936" s="87"/>
      <c r="Q936" s="9"/>
      <c r="R936" s="87"/>
      <c r="S936" s="87"/>
      <c r="T936" s="87"/>
      <c r="U936" s="9"/>
      <c r="V936" s="87"/>
      <c r="W936" s="87"/>
      <c r="X936" s="87"/>
      <c r="Y936" s="87"/>
      <c r="Z936" s="87"/>
      <c r="AA936" s="87"/>
      <c r="AB936" s="87"/>
      <c r="AC936" s="243"/>
      <c r="AD936" s="234"/>
      <c r="AE936" s="234"/>
      <c r="AF936" s="234"/>
      <c r="AG936" s="9"/>
      <c r="AH936" s="87"/>
      <c r="AI936" s="87"/>
      <c r="AJ936" s="87"/>
      <c r="AK936" s="244"/>
      <c r="AL936" s="245"/>
      <c r="AM936" s="244"/>
      <c r="AN936" s="244"/>
      <c r="AO936" s="87"/>
      <c r="AP936" s="87"/>
      <c r="AQ936" s="87"/>
      <c r="AR936" s="87"/>
      <c r="AS936" s="87"/>
      <c r="AT936" s="87"/>
      <c r="AU936" s="87"/>
      <c r="AV936" s="87"/>
      <c r="AW936" s="87"/>
      <c r="AX936" s="87"/>
    </row>
    <row r="937">
      <c r="A937" s="9"/>
      <c r="B937" s="87"/>
      <c r="C937" s="87"/>
      <c r="D937" s="87"/>
      <c r="E937" s="9"/>
      <c r="F937" s="87"/>
      <c r="G937" s="87"/>
      <c r="H937" s="87"/>
      <c r="I937" s="9"/>
      <c r="J937" s="87"/>
      <c r="K937" s="87"/>
      <c r="L937" s="87"/>
      <c r="M937" s="9"/>
      <c r="N937" s="87"/>
      <c r="O937" s="87"/>
      <c r="P937" s="87"/>
      <c r="Q937" s="9"/>
      <c r="R937" s="87"/>
      <c r="S937" s="87"/>
      <c r="T937" s="87"/>
      <c r="U937" s="9"/>
      <c r="V937" s="87"/>
      <c r="W937" s="87"/>
      <c r="X937" s="87"/>
      <c r="Y937" s="87"/>
      <c r="Z937" s="87"/>
      <c r="AA937" s="87"/>
      <c r="AB937" s="87"/>
      <c r="AC937" s="243"/>
      <c r="AD937" s="234"/>
      <c r="AE937" s="234"/>
      <c r="AF937" s="234"/>
      <c r="AG937" s="9"/>
      <c r="AH937" s="87"/>
      <c r="AI937" s="87"/>
      <c r="AJ937" s="87"/>
      <c r="AK937" s="244"/>
      <c r="AL937" s="245"/>
      <c r="AM937" s="244"/>
      <c r="AN937" s="244"/>
      <c r="AO937" s="87"/>
      <c r="AP937" s="87"/>
      <c r="AQ937" s="87"/>
      <c r="AR937" s="87"/>
      <c r="AS937" s="87"/>
      <c r="AT937" s="87"/>
      <c r="AU937" s="87"/>
      <c r="AV937" s="87"/>
      <c r="AW937" s="87"/>
      <c r="AX937" s="87"/>
    </row>
    <row r="938">
      <c r="A938" s="9"/>
      <c r="B938" s="87"/>
      <c r="C938" s="87"/>
      <c r="D938" s="87"/>
      <c r="E938" s="9"/>
      <c r="F938" s="87"/>
      <c r="G938" s="87"/>
      <c r="H938" s="87"/>
      <c r="I938" s="9"/>
      <c r="J938" s="87"/>
      <c r="K938" s="87"/>
      <c r="L938" s="87"/>
      <c r="M938" s="9"/>
      <c r="N938" s="87"/>
      <c r="O938" s="87"/>
      <c r="P938" s="87"/>
      <c r="Q938" s="9"/>
      <c r="R938" s="87"/>
      <c r="S938" s="87"/>
      <c r="T938" s="87"/>
      <c r="U938" s="9"/>
      <c r="V938" s="87"/>
      <c r="W938" s="87"/>
      <c r="X938" s="87"/>
      <c r="Y938" s="87"/>
      <c r="Z938" s="87"/>
      <c r="AA938" s="87"/>
      <c r="AB938" s="87"/>
      <c r="AC938" s="243"/>
      <c r="AD938" s="234"/>
      <c r="AE938" s="234"/>
      <c r="AF938" s="234"/>
      <c r="AG938" s="9"/>
      <c r="AH938" s="87"/>
      <c r="AI938" s="87"/>
      <c r="AJ938" s="87"/>
      <c r="AK938" s="244"/>
      <c r="AL938" s="245"/>
      <c r="AM938" s="244"/>
      <c r="AN938" s="244"/>
      <c r="AO938" s="87"/>
      <c r="AP938" s="87"/>
      <c r="AQ938" s="87"/>
      <c r="AR938" s="87"/>
      <c r="AS938" s="87"/>
      <c r="AT938" s="87"/>
      <c r="AU938" s="87"/>
      <c r="AV938" s="87"/>
      <c r="AW938" s="87"/>
      <c r="AX938" s="87"/>
    </row>
    <row r="939">
      <c r="A939" s="9"/>
      <c r="B939" s="87"/>
      <c r="C939" s="87"/>
      <c r="D939" s="87"/>
      <c r="E939" s="9"/>
      <c r="F939" s="87"/>
      <c r="G939" s="87"/>
      <c r="H939" s="87"/>
      <c r="I939" s="9"/>
      <c r="J939" s="87"/>
      <c r="K939" s="87"/>
      <c r="L939" s="87"/>
      <c r="M939" s="9"/>
      <c r="N939" s="87"/>
      <c r="O939" s="87"/>
      <c r="P939" s="87"/>
      <c r="Q939" s="9"/>
      <c r="R939" s="87"/>
      <c r="S939" s="87"/>
      <c r="T939" s="87"/>
      <c r="U939" s="9"/>
      <c r="V939" s="87"/>
      <c r="W939" s="87"/>
      <c r="X939" s="87"/>
      <c r="Y939" s="87"/>
      <c r="Z939" s="87"/>
      <c r="AA939" s="87"/>
      <c r="AB939" s="87"/>
      <c r="AC939" s="243"/>
      <c r="AD939" s="234"/>
      <c r="AE939" s="234"/>
      <c r="AF939" s="234"/>
      <c r="AG939" s="9"/>
      <c r="AH939" s="87"/>
      <c r="AI939" s="87"/>
      <c r="AJ939" s="87"/>
      <c r="AK939" s="244"/>
      <c r="AL939" s="245"/>
      <c r="AM939" s="244"/>
      <c r="AN939" s="244"/>
      <c r="AO939" s="87"/>
      <c r="AP939" s="87"/>
      <c r="AQ939" s="87"/>
      <c r="AR939" s="87"/>
      <c r="AS939" s="87"/>
      <c r="AT939" s="87"/>
      <c r="AU939" s="87"/>
      <c r="AV939" s="87"/>
      <c r="AW939" s="87"/>
      <c r="AX939" s="87"/>
    </row>
    <row r="940">
      <c r="A940" s="9"/>
      <c r="B940" s="87"/>
      <c r="C940" s="87"/>
      <c r="D940" s="87"/>
      <c r="E940" s="9"/>
      <c r="F940" s="87"/>
      <c r="G940" s="87"/>
      <c r="H940" s="87"/>
      <c r="I940" s="9"/>
      <c r="J940" s="87"/>
      <c r="K940" s="87"/>
      <c r="L940" s="87"/>
      <c r="M940" s="9"/>
      <c r="N940" s="87"/>
      <c r="O940" s="87"/>
      <c r="P940" s="87"/>
      <c r="Q940" s="9"/>
      <c r="R940" s="87"/>
      <c r="S940" s="87"/>
      <c r="T940" s="87"/>
      <c r="U940" s="9"/>
      <c r="V940" s="87"/>
      <c r="W940" s="87"/>
      <c r="X940" s="87"/>
      <c r="Y940" s="87"/>
      <c r="Z940" s="87"/>
      <c r="AA940" s="87"/>
      <c r="AB940" s="87"/>
      <c r="AC940" s="243"/>
      <c r="AD940" s="234"/>
      <c r="AE940" s="234"/>
      <c r="AF940" s="234"/>
      <c r="AG940" s="9"/>
      <c r="AH940" s="87"/>
      <c r="AI940" s="87"/>
      <c r="AJ940" s="87"/>
      <c r="AK940" s="244"/>
      <c r="AL940" s="245"/>
      <c r="AM940" s="244"/>
      <c r="AN940" s="244"/>
      <c r="AO940" s="87"/>
      <c r="AP940" s="87"/>
      <c r="AQ940" s="87"/>
      <c r="AR940" s="87"/>
      <c r="AS940" s="87"/>
      <c r="AT940" s="87"/>
      <c r="AU940" s="87"/>
      <c r="AV940" s="87"/>
      <c r="AW940" s="87"/>
      <c r="AX940" s="87"/>
    </row>
    <row r="941">
      <c r="A941" s="9"/>
      <c r="B941" s="87"/>
      <c r="C941" s="87"/>
      <c r="D941" s="87"/>
      <c r="E941" s="9"/>
      <c r="F941" s="87"/>
      <c r="G941" s="87"/>
      <c r="H941" s="87"/>
      <c r="I941" s="9"/>
      <c r="J941" s="87"/>
      <c r="K941" s="87"/>
      <c r="L941" s="87"/>
      <c r="M941" s="9"/>
      <c r="N941" s="87"/>
      <c r="O941" s="87"/>
      <c r="P941" s="87"/>
      <c r="Q941" s="9"/>
      <c r="R941" s="87"/>
      <c r="S941" s="87"/>
      <c r="T941" s="87"/>
      <c r="U941" s="9"/>
      <c r="V941" s="87"/>
      <c r="W941" s="87"/>
      <c r="X941" s="87"/>
      <c r="Y941" s="87"/>
      <c r="Z941" s="87"/>
      <c r="AA941" s="87"/>
      <c r="AB941" s="87"/>
      <c r="AC941" s="243"/>
      <c r="AD941" s="234"/>
      <c r="AE941" s="234"/>
      <c r="AF941" s="234"/>
      <c r="AG941" s="9"/>
      <c r="AH941" s="87"/>
      <c r="AI941" s="87"/>
      <c r="AJ941" s="87"/>
      <c r="AK941" s="244"/>
      <c r="AL941" s="245"/>
      <c r="AM941" s="244"/>
      <c r="AN941" s="244"/>
      <c r="AO941" s="87"/>
      <c r="AP941" s="87"/>
      <c r="AQ941" s="87"/>
      <c r="AR941" s="87"/>
      <c r="AS941" s="87"/>
      <c r="AT941" s="87"/>
      <c r="AU941" s="87"/>
      <c r="AV941" s="87"/>
      <c r="AW941" s="87"/>
      <c r="AX941" s="87"/>
    </row>
    <row r="942">
      <c r="A942" s="9"/>
      <c r="B942" s="87"/>
      <c r="C942" s="87"/>
      <c r="D942" s="87"/>
      <c r="E942" s="9"/>
      <c r="F942" s="87"/>
      <c r="G942" s="87"/>
      <c r="H942" s="87"/>
      <c r="I942" s="9"/>
      <c r="J942" s="87"/>
      <c r="K942" s="87"/>
      <c r="L942" s="87"/>
      <c r="M942" s="9"/>
      <c r="N942" s="87"/>
      <c r="O942" s="87"/>
      <c r="P942" s="87"/>
      <c r="Q942" s="9"/>
      <c r="R942" s="87"/>
      <c r="S942" s="87"/>
      <c r="T942" s="87"/>
      <c r="U942" s="9"/>
      <c r="V942" s="87"/>
      <c r="W942" s="87"/>
      <c r="X942" s="87"/>
      <c r="Y942" s="87"/>
      <c r="Z942" s="87"/>
      <c r="AA942" s="87"/>
      <c r="AB942" s="87"/>
      <c r="AC942" s="243"/>
      <c r="AD942" s="234"/>
      <c r="AE942" s="234"/>
      <c r="AF942" s="234"/>
      <c r="AG942" s="9"/>
      <c r="AH942" s="87"/>
      <c r="AI942" s="87"/>
      <c r="AJ942" s="87"/>
      <c r="AK942" s="244"/>
      <c r="AL942" s="245"/>
      <c r="AM942" s="244"/>
      <c r="AN942" s="244"/>
      <c r="AO942" s="87"/>
      <c r="AP942" s="87"/>
      <c r="AQ942" s="87"/>
      <c r="AR942" s="87"/>
      <c r="AS942" s="87"/>
      <c r="AT942" s="87"/>
      <c r="AU942" s="87"/>
      <c r="AV942" s="87"/>
      <c r="AW942" s="87"/>
      <c r="AX942" s="87"/>
    </row>
    <row r="943">
      <c r="A943" s="9"/>
      <c r="B943" s="87"/>
      <c r="C943" s="87"/>
      <c r="D943" s="87"/>
      <c r="E943" s="9"/>
      <c r="F943" s="87"/>
      <c r="G943" s="87"/>
      <c r="H943" s="87"/>
      <c r="I943" s="9"/>
      <c r="J943" s="87"/>
      <c r="K943" s="87"/>
      <c r="L943" s="87"/>
      <c r="M943" s="9"/>
      <c r="N943" s="87"/>
      <c r="O943" s="87"/>
      <c r="P943" s="87"/>
      <c r="Q943" s="9"/>
      <c r="R943" s="87"/>
      <c r="S943" s="87"/>
      <c r="T943" s="87"/>
      <c r="U943" s="9"/>
      <c r="V943" s="87"/>
      <c r="W943" s="87"/>
      <c r="X943" s="87"/>
      <c r="Y943" s="87"/>
      <c r="Z943" s="87"/>
      <c r="AA943" s="87"/>
      <c r="AB943" s="87"/>
      <c r="AC943" s="243"/>
      <c r="AD943" s="234"/>
      <c r="AE943" s="234"/>
      <c r="AF943" s="234"/>
      <c r="AG943" s="9"/>
      <c r="AH943" s="87"/>
      <c r="AI943" s="87"/>
      <c r="AJ943" s="87"/>
      <c r="AK943" s="244"/>
      <c r="AL943" s="245"/>
      <c r="AM943" s="244"/>
      <c r="AN943" s="244"/>
      <c r="AO943" s="87"/>
      <c r="AP943" s="87"/>
      <c r="AQ943" s="87"/>
      <c r="AR943" s="87"/>
      <c r="AS943" s="87"/>
      <c r="AT943" s="87"/>
      <c r="AU943" s="87"/>
      <c r="AV943" s="87"/>
      <c r="AW943" s="87"/>
      <c r="AX943" s="87"/>
    </row>
    <row r="944">
      <c r="A944" s="9"/>
      <c r="B944" s="87"/>
      <c r="C944" s="87"/>
      <c r="D944" s="87"/>
      <c r="E944" s="9"/>
      <c r="F944" s="87"/>
      <c r="G944" s="87"/>
      <c r="H944" s="87"/>
      <c r="I944" s="9"/>
      <c r="J944" s="87"/>
      <c r="K944" s="87"/>
      <c r="L944" s="87"/>
      <c r="M944" s="9"/>
      <c r="N944" s="87"/>
      <c r="O944" s="87"/>
      <c r="P944" s="87"/>
      <c r="Q944" s="9"/>
      <c r="R944" s="87"/>
      <c r="S944" s="87"/>
      <c r="T944" s="87"/>
      <c r="U944" s="9"/>
      <c r="V944" s="87"/>
      <c r="W944" s="87"/>
      <c r="X944" s="87"/>
      <c r="Y944" s="87"/>
      <c r="Z944" s="87"/>
      <c r="AA944" s="87"/>
      <c r="AB944" s="87"/>
      <c r="AC944" s="243"/>
      <c r="AD944" s="234"/>
      <c r="AE944" s="234"/>
      <c r="AF944" s="234"/>
      <c r="AG944" s="9"/>
      <c r="AH944" s="87"/>
      <c r="AI944" s="87"/>
      <c r="AJ944" s="87"/>
      <c r="AK944" s="244"/>
      <c r="AL944" s="245"/>
      <c r="AM944" s="244"/>
      <c r="AN944" s="244"/>
      <c r="AO944" s="87"/>
      <c r="AP944" s="87"/>
      <c r="AQ944" s="87"/>
      <c r="AR944" s="87"/>
      <c r="AS944" s="87"/>
      <c r="AT944" s="87"/>
      <c r="AU944" s="87"/>
      <c r="AV944" s="87"/>
      <c r="AW944" s="87"/>
      <c r="AX944" s="87"/>
    </row>
    <row r="945">
      <c r="A945" s="9"/>
      <c r="B945" s="87"/>
      <c r="C945" s="87"/>
      <c r="D945" s="87"/>
      <c r="E945" s="9"/>
      <c r="F945" s="87"/>
      <c r="G945" s="87"/>
      <c r="H945" s="87"/>
      <c r="I945" s="9"/>
      <c r="J945" s="87"/>
      <c r="K945" s="87"/>
      <c r="L945" s="87"/>
      <c r="M945" s="9"/>
      <c r="N945" s="87"/>
      <c r="O945" s="87"/>
      <c r="P945" s="87"/>
      <c r="Q945" s="9"/>
      <c r="R945" s="87"/>
      <c r="S945" s="87"/>
      <c r="T945" s="87"/>
      <c r="U945" s="9"/>
      <c r="V945" s="87"/>
      <c r="W945" s="87"/>
      <c r="X945" s="87"/>
      <c r="Y945" s="87"/>
      <c r="Z945" s="87"/>
      <c r="AA945" s="87"/>
      <c r="AB945" s="87"/>
      <c r="AC945" s="243"/>
      <c r="AD945" s="234"/>
      <c r="AE945" s="234"/>
      <c r="AF945" s="234"/>
      <c r="AG945" s="9"/>
      <c r="AH945" s="87"/>
      <c r="AI945" s="87"/>
      <c r="AJ945" s="87"/>
      <c r="AK945" s="244"/>
      <c r="AL945" s="245"/>
      <c r="AM945" s="244"/>
      <c r="AN945" s="244"/>
      <c r="AO945" s="87"/>
      <c r="AP945" s="87"/>
      <c r="AQ945" s="87"/>
      <c r="AR945" s="87"/>
      <c r="AS945" s="87"/>
      <c r="AT945" s="87"/>
      <c r="AU945" s="87"/>
      <c r="AV945" s="87"/>
      <c r="AW945" s="87"/>
      <c r="AX945" s="87"/>
    </row>
    <row r="946">
      <c r="A946" s="9"/>
      <c r="B946" s="87"/>
      <c r="C946" s="87"/>
      <c r="D946" s="87"/>
      <c r="E946" s="9"/>
      <c r="F946" s="87"/>
      <c r="G946" s="87"/>
      <c r="H946" s="87"/>
      <c r="I946" s="9"/>
      <c r="J946" s="87"/>
      <c r="K946" s="87"/>
      <c r="L946" s="87"/>
      <c r="M946" s="9"/>
      <c r="N946" s="87"/>
      <c r="O946" s="87"/>
      <c r="P946" s="87"/>
      <c r="Q946" s="9"/>
      <c r="R946" s="87"/>
      <c r="S946" s="87"/>
      <c r="T946" s="87"/>
      <c r="U946" s="9"/>
      <c r="V946" s="87"/>
      <c r="W946" s="87"/>
      <c r="X946" s="87"/>
      <c r="Y946" s="87"/>
      <c r="Z946" s="87"/>
      <c r="AA946" s="87"/>
      <c r="AB946" s="87"/>
      <c r="AC946" s="243"/>
      <c r="AD946" s="234"/>
      <c r="AE946" s="234"/>
      <c r="AF946" s="234"/>
      <c r="AG946" s="9"/>
      <c r="AH946" s="87"/>
      <c r="AI946" s="87"/>
      <c r="AJ946" s="87"/>
      <c r="AK946" s="244"/>
      <c r="AL946" s="245"/>
      <c r="AM946" s="244"/>
      <c r="AN946" s="244"/>
      <c r="AO946" s="87"/>
      <c r="AP946" s="87"/>
      <c r="AQ946" s="87"/>
      <c r="AR946" s="87"/>
      <c r="AS946" s="87"/>
      <c r="AT946" s="87"/>
      <c r="AU946" s="87"/>
      <c r="AV946" s="87"/>
      <c r="AW946" s="87"/>
      <c r="AX946" s="87"/>
    </row>
    <row r="947">
      <c r="A947" s="9"/>
      <c r="B947" s="87"/>
      <c r="C947" s="87"/>
      <c r="D947" s="87"/>
      <c r="E947" s="9"/>
      <c r="F947" s="87"/>
      <c r="G947" s="87"/>
      <c r="H947" s="87"/>
      <c r="I947" s="9"/>
      <c r="J947" s="87"/>
      <c r="K947" s="87"/>
      <c r="L947" s="87"/>
      <c r="M947" s="9"/>
      <c r="N947" s="87"/>
      <c r="O947" s="87"/>
      <c r="P947" s="87"/>
      <c r="Q947" s="9"/>
      <c r="R947" s="87"/>
      <c r="S947" s="87"/>
      <c r="T947" s="87"/>
      <c r="U947" s="9"/>
      <c r="V947" s="87"/>
      <c r="W947" s="87"/>
      <c r="X947" s="87"/>
      <c r="Y947" s="87"/>
      <c r="Z947" s="87"/>
      <c r="AA947" s="87"/>
      <c r="AB947" s="87"/>
      <c r="AC947" s="243"/>
      <c r="AD947" s="234"/>
      <c r="AE947" s="234"/>
      <c r="AF947" s="234"/>
      <c r="AG947" s="9"/>
      <c r="AH947" s="87"/>
      <c r="AI947" s="87"/>
      <c r="AJ947" s="87"/>
      <c r="AK947" s="244"/>
      <c r="AL947" s="245"/>
      <c r="AM947" s="244"/>
      <c r="AN947" s="244"/>
      <c r="AO947" s="87"/>
      <c r="AP947" s="87"/>
      <c r="AQ947" s="87"/>
      <c r="AR947" s="87"/>
      <c r="AS947" s="87"/>
      <c r="AT947" s="87"/>
      <c r="AU947" s="87"/>
      <c r="AV947" s="87"/>
      <c r="AW947" s="87"/>
      <c r="AX947" s="87"/>
    </row>
    <row r="948">
      <c r="A948" s="9"/>
      <c r="B948" s="87"/>
      <c r="C948" s="87"/>
      <c r="D948" s="87"/>
      <c r="E948" s="9"/>
      <c r="F948" s="87"/>
      <c r="G948" s="87"/>
      <c r="H948" s="87"/>
      <c r="I948" s="9"/>
      <c r="J948" s="87"/>
      <c r="K948" s="87"/>
      <c r="L948" s="87"/>
      <c r="M948" s="9"/>
      <c r="N948" s="87"/>
      <c r="O948" s="87"/>
      <c r="P948" s="87"/>
      <c r="Q948" s="9"/>
      <c r="R948" s="87"/>
      <c r="S948" s="87"/>
      <c r="T948" s="87"/>
      <c r="U948" s="9"/>
      <c r="V948" s="87"/>
      <c r="W948" s="87"/>
      <c r="X948" s="87"/>
      <c r="Y948" s="87"/>
      <c r="Z948" s="87"/>
      <c r="AA948" s="87"/>
      <c r="AB948" s="87"/>
      <c r="AC948" s="243"/>
      <c r="AD948" s="234"/>
      <c r="AE948" s="234"/>
      <c r="AF948" s="234"/>
      <c r="AG948" s="9"/>
      <c r="AH948" s="87"/>
      <c r="AI948" s="87"/>
      <c r="AJ948" s="87"/>
      <c r="AK948" s="244"/>
      <c r="AL948" s="245"/>
      <c r="AM948" s="244"/>
      <c r="AN948" s="244"/>
      <c r="AO948" s="87"/>
      <c r="AP948" s="87"/>
      <c r="AQ948" s="87"/>
      <c r="AR948" s="87"/>
      <c r="AS948" s="87"/>
      <c r="AT948" s="87"/>
      <c r="AU948" s="87"/>
      <c r="AV948" s="87"/>
      <c r="AW948" s="87"/>
      <c r="AX948" s="87"/>
    </row>
    <row r="949">
      <c r="A949" s="9"/>
      <c r="B949" s="87"/>
      <c r="C949" s="87"/>
      <c r="D949" s="87"/>
      <c r="E949" s="9"/>
      <c r="F949" s="87"/>
      <c r="G949" s="87"/>
      <c r="H949" s="87"/>
      <c r="I949" s="9"/>
      <c r="J949" s="87"/>
      <c r="K949" s="87"/>
      <c r="L949" s="87"/>
      <c r="M949" s="9"/>
      <c r="N949" s="87"/>
      <c r="O949" s="87"/>
      <c r="P949" s="87"/>
      <c r="Q949" s="9"/>
      <c r="R949" s="87"/>
      <c r="S949" s="87"/>
      <c r="T949" s="87"/>
      <c r="U949" s="9"/>
      <c r="V949" s="87"/>
      <c r="W949" s="87"/>
      <c r="X949" s="87"/>
      <c r="Y949" s="87"/>
      <c r="Z949" s="87"/>
      <c r="AA949" s="87"/>
      <c r="AB949" s="87"/>
      <c r="AC949" s="243"/>
      <c r="AD949" s="234"/>
      <c r="AE949" s="234"/>
      <c r="AF949" s="234"/>
      <c r="AG949" s="9"/>
      <c r="AH949" s="87"/>
      <c r="AI949" s="87"/>
      <c r="AJ949" s="87"/>
      <c r="AK949" s="244"/>
      <c r="AL949" s="245"/>
      <c r="AM949" s="244"/>
      <c r="AN949" s="244"/>
      <c r="AO949" s="87"/>
      <c r="AP949" s="87"/>
      <c r="AQ949" s="87"/>
      <c r="AR949" s="87"/>
      <c r="AS949" s="87"/>
      <c r="AT949" s="87"/>
      <c r="AU949" s="87"/>
      <c r="AV949" s="87"/>
      <c r="AW949" s="87"/>
      <c r="AX949" s="87"/>
    </row>
    <row r="950">
      <c r="A950" s="9"/>
      <c r="B950" s="87"/>
      <c r="C950" s="87"/>
      <c r="D950" s="87"/>
      <c r="E950" s="9"/>
      <c r="F950" s="87"/>
      <c r="G950" s="87"/>
      <c r="H950" s="87"/>
      <c r="I950" s="9"/>
      <c r="J950" s="87"/>
      <c r="K950" s="87"/>
      <c r="L950" s="87"/>
      <c r="M950" s="9"/>
      <c r="N950" s="87"/>
      <c r="O950" s="87"/>
      <c r="P950" s="87"/>
      <c r="Q950" s="9"/>
      <c r="R950" s="87"/>
      <c r="S950" s="87"/>
      <c r="T950" s="87"/>
      <c r="U950" s="9"/>
      <c r="V950" s="87"/>
      <c r="W950" s="87"/>
      <c r="X950" s="87"/>
      <c r="Y950" s="87"/>
      <c r="Z950" s="87"/>
      <c r="AA950" s="87"/>
      <c r="AB950" s="87"/>
      <c r="AC950" s="243"/>
      <c r="AD950" s="234"/>
      <c r="AE950" s="234"/>
      <c r="AF950" s="234"/>
      <c r="AG950" s="9"/>
      <c r="AH950" s="87"/>
      <c r="AI950" s="87"/>
      <c r="AJ950" s="87"/>
      <c r="AK950" s="244"/>
      <c r="AL950" s="245"/>
      <c r="AM950" s="244"/>
      <c r="AN950" s="244"/>
      <c r="AO950" s="87"/>
      <c r="AP950" s="87"/>
      <c r="AQ950" s="87"/>
      <c r="AR950" s="87"/>
      <c r="AS950" s="87"/>
      <c r="AT950" s="87"/>
      <c r="AU950" s="87"/>
      <c r="AV950" s="87"/>
      <c r="AW950" s="87"/>
      <c r="AX950" s="87"/>
    </row>
    <row r="951">
      <c r="A951" s="9"/>
      <c r="B951" s="87"/>
      <c r="C951" s="87"/>
      <c r="D951" s="87"/>
      <c r="E951" s="9"/>
      <c r="F951" s="87"/>
      <c r="G951" s="87"/>
      <c r="H951" s="87"/>
      <c r="I951" s="9"/>
      <c r="J951" s="87"/>
      <c r="K951" s="87"/>
      <c r="L951" s="87"/>
      <c r="M951" s="9"/>
      <c r="N951" s="87"/>
      <c r="O951" s="87"/>
      <c r="P951" s="87"/>
      <c r="Q951" s="9"/>
      <c r="R951" s="87"/>
      <c r="S951" s="87"/>
      <c r="T951" s="87"/>
      <c r="U951" s="9"/>
      <c r="V951" s="87"/>
      <c r="W951" s="87"/>
      <c r="X951" s="87"/>
      <c r="Y951" s="87"/>
      <c r="Z951" s="87"/>
      <c r="AA951" s="87"/>
      <c r="AB951" s="87"/>
      <c r="AC951" s="243"/>
      <c r="AD951" s="234"/>
      <c r="AE951" s="234"/>
      <c r="AF951" s="234"/>
      <c r="AG951" s="9"/>
      <c r="AH951" s="87"/>
      <c r="AI951" s="87"/>
      <c r="AJ951" s="87"/>
      <c r="AK951" s="244"/>
      <c r="AL951" s="245"/>
      <c r="AM951" s="244"/>
      <c r="AN951" s="244"/>
      <c r="AO951" s="87"/>
      <c r="AP951" s="87"/>
      <c r="AQ951" s="87"/>
      <c r="AR951" s="87"/>
      <c r="AS951" s="87"/>
      <c r="AT951" s="87"/>
      <c r="AU951" s="87"/>
      <c r="AV951" s="87"/>
      <c r="AW951" s="87"/>
      <c r="AX951" s="87"/>
    </row>
    <row r="952">
      <c r="A952" s="9"/>
      <c r="B952" s="87"/>
      <c r="C952" s="87"/>
      <c r="D952" s="87"/>
      <c r="E952" s="9"/>
      <c r="F952" s="87"/>
      <c r="G952" s="87"/>
      <c r="H952" s="87"/>
      <c r="I952" s="9"/>
      <c r="J952" s="87"/>
      <c r="K952" s="87"/>
      <c r="L952" s="87"/>
      <c r="M952" s="9"/>
      <c r="N952" s="87"/>
      <c r="O952" s="87"/>
      <c r="P952" s="87"/>
      <c r="Q952" s="9"/>
      <c r="R952" s="87"/>
      <c r="S952" s="87"/>
      <c r="T952" s="87"/>
      <c r="U952" s="9"/>
      <c r="V952" s="87"/>
      <c r="W952" s="87"/>
      <c r="X952" s="87"/>
      <c r="Y952" s="87"/>
      <c r="Z952" s="87"/>
      <c r="AA952" s="87"/>
      <c r="AB952" s="87"/>
      <c r="AC952" s="243"/>
      <c r="AD952" s="234"/>
      <c r="AE952" s="234"/>
      <c r="AF952" s="234"/>
      <c r="AG952" s="9"/>
      <c r="AH952" s="87"/>
      <c r="AI952" s="87"/>
      <c r="AJ952" s="87"/>
      <c r="AK952" s="244"/>
      <c r="AL952" s="245"/>
      <c r="AM952" s="244"/>
      <c r="AN952" s="244"/>
      <c r="AO952" s="87"/>
      <c r="AP952" s="87"/>
      <c r="AQ952" s="87"/>
      <c r="AR952" s="87"/>
      <c r="AS952" s="87"/>
      <c r="AT952" s="87"/>
      <c r="AU952" s="87"/>
      <c r="AV952" s="87"/>
      <c r="AW952" s="87"/>
      <c r="AX952" s="87"/>
    </row>
    <row r="953">
      <c r="A953" s="9"/>
      <c r="B953" s="87"/>
      <c r="C953" s="87"/>
      <c r="D953" s="87"/>
      <c r="E953" s="9"/>
      <c r="F953" s="87"/>
      <c r="G953" s="87"/>
      <c r="H953" s="87"/>
      <c r="I953" s="9"/>
      <c r="J953" s="87"/>
      <c r="K953" s="87"/>
      <c r="L953" s="87"/>
      <c r="M953" s="9"/>
      <c r="N953" s="87"/>
      <c r="O953" s="87"/>
      <c r="P953" s="87"/>
      <c r="Q953" s="9"/>
      <c r="R953" s="87"/>
      <c r="S953" s="87"/>
      <c r="T953" s="87"/>
      <c r="U953" s="9"/>
      <c r="V953" s="87"/>
      <c r="W953" s="87"/>
      <c r="X953" s="87"/>
      <c r="Y953" s="87"/>
      <c r="Z953" s="87"/>
      <c r="AA953" s="87"/>
      <c r="AB953" s="87"/>
      <c r="AC953" s="243"/>
      <c r="AD953" s="234"/>
      <c r="AE953" s="234"/>
      <c r="AF953" s="234"/>
      <c r="AG953" s="9"/>
      <c r="AH953" s="87"/>
      <c r="AI953" s="87"/>
      <c r="AJ953" s="87"/>
      <c r="AK953" s="244"/>
      <c r="AL953" s="245"/>
      <c r="AM953" s="244"/>
      <c r="AN953" s="244"/>
      <c r="AO953" s="87"/>
      <c r="AP953" s="87"/>
      <c r="AQ953" s="87"/>
      <c r="AR953" s="87"/>
      <c r="AS953" s="87"/>
      <c r="AT953" s="87"/>
      <c r="AU953" s="87"/>
      <c r="AV953" s="87"/>
      <c r="AW953" s="87"/>
      <c r="AX953" s="87"/>
    </row>
    <row r="954">
      <c r="A954" s="9"/>
      <c r="B954" s="87"/>
      <c r="C954" s="87"/>
      <c r="D954" s="87"/>
      <c r="E954" s="9"/>
      <c r="F954" s="87"/>
      <c r="G954" s="87"/>
      <c r="H954" s="87"/>
      <c r="I954" s="9"/>
      <c r="J954" s="87"/>
      <c r="K954" s="87"/>
      <c r="L954" s="87"/>
      <c r="M954" s="9"/>
      <c r="N954" s="87"/>
      <c r="O954" s="87"/>
      <c r="P954" s="87"/>
      <c r="Q954" s="9"/>
      <c r="R954" s="87"/>
      <c r="S954" s="87"/>
      <c r="T954" s="87"/>
      <c r="U954" s="9"/>
      <c r="V954" s="87"/>
      <c r="W954" s="87"/>
      <c r="X954" s="87"/>
      <c r="Y954" s="87"/>
      <c r="Z954" s="87"/>
      <c r="AA954" s="87"/>
      <c r="AB954" s="87"/>
      <c r="AC954" s="243"/>
      <c r="AD954" s="234"/>
      <c r="AE954" s="234"/>
      <c r="AF954" s="234"/>
      <c r="AG954" s="9"/>
      <c r="AH954" s="87"/>
      <c r="AI954" s="87"/>
      <c r="AJ954" s="87"/>
      <c r="AK954" s="244"/>
      <c r="AL954" s="245"/>
      <c r="AM954" s="244"/>
      <c r="AN954" s="244"/>
      <c r="AO954" s="87"/>
      <c r="AP954" s="87"/>
      <c r="AQ954" s="87"/>
      <c r="AR954" s="87"/>
      <c r="AS954" s="87"/>
      <c r="AT954" s="87"/>
      <c r="AU954" s="87"/>
      <c r="AV954" s="87"/>
      <c r="AW954" s="87"/>
      <c r="AX954" s="87"/>
    </row>
    <row r="955">
      <c r="A955" s="9"/>
      <c r="B955" s="87"/>
      <c r="C955" s="87"/>
      <c r="D955" s="87"/>
      <c r="E955" s="9"/>
      <c r="F955" s="87"/>
      <c r="G955" s="87"/>
      <c r="H955" s="87"/>
      <c r="I955" s="9"/>
      <c r="J955" s="87"/>
      <c r="K955" s="87"/>
      <c r="L955" s="87"/>
      <c r="M955" s="9"/>
      <c r="N955" s="87"/>
      <c r="O955" s="87"/>
      <c r="P955" s="87"/>
      <c r="Q955" s="9"/>
      <c r="R955" s="87"/>
      <c r="S955" s="87"/>
      <c r="T955" s="87"/>
      <c r="U955" s="9"/>
      <c r="V955" s="87"/>
      <c r="W955" s="87"/>
      <c r="X955" s="87"/>
      <c r="Y955" s="87"/>
      <c r="Z955" s="87"/>
      <c r="AA955" s="87"/>
      <c r="AB955" s="87"/>
      <c r="AC955" s="243"/>
      <c r="AD955" s="234"/>
      <c r="AE955" s="234"/>
      <c r="AF955" s="234"/>
      <c r="AG955" s="9"/>
      <c r="AH955" s="87"/>
      <c r="AI955" s="87"/>
      <c r="AJ955" s="87"/>
      <c r="AK955" s="244"/>
      <c r="AL955" s="245"/>
      <c r="AM955" s="244"/>
      <c r="AN955" s="244"/>
      <c r="AO955" s="87"/>
      <c r="AP955" s="87"/>
      <c r="AQ955" s="87"/>
      <c r="AR955" s="87"/>
      <c r="AS955" s="87"/>
      <c r="AT955" s="87"/>
      <c r="AU955" s="87"/>
      <c r="AV955" s="87"/>
      <c r="AW955" s="87"/>
      <c r="AX955" s="87"/>
    </row>
    <row r="956">
      <c r="A956" s="9"/>
      <c r="B956" s="87"/>
      <c r="C956" s="87"/>
      <c r="D956" s="87"/>
      <c r="E956" s="9"/>
      <c r="F956" s="87"/>
      <c r="G956" s="87"/>
      <c r="H956" s="87"/>
      <c r="I956" s="9"/>
      <c r="J956" s="87"/>
      <c r="K956" s="87"/>
      <c r="L956" s="87"/>
      <c r="M956" s="9"/>
      <c r="N956" s="87"/>
      <c r="O956" s="87"/>
      <c r="P956" s="87"/>
      <c r="Q956" s="9"/>
      <c r="R956" s="87"/>
      <c r="S956" s="87"/>
      <c r="T956" s="87"/>
      <c r="U956" s="9"/>
      <c r="V956" s="87"/>
      <c r="W956" s="87"/>
      <c r="X956" s="87"/>
      <c r="Y956" s="87"/>
      <c r="Z956" s="87"/>
      <c r="AA956" s="87"/>
      <c r="AB956" s="87"/>
      <c r="AC956" s="243"/>
      <c r="AD956" s="234"/>
      <c r="AE956" s="234"/>
      <c r="AF956" s="234"/>
      <c r="AG956" s="9"/>
      <c r="AH956" s="87"/>
      <c r="AI956" s="87"/>
      <c r="AJ956" s="87"/>
      <c r="AK956" s="244"/>
      <c r="AL956" s="245"/>
      <c r="AM956" s="244"/>
      <c r="AN956" s="244"/>
      <c r="AO956" s="87"/>
      <c r="AP956" s="87"/>
      <c r="AQ956" s="87"/>
      <c r="AR956" s="87"/>
      <c r="AS956" s="87"/>
      <c r="AT956" s="87"/>
      <c r="AU956" s="87"/>
      <c r="AV956" s="87"/>
      <c r="AW956" s="87"/>
      <c r="AX956" s="87"/>
    </row>
    <row r="957">
      <c r="A957" s="9"/>
      <c r="B957" s="87"/>
      <c r="C957" s="87"/>
      <c r="D957" s="87"/>
      <c r="E957" s="9"/>
      <c r="F957" s="87"/>
      <c r="G957" s="87"/>
      <c r="H957" s="87"/>
      <c r="I957" s="9"/>
      <c r="J957" s="87"/>
      <c r="K957" s="87"/>
      <c r="L957" s="87"/>
      <c r="M957" s="9"/>
      <c r="N957" s="87"/>
      <c r="O957" s="87"/>
      <c r="P957" s="87"/>
      <c r="Q957" s="9"/>
      <c r="R957" s="87"/>
      <c r="S957" s="87"/>
      <c r="T957" s="87"/>
      <c r="U957" s="9"/>
      <c r="V957" s="87"/>
      <c r="W957" s="87"/>
      <c r="X957" s="87"/>
      <c r="Y957" s="87"/>
      <c r="Z957" s="87"/>
      <c r="AA957" s="87"/>
      <c r="AB957" s="87"/>
      <c r="AC957" s="243"/>
      <c r="AD957" s="234"/>
      <c r="AE957" s="234"/>
      <c r="AF957" s="234"/>
      <c r="AG957" s="9"/>
      <c r="AH957" s="87"/>
      <c r="AI957" s="87"/>
      <c r="AJ957" s="87"/>
      <c r="AK957" s="244"/>
      <c r="AL957" s="245"/>
      <c r="AM957" s="244"/>
      <c r="AN957" s="244"/>
      <c r="AO957" s="87"/>
      <c r="AP957" s="87"/>
      <c r="AQ957" s="87"/>
      <c r="AR957" s="87"/>
      <c r="AS957" s="87"/>
      <c r="AT957" s="87"/>
      <c r="AU957" s="87"/>
      <c r="AV957" s="87"/>
      <c r="AW957" s="87"/>
      <c r="AX957" s="87"/>
    </row>
    <row r="958">
      <c r="A958" s="9"/>
      <c r="B958" s="87"/>
      <c r="C958" s="87"/>
      <c r="D958" s="87"/>
      <c r="E958" s="9"/>
      <c r="F958" s="87"/>
      <c r="G958" s="87"/>
      <c r="H958" s="87"/>
      <c r="I958" s="9"/>
      <c r="J958" s="87"/>
      <c r="K958" s="87"/>
      <c r="L958" s="87"/>
      <c r="M958" s="9"/>
      <c r="N958" s="87"/>
      <c r="O958" s="87"/>
      <c r="P958" s="87"/>
      <c r="Q958" s="9"/>
      <c r="R958" s="87"/>
      <c r="S958" s="87"/>
      <c r="T958" s="87"/>
      <c r="U958" s="9"/>
      <c r="V958" s="87"/>
      <c r="W958" s="87"/>
      <c r="X958" s="87"/>
      <c r="Y958" s="87"/>
      <c r="Z958" s="87"/>
      <c r="AA958" s="87"/>
      <c r="AB958" s="87"/>
      <c r="AC958" s="243"/>
      <c r="AD958" s="234"/>
      <c r="AE958" s="234"/>
      <c r="AF958" s="234"/>
      <c r="AG958" s="9"/>
      <c r="AH958" s="87"/>
      <c r="AI958" s="87"/>
      <c r="AJ958" s="87"/>
      <c r="AK958" s="244"/>
      <c r="AL958" s="245"/>
      <c r="AM958" s="244"/>
      <c r="AN958" s="244"/>
      <c r="AO958" s="87"/>
      <c r="AP958" s="87"/>
      <c r="AQ958" s="87"/>
      <c r="AR958" s="87"/>
      <c r="AS958" s="87"/>
      <c r="AT958" s="87"/>
      <c r="AU958" s="87"/>
      <c r="AV958" s="87"/>
      <c r="AW958" s="87"/>
      <c r="AX958" s="87"/>
    </row>
    <row r="959">
      <c r="A959" s="9"/>
      <c r="B959" s="87"/>
      <c r="C959" s="87"/>
      <c r="D959" s="87"/>
      <c r="E959" s="9"/>
      <c r="F959" s="87"/>
      <c r="G959" s="87"/>
      <c r="H959" s="87"/>
      <c r="I959" s="9"/>
      <c r="J959" s="87"/>
      <c r="K959" s="87"/>
      <c r="L959" s="87"/>
      <c r="M959" s="9"/>
      <c r="N959" s="87"/>
      <c r="O959" s="87"/>
      <c r="P959" s="87"/>
      <c r="Q959" s="9"/>
      <c r="R959" s="87"/>
      <c r="S959" s="87"/>
      <c r="T959" s="87"/>
      <c r="U959" s="9"/>
      <c r="V959" s="87"/>
      <c r="W959" s="87"/>
      <c r="X959" s="87"/>
      <c r="Y959" s="87"/>
      <c r="Z959" s="87"/>
      <c r="AA959" s="87"/>
      <c r="AB959" s="87"/>
      <c r="AC959" s="243"/>
      <c r="AD959" s="234"/>
      <c r="AE959" s="234"/>
      <c r="AF959" s="234"/>
      <c r="AG959" s="9"/>
      <c r="AH959" s="87"/>
      <c r="AI959" s="87"/>
      <c r="AJ959" s="87"/>
      <c r="AK959" s="244"/>
      <c r="AL959" s="245"/>
      <c r="AM959" s="244"/>
      <c r="AN959" s="244"/>
      <c r="AO959" s="87"/>
      <c r="AP959" s="87"/>
      <c r="AQ959" s="87"/>
      <c r="AR959" s="87"/>
      <c r="AS959" s="87"/>
      <c r="AT959" s="87"/>
      <c r="AU959" s="87"/>
      <c r="AV959" s="87"/>
      <c r="AW959" s="87"/>
      <c r="AX959" s="87"/>
    </row>
    <row r="960">
      <c r="A960" s="9"/>
      <c r="B960" s="87"/>
      <c r="C960" s="87"/>
      <c r="D960" s="87"/>
      <c r="E960" s="9"/>
      <c r="F960" s="87"/>
      <c r="G960" s="87"/>
      <c r="H960" s="87"/>
      <c r="I960" s="9"/>
      <c r="J960" s="87"/>
      <c r="K960" s="87"/>
      <c r="L960" s="87"/>
      <c r="M960" s="9"/>
      <c r="N960" s="87"/>
      <c r="O960" s="87"/>
      <c r="P960" s="87"/>
      <c r="Q960" s="9"/>
      <c r="R960" s="87"/>
      <c r="S960" s="87"/>
      <c r="T960" s="87"/>
      <c r="U960" s="9"/>
      <c r="V960" s="87"/>
      <c r="W960" s="87"/>
      <c r="X960" s="87"/>
      <c r="Y960" s="87"/>
      <c r="Z960" s="87"/>
      <c r="AA960" s="87"/>
      <c r="AB960" s="87"/>
      <c r="AC960" s="243"/>
      <c r="AD960" s="234"/>
      <c r="AE960" s="234"/>
      <c r="AF960" s="234"/>
      <c r="AG960" s="9"/>
      <c r="AH960" s="87"/>
      <c r="AI960" s="87"/>
      <c r="AJ960" s="87"/>
      <c r="AK960" s="244"/>
      <c r="AL960" s="245"/>
      <c r="AM960" s="244"/>
      <c r="AN960" s="244"/>
      <c r="AO960" s="87"/>
      <c r="AP960" s="87"/>
      <c r="AQ960" s="87"/>
      <c r="AR960" s="87"/>
      <c r="AS960" s="87"/>
      <c r="AT960" s="87"/>
      <c r="AU960" s="87"/>
      <c r="AV960" s="87"/>
      <c r="AW960" s="87"/>
      <c r="AX960" s="87"/>
    </row>
    <row r="961">
      <c r="A961" s="9"/>
      <c r="B961" s="87"/>
      <c r="C961" s="87"/>
      <c r="D961" s="87"/>
      <c r="E961" s="9"/>
      <c r="F961" s="87"/>
      <c r="G961" s="87"/>
      <c r="H961" s="87"/>
      <c r="I961" s="9"/>
      <c r="J961" s="87"/>
      <c r="K961" s="87"/>
      <c r="L961" s="87"/>
      <c r="M961" s="9"/>
      <c r="N961" s="87"/>
      <c r="O961" s="87"/>
      <c r="P961" s="87"/>
      <c r="Q961" s="9"/>
      <c r="R961" s="87"/>
      <c r="S961" s="87"/>
      <c r="T961" s="87"/>
      <c r="U961" s="9"/>
      <c r="V961" s="87"/>
      <c r="W961" s="87"/>
      <c r="X961" s="87"/>
      <c r="Y961" s="87"/>
      <c r="Z961" s="87"/>
      <c r="AA961" s="87"/>
      <c r="AB961" s="87"/>
      <c r="AC961" s="243"/>
      <c r="AD961" s="234"/>
      <c r="AE961" s="234"/>
      <c r="AF961" s="234"/>
      <c r="AG961" s="9"/>
      <c r="AH961" s="87"/>
      <c r="AI961" s="87"/>
      <c r="AJ961" s="87"/>
      <c r="AK961" s="244"/>
      <c r="AL961" s="245"/>
      <c r="AM961" s="244"/>
      <c r="AN961" s="244"/>
      <c r="AO961" s="87"/>
      <c r="AP961" s="87"/>
      <c r="AQ961" s="87"/>
      <c r="AR961" s="87"/>
      <c r="AS961" s="87"/>
      <c r="AT961" s="87"/>
      <c r="AU961" s="87"/>
      <c r="AV961" s="87"/>
      <c r="AW961" s="87"/>
      <c r="AX961" s="87"/>
    </row>
    <row r="962">
      <c r="A962" s="9"/>
      <c r="B962" s="87"/>
      <c r="C962" s="87"/>
      <c r="D962" s="87"/>
      <c r="E962" s="9"/>
      <c r="F962" s="87"/>
      <c r="G962" s="87"/>
      <c r="H962" s="87"/>
      <c r="I962" s="9"/>
      <c r="J962" s="87"/>
      <c r="K962" s="87"/>
      <c r="L962" s="87"/>
      <c r="M962" s="9"/>
      <c r="N962" s="87"/>
      <c r="O962" s="87"/>
      <c r="P962" s="87"/>
      <c r="Q962" s="9"/>
      <c r="R962" s="87"/>
      <c r="S962" s="87"/>
      <c r="T962" s="87"/>
      <c r="U962" s="9"/>
      <c r="V962" s="87"/>
      <c r="W962" s="87"/>
      <c r="X962" s="87"/>
      <c r="Y962" s="87"/>
      <c r="Z962" s="87"/>
      <c r="AA962" s="87"/>
      <c r="AB962" s="87"/>
      <c r="AC962" s="243"/>
      <c r="AD962" s="234"/>
      <c r="AE962" s="234"/>
      <c r="AF962" s="234"/>
      <c r="AG962" s="9"/>
      <c r="AH962" s="87"/>
      <c r="AI962" s="87"/>
      <c r="AJ962" s="87"/>
      <c r="AK962" s="244"/>
      <c r="AL962" s="245"/>
      <c r="AM962" s="244"/>
      <c r="AN962" s="244"/>
      <c r="AO962" s="87"/>
      <c r="AP962" s="87"/>
      <c r="AQ962" s="87"/>
      <c r="AR962" s="87"/>
      <c r="AS962" s="87"/>
      <c r="AT962" s="87"/>
      <c r="AU962" s="87"/>
      <c r="AV962" s="87"/>
      <c r="AW962" s="87"/>
      <c r="AX962" s="87"/>
    </row>
    <row r="963">
      <c r="A963" s="9"/>
      <c r="B963" s="87"/>
      <c r="C963" s="87"/>
      <c r="D963" s="87"/>
      <c r="E963" s="9"/>
      <c r="F963" s="87"/>
      <c r="G963" s="87"/>
      <c r="H963" s="87"/>
      <c r="I963" s="9"/>
      <c r="J963" s="87"/>
      <c r="K963" s="87"/>
      <c r="L963" s="87"/>
      <c r="M963" s="9"/>
      <c r="N963" s="87"/>
      <c r="O963" s="87"/>
      <c r="P963" s="87"/>
      <c r="Q963" s="9"/>
      <c r="R963" s="87"/>
      <c r="S963" s="87"/>
      <c r="T963" s="87"/>
      <c r="U963" s="9"/>
      <c r="V963" s="87"/>
      <c r="W963" s="87"/>
      <c r="X963" s="87"/>
      <c r="Y963" s="87"/>
      <c r="Z963" s="87"/>
      <c r="AA963" s="87"/>
      <c r="AB963" s="87"/>
      <c r="AC963" s="243"/>
      <c r="AD963" s="234"/>
      <c r="AE963" s="234"/>
      <c r="AF963" s="234"/>
      <c r="AG963" s="9"/>
      <c r="AH963" s="87"/>
      <c r="AI963" s="87"/>
      <c r="AJ963" s="87"/>
      <c r="AK963" s="244"/>
      <c r="AL963" s="245"/>
      <c r="AM963" s="244"/>
      <c r="AN963" s="244"/>
      <c r="AO963" s="87"/>
      <c r="AP963" s="87"/>
      <c r="AQ963" s="87"/>
      <c r="AR963" s="87"/>
      <c r="AS963" s="87"/>
      <c r="AT963" s="87"/>
      <c r="AU963" s="87"/>
      <c r="AV963" s="87"/>
      <c r="AW963" s="87"/>
      <c r="AX963" s="87"/>
    </row>
    <row r="964">
      <c r="A964" s="9"/>
      <c r="B964" s="87"/>
      <c r="C964" s="87"/>
      <c r="D964" s="87"/>
      <c r="E964" s="9"/>
      <c r="F964" s="87"/>
      <c r="G964" s="87"/>
      <c r="H964" s="87"/>
      <c r="I964" s="9"/>
      <c r="J964" s="87"/>
      <c r="K964" s="87"/>
      <c r="L964" s="87"/>
      <c r="M964" s="9"/>
      <c r="N964" s="87"/>
      <c r="O964" s="87"/>
      <c r="P964" s="87"/>
      <c r="Q964" s="9"/>
      <c r="R964" s="87"/>
      <c r="S964" s="87"/>
      <c r="T964" s="87"/>
      <c r="U964" s="9"/>
      <c r="V964" s="87"/>
      <c r="W964" s="87"/>
      <c r="X964" s="87"/>
      <c r="Y964" s="87"/>
      <c r="Z964" s="87"/>
      <c r="AA964" s="87"/>
      <c r="AB964" s="87"/>
      <c r="AC964" s="243"/>
      <c r="AD964" s="234"/>
      <c r="AE964" s="234"/>
      <c r="AF964" s="234"/>
      <c r="AG964" s="9"/>
      <c r="AH964" s="87"/>
      <c r="AI964" s="87"/>
      <c r="AJ964" s="87"/>
      <c r="AK964" s="244"/>
      <c r="AL964" s="245"/>
      <c r="AM964" s="244"/>
      <c r="AN964" s="244"/>
      <c r="AO964" s="87"/>
      <c r="AP964" s="87"/>
      <c r="AQ964" s="87"/>
      <c r="AR964" s="87"/>
      <c r="AS964" s="87"/>
      <c r="AT964" s="87"/>
      <c r="AU964" s="87"/>
      <c r="AV964" s="87"/>
      <c r="AW964" s="87"/>
      <c r="AX964" s="87"/>
    </row>
    <row r="965">
      <c r="A965" s="9"/>
      <c r="B965" s="87"/>
      <c r="C965" s="87"/>
      <c r="D965" s="87"/>
      <c r="E965" s="9"/>
      <c r="F965" s="87"/>
      <c r="G965" s="87"/>
      <c r="H965" s="87"/>
      <c r="I965" s="9"/>
      <c r="J965" s="87"/>
      <c r="K965" s="87"/>
      <c r="L965" s="87"/>
      <c r="M965" s="9"/>
      <c r="N965" s="87"/>
      <c r="O965" s="87"/>
      <c r="P965" s="87"/>
      <c r="Q965" s="9"/>
      <c r="R965" s="87"/>
      <c r="S965" s="87"/>
      <c r="T965" s="87"/>
      <c r="U965" s="9"/>
      <c r="V965" s="87"/>
      <c r="W965" s="87"/>
      <c r="X965" s="87"/>
      <c r="Y965" s="87"/>
      <c r="Z965" s="87"/>
      <c r="AA965" s="87"/>
      <c r="AB965" s="87"/>
      <c r="AC965" s="243"/>
      <c r="AD965" s="234"/>
      <c r="AE965" s="234"/>
      <c r="AF965" s="234"/>
      <c r="AG965" s="9"/>
      <c r="AH965" s="87"/>
      <c r="AI965" s="87"/>
      <c r="AJ965" s="87"/>
      <c r="AK965" s="244"/>
      <c r="AL965" s="245"/>
      <c r="AM965" s="244"/>
      <c r="AN965" s="244"/>
      <c r="AO965" s="87"/>
      <c r="AP965" s="87"/>
      <c r="AQ965" s="87"/>
      <c r="AR965" s="87"/>
      <c r="AS965" s="87"/>
      <c r="AT965" s="87"/>
      <c r="AU965" s="87"/>
      <c r="AV965" s="87"/>
      <c r="AW965" s="87"/>
      <c r="AX965" s="87"/>
    </row>
    <row r="966">
      <c r="A966" s="9"/>
      <c r="B966" s="87"/>
      <c r="C966" s="87"/>
      <c r="D966" s="87"/>
      <c r="E966" s="9"/>
      <c r="F966" s="87"/>
      <c r="G966" s="87"/>
      <c r="H966" s="87"/>
      <c r="I966" s="9"/>
      <c r="J966" s="87"/>
      <c r="K966" s="87"/>
      <c r="L966" s="87"/>
      <c r="M966" s="9"/>
      <c r="N966" s="87"/>
      <c r="O966" s="87"/>
      <c r="P966" s="87"/>
      <c r="Q966" s="9"/>
      <c r="R966" s="87"/>
      <c r="S966" s="87"/>
      <c r="T966" s="87"/>
      <c r="U966" s="9"/>
      <c r="V966" s="87"/>
      <c r="W966" s="87"/>
      <c r="X966" s="87"/>
      <c r="Y966" s="87"/>
      <c r="Z966" s="87"/>
      <c r="AA966" s="87"/>
      <c r="AB966" s="87"/>
      <c r="AC966" s="243"/>
      <c r="AD966" s="234"/>
      <c r="AE966" s="234"/>
      <c r="AF966" s="234"/>
      <c r="AG966" s="9"/>
      <c r="AH966" s="87"/>
      <c r="AI966" s="87"/>
      <c r="AJ966" s="87"/>
      <c r="AK966" s="244"/>
      <c r="AL966" s="245"/>
      <c r="AM966" s="244"/>
      <c r="AN966" s="244"/>
      <c r="AO966" s="87"/>
      <c r="AP966" s="87"/>
      <c r="AQ966" s="87"/>
      <c r="AR966" s="87"/>
      <c r="AS966" s="87"/>
      <c r="AT966" s="87"/>
      <c r="AU966" s="87"/>
      <c r="AV966" s="87"/>
      <c r="AW966" s="87"/>
      <c r="AX966" s="87"/>
    </row>
    <row r="967">
      <c r="A967" s="9"/>
      <c r="B967" s="87"/>
      <c r="C967" s="87"/>
      <c r="D967" s="87"/>
      <c r="E967" s="9"/>
      <c r="F967" s="87"/>
      <c r="G967" s="87"/>
      <c r="H967" s="87"/>
      <c r="I967" s="9"/>
      <c r="J967" s="87"/>
      <c r="K967" s="87"/>
      <c r="L967" s="87"/>
      <c r="M967" s="9"/>
      <c r="N967" s="87"/>
      <c r="O967" s="87"/>
      <c r="P967" s="87"/>
      <c r="Q967" s="9"/>
      <c r="R967" s="87"/>
      <c r="S967" s="87"/>
      <c r="T967" s="87"/>
      <c r="U967" s="9"/>
      <c r="V967" s="87"/>
      <c r="W967" s="87"/>
      <c r="X967" s="87"/>
      <c r="Y967" s="87"/>
      <c r="Z967" s="87"/>
      <c r="AA967" s="87"/>
      <c r="AB967" s="87"/>
      <c r="AC967" s="243"/>
      <c r="AD967" s="234"/>
      <c r="AE967" s="234"/>
      <c r="AF967" s="234"/>
      <c r="AG967" s="9"/>
      <c r="AH967" s="87"/>
      <c r="AI967" s="87"/>
      <c r="AJ967" s="87"/>
      <c r="AK967" s="244"/>
      <c r="AL967" s="245"/>
      <c r="AM967" s="244"/>
      <c r="AN967" s="244"/>
      <c r="AO967" s="87"/>
      <c r="AP967" s="87"/>
      <c r="AQ967" s="87"/>
      <c r="AR967" s="87"/>
      <c r="AS967" s="87"/>
      <c r="AT967" s="87"/>
      <c r="AU967" s="87"/>
      <c r="AV967" s="87"/>
      <c r="AW967" s="87"/>
      <c r="AX967" s="87"/>
    </row>
    <row r="968">
      <c r="A968" s="9"/>
      <c r="B968" s="87"/>
      <c r="C968" s="87"/>
      <c r="D968" s="87"/>
      <c r="E968" s="9"/>
      <c r="F968" s="87"/>
      <c r="G968" s="87"/>
      <c r="H968" s="87"/>
      <c r="I968" s="9"/>
      <c r="J968" s="87"/>
      <c r="K968" s="87"/>
      <c r="L968" s="87"/>
      <c r="M968" s="9"/>
      <c r="N968" s="87"/>
      <c r="O968" s="87"/>
      <c r="P968" s="87"/>
      <c r="Q968" s="9"/>
      <c r="R968" s="87"/>
      <c r="S968" s="87"/>
      <c r="T968" s="87"/>
      <c r="U968" s="9"/>
      <c r="V968" s="87"/>
      <c r="W968" s="87"/>
      <c r="X968" s="87"/>
      <c r="Y968" s="87"/>
      <c r="Z968" s="87"/>
      <c r="AA968" s="87"/>
      <c r="AB968" s="87"/>
      <c r="AC968" s="243"/>
      <c r="AD968" s="234"/>
      <c r="AE968" s="234"/>
      <c r="AF968" s="234"/>
      <c r="AG968" s="9"/>
      <c r="AH968" s="87"/>
      <c r="AI968" s="87"/>
      <c r="AJ968" s="87"/>
      <c r="AK968" s="244"/>
      <c r="AL968" s="245"/>
      <c r="AM968" s="244"/>
      <c r="AN968" s="244"/>
      <c r="AO968" s="87"/>
      <c r="AP968" s="87"/>
      <c r="AQ968" s="87"/>
      <c r="AR968" s="87"/>
      <c r="AS968" s="87"/>
      <c r="AT968" s="87"/>
      <c r="AU968" s="87"/>
      <c r="AV968" s="87"/>
      <c r="AW968" s="87"/>
      <c r="AX968" s="87"/>
    </row>
    <row r="969">
      <c r="A969" s="9"/>
      <c r="B969" s="87"/>
      <c r="C969" s="87"/>
      <c r="D969" s="87"/>
      <c r="E969" s="9"/>
      <c r="F969" s="87"/>
      <c r="G969" s="87"/>
      <c r="H969" s="87"/>
      <c r="I969" s="9"/>
      <c r="J969" s="87"/>
      <c r="K969" s="87"/>
      <c r="L969" s="87"/>
      <c r="M969" s="9"/>
      <c r="N969" s="87"/>
      <c r="O969" s="87"/>
      <c r="P969" s="87"/>
      <c r="Q969" s="9"/>
      <c r="R969" s="87"/>
      <c r="S969" s="87"/>
      <c r="T969" s="87"/>
      <c r="U969" s="9"/>
      <c r="V969" s="87"/>
      <c r="W969" s="87"/>
      <c r="X969" s="87"/>
      <c r="Y969" s="87"/>
      <c r="Z969" s="87"/>
      <c r="AA969" s="87"/>
      <c r="AB969" s="87"/>
      <c r="AC969" s="243"/>
      <c r="AD969" s="234"/>
      <c r="AE969" s="234"/>
      <c r="AF969" s="234"/>
      <c r="AG969" s="9"/>
      <c r="AH969" s="87"/>
      <c r="AI969" s="87"/>
      <c r="AJ969" s="87"/>
      <c r="AK969" s="244"/>
      <c r="AL969" s="245"/>
      <c r="AM969" s="244"/>
      <c r="AN969" s="244"/>
      <c r="AO969" s="87"/>
      <c r="AP969" s="87"/>
      <c r="AQ969" s="87"/>
      <c r="AR969" s="87"/>
      <c r="AS969" s="87"/>
      <c r="AT969" s="87"/>
      <c r="AU969" s="87"/>
      <c r="AV969" s="87"/>
      <c r="AW969" s="87"/>
      <c r="AX969" s="87"/>
    </row>
    <row r="970">
      <c r="A970" s="9"/>
      <c r="B970" s="87"/>
      <c r="C970" s="87"/>
      <c r="D970" s="87"/>
      <c r="E970" s="9"/>
      <c r="F970" s="87"/>
      <c r="G970" s="87"/>
      <c r="H970" s="87"/>
      <c r="I970" s="9"/>
      <c r="J970" s="87"/>
      <c r="K970" s="87"/>
      <c r="L970" s="87"/>
      <c r="M970" s="9"/>
      <c r="N970" s="87"/>
      <c r="O970" s="87"/>
      <c r="P970" s="87"/>
      <c r="Q970" s="9"/>
      <c r="R970" s="87"/>
      <c r="S970" s="87"/>
      <c r="T970" s="87"/>
      <c r="U970" s="9"/>
      <c r="V970" s="87"/>
      <c r="W970" s="87"/>
      <c r="X970" s="87"/>
      <c r="Y970" s="87"/>
      <c r="Z970" s="87"/>
      <c r="AA970" s="87"/>
      <c r="AB970" s="87"/>
      <c r="AC970" s="243"/>
      <c r="AD970" s="234"/>
      <c r="AE970" s="234"/>
      <c r="AF970" s="234"/>
      <c r="AG970" s="9"/>
      <c r="AH970" s="87"/>
      <c r="AI970" s="87"/>
      <c r="AJ970" s="87"/>
      <c r="AK970" s="244"/>
      <c r="AL970" s="245"/>
      <c r="AM970" s="244"/>
      <c r="AN970" s="244"/>
      <c r="AO970" s="87"/>
      <c r="AP970" s="87"/>
      <c r="AQ970" s="87"/>
      <c r="AR970" s="87"/>
      <c r="AS970" s="87"/>
      <c r="AT970" s="87"/>
      <c r="AU970" s="87"/>
      <c r="AV970" s="87"/>
      <c r="AW970" s="87"/>
      <c r="AX970" s="87"/>
    </row>
    <row r="971">
      <c r="A971" s="9"/>
      <c r="B971" s="87"/>
      <c r="C971" s="87"/>
      <c r="D971" s="87"/>
      <c r="E971" s="9"/>
      <c r="F971" s="87"/>
      <c r="G971" s="87"/>
      <c r="H971" s="87"/>
      <c r="I971" s="9"/>
      <c r="J971" s="87"/>
      <c r="K971" s="87"/>
      <c r="L971" s="87"/>
      <c r="M971" s="9"/>
      <c r="N971" s="87"/>
      <c r="O971" s="87"/>
      <c r="P971" s="87"/>
      <c r="Q971" s="9"/>
      <c r="R971" s="87"/>
      <c r="S971" s="87"/>
      <c r="T971" s="87"/>
      <c r="U971" s="9"/>
      <c r="V971" s="87"/>
      <c r="W971" s="87"/>
      <c r="X971" s="87"/>
      <c r="Y971" s="87"/>
      <c r="Z971" s="87"/>
      <c r="AA971" s="87"/>
      <c r="AB971" s="87"/>
      <c r="AC971" s="243"/>
      <c r="AD971" s="234"/>
      <c r="AE971" s="234"/>
      <c r="AF971" s="234"/>
      <c r="AG971" s="9"/>
      <c r="AH971" s="87"/>
      <c r="AI971" s="87"/>
      <c r="AJ971" s="87"/>
      <c r="AK971" s="244"/>
      <c r="AL971" s="245"/>
      <c r="AM971" s="244"/>
      <c r="AN971" s="244"/>
      <c r="AO971" s="87"/>
      <c r="AP971" s="87"/>
      <c r="AQ971" s="87"/>
      <c r="AR971" s="87"/>
      <c r="AS971" s="87"/>
      <c r="AT971" s="87"/>
      <c r="AU971" s="87"/>
      <c r="AV971" s="87"/>
      <c r="AW971" s="87"/>
      <c r="AX971" s="87"/>
    </row>
    <row r="972">
      <c r="A972" s="9"/>
      <c r="B972" s="87"/>
      <c r="C972" s="87"/>
      <c r="D972" s="87"/>
      <c r="E972" s="9"/>
      <c r="F972" s="87"/>
      <c r="G972" s="87"/>
      <c r="H972" s="87"/>
      <c r="I972" s="9"/>
      <c r="J972" s="87"/>
      <c r="K972" s="87"/>
      <c r="L972" s="87"/>
      <c r="M972" s="9"/>
      <c r="N972" s="87"/>
      <c r="O972" s="87"/>
      <c r="P972" s="87"/>
      <c r="Q972" s="9"/>
      <c r="R972" s="87"/>
      <c r="S972" s="87"/>
      <c r="T972" s="87"/>
      <c r="U972" s="9"/>
      <c r="V972" s="87"/>
      <c r="W972" s="87"/>
      <c r="X972" s="87"/>
      <c r="Y972" s="87"/>
      <c r="Z972" s="87"/>
      <c r="AA972" s="87"/>
      <c r="AB972" s="87"/>
      <c r="AC972" s="243"/>
      <c r="AD972" s="234"/>
      <c r="AE972" s="234"/>
      <c r="AF972" s="234"/>
      <c r="AG972" s="9"/>
      <c r="AH972" s="87"/>
      <c r="AI972" s="87"/>
      <c r="AJ972" s="87"/>
      <c r="AK972" s="244"/>
      <c r="AL972" s="245"/>
      <c r="AM972" s="244"/>
      <c r="AN972" s="244"/>
      <c r="AO972" s="87"/>
      <c r="AP972" s="87"/>
      <c r="AQ972" s="87"/>
      <c r="AR972" s="87"/>
      <c r="AS972" s="87"/>
      <c r="AT972" s="87"/>
      <c r="AU972" s="87"/>
      <c r="AV972" s="87"/>
      <c r="AW972" s="87"/>
      <c r="AX972" s="87"/>
    </row>
    <row r="973">
      <c r="A973" s="9"/>
      <c r="B973" s="87"/>
      <c r="C973" s="87"/>
      <c r="D973" s="87"/>
      <c r="E973" s="9"/>
      <c r="F973" s="87"/>
      <c r="G973" s="87"/>
      <c r="H973" s="87"/>
      <c r="I973" s="9"/>
      <c r="J973" s="87"/>
      <c r="K973" s="87"/>
      <c r="L973" s="87"/>
      <c r="M973" s="9"/>
      <c r="N973" s="87"/>
      <c r="O973" s="87"/>
      <c r="P973" s="87"/>
      <c r="Q973" s="9"/>
      <c r="R973" s="87"/>
      <c r="S973" s="87"/>
      <c r="T973" s="87"/>
      <c r="U973" s="9"/>
      <c r="V973" s="87"/>
      <c r="W973" s="87"/>
      <c r="X973" s="87"/>
      <c r="Y973" s="87"/>
      <c r="Z973" s="87"/>
      <c r="AA973" s="87"/>
      <c r="AB973" s="87"/>
      <c r="AC973" s="243"/>
      <c r="AD973" s="234"/>
      <c r="AE973" s="234"/>
      <c r="AF973" s="234"/>
      <c r="AG973" s="9"/>
      <c r="AH973" s="87"/>
      <c r="AI973" s="87"/>
      <c r="AJ973" s="87"/>
      <c r="AK973" s="244"/>
      <c r="AL973" s="245"/>
      <c r="AM973" s="244"/>
      <c r="AN973" s="244"/>
      <c r="AO973" s="87"/>
      <c r="AP973" s="87"/>
      <c r="AQ973" s="87"/>
      <c r="AR973" s="87"/>
      <c r="AS973" s="87"/>
      <c r="AT973" s="87"/>
      <c r="AU973" s="87"/>
      <c r="AV973" s="87"/>
      <c r="AW973" s="87"/>
      <c r="AX973" s="87"/>
    </row>
    <row r="974">
      <c r="A974" s="9"/>
      <c r="B974" s="87"/>
      <c r="C974" s="87"/>
      <c r="D974" s="87"/>
      <c r="E974" s="9"/>
      <c r="F974" s="87"/>
      <c r="G974" s="87"/>
      <c r="H974" s="87"/>
      <c r="I974" s="9"/>
      <c r="J974" s="87"/>
      <c r="K974" s="87"/>
      <c r="L974" s="87"/>
      <c r="M974" s="9"/>
      <c r="N974" s="87"/>
      <c r="O974" s="87"/>
      <c r="P974" s="87"/>
      <c r="Q974" s="9"/>
      <c r="R974" s="87"/>
      <c r="S974" s="87"/>
      <c r="T974" s="87"/>
      <c r="U974" s="9"/>
      <c r="V974" s="87"/>
      <c r="W974" s="87"/>
      <c r="X974" s="87"/>
      <c r="Y974" s="87"/>
      <c r="Z974" s="87"/>
      <c r="AA974" s="87"/>
      <c r="AB974" s="87"/>
      <c r="AC974" s="243"/>
      <c r="AD974" s="234"/>
      <c r="AE974" s="234"/>
      <c r="AF974" s="234"/>
      <c r="AG974" s="9"/>
      <c r="AH974" s="87"/>
      <c r="AI974" s="87"/>
      <c r="AJ974" s="87"/>
      <c r="AK974" s="244"/>
      <c r="AL974" s="245"/>
      <c r="AM974" s="244"/>
      <c r="AN974" s="244"/>
      <c r="AO974" s="87"/>
      <c r="AP974" s="87"/>
      <c r="AQ974" s="87"/>
      <c r="AR974" s="87"/>
      <c r="AS974" s="87"/>
      <c r="AT974" s="87"/>
      <c r="AU974" s="87"/>
      <c r="AV974" s="87"/>
      <c r="AW974" s="87"/>
      <c r="AX974" s="87"/>
    </row>
    <row r="975">
      <c r="A975" s="9"/>
      <c r="B975" s="87"/>
      <c r="C975" s="87"/>
      <c r="D975" s="87"/>
      <c r="E975" s="9"/>
      <c r="F975" s="87"/>
      <c r="G975" s="87"/>
      <c r="H975" s="87"/>
      <c r="I975" s="9"/>
      <c r="J975" s="87"/>
      <c r="K975" s="87"/>
      <c r="L975" s="87"/>
      <c r="M975" s="9"/>
      <c r="N975" s="87"/>
      <c r="O975" s="87"/>
      <c r="P975" s="87"/>
      <c r="Q975" s="9"/>
      <c r="R975" s="87"/>
      <c r="S975" s="87"/>
      <c r="T975" s="87"/>
      <c r="U975" s="9"/>
      <c r="V975" s="87"/>
      <c r="W975" s="87"/>
      <c r="X975" s="87"/>
      <c r="Y975" s="87"/>
      <c r="Z975" s="87"/>
      <c r="AA975" s="87"/>
      <c r="AB975" s="87"/>
      <c r="AC975" s="243"/>
      <c r="AD975" s="234"/>
      <c r="AE975" s="234"/>
      <c r="AF975" s="234"/>
      <c r="AG975" s="9"/>
      <c r="AH975" s="87"/>
      <c r="AI975" s="87"/>
      <c r="AJ975" s="87"/>
      <c r="AK975" s="244"/>
      <c r="AL975" s="245"/>
      <c r="AM975" s="244"/>
      <c r="AN975" s="244"/>
      <c r="AO975" s="87"/>
      <c r="AP975" s="87"/>
      <c r="AQ975" s="87"/>
      <c r="AR975" s="87"/>
      <c r="AS975" s="87"/>
      <c r="AT975" s="87"/>
      <c r="AU975" s="87"/>
      <c r="AV975" s="87"/>
      <c r="AW975" s="87"/>
      <c r="AX975" s="87"/>
    </row>
    <row r="976">
      <c r="A976" s="9"/>
      <c r="B976" s="87"/>
      <c r="C976" s="87"/>
      <c r="D976" s="87"/>
      <c r="E976" s="9"/>
      <c r="F976" s="87"/>
      <c r="G976" s="87"/>
      <c r="H976" s="87"/>
      <c r="I976" s="9"/>
      <c r="J976" s="87"/>
      <c r="K976" s="87"/>
      <c r="L976" s="87"/>
      <c r="M976" s="9"/>
      <c r="N976" s="87"/>
      <c r="O976" s="87"/>
      <c r="P976" s="87"/>
      <c r="Q976" s="9"/>
      <c r="R976" s="87"/>
      <c r="S976" s="87"/>
      <c r="T976" s="87"/>
      <c r="U976" s="9"/>
      <c r="V976" s="87"/>
      <c r="W976" s="87"/>
      <c r="X976" s="87"/>
      <c r="Y976" s="87"/>
      <c r="Z976" s="87"/>
      <c r="AA976" s="87"/>
      <c r="AB976" s="87"/>
      <c r="AC976" s="243"/>
      <c r="AD976" s="234"/>
      <c r="AE976" s="234"/>
      <c r="AF976" s="234"/>
      <c r="AG976" s="9"/>
      <c r="AH976" s="87"/>
      <c r="AI976" s="87"/>
      <c r="AJ976" s="87"/>
      <c r="AK976" s="244"/>
      <c r="AL976" s="245"/>
      <c r="AM976" s="244"/>
      <c r="AN976" s="244"/>
      <c r="AO976" s="87"/>
      <c r="AP976" s="87"/>
      <c r="AQ976" s="87"/>
      <c r="AR976" s="87"/>
      <c r="AS976" s="87"/>
      <c r="AT976" s="87"/>
      <c r="AU976" s="87"/>
      <c r="AV976" s="87"/>
      <c r="AW976" s="87"/>
      <c r="AX976" s="87"/>
    </row>
    <row r="977">
      <c r="A977" s="9"/>
      <c r="B977" s="87"/>
      <c r="C977" s="87"/>
      <c r="D977" s="87"/>
      <c r="E977" s="9"/>
      <c r="F977" s="87"/>
      <c r="G977" s="87"/>
      <c r="H977" s="87"/>
      <c r="I977" s="9"/>
      <c r="J977" s="87"/>
      <c r="K977" s="87"/>
      <c r="L977" s="87"/>
      <c r="M977" s="9"/>
      <c r="N977" s="87"/>
      <c r="O977" s="87"/>
      <c r="P977" s="87"/>
      <c r="Q977" s="9"/>
      <c r="R977" s="87"/>
      <c r="S977" s="87"/>
      <c r="T977" s="87"/>
      <c r="U977" s="9"/>
      <c r="V977" s="87"/>
      <c r="W977" s="87"/>
      <c r="X977" s="87"/>
      <c r="Y977" s="278"/>
      <c r="Z977" s="156"/>
      <c r="AA977" s="154"/>
      <c r="AB977" s="100"/>
      <c r="AC977" s="243"/>
      <c r="AD977" s="234"/>
      <c r="AE977" s="234"/>
      <c r="AF977" s="234"/>
      <c r="AG977" s="9"/>
      <c r="AH977" s="87"/>
      <c r="AI977" s="87"/>
      <c r="AJ977" s="87"/>
      <c r="AK977" s="279"/>
      <c r="AL977" s="280"/>
      <c r="AM977" s="281"/>
      <c r="AN977" s="238"/>
      <c r="AO977" s="282"/>
      <c r="AP977" s="283"/>
      <c r="AQ977" s="284"/>
      <c r="AR977" s="100"/>
      <c r="AS977" s="278"/>
      <c r="AT977" s="156"/>
      <c r="AU977" s="154"/>
      <c r="AV977" s="100"/>
      <c r="AW977" s="87"/>
      <c r="AX977" s="87"/>
    </row>
    <row r="978">
      <c r="A978" s="9"/>
      <c r="B978" s="87"/>
      <c r="C978" s="87"/>
      <c r="D978" s="87"/>
      <c r="E978" s="9"/>
      <c r="F978" s="87"/>
      <c r="G978" s="87"/>
      <c r="H978" s="87"/>
      <c r="I978" s="9"/>
      <c r="J978" s="87"/>
      <c r="K978" s="87"/>
      <c r="L978" s="87"/>
      <c r="M978" s="9"/>
      <c r="N978" s="87"/>
      <c r="O978" s="87"/>
      <c r="P978" s="87"/>
      <c r="Q978" s="9"/>
      <c r="R978" s="87"/>
      <c r="S978" s="87"/>
      <c r="T978" s="87"/>
      <c r="U978" s="9"/>
      <c r="V978" s="87"/>
      <c r="W978" s="87"/>
      <c r="X978" s="87"/>
      <c r="Y978" s="278"/>
      <c r="Z978" s="156"/>
      <c r="AA978" s="154"/>
      <c r="AB978" s="100"/>
      <c r="AC978" s="243"/>
      <c r="AD978" s="234"/>
      <c r="AE978" s="234"/>
      <c r="AF978" s="234"/>
      <c r="AG978" s="9"/>
      <c r="AH978" s="87"/>
      <c r="AI978" s="87"/>
      <c r="AJ978" s="87"/>
      <c r="AK978" s="279"/>
      <c r="AL978" s="280"/>
      <c r="AM978" s="281"/>
      <c r="AN978" s="238"/>
      <c r="AO978" s="282"/>
      <c r="AP978" s="283"/>
      <c r="AQ978" s="284"/>
      <c r="AR978" s="100"/>
      <c r="AS978" s="278"/>
      <c r="AT978" s="156"/>
      <c r="AU978" s="154"/>
      <c r="AV978" s="100"/>
      <c r="AW978" s="87"/>
      <c r="AX978" s="87"/>
    </row>
    <row r="979">
      <c r="A979" s="9"/>
      <c r="B979" s="87"/>
      <c r="C979" s="87"/>
      <c r="D979" s="87"/>
      <c r="E979" s="9"/>
      <c r="F979" s="87"/>
      <c r="G979" s="87"/>
      <c r="H979" s="87"/>
      <c r="I979" s="9"/>
      <c r="J979" s="87"/>
      <c r="K979" s="87"/>
      <c r="L979" s="87"/>
      <c r="M979" s="9"/>
      <c r="N979" s="87"/>
      <c r="O979" s="87"/>
      <c r="P979" s="87"/>
      <c r="Q979" s="9"/>
      <c r="R979" s="87"/>
      <c r="S979" s="87"/>
      <c r="T979" s="87"/>
      <c r="U979" s="9"/>
      <c r="V979" s="87"/>
      <c r="W979" s="87"/>
      <c r="X979" s="87"/>
      <c r="Y979" s="278"/>
      <c r="Z979" s="156"/>
      <c r="AA979" s="154"/>
      <c r="AB979" s="100"/>
      <c r="AC979" s="243"/>
      <c r="AD979" s="234"/>
      <c r="AE979" s="234"/>
      <c r="AF979" s="234"/>
      <c r="AG979" s="9"/>
      <c r="AH979" s="87"/>
      <c r="AI979" s="87"/>
      <c r="AJ979" s="87"/>
      <c r="AK979" s="279"/>
      <c r="AL979" s="280"/>
      <c r="AM979" s="281"/>
      <c r="AN979" s="238"/>
      <c r="AO979" s="282"/>
      <c r="AP979" s="283"/>
      <c r="AQ979" s="284"/>
      <c r="AR979" s="100"/>
      <c r="AS979" s="278"/>
      <c r="AT979" s="156"/>
      <c r="AU979" s="154"/>
      <c r="AV979" s="100"/>
      <c r="AW979" s="87"/>
      <c r="AX979" s="87"/>
    </row>
    <row r="980">
      <c r="A980" s="9"/>
      <c r="B980" s="87"/>
      <c r="C980" s="87"/>
      <c r="D980" s="87"/>
      <c r="E980" s="9"/>
      <c r="F980" s="87"/>
      <c r="G980" s="87"/>
      <c r="H980" s="87"/>
      <c r="I980" s="9"/>
      <c r="J980" s="87"/>
      <c r="K980" s="87"/>
      <c r="L980" s="87"/>
      <c r="M980" s="9"/>
      <c r="N980" s="87"/>
      <c r="O980" s="87"/>
      <c r="P980" s="87"/>
      <c r="Q980" s="9"/>
      <c r="R980" s="87"/>
      <c r="S980" s="87"/>
      <c r="T980" s="87"/>
      <c r="U980" s="9"/>
      <c r="V980" s="87"/>
      <c r="W980" s="87"/>
      <c r="X980" s="87"/>
      <c r="Y980" s="278"/>
      <c r="Z980" s="156"/>
      <c r="AA980" s="154"/>
      <c r="AB980" s="100"/>
      <c r="AC980" s="243"/>
      <c r="AD980" s="234"/>
      <c r="AE980" s="234"/>
      <c r="AF980" s="234"/>
      <c r="AG980" s="9"/>
      <c r="AH980" s="87"/>
      <c r="AI980" s="87"/>
      <c r="AJ980" s="87"/>
      <c r="AK980" s="279"/>
      <c r="AL980" s="280"/>
      <c r="AM980" s="281"/>
      <c r="AN980" s="238"/>
      <c r="AO980" s="282"/>
      <c r="AP980" s="283"/>
      <c r="AQ980" s="284"/>
      <c r="AR980" s="100"/>
      <c r="AS980" s="278"/>
      <c r="AT980" s="156"/>
      <c r="AU980" s="154"/>
      <c r="AV980" s="100"/>
      <c r="AW980" s="87"/>
      <c r="AX980" s="87"/>
    </row>
    <row r="981">
      <c r="A981" s="9"/>
      <c r="B981" s="87"/>
      <c r="C981" s="87"/>
      <c r="D981" s="87"/>
      <c r="E981" s="9"/>
      <c r="F981" s="87"/>
      <c r="G981" s="87"/>
      <c r="H981" s="87"/>
      <c r="I981" s="9"/>
      <c r="J981" s="87"/>
      <c r="K981" s="87"/>
      <c r="L981" s="87"/>
      <c r="M981" s="9"/>
      <c r="N981" s="87"/>
      <c r="O981" s="87"/>
      <c r="P981" s="87"/>
      <c r="Q981" s="9"/>
      <c r="R981" s="87"/>
      <c r="S981" s="87"/>
      <c r="T981" s="87"/>
      <c r="U981" s="9"/>
      <c r="V981" s="87"/>
      <c r="W981" s="87"/>
      <c r="X981" s="87"/>
      <c r="Y981" s="278"/>
      <c r="Z981" s="156"/>
      <c r="AA981" s="154"/>
      <c r="AB981" s="100"/>
      <c r="AC981" s="243"/>
      <c r="AD981" s="234"/>
      <c r="AE981" s="234"/>
      <c r="AF981" s="234"/>
      <c r="AG981" s="9"/>
      <c r="AH981" s="87"/>
      <c r="AI981" s="87"/>
      <c r="AJ981" s="87"/>
      <c r="AK981" s="279"/>
      <c r="AL981" s="280"/>
      <c r="AM981" s="281"/>
      <c r="AN981" s="238"/>
      <c r="AO981" s="282"/>
      <c r="AP981" s="283"/>
      <c r="AQ981" s="284"/>
      <c r="AR981" s="100"/>
      <c r="AS981" s="278"/>
      <c r="AT981" s="156"/>
      <c r="AU981" s="154"/>
      <c r="AV981" s="100"/>
      <c r="AW981" s="87"/>
      <c r="AX981" s="87"/>
    </row>
    <row r="982">
      <c r="A982" s="9"/>
      <c r="B982" s="87"/>
      <c r="C982" s="87"/>
      <c r="D982" s="87"/>
      <c r="E982" s="9"/>
      <c r="F982" s="87"/>
      <c r="G982" s="87"/>
      <c r="H982" s="87"/>
      <c r="I982" s="9"/>
      <c r="J982" s="87"/>
      <c r="K982" s="87"/>
      <c r="L982" s="87"/>
      <c r="M982" s="9"/>
      <c r="N982" s="87"/>
      <c r="O982" s="87"/>
      <c r="P982" s="87"/>
      <c r="Q982" s="9"/>
      <c r="R982" s="87"/>
      <c r="S982" s="87"/>
      <c r="T982" s="87"/>
      <c r="U982" s="9"/>
      <c r="V982" s="87"/>
      <c r="W982" s="87"/>
      <c r="X982" s="87"/>
      <c r="Y982" s="278"/>
      <c r="Z982" s="156"/>
      <c r="AA982" s="154"/>
      <c r="AB982" s="100"/>
      <c r="AC982" s="243"/>
      <c r="AD982" s="234"/>
      <c r="AE982" s="234"/>
      <c r="AF982" s="234"/>
      <c r="AG982" s="9"/>
      <c r="AH982" s="87"/>
      <c r="AI982" s="87"/>
      <c r="AJ982" s="87"/>
      <c r="AK982" s="279"/>
      <c r="AL982" s="280"/>
      <c r="AM982" s="281"/>
      <c r="AN982" s="238"/>
      <c r="AO982" s="282"/>
      <c r="AP982" s="283"/>
      <c r="AQ982" s="284"/>
      <c r="AR982" s="100"/>
      <c r="AS982" s="278"/>
      <c r="AT982" s="156"/>
      <c r="AU982" s="154"/>
      <c r="AV982" s="100"/>
      <c r="AW982" s="87"/>
      <c r="AX982" s="87"/>
    </row>
    <row r="983">
      <c r="A983" s="9"/>
      <c r="B983" s="87"/>
      <c r="C983" s="87"/>
      <c r="D983" s="87"/>
      <c r="E983" s="9"/>
      <c r="F983" s="87"/>
      <c r="G983" s="87"/>
      <c r="H983" s="87"/>
      <c r="I983" s="9"/>
      <c r="J983" s="87"/>
      <c r="K983" s="87"/>
      <c r="L983" s="87"/>
      <c r="M983" s="9"/>
      <c r="N983" s="87"/>
      <c r="O983" s="87"/>
      <c r="P983" s="87"/>
      <c r="Q983" s="9"/>
      <c r="R983" s="87"/>
      <c r="S983" s="87"/>
      <c r="T983" s="87"/>
      <c r="U983" s="9"/>
      <c r="V983" s="87"/>
      <c r="W983" s="87"/>
      <c r="X983" s="87"/>
      <c r="Y983" s="278"/>
      <c r="Z983" s="156"/>
      <c r="AA983" s="154"/>
      <c r="AB983" s="100"/>
      <c r="AC983" s="243"/>
      <c r="AD983" s="234"/>
      <c r="AE983" s="234"/>
      <c r="AF983" s="234"/>
      <c r="AG983" s="9"/>
      <c r="AH983" s="87"/>
      <c r="AI983" s="87"/>
      <c r="AJ983" s="87"/>
      <c r="AK983" s="279"/>
      <c r="AL983" s="280"/>
      <c r="AM983" s="281"/>
      <c r="AN983" s="238"/>
      <c r="AO983" s="282"/>
      <c r="AP983" s="283"/>
      <c r="AQ983" s="284"/>
      <c r="AR983" s="100"/>
      <c r="AS983" s="278"/>
      <c r="AT983" s="156"/>
      <c r="AU983" s="154"/>
      <c r="AV983" s="100"/>
      <c r="AW983" s="87"/>
      <c r="AX983" s="87"/>
    </row>
    <row r="984">
      <c r="A984" s="9"/>
      <c r="B984" s="87"/>
      <c r="C984" s="87"/>
      <c r="D984" s="87"/>
      <c r="E984" s="9"/>
      <c r="F984" s="87"/>
      <c r="G984" s="87"/>
      <c r="H984" s="87"/>
      <c r="I984" s="9"/>
      <c r="J984" s="87"/>
      <c r="K984" s="87"/>
      <c r="L984" s="87"/>
      <c r="M984" s="9"/>
      <c r="N984" s="87"/>
      <c r="O984" s="87"/>
      <c r="P984" s="87"/>
      <c r="Q984" s="9"/>
      <c r="R984" s="87"/>
      <c r="S984" s="87"/>
      <c r="T984" s="87"/>
      <c r="U984" s="9"/>
      <c r="V984" s="87"/>
      <c r="W984" s="87"/>
      <c r="X984" s="87"/>
      <c r="Y984" s="278"/>
      <c r="Z984" s="156"/>
      <c r="AA984" s="154"/>
      <c r="AB984" s="100"/>
      <c r="AC984" s="243"/>
      <c r="AD984" s="234"/>
      <c r="AE984" s="234"/>
      <c r="AF984" s="234"/>
      <c r="AG984" s="9"/>
      <c r="AH984" s="87"/>
      <c r="AI984" s="87"/>
      <c r="AJ984" s="87"/>
      <c r="AK984" s="279"/>
      <c r="AL984" s="280"/>
      <c r="AM984" s="281"/>
      <c r="AN984" s="238"/>
      <c r="AO984" s="282"/>
      <c r="AP984" s="283"/>
      <c r="AQ984" s="284"/>
      <c r="AR984" s="100"/>
      <c r="AS984" s="278"/>
      <c r="AT984" s="156"/>
      <c r="AU984" s="154"/>
      <c r="AV984" s="100"/>
      <c r="AW984" s="87"/>
      <c r="AX984" s="87"/>
    </row>
    <row r="985">
      <c r="A985" s="9"/>
      <c r="B985" s="87"/>
      <c r="C985" s="87"/>
      <c r="D985" s="87"/>
      <c r="E985" s="9"/>
      <c r="F985" s="87"/>
      <c r="G985" s="87"/>
      <c r="H985" s="87"/>
      <c r="I985" s="9"/>
      <c r="J985" s="87"/>
      <c r="K985" s="87"/>
      <c r="L985" s="87"/>
      <c r="M985" s="9"/>
      <c r="N985" s="87"/>
      <c r="O985" s="87"/>
      <c r="P985" s="87"/>
      <c r="Q985" s="9"/>
      <c r="R985" s="87"/>
      <c r="S985" s="87"/>
      <c r="T985" s="87"/>
      <c r="U985" s="9"/>
      <c r="V985" s="87"/>
      <c r="W985" s="87"/>
      <c r="X985" s="87"/>
      <c r="Y985" s="278"/>
      <c r="Z985" s="156"/>
      <c r="AA985" s="154"/>
      <c r="AB985" s="100"/>
      <c r="AC985" s="243"/>
      <c r="AD985" s="234"/>
      <c r="AE985" s="234"/>
      <c r="AF985" s="234"/>
      <c r="AG985" s="9"/>
      <c r="AH985" s="87"/>
      <c r="AI985" s="87"/>
      <c r="AJ985" s="87"/>
      <c r="AK985" s="279"/>
      <c r="AL985" s="280"/>
      <c r="AM985" s="281"/>
      <c r="AN985" s="238"/>
      <c r="AO985" s="282"/>
      <c r="AP985" s="283"/>
      <c r="AQ985" s="284"/>
      <c r="AR985" s="100"/>
      <c r="AS985" s="278"/>
      <c r="AT985" s="156"/>
      <c r="AU985" s="154"/>
      <c r="AV985" s="100"/>
      <c r="AW985" s="87"/>
      <c r="AX985" s="87"/>
    </row>
    <row r="986">
      <c r="A986" s="9"/>
      <c r="B986" s="87"/>
      <c r="C986" s="87"/>
      <c r="D986" s="87"/>
      <c r="E986" s="9"/>
      <c r="F986" s="87"/>
      <c r="G986" s="87"/>
      <c r="H986" s="87"/>
      <c r="I986" s="9"/>
      <c r="J986" s="87"/>
      <c r="K986" s="87"/>
      <c r="L986" s="87"/>
      <c r="M986" s="9"/>
      <c r="N986" s="87"/>
      <c r="O986" s="87"/>
      <c r="P986" s="87"/>
      <c r="Q986" s="9"/>
      <c r="R986" s="87"/>
      <c r="S986" s="87"/>
      <c r="T986" s="87"/>
      <c r="U986" s="9"/>
      <c r="V986" s="87"/>
      <c r="W986" s="87"/>
      <c r="X986" s="87"/>
      <c r="Y986" s="278"/>
      <c r="Z986" s="156"/>
      <c r="AA986" s="154"/>
      <c r="AB986" s="100"/>
      <c r="AC986" s="243"/>
      <c r="AD986" s="234"/>
      <c r="AE986" s="234"/>
      <c r="AF986" s="234"/>
      <c r="AG986" s="9"/>
      <c r="AH986" s="87"/>
      <c r="AI986" s="87"/>
      <c r="AJ986" s="87"/>
      <c r="AK986" s="279"/>
      <c r="AL986" s="280"/>
      <c r="AM986" s="281"/>
      <c r="AN986" s="238"/>
      <c r="AO986" s="282"/>
      <c r="AP986" s="283"/>
      <c r="AQ986" s="284"/>
      <c r="AR986" s="100"/>
      <c r="AS986" s="278"/>
      <c r="AT986" s="156"/>
      <c r="AU986" s="154"/>
      <c r="AV986" s="100"/>
      <c r="AW986" s="87"/>
      <c r="AX986" s="87"/>
    </row>
    <row r="987">
      <c r="A987" s="9"/>
      <c r="B987" s="87"/>
      <c r="C987" s="87"/>
      <c r="D987" s="87"/>
      <c r="E987" s="9"/>
      <c r="F987" s="87"/>
      <c r="G987" s="87"/>
      <c r="H987" s="87"/>
      <c r="I987" s="9"/>
      <c r="J987" s="87"/>
      <c r="K987" s="87"/>
      <c r="L987" s="87"/>
      <c r="M987" s="9"/>
      <c r="N987" s="87"/>
      <c r="O987" s="87"/>
      <c r="P987" s="87"/>
      <c r="Q987" s="9"/>
      <c r="R987" s="87"/>
      <c r="S987" s="87"/>
      <c r="T987" s="87"/>
      <c r="U987" s="9"/>
      <c r="V987" s="87"/>
      <c r="W987" s="87"/>
      <c r="X987" s="87"/>
      <c r="Y987" s="278"/>
      <c r="Z987" s="156"/>
      <c r="AA987" s="154"/>
      <c r="AB987" s="100"/>
      <c r="AC987" s="243"/>
      <c r="AD987" s="234"/>
      <c r="AE987" s="234"/>
      <c r="AF987" s="234"/>
      <c r="AG987" s="9"/>
      <c r="AH987" s="87"/>
      <c r="AI987" s="87"/>
      <c r="AJ987" s="87"/>
      <c r="AK987" s="279"/>
      <c r="AL987" s="280"/>
      <c r="AM987" s="281"/>
      <c r="AN987" s="238"/>
      <c r="AO987" s="282"/>
      <c r="AP987" s="283"/>
      <c r="AQ987" s="284"/>
      <c r="AR987" s="100"/>
      <c r="AS987" s="278"/>
      <c r="AT987" s="156"/>
      <c r="AU987" s="154"/>
      <c r="AV987" s="100"/>
      <c r="AW987" s="87"/>
      <c r="AX987" s="87"/>
    </row>
    <row r="988">
      <c r="A988" s="9"/>
      <c r="B988" s="87"/>
      <c r="C988" s="87"/>
      <c r="D988" s="87"/>
      <c r="E988" s="9"/>
      <c r="F988" s="87"/>
      <c r="G988" s="87"/>
      <c r="H988" s="87"/>
      <c r="I988" s="9"/>
      <c r="J988" s="87"/>
      <c r="K988" s="87"/>
      <c r="L988" s="87"/>
      <c r="M988" s="9"/>
      <c r="N988" s="87"/>
      <c r="O988" s="87"/>
      <c r="P988" s="87"/>
      <c r="Q988" s="9"/>
      <c r="R988" s="87"/>
      <c r="S988" s="87"/>
      <c r="T988" s="87"/>
      <c r="U988" s="9"/>
      <c r="V988" s="87"/>
      <c r="W988" s="87"/>
      <c r="X988" s="87"/>
      <c r="Y988" s="278"/>
      <c r="Z988" s="156"/>
      <c r="AA988" s="154"/>
      <c r="AB988" s="100"/>
      <c r="AC988" s="243"/>
      <c r="AD988" s="234"/>
      <c r="AE988" s="234"/>
      <c r="AF988" s="234"/>
      <c r="AG988" s="9"/>
      <c r="AH988" s="87"/>
      <c r="AI988" s="87"/>
      <c r="AJ988" s="87"/>
      <c r="AK988" s="279"/>
      <c r="AL988" s="280"/>
      <c r="AM988" s="281"/>
      <c r="AN988" s="238"/>
      <c r="AO988" s="282"/>
      <c r="AP988" s="283"/>
      <c r="AQ988" s="284"/>
      <c r="AR988" s="100"/>
      <c r="AS988" s="278"/>
      <c r="AT988" s="156"/>
      <c r="AU988" s="154"/>
      <c r="AV988" s="100"/>
      <c r="AW988" s="87"/>
      <c r="AX988" s="87"/>
    </row>
    <row r="989">
      <c r="A989" s="9"/>
      <c r="B989" s="87"/>
      <c r="C989" s="87"/>
      <c r="D989" s="87"/>
      <c r="E989" s="9"/>
      <c r="F989" s="87"/>
      <c r="G989" s="87"/>
      <c r="H989" s="87"/>
      <c r="I989" s="9"/>
      <c r="J989" s="87"/>
      <c r="K989" s="87"/>
      <c r="L989" s="87"/>
      <c r="M989" s="9"/>
      <c r="N989" s="87"/>
      <c r="O989" s="87"/>
      <c r="P989" s="87"/>
      <c r="Q989" s="9"/>
      <c r="R989" s="87"/>
      <c r="S989" s="87"/>
      <c r="T989" s="87"/>
      <c r="U989" s="9"/>
      <c r="V989" s="87"/>
      <c r="W989" s="87"/>
      <c r="X989" s="87"/>
      <c r="Y989" s="278"/>
      <c r="Z989" s="156"/>
      <c r="AA989" s="154"/>
      <c r="AB989" s="100"/>
      <c r="AC989" s="243"/>
      <c r="AD989" s="234"/>
      <c r="AE989" s="234"/>
      <c r="AF989" s="234"/>
      <c r="AG989" s="9"/>
      <c r="AH989" s="87"/>
      <c r="AI989" s="87"/>
      <c r="AJ989" s="87"/>
      <c r="AK989" s="279"/>
      <c r="AL989" s="280"/>
      <c r="AM989" s="281"/>
      <c r="AN989" s="238"/>
      <c r="AO989" s="282"/>
      <c r="AP989" s="283"/>
      <c r="AQ989" s="284"/>
      <c r="AR989" s="100"/>
      <c r="AS989" s="278"/>
      <c r="AT989" s="156"/>
      <c r="AU989" s="154"/>
      <c r="AV989" s="100"/>
      <c r="AW989" s="87"/>
      <c r="AX989" s="87"/>
    </row>
    <row r="990">
      <c r="A990" s="9"/>
      <c r="B990" s="87"/>
      <c r="C990" s="87"/>
      <c r="D990" s="87"/>
      <c r="E990" s="9"/>
      <c r="F990" s="87"/>
      <c r="G990" s="87"/>
      <c r="H990" s="87"/>
      <c r="I990" s="9"/>
      <c r="J990" s="87"/>
      <c r="K990" s="87"/>
      <c r="L990" s="87"/>
      <c r="M990" s="9"/>
      <c r="N990" s="87"/>
      <c r="O990" s="87"/>
      <c r="P990" s="87"/>
      <c r="Q990" s="9"/>
      <c r="R990" s="87"/>
      <c r="S990" s="87"/>
      <c r="T990" s="87"/>
      <c r="U990" s="9"/>
      <c r="V990" s="87"/>
      <c r="W990" s="87"/>
      <c r="X990" s="87"/>
      <c r="Y990" s="278"/>
      <c r="Z990" s="156"/>
      <c r="AA990" s="154"/>
      <c r="AB990" s="100"/>
      <c r="AC990" s="243"/>
      <c r="AD990" s="234"/>
      <c r="AE990" s="234"/>
      <c r="AF990" s="234"/>
      <c r="AG990" s="9"/>
      <c r="AH990" s="87"/>
      <c r="AI990" s="87"/>
      <c r="AJ990" s="87"/>
      <c r="AK990" s="279"/>
      <c r="AL990" s="280"/>
      <c r="AM990" s="281"/>
      <c r="AN990" s="238"/>
      <c r="AO990" s="282"/>
      <c r="AP990" s="283"/>
      <c r="AQ990" s="284"/>
      <c r="AR990" s="100"/>
      <c r="AS990" s="278"/>
      <c r="AT990" s="156"/>
      <c r="AU990" s="154"/>
      <c r="AV990" s="100"/>
      <c r="AW990" s="87"/>
      <c r="AX990" s="87"/>
    </row>
    <row r="991">
      <c r="A991" s="9"/>
      <c r="B991" s="87"/>
      <c r="C991" s="87"/>
      <c r="D991" s="87"/>
      <c r="E991" s="9"/>
      <c r="F991" s="87"/>
      <c r="G991" s="87"/>
      <c r="H991" s="87"/>
      <c r="I991" s="9"/>
      <c r="J991" s="87"/>
      <c r="K991" s="87"/>
      <c r="L991" s="87"/>
      <c r="M991" s="9"/>
      <c r="N991" s="87"/>
      <c r="O991" s="87"/>
      <c r="P991" s="87"/>
      <c r="Q991" s="9"/>
      <c r="R991" s="87"/>
      <c r="S991" s="87"/>
      <c r="T991" s="87"/>
      <c r="U991" s="9"/>
      <c r="V991" s="87"/>
      <c r="W991" s="87"/>
      <c r="X991" s="87"/>
      <c r="Y991" s="278"/>
      <c r="Z991" s="156"/>
      <c r="AA991" s="154"/>
      <c r="AB991" s="100"/>
      <c r="AC991" s="243"/>
      <c r="AD991" s="234"/>
      <c r="AE991" s="234"/>
      <c r="AF991" s="234"/>
      <c r="AG991" s="9"/>
      <c r="AH991" s="87"/>
      <c r="AI991" s="87"/>
      <c r="AJ991" s="87"/>
      <c r="AK991" s="279"/>
      <c r="AL991" s="280"/>
      <c r="AM991" s="281"/>
      <c r="AN991" s="238"/>
      <c r="AO991" s="282"/>
      <c r="AP991" s="283"/>
      <c r="AQ991" s="284"/>
      <c r="AR991" s="100"/>
      <c r="AS991" s="278"/>
      <c r="AT991" s="156"/>
      <c r="AU991" s="154"/>
      <c r="AV991" s="100"/>
      <c r="AW991" s="87"/>
      <c r="AX991" s="87"/>
    </row>
    <row r="992">
      <c r="A992" s="9"/>
      <c r="B992" s="87"/>
      <c r="C992" s="87"/>
      <c r="D992" s="87"/>
      <c r="E992" s="9"/>
      <c r="F992" s="87"/>
      <c r="G992" s="87"/>
      <c r="H992" s="87"/>
      <c r="I992" s="9"/>
      <c r="J992" s="87"/>
      <c r="K992" s="87"/>
      <c r="L992" s="87"/>
      <c r="M992" s="9"/>
      <c r="N992" s="87"/>
      <c r="O992" s="87"/>
      <c r="P992" s="87"/>
      <c r="Q992" s="9"/>
      <c r="R992" s="87"/>
      <c r="S992" s="87"/>
      <c r="T992" s="87"/>
      <c r="U992" s="9"/>
      <c r="V992" s="87"/>
      <c r="W992" s="87"/>
      <c r="X992" s="87"/>
      <c r="Y992" s="278"/>
      <c r="Z992" s="156"/>
      <c r="AA992" s="154"/>
      <c r="AB992" s="100"/>
      <c r="AC992" s="243"/>
      <c r="AD992" s="234"/>
      <c r="AE992" s="234"/>
      <c r="AF992" s="234"/>
      <c r="AG992" s="9"/>
      <c r="AH992" s="87"/>
      <c r="AI992" s="87"/>
      <c r="AJ992" s="87"/>
      <c r="AK992" s="279"/>
      <c r="AL992" s="280"/>
      <c r="AM992" s="281"/>
      <c r="AN992" s="238"/>
      <c r="AO992" s="282"/>
      <c r="AP992" s="283"/>
      <c r="AQ992" s="284"/>
      <c r="AR992" s="100"/>
      <c r="AS992" s="278"/>
      <c r="AT992" s="156"/>
      <c r="AU992" s="154"/>
      <c r="AV992" s="100"/>
      <c r="AW992" s="87"/>
      <c r="AX992" s="87"/>
    </row>
    <row r="993">
      <c r="A993" s="9"/>
      <c r="B993" s="87"/>
      <c r="C993" s="87"/>
      <c r="D993" s="87"/>
      <c r="E993" s="9"/>
      <c r="F993" s="87"/>
      <c r="G993" s="87"/>
      <c r="H993" s="87"/>
      <c r="I993" s="9"/>
      <c r="J993" s="87"/>
      <c r="K993" s="87"/>
      <c r="L993" s="87"/>
      <c r="M993" s="9"/>
      <c r="N993" s="87"/>
      <c r="O993" s="87"/>
      <c r="P993" s="87"/>
      <c r="Q993" s="9"/>
      <c r="R993" s="87"/>
      <c r="S993" s="87"/>
      <c r="T993" s="87"/>
      <c r="U993" s="9"/>
      <c r="V993" s="87"/>
      <c r="W993" s="87"/>
      <c r="X993" s="87"/>
      <c r="Y993" s="278"/>
      <c r="Z993" s="156"/>
      <c r="AA993" s="154"/>
      <c r="AB993" s="100"/>
      <c r="AC993" s="243"/>
      <c r="AD993" s="234"/>
      <c r="AE993" s="234"/>
      <c r="AF993" s="234"/>
      <c r="AG993" s="9"/>
      <c r="AH993" s="87"/>
      <c r="AI993" s="87"/>
      <c r="AJ993" s="87"/>
      <c r="AK993" s="279"/>
      <c r="AL993" s="280"/>
      <c r="AM993" s="281"/>
      <c r="AN993" s="238"/>
      <c r="AO993" s="282"/>
      <c r="AP993" s="283"/>
      <c r="AQ993" s="284"/>
      <c r="AR993" s="100"/>
      <c r="AS993" s="278"/>
      <c r="AT993" s="156"/>
      <c r="AU993" s="154"/>
      <c r="AV993" s="100"/>
      <c r="AW993" s="87"/>
      <c r="AX993" s="87"/>
    </row>
    <row r="994">
      <c r="A994" s="9"/>
      <c r="B994" s="87"/>
      <c r="C994" s="87"/>
      <c r="D994" s="87"/>
      <c r="E994" s="9"/>
      <c r="F994" s="87"/>
      <c r="G994" s="87"/>
      <c r="H994" s="87"/>
      <c r="I994" s="9"/>
      <c r="J994" s="87"/>
      <c r="K994" s="87"/>
      <c r="L994" s="87"/>
      <c r="M994" s="9"/>
      <c r="N994" s="87"/>
      <c r="O994" s="87"/>
      <c r="P994" s="87"/>
      <c r="Q994" s="9"/>
      <c r="R994" s="87"/>
      <c r="S994" s="87"/>
      <c r="T994" s="87"/>
      <c r="U994" s="9"/>
      <c r="V994" s="87"/>
      <c r="W994" s="87"/>
      <c r="X994" s="87"/>
      <c r="Y994" s="278"/>
      <c r="Z994" s="156"/>
      <c r="AA994" s="154"/>
      <c r="AB994" s="100"/>
      <c r="AC994" s="243"/>
      <c r="AD994" s="234"/>
      <c r="AE994" s="234"/>
      <c r="AF994" s="234"/>
      <c r="AG994" s="9"/>
      <c r="AH994" s="87"/>
      <c r="AI994" s="87"/>
      <c r="AJ994" s="87"/>
      <c r="AK994" s="279"/>
      <c r="AL994" s="280"/>
      <c r="AM994" s="281"/>
      <c r="AN994" s="238"/>
      <c r="AO994" s="282"/>
      <c r="AP994" s="283"/>
      <c r="AQ994" s="284"/>
      <c r="AR994" s="100"/>
      <c r="AS994" s="278"/>
      <c r="AT994" s="156"/>
      <c r="AU994" s="154"/>
      <c r="AV994" s="100"/>
      <c r="AW994" s="87"/>
      <c r="AX994" s="87"/>
    </row>
    <row r="995">
      <c r="A995" s="9"/>
      <c r="B995" s="87"/>
      <c r="C995" s="87"/>
      <c r="D995" s="87"/>
      <c r="E995" s="9"/>
      <c r="F995" s="87"/>
      <c r="G995" s="87"/>
      <c r="H995" s="87"/>
      <c r="I995" s="9"/>
      <c r="J995" s="87"/>
      <c r="K995" s="87"/>
      <c r="L995" s="87"/>
      <c r="M995" s="9"/>
      <c r="N995" s="87"/>
      <c r="O995" s="87"/>
      <c r="P995" s="87"/>
      <c r="Q995" s="9"/>
      <c r="R995" s="87"/>
      <c r="S995" s="87"/>
      <c r="T995" s="87"/>
      <c r="U995" s="9"/>
      <c r="V995" s="87"/>
      <c r="W995" s="87"/>
      <c r="X995" s="87"/>
      <c r="Y995" s="278"/>
      <c r="Z995" s="156"/>
      <c r="AA995" s="154"/>
      <c r="AB995" s="100"/>
      <c r="AC995" s="243"/>
      <c r="AD995" s="234"/>
      <c r="AE995" s="234"/>
      <c r="AF995" s="234"/>
      <c r="AG995" s="9"/>
      <c r="AH995" s="87"/>
      <c r="AI995" s="87"/>
      <c r="AJ995" s="87"/>
      <c r="AK995" s="279"/>
      <c r="AL995" s="280"/>
      <c r="AM995" s="281"/>
      <c r="AN995" s="238"/>
      <c r="AO995" s="282"/>
      <c r="AP995" s="283"/>
      <c r="AQ995" s="284"/>
      <c r="AR995" s="100"/>
      <c r="AS995" s="278"/>
      <c r="AT995" s="156"/>
      <c r="AU995" s="154"/>
      <c r="AV995" s="100"/>
      <c r="AW995" s="87"/>
      <c r="AX995" s="87"/>
    </row>
    <row r="996">
      <c r="A996" s="9"/>
      <c r="B996" s="87"/>
      <c r="C996" s="87"/>
      <c r="D996" s="87"/>
      <c r="E996" s="9"/>
      <c r="F996" s="87"/>
      <c r="G996" s="87"/>
      <c r="H996" s="87"/>
      <c r="I996" s="9"/>
      <c r="J996" s="87"/>
      <c r="K996" s="87"/>
      <c r="L996" s="87"/>
      <c r="M996" s="9"/>
      <c r="N996" s="87"/>
      <c r="O996" s="87"/>
      <c r="P996" s="87"/>
      <c r="Q996" s="9"/>
      <c r="R996" s="87"/>
      <c r="S996" s="87"/>
      <c r="T996" s="87"/>
      <c r="U996" s="9"/>
      <c r="V996" s="87"/>
      <c r="W996" s="87"/>
      <c r="X996" s="87"/>
      <c r="Y996" s="278"/>
      <c r="Z996" s="156"/>
      <c r="AA996" s="154"/>
      <c r="AB996" s="100"/>
      <c r="AC996" s="243"/>
      <c r="AD996" s="234"/>
      <c r="AE996" s="234"/>
      <c r="AF996" s="234"/>
      <c r="AG996" s="9"/>
      <c r="AH996" s="87"/>
      <c r="AI996" s="87"/>
      <c r="AJ996" s="87"/>
      <c r="AK996" s="279"/>
      <c r="AL996" s="280"/>
      <c r="AM996" s="281"/>
      <c r="AN996" s="238"/>
      <c r="AO996" s="282"/>
      <c r="AP996" s="283"/>
      <c r="AQ996" s="284"/>
      <c r="AR996" s="100"/>
      <c r="AS996" s="278"/>
      <c r="AT996" s="156"/>
      <c r="AU996" s="154"/>
      <c r="AV996" s="100"/>
      <c r="AW996" s="87"/>
      <c r="AX996" s="87"/>
    </row>
    <row r="997">
      <c r="A997" s="9"/>
      <c r="B997" s="87"/>
      <c r="C997" s="87"/>
      <c r="D997" s="87"/>
      <c r="E997" s="9"/>
      <c r="F997" s="87"/>
      <c r="G997" s="87"/>
      <c r="H997" s="87"/>
      <c r="I997" s="9"/>
      <c r="J997" s="87"/>
      <c r="K997" s="87"/>
      <c r="L997" s="87"/>
      <c r="M997" s="9"/>
      <c r="N997" s="87"/>
      <c r="O997" s="87"/>
      <c r="P997" s="87"/>
      <c r="Q997" s="9"/>
      <c r="R997" s="87"/>
      <c r="S997" s="87"/>
      <c r="T997" s="87"/>
      <c r="U997" s="9"/>
      <c r="V997" s="87"/>
      <c r="W997" s="87"/>
      <c r="X997" s="87"/>
      <c r="Y997" s="278"/>
      <c r="Z997" s="156"/>
      <c r="AA997" s="154"/>
      <c r="AB997" s="100"/>
      <c r="AC997" s="243"/>
      <c r="AD997" s="234"/>
      <c r="AE997" s="234"/>
      <c r="AF997" s="234"/>
      <c r="AG997" s="9"/>
      <c r="AH997" s="87"/>
      <c r="AI997" s="87"/>
      <c r="AJ997" s="87"/>
      <c r="AK997" s="279"/>
      <c r="AL997" s="280"/>
      <c r="AM997" s="281"/>
      <c r="AN997" s="238"/>
      <c r="AO997" s="282"/>
      <c r="AP997" s="283"/>
      <c r="AQ997" s="284"/>
      <c r="AR997" s="100"/>
      <c r="AS997" s="278"/>
      <c r="AT997" s="156"/>
      <c r="AU997" s="154"/>
      <c r="AV997" s="100"/>
      <c r="AW997" s="87"/>
      <c r="AX997" s="87"/>
    </row>
    <row r="998">
      <c r="A998" s="9"/>
      <c r="B998" s="87"/>
      <c r="C998" s="87"/>
      <c r="D998" s="87"/>
      <c r="E998" s="9"/>
      <c r="F998" s="87"/>
      <c r="G998" s="87"/>
      <c r="H998" s="87"/>
      <c r="I998" s="9"/>
      <c r="J998" s="87"/>
      <c r="K998" s="87"/>
      <c r="L998" s="87"/>
      <c r="M998" s="9"/>
      <c r="N998" s="87"/>
      <c r="O998" s="87"/>
      <c r="P998" s="87"/>
      <c r="Q998" s="9"/>
      <c r="R998" s="87"/>
      <c r="S998" s="87"/>
      <c r="T998" s="87"/>
      <c r="U998" s="9"/>
      <c r="V998" s="87"/>
      <c r="W998" s="87"/>
      <c r="X998" s="87"/>
      <c r="Y998" s="278"/>
      <c r="Z998" s="156"/>
      <c r="AA998" s="154"/>
      <c r="AB998" s="100"/>
      <c r="AC998" s="243"/>
      <c r="AD998" s="234"/>
      <c r="AE998" s="234"/>
      <c r="AF998" s="234"/>
      <c r="AG998" s="9"/>
      <c r="AH998" s="87"/>
      <c r="AI998" s="87"/>
      <c r="AJ998" s="87"/>
      <c r="AK998" s="279"/>
      <c r="AL998" s="280"/>
      <c r="AM998" s="281"/>
      <c r="AN998" s="238"/>
      <c r="AO998" s="282"/>
      <c r="AP998" s="283"/>
      <c r="AQ998" s="284"/>
      <c r="AR998" s="100"/>
      <c r="AS998" s="278"/>
      <c r="AT998" s="156"/>
      <c r="AU998" s="154"/>
      <c r="AV998" s="100"/>
      <c r="AW998" s="87"/>
      <c r="AX998" s="87"/>
    </row>
    <row r="999">
      <c r="A999" s="9"/>
      <c r="B999" s="87"/>
      <c r="C999" s="87"/>
      <c r="D999" s="87"/>
      <c r="E999" s="9"/>
      <c r="F999" s="87"/>
      <c r="G999" s="87"/>
      <c r="H999" s="87"/>
      <c r="I999" s="9"/>
      <c r="J999" s="87"/>
      <c r="K999" s="87"/>
      <c r="L999" s="87"/>
      <c r="M999" s="9"/>
      <c r="N999" s="87"/>
      <c r="O999" s="87"/>
      <c r="P999" s="87"/>
      <c r="Q999" s="9"/>
      <c r="R999" s="87"/>
      <c r="S999" s="87"/>
      <c r="T999" s="87"/>
      <c r="U999" s="9"/>
      <c r="V999" s="87"/>
      <c r="W999" s="87"/>
      <c r="X999" s="87"/>
      <c r="Y999" s="278"/>
      <c r="Z999" s="156"/>
      <c r="AA999" s="154"/>
      <c r="AB999" s="100"/>
      <c r="AC999" s="243"/>
      <c r="AD999" s="234"/>
      <c r="AE999" s="234"/>
      <c r="AF999" s="234"/>
      <c r="AG999" s="9"/>
      <c r="AH999" s="87"/>
      <c r="AI999" s="87"/>
      <c r="AJ999" s="87"/>
      <c r="AK999" s="279"/>
      <c r="AL999" s="280"/>
      <c r="AM999" s="281"/>
      <c r="AN999" s="238"/>
      <c r="AO999" s="282"/>
      <c r="AP999" s="283"/>
      <c r="AQ999" s="284"/>
      <c r="AR999" s="100"/>
      <c r="AS999" s="278"/>
      <c r="AT999" s="156"/>
      <c r="AU999" s="154"/>
      <c r="AV999" s="100"/>
      <c r="AW999" s="87"/>
      <c r="AX999" s="87"/>
    </row>
    <row r="1000">
      <c r="A1000" s="9"/>
      <c r="B1000" s="87"/>
      <c r="C1000" s="87"/>
      <c r="D1000" s="87"/>
      <c r="E1000" s="9"/>
      <c r="F1000" s="87"/>
      <c r="G1000" s="87"/>
      <c r="H1000" s="87"/>
      <c r="I1000" s="9"/>
      <c r="J1000" s="87"/>
      <c r="K1000" s="87"/>
      <c r="L1000" s="87"/>
      <c r="M1000" s="9"/>
      <c r="N1000" s="87"/>
      <c r="O1000" s="87"/>
      <c r="P1000" s="87"/>
      <c r="Q1000" s="9"/>
      <c r="R1000" s="87"/>
      <c r="S1000" s="87"/>
      <c r="T1000" s="87"/>
      <c r="U1000" s="9"/>
      <c r="V1000" s="87"/>
      <c r="W1000" s="87"/>
      <c r="X1000" s="87"/>
      <c r="Y1000" s="278"/>
      <c r="Z1000" s="156"/>
      <c r="AA1000" s="154"/>
      <c r="AB1000" s="100"/>
      <c r="AC1000" s="243"/>
      <c r="AD1000" s="234"/>
      <c r="AE1000" s="234"/>
      <c r="AF1000" s="234"/>
      <c r="AG1000" s="9"/>
      <c r="AH1000" s="87"/>
      <c r="AI1000" s="87"/>
      <c r="AJ1000" s="87"/>
      <c r="AK1000" s="279"/>
      <c r="AL1000" s="280"/>
      <c r="AM1000" s="281"/>
      <c r="AN1000" s="238"/>
      <c r="AO1000" s="282"/>
      <c r="AP1000" s="283"/>
      <c r="AQ1000" s="284"/>
      <c r="AR1000" s="100"/>
      <c r="AS1000" s="278"/>
      <c r="AT1000" s="156"/>
      <c r="AU1000" s="154"/>
      <c r="AV1000" s="100"/>
      <c r="AW1000" s="87"/>
      <c r="AX1000" s="87"/>
    </row>
    <row r="1001">
      <c r="A1001" s="9"/>
      <c r="B1001" s="87"/>
      <c r="C1001" s="87"/>
      <c r="D1001" s="87"/>
      <c r="E1001" s="9"/>
      <c r="F1001" s="87"/>
      <c r="G1001" s="87"/>
      <c r="H1001" s="87"/>
      <c r="I1001" s="9"/>
      <c r="J1001" s="87"/>
      <c r="K1001" s="87"/>
      <c r="L1001" s="87"/>
      <c r="M1001" s="9"/>
      <c r="N1001" s="87"/>
      <c r="O1001" s="87"/>
      <c r="P1001" s="87"/>
      <c r="Q1001" s="9"/>
      <c r="R1001" s="87"/>
      <c r="S1001" s="87"/>
      <c r="T1001" s="87"/>
      <c r="U1001" s="9"/>
      <c r="V1001" s="87"/>
      <c r="W1001" s="87"/>
      <c r="X1001" s="87"/>
      <c r="Y1001" s="278"/>
      <c r="Z1001" s="156"/>
      <c r="AA1001" s="154"/>
      <c r="AB1001" s="100"/>
      <c r="AC1001" s="243"/>
      <c r="AD1001" s="234"/>
      <c r="AE1001" s="234"/>
      <c r="AF1001" s="234"/>
      <c r="AG1001" s="9"/>
      <c r="AH1001" s="87"/>
      <c r="AI1001" s="87"/>
      <c r="AJ1001" s="87"/>
      <c r="AK1001" s="279"/>
      <c r="AL1001" s="280"/>
      <c r="AM1001" s="281"/>
      <c r="AN1001" s="238"/>
      <c r="AO1001" s="282"/>
      <c r="AP1001" s="283"/>
      <c r="AQ1001" s="284"/>
      <c r="AR1001" s="100"/>
      <c r="AS1001" s="278"/>
      <c r="AT1001" s="156"/>
      <c r="AU1001" s="154"/>
      <c r="AV1001" s="100"/>
      <c r="AW1001" s="87"/>
      <c r="AX1001" s="87"/>
    </row>
    <row r="1002">
      <c r="A1002" s="9"/>
      <c r="B1002" s="87"/>
      <c r="C1002" s="87"/>
      <c r="D1002" s="87"/>
      <c r="E1002" s="9"/>
      <c r="F1002" s="87"/>
      <c r="G1002" s="87"/>
      <c r="H1002" s="87"/>
      <c r="I1002" s="9"/>
      <c r="J1002" s="87"/>
      <c r="K1002" s="87"/>
      <c r="L1002" s="87"/>
      <c r="M1002" s="9"/>
      <c r="N1002" s="87"/>
      <c r="O1002" s="87"/>
      <c r="P1002" s="87"/>
      <c r="Q1002" s="9"/>
      <c r="R1002" s="87"/>
      <c r="S1002" s="87"/>
      <c r="T1002" s="87"/>
      <c r="U1002" s="9"/>
      <c r="V1002" s="87"/>
      <c r="W1002" s="87"/>
      <c r="X1002" s="87"/>
      <c r="Y1002" s="278"/>
      <c r="Z1002" s="156"/>
      <c r="AA1002" s="154"/>
      <c r="AB1002" s="100"/>
      <c r="AC1002" s="243"/>
      <c r="AD1002" s="234"/>
      <c r="AE1002" s="234"/>
      <c r="AF1002" s="234"/>
      <c r="AG1002" s="9"/>
      <c r="AH1002" s="87"/>
      <c r="AI1002" s="87"/>
      <c r="AJ1002" s="87"/>
      <c r="AK1002" s="279"/>
      <c r="AL1002" s="280"/>
      <c r="AM1002" s="281"/>
      <c r="AN1002" s="238"/>
      <c r="AO1002" s="282"/>
      <c r="AP1002" s="283"/>
      <c r="AQ1002" s="284"/>
      <c r="AR1002" s="100"/>
      <c r="AS1002" s="278"/>
      <c r="AT1002" s="156"/>
      <c r="AU1002" s="154"/>
      <c r="AV1002" s="100"/>
      <c r="AW1002" s="87"/>
      <c r="AX1002" s="87"/>
    </row>
    <row r="1003">
      <c r="A1003" s="9"/>
      <c r="B1003" s="87"/>
      <c r="C1003" s="87"/>
      <c r="D1003" s="87"/>
      <c r="E1003" s="9"/>
      <c r="F1003" s="87"/>
      <c r="G1003" s="87"/>
      <c r="H1003" s="87"/>
      <c r="I1003" s="9"/>
      <c r="J1003" s="87"/>
      <c r="K1003" s="87"/>
      <c r="L1003" s="87"/>
      <c r="M1003" s="9"/>
      <c r="N1003" s="87"/>
      <c r="O1003" s="87"/>
      <c r="P1003" s="87"/>
      <c r="Q1003" s="9"/>
      <c r="R1003" s="87"/>
      <c r="S1003" s="87"/>
      <c r="T1003" s="87"/>
      <c r="U1003" s="9"/>
      <c r="V1003" s="87"/>
      <c r="W1003" s="87"/>
      <c r="X1003" s="87"/>
      <c r="Y1003" s="278"/>
      <c r="Z1003" s="156"/>
      <c r="AA1003" s="154"/>
      <c r="AB1003" s="100"/>
      <c r="AC1003" s="243"/>
      <c r="AD1003" s="234"/>
      <c r="AE1003" s="234"/>
      <c r="AF1003" s="234"/>
      <c r="AG1003" s="9"/>
      <c r="AH1003" s="87"/>
      <c r="AI1003" s="87"/>
      <c r="AJ1003" s="87"/>
      <c r="AK1003" s="279"/>
      <c r="AL1003" s="280"/>
      <c r="AM1003" s="281"/>
      <c r="AN1003" s="238"/>
      <c r="AO1003" s="282"/>
      <c r="AP1003" s="283"/>
      <c r="AQ1003" s="284"/>
      <c r="AR1003" s="100"/>
      <c r="AS1003" s="278"/>
      <c r="AT1003" s="156"/>
      <c r="AU1003" s="154"/>
      <c r="AV1003" s="100"/>
      <c r="AW1003" s="87"/>
      <c r="AX1003" s="87"/>
    </row>
    <row r="1004">
      <c r="A1004" s="9"/>
      <c r="B1004" s="87"/>
      <c r="C1004" s="87"/>
      <c r="D1004" s="87"/>
      <c r="E1004" s="9"/>
      <c r="F1004" s="87"/>
      <c r="G1004" s="87"/>
      <c r="H1004" s="87"/>
      <c r="I1004" s="9"/>
      <c r="J1004" s="87"/>
      <c r="K1004" s="87"/>
      <c r="L1004" s="87"/>
      <c r="M1004" s="9"/>
      <c r="N1004" s="87"/>
      <c r="O1004" s="87"/>
      <c r="P1004" s="87"/>
      <c r="Q1004" s="9"/>
      <c r="R1004" s="87"/>
      <c r="S1004" s="87"/>
      <c r="T1004" s="87"/>
      <c r="U1004" s="9"/>
      <c r="V1004" s="87"/>
      <c r="W1004" s="87"/>
      <c r="X1004" s="87"/>
      <c r="Y1004" s="278"/>
      <c r="Z1004" s="156"/>
      <c r="AA1004" s="154"/>
      <c r="AB1004" s="100"/>
      <c r="AC1004" s="243"/>
      <c r="AD1004" s="234"/>
      <c r="AE1004" s="234"/>
      <c r="AF1004" s="234"/>
      <c r="AG1004" s="9"/>
      <c r="AH1004" s="87"/>
      <c r="AI1004" s="87"/>
      <c r="AJ1004" s="87"/>
      <c r="AK1004" s="279"/>
      <c r="AL1004" s="280"/>
      <c r="AM1004" s="281"/>
      <c r="AN1004" s="238"/>
      <c r="AO1004" s="282"/>
      <c r="AP1004" s="283"/>
      <c r="AQ1004" s="284"/>
      <c r="AR1004" s="100"/>
      <c r="AS1004" s="278"/>
      <c r="AT1004" s="156"/>
      <c r="AU1004" s="154"/>
      <c r="AV1004" s="100"/>
      <c r="AW1004" s="87"/>
      <c r="AX1004" s="87"/>
    </row>
    <row r="1005">
      <c r="A1005" s="9"/>
      <c r="B1005" s="87"/>
      <c r="C1005" s="87"/>
      <c r="D1005" s="87"/>
      <c r="E1005" s="9"/>
      <c r="F1005" s="87"/>
      <c r="G1005" s="87"/>
      <c r="H1005" s="87"/>
      <c r="I1005" s="9"/>
      <c r="J1005" s="87"/>
      <c r="K1005" s="87"/>
      <c r="L1005" s="87"/>
      <c r="M1005" s="9"/>
      <c r="N1005" s="87"/>
      <c r="O1005" s="87"/>
      <c r="P1005" s="87"/>
      <c r="Q1005" s="9"/>
      <c r="R1005" s="87"/>
      <c r="S1005" s="87"/>
      <c r="T1005" s="87"/>
      <c r="U1005" s="9"/>
      <c r="V1005" s="87"/>
      <c r="W1005" s="87"/>
      <c r="X1005" s="87"/>
      <c r="Y1005" s="278"/>
      <c r="Z1005" s="156"/>
      <c r="AA1005" s="154"/>
      <c r="AB1005" s="100"/>
      <c r="AC1005" s="243"/>
      <c r="AD1005" s="234"/>
      <c r="AE1005" s="234"/>
      <c r="AF1005" s="234"/>
      <c r="AG1005" s="9"/>
      <c r="AH1005" s="87"/>
      <c r="AI1005" s="87"/>
      <c r="AJ1005" s="87"/>
      <c r="AK1005" s="279"/>
      <c r="AL1005" s="280"/>
      <c r="AM1005" s="281"/>
      <c r="AN1005" s="238"/>
      <c r="AO1005" s="282"/>
      <c r="AP1005" s="283"/>
      <c r="AQ1005" s="284"/>
      <c r="AR1005" s="100"/>
      <c r="AS1005" s="278"/>
      <c r="AT1005" s="156"/>
      <c r="AU1005" s="154"/>
      <c r="AV1005" s="100"/>
      <c r="AW1005" s="87"/>
      <c r="AX1005" s="87"/>
    </row>
    <row r="1006">
      <c r="A1006" s="9"/>
      <c r="B1006" s="87"/>
      <c r="C1006" s="87"/>
      <c r="D1006" s="87"/>
      <c r="E1006" s="9"/>
      <c r="F1006" s="87"/>
      <c r="G1006" s="87"/>
      <c r="H1006" s="87"/>
      <c r="I1006" s="9"/>
      <c r="J1006" s="87"/>
      <c r="K1006" s="87"/>
      <c r="L1006" s="87"/>
      <c r="M1006" s="9"/>
      <c r="N1006" s="87"/>
      <c r="O1006" s="87"/>
      <c r="P1006" s="87"/>
      <c r="Q1006" s="9"/>
      <c r="R1006" s="87"/>
      <c r="S1006" s="87"/>
      <c r="T1006" s="87"/>
      <c r="U1006" s="9"/>
      <c r="V1006" s="87"/>
      <c r="W1006" s="87"/>
      <c r="X1006" s="87"/>
      <c r="Y1006" s="278"/>
      <c r="Z1006" s="156"/>
      <c r="AA1006" s="154"/>
      <c r="AB1006" s="100"/>
      <c r="AC1006" s="243"/>
      <c r="AD1006" s="234"/>
      <c r="AE1006" s="234"/>
      <c r="AF1006" s="234"/>
      <c r="AG1006" s="9"/>
      <c r="AH1006" s="87"/>
      <c r="AI1006" s="87"/>
      <c r="AJ1006" s="87"/>
      <c r="AK1006" s="279"/>
      <c r="AL1006" s="280"/>
      <c r="AM1006" s="281"/>
      <c r="AN1006" s="238"/>
      <c r="AO1006" s="282"/>
      <c r="AP1006" s="283"/>
      <c r="AQ1006" s="284"/>
      <c r="AR1006" s="100"/>
      <c r="AS1006" s="278"/>
      <c r="AT1006" s="156"/>
      <c r="AU1006" s="154"/>
      <c r="AV1006" s="100"/>
      <c r="AW1006" s="87"/>
      <c r="AX1006" s="87"/>
    </row>
    <row r="1007">
      <c r="A1007" s="9"/>
      <c r="B1007" s="87"/>
      <c r="C1007" s="87"/>
      <c r="D1007" s="87"/>
      <c r="E1007" s="9"/>
      <c r="F1007" s="87"/>
      <c r="G1007" s="87"/>
      <c r="H1007" s="87"/>
      <c r="I1007" s="9"/>
      <c r="J1007" s="87"/>
      <c r="K1007" s="87"/>
      <c r="L1007" s="87"/>
      <c r="M1007" s="9"/>
      <c r="N1007" s="87"/>
      <c r="O1007" s="87"/>
      <c r="P1007" s="87"/>
      <c r="Q1007" s="9"/>
      <c r="R1007" s="87"/>
      <c r="S1007" s="87"/>
      <c r="T1007" s="87"/>
      <c r="U1007" s="9"/>
      <c r="V1007" s="87"/>
      <c r="W1007" s="87"/>
      <c r="X1007" s="87"/>
      <c r="Y1007" s="278"/>
      <c r="Z1007" s="156"/>
      <c r="AA1007" s="154"/>
      <c r="AB1007" s="100"/>
      <c r="AC1007" s="243"/>
      <c r="AD1007" s="234"/>
      <c r="AE1007" s="234"/>
      <c r="AF1007" s="234"/>
      <c r="AG1007" s="9"/>
      <c r="AH1007" s="87"/>
      <c r="AI1007" s="87"/>
      <c r="AJ1007" s="87"/>
      <c r="AK1007" s="279"/>
      <c r="AL1007" s="280"/>
      <c r="AM1007" s="281"/>
      <c r="AN1007" s="238"/>
      <c r="AO1007" s="282"/>
      <c r="AP1007" s="283"/>
      <c r="AQ1007" s="284"/>
      <c r="AR1007" s="100"/>
      <c r="AS1007" s="278"/>
      <c r="AT1007" s="156"/>
      <c r="AU1007" s="154"/>
      <c r="AV1007" s="100"/>
      <c r="AW1007" s="87"/>
      <c r="AX1007" s="87"/>
    </row>
    <row r="1008">
      <c r="A1008" s="9"/>
      <c r="B1008" s="87"/>
      <c r="C1008" s="87"/>
      <c r="D1008" s="87"/>
      <c r="E1008" s="9"/>
      <c r="F1008" s="87"/>
      <c r="G1008" s="87"/>
      <c r="H1008" s="87"/>
      <c r="I1008" s="9"/>
      <c r="J1008" s="87"/>
      <c r="K1008" s="87"/>
      <c r="L1008" s="87"/>
      <c r="M1008" s="9"/>
      <c r="N1008" s="87"/>
      <c r="O1008" s="87"/>
      <c r="P1008" s="87"/>
      <c r="Q1008" s="9"/>
      <c r="R1008" s="87"/>
      <c r="S1008" s="87"/>
      <c r="T1008" s="87"/>
      <c r="U1008" s="9"/>
      <c r="V1008" s="87"/>
      <c r="W1008" s="87"/>
      <c r="X1008" s="87"/>
      <c r="Y1008" s="278"/>
      <c r="Z1008" s="156"/>
      <c r="AA1008" s="154"/>
      <c r="AB1008" s="100"/>
      <c r="AC1008" s="243"/>
      <c r="AD1008" s="234"/>
      <c r="AE1008" s="234"/>
      <c r="AF1008" s="234"/>
      <c r="AG1008" s="9"/>
      <c r="AH1008" s="87"/>
      <c r="AI1008" s="87"/>
      <c r="AJ1008" s="87"/>
      <c r="AK1008" s="279"/>
      <c r="AL1008" s="280"/>
      <c r="AM1008" s="281"/>
      <c r="AN1008" s="238"/>
      <c r="AO1008" s="282"/>
      <c r="AP1008" s="283"/>
      <c r="AQ1008" s="284"/>
      <c r="AR1008" s="100"/>
      <c r="AS1008" s="278"/>
      <c r="AT1008" s="156"/>
      <c r="AU1008" s="154"/>
      <c r="AV1008" s="100"/>
      <c r="AW1008" s="87"/>
      <c r="AX1008" s="87"/>
    </row>
    <row r="1009">
      <c r="A1009" s="9"/>
      <c r="B1009" s="87"/>
      <c r="C1009" s="87"/>
      <c r="D1009" s="87"/>
      <c r="E1009" s="9"/>
      <c r="F1009" s="87"/>
      <c r="G1009" s="87"/>
      <c r="H1009" s="87"/>
      <c r="I1009" s="9"/>
      <c r="J1009" s="87"/>
      <c r="K1009" s="87"/>
      <c r="L1009" s="87"/>
      <c r="M1009" s="9"/>
      <c r="N1009" s="87"/>
      <c r="O1009" s="87"/>
      <c r="P1009" s="87"/>
      <c r="Q1009" s="9"/>
      <c r="R1009" s="87"/>
      <c r="S1009" s="87"/>
      <c r="T1009" s="87"/>
      <c r="U1009" s="9"/>
      <c r="V1009" s="87"/>
      <c r="W1009" s="87"/>
      <c r="X1009" s="87"/>
      <c r="Y1009" s="278"/>
      <c r="Z1009" s="156"/>
      <c r="AA1009" s="154"/>
      <c r="AB1009" s="100"/>
      <c r="AC1009" s="243"/>
      <c r="AD1009" s="234"/>
      <c r="AE1009" s="234"/>
      <c r="AF1009" s="234"/>
      <c r="AG1009" s="9"/>
      <c r="AH1009" s="87"/>
      <c r="AI1009" s="87"/>
      <c r="AJ1009" s="87"/>
      <c r="AK1009" s="279"/>
      <c r="AL1009" s="280"/>
      <c r="AM1009" s="281"/>
      <c r="AN1009" s="238"/>
      <c r="AO1009" s="282"/>
      <c r="AP1009" s="283"/>
      <c r="AQ1009" s="284"/>
      <c r="AR1009" s="100"/>
      <c r="AS1009" s="278"/>
      <c r="AT1009" s="156"/>
      <c r="AU1009" s="154"/>
      <c r="AV1009" s="100"/>
      <c r="AW1009" s="87"/>
      <c r="AX1009" s="87"/>
    </row>
    <row r="1010">
      <c r="A1010" s="9"/>
      <c r="B1010" s="87"/>
      <c r="C1010" s="87"/>
      <c r="D1010" s="87"/>
      <c r="E1010" s="9"/>
      <c r="F1010" s="87"/>
      <c r="G1010" s="87"/>
      <c r="H1010" s="87"/>
      <c r="I1010" s="9"/>
      <c r="J1010" s="87"/>
      <c r="K1010" s="87"/>
      <c r="L1010" s="87"/>
      <c r="M1010" s="9"/>
      <c r="N1010" s="87"/>
      <c r="O1010" s="87"/>
      <c r="P1010" s="87"/>
      <c r="Q1010" s="9"/>
      <c r="R1010" s="87"/>
      <c r="S1010" s="87"/>
      <c r="T1010" s="87"/>
      <c r="U1010" s="9"/>
      <c r="V1010" s="87"/>
      <c r="W1010" s="87"/>
      <c r="X1010" s="87"/>
      <c r="Y1010" s="278"/>
      <c r="Z1010" s="156"/>
      <c r="AA1010" s="154"/>
      <c r="AB1010" s="100"/>
      <c r="AC1010" s="243"/>
      <c r="AD1010" s="234"/>
      <c r="AE1010" s="234"/>
      <c r="AF1010" s="234"/>
      <c r="AG1010" s="9"/>
      <c r="AH1010" s="87"/>
      <c r="AI1010" s="87"/>
      <c r="AJ1010" s="87"/>
      <c r="AK1010" s="279"/>
      <c r="AL1010" s="280"/>
      <c r="AM1010" s="281"/>
      <c r="AN1010" s="238"/>
      <c r="AO1010" s="282"/>
      <c r="AP1010" s="283"/>
      <c r="AQ1010" s="284"/>
      <c r="AR1010" s="100"/>
      <c r="AS1010" s="278"/>
      <c r="AT1010" s="156"/>
      <c r="AU1010" s="154"/>
      <c r="AV1010" s="100"/>
      <c r="AW1010" s="87"/>
      <c r="AX1010" s="87"/>
    </row>
    <row r="1011">
      <c r="A1011" s="9"/>
      <c r="B1011" s="87"/>
      <c r="C1011" s="87"/>
      <c r="D1011" s="87"/>
      <c r="E1011" s="9"/>
      <c r="F1011" s="87"/>
      <c r="G1011" s="87"/>
      <c r="H1011" s="87"/>
      <c r="I1011" s="9"/>
      <c r="J1011" s="87"/>
      <c r="K1011" s="87"/>
      <c r="L1011" s="87"/>
      <c r="M1011" s="9"/>
      <c r="N1011" s="87"/>
      <c r="O1011" s="87"/>
      <c r="P1011" s="87"/>
      <c r="Q1011" s="9"/>
      <c r="R1011" s="87"/>
      <c r="S1011" s="87"/>
      <c r="T1011" s="87"/>
      <c r="U1011" s="9"/>
      <c r="V1011" s="87"/>
      <c r="W1011" s="87"/>
      <c r="X1011" s="87"/>
      <c r="Y1011" s="278"/>
      <c r="Z1011" s="156"/>
      <c r="AA1011" s="154"/>
      <c r="AB1011" s="100"/>
      <c r="AC1011" s="243"/>
      <c r="AD1011" s="234"/>
      <c r="AE1011" s="234"/>
      <c r="AF1011" s="234"/>
      <c r="AG1011" s="9"/>
      <c r="AH1011" s="87"/>
      <c r="AI1011" s="87"/>
      <c r="AJ1011" s="87"/>
      <c r="AK1011" s="279"/>
      <c r="AL1011" s="280"/>
      <c r="AM1011" s="281"/>
      <c r="AN1011" s="238"/>
      <c r="AO1011" s="282"/>
      <c r="AP1011" s="283"/>
      <c r="AQ1011" s="284"/>
      <c r="AR1011" s="100"/>
      <c r="AS1011" s="278"/>
      <c r="AT1011" s="156"/>
      <c r="AU1011" s="154"/>
      <c r="AV1011" s="100"/>
      <c r="AW1011" s="87"/>
      <c r="AX1011" s="87"/>
    </row>
    <row r="1012">
      <c r="A1012" s="9"/>
      <c r="B1012" s="87"/>
      <c r="C1012" s="87"/>
      <c r="D1012" s="87"/>
      <c r="E1012" s="9"/>
      <c r="F1012" s="87"/>
      <c r="G1012" s="87"/>
      <c r="H1012" s="87"/>
      <c r="I1012" s="9"/>
      <c r="J1012" s="87"/>
      <c r="K1012" s="87"/>
      <c r="L1012" s="87"/>
      <c r="M1012" s="9"/>
      <c r="N1012" s="87"/>
      <c r="O1012" s="87"/>
      <c r="P1012" s="87"/>
      <c r="Q1012" s="9"/>
      <c r="R1012" s="87"/>
      <c r="S1012" s="87"/>
      <c r="T1012" s="87"/>
      <c r="U1012" s="9"/>
      <c r="V1012" s="87"/>
      <c r="W1012" s="87"/>
      <c r="X1012" s="87"/>
      <c r="Y1012" s="278"/>
      <c r="Z1012" s="156"/>
      <c r="AA1012" s="154"/>
      <c r="AB1012" s="100"/>
      <c r="AC1012" s="243"/>
      <c r="AD1012" s="234"/>
      <c r="AE1012" s="234"/>
      <c r="AF1012" s="234"/>
      <c r="AG1012" s="9"/>
      <c r="AH1012" s="87"/>
      <c r="AI1012" s="87"/>
      <c r="AJ1012" s="87"/>
      <c r="AK1012" s="279"/>
      <c r="AL1012" s="280"/>
      <c r="AM1012" s="281"/>
      <c r="AN1012" s="238"/>
      <c r="AO1012" s="282"/>
      <c r="AP1012" s="283"/>
      <c r="AQ1012" s="284"/>
      <c r="AR1012" s="100"/>
      <c r="AS1012" s="278"/>
      <c r="AT1012" s="156"/>
      <c r="AU1012" s="154"/>
      <c r="AV1012" s="100"/>
      <c r="AW1012" s="87"/>
      <c r="AX1012" s="87"/>
    </row>
    <row r="1013">
      <c r="A1013" s="9"/>
      <c r="B1013" s="87"/>
      <c r="C1013" s="87"/>
      <c r="D1013" s="87"/>
      <c r="E1013" s="9"/>
      <c r="F1013" s="87"/>
      <c r="G1013" s="87"/>
      <c r="H1013" s="87"/>
      <c r="I1013" s="9"/>
      <c r="J1013" s="87"/>
      <c r="K1013" s="87"/>
      <c r="L1013" s="87"/>
      <c r="M1013" s="9"/>
      <c r="N1013" s="87"/>
      <c r="O1013" s="87"/>
      <c r="P1013" s="87"/>
      <c r="Q1013" s="9"/>
      <c r="R1013" s="87"/>
      <c r="S1013" s="87"/>
      <c r="T1013" s="87"/>
      <c r="U1013" s="9"/>
      <c r="V1013" s="87"/>
      <c r="W1013" s="87"/>
      <c r="X1013" s="87"/>
      <c r="Y1013" s="278"/>
      <c r="Z1013" s="156"/>
      <c r="AA1013" s="154"/>
      <c r="AB1013" s="100"/>
      <c r="AC1013" s="243"/>
      <c r="AD1013" s="234"/>
      <c r="AE1013" s="234"/>
      <c r="AF1013" s="234"/>
      <c r="AG1013" s="9"/>
      <c r="AH1013" s="87"/>
      <c r="AI1013" s="87"/>
      <c r="AJ1013" s="87"/>
      <c r="AK1013" s="279"/>
      <c r="AL1013" s="280"/>
      <c r="AM1013" s="281"/>
      <c r="AN1013" s="238"/>
      <c r="AO1013" s="282"/>
      <c r="AP1013" s="283"/>
      <c r="AQ1013" s="284"/>
      <c r="AR1013" s="100"/>
      <c r="AS1013" s="278"/>
      <c r="AT1013" s="156"/>
      <c r="AU1013" s="154"/>
      <c r="AV1013" s="100"/>
      <c r="AW1013" s="87"/>
      <c r="AX1013" s="87"/>
    </row>
    <row r="1014">
      <c r="A1014" s="9"/>
      <c r="B1014" s="87"/>
      <c r="C1014" s="87"/>
      <c r="D1014" s="87"/>
      <c r="E1014" s="9"/>
      <c r="F1014" s="87"/>
      <c r="G1014" s="87"/>
      <c r="H1014" s="87"/>
      <c r="I1014" s="9"/>
      <c r="J1014" s="87"/>
      <c r="K1014" s="87"/>
      <c r="L1014" s="87"/>
      <c r="M1014" s="9"/>
      <c r="N1014" s="87"/>
      <c r="O1014" s="87"/>
      <c r="P1014" s="87"/>
      <c r="Q1014" s="9"/>
      <c r="R1014" s="87"/>
      <c r="S1014" s="87"/>
      <c r="T1014" s="87"/>
      <c r="U1014" s="9"/>
      <c r="V1014" s="87"/>
      <c r="W1014" s="87"/>
      <c r="X1014" s="87"/>
      <c r="Y1014" s="278"/>
      <c r="Z1014" s="156"/>
      <c r="AA1014" s="154"/>
      <c r="AB1014" s="100"/>
      <c r="AC1014" s="243"/>
      <c r="AD1014" s="234"/>
      <c r="AE1014" s="234"/>
      <c r="AF1014" s="234"/>
      <c r="AG1014" s="9"/>
      <c r="AH1014" s="87"/>
      <c r="AI1014" s="87"/>
      <c r="AJ1014" s="87"/>
      <c r="AK1014" s="279"/>
      <c r="AL1014" s="280"/>
      <c r="AM1014" s="281"/>
      <c r="AN1014" s="238"/>
      <c r="AO1014" s="282"/>
      <c r="AP1014" s="283"/>
      <c r="AQ1014" s="284"/>
      <c r="AR1014" s="100"/>
      <c r="AS1014" s="278"/>
      <c r="AT1014" s="156"/>
      <c r="AU1014" s="154"/>
      <c r="AV1014" s="100"/>
      <c r="AW1014" s="87"/>
      <c r="AX1014" s="87"/>
    </row>
    <row r="1015">
      <c r="A1015" s="9"/>
      <c r="B1015" s="87"/>
      <c r="C1015" s="87"/>
      <c r="D1015" s="87"/>
      <c r="E1015" s="9"/>
      <c r="F1015" s="87"/>
      <c r="G1015" s="87"/>
      <c r="H1015" s="87"/>
      <c r="I1015" s="9"/>
      <c r="J1015" s="87"/>
      <c r="K1015" s="87"/>
      <c r="L1015" s="87"/>
      <c r="M1015" s="9"/>
      <c r="N1015" s="87"/>
      <c r="O1015" s="87"/>
      <c r="P1015" s="87"/>
      <c r="Q1015" s="9"/>
      <c r="R1015" s="87"/>
      <c r="S1015" s="87"/>
      <c r="T1015" s="87"/>
      <c r="U1015" s="9"/>
      <c r="V1015" s="87"/>
      <c r="W1015" s="87"/>
      <c r="X1015" s="87"/>
      <c r="Y1015" s="278"/>
      <c r="Z1015" s="156"/>
      <c r="AA1015" s="154"/>
      <c r="AB1015" s="100"/>
      <c r="AC1015" s="243"/>
      <c r="AD1015" s="234"/>
      <c r="AE1015" s="234"/>
      <c r="AF1015" s="234"/>
      <c r="AG1015" s="9"/>
      <c r="AH1015" s="87"/>
      <c r="AI1015" s="87"/>
      <c r="AJ1015" s="87"/>
      <c r="AK1015" s="279"/>
      <c r="AL1015" s="280"/>
      <c r="AM1015" s="281"/>
      <c r="AN1015" s="238"/>
      <c r="AO1015" s="282"/>
      <c r="AP1015" s="283"/>
      <c r="AQ1015" s="284"/>
      <c r="AR1015" s="100"/>
      <c r="AS1015" s="278"/>
      <c r="AT1015" s="156"/>
      <c r="AU1015" s="154"/>
      <c r="AV1015" s="100"/>
      <c r="AW1015" s="87"/>
      <c r="AX1015" s="87"/>
    </row>
    <row r="1016">
      <c r="A1016" s="9"/>
      <c r="B1016" s="87"/>
      <c r="C1016" s="87"/>
      <c r="D1016" s="87"/>
      <c r="E1016" s="9"/>
      <c r="F1016" s="87"/>
      <c r="G1016" s="87"/>
      <c r="H1016" s="87"/>
      <c r="I1016" s="9"/>
      <c r="J1016" s="87"/>
      <c r="K1016" s="87"/>
      <c r="L1016" s="87"/>
      <c r="M1016" s="9"/>
      <c r="N1016" s="87"/>
      <c r="O1016" s="87"/>
      <c r="P1016" s="87"/>
      <c r="Q1016" s="9"/>
      <c r="R1016" s="87"/>
      <c r="S1016" s="87"/>
      <c r="T1016" s="87"/>
      <c r="U1016" s="9"/>
      <c r="V1016" s="87"/>
      <c r="W1016" s="87"/>
      <c r="X1016" s="87"/>
      <c r="Y1016" s="278"/>
      <c r="Z1016" s="156"/>
      <c r="AA1016" s="154"/>
      <c r="AB1016" s="100"/>
      <c r="AC1016" s="243"/>
      <c r="AD1016" s="234"/>
      <c r="AE1016" s="234"/>
      <c r="AF1016" s="234"/>
      <c r="AG1016" s="9"/>
      <c r="AH1016" s="87"/>
      <c r="AI1016" s="87"/>
      <c r="AJ1016" s="87"/>
      <c r="AK1016" s="279"/>
      <c r="AL1016" s="280"/>
      <c r="AM1016" s="281"/>
      <c r="AN1016" s="238"/>
      <c r="AO1016" s="282"/>
      <c r="AP1016" s="283"/>
      <c r="AQ1016" s="284"/>
      <c r="AR1016" s="100"/>
      <c r="AS1016" s="278"/>
      <c r="AT1016" s="156"/>
      <c r="AU1016" s="154"/>
      <c r="AV1016" s="100"/>
      <c r="AW1016" s="87"/>
      <c r="AX1016" s="87"/>
    </row>
    <row r="1017">
      <c r="A1017" s="9"/>
      <c r="B1017" s="87"/>
      <c r="C1017" s="87"/>
      <c r="D1017" s="87"/>
      <c r="E1017" s="9"/>
      <c r="F1017" s="87"/>
      <c r="G1017" s="87"/>
      <c r="H1017" s="87"/>
      <c r="I1017" s="9"/>
      <c r="J1017" s="87"/>
      <c r="K1017" s="87"/>
      <c r="L1017" s="87"/>
      <c r="M1017" s="9"/>
      <c r="N1017" s="87"/>
      <c r="O1017" s="87"/>
      <c r="P1017" s="87"/>
      <c r="Q1017" s="9"/>
      <c r="R1017" s="87"/>
      <c r="S1017" s="87"/>
      <c r="T1017" s="87"/>
      <c r="U1017" s="9"/>
      <c r="V1017" s="87"/>
      <c r="W1017" s="87"/>
      <c r="X1017" s="87"/>
      <c r="Y1017" s="278"/>
      <c r="Z1017" s="156"/>
      <c r="AA1017" s="154"/>
      <c r="AB1017" s="100"/>
      <c r="AC1017" s="243"/>
      <c r="AD1017" s="234"/>
      <c r="AE1017" s="234"/>
      <c r="AF1017" s="234"/>
      <c r="AG1017" s="9"/>
      <c r="AH1017" s="87"/>
      <c r="AI1017" s="87"/>
      <c r="AJ1017" s="87"/>
      <c r="AK1017" s="279"/>
      <c r="AL1017" s="280"/>
      <c r="AM1017" s="281"/>
      <c r="AN1017" s="238"/>
      <c r="AO1017" s="282"/>
      <c r="AP1017" s="283"/>
      <c r="AQ1017" s="284"/>
      <c r="AR1017" s="100"/>
      <c r="AS1017" s="278"/>
      <c r="AT1017" s="156"/>
      <c r="AU1017" s="154"/>
      <c r="AV1017" s="100"/>
      <c r="AW1017" s="87"/>
      <c r="AX1017" s="87"/>
    </row>
    <row r="1018">
      <c r="A1018" s="9"/>
      <c r="B1018" s="87"/>
      <c r="C1018" s="87"/>
      <c r="D1018" s="87"/>
      <c r="E1018" s="9"/>
      <c r="F1018" s="87"/>
      <c r="G1018" s="87"/>
      <c r="H1018" s="87"/>
      <c r="I1018" s="9"/>
      <c r="J1018" s="87"/>
      <c r="K1018" s="87"/>
      <c r="L1018" s="87"/>
      <c r="M1018" s="9"/>
      <c r="N1018" s="87"/>
      <c r="O1018" s="87"/>
      <c r="P1018" s="87"/>
      <c r="Q1018" s="9"/>
      <c r="R1018" s="87"/>
      <c r="S1018" s="87"/>
      <c r="T1018" s="87"/>
      <c r="U1018" s="9"/>
      <c r="V1018" s="87"/>
      <c r="W1018" s="87"/>
      <c r="X1018" s="87"/>
      <c r="Y1018" s="278"/>
      <c r="Z1018" s="156"/>
      <c r="AA1018" s="154"/>
      <c r="AB1018" s="100"/>
      <c r="AC1018" s="243"/>
      <c r="AD1018" s="234"/>
      <c r="AE1018" s="234"/>
      <c r="AF1018" s="234"/>
      <c r="AG1018" s="9"/>
      <c r="AH1018" s="87"/>
      <c r="AI1018" s="87"/>
      <c r="AJ1018" s="87"/>
      <c r="AK1018" s="279"/>
      <c r="AL1018" s="280"/>
      <c r="AM1018" s="281"/>
      <c r="AN1018" s="238"/>
      <c r="AO1018" s="282"/>
      <c r="AP1018" s="283"/>
      <c r="AQ1018" s="284"/>
      <c r="AR1018" s="100"/>
      <c r="AS1018" s="278"/>
      <c r="AT1018" s="156"/>
      <c r="AU1018" s="154"/>
      <c r="AV1018" s="100"/>
      <c r="AW1018" s="87"/>
      <c r="AX1018" s="87"/>
    </row>
    <row r="1019">
      <c r="A1019" s="9"/>
      <c r="B1019" s="87"/>
      <c r="C1019" s="87"/>
      <c r="D1019" s="87"/>
      <c r="E1019" s="9"/>
      <c r="F1019" s="87"/>
      <c r="G1019" s="87"/>
      <c r="H1019" s="87"/>
      <c r="I1019" s="9"/>
      <c r="J1019" s="87"/>
      <c r="K1019" s="87"/>
      <c r="L1019" s="87"/>
      <c r="M1019" s="9"/>
      <c r="N1019" s="87"/>
      <c r="O1019" s="87"/>
      <c r="P1019" s="87"/>
      <c r="Q1019" s="9"/>
      <c r="R1019" s="87"/>
      <c r="S1019" s="87"/>
      <c r="T1019" s="87"/>
      <c r="U1019" s="9"/>
      <c r="V1019" s="87"/>
      <c r="W1019" s="87"/>
      <c r="X1019" s="87"/>
      <c r="Y1019" s="278"/>
      <c r="Z1019" s="156"/>
      <c r="AA1019" s="154"/>
      <c r="AB1019" s="100"/>
      <c r="AC1019" s="243"/>
      <c r="AD1019" s="234"/>
      <c r="AE1019" s="234"/>
      <c r="AF1019" s="234"/>
      <c r="AG1019" s="9"/>
      <c r="AH1019" s="87"/>
      <c r="AI1019" s="87"/>
      <c r="AJ1019" s="87"/>
      <c r="AK1019" s="279"/>
      <c r="AL1019" s="280"/>
      <c r="AM1019" s="281"/>
      <c r="AN1019" s="238"/>
      <c r="AO1019" s="282"/>
      <c r="AP1019" s="283"/>
      <c r="AQ1019" s="284"/>
      <c r="AR1019" s="100"/>
      <c r="AS1019" s="278"/>
      <c r="AT1019" s="156"/>
      <c r="AU1019" s="154"/>
      <c r="AV1019" s="100"/>
      <c r="AW1019" s="87"/>
      <c r="AX1019" s="87"/>
    </row>
    <row r="1020">
      <c r="A1020" s="9"/>
      <c r="B1020" s="87"/>
      <c r="C1020" s="87"/>
      <c r="D1020" s="87"/>
      <c r="E1020" s="9"/>
      <c r="F1020" s="87"/>
      <c r="G1020" s="87"/>
      <c r="H1020" s="87"/>
      <c r="I1020" s="9"/>
      <c r="J1020" s="87"/>
      <c r="K1020" s="87"/>
      <c r="L1020" s="87"/>
      <c r="M1020" s="9"/>
      <c r="N1020" s="87"/>
      <c r="O1020" s="87"/>
      <c r="P1020" s="87"/>
      <c r="Q1020" s="9"/>
      <c r="R1020" s="87"/>
      <c r="S1020" s="87"/>
      <c r="T1020" s="87"/>
      <c r="U1020" s="9"/>
      <c r="V1020" s="87"/>
      <c r="W1020" s="87"/>
      <c r="X1020" s="87"/>
      <c r="Y1020" s="278"/>
      <c r="Z1020" s="156"/>
      <c r="AA1020" s="154"/>
      <c r="AB1020" s="100"/>
      <c r="AC1020" s="243"/>
      <c r="AD1020" s="234"/>
      <c r="AE1020" s="234"/>
      <c r="AF1020" s="234"/>
      <c r="AG1020" s="9"/>
      <c r="AH1020" s="87"/>
      <c r="AI1020" s="87"/>
      <c r="AJ1020" s="87"/>
      <c r="AK1020" s="279"/>
      <c r="AL1020" s="280"/>
      <c r="AM1020" s="281"/>
      <c r="AN1020" s="238"/>
      <c r="AO1020" s="282"/>
      <c r="AP1020" s="283"/>
      <c r="AQ1020" s="284"/>
      <c r="AR1020" s="100"/>
      <c r="AS1020" s="278"/>
      <c r="AT1020" s="156"/>
      <c r="AU1020" s="154"/>
      <c r="AV1020" s="100"/>
      <c r="AW1020" s="87"/>
      <c r="AX1020" s="87"/>
    </row>
    <row r="1021">
      <c r="A1021" s="9"/>
      <c r="B1021" s="87"/>
      <c r="C1021" s="87"/>
      <c r="D1021" s="87"/>
      <c r="E1021" s="9"/>
      <c r="F1021" s="87"/>
      <c r="G1021" s="87"/>
      <c r="H1021" s="87"/>
      <c r="I1021" s="9"/>
      <c r="J1021" s="87"/>
      <c r="K1021" s="87"/>
      <c r="L1021" s="87"/>
      <c r="M1021" s="9"/>
      <c r="N1021" s="87"/>
      <c r="O1021" s="87"/>
      <c r="P1021" s="87"/>
      <c r="Q1021" s="9"/>
      <c r="R1021" s="87"/>
      <c r="S1021" s="87"/>
      <c r="T1021" s="87"/>
      <c r="U1021" s="9"/>
      <c r="V1021" s="87"/>
      <c r="W1021" s="87"/>
      <c r="X1021" s="87"/>
      <c r="Y1021" s="278"/>
      <c r="Z1021" s="156"/>
      <c r="AA1021" s="154"/>
      <c r="AB1021" s="100"/>
      <c r="AC1021" s="243"/>
      <c r="AD1021" s="234"/>
      <c r="AE1021" s="234"/>
      <c r="AF1021" s="234"/>
      <c r="AG1021" s="9"/>
      <c r="AH1021" s="87"/>
      <c r="AI1021" s="87"/>
      <c r="AJ1021" s="87"/>
      <c r="AK1021" s="279"/>
      <c r="AL1021" s="280"/>
      <c r="AM1021" s="281"/>
      <c r="AN1021" s="238"/>
      <c r="AO1021" s="282"/>
      <c r="AP1021" s="283"/>
      <c r="AQ1021" s="284"/>
      <c r="AR1021" s="100"/>
      <c r="AS1021" s="278"/>
      <c r="AT1021" s="156"/>
      <c r="AU1021" s="154"/>
      <c r="AV1021" s="100"/>
      <c r="AW1021" s="87"/>
      <c r="AX1021" s="87"/>
    </row>
    <row r="1022">
      <c r="A1022" s="9"/>
      <c r="B1022" s="87"/>
      <c r="C1022" s="87"/>
      <c r="D1022" s="87"/>
      <c r="E1022" s="9"/>
      <c r="F1022" s="87"/>
      <c r="G1022" s="87"/>
      <c r="H1022" s="87"/>
      <c r="I1022" s="9"/>
      <c r="J1022" s="87"/>
      <c r="K1022" s="87"/>
      <c r="L1022" s="87"/>
      <c r="M1022" s="9"/>
      <c r="N1022" s="87"/>
      <c r="O1022" s="87"/>
      <c r="P1022" s="87"/>
      <c r="Q1022" s="9"/>
      <c r="R1022" s="87"/>
      <c r="S1022" s="87"/>
      <c r="T1022" s="87"/>
      <c r="U1022" s="9"/>
      <c r="V1022" s="87"/>
      <c r="W1022" s="87"/>
      <c r="X1022" s="87"/>
      <c r="Y1022" s="278"/>
      <c r="Z1022" s="156"/>
      <c r="AA1022" s="154"/>
      <c r="AB1022" s="100"/>
      <c r="AC1022" s="243"/>
      <c r="AD1022" s="234"/>
      <c r="AE1022" s="234"/>
      <c r="AF1022" s="234"/>
      <c r="AG1022" s="9"/>
      <c r="AH1022" s="87"/>
      <c r="AI1022" s="87"/>
      <c r="AJ1022" s="87"/>
      <c r="AK1022" s="279"/>
      <c r="AL1022" s="280"/>
      <c r="AM1022" s="281"/>
      <c r="AN1022" s="238"/>
      <c r="AO1022" s="282"/>
      <c r="AP1022" s="283"/>
      <c r="AQ1022" s="284"/>
      <c r="AR1022" s="100"/>
      <c r="AS1022" s="278"/>
      <c r="AT1022" s="156"/>
      <c r="AU1022" s="154"/>
      <c r="AV1022" s="100"/>
      <c r="AW1022" s="87"/>
      <c r="AX1022" s="87"/>
    </row>
    <row r="1023">
      <c r="A1023" s="235"/>
      <c r="B1023" s="156"/>
      <c r="C1023" s="154"/>
      <c r="D1023" s="100"/>
      <c r="E1023" s="235"/>
      <c r="F1023" s="156"/>
      <c r="G1023" s="154"/>
      <c r="H1023" s="100"/>
      <c r="I1023" s="235"/>
      <c r="J1023" s="156"/>
      <c r="K1023" s="154"/>
      <c r="L1023" s="100"/>
      <c r="M1023" s="235"/>
      <c r="N1023" s="156"/>
      <c r="O1023" s="154"/>
      <c r="P1023" s="100"/>
      <c r="Q1023" s="9"/>
      <c r="R1023" s="87"/>
      <c r="S1023" s="87"/>
      <c r="T1023" s="87"/>
      <c r="U1023" s="9"/>
      <c r="V1023" s="87"/>
      <c r="W1023" s="87"/>
      <c r="X1023" s="87"/>
      <c r="Y1023" s="278"/>
      <c r="Z1023" s="156"/>
      <c r="AA1023" s="154"/>
      <c r="AB1023" s="100"/>
      <c r="AC1023" s="285"/>
      <c r="AD1023" s="234"/>
      <c r="AE1023" s="234"/>
      <c r="AF1023" s="234"/>
      <c r="AG1023" s="235"/>
      <c r="AH1023" s="87"/>
      <c r="AI1023" s="286"/>
      <c r="AJ1023" s="286"/>
      <c r="AK1023" s="279"/>
      <c r="AL1023" s="280"/>
      <c r="AM1023" s="281"/>
      <c r="AN1023" s="238"/>
      <c r="AO1023" s="282"/>
      <c r="AP1023" s="283"/>
      <c r="AQ1023" s="284"/>
      <c r="AR1023" s="100"/>
      <c r="AS1023" s="278"/>
      <c r="AT1023" s="156"/>
      <c r="AU1023" s="154"/>
      <c r="AV1023" s="100"/>
      <c r="AW1023" s="100"/>
      <c r="AX1023" s="100"/>
    </row>
    <row r="1024">
      <c r="A1024" s="235"/>
      <c r="B1024" s="156"/>
      <c r="C1024" s="154"/>
      <c r="D1024" s="100"/>
      <c r="E1024" s="235"/>
      <c r="F1024" s="156"/>
      <c r="G1024" s="154"/>
      <c r="H1024" s="100"/>
      <c r="I1024" s="235"/>
      <c r="J1024" s="156"/>
      <c r="K1024" s="154"/>
      <c r="L1024" s="100"/>
      <c r="M1024" s="235"/>
      <c r="N1024" s="156"/>
      <c r="O1024" s="154"/>
      <c r="P1024" s="100"/>
      <c r="Q1024" s="9"/>
      <c r="R1024" s="87"/>
      <c r="S1024" s="87"/>
      <c r="T1024" s="87"/>
      <c r="U1024" s="9"/>
      <c r="V1024" s="87"/>
      <c r="W1024" s="87"/>
      <c r="X1024" s="87"/>
      <c r="Y1024" s="278"/>
      <c r="Z1024" s="156"/>
      <c r="AA1024" s="154"/>
      <c r="AB1024" s="100"/>
      <c r="AC1024" s="285"/>
      <c r="AD1024" s="234"/>
      <c r="AE1024" s="234"/>
      <c r="AF1024" s="234"/>
      <c r="AG1024" s="235"/>
      <c r="AH1024" s="87"/>
      <c r="AI1024" s="286"/>
      <c r="AJ1024" s="286"/>
      <c r="AK1024" s="279"/>
      <c r="AL1024" s="280"/>
      <c r="AM1024" s="281"/>
      <c r="AN1024" s="238"/>
      <c r="AO1024" s="282"/>
      <c r="AP1024" s="283"/>
      <c r="AQ1024" s="284"/>
      <c r="AR1024" s="100"/>
      <c r="AS1024" s="278"/>
      <c r="AT1024" s="156"/>
      <c r="AU1024" s="154"/>
      <c r="AV1024" s="100"/>
      <c r="AW1024" s="100"/>
      <c r="AX1024" s="100"/>
    </row>
    <row r="1025">
      <c r="A1025" s="235"/>
      <c r="B1025" s="156"/>
      <c r="C1025" s="154"/>
      <c r="D1025" s="100"/>
      <c r="E1025" s="235"/>
      <c r="F1025" s="156"/>
      <c r="G1025" s="154"/>
      <c r="H1025" s="100"/>
      <c r="I1025" s="235"/>
      <c r="J1025" s="156"/>
      <c r="K1025" s="154"/>
      <c r="L1025" s="100"/>
      <c r="M1025" s="235"/>
      <c r="N1025" s="156"/>
      <c r="O1025" s="154"/>
      <c r="P1025" s="100"/>
      <c r="Q1025" s="9"/>
      <c r="R1025" s="87"/>
      <c r="S1025" s="87"/>
      <c r="T1025" s="87"/>
      <c r="U1025" s="9"/>
      <c r="V1025" s="87"/>
      <c r="W1025" s="87"/>
      <c r="X1025" s="87"/>
      <c r="Y1025" s="278"/>
      <c r="Z1025" s="156"/>
      <c r="AA1025" s="154"/>
      <c r="AB1025" s="100"/>
      <c r="AC1025" s="285"/>
      <c r="AD1025" s="234"/>
      <c r="AE1025" s="234"/>
      <c r="AF1025" s="234"/>
      <c r="AG1025" s="235"/>
      <c r="AH1025" s="87"/>
      <c r="AI1025" s="286"/>
      <c r="AJ1025" s="286"/>
      <c r="AK1025" s="279"/>
      <c r="AL1025" s="280"/>
      <c r="AM1025" s="281"/>
      <c r="AN1025" s="238"/>
      <c r="AO1025" s="282"/>
      <c r="AP1025" s="283"/>
      <c r="AQ1025" s="284"/>
      <c r="AR1025" s="100"/>
      <c r="AS1025" s="278"/>
      <c r="AT1025" s="156"/>
      <c r="AU1025" s="154"/>
      <c r="AV1025" s="100"/>
      <c r="AW1025" s="100"/>
      <c r="AX1025" s="100"/>
    </row>
    <row r="1026">
      <c r="A1026" s="235"/>
      <c r="B1026" s="156"/>
      <c r="C1026" s="154"/>
      <c r="D1026" s="100"/>
      <c r="E1026" s="235"/>
      <c r="F1026" s="156"/>
      <c r="G1026" s="154"/>
      <c r="H1026" s="100"/>
      <c r="I1026" s="235"/>
      <c r="J1026" s="156"/>
      <c r="K1026" s="154"/>
      <c r="L1026" s="100"/>
      <c r="M1026" s="235"/>
      <c r="N1026" s="156"/>
      <c r="O1026" s="154"/>
      <c r="P1026" s="100"/>
      <c r="Q1026" s="9"/>
      <c r="R1026" s="87"/>
      <c r="S1026" s="87"/>
      <c r="T1026" s="87"/>
      <c r="U1026" s="9"/>
      <c r="V1026" s="87"/>
      <c r="W1026" s="87"/>
      <c r="X1026" s="87"/>
      <c r="Y1026" s="278"/>
      <c r="Z1026" s="156"/>
      <c r="AA1026" s="154"/>
      <c r="AB1026" s="100"/>
      <c r="AC1026" s="285"/>
      <c r="AD1026" s="234"/>
      <c r="AE1026" s="234"/>
      <c r="AF1026" s="234"/>
      <c r="AG1026" s="235"/>
      <c r="AH1026" s="87"/>
      <c r="AI1026" s="286"/>
      <c r="AJ1026" s="286"/>
      <c r="AK1026" s="279"/>
      <c r="AL1026" s="280"/>
      <c r="AM1026" s="281"/>
      <c r="AN1026" s="238"/>
      <c r="AO1026" s="282"/>
      <c r="AP1026" s="283"/>
      <c r="AQ1026" s="284"/>
      <c r="AR1026" s="100"/>
      <c r="AS1026" s="278"/>
      <c r="AT1026" s="156"/>
      <c r="AU1026" s="154"/>
      <c r="AV1026" s="100"/>
      <c r="AW1026" s="100"/>
      <c r="AX1026" s="100"/>
    </row>
    <row r="1027">
      <c r="A1027" s="235"/>
      <c r="B1027" s="156"/>
      <c r="C1027" s="154"/>
      <c r="D1027" s="100"/>
      <c r="E1027" s="235"/>
      <c r="F1027" s="156"/>
      <c r="G1027" s="154"/>
      <c r="H1027" s="100"/>
      <c r="I1027" s="235"/>
      <c r="J1027" s="156"/>
      <c r="K1027" s="154"/>
      <c r="L1027" s="100"/>
      <c r="M1027" s="235"/>
      <c r="N1027" s="156"/>
      <c r="O1027" s="154"/>
      <c r="P1027" s="100"/>
      <c r="Q1027" s="9"/>
      <c r="R1027" s="87"/>
      <c r="S1027" s="87"/>
      <c r="T1027" s="87"/>
      <c r="U1027" s="9"/>
      <c r="V1027" s="87"/>
      <c r="W1027" s="87"/>
      <c r="X1027" s="87"/>
      <c r="Y1027" s="278"/>
      <c r="Z1027" s="156"/>
      <c r="AA1027" s="154"/>
      <c r="AB1027" s="100"/>
      <c r="AC1027" s="285"/>
      <c r="AD1027" s="234"/>
      <c r="AE1027" s="234"/>
      <c r="AF1027" s="234"/>
      <c r="AG1027" s="235"/>
      <c r="AH1027" s="87"/>
      <c r="AI1027" s="286"/>
      <c r="AJ1027" s="286"/>
      <c r="AK1027" s="279"/>
      <c r="AL1027" s="280"/>
      <c r="AM1027" s="281"/>
      <c r="AN1027" s="238"/>
      <c r="AO1027" s="282"/>
      <c r="AP1027" s="283"/>
      <c r="AQ1027" s="284"/>
      <c r="AR1027" s="100"/>
      <c r="AS1027" s="278"/>
      <c r="AT1027" s="156"/>
      <c r="AU1027" s="154"/>
      <c r="AV1027" s="100"/>
      <c r="AW1027" s="100"/>
      <c r="AX1027" s="100"/>
    </row>
    <row r="1028">
      <c r="A1028" s="235"/>
      <c r="B1028" s="156"/>
      <c r="C1028" s="154"/>
      <c r="D1028" s="100"/>
      <c r="E1028" s="235"/>
      <c r="F1028" s="156"/>
      <c r="G1028" s="154"/>
      <c r="H1028" s="100"/>
      <c r="I1028" s="235"/>
      <c r="J1028" s="156"/>
      <c r="K1028" s="154"/>
      <c r="L1028" s="100"/>
      <c r="M1028" s="235"/>
      <c r="N1028" s="156"/>
      <c r="O1028" s="154"/>
      <c r="P1028" s="100"/>
      <c r="Q1028" s="9"/>
      <c r="R1028" s="87"/>
      <c r="S1028" s="87"/>
      <c r="T1028" s="87"/>
      <c r="U1028" s="9"/>
      <c r="V1028" s="87"/>
      <c r="W1028" s="87"/>
      <c r="X1028" s="87"/>
      <c r="Y1028" s="278"/>
      <c r="Z1028" s="156"/>
      <c r="AA1028" s="154"/>
      <c r="AB1028" s="100"/>
      <c r="AC1028" s="285"/>
      <c r="AD1028" s="234"/>
      <c r="AE1028" s="234"/>
      <c r="AF1028" s="234"/>
      <c r="AG1028" s="235"/>
      <c r="AH1028" s="87"/>
      <c r="AI1028" s="286"/>
      <c r="AJ1028" s="286"/>
      <c r="AK1028" s="279"/>
      <c r="AL1028" s="280"/>
      <c r="AM1028" s="281"/>
      <c r="AN1028" s="238"/>
      <c r="AO1028" s="282"/>
      <c r="AP1028" s="283"/>
      <c r="AQ1028" s="284"/>
      <c r="AR1028" s="100"/>
      <c r="AS1028" s="278"/>
      <c r="AT1028" s="156"/>
      <c r="AU1028" s="154"/>
      <c r="AV1028" s="100"/>
      <c r="AW1028" s="100"/>
      <c r="AX1028" s="100"/>
    </row>
    <row r="1029">
      <c r="A1029" s="235"/>
      <c r="B1029" s="156"/>
      <c r="C1029" s="154"/>
      <c r="D1029" s="100"/>
      <c r="E1029" s="235"/>
      <c r="F1029" s="156"/>
      <c r="G1029" s="154"/>
      <c r="H1029" s="100"/>
      <c r="I1029" s="235"/>
      <c r="J1029" s="156"/>
      <c r="K1029" s="154"/>
      <c r="L1029" s="100"/>
      <c r="M1029" s="235"/>
      <c r="N1029" s="156"/>
      <c r="O1029" s="154"/>
      <c r="P1029" s="100"/>
      <c r="Q1029" s="9"/>
      <c r="R1029" s="87"/>
      <c r="S1029" s="87"/>
      <c r="T1029" s="87"/>
      <c r="U1029" s="9"/>
      <c r="V1029" s="87"/>
      <c r="W1029" s="87"/>
      <c r="X1029" s="87"/>
      <c r="Y1029" s="278"/>
      <c r="Z1029" s="156"/>
      <c r="AA1029" s="154"/>
      <c r="AB1029" s="100"/>
      <c r="AC1029" s="285"/>
      <c r="AD1029" s="234"/>
      <c r="AE1029" s="234"/>
      <c r="AF1029" s="234"/>
      <c r="AG1029" s="235"/>
      <c r="AH1029" s="87"/>
      <c r="AI1029" s="286"/>
      <c r="AJ1029" s="286"/>
      <c r="AK1029" s="279"/>
      <c r="AL1029" s="280"/>
      <c r="AM1029" s="281"/>
      <c r="AN1029" s="238"/>
      <c r="AO1029" s="282"/>
      <c r="AP1029" s="283"/>
      <c r="AQ1029" s="284"/>
      <c r="AR1029" s="100"/>
      <c r="AS1029" s="278"/>
      <c r="AT1029" s="156"/>
      <c r="AU1029" s="154"/>
      <c r="AV1029" s="100"/>
      <c r="AW1029" s="100"/>
      <c r="AX1029" s="100"/>
    </row>
    <row r="1030">
      <c r="A1030" s="235"/>
      <c r="B1030" s="156"/>
      <c r="C1030" s="154"/>
      <c r="D1030" s="100"/>
      <c r="E1030" s="235"/>
      <c r="F1030" s="156"/>
      <c r="G1030" s="154"/>
      <c r="H1030" s="100"/>
      <c r="I1030" s="235"/>
      <c r="J1030" s="156"/>
      <c r="K1030" s="154"/>
      <c r="L1030" s="100"/>
      <c r="M1030" s="235"/>
      <c r="N1030" s="156"/>
      <c r="O1030" s="154"/>
      <c r="P1030" s="100"/>
      <c r="Q1030" s="9"/>
      <c r="R1030" s="87"/>
      <c r="S1030" s="87"/>
      <c r="T1030" s="87"/>
      <c r="U1030" s="9"/>
      <c r="V1030" s="87"/>
      <c r="W1030" s="87"/>
      <c r="X1030" s="87"/>
      <c r="Y1030" s="278"/>
      <c r="Z1030" s="156"/>
      <c r="AA1030" s="154"/>
      <c r="AB1030" s="100"/>
      <c r="AC1030" s="285"/>
      <c r="AD1030" s="234"/>
      <c r="AE1030" s="234"/>
      <c r="AF1030" s="234"/>
      <c r="AG1030" s="235"/>
      <c r="AH1030" s="87"/>
      <c r="AI1030" s="286"/>
      <c r="AJ1030" s="286"/>
      <c r="AK1030" s="279"/>
      <c r="AL1030" s="280"/>
      <c r="AM1030" s="281"/>
      <c r="AN1030" s="238"/>
      <c r="AO1030" s="282"/>
      <c r="AP1030" s="283"/>
      <c r="AQ1030" s="284"/>
      <c r="AR1030" s="100"/>
      <c r="AS1030" s="278"/>
      <c r="AT1030" s="156"/>
      <c r="AU1030" s="154"/>
      <c r="AV1030" s="100"/>
      <c r="AW1030" s="100"/>
      <c r="AX1030" s="100"/>
    </row>
    <row r="1031">
      <c r="A1031" s="235"/>
      <c r="B1031" s="156"/>
      <c r="C1031" s="154"/>
      <c r="D1031" s="100"/>
      <c r="E1031" s="235"/>
      <c r="F1031" s="156"/>
      <c r="G1031" s="154"/>
      <c r="H1031" s="100"/>
      <c r="I1031" s="235"/>
      <c r="J1031" s="156"/>
      <c r="K1031" s="154"/>
      <c r="L1031" s="100"/>
      <c r="M1031" s="235"/>
      <c r="N1031" s="156"/>
      <c r="O1031" s="154"/>
      <c r="P1031" s="100"/>
      <c r="Q1031" s="9"/>
      <c r="R1031" s="87"/>
      <c r="S1031" s="87"/>
      <c r="T1031" s="87"/>
      <c r="U1031" s="9"/>
      <c r="V1031" s="87"/>
      <c r="W1031" s="87"/>
      <c r="X1031" s="87"/>
      <c r="Y1031" s="278"/>
      <c r="Z1031" s="156"/>
      <c r="AA1031" s="154"/>
      <c r="AB1031" s="100"/>
      <c r="AC1031" s="285"/>
      <c r="AD1031" s="234"/>
      <c r="AE1031" s="234"/>
      <c r="AF1031" s="234"/>
      <c r="AG1031" s="235"/>
      <c r="AH1031" s="87"/>
      <c r="AI1031" s="286"/>
      <c r="AJ1031" s="286"/>
      <c r="AK1031" s="279"/>
      <c r="AL1031" s="280"/>
      <c r="AM1031" s="281"/>
      <c r="AN1031" s="238"/>
      <c r="AO1031" s="282"/>
      <c r="AP1031" s="283"/>
      <c r="AQ1031" s="284"/>
      <c r="AR1031" s="100"/>
      <c r="AS1031" s="278"/>
      <c r="AT1031" s="156"/>
      <c r="AU1031" s="154"/>
      <c r="AV1031" s="100"/>
      <c r="AW1031" s="100"/>
      <c r="AX1031" s="100"/>
    </row>
    <row r="1032">
      <c r="A1032" s="235"/>
      <c r="B1032" s="156"/>
      <c r="C1032" s="154"/>
      <c r="D1032" s="100"/>
      <c r="E1032" s="235"/>
      <c r="F1032" s="156"/>
      <c r="G1032" s="154"/>
      <c r="H1032" s="100"/>
      <c r="I1032" s="235"/>
      <c r="J1032" s="156"/>
      <c r="K1032" s="154"/>
      <c r="L1032" s="100"/>
      <c r="M1032" s="235"/>
      <c r="N1032" s="156"/>
      <c r="O1032" s="154"/>
      <c r="P1032" s="100"/>
      <c r="Q1032" s="9"/>
      <c r="R1032" s="87"/>
      <c r="S1032" s="87"/>
      <c r="T1032" s="87"/>
      <c r="U1032" s="9"/>
      <c r="V1032" s="87"/>
      <c r="W1032" s="87"/>
      <c r="X1032" s="87"/>
      <c r="Y1032" s="278"/>
      <c r="Z1032" s="156"/>
      <c r="AA1032" s="154"/>
      <c r="AB1032" s="100"/>
      <c r="AC1032" s="285"/>
      <c r="AD1032" s="234"/>
      <c r="AE1032" s="234"/>
      <c r="AF1032" s="234"/>
      <c r="AG1032" s="235"/>
      <c r="AH1032" s="87"/>
      <c r="AI1032" s="286"/>
      <c r="AJ1032" s="286"/>
      <c r="AK1032" s="279"/>
      <c r="AL1032" s="280"/>
      <c r="AM1032" s="281"/>
      <c r="AN1032" s="238"/>
      <c r="AO1032" s="282"/>
      <c r="AP1032" s="283"/>
      <c r="AQ1032" s="284"/>
      <c r="AR1032" s="100"/>
      <c r="AS1032" s="278"/>
      <c r="AT1032" s="156"/>
      <c r="AU1032" s="154"/>
      <c r="AV1032" s="100"/>
      <c r="AW1032" s="100"/>
      <c r="AX1032" s="100"/>
    </row>
    <row r="1033">
      <c r="A1033" s="235"/>
      <c r="B1033" s="156"/>
      <c r="C1033" s="154"/>
      <c r="D1033" s="100"/>
      <c r="E1033" s="235"/>
      <c r="F1033" s="156"/>
      <c r="G1033" s="154"/>
      <c r="H1033" s="100"/>
      <c r="I1033" s="235"/>
      <c r="J1033" s="156"/>
      <c r="K1033" s="154"/>
      <c r="L1033" s="100"/>
      <c r="M1033" s="235"/>
      <c r="N1033" s="156"/>
      <c r="O1033" s="154"/>
      <c r="P1033" s="100"/>
      <c r="Q1033" s="9"/>
      <c r="R1033" s="87"/>
      <c r="S1033" s="87"/>
      <c r="T1033" s="87"/>
      <c r="U1033" s="9"/>
      <c r="V1033" s="87"/>
      <c r="W1033" s="87"/>
      <c r="X1033" s="87"/>
      <c r="Y1033" s="278"/>
      <c r="Z1033" s="156"/>
      <c r="AA1033" s="154"/>
      <c r="AB1033" s="100"/>
      <c r="AC1033" s="285"/>
      <c r="AD1033" s="234"/>
      <c r="AE1033" s="234"/>
      <c r="AF1033" s="234"/>
      <c r="AG1033" s="235"/>
      <c r="AH1033" s="87"/>
      <c r="AI1033" s="286"/>
      <c r="AJ1033" s="286"/>
      <c r="AK1033" s="279"/>
      <c r="AL1033" s="280"/>
      <c r="AM1033" s="281"/>
      <c r="AN1033" s="238"/>
      <c r="AO1033" s="282"/>
      <c r="AP1033" s="283"/>
      <c r="AQ1033" s="284"/>
      <c r="AR1033" s="100"/>
      <c r="AS1033" s="278"/>
      <c r="AT1033" s="156"/>
      <c r="AU1033" s="154"/>
      <c r="AV1033" s="100"/>
      <c r="AW1033" s="100"/>
      <c r="AX1033" s="100"/>
    </row>
    <row r="1034">
      <c r="A1034" s="235"/>
      <c r="B1034" s="156"/>
      <c r="C1034" s="154"/>
      <c r="D1034" s="100"/>
      <c r="E1034" s="235"/>
      <c r="F1034" s="156"/>
      <c r="G1034" s="154"/>
      <c r="H1034" s="100"/>
      <c r="I1034" s="235"/>
      <c r="J1034" s="156"/>
      <c r="K1034" s="154"/>
      <c r="L1034" s="100"/>
      <c r="M1034" s="235"/>
      <c r="N1034" s="156"/>
      <c r="O1034" s="154"/>
      <c r="P1034" s="100"/>
      <c r="Q1034" s="9"/>
      <c r="R1034" s="87"/>
      <c r="S1034" s="87"/>
      <c r="T1034" s="87"/>
      <c r="U1034" s="9"/>
      <c r="V1034" s="87"/>
      <c r="W1034" s="87"/>
      <c r="X1034" s="87"/>
      <c r="Y1034" s="278"/>
      <c r="Z1034" s="156"/>
      <c r="AA1034" s="154"/>
      <c r="AB1034" s="100"/>
      <c r="AC1034" s="285"/>
      <c r="AD1034" s="234"/>
      <c r="AE1034" s="234"/>
      <c r="AF1034" s="234"/>
      <c r="AG1034" s="235"/>
      <c r="AH1034" s="87"/>
      <c r="AI1034" s="286"/>
      <c r="AJ1034" s="286"/>
      <c r="AK1034" s="279"/>
      <c r="AL1034" s="280"/>
      <c r="AM1034" s="281"/>
      <c r="AN1034" s="238"/>
      <c r="AO1034" s="282"/>
      <c r="AP1034" s="283"/>
      <c r="AQ1034" s="284"/>
      <c r="AR1034" s="100"/>
      <c r="AS1034" s="278"/>
      <c r="AT1034" s="156"/>
      <c r="AU1034" s="154"/>
      <c r="AV1034" s="100"/>
      <c r="AW1034" s="100"/>
      <c r="AX1034" s="100"/>
    </row>
    <row r="1035">
      <c r="A1035" s="235"/>
      <c r="B1035" s="156"/>
      <c r="C1035" s="154"/>
      <c r="D1035" s="100"/>
      <c r="E1035" s="235"/>
      <c r="F1035" s="156"/>
      <c r="G1035" s="154"/>
      <c r="H1035" s="100"/>
      <c r="I1035" s="235"/>
      <c r="J1035" s="156"/>
      <c r="K1035" s="154"/>
      <c r="L1035" s="100"/>
      <c r="M1035" s="235"/>
      <c r="N1035" s="156"/>
      <c r="O1035" s="154"/>
      <c r="P1035" s="100"/>
      <c r="Q1035" s="9"/>
      <c r="R1035" s="87"/>
      <c r="S1035" s="87"/>
      <c r="T1035" s="87"/>
      <c r="U1035" s="9"/>
      <c r="V1035" s="87"/>
      <c r="W1035" s="87"/>
      <c r="X1035" s="87"/>
      <c r="Y1035" s="278"/>
      <c r="Z1035" s="156"/>
      <c r="AA1035" s="154"/>
      <c r="AB1035" s="100"/>
      <c r="AC1035" s="285"/>
      <c r="AD1035" s="234"/>
      <c r="AE1035" s="234"/>
      <c r="AF1035" s="234"/>
      <c r="AG1035" s="235"/>
      <c r="AH1035" s="87"/>
      <c r="AI1035" s="286"/>
      <c r="AJ1035" s="286"/>
      <c r="AK1035" s="279"/>
      <c r="AL1035" s="280"/>
      <c r="AM1035" s="281"/>
      <c r="AN1035" s="238"/>
      <c r="AO1035" s="282"/>
      <c r="AP1035" s="283"/>
      <c r="AQ1035" s="284"/>
      <c r="AR1035" s="100"/>
      <c r="AS1035" s="278"/>
      <c r="AT1035" s="156"/>
      <c r="AU1035" s="154"/>
      <c r="AV1035" s="100"/>
      <c r="AW1035" s="100"/>
      <c r="AX1035" s="100"/>
    </row>
    <row r="1036">
      <c r="A1036" s="235"/>
      <c r="B1036" s="156"/>
      <c r="C1036" s="154"/>
      <c r="D1036" s="100"/>
      <c r="E1036" s="235"/>
      <c r="F1036" s="156"/>
      <c r="G1036" s="154"/>
      <c r="H1036" s="100"/>
      <c r="I1036" s="235"/>
      <c r="J1036" s="156"/>
      <c r="K1036" s="154"/>
      <c r="L1036" s="100"/>
      <c r="M1036" s="235"/>
      <c r="N1036" s="156"/>
      <c r="O1036" s="154"/>
      <c r="P1036" s="100"/>
      <c r="Q1036" s="9"/>
      <c r="R1036" s="87"/>
      <c r="S1036" s="87"/>
      <c r="T1036" s="87"/>
      <c r="U1036" s="9"/>
      <c r="V1036" s="87"/>
      <c r="W1036" s="87"/>
      <c r="X1036" s="87"/>
      <c r="Y1036" s="278"/>
      <c r="Z1036" s="156"/>
      <c r="AA1036" s="154"/>
      <c r="AB1036" s="100"/>
      <c r="AC1036" s="285"/>
      <c r="AD1036" s="234"/>
      <c r="AE1036" s="234"/>
      <c r="AF1036" s="234"/>
      <c r="AG1036" s="235"/>
      <c r="AH1036" s="87"/>
      <c r="AI1036" s="286"/>
      <c r="AJ1036" s="286"/>
      <c r="AK1036" s="279"/>
      <c r="AL1036" s="280"/>
      <c r="AM1036" s="281"/>
      <c r="AN1036" s="238"/>
      <c r="AO1036" s="282"/>
      <c r="AP1036" s="283"/>
      <c r="AQ1036" s="284"/>
      <c r="AR1036" s="100"/>
      <c r="AS1036" s="278"/>
      <c r="AT1036" s="156"/>
      <c r="AU1036" s="154"/>
      <c r="AV1036" s="100"/>
      <c r="AW1036" s="100"/>
      <c r="AX1036" s="100"/>
    </row>
    <row r="1037">
      <c r="A1037" s="235"/>
      <c r="B1037" s="156"/>
      <c r="C1037" s="154"/>
      <c r="D1037" s="100"/>
      <c r="E1037" s="235"/>
      <c r="F1037" s="156"/>
      <c r="G1037" s="154"/>
      <c r="H1037" s="100"/>
      <c r="I1037" s="235"/>
      <c r="J1037" s="156"/>
      <c r="K1037" s="154"/>
      <c r="L1037" s="100"/>
      <c r="M1037" s="235"/>
      <c r="N1037" s="156"/>
      <c r="O1037" s="154"/>
      <c r="P1037" s="100"/>
      <c r="Q1037" s="9"/>
      <c r="R1037" s="87"/>
      <c r="S1037" s="87"/>
      <c r="T1037" s="87"/>
      <c r="U1037" s="9"/>
      <c r="V1037" s="87"/>
      <c r="W1037" s="87"/>
      <c r="X1037" s="87"/>
      <c r="Y1037" s="278"/>
      <c r="Z1037" s="156"/>
      <c r="AA1037" s="154"/>
      <c r="AB1037" s="100"/>
      <c r="AC1037" s="285"/>
      <c r="AD1037" s="234"/>
      <c r="AE1037" s="234"/>
      <c r="AF1037" s="234"/>
      <c r="AG1037" s="235"/>
      <c r="AH1037" s="87"/>
      <c r="AI1037" s="286"/>
      <c r="AJ1037" s="286"/>
      <c r="AK1037" s="279"/>
      <c r="AL1037" s="280"/>
      <c r="AM1037" s="281"/>
      <c r="AN1037" s="238"/>
      <c r="AO1037" s="282"/>
      <c r="AP1037" s="283"/>
      <c r="AQ1037" s="284"/>
      <c r="AR1037" s="100"/>
      <c r="AS1037" s="278"/>
      <c r="AT1037" s="156"/>
      <c r="AU1037" s="154"/>
      <c r="AV1037" s="100"/>
      <c r="AW1037" s="100"/>
      <c r="AX1037" s="100"/>
    </row>
    <row r="1038">
      <c r="A1038" s="235"/>
      <c r="B1038" s="156"/>
      <c r="C1038" s="154"/>
      <c r="D1038" s="100"/>
      <c r="E1038" s="235"/>
      <c r="F1038" s="156"/>
      <c r="G1038" s="154"/>
      <c r="H1038" s="100"/>
      <c r="I1038" s="235"/>
      <c r="J1038" s="156"/>
      <c r="K1038" s="154"/>
      <c r="L1038" s="100"/>
      <c r="M1038" s="235"/>
      <c r="N1038" s="156"/>
      <c r="O1038" s="154"/>
      <c r="P1038" s="100"/>
      <c r="Q1038" s="9"/>
      <c r="R1038" s="87"/>
      <c r="S1038" s="87"/>
      <c r="T1038" s="87"/>
      <c r="U1038" s="9"/>
      <c r="V1038" s="87"/>
      <c r="W1038" s="87"/>
      <c r="X1038" s="87"/>
      <c r="Y1038" s="278"/>
      <c r="Z1038" s="156"/>
      <c r="AA1038" s="154"/>
      <c r="AB1038" s="100"/>
      <c r="AC1038" s="285"/>
      <c r="AD1038" s="234"/>
      <c r="AE1038" s="234"/>
      <c r="AF1038" s="234"/>
      <c r="AG1038" s="235"/>
      <c r="AH1038" s="87"/>
      <c r="AI1038" s="286"/>
      <c r="AJ1038" s="286"/>
      <c r="AK1038" s="279"/>
      <c r="AL1038" s="280"/>
      <c r="AM1038" s="281"/>
      <c r="AN1038" s="238"/>
      <c r="AO1038" s="282"/>
      <c r="AP1038" s="283"/>
      <c r="AQ1038" s="284"/>
      <c r="AR1038" s="100"/>
      <c r="AS1038" s="278"/>
      <c r="AT1038" s="156"/>
      <c r="AU1038" s="154"/>
      <c r="AV1038" s="100"/>
      <c r="AW1038" s="100"/>
      <c r="AX1038" s="100"/>
    </row>
    <row r="1039">
      <c r="A1039" s="235"/>
      <c r="B1039" s="156"/>
      <c r="C1039" s="154"/>
      <c r="D1039" s="100"/>
      <c r="E1039" s="235"/>
      <c r="F1039" s="156"/>
      <c r="G1039" s="154"/>
      <c r="H1039" s="100"/>
      <c r="I1039" s="235"/>
      <c r="J1039" s="156"/>
      <c r="K1039" s="154"/>
      <c r="L1039" s="100"/>
      <c r="M1039" s="235"/>
      <c r="N1039" s="156"/>
      <c r="O1039" s="154"/>
      <c r="P1039" s="100"/>
      <c r="Q1039" s="9"/>
      <c r="R1039" s="87"/>
      <c r="S1039" s="87"/>
      <c r="T1039" s="87"/>
      <c r="U1039" s="9"/>
      <c r="V1039" s="87"/>
      <c r="W1039" s="87"/>
      <c r="X1039" s="87"/>
      <c r="Y1039" s="278"/>
      <c r="Z1039" s="156"/>
      <c r="AA1039" s="154"/>
      <c r="AB1039" s="100"/>
      <c r="AC1039" s="285"/>
      <c r="AD1039" s="234"/>
      <c r="AE1039" s="234"/>
      <c r="AF1039" s="234"/>
      <c r="AG1039" s="235"/>
      <c r="AH1039" s="87"/>
      <c r="AI1039" s="286"/>
      <c r="AJ1039" s="286"/>
      <c r="AK1039" s="279"/>
      <c r="AL1039" s="280"/>
      <c r="AM1039" s="281"/>
      <c r="AN1039" s="238"/>
      <c r="AO1039" s="282"/>
      <c r="AP1039" s="283"/>
      <c r="AQ1039" s="284"/>
      <c r="AR1039" s="100"/>
      <c r="AS1039" s="278"/>
      <c r="AT1039" s="156"/>
      <c r="AU1039" s="154"/>
      <c r="AV1039" s="100"/>
      <c r="AW1039" s="100"/>
      <c r="AX1039" s="100"/>
    </row>
    <row r="1040">
      <c r="A1040" s="235"/>
      <c r="B1040" s="156"/>
      <c r="C1040" s="154"/>
      <c r="D1040" s="100"/>
      <c r="E1040" s="235"/>
      <c r="F1040" s="156"/>
      <c r="G1040" s="154"/>
      <c r="H1040" s="100"/>
      <c r="I1040" s="235"/>
      <c r="J1040" s="156"/>
      <c r="K1040" s="154"/>
      <c r="L1040" s="100"/>
      <c r="M1040" s="235"/>
      <c r="N1040" s="156"/>
      <c r="O1040" s="154"/>
      <c r="P1040" s="100"/>
      <c r="Q1040" s="9"/>
      <c r="R1040" s="87"/>
      <c r="S1040" s="87"/>
      <c r="T1040" s="87"/>
      <c r="U1040" s="9"/>
      <c r="V1040" s="87"/>
      <c r="W1040" s="87"/>
      <c r="X1040" s="87"/>
      <c r="Y1040" s="278"/>
      <c r="Z1040" s="156"/>
      <c r="AA1040" s="154"/>
      <c r="AB1040" s="100"/>
      <c r="AC1040" s="285"/>
      <c r="AD1040" s="234"/>
      <c r="AE1040" s="234"/>
      <c r="AF1040" s="234"/>
      <c r="AG1040" s="235"/>
      <c r="AH1040" s="87"/>
      <c r="AI1040" s="286"/>
      <c r="AJ1040" s="286"/>
      <c r="AK1040" s="279"/>
      <c r="AL1040" s="280"/>
      <c r="AM1040" s="281"/>
      <c r="AN1040" s="238"/>
      <c r="AO1040" s="282"/>
      <c r="AP1040" s="283"/>
      <c r="AQ1040" s="284"/>
      <c r="AR1040" s="100"/>
      <c r="AS1040" s="278"/>
      <c r="AT1040" s="156"/>
      <c r="AU1040" s="154"/>
      <c r="AV1040" s="100"/>
      <c r="AW1040" s="100"/>
      <c r="AX1040" s="100"/>
    </row>
    <row r="1041">
      <c r="A1041" s="235"/>
      <c r="B1041" s="156"/>
      <c r="C1041" s="154"/>
      <c r="D1041" s="100"/>
      <c r="E1041" s="235"/>
      <c r="F1041" s="156"/>
      <c r="G1041" s="154"/>
      <c r="H1041" s="100"/>
      <c r="I1041" s="235"/>
      <c r="J1041" s="156"/>
      <c r="K1041" s="154"/>
      <c r="L1041" s="100"/>
      <c r="M1041" s="235"/>
      <c r="N1041" s="156"/>
      <c r="O1041" s="154"/>
      <c r="P1041" s="100"/>
      <c r="Q1041" s="9"/>
      <c r="R1041" s="87"/>
      <c r="S1041" s="87"/>
      <c r="T1041" s="87"/>
      <c r="U1041" s="9"/>
      <c r="V1041" s="87"/>
      <c r="W1041" s="87"/>
      <c r="X1041" s="87"/>
      <c r="Y1041" s="278"/>
      <c r="Z1041" s="156"/>
      <c r="AA1041" s="154"/>
      <c r="AB1041" s="100"/>
      <c r="AC1041" s="285"/>
      <c r="AD1041" s="234"/>
      <c r="AE1041" s="234"/>
      <c r="AF1041" s="234"/>
      <c r="AG1041" s="235"/>
      <c r="AH1041" s="87"/>
      <c r="AI1041" s="286"/>
      <c r="AJ1041" s="286"/>
      <c r="AK1041" s="279"/>
      <c r="AL1041" s="280"/>
      <c r="AM1041" s="281"/>
      <c r="AN1041" s="238"/>
      <c r="AO1041" s="282"/>
      <c r="AP1041" s="283"/>
      <c r="AQ1041" s="284"/>
      <c r="AR1041" s="100"/>
      <c r="AS1041" s="278"/>
      <c r="AT1041" s="156"/>
      <c r="AU1041" s="154"/>
      <c r="AV1041" s="100"/>
      <c r="AW1041" s="100"/>
      <c r="AX1041" s="100"/>
    </row>
    <row r="1042">
      <c r="A1042" s="235"/>
      <c r="B1042" s="156"/>
      <c r="C1042" s="154"/>
      <c r="D1042" s="100"/>
      <c r="E1042" s="235"/>
      <c r="F1042" s="156"/>
      <c r="G1042" s="154"/>
      <c r="H1042" s="100"/>
      <c r="I1042" s="235"/>
      <c r="J1042" s="156"/>
      <c r="K1042" s="154"/>
      <c r="L1042" s="100"/>
      <c r="M1042" s="235"/>
      <c r="N1042" s="156"/>
      <c r="O1042" s="154"/>
      <c r="P1042" s="100"/>
      <c r="Q1042" s="9"/>
      <c r="R1042" s="87"/>
      <c r="S1042" s="87"/>
      <c r="T1042" s="87"/>
      <c r="U1042" s="9"/>
      <c r="V1042" s="87"/>
      <c r="W1042" s="87"/>
      <c r="X1042" s="87"/>
      <c r="Y1042" s="278"/>
      <c r="Z1042" s="156"/>
      <c r="AA1042" s="154"/>
      <c r="AB1042" s="100"/>
      <c r="AC1042" s="285"/>
      <c r="AD1042" s="234"/>
      <c r="AE1042" s="234"/>
      <c r="AF1042" s="234"/>
      <c r="AG1042" s="235"/>
      <c r="AH1042" s="87"/>
      <c r="AI1042" s="286"/>
      <c r="AJ1042" s="286"/>
      <c r="AK1042" s="279"/>
      <c r="AL1042" s="280"/>
      <c r="AM1042" s="281"/>
      <c r="AN1042" s="238"/>
      <c r="AO1042" s="282"/>
      <c r="AP1042" s="283"/>
      <c r="AQ1042" s="284"/>
      <c r="AR1042" s="100"/>
      <c r="AS1042" s="278"/>
      <c r="AT1042" s="156"/>
      <c r="AU1042" s="154"/>
      <c r="AV1042" s="100"/>
      <c r="AW1042" s="100"/>
      <c r="AX1042" s="100"/>
    </row>
    <row r="1043">
      <c r="A1043" s="235"/>
      <c r="B1043" s="156"/>
      <c r="C1043" s="154"/>
      <c r="D1043" s="100"/>
      <c r="E1043" s="235"/>
      <c r="F1043" s="156"/>
      <c r="G1043" s="154"/>
      <c r="H1043" s="100"/>
      <c r="I1043" s="235"/>
      <c r="J1043" s="156"/>
      <c r="K1043" s="154"/>
      <c r="L1043" s="100"/>
      <c r="M1043" s="235"/>
      <c r="N1043" s="156"/>
      <c r="O1043" s="154"/>
      <c r="P1043" s="100"/>
      <c r="Q1043" s="9"/>
      <c r="R1043" s="87"/>
      <c r="S1043" s="87"/>
      <c r="T1043" s="87"/>
      <c r="U1043" s="9"/>
      <c r="V1043" s="87"/>
      <c r="W1043" s="87"/>
      <c r="X1043" s="87"/>
      <c r="Y1043" s="278"/>
      <c r="Z1043" s="156"/>
      <c r="AA1043" s="154"/>
      <c r="AB1043" s="100"/>
      <c r="AC1043" s="285"/>
      <c r="AD1043" s="234"/>
      <c r="AE1043" s="234"/>
      <c r="AF1043" s="234"/>
      <c r="AG1043" s="235"/>
      <c r="AH1043" s="87"/>
      <c r="AI1043" s="286"/>
      <c r="AJ1043" s="286"/>
      <c r="AK1043" s="279"/>
      <c r="AL1043" s="280"/>
      <c r="AM1043" s="281"/>
      <c r="AN1043" s="238"/>
      <c r="AO1043" s="282"/>
      <c r="AP1043" s="283"/>
      <c r="AQ1043" s="284"/>
      <c r="AR1043" s="100"/>
      <c r="AS1043" s="278"/>
      <c r="AT1043" s="156"/>
      <c r="AU1043" s="154"/>
      <c r="AV1043" s="100"/>
      <c r="AW1043" s="100"/>
      <c r="AX1043" s="100"/>
    </row>
    <row r="1044">
      <c r="A1044" s="235"/>
      <c r="B1044" s="156"/>
      <c r="C1044" s="154"/>
      <c r="D1044" s="100"/>
      <c r="E1044" s="235"/>
      <c r="F1044" s="156"/>
      <c r="G1044" s="154"/>
      <c r="H1044" s="100"/>
      <c r="I1044" s="235"/>
      <c r="J1044" s="156"/>
      <c r="K1044" s="154"/>
      <c r="L1044" s="100"/>
      <c r="M1044" s="235"/>
      <c r="N1044" s="156"/>
      <c r="O1044" s="154"/>
      <c r="P1044" s="100"/>
      <c r="Q1044" s="9"/>
      <c r="R1044" s="87"/>
      <c r="S1044" s="87"/>
      <c r="T1044" s="87"/>
      <c r="U1044" s="9"/>
      <c r="V1044" s="87"/>
      <c r="W1044" s="87"/>
      <c r="X1044" s="87"/>
      <c r="Y1044" s="278"/>
      <c r="Z1044" s="156"/>
      <c r="AA1044" s="154"/>
      <c r="AB1044" s="100"/>
      <c r="AC1044" s="285"/>
      <c r="AD1044" s="234"/>
      <c r="AE1044" s="234"/>
      <c r="AF1044" s="234"/>
      <c r="AG1044" s="235"/>
      <c r="AH1044" s="87"/>
      <c r="AI1044" s="286"/>
      <c r="AJ1044" s="286"/>
      <c r="AK1044" s="279"/>
      <c r="AL1044" s="280"/>
      <c r="AM1044" s="281"/>
      <c r="AN1044" s="238"/>
      <c r="AO1044" s="282"/>
      <c r="AP1044" s="283"/>
      <c r="AQ1044" s="284"/>
      <c r="AR1044" s="100"/>
      <c r="AS1044" s="278"/>
      <c r="AT1044" s="156"/>
      <c r="AU1044" s="154"/>
      <c r="AV1044" s="100"/>
      <c r="AW1044" s="100"/>
      <c r="AX1044" s="100"/>
    </row>
    <row r="1045">
      <c r="A1045" s="235"/>
      <c r="B1045" s="156"/>
      <c r="C1045" s="154"/>
      <c r="D1045" s="100"/>
      <c r="E1045" s="235"/>
      <c r="F1045" s="156"/>
      <c r="G1045" s="154"/>
      <c r="H1045" s="100"/>
      <c r="I1045" s="235"/>
      <c r="J1045" s="156"/>
      <c r="K1045" s="154"/>
      <c r="L1045" s="100"/>
      <c r="M1045" s="235"/>
      <c r="N1045" s="156"/>
      <c r="O1045" s="154"/>
      <c r="P1045" s="100"/>
      <c r="Q1045" s="9"/>
      <c r="R1045" s="87"/>
      <c r="S1045" s="87"/>
      <c r="T1045" s="87"/>
      <c r="U1045" s="9"/>
      <c r="V1045" s="87"/>
      <c r="W1045" s="87"/>
      <c r="X1045" s="87"/>
      <c r="Y1045" s="278"/>
      <c r="Z1045" s="156"/>
      <c r="AA1045" s="154"/>
      <c r="AB1045" s="100"/>
      <c r="AC1045" s="285"/>
      <c r="AD1045" s="234"/>
      <c r="AE1045" s="234"/>
      <c r="AF1045" s="234"/>
      <c r="AG1045" s="235"/>
      <c r="AH1045" s="87"/>
      <c r="AI1045" s="286"/>
      <c r="AJ1045" s="286"/>
      <c r="AK1045" s="279"/>
      <c r="AL1045" s="280"/>
      <c r="AM1045" s="281"/>
      <c r="AN1045" s="238"/>
      <c r="AO1045" s="282"/>
      <c r="AP1045" s="283"/>
      <c r="AQ1045" s="284"/>
      <c r="AR1045" s="100"/>
      <c r="AS1045" s="278"/>
      <c r="AT1045" s="156"/>
      <c r="AU1045" s="154"/>
      <c r="AV1045" s="100"/>
      <c r="AW1045" s="100"/>
      <c r="AX1045" s="100"/>
    </row>
    <row r="1046">
      <c r="A1046" s="235"/>
      <c r="B1046" s="156"/>
      <c r="C1046" s="154"/>
      <c r="D1046" s="100"/>
      <c r="E1046" s="235"/>
      <c r="F1046" s="156"/>
      <c r="G1046" s="154"/>
      <c r="H1046" s="100"/>
      <c r="I1046" s="235"/>
      <c r="J1046" s="156"/>
      <c r="K1046" s="154"/>
      <c r="L1046" s="100"/>
      <c r="M1046" s="235"/>
      <c r="N1046" s="156"/>
      <c r="O1046" s="154"/>
      <c r="P1046" s="100"/>
      <c r="Q1046" s="9"/>
      <c r="R1046" s="87"/>
      <c r="S1046" s="87"/>
      <c r="T1046" s="87"/>
      <c r="U1046" s="9"/>
      <c r="V1046" s="87"/>
      <c r="W1046" s="87"/>
      <c r="X1046" s="87"/>
      <c r="Y1046" s="278"/>
      <c r="Z1046" s="156"/>
      <c r="AA1046" s="154"/>
      <c r="AB1046" s="100"/>
      <c r="AC1046" s="285"/>
      <c r="AD1046" s="234"/>
      <c r="AE1046" s="234"/>
      <c r="AF1046" s="234"/>
      <c r="AG1046" s="235"/>
      <c r="AH1046" s="87"/>
      <c r="AI1046" s="286"/>
      <c r="AJ1046" s="286"/>
      <c r="AK1046" s="279"/>
      <c r="AL1046" s="280"/>
      <c r="AM1046" s="281"/>
      <c r="AN1046" s="238"/>
      <c r="AO1046" s="282"/>
      <c r="AP1046" s="283"/>
      <c r="AQ1046" s="284"/>
      <c r="AR1046" s="100"/>
      <c r="AS1046" s="278"/>
      <c r="AT1046" s="156"/>
      <c r="AU1046" s="154"/>
      <c r="AV1046" s="100"/>
      <c r="AW1046" s="100"/>
      <c r="AX1046" s="100"/>
    </row>
    <row r="1047">
      <c r="A1047" s="235"/>
      <c r="B1047" s="156"/>
      <c r="C1047" s="154"/>
      <c r="D1047" s="100"/>
      <c r="E1047" s="235"/>
      <c r="F1047" s="156"/>
      <c r="G1047" s="154"/>
      <c r="H1047" s="100"/>
      <c r="I1047" s="235"/>
      <c r="J1047" s="156"/>
      <c r="K1047" s="154"/>
      <c r="L1047" s="100"/>
      <c r="M1047" s="235"/>
      <c r="N1047" s="156"/>
      <c r="O1047" s="154"/>
      <c r="P1047" s="100"/>
      <c r="Q1047" s="9"/>
      <c r="R1047" s="87"/>
      <c r="S1047" s="87"/>
      <c r="T1047" s="87"/>
      <c r="U1047" s="9"/>
      <c r="V1047" s="87"/>
      <c r="W1047" s="87"/>
      <c r="X1047" s="87"/>
      <c r="Y1047" s="278"/>
      <c r="Z1047" s="156"/>
      <c r="AA1047" s="154"/>
      <c r="AB1047" s="100"/>
      <c r="AC1047" s="285"/>
      <c r="AD1047" s="234"/>
      <c r="AE1047" s="234"/>
      <c r="AF1047" s="234"/>
      <c r="AG1047" s="235"/>
      <c r="AH1047" s="87"/>
      <c r="AI1047" s="286"/>
      <c r="AJ1047" s="286"/>
      <c r="AK1047" s="279"/>
      <c r="AL1047" s="280"/>
      <c r="AM1047" s="281"/>
      <c r="AN1047" s="238"/>
      <c r="AO1047" s="282"/>
      <c r="AP1047" s="283"/>
      <c r="AQ1047" s="284"/>
      <c r="AR1047" s="100"/>
      <c r="AS1047" s="278"/>
      <c r="AT1047" s="156"/>
      <c r="AU1047" s="154"/>
      <c r="AV1047" s="100"/>
      <c r="AW1047" s="100"/>
      <c r="AX1047" s="100"/>
    </row>
    <row r="1048">
      <c r="A1048" s="235"/>
      <c r="B1048" s="156"/>
      <c r="C1048" s="154"/>
      <c r="D1048" s="100"/>
      <c r="E1048" s="235"/>
      <c r="F1048" s="156"/>
      <c r="G1048" s="154"/>
      <c r="H1048" s="100"/>
      <c r="I1048" s="235"/>
      <c r="J1048" s="156"/>
      <c r="K1048" s="154"/>
      <c r="L1048" s="100"/>
      <c r="M1048" s="235"/>
      <c r="N1048" s="156"/>
      <c r="O1048" s="154"/>
      <c r="P1048" s="100"/>
      <c r="Q1048" s="9"/>
      <c r="R1048" s="87"/>
      <c r="S1048" s="87"/>
      <c r="T1048" s="87"/>
      <c r="U1048" s="9"/>
      <c r="V1048" s="87"/>
      <c r="W1048" s="87"/>
      <c r="X1048" s="87"/>
      <c r="Y1048" s="278"/>
      <c r="Z1048" s="156"/>
      <c r="AA1048" s="154"/>
      <c r="AB1048" s="100"/>
      <c r="AC1048" s="285"/>
      <c r="AD1048" s="234"/>
      <c r="AE1048" s="234"/>
      <c r="AF1048" s="234"/>
      <c r="AG1048" s="235"/>
      <c r="AH1048" s="87"/>
      <c r="AI1048" s="286"/>
      <c r="AJ1048" s="286"/>
      <c r="AK1048" s="279"/>
      <c r="AL1048" s="280"/>
      <c r="AM1048" s="281"/>
      <c r="AN1048" s="238"/>
      <c r="AO1048" s="282"/>
      <c r="AP1048" s="283"/>
      <c r="AQ1048" s="284"/>
      <c r="AR1048" s="100"/>
      <c r="AS1048" s="278"/>
      <c r="AT1048" s="156"/>
      <c r="AU1048" s="154"/>
      <c r="AV1048" s="100"/>
      <c r="AW1048" s="100"/>
      <c r="AX1048" s="100"/>
    </row>
    <row r="1049">
      <c r="A1049" s="235"/>
      <c r="B1049" s="156"/>
      <c r="C1049" s="154"/>
      <c r="D1049" s="100"/>
      <c r="E1049" s="235"/>
      <c r="F1049" s="156"/>
      <c r="G1049" s="154"/>
      <c r="H1049" s="100"/>
      <c r="I1049" s="235"/>
      <c r="J1049" s="156"/>
      <c r="K1049" s="154"/>
      <c r="L1049" s="100"/>
      <c r="M1049" s="235"/>
      <c r="N1049" s="156"/>
      <c r="O1049" s="154"/>
      <c r="P1049" s="100"/>
      <c r="Q1049" s="9"/>
      <c r="R1049" s="87"/>
      <c r="S1049" s="87"/>
      <c r="T1049" s="87"/>
      <c r="U1049" s="9"/>
      <c r="V1049" s="87"/>
      <c r="W1049" s="87"/>
      <c r="X1049" s="87"/>
      <c r="Y1049" s="278"/>
      <c r="Z1049" s="156"/>
      <c r="AA1049" s="154"/>
      <c r="AB1049" s="100"/>
      <c r="AC1049" s="285"/>
      <c r="AD1049" s="234"/>
      <c r="AE1049" s="234"/>
      <c r="AF1049" s="234"/>
      <c r="AG1049" s="235"/>
      <c r="AH1049" s="87"/>
      <c r="AI1049" s="286"/>
      <c r="AJ1049" s="286"/>
      <c r="AK1049" s="279"/>
      <c r="AL1049" s="280"/>
      <c r="AM1049" s="281"/>
      <c r="AN1049" s="238"/>
      <c r="AO1049" s="282"/>
      <c r="AP1049" s="283"/>
      <c r="AQ1049" s="284"/>
      <c r="AR1049" s="100"/>
      <c r="AS1049" s="278"/>
      <c r="AT1049" s="156"/>
      <c r="AU1049" s="154"/>
      <c r="AV1049" s="100"/>
      <c r="AW1049" s="100"/>
      <c r="AX1049" s="100"/>
    </row>
  </sheetData>
  <mergeCells count="108">
    <mergeCell ref="AD37:AF37"/>
    <mergeCell ref="AH37:AJ37"/>
    <mergeCell ref="AL37:AN37"/>
    <mergeCell ref="AP37:AR37"/>
    <mergeCell ref="AT37:AV37"/>
    <mergeCell ref="B37:D37"/>
    <mergeCell ref="F37:H37"/>
    <mergeCell ref="J37:L37"/>
    <mergeCell ref="N37:P37"/>
    <mergeCell ref="R37:T37"/>
    <mergeCell ref="V37:X37"/>
    <mergeCell ref="Z37:AB37"/>
    <mergeCell ref="AD52:AF52"/>
    <mergeCell ref="AH52:AJ52"/>
    <mergeCell ref="AL52:AN52"/>
    <mergeCell ref="AP52:AR52"/>
    <mergeCell ref="AT52:AV52"/>
    <mergeCell ref="B52:D52"/>
    <mergeCell ref="F52:H52"/>
    <mergeCell ref="J52:L52"/>
    <mergeCell ref="N52:P52"/>
    <mergeCell ref="R52:T52"/>
    <mergeCell ref="V52:X52"/>
    <mergeCell ref="Z52:AB52"/>
    <mergeCell ref="AD93:AF93"/>
    <mergeCell ref="AH93:AJ93"/>
    <mergeCell ref="AL93:AN93"/>
    <mergeCell ref="AP93:AR93"/>
    <mergeCell ref="AT93:AV93"/>
    <mergeCell ref="B93:D93"/>
    <mergeCell ref="F93:H93"/>
    <mergeCell ref="J93:L93"/>
    <mergeCell ref="N93:P93"/>
    <mergeCell ref="R93:T93"/>
    <mergeCell ref="V93:X93"/>
    <mergeCell ref="Z93:AB93"/>
    <mergeCell ref="AD102:AF102"/>
    <mergeCell ref="AH102:AJ102"/>
    <mergeCell ref="AL102:AN102"/>
    <mergeCell ref="AP102:AR102"/>
    <mergeCell ref="AT102:AV102"/>
    <mergeCell ref="B102:D102"/>
    <mergeCell ref="F102:H102"/>
    <mergeCell ref="J102:L102"/>
    <mergeCell ref="N102:P102"/>
    <mergeCell ref="R102:T102"/>
    <mergeCell ref="V102:X102"/>
    <mergeCell ref="Z102:AB102"/>
    <mergeCell ref="AD112:AF112"/>
    <mergeCell ref="AH112:AJ112"/>
    <mergeCell ref="AL112:AN112"/>
    <mergeCell ref="AP112:AR112"/>
    <mergeCell ref="AT112:AV112"/>
    <mergeCell ref="B112:D112"/>
    <mergeCell ref="F112:H112"/>
    <mergeCell ref="J112:L112"/>
    <mergeCell ref="N112:P112"/>
    <mergeCell ref="R112:T112"/>
    <mergeCell ref="V112:X112"/>
    <mergeCell ref="Z112:AB112"/>
    <mergeCell ref="AD3:AF3"/>
    <mergeCell ref="AH3:AJ3"/>
    <mergeCell ref="AL3:AN3"/>
    <mergeCell ref="AP3:AR3"/>
    <mergeCell ref="AT3:AV3"/>
    <mergeCell ref="B3:D3"/>
    <mergeCell ref="F3:H3"/>
    <mergeCell ref="J3:L3"/>
    <mergeCell ref="N3:P3"/>
    <mergeCell ref="R3:T3"/>
    <mergeCell ref="V3:X3"/>
    <mergeCell ref="Z3:AB3"/>
    <mergeCell ref="N4:N7"/>
    <mergeCell ref="Q4:Q7"/>
    <mergeCell ref="R4:R7"/>
    <mergeCell ref="U4:U7"/>
    <mergeCell ref="V4:V7"/>
    <mergeCell ref="Y4:Y7"/>
    <mergeCell ref="Z4:Z7"/>
    <mergeCell ref="AP4:AP7"/>
    <mergeCell ref="AS4:AS7"/>
    <mergeCell ref="AT4:AT7"/>
    <mergeCell ref="AC4:AC7"/>
    <mergeCell ref="AD4:AD7"/>
    <mergeCell ref="AG4:AG7"/>
    <mergeCell ref="AH4:AH7"/>
    <mergeCell ref="AK4:AK7"/>
    <mergeCell ref="AL4:AL7"/>
    <mergeCell ref="AO4:AO7"/>
    <mergeCell ref="A4:A7"/>
    <mergeCell ref="B4:B7"/>
    <mergeCell ref="E4:E7"/>
    <mergeCell ref="F4:F7"/>
    <mergeCell ref="I4:I7"/>
    <mergeCell ref="J4:J7"/>
    <mergeCell ref="M4:M7"/>
    <mergeCell ref="AD129:AF129"/>
    <mergeCell ref="AH129:AJ129"/>
    <mergeCell ref="AL129:AN129"/>
    <mergeCell ref="AP129:AR129"/>
    <mergeCell ref="AT129:AV129"/>
    <mergeCell ref="B129:D129"/>
    <mergeCell ref="F129:H129"/>
    <mergeCell ref="J129:L129"/>
    <mergeCell ref="N129:P129"/>
    <mergeCell ref="R129:T129"/>
    <mergeCell ref="V129:X129"/>
    <mergeCell ref="Z129:AB129"/>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4.38"/>
    <col customWidth="1" min="12" max="12" width="26.63"/>
    <col customWidth="1" min="13" max="13" width="5.38"/>
    <col customWidth="1" min="14" max="16" width="27.63"/>
    <col customWidth="1" min="17" max="17" width="5.38"/>
    <col customWidth="1" min="18" max="18" width="18.63"/>
    <col customWidth="1" min="19" max="20" width="30.5"/>
    <col customWidth="1" min="21" max="21" width="5.38"/>
    <col customWidth="1" min="22" max="22" width="18.63"/>
    <col customWidth="1" min="23" max="24" width="30.5"/>
    <col customWidth="1" min="25" max="25" width="5.38"/>
    <col customWidth="1" min="26" max="27" width="33.63"/>
    <col customWidth="1" min="28" max="28" width="38.63"/>
    <col customWidth="1" min="29" max="29" width="5.38"/>
    <col customWidth="1" min="30" max="30" width="19.0"/>
    <col customWidth="1" min="31" max="31" width="33.63"/>
    <col customWidth="1" min="32" max="32" width="47.25"/>
    <col customWidth="1" min="33" max="33" width="5.38"/>
    <col customWidth="1" min="34" max="34" width="19.0"/>
    <col customWidth="1" min="35" max="35" width="33.63"/>
    <col customWidth="1" min="36" max="36" width="42.75"/>
    <col customWidth="1" min="37" max="37" width="5.38"/>
    <col customWidth="1" min="38" max="38" width="21.13"/>
    <col customWidth="1" min="39" max="39" width="37.38"/>
    <col customWidth="1" min="40" max="40" width="31.63"/>
    <col customWidth="1" min="41" max="41" width="5.38"/>
    <col customWidth="1" min="42" max="44" width="33.63"/>
    <col customWidth="1" min="45" max="45" width="5.38"/>
    <col customWidth="1" min="46" max="47" width="33.63"/>
    <col customWidth="1" min="48" max="48" width="38.63"/>
  </cols>
  <sheetData>
    <row r="1">
      <c r="A1" s="119" t="s">
        <v>730</v>
      </c>
      <c r="B1" s="107" t="s">
        <v>4123</v>
      </c>
      <c r="C1" s="108" t="s">
        <v>732</v>
      </c>
      <c r="D1" s="109" t="s">
        <v>733</v>
      </c>
      <c r="E1" s="119" t="s">
        <v>730</v>
      </c>
      <c r="F1" s="107" t="s">
        <v>4124</v>
      </c>
      <c r="G1" s="108" t="s">
        <v>4125</v>
      </c>
      <c r="H1" s="109" t="s">
        <v>733</v>
      </c>
      <c r="I1" s="119" t="s">
        <v>730</v>
      </c>
      <c r="J1" s="107" t="s">
        <v>4126</v>
      </c>
      <c r="K1" s="108" t="s">
        <v>737</v>
      </c>
      <c r="L1" s="109" t="s">
        <v>738</v>
      </c>
      <c r="M1" s="119" t="s">
        <v>730</v>
      </c>
      <c r="N1" s="107" t="s">
        <v>4123</v>
      </c>
      <c r="O1" s="108" t="s">
        <v>4127</v>
      </c>
      <c r="P1" s="109" t="s">
        <v>4128</v>
      </c>
      <c r="Q1" s="119" t="s">
        <v>730</v>
      </c>
      <c r="R1" s="111" t="s">
        <v>4129</v>
      </c>
      <c r="S1" s="112" t="str">
        <f>IFERROR(__xludf.DUMMYFUNCTION("GOOGLETRANSLATE(C1,""zh-tw"",""es-MX"")"),"ilustrar")</f>
        <v>ilustrar</v>
      </c>
      <c r="T1" s="113" t="str">
        <f>IFERROR(__xludf.DUMMYFUNCTION("GOOGLETRANSLATE(D1,""zh-tw"",""es-MX"")"),"resultado")</f>
        <v>resultado</v>
      </c>
      <c r="U1" s="119" t="s">
        <v>730</v>
      </c>
      <c r="V1" s="111" t="str">
        <f>IFERROR(__xludf.DUMMYFUNCTION("GOOGLETRANSLATE(B1,""zh-tw"",""KO"")"),"RPG 이벤트")</f>
        <v>RPG 이벤트</v>
      </c>
      <c r="W1" s="112" t="str">
        <f>IFERROR(__xludf.DUMMYFUNCTION("GOOGLETRANSLATE(C1,""zh-tw"",""KO"")"),"설명하다")</f>
        <v>설명하다</v>
      </c>
      <c r="X1" s="113" t="str">
        <f>IFERROR(__xludf.DUMMYFUNCTION("GOOGLETRANSLATE(D1,""zh-tw"",""KO"")"),"결과")</f>
        <v>결과</v>
      </c>
      <c r="Y1" s="103" t="s">
        <v>730</v>
      </c>
      <c r="Z1" s="287" t="s">
        <v>4130</v>
      </c>
      <c r="AA1" s="288" t="s">
        <v>4131</v>
      </c>
      <c r="AB1" s="289" t="s">
        <v>744</v>
      </c>
      <c r="AC1" s="119" t="s">
        <v>730</v>
      </c>
      <c r="AD1" s="107" t="s">
        <v>4132</v>
      </c>
      <c r="AE1" s="108" t="s">
        <v>4133</v>
      </c>
      <c r="AF1" s="289" t="s">
        <v>744</v>
      </c>
      <c r="AG1" s="119" t="s">
        <v>730</v>
      </c>
      <c r="AH1" s="107" t="s">
        <v>4134</v>
      </c>
      <c r="AI1" s="290" t="s">
        <v>4135</v>
      </c>
      <c r="AJ1" s="109" t="s">
        <v>4136</v>
      </c>
      <c r="AK1" s="119" t="s">
        <v>730</v>
      </c>
      <c r="AL1" s="291" t="s">
        <v>4137</v>
      </c>
      <c r="AM1" s="292" t="s">
        <v>4138</v>
      </c>
      <c r="AN1" s="293" t="s">
        <v>753</v>
      </c>
      <c r="AO1" s="119" t="s">
        <v>730</v>
      </c>
      <c r="AP1" s="111" t="s">
        <v>4139</v>
      </c>
      <c r="AQ1" s="112" t="s">
        <v>755</v>
      </c>
      <c r="AR1" s="113" t="s">
        <v>741</v>
      </c>
      <c r="AS1" s="119" t="s">
        <v>730</v>
      </c>
      <c r="AT1" s="107" t="s">
        <v>4140</v>
      </c>
      <c r="AU1" s="108" t="s">
        <v>4141</v>
      </c>
      <c r="AV1" s="109" t="s">
        <v>759</v>
      </c>
    </row>
    <row r="2">
      <c r="A2" s="216" t="s">
        <v>760</v>
      </c>
      <c r="B2" s="216" t="s">
        <v>4142</v>
      </c>
      <c r="E2" s="216" t="s">
        <v>760</v>
      </c>
      <c r="F2" s="294"/>
      <c r="I2" s="216" t="s">
        <v>760</v>
      </c>
      <c r="J2" s="295" t="s">
        <v>4143</v>
      </c>
      <c r="M2" s="216" t="s">
        <v>760</v>
      </c>
      <c r="N2" s="216" t="s">
        <v>4144</v>
      </c>
      <c r="Q2" s="216" t="s">
        <v>760</v>
      </c>
      <c r="R2" s="296"/>
      <c r="U2" s="216" t="s">
        <v>760</v>
      </c>
      <c r="V2" s="296"/>
      <c r="Y2" s="130" t="s">
        <v>760</v>
      </c>
      <c r="Z2" s="297" t="s">
        <v>4145</v>
      </c>
      <c r="AC2" s="216" t="s">
        <v>760</v>
      </c>
      <c r="AD2" s="298" t="s">
        <v>4146</v>
      </c>
      <c r="AG2" s="216" t="s">
        <v>760</v>
      </c>
      <c r="AH2" s="294"/>
      <c r="AK2" s="216" t="s">
        <v>760</v>
      </c>
      <c r="AL2" s="294"/>
      <c r="AO2" s="216" t="s">
        <v>760</v>
      </c>
      <c r="AP2" s="299" t="s">
        <v>4147</v>
      </c>
      <c r="AS2" s="216" t="s">
        <v>760</v>
      </c>
      <c r="AT2" s="294"/>
    </row>
    <row r="3">
      <c r="A3" s="300" t="s">
        <v>4148</v>
      </c>
      <c r="B3" s="140" t="s">
        <v>4149</v>
      </c>
      <c r="C3" s="139" t="s">
        <v>4150</v>
      </c>
      <c r="D3" s="97" t="s">
        <v>4151</v>
      </c>
      <c r="E3" s="300" t="s">
        <v>4148</v>
      </c>
      <c r="F3" s="140" t="s">
        <v>4152</v>
      </c>
      <c r="G3" s="139" t="s">
        <v>4153</v>
      </c>
      <c r="H3" s="97" t="s">
        <v>4154</v>
      </c>
      <c r="I3" s="300" t="s">
        <v>4148</v>
      </c>
      <c r="J3" s="140" t="s">
        <v>4155</v>
      </c>
      <c r="K3" s="139" t="s">
        <v>4156</v>
      </c>
      <c r="L3" s="97" t="s">
        <v>4157</v>
      </c>
      <c r="M3" s="300" t="s">
        <v>4148</v>
      </c>
      <c r="N3" s="140" t="s">
        <v>4149</v>
      </c>
      <c r="O3" s="139" t="s">
        <v>4158</v>
      </c>
      <c r="P3" s="97" t="s">
        <v>4159</v>
      </c>
      <c r="Q3" s="300" t="s">
        <v>4148</v>
      </c>
      <c r="R3" s="156" t="s">
        <v>4160</v>
      </c>
      <c r="S3" s="154" t="str">
        <f>IFERROR(__xludf.DUMMYFUNCTION("GOOGLETRANSLATE(C3,""zh-tw"",""es-MX"")"),"En la calle del aventurero, bajar desde el punto de partida es la forma de volver temprano a casa.")</f>
        <v>En la calle del aventurero, bajar desde el punto de partida es la forma de volver temprano a casa.</v>
      </c>
      <c r="T3" s="100" t="str">
        <f>IFERROR(__xludf.DUMMYFUNCTION("GOOGLETRANSLATE(D3,""zh-tw"",""es-MX"")"),"La primera vez activará un evento especial.
Los eventos posteriores también pueden activar:
* Jugué con mi hermana todo el día.
* Pasé un rato relajante con mi hermana.
* Tomé una siesta con mi hermana.
* Mi hermana me dio un masaje.")</f>
        <v>La primera vez activará un evento especial.
Los eventos posteriores también pueden activar:
* Jugué con mi hermana todo el día.
* Pasé un rato relajante con mi hermana.
* Tomé una siesta con mi hermana.
* Mi hermana me dio un masaje.</v>
      </c>
      <c r="U3" s="300" t="s">
        <v>4148</v>
      </c>
      <c r="V3" s="140" t="s">
        <v>4161</v>
      </c>
      <c r="W3" s="154" t="str">
        <f>IFERROR(__xludf.DUMMYFUNCTION("GOOGLETRANSLATE(C3,""zh-tw"",""KO"")"),"모험가의 거리에서 출발점에서 내려가는 길은 일찍 집으로 돌아가는 길입니다.")</f>
        <v>모험가의 거리에서 출발점에서 내려가는 길은 일찍 집으로 돌아가는 길입니다.</v>
      </c>
      <c r="X3" s="97" t="s">
        <v>4162</v>
      </c>
      <c r="Y3" s="301" t="s">
        <v>4148</v>
      </c>
      <c r="Z3" s="145" t="s">
        <v>4163</v>
      </c>
      <c r="AA3" s="146" t="s">
        <v>4164</v>
      </c>
      <c r="AB3" s="147" t="s">
        <v>4165</v>
      </c>
      <c r="AC3" s="300" t="s">
        <v>4148</v>
      </c>
      <c r="AD3" s="240" t="s">
        <v>4166</v>
      </c>
      <c r="AE3" s="224" t="s">
        <v>4167</v>
      </c>
      <c r="AF3" s="85" t="s">
        <v>4168</v>
      </c>
      <c r="AG3" s="300" t="s">
        <v>4148</v>
      </c>
      <c r="AH3" s="140" t="s">
        <v>4169</v>
      </c>
      <c r="AI3" s="274" t="s">
        <v>4170</v>
      </c>
      <c r="AJ3" s="86" t="s">
        <v>4171</v>
      </c>
      <c r="AK3" s="300" t="s">
        <v>4148</v>
      </c>
      <c r="AL3" s="302" t="s">
        <v>4172</v>
      </c>
      <c r="AM3" s="169" t="s">
        <v>4173</v>
      </c>
      <c r="AN3" s="172" t="s">
        <v>4174</v>
      </c>
      <c r="AO3" s="300" t="s">
        <v>4148</v>
      </c>
      <c r="AP3" s="156" t="s">
        <v>4175</v>
      </c>
      <c r="AQ3" s="154" t="s">
        <v>4176</v>
      </c>
      <c r="AR3" s="97" t="s">
        <v>4177</v>
      </c>
      <c r="AS3" s="300" t="s">
        <v>4148</v>
      </c>
      <c r="AT3" s="140" t="s">
        <v>4178</v>
      </c>
      <c r="AU3" s="139" t="s">
        <v>4179</v>
      </c>
      <c r="AV3" s="97" t="s">
        <v>4180</v>
      </c>
    </row>
    <row r="4" ht="122.25" customHeight="1">
      <c r="A4" s="300" t="s">
        <v>4181</v>
      </c>
      <c r="B4" s="136" t="s">
        <v>4182</v>
      </c>
      <c r="C4" s="139" t="s">
        <v>4183</v>
      </c>
      <c r="D4" s="138" t="s">
        <v>4184</v>
      </c>
      <c r="E4" s="300" t="s">
        <v>4181</v>
      </c>
      <c r="F4" s="140" t="s">
        <v>4185</v>
      </c>
      <c r="G4" s="139" t="s">
        <v>4186</v>
      </c>
      <c r="H4" s="97" t="s">
        <v>4187</v>
      </c>
      <c r="I4" s="300" t="s">
        <v>4181</v>
      </c>
      <c r="J4" s="140" t="s">
        <v>4188</v>
      </c>
      <c r="K4" s="139" t="s">
        <v>4189</v>
      </c>
      <c r="L4" s="97" t="s">
        <v>4190</v>
      </c>
      <c r="M4" s="300" t="s">
        <v>4181</v>
      </c>
      <c r="N4" s="140" t="s">
        <v>4182</v>
      </c>
      <c r="O4" s="139" t="s">
        <v>4191</v>
      </c>
      <c r="P4" s="97" t="s">
        <v>4192</v>
      </c>
      <c r="Q4" s="300" t="s">
        <v>4181</v>
      </c>
      <c r="R4" s="156" t="s">
        <v>4193</v>
      </c>
      <c r="S4" s="154" t="str">
        <f>IFERROR(__xludf.DUMMYFUNCTION("GOOGLETRANSLATE(C4,""zh-tw"",""es-MX"")"),"Sendero del Aventurero: Punto de Reunión
Desecha tu equipo en los contenedores de basura; al romperlos, obtendrás objetos.
Esto solo aplica el día en que desechas el equipo; no cuenta el día siguiente.")</f>
        <v>Sendero del Aventurero: Punto de Reunión
Desecha tu equipo en los contenedores de basura; al romperlos, obtendrás objetos.
Esto solo aplica el día en que desechas el equipo; no cuenta el día siguiente.</v>
      </c>
      <c r="T4" s="100" t="str">
        <f>IFERROR(__xludf.DUMMYFUNCTION("GOOGLETRANSLATE(D4,""zh-tw"",""es-MX"")"),"Objeto obtenido: Gel mágico
Se usa para ampliar los espacios de la mochila.")</f>
        <v>Objeto obtenido: Gel mágico
Se usa para ampliar los espacios de la mochila.</v>
      </c>
      <c r="U4" s="300" t="s">
        <v>4181</v>
      </c>
      <c r="V4" s="156" t="str">
        <f>IFERROR(__xludf.DUMMYFUNCTION("GOOGLETRANSLATE(B4,""zh-tw"",""KO"")"),"쓰레기통")</f>
        <v>쓰레기통</v>
      </c>
      <c r="W4" s="154" t="str">
        <f>IFERROR(__xludf.DUMMYFUNCTION("GOOGLETRANSLATE(C4,""zh-tw"",""KO"")"),"모험가의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4" s="100" t="str">
        <f>IFERROR(__xludf.DUMMYFUNCTION("GOOGLETRANSLATE(D4,""zh-tw"",""KO"")"),"획득 아이템: 마법 젤
배낭 슬롯을 확장하는 데 사용됩니다.")</f>
        <v>획득 아이템: 마법 젤
배낭 슬롯을 확장하는 데 사용됩니다.</v>
      </c>
      <c r="Y4" s="301" t="s">
        <v>4181</v>
      </c>
      <c r="Z4" s="145" t="s">
        <v>4194</v>
      </c>
      <c r="AA4" s="146" t="s">
        <v>4195</v>
      </c>
      <c r="AB4" s="147" t="s">
        <v>4196</v>
      </c>
      <c r="AC4" s="300" t="s">
        <v>4181</v>
      </c>
      <c r="AD4" s="240" t="s">
        <v>4197</v>
      </c>
      <c r="AE4" s="224" t="s">
        <v>4198</v>
      </c>
      <c r="AF4" s="85" t="s">
        <v>4199</v>
      </c>
      <c r="AG4" s="300" t="s">
        <v>4181</v>
      </c>
      <c r="AH4" s="140" t="s">
        <v>4200</v>
      </c>
      <c r="AI4" s="274" t="s">
        <v>4201</v>
      </c>
      <c r="AJ4" s="86" t="s">
        <v>4202</v>
      </c>
      <c r="AK4" s="300" t="s">
        <v>4181</v>
      </c>
      <c r="AL4" s="302" t="s">
        <v>4203</v>
      </c>
      <c r="AM4" s="169" t="s">
        <v>4204</v>
      </c>
      <c r="AN4" s="172" t="s">
        <v>4205</v>
      </c>
      <c r="AO4" s="300" t="s">
        <v>4181</v>
      </c>
      <c r="AP4" s="156" t="s">
        <v>4206</v>
      </c>
      <c r="AQ4" s="154" t="s">
        <v>4207</v>
      </c>
      <c r="AR4" s="100" t="s">
        <v>4208</v>
      </c>
      <c r="AS4" s="300" t="s">
        <v>4181</v>
      </c>
      <c r="AT4" s="140" t="s">
        <v>4209</v>
      </c>
      <c r="AU4" s="139" t="s">
        <v>4210</v>
      </c>
      <c r="AV4" s="97" t="s">
        <v>4211</v>
      </c>
    </row>
    <row r="5">
      <c r="A5" s="300" t="s">
        <v>4212</v>
      </c>
      <c r="B5" s="136" t="s">
        <v>4213</v>
      </c>
      <c r="C5" s="137" t="s">
        <v>4214</v>
      </c>
      <c r="D5" s="138" t="s">
        <v>4215</v>
      </c>
      <c r="E5" s="300" t="s">
        <v>4212</v>
      </c>
      <c r="F5" s="136" t="s">
        <v>4216</v>
      </c>
      <c r="G5" s="137" t="s">
        <v>4217</v>
      </c>
      <c r="H5" s="138" t="s">
        <v>4218</v>
      </c>
      <c r="I5" s="300" t="s">
        <v>4212</v>
      </c>
      <c r="J5" s="136" t="s">
        <v>4219</v>
      </c>
      <c r="K5" s="137" t="s">
        <v>4220</v>
      </c>
      <c r="L5" s="138" t="s">
        <v>4221</v>
      </c>
      <c r="M5" s="300" t="s">
        <v>4212</v>
      </c>
      <c r="N5" s="140" t="s">
        <v>4213</v>
      </c>
      <c r="O5" s="139" t="s">
        <v>4222</v>
      </c>
      <c r="P5" s="97" t="s">
        <v>4223</v>
      </c>
      <c r="Q5" s="300" t="s">
        <v>4212</v>
      </c>
      <c r="R5" s="156" t="s">
        <v>4224</v>
      </c>
      <c r="S5" s="154" t="str">
        <f>IFERROR(__xludf.DUMMYFUNCTION("GOOGLETRANSLATE(C5,""zh-tw"",""es-MX"")"),"Se utiliza principalmente para probar los valores de daño de los jugadores; también es posible eliminarlos mediante otros métodos.
(Consulta los CONSEJOS para obtener más detalles)")</f>
        <v>Se utiliza principalmente para probar los valores de daño de los jugadores; también es posible eliminarlos mediante otros métodos.
(Consulta los CONSEJOS para obtener más detalles)</v>
      </c>
      <c r="T5" s="100" t="str">
        <f>IFERROR(__xludf.DUMMYFUNCTION("GOOGLETRANSLATE(D5,""zh-tw"",""es-MX"")"),"Objeto obtenido: Corazón de espantapájaros")</f>
        <v>Objeto obtenido: Corazón de espantapájaros</v>
      </c>
      <c r="U5" s="300" t="s">
        <v>4212</v>
      </c>
      <c r="V5" s="156" t="str">
        <f>IFERROR(__xludf.DUMMYFUNCTION("GOOGLETRANSLATE(B5,""zh-tw"",""KO"")"),"허수아비")</f>
        <v>허수아비</v>
      </c>
      <c r="W5" s="154" t="str">
        <f>IFERROR(__xludf.DUMMYFUNCTION("GOOGLETRANSLATE(C5,""zh-tw"",""KO"")"),"주로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 s="100" t="str">
        <f>IFERROR(__xludf.DUMMYFUNCTION("GOOGLETRANSLATE(D5,""zh-tw"",""KO"")"),"획득 아이템: 허수아비의 심장")</f>
        <v>획득 아이템: 허수아비의 심장</v>
      </c>
      <c r="Y5" s="301" t="s">
        <v>4212</v>
      </c>
      <c r="Z5" s="145" t="s">
        <v>4225</v>
      </c>
      <c r="AA5" s="190" t="s">
        <v>4226</v>
      </c>
      <c r="AB5" s="166" t="s">
        <v>4227</v>
      </c>
      <c r="AC5" s="300" t="s">
        <v>4212</v>
      </c>
      <c r="AD5" s="240" t="s">
        <v>4228</v>
      </c>
      <c r="AE5" s="224" t="s">
        <v>4229</v>
      </c>
      <c r="AF5" s="85" t="s">
        <v>4230</v>
      </c>
      <c r="AG5" s="300" t="s">
        <v>4212</v>
      </c>
      <c r="AH5" s="136" t="s">
        <v>4231</v>
      </c>
      <c r="AI5" s="137" t="s">
        <v>4232</v>
      </c>
      <c r="AJ5" s="138" t="s">
        <v>4233</v>
      </c>
      <c r="AK5" s="300" t="s">
        <v>4212</v>
      </c>
      <c r="AL5" s="302" t="s">
        <v>4234</v>
      </c>
      <c r="AM5" s="169" t="s">
        <v>4235</v>
      </c>
      <c r="AN5" s="172" t="s">
        <v>4236</v>
      </c>
      <c r="AO5" s="300" t="s">
        <v>4212</v>
      </c>
      <c r="AP5" s="156" t="s">
        <v>4237</v>
      </c>
      <c r="AQ5" s="154" t="s">
        <v>4238</v>
      </c>
      <c r="AR5" s="100" t="s">
        <v>4239</v>
      </c>
      <c r="AS5" s="300" t="s">
        <v>4212</v>
      </c>
      <c r="AT5" s="140" t="s">
        <v>4240</v>
      </c>
      <c r="AU5" s="154" t="s">
        <v>4241</v>
      </c>
      <c r="AV5" s="100" t="s">
        <v>4242</v>
      </c>
    </row>
    <row r="6">
      <c r="A6" s="300" t="s">
        <v>4243</v>
      </c>
      <c r="B6" s="140" t="s">
        <v>4244</v>
      </c>
      <c r="C6" s="139" t="s">
        <v>4245</v>
      </c>
      <c r="D6" s="97" t="s">
        <v>4246</v>
      </c>
      <c r="E6" s="300" t="s">
        <v>4243</v>
      </c>
      <c r="F6" s="140" t="s">
        <v>4244</v>
      </c>
      <c r="G6" s="139" t="s">
        <v>4247</v>
      </c>
      <c r="H6" s="97" t="s">
        <v>4248</v>
      </c>
      <c r="I6" s="300" t="s">
        <v>4243</v>
      </c>
      <c r="J6" s="140" t="s">
        <v>4249</v>
      </c>
      <c r="K6" s="139" t="s">
        <v>4250</v>
      </c>
      <c r="L6" s="97" t="s">
        <v>4251</v>
      </c>
      <c r="M6" s="300" t="s">
        <v>4243</v>
      </c>
      <c r="N6" s="140" t="s">
        <v>4252</v>
      </c>
      <c r="O6" s="139" t="s">
        <v>4253</v>
      </c>
      <c r="P6" s="97" t="s">
        <v>4254</v>
      </c>
      <c r="Q6" s="300" t="s">
        <v>4243</v>
      </c>
      <c r="R6" s="156" t="s">
        <v>4255</v>
      </c>
      <c r="S6" s="154" t="str">
        <f>IFERROR(__xludf.DUMMYFUNCTION("GOOGLETRANSLATE(C6,""zh-tw"",""es-MX"")"),"Equípate o ten en tu poder una ""Espada de Madera Dura"" y habla con el PNJ Espadachín Orejas de Gato en el Sendero del Aventurero: Lugar de Reunión. Luego, derrótalo.
(Puedes cambiar de arma durante el proceso).")</f>
        <v>Equípate o ten en tu poder una "Espada de Madera Dura" y habla con el PNJ Espadachín Orejas de Gato en el Sendero del Aventurero: Lugar de Reunión. Luego, derrótalo.
(Puedes cambiar de arma durante el proceso).</v>
      </c>
      <c r="T6" s="100" t="str">
        <f>IFERROR(__xludf.DUMMYFUNCTION("GOOGLETRANSLATE(D6,""zh-tw"",""es-MX"")"),"Habilidad aprendida: Paso relámpago con katana")</f>
        <v>Habilidad aprendida: Paso relámpago con katana</v>
      </c>
      <c r="U6" s="300" t="s">
        <v>4243</v>
      </c>
      <c r="V6" s="156" t="str">
        <f>IFERROR(__xludf.DUMMYFUNCTION("GOOGLETRANSLATE(B6,""zh-tw"",""KO"")"),"플래시 스텝 소드")</f>
        <v>플래시 스텝 소드</v>
      </c>
      <c r="W6" s="154" t="str">
        <f>IFERROR(__xludf.DUMMYFUNCTION("GOOGLETRANSLATE(C6,""zh-tw"",""KO"")"),"""단단한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6" s="100" t="str">
        <f>IFERROR(__xludf.DUMMYFUNCTION("GOOGLETRANSLATE(D6,""zh-tw"",""KO"")"),"습득 기술: 플래시 스텝 카타나")</f>
        <v>습득 기술: 플래시 스텝 카타나</v>
      </c>
      <c r="Y6" s="301" t="s">
        <v>4243</v>
      </c>
      <c r="Z6" s="145" t="s">
        <v>4256</v>
      </c>
      <c r="AA6" s="146" t="s">
        <v>4257</v>
      </c>
      <c r="AB6" s="147" t="s">
        <v>4258</v>
      </c>
      <c r="AC6" s="300" t="s">
        <v>4243</v>
      </c>
      <c r="AD6" s="240" t="s">
        <v>4259</v>
      </c>
      <c r="AE6" s="224" t="s">
        <v>4260</v>
      </c>
      <c r="AF6" s="85" t="s">
        <v>4261</v>
      </c>
      <c r="AG6" s="300" t="s">
        <v>4243</v>
      </c>
      <c r="AH6" s="140" t="s">
        <v>4262</v>
      </c>
      <c r="AI6" s="274" t="s">
        <v>4263</v>
      </c>
      <c r="AJ6" s="86" t="s">
        <v>4264</v>
      </c>
      <c r="AK6" s="300" t="s">
        <v>4243</v>
      </c>
      <c r="AL6" s="302" t="s">
        <v>4249</v>
      </c>
      <c r="AM6" s="169" t="s">
        <v>4265</v>
      </c>
      <c r="AN6" s="172" t="s">
        <v>4266</v>
      </c>
      <c r="AO6" s="300" t="s">
        <v>4243</v>
      </c>
      <c r="AP6" s="156" t="s">
        <v>4249</v>
      </c>
      <c r="AQ6" s="154" t="s">
        <v>4267</v>
      </c>
      <c r="AR6" s="100" t="s">
        <v>4268</v>
      </c>
      <c r="AS6" s="300" t="s">
        <v>4243</v>
      </c>
      <c r="AT6" s="140" t="s">
        <v>4249</v>
      </c>
      <c r="AU6" s="139" t="s">
        <v>4269</v>
      </c>
      <c r="AV6" s="97" t="s">
        <v>4270</v>
      </c>
    </row>
    <row r="7">
      <c r="A7" s="300" t="s">
        <v>4271</v>
      </c>
      <c r="B7" s="140" t="s">
        <v>4272</v>
      </c>
      <c r="C7" s="139" t="s">
        <v>4273</v>
      </c>
      <c r="D7" s="97" t="s">
        <v>4274</v>
      </c>
      <c r="E7" s="300" t="s">
        <v>4271</v>
      </c>
      <c r="F7" s="140" t="s">
        <v>4275</v>
      </c>
      <c r="G7" s="139" t="s">
        <v>4276</v>
      </c>
      <c r="H7" s="97" t="s">
        <v>4277</v>
      </c>
      <c r="I7" s="300" t="s">
        <v>4271</v>
      </c>
      <c r="J7" s="140" t="s">
        <v>4278</v>
      </c>
      <c r="K7" s="139" t="s">
        <v>4279</v>
      </c>
      <c r="L7" s="97" t="s">
        <v>4280</v>
      </c>
      <c r="M7" s="300" t="s">
        <v>4271</v>
      </c>
      <c r="N7" s="140" t="s">
        <v>4281</v>
      </c>
      <c r="O7" s="139" t="s">
        <v>4282</v>
      </c>
      <c r="P7" s="97" t="s">
        <v>4283</v>
      </c>
      <c r="Q7" s="300" t="s">
        <v>4271</v>
      </c>
      <c r="R7" s="156" t="s">
        <v>4284</v>
      </c>
      <c r="S7" s="154" t="str">
        <f>IFERROR(__xludf.DUMMYFUNCTION("GOOGLETRANSLATE(C7,""zh-tw"",""es-MX"")"),"Sendero del Aventurero: Punto de Reunión, frente a la fogata. La ""Niña Fantasma con Vestido"" solo aparecerá en días soleados (no calurosos) antes del mediodía. Hablar con ella y volver a hablarle al día siguiente te recompensará con un objeto.")</f>
        <v>Sendero del Aventurero: Punto de Reunión, frente a la fogata. La "Niña Fantasma con Vestido" solo aparecerá en días soleados (no calurosos) antes del mediodía. Hablar con ella y volver a hablarle al día siguiente te recompensará con un objeto.</v>
      </c>
      <c r="T7" s="100" t="str">
        <f>IFERROR(__xludf.DUMMYFUNCTION("GOOGLETRANSLATE(D7,""zh-tw"",""es-MX"")"),"Objeto obtenido: Perspectivas del aventurero
*La historia continuará próximamente.")</f>
        <v>Objeto obtenido: Perspectivas del aventurero
*La historia continuará próximamente.</v>
      </c>
      <c r="U7" s="300" t="s">
        <v>4271</v>
      </c>
      <c r="V7" s="156" t="str">
        <f>IFERROR(__xludf.DUMMYFUNCTION("GOOGLETRANSLATE(B7,""zh-tw"",""KO"")"),"공략집은 어디서 찾을 수 있나요?")</f>
        <v>공략집은 어디서 찾을 수 있나요?</v>
      </c>
      <c r="W7" s="154"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100" t="str">
        <f>IFERROR(__xludf.DUMMYFUNCTION("GOOGLETRANSLATE(D7,""zh-tw"",""KO"")"),"획득 아이템: 모험가의 통찰력
*스토리는 추후 업데이트될 예정입니다.")</f>
        <v>획득 아이템: 모험가의 통찰력
*스토리는 추후 업데이트될 예정입니다.</v>
      </c>
      <c r="Y7" s="301" t="s">
        <v>4271</v>
      </c>
      <c r="Z7" s="145" t="s">
        <v>4285</v>
      </c>
      <c r="AA7" s="146" t="s">
        <v>4286</v>
      </c>
      <c r="AB7" s="147" t="s">
        <v>4287</v>
      </c>
      <c r="AC7" s="300" t="s">
        <v>4271</v>
      </c>
      <c r="AD7" s="240" t="s">
        <v>4288</v>
      </c>
      <c r="AE7" s="224" t="s">
        <v>4289</v>
      </c>
      <c r="AF7" s="85" t="s">
        <v>4290</v>
      </c>
      <c r="AG7" s="300" t="s">
        <v>4271</v>
      </c>
      <c r="AH7" s="140" t="s">
        <v>4291</v>
      </c>
      <c r="AI7" s="274" t="s">
        <v>4292</v>
      </c>
      <c r="AJ7" s="86" t="s">
        <v>4293</v>
      </c>
      <c r="AK7" s="300" t="s">
        <v>4271</v>
      </c>
      <c r="AL7" s="303" t="s">
        <v>4294</v>
      </c>
      <c r="AM7" s="173" t="s">
        <v>4295</v>
      </c>
      <c r="AN7" s="170" t="s">
        <v>4296</v>
      </c>
      <c r="AO7" s="300" t="s">
        <v>4271</v>
      </c>
      <c r="AP7" s="156" t="s">
        <v>4297</v>
      </c>
      <c r="AQ7" s="154" t="s">
        <v>4298</v>
      </c>
      <c r="AR7" s="100" t="s">
        <v>4299</v>
      </c>
      <c r="AS7" s="300" t="s">
        <v>4271</v>
      </c>
      <c r="AT7" s="140" t="s">
        <v>4300</v>
      </c>
      <c r="AU7" s="139" t="s">
        <v>4301</v>
      </c>
      <c r="AV7" s="97" t="s">
        <v>4302</v>
      </c>
    </row>
    <row r="8">
      <c r="A8" s="300" t="s">
        <v>4303</v>
      </c>
      <c r="B8" s="140" t="s">
        <v>4304</v>
      </c>
      <c r="C8" s="139" t="s">
        <v>4305</v>
      </c>
      <c r="D8" s="97" t="s">
        <v>1485</v>
      </c>
      <c r="E8" s="300" t="s">
        <v>4303</v>
      </c>
      <c r="F8" s="140" t="s">
        <v>4306</v>
      </c>
      <c r="G8" s="139" t="s">
        <v>4307</v>
      </c>
      <c r="H8" s="97" t="s">
        <v>1485</v>
      </c>
      <c r="I8" s="300" t="s">
        <v>4303</v>
      </c>
      <c r="J8" s="140" t="s">
        <v>4308</v>
      </c>
      <c r="K8" s="139" t="s">
        <v>4309</v>
      </c>
      <c r="L8" s="97" t="s">
        <v>1485</v>
      </c>
      <c r="M8" s="300" t="s">
        <v>4303</v>
      </c>
      <c r="N8" s="140" t="s">
        <v>4310</v>
      </c>
      <c r="O8" s="139" t="s">
        <v>4311</v>
      </c>
      <c r="P8" s="97" t="s">
        <v>1485</v>
      </c>
      <c r="Q8" s="300" t="s">
        <v>4303</v>
      </c>
      <c r="R8" s="156" t="s">
        <v>4312</v>
      </c>
      <c r="S8" s="154" t="str">
        <f>IFERROR(__xludf.DUMMYFUNCTION("GOOGLETRANSLATE(C8,""zh-tw"",""es-MX"")"),"Sendero del Aventurero: Lugar de Reunión Si destruyes una máquina expendedora de bebidas, reaparecerá durante el tiempo lluvioso y aumentará su precio.")</f>
        <v>Sendero del Aventurero: Lugar de Reunión Si destruyes una máquina expendedora de bebidas, reaparecerá durante el tiempo lluvioso y aumentará su precio.</v>
      </c>
      <c r="T8" s="97" t="s">
        <v>1485</v>
      </c>
      <c r="U8" s="300" t="s">
        <v>4303</v>
      </c>
      <c r="V8" s="156" t="str">
        <f>IFERROR(__xludf.DUMMYFUNCTION("GOOGLETRANSLATE(B8,""zh-tw"",""KO"")"),"음료 자판기의 새로운 탄생")</f>
        <v>음료 자판기의 새로운 탄생</v>
      </c>
      <c r="W8" s="154"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97" t="s">
        <v>1485</v>
      </c>
      <c r="Y8" s="301" t="s">
        <v>4303</v>
      </c>
      <c r="Z8" s="145" t="s">
        <v>4313</v>
      </c>
      <c r="AA8" s="146" t="s">
        <v>4314</v>
      </c>
      <c r="AB8" s="147" t="s">
        <v>1485</v>
      </c>
      <c r="AC8" s="300" t="s">
        <v>4303</v>
      </c>
      <c r="AD8" s="240" t="s">
        <v>4315</v>
      </c>
      <c r="AE8" s="224" t="s">
        <v>4316</v>
      </c>
      <c r="AF8" s="85" t="s">
        <v>1485</v>
      </c>
      <c r="AG8" s="300" t="s">
        <v>4303</v>
      </c>
      <c r="AH8" s="140" t="s">
        <v>4317</v>
      </c>
      <c r="AI8" s="274" t="s">
        <v>4318</v>
      </c>
      <c r="AJ8" s="86" t="s">
        <v>4319</v>
      </c>
      <c r="AK8" s="300" t="s">
        <v>4303</v>
      </c>
      <c r="AL8" s="302" t="s">
        <v>4320</v>
      </c>
      <c r="AM8" s="169" t="s">
        <v>4321</v>
      </c>
      <c r="AN8" s="172" t="s">
        <v>1485</v>
      </c>
      <c r="AO8" s="300" t="s">
        <v>4303</v>
      </c>
      <c r="AP8" s="156" t="s">
        <v>4322</v>
      </c>
      <c r="AQ8" s="154" t="s">
        <v>4323</v>
      </c>
      <c r="AR8" s="100" t="s">
        <v>1485</v>
      </c>
      <c r="AS8" s="300" t="s">
        <v>4303</v>
      </c>
      <c r="AT8" s="140" t="s">
        <v>4324</v>
      </c>
      <c r="AU8" s="139" t="s">
        <v>4325</v>
      </c>
      <c r="AV8" s="97" t="s">
        <v>1485</v>
      </c>
    </row>
    <row r="9">
      <c r="A9" s="300" t="s">
        <v>4326</v>
      </c>
      <c r="B9" s="140" t="s">
        <v>4327</v>
      </c>
      <c r="C9" s="139" t="s">
        <v>4328</v>
      </c>
      <c r="D9" s="97" t="s">
        <v>4329</v>
      </c>
      <c r="E9" s="300" t="s">
        <v>4326</v>
      </c>
      <c r="F9" s="140" t="s">
        <v>4330</v>
      </c>
      <c r="G9" s="139" t="s">
        <v>4331</v>
      </c>
      <c r="H9" s="97" t="s">
        <v>4332</v>
      </c>
      <c r="I9" s="300" t="s">
        <v>4326</v>
      </c>
      <c r="J9" s="140" t="s">
        <v>4333</v>
      </c>
      <c r="K9" s="139" t="s">
        <v>4334</v>
      </c>
      <c r="L9" s="97" t="s">
        <v>4335</v>
      </c>
      <c r="M9" s="300" t="s">
        <v>4326</v>
      </c>
      <c r="N9" s="140" t="s">
        <v>4336</v>
      </c>
      <c r="O9" s="139" t="s">
        <v>4337</v>
      </c>
      <c r="P9" s="97" t="s">
        <v>4338</v>
      </c>
      <c r="Q9" s="300" t="s">
        <v>4326</v>
      </c>
      <c r="R9" s="156" t="s">
        <v>4339</v>
      </c>
      <c r="S9" s="154" t="str">
        <f>IFERROR(__xludf.DUMMYFUNCTION("GOOGLETRANSLATE(C9,""zh-tw"",""es-MX"")"),"Sendero del Aventurero: Punto de Encuentro
Ubicado en la Calle del Aventurero, se puede comprar al caballero por $5000.")</f>
        <v>Sendero del Aventurero: Punto de Encuentro
Ubicado en la Calle del Aventurero, se puede comprar al caballero por $5000.</v>
      </c>
      <c r="T9" s="100" t="str">
        <f>IFERROR(__xludf.DUMMYFUNCTION("GOOGLETRANSLATE(D9,""zh-tw"",""es-MX"")"),"Tras obtener ""JoyStation V"", podrás iniciar y activar el juego con tu hermana al regresar a casa.")</f>
        <v>Tras obtener "JoyStation V", podrás iniciar y activar el juego con tu hermana al regresar a casa.</v>
      </c>
      <c r="U9" s="300" t="s">
        <v>4326</v>
      </c>
      <c r="V9" s="156" t="str">
        <f>IFERROR(__xludf.DUMMYFUNCTION("GOOGLETRANSLATE(B9,""zh-tw"",""KO"")"),"게임 콘솔")</f>
        <v>게임 콘솔</v>
      </c>
      <c r="W9" s="154"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100"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301" t="s">
        <v>4326</v>
      </c>
      <c r="Z9" s="145" t="s">
        <v>4340</v>
      </c>
      <c r="AA9" s="146" t="s">
        <v>4341</v>
      </c>
      <c r="AB9" s="147" t="s">
        <v>4342</v>
      </c>
      <c r="AC9" s="300" t="s">
        <v>4326</v>
      </c>
      <c r="AD9" s="240" t="s">
        <v>4343</v>
      </c>
      <c r="AE9" s="224" t="s">
        <v>4344</v>
      </c>
      <c r="AF9" s="85" t="s">
        <v>4345</v>
      </c>
      <c r="AG9" s="300" t="s">
        <v>4326</v>
      </c>
      <c r="AH9" s="140" t="s">
        <v>4346</v>
      </c>
      <c r="AI9" s="274" t="s">
        <v>4347</v>
      </c>
      <c r="AJ9" s="86" t="s">
        <v>4348</v>
      </c>
      <c r="AK9" s="300" t="s">
        <v>4326</v>
      </c>
      <c r="AL9" s="302" t="s">
        <v>4349</v>
      </c>
      <c r="AM9" s="169" t="s">
        <v>4350</v>
      </c>
      <c r="AN9" s="172" t="s">
        <v>4351</v>
      </c>
      <c r="AO9" s="300" t="s">
        <v>4326</v>
      </c>
      <c r="AP9" s="156" t="s">
        <v>4352</v>
      </c>
      <c r="AQ9" s="154" t="s">
        <v>4353</v>
      </c>
      <c r="AR9" s="100" t="s">
        <v>4354</v>
      </c>
      <c r="AS9" s="300" t="s">
        <v>4326</v>
      </c>
      <c r="AT9" s="140" t="s">
        <v>4355</v>
      </c>
      <c r="AU9" s="139" t="s">
        <v>4356</v>
      </c>
      <c r="AV9" s="97" t="s">
        <v>4357</v>
      </c>
    </row>
    <row r="10">
      <c r="A10" s="300" t="s">
        <v>4358</v>
      </c>
      <c r="B10" s="140" t="s">
        <v>4359</v>
      </c>
      <c r="C10" s="139" t="s">
        <v>4360</v>
      </c>
      <c r="D10" s="304" t="s">
        <v>4361</v>
      </c>
      <c r="E10" s="300" t="s">
        <v>4358</v>
      </c>
      <c r="F10" s="140" t="s">
        <v>4362</v>
      </c>
      <c r="G10" s="139" t="s">
        <v>4363</v>
      </c>
      <c r="H10" s="97" t="s">
        <v>4364</v>
      </c>
      <c r="I10" s="300" t="s">
        <v>4358</v>
      </c>
      <c r="J10" s="140" t="s">
        <v>4359</v>
      </c>
      <c r="K10" s="139" t="s">
        <v>4365</v>
      </c>
      <c r="L10" s="97" t="s">
        <v>4366</v>
      </c>
      <c r="M10" s="300" t="s">
        <v>4358</v>
      </c>
      <c r="N10" s="140" t="s">
        <v>4359</v>
      </c>
      <c r="O10" s="139" t="s">
        <v>4367</v>
      </c>
      <c r="P10" s="97" t="s">
        <v>4368</v>
      </c>
      <c r="Q10" s="300" t="s">
        <v>4358</v>
      </c>
      <c r="R10" s="156" t="s">
        <v>4369</v>
      </c>
      <c r="S10" s="139" t="s">
        <v>4370</v>
      </c>
      <c r="T10" s="100" t="str">
        <f>IFERROR(__xludf.DUMMYFUNCTION("GOOGLETRANSLATE(D10,""zh-tw"",""es-MX"")"),"Shadow Souls - DLC: Ayuda a tu hermana a concentrarse más en el juego y desbloquea opciones adicionales.")</f>
        <v>Shadow Souls - DLC: Ayuda a tu hermana a concentrarse más en el juego y desbloquea opciones adicionales.</v>
      </c>
      <c r="U10" s="300" t="s">
        <v>4358</v>
      </c>
      <c r="V10" s="156" t="str">
        <f>IFERROR(__xludf.DUMMYFUNCTION("GOOGLETRANSLATE(B10,""zh-tw"",""KO"")"),"DLC")</f>
        <v>DLC</v>
      </c>
      <c r="W10" s="154" t="str">
        <f>IFERROR(__xludf.DUMMYFUNCTION("GOOGLETRANSLATE(C10,""zh-tw"",""KO"")"),"모험가의 길: 집결지 기사와 일정 횟수 이상 만남을 공유하면 [무언가]를 얻을 수 있습니다.")</f>
        <v>모험가의 길: 집결지 기사와 일정 횟수 이상 만남을 공유하면 [무언가]를 얻을 수 있습니다.</v>
      </c>
      <c r="X10" s="100" t="str">
        <f>IFERROR(__xludf.DUMMYFUNCTION("GOOGLETRANSLATE(D10,""zh-tw"",""KO"")"),"Shadow Souls - DLC: 여동생이 게임에 더 집중할 수 있도록 도와주고 추가 옵션을 잠금 해제하세요.")</f>
        <v>Shadow Souls - DLC: 여동생이 게임에 더 집중할 수 있도록 도와주고 추가 옵션을 잠금 해제하세요.</v>
      </c>
      <c r="Y10" s="301" t="s">
        <v>4358</v>
      </c>
      <c r="Z10" s="145" t="s">
        <v>4359</v>
      </c>
      <c r="AA10" s="190" t="s">
        <v>4371</v>
      </c>
      <c r="AB10" s="166" t="s">
        <v>4372</v>
      </c>
      <c r="AC10" s="300" t="s">
        <v>4358</v>
      </c>
      <c r="AD10" s="240" t="s">
        <v>4359</v>
      </c>
      <c r="AE10" s="224" t="s">
        <v>4373</v>
      </c>
      <c r="AF10" s="85" t="s">
        <v>4374</v>
      </c>
      <c r="AG10" s="300" t="s">
        <v>4358</v>
      </c>
      <c r="AH10" s="140" t="s">
        <v>4359</v>
      </c>
      <c r="AI10" s="305" t="str">
        <f>IFERROR(__xludf.DUMMYFUNCTION("GOOGLETRANSLATE(C10,""zh-tw"",""DE"")"),"Pfad des Abenteurers: Treffpunkt Du kannst [etwas] erhalten, indem du eine bestimmte Anzahl von Begegnungen mit dem Ritter absolvierst.")</f>
        <v>Pfad des Abenteurers: Treffpunkt Du kannst [etwas] erhalten, indem du eine bestimmte Anzahl von Begegnungen mit dem Ritter absolvierst.</v>
      </c>
      <c r="AJ10" s="86" t="s">
        <v>4375</v>
      </c>
      <c r="AK10" s="300" t="s">
        <v>4358</v>
      </c>
      <c r="AL10" s="302" t="s">
        <v>4359</v>
      </c>
      <c r="AM10" s="173" t="s">
        <v>4376</v>
      </c>
      <c r="AN10" s="170" t="s">
        <v>4377</v>
      </c>
      <c r="AO10" s="300" t="s">
        <v>4358</v>
      </c>
      <c r="AP10" s="156" t="s">
        <v>4359</v>
      </c>
      <c r="AQ10" s="139" t="s">
        <v>4378</v>
      </c>
      <c r="AR10" s="97" t="s">
        <v>4379</v>
      </c>
      <c r="AS10" s="300" t="s">
        <v>4358</v>
      </c>
      <c r="AT10" s="136" t="s">
        <v>4359</v>
      </c>
      <c r="AU10" s="154" t="s">
        <v>4380</v>
      </c>
      <c r="AV10" s="100" t="s">
        <v>4381</v>
      </c>
    </row>
    <row r="11">
      <c r="A11" s="300" t="s">
        <v>4382</v>
      </c>
      <c r="B11" s="140" t="s">
        <v>4383</v>
      </c>
      <c r="C11" s="139" t="s">
        <v>4384</v>
      </c>
      <c r="D11" s="97" t="s">
        <v>4385</v>
      </c>
      <c r="E11" s="300" t="s">
        <v>4382</v>
      </c>
      <c r="F11" s="140" t="s">
        <v>4386</v>
      </c>
      <c r="G11" s="139" t="s">
        <v>4387</v>
      </c>
      <c r="H11" s="97" t="s">
        <v>4388</v>
      </c>
      <c r="I11" s="300" t="s">
        <v>4382</v>
      </c>
      <c r="J11" s="140" t="s">
        <v>4389</v>
      </c>
      <c r="K11" s="139" t="s">
        <v>4390</v>
      </c>
      <c r="L11" s="97" t="s">
        <v>4391</v>
      </c>
      <c r="M11" s="300" t="s">
        <v>4382</v>
      </c>
      <c r="N11" s="140" t="s">
        <v>4392</v>
      </c>
      <c r="O11" s="139" t="s">
        <v>4393</v>
      </c>
      <c r="P11" s="97" t="s">
        <v>4394</v>
      </c>
      <c r="Q11" s="300" t="s">
        <v>4382</v>
      </c>
      <c r="R11" s="140" t="s">
        <v>4395</v>
      </c>
      <c r="S11" s="139" t="s">
        <v>4396</v>
      </c>
      <c r="T11" s="100" t="str">
        <f>IFERROR(__xludf.DUMMYFUNCTION("GOOGLETRANSLATE(D11,""zh-tw"",""es-MX"")"),"Tras compartir algunas de tus experiencias, recibirás una camiseta extra, que verás en una escena donde tu hermana la lleva puesta al llegar a casa.
(La función de cambio de ropa posterior aún no está implementada).")</f>
        <v>Tras compartir algunas de tus experiencias, recibirás una camiseta extra, que verás en una escena donde tu hermana la lleva puesta al llegar a casa.
(La función de cambio de ropa posterior aún no está implementada).</v>
      </c>
      <c r="U11" s="300" t="s">
        <v>4382</v>
      </c>
      <c r="V11" s="156" t="str">
        <f>IFERROR(__xludf.DUMMYFUNCTION("GOOGLETRANSLATE(B11,""zh-tw"",""KO"")"),"모든 관찰")</f>
        <v>모든 관찰</v>
      </c>
      <c r="W11" s="154" t="str">
        <f>IFERROR(__xludf.DUMMYFUNCTION("GOOGLETRANSLATE(C11,""zh-tw"",""KO"")"),"모험의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f>
        <v>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v>
      </c>
      <c r="X11" s="100" t="str">
        <f>IFERROR(__xludf.DUMMYFUNCTION("GOOGLETRANSLATE(D11,""zh-tw"",""KO"")"),"일정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11" s="301" t="s">
        <v>4382</v>
      </c>
      <c r="Z11" s="145" t="s">
        <v>4397</v>
      </c>
      <c r="AA11" s="190" t="s">
        <v>4398</v>
      </c>
      <c r="AB11" s="166" t="s">
        <v>4399</v>
      </c>
      <c r="AC11" s="300" t="s">
        <v>4382</v>
      </c>
      <c r="AD11" s="240" t="s">
        <v>4400</v>
      </c>
      <c r="AE11" s="224" t="s">
        <v>4401</v>
      </c>
      <c r="AF11" s="96" t="s">
        <v>4402</v>
      </c>
      <c r="AG11" s="300" t="s">
        <v>4382</v>
      </c>
      <c r="AH11" s="140" t="s">
        <v>4403</v>
      </c>
      <c r="AI11" s="274" t="s">
        <v>4404</v>
      </c>
      <c r="AJ11" s="86" t="s">
        <v>4405</v>
      </c>
      <c r="AK11" s="300" t="s">
        <v>4382</v>
      </c>
      <c r="AL11" s="303" t="s">
        <v>4406</v>
      </c>
      <c r="AM11" s="173" t="s">
        <v>4407</v>
      </c>
      <c r="AN11" s="170" t="s">
        <v>4408</v>
      </c>
      <c r="AO11" s="300" t="s">
        <v>4382</v>
      </c>
      <c r="AP11" s="156" t="s">
        <v>4409</v>
      </c>
      <c r="AQ11" s="154" t="s">
        <v>4410</v>
      </c>
      <c r="AR11" s="100" t="s">
        <v>4411</v>
      </c>
      <c r="AS11" s="300" t="s">
        <v>4382</v>
      </c>
      <c r="AT11" s="136" t="s">
        <v>4412</v>
      </c>
      <c r="AU11" s="154" t="s">
        <v>4413</v>
      </c>
      <c r="AV11" s="100" t="s">
        <v>4414</v>
      </c>
    </row>
    <row r="12">
      <c r="A12" s="300" t="s">
        <v>4415</v>
      </c>
      <c r="B12" s="140" t="s">
        <v>4416</v>
      </c>
      <c r="C12" s="139" t="s">
        <v>4417</v>
      </c>
      <c r="D12" s="97" t="s">
        <v>4418</v>
      </c>
      <c r="E12" s="300" t="s">
        <v>4419</v>
      </c>
      <c r="F12" s="140" t="s">
        <v>4420</v>
      </c>
      <c r="G12" s="139" t="s">
        <v>4421</v>
      </c>
      <c r="H12" s="97" t="s">
        <v>4422</v>
      </c>
      <c r="I12" s="300" t="s">
        <v>4419</v>
      </c>
      <c r="J12" s="140" t="s">
        <v>4423</v>
      </c>
      <c r="K12" s="139" t="s">
        <v>4424</v>
      </c>
      <c r="L12" s="97" t="s">
        <v>4425</v>
      </c>
      <c r="M12" s="300" t="s">
        <v>4419</v>
      </c>
      <c r="N12" s="140" t="s">
        <v>4426</v>
      </c>
      <c r="O12" s="139" t="s">
        <v>4427</v>
      </c>
      <c r="P12" s="97" t="s">
        <v>4428</v>
      </c>
      <c r="Q12" s="300" t="s">
        <v>4419</v>
      </c>
      <c r="R12" s="140" t="s">
        <v>4429</v>
      </c>
      <c r="S12" s="154" t="str">
        <f>IFERROR(__xludf.DUMMYFUNCTION("GOOGLETRANSLATE(C12,""zh-tw"",""es-MX"")"),"Sendero del Aventurero: Punto de Reunión, hay un cofre del tesoro en la esquina superior izquierda.")</f>
        <v>Sendero del Aventurero: Punto de Reunión, hay un cofre del tesoro en la esquina superior izquierda.</v>
      </c>
      <c r="T12" s="100" t="str">
        <f>IFERROR(__xludf.DUMMYFUNCTION("GOOGLETRANSLATE(D12,""zh-tw"",""es-MX"")"),"Obtén el arma Chidori, nota especial en la historia.")</f>
        <v>Obtén el arma Chidori, nota especial en la historia.</v>
      </c>
      <c r="U12" s="300" t="s">
        <v>4419</v>
      </c>
      <c r="V12" s="156" t="str">
        <f>IFERROR(__xludf.DUMMYFUNCTION("GOOGLETRANSLATE(B12,""zh-tw"",""KO"")"),"숨겨진 통로")</f>
        <v>숨겨진 통로</v>
      </c>
      <c r="W12" s="154" t="str">
        <f>IFERROR(__xludf.DUMMYFUNCTION("GOOGLETRANSLATE(C12,""zh-tw"",""KO"")"),"어드벤처스 패스: 집결지, 왼쪽 상단에 보물 상자가 있습니다.")</f>
        <v>어드벤처스 패스: 집결지, 왼쪽 상단에 보물 상자가 있습니다.</v>
      </c>
      <c r="X12" s="100" t="str">
        <f>IFERROR(__xludf.DUMMYFUNCTION("GOOGLETRANSLATE(D12,""zh-tw"",""KO"")"),"무기 획득 - 치도리, 특별 참고 사항 스토리라인")</f>
        <v>무기 획득 - 치도리, 특별 참고 사항 스토리라인</v>
      </c>
      <c r="Y12" s="301" t="s">
        <v>4419</v>
      </c>
      <c r="Z12" s="145" t="s">
        <v>4430</v>
      </c>
      <c r="AA12" s="190" t="s">
        <v>4431</v>
      </c>
      <c r="AB12" s="166" t="s">
        <v>4432</v>
      </c>
      <c r="AC12" s="300" t="s">
        <v>4419</v>
      </c>
      <c r="AD12" s="240" t="s">
        <v>4433</v>
      </c>
      <c r="AE12" s="224" t="s">
        <v>4434</v>
      </c>
      <c r="AF12" s="85" t="s">
        <v>4435</v>
      </c>
      <c r="AG12" s="300" t="s">
        <v>4419</v>
      </c>
      <c r="AH12" s="140" t="s">
        <v>4436</v>
      </c>
      <c r="AI12" s="274" t="s">
        <v>4437</v>
      </c>
      <c r="AJ12" s="86" t="s">
        <v>4438</v>
      </c>
      <c r="AK12" s="300" t="s">
        <v>4419</v>
      </c>
      <c r="AL12" s="303" t="s">
        <v>4439</v>
      </c>
      <c r="AM12" s="169" t="s">
        <v>4440</v>
      </c>
      <c r="AN12" s="172" t="s">
        <v>4441</v>
      </c>
      <c r="AO12" s="300" t="s">
        <v>4419</v>
      </c>
      <c r="AP12" s="140" t="s">
        <v>4442</v>
      </c>
      <c r="AQ12" s="154" t="s">
        <v>4443</v>
      </c>
      <c r="AR12" s="100" t="s">
        <v>4444</v>
      </c>
      <c r="AS12" s="300" t="s">
        <v>4419</v>
      </c>
      <c r="AT12" s="140" t="s">
        <v>4445</v>
      </c>
      <c r="AU12" s="154" t="s">
        <v>4446</v>
      </c>
      <c r="AV12" s="100" t="s">
        <v>4447</v>
      </c>
    </row>
    <row r="13">
      <c r="A13" s="300" t="s">
        <v>4419</v>
      </c>
      <c r="B13" s="140" t="s">
        <v>4416</v>
      </c>
      <c r="C13" s="139" t="s">
        <v>4448</v>
      </c>
      <c r="D13" s="97" t="s">
        <v>4449</v>
      </c>
      <c r="E13" s="300" t="s">
        <v>4450</v>
      </c>
      <c r="F13" s="140" t="s">
        <v>4451</v>
      </c>
      <c r="G13" s="139" t="s">
        <v>4452</v>
      </c>
      <c r="H13" s="97" t="s">
        <v>4453</v>
      </c>
      <c r="I13" s="300" t="s">
        <v>4450</v>
      </c>
      <c r="J13" s="140" t="s">
        <v>4423</v>
      </c>
      <c r="K13" s="139" t="s">
        <v>4454</v>
      </c>
      <c r="L13" s="97" t="s">
        <v>4455</v>
      </c>
      <c r="M13" s="300" t="s">
        <v>4450</v>
      </c>
      <c r="N13" s="140" t="s">
        <v>4426</v>
      </c>
      <c r="O13" s="139" t="s">
        <v>4456</v>
      </c>
      <c r="P13" s="97" t="s">
        <v>4457</v>
      </c>
      <c r="Q13" s="300" t="s">
        <v>4450</v>
      </c>
      <c r="R13" s="140" t="s">
        <v>4429</v>
      </c>
      <c r="S13" s="154" t="str">
        <f>IFERROR(__xludf.DUMMYFUNCTION("GOOGLETRANSLATE(C13,""zh-tw"",""es-MX"")"),"Tras subir por la cuerda que hay a la derecha de la máquina expendedora en ""Sendero del Aventurero: Lugar de Encuentro"", un pasaje oculto conduce al gran bosque que se encuentra más abajo.")</f>
        <v>Tras subir por la cuerda que hay a la derecha de la máquina expendedora en "Sendero del Aventurero: Lugar de Encuentro", un pasaje oculto conduce al gran bosque que se encuentra más abajo.</v>
      </c>
      <c r="T13" s="100" t="str">
        <f>IFERROR(__xludf.DUMMYFUNCTION("GOOGLETRANSLATE(D13,""zh-tw"",""es-MX"")"),"El robot que encuentres desaparecerá al día siguiente, momento en el que podrás iniciar un encuentro.
(Aún no implementado)
Objeto obtenido: Núcleo de Evolución")</f>
        <v>El robot que encuentres desaparecerá al día siguiente, momento en el que podrás iniciar un encuentro.
(Aún no implementado)
Objeto obtenido: Núcleo de Evolución</v>
      </c>
      <c r="U13" s="300" t="s">
        <v>4450</v>
      </c>
      <c r="V13" s="156" t="str">
        <f>IFERROR(__xludf.DUMMYFUNCTION("GOOGLETRANSLATE(B13,""zh-tw"",""KO"")"),"숨겨진 통로")</f>
        <v>숨겨진 통로</v>
      </c>
      <c r="W13" s="154" t="str">
        <f>IFERROR(__xludf.DUMMYFUNCTION("GOOGLETRANSLATE(C13,""zh-tw"",""KO"")"),"""모험가의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13" s="100" t="str">
        <f>IFERROR(__xludf.DUMMYFUNCTION("GOOGLETRANSLATE(D13,""zh-tw"",""KO"")"),"발견한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13" s="301" t="s">
        <v>4450</v>
      </c>
      <c r="Z13" s="145" t="s">
        <v>4458</v>
      </c>
      <c r="AA13" s="190" t="s">
        <v>4459</v>
      </c>
      <c r="AB13" s="166" t="s">
        <v>4460</v>
      </c>
      <c r="AC13" s="300" t="s">
        <v>4450</v>
      </c>
      <c r="AD13" s="240" t="s">
        <v>4461</v>
      </c>
      <c r="AE13" s="224" t="s">
        <v>4462</v>
      </c>
      <c r="AF13" s="85" t="s">
        <v>4463</v>
      </c>
      <c r="AG13" s="300" t="s">
        <v>4450</v>
      </c>
      <c r="AH13" s="140" t="s">
        <v>4464</v>
      </c>
      <c r="AI13" s="274" t="s">
        <v>4465</v>
      </c>
      <c r="AJ13" s="86" t="s">
        <v>4466</v>
      </c>
      <c r="AK13" s="300" t="s">
        <v>4450</v>
      </c>
      <c r="AL13" s="303" t="s">
        <v>4439</v>
      </c>
      <c r="AM13" s="169" t="s">
        <v>4467</v>
      </c>
      <c r="AN13" s="172" t="s">
        <v>4468</v>
      </c>
      <c r="AO13" s="300" t="s">
        <v>4450</v>
      </c>
      <c r="AP13" s="140" t="s">
        <v>4442</v>
      </c>
      <c r="AQ13" s="154" t="s">
        <v>4469</v>
      </c>
      <c r="AR13" s="100" t="s">
        <v>4470</v>
      </c>
      <c r="AS13" s="300" t="s">
        <v>4450</v>
      </c>
      <c r="AT13" s="140" t="s">
        <v>4445</v>
      </c>
      <c r="AU13" s="154" t="s">
        <v>4471</v>
      </c>
      <c r="AV13" s="100" t="s">
        <v>4472</v>
      </c>
    </row>
    <row r="14">
      <c r="A14" s="294"/>
      <c r="B14" s="295" t="s">
        <v>4473</v>
      </c>
      <c r="E14" s="294"/>
      <c r="F14" s="294"/>
      <c r="I14" s="294"/>
      <c r="J14" s="295" t="s">
        <v>4474</v>
      </c>
      <c r="M14" s="294"/>
      <c r="N14" s="216" t="s">
        <v>4475</v>
      </c>
      <c r="Q14" s="294"/>
      <c r="R14" s="294"/>
      <c r="U14" s="294"/>
      <c r="V14" s="296"/>
      <c r="Y14" s="306"/>
      <c r="Z14" s="297" t="s">
        <v>4476</v>
      </c>
      <c r="AC14" s="294"/>
      <c r="AD14" s="298" t="s">
        <v>4477</v>
      </c>
      <c r="AG14" s="294"/>
      <c r="AH14" s="294"/>
      <c r="AK14" s="294"/>
      <c r="AL14" s="294"/>
      <c r="AO14" s="294"/>
      <c r="AP14" s="307" t="s">
        <v>4478</v>
      </c>
      <c r="AS14" s="294"/>
      <c r="AT14" s="294"/>
    </row>
    <row r="15">
      <c r="A15" s="300" t="s">
        <v>4479</v>
      </c>
      <c r="B15" s="140" t="s">
        <v>4480</v>
      </c>
      <c r="C15" s="139" t="s">
        <v>4481</v>
      </c>
      <c r="D15" s="97" t="s">
        <v>4482</v>
      </c>
      <c r="E15" s="300" t="s">
        <v>4479</v>
      </c>
      <c r="F15" s="140" t="s">
        <v>4483</v>
      </c>
      <c r="G15" s="139" t="s">
        <v>4484</v>
      </c>
      <c r="H15" s="97" t="s">
        <v>4485</v>
      </c>
      <c r="I15" s="300" t="s">
        <v>4479</v>
      </c>
      <c r="J15" s="140" t="s">
        <v>4486</v>
      </c>
      <c r="K15" s="139" t="s">
        <v>4487</v>
      </c>
      <c r="L15" s="97" t="s">
        <v>4488</v>
      </c>
      <c r="M15" s="300" t="s">
        <v>4479</v>
      </c>
      <c r="N15" s="140" t="s">
        <v>4480</v>
      </c>
      <c r="O15" s="139" t="s">
        <v>4489</v>
      </c>
      <c r="P15" s="97" t="s">
        <v>4490</v>
      </c>
      <c r="Q15" s="300" t="s">
        <v>4479</v>
      </c>
      <c r="R15" s="156" t="s">
        <v>4491</v>
      </c>
      <c r="S15" s="154" t="str">
        <f>IFERROR(__xludf.DUMMYFUNCTION("GOOGLETRANSLATE(C15,""zh-tw"",""es-MX"")"),"Sendero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5" s="100" t="str">
        <f>IFERROR(__xludf.DUMMYFUNCTION("GOOGLETRANSLATE(D15,""zh-tw"",""es-MX"")"),"Los 5000 dólares se repondrán después de que llueva, pero la cantidad será menor.")</f>
        <v>Los 5000 dólares se repondrán después de que llueva, pero la cantidad será menor.</v>
      </c>
      <c r="U15" s="300" t="s">
        <v>4479</v>
      </c>
      <c r="V15" s="140" t="s">
        <v>4492</v>
      </c>
      <c r="W15" s="139" t="s">
        <v>4493</v>
      </c>
      <c r="X15" s="97" t="s">
        <v>4494</v>
      </c>
      <c r="Y15" s="301" t="s">
        <v>4479</v>
      </c>
      <c r="Z15" s="145" t="s">
        <v>4495</v>
      </c>
      <c r="AA15" s="146" t="s">
        <v>4496</v>
      </c>
      <c r="AB15" s="147" t="s">
        <v>4497</v>
      </c>
      <c r="AC15" s="300" t="s">
        <v>4479</v>
      </c>
      <c r="AD15" s="240" t="s">
        <v>4498</v>
      </c>
      <c r="AE15" s="224" t="s">
        <v>4499</v>
      </c>
      <c r="AF15" s="85" t="s">
        <v>4500</v>
      </c>
      <c r="AG15" s="300" t="s">
        <v>4479</v>
      </c>
      <c r="AH15" s="140" t="s">
        <v>4501</v>
      </c>
      <c r="AI15" s="274" t="s">
        <v>4502</v>
      </c>
      <c r="AJ15" s="86" t="s">
        <v>4503</v>
      </c>
      <c r="AK15" s="300" t="s">
        <v>4479</v>
      </c>
      <c r="AL15" s="302" t="s">
        <v>4504</v>
      </c>
      <c r="AM15" s="169" t="s">
        <v>4505</v>
      </c>
      <c r="AN15" s="172" t="s">
        <v>4506</v>
      </c>
      <c r="AO15" s="300" t="s">
        <v>4479</v>
      </c>
      <c r="AP15" s="156" t="s">
        <v>4507</v>
      </c>
      <c r="AQ15" s="154" t="s">
        <v>4508</v>
      </c>
      <c r="AR15" s="100" t="s">
        <v>4509</v>
      </c>
      <c r="AS15" s="300" t="s">
        <v>4479</v>
      </c>
      <c r="AT15" s="140" t="s">
        <v>4486</v>
      </c>
      <c r="AU15" s="139" t="s">
        <v>4510</v>
      </c>
      <c r="AV15" s="97" t="s">
        <v>4511</v>
      </c>
    </row>
    <row r="16">
      <c r="A16" s="300" t="s">
        <v>4512</v>
      </c>
      <c r="B16" s="140" t="s">
        <v>4513</v>
      </c>
      <c r="C16" s="139" t="s">
        <v>4514</v>
      </c>
      <c r="D16" s="97" t="s">
        <v>4515</v>
      </c>
      <c r="E16" s="300" t="s">
        <v>4512</v>
      </c>
      <c r="F16" s="140" t="s">
        <v>4516</v>
      </c>
      <c r="G16" s="139" t="s">
        <v>4517</v>
      </c>
      <c r="H16" s="97" t="s">
        <v>4518</v>
      </c>
      <c r="I16" s="300" t="s">
        <v>4512</v>
      </c>
      <c r="J16" s="140" t="s">
        <v>4519</v>
      </c>
      <c r="K16" s="139" t="s">
        <v>4520</v>
      </c>
      <c r="L16" s="97" t="s">
        <v>4521</v>
      </c>
      <c r="M16" s="300" t="s">
        <v>4512</v>
      </c>
      <c r="N16" s="140" t="s">
        <v>4522</v>
      </c>
      <c r="O16" s="154" t="s">
        <v>4523</v>
      </c>
      <c r="P16" s="100" t="s">
        <v>4524</v>
      </c>
      <c r="Q16" s="300" t="s">
        <v>4512</v>
      </c>
      <c r="R16" s="156" t="s">
        <v>4525</v>
      </c>
      <c r="S16" s="154" t="str">
        <f>IFERROR(__xludf.DUMMYFUNCTION("GOOGLETRANSLATE(C16,""zh-tw"",""es-MX"")"),"La Cabaña del Cazador ya está abierta a la exploración; debes derribar la puerta para entrar.
Puedes encontrar la Túnica del Cazador en el montón de pieles.
Puedes encontrar el Cinturón del Cazador en el armario central.
")</f>
        <v>La Cabaña del Cazador ya está abierta a la exploración; debes derribar la puerta para entrar.
Puedes encontrar la Túnica del Cazador en el montón de pieles.
Puedes encontrar el Cinturón del Cazador en el armario central.
</v>
      </c>
      <c r="T16" s="100" t="str">
        <f>IFERROR(__xludf.DUMMYFUNCTION("GOOGLETRANSLATE(D16,""zh-tw"",""es-MX"")"),"Equipo adquirido: Traje de cazador, Cinturón de cazador
*Se prevé la incorporación de un PNJ en el futuro.")</f>
        <v>Equipo adquirido: Traje de cazador, Cinturón de cazador
*Se prevé la incorporación de un PNJ en el futuro.</v>
      </c>
      <c r="U16" s="300" t="s">
        <v>4512</v>
      </c>
      <c r="V16" s="156" t="str">
        <f>IFERROR(__xludf.DUMMYFUNCTION("GOOGLETRANSLATE(B16,""zh-tw"",""KO"")"),"헌터스 롯지")</f>
        <v>헌터스 롯지</v>
      </c>
      <c r="W16" s="154" t="str">
        <f>IFERROR(__xludf.DUMMYFUNCTION("GOOGLETRANSLATE(C16,""zh-tw"",""KO"")"),"사냥꾼의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16" s="100" t="str">
        <f>IFERROR(__xludf.DUMMYFUNCTION("GOOGLETRANSLATE(D16,""zh-tw"",""KO"")"),"획득 장비: 헌터 슈트, 헌터 벨트
*향후 NPC가 추가될 예정입니다.")</f>
        <v>획득 장비: 헌터 슈트, 헌터 벨트
*향후 NPC가 추가될 예정입니다.</v>
      </c>
      <c r="Y16" s="301" t="s">
        <v>4512</v>
      </c>
      <c r="Z16" s="145" t="s">
        <v>4526</v>
      </c>
      <c r="AA16" s="190" t="s">
        <v>4527</v>
      </c>
      <c r="AB16" s="166" t="s">
        <v>4528</v>
      </c>
      <c r="AC16" s="300" t="s">
        <v>4512</v>
      </c>
      <c r="AD16" s="240" t="s">
        <v>4529</v>
      </c>
      <c r="AE16" s="224" t="s">
        <v>4530</v>
      </c>
      <c r="AF16" s="85" t="s">
        <v>4531</v>
      </c>
      <c r="AG16" s="300" t="s">
        <v>4512</v>
      </c>
      <c r="AH16" s="140" t="s">
        <v>4532</v>
      </c>
      <c r="AI16" s="139" t="s">
        <v>4533</v>
      </c>
      <c r="AJ16" s="97" t="s">
        <v>4534</v>
      </c>
      <c r="AK16" s="300" t="s">
        <v>4512</v>
      </c>
      <c r="AL16" s="302" t="s">
        <v>4535</v>
      </c>
      <c r="AM16" s="169" t="s">
        <v>4536</v>
      </c>
      <c r="AN16" s="172" t="s">
        <v>4537</v>
      </c>
      <c r="AO16" s="300" t="s">
        <v>4512</v>
      </c>
      <c r="AP16" s="156" t="s">
        <v>4538</v>
      </c>
      <c r="AQ16" s="154" t="s">
        <v>4539</v>
      </c>
      <c r="AR16" s="100" t="s">
        <v>4540</v>
      </c>
      <c r="AS16" s="300" t="s">
        <v>4512</v>
      </c>
      <c r="AT16" s="136" t="s">
        <v>4541</v>
      </c>
      <c r="AU16" s="154" t="s">
        <v>4542</v>
      </c>
      <c r="AV16" s="100" t="s">
        <v>4543</v>
      </c>
    </row>
    <row r="17">
      <c r="A17" s="300" t="s">
        <v>4544</v>
      </c>
      <c r="B17" s="140" t="s">
        <v>4545</v>
      </c>
      <c r="C17" s="139" t="s">
        <v>4546</v>
      </c>
      <c r="D17" s="97" t="s">
        <v>4547</v>
      </c>
      <c r="E17" s="300" t="s">
        <v>4544</v>
      </c>
      <c r="F17" s="140" t="s">
        <v>4548</v>
      </c>
      <c r="G17" s="139" t="s">
        <v>4549</v>
      </c>
      <c r="H17" s="97" t="s">
        <v>4550</v>
      </c>
      <c r="I17" s="300" t="s">
        <v>4544</v>
      </c>
      <c r="J17" s="140" t="s">
        <v>4551</v>
      </c>
      <c r="K17" s="139" t="s">
        <v>4552</v>
      </c>
      <c r="L17" s="97" t="s">
        <v>4553</v>
      </c>
      <c r="M17" s="300" t="s">
        <v>4544</v>
      </c>
      <c r="N17" s="140" t="s">
        <v>4554</v>
      </c>
      <c r="O17" s="154" t="s">
        <v>4555</v>
      </c>
      <c r="P17" s="100" t="s">
        <v>4556</v>
      </c>
      <c r="Q17" s="300" t="s">
        <v>4544</v>
      </c>
      <c r="R17" s="156" t="s">
        <v>4557</v>
      </c>
      <c r="S17" s="154" t="str">
        <f>IFERROR(__xludf.DUMMYFUNCTION("GOOGLETRANSLATE(C17,""zh-tw"",""es-MX"")"),"En la parte inferior central del tablón de madera hay un pasaje secreto, al que se puede acceder mediante explosiones u otros medios.
Allí podrás conseguir la Daga del Cazador.
Y en el barril de la esquina inferior derecha, encontrarás la Insignia de la"&amp;" Espada Guardiana.")</f>
        <v>En la parte inferior central del tablón de madera hay un pasaje secreto, al que se puede acceder mediante explosiones u otros medios.
Allí podrás conseguir la Daga del Cazador.
Y en el barril de la esquina inferior derecha, encontrarás la Insignia de la Espada Guardiana.</v>
      </c>
      <c r="T17" s="100" t="str">
        <f>IFERROR(__xludf.DUMMYFUNCTION("GOOGLETRANSLATE(D17,""zh-tw"",""es-MX"")"),"Equipo adquirido: Daga del cazador, Insignia del maestro de la espada guardiana")</f>
        <v>Equipo adquirido: Daga del cazador, Insignia del maestro de la espada guardiana</v>
      </c>
      <c r="U17" s="300" t="s">
        <v>4544</v>
      </c>
      <c r="V17" s="156" t="str">
        <f>IFERROR(__xludf.DUMMYFUNCTION("GOOGLETRANSLATE(B17,""zh-tw"",""KO"")"),"헌터스 로지 - 지하실")</f>
        <v>헌터스 로지 - 지하실</v>
      </c>
      <c r="W17" s="154" t="str">
        <f>IFERROR(__xludf.DUMMYFUNCTION("GOOGLETRANSLATE(C17,""zh-tw"",""KO"")"),"나무판자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17" s="100" t="str">
        <f>IFERROR(__xludf.DUMMYFUNCTION("GOOGLETRANSLATE(D17,""zh-tw"",""KO"")"),"획득 장비: 사냥꾼의 단검, 수호검 달인의 휘장")</f>
        <v>획득 장비: 사냥꾼의 단검, 수호검 달인의 휘장</v>
      </c>
      <c r="Y17" s="301" t="s">
        <v>4544</v>
      </c>
      <c r="Z17" s="145" t="s">
        <v>4558</v>
      </c>
      <c r="AA17" s="190" t="s">
        <v>4559</v>
      </c>
      <c r="AB17" s="166" t="s">
        <v>4560</v>
      </c>
      <c r="AC17" s="300" t="s">
        <v>4544</v>
      </c>
      <c r="AD17" s="240" t="s">
        <v>4561</v>
      </c>
      <c r="AE17" s="224" t="s">
        <v>4562</v>
      </c>
      <c r="AF17" s="85" t="s">
        <v>4563</v>
      </c>
      <c r="AG17" s="300" t="s">
        <v>4544</v>
      </c>
      <c r="AH17" s="140" t="s">
        <v>4564</v>
      </c>
      <c r="AI17" s="139" t="s">
        <v>4565</v>
      </c>
      <c r="AJ17" s="97" t="s">
        <v>4566</v>
      </c>
      <c r="AK17" s="300" t="s">
        <v>4544</v>
      </c>
      <c r="AL17" s="302" t="s">
        <v>4567</v>
      </c>
      <c r="AM17" s="169" t="s">
        <v>4568</v>
      </c>
      <c r="AN17" s="172" t="s">
        <v>4569</v>
      </c>
      <c r="AO17" s="300" t="s">
        <v>4544</v>
      </c>
      <c r="AP17" s="156" t="s">
        <v>4570</v>
      </c>
      <c r="AQ17" s="154" t="s">
        <v>4571</v>
      </c>
      <c r="AR17" s="100" t="s">
        <v>4572</v>
      </c>
      <c r="AS17" s="300" t="s">
        <v>4544</v>
      </c>
      <c r="AT17" s="136" t="s">
        <v>4573</v>
      </c>
      <c r="AU17" s="154" t="s">
        <v>4574</v>
      </c>
      <c r="AV17" s="100" t="s">
        <v>4575</v>
      </c>
    </row>
    <row r="18">
      <c r="A18" s="300" t="s">
        <v>4576</v>
      </c>
      <c r="B18" s="140" t="s">
        <v>4416</v>
      </c>
      <c r="C18" s="139" t="s">
        <v>4577</v>
      </c>
      <c r="D18" s="97" t="s">
        <v>4578</v>
      </c>
      <c r="E18" s="300" t="s">
        <v>4576</v>
      </c>
      <c r="F18" s="140" t="s">
        <v>4420</v>
      </c>
      <c r="G18" s="139" t="s">
        <v>4579</v>
      </c>
      <c r="H18" s="97" t="s">
        <v>4580</v>
      </c>
      <c r="I18" s="300" t="s">
        <v>4576</v>
      </c>
      <c r="J18" s="140" t="s">
        <v>4423</v>
      </c>
      <c r="K18" s="139" t="s">
        <v>4581</v>
      </c>
      <c r="L18" s="97" t="s">
        <v>4582</v>
      </c>
      <c r="M18" s="300" t="s">
        <v>4576</v>
      </c>
      <c r="N18" s="140" t="s">
        <v>4426</v>
      </c>
      <c r="O18" s="139" t="s">
        <v>4583</v>
      </c>
      <c r="P18" s="97" t="s">
        <v>4584</v>
      </c>
      <c r="Q18" s="300" t="s">
        <v>4576</v>
      </c>
      <c r="R18" s="140" t="s">
        <v>4585</v>
      </c>
      <c r="S18" s="154" t="str">
        <f>IFERROR(__xludf.DUMMYFUNCTION("GOOGLETRANSLATE(C18,""zh-tw"",""es-MX"")"),"Sendero del Aventurero: Objeto oculto en la esquina inferior derecha del bosque.")</f>
        <v>Sendero del Aventurero: Objeto oculto en la esquina inferior derecha del bosque.</v>
      </c>
      <c r="T18" s="100" t="str">
        <f>IFERROR(__xludf.DUMMYFUNCTION("GOOGLETRANSLATE(D18,""zh-tw"",""es-MX"")"),"Obtener artículos")</f>
        <v>Obtener artículos</v>
      </c>
      <c r="U18" s="300" t="s">
        <v>4576</v>
      </c>
      <c r="V18" s="156" t="str">
        <f>IFERROR(__xludf.DUMMYFUNCTION("GOOGLETRANSLATE(B18,""zh-tw"",""KO"")"),"숨겨진 통로")</f>
        <v>숨겨진 통로</v>
      </c>
      <c r="W18" s="154" t="str">
        <f>IFERROR(__xludf.DUMMYFUNCTION("GOOGLETRANSLATE(C18,""zh-tw"",""KO"")"),"모험가의 길: 숲의 오른쪽 아래 구석에 숨겨진 아이템이 있습니다.")</f>
        <v>모험가의 길: 숲의 오른쪽 아래 구석에 숨겨진 아이템이 있습니다.</v>
      </c>
      <c r="X18" s="100" t="str">
        <f>IFERROR(__xludf.DUMMYFUNCTION("GOOGLETRANSLATE(D18,""zh-tw"",""KO"")"),"아이템을 획득하세요")</f>
        <v>아이템을 획득하세요</v>
      </c>
      <c r="Y18" s="301" t="s">
        <v>4576</v>
      </c>
      <c r="Z18" s="145" t="s">
        <v>4458</v>
      </c>
      <c r="AA18" s="190" t="s">
        <v>4586</v>
      </c>
      <c r="AB18" s="166" t="s">
        <v>4587</v>
      </c>
      <c r="AC18" s="300" t="s">
        <v>4576</v>
      </c>
      <c r="AD18" s="240" t="s">
        <v>4461</v>
      </c>
      <c r="AE18" s="224" t="s">
        <v>4588</v>
      </c>
      <c r="AF18" s="85" t="s">
        <v>4589</v>
      </c>
      <c r="AG18" s="300" t="s">
        <v>4576</v>
      </c>
      <c r="AH18" s="140" t="s">
        <v>4436</v>
      </c>
      <c r="AI18" s="274" t="s">
        <v>4590</v>
      </c>
      <c r="AJ18" s="86" t="s">
        <v>4591</v>
      </c>
      <c r="AK18" s="300" t="s">
        <v>4576</v>
      </c>
      <c r="AL18" s="303" t="s">
        <v>4439</v>
      </c>
      <c r="AM18" s="169" t="s">
        <v>4592</v>
      </c>
      <c r="AN18" s="172" t="s">
        <v>4593</v>
      </c>
      <c r="AO18" s="300" t="s">
        <v>4576</v>
      </c>
      <c r="AP18" s="140" t="s">
        <v>4442</v>
      </c>
      <c r="AQ18" s="154" t="s">
        <v>4594</v>
      </c>
      <c r="AR18" s="100" t="s">
        <v>4595</v>
      </c>
      <c r="AS18" s="300" t="s">
        <v>4576</v>
      </c>
      <c r="AT18" s="140" t="s">
        <v>4445</v>
      </c>
      <c r="AU18" s="154" t="s">
        <v>4596</v>
      </c>
      <c r="AV18" s="100" t="s">
        <v>4597</v>
      </c>
    </row>
    <row r="19">
      <c r="A19" s="300" t="s">
        <v>4598</v>
      </c>
      <c r="B19" s="140" t="s">
        <v>4599</v>
      </c>
      <c r="C19" s="139" t="s">
        <v>4600</v>
      </c>
      <c r="D19" s="97" t="s">
        <v>4601</v>
      </c>
      <c r="E19" s="300" t="s">
        <v>4598</v>
      </c>
      <c r="F19" s="140" t="s">
        <v>4602</v>
      </c>
      <c r="G19" s="139" t="s">
        <v>4603</v>
      </c>
      <c r="H19" s="97" t="s">
        <v>4604</v>
      </c>
      <c r="I19" s="300" t="s">
        <v>4598</v>
      </c>
      <c r="J19" s="140" t="s">
        <v>4605</v>
      </c>
      <c r="K19" s="139" t="s">
        <v>4606</v>
      </c>
      <c r="L19" s="97" t="s">
        <v>4607</v>
      </c>
      <c r="M19" s="300" t="s">
        <v>4598</v>
      </c>
      <c r="N19" s="140" t="s">
        <v>4599</v>
      </c>
      <c r="O19" s="154" t="s">
        <v>4608</v>
      </c>
      <c r="P19" s="100" t="s">
        <v>4609</v>
      </c>
      <c r="Q19" s="300" t="s">
        <v>4598</v>
      </c>
      <c r="R19" s="156" t="s">
        <v>4610</v>
      </c>
      <c r="S19" s="154" t="str">
        <f>IFERROR(__xludf.DUMMYFUNCTION("GOOGLETRANSLATE(C19,""zh-tw"",""es-MX"")"),"Sendero del Aventurero: Bosque-2, punto de encuentro en el pasaje oculto del medio.")</f>
        <v>Sendero del Aventurero: Bosque-2, punto de encuentro en el pasaje oculto del medio.</v>
      </c>
      <c r="T19" s="100" t="str">
        <f>IFERROR(__xludf.DUMMYFUNCTION("GOOGLETRANSLATE(D19,""zh-tw"",""es-MX"")"),"Objeto obtenido: Carta del Tarot - La Templanza
(Se recarga en días lluviosos)")</f>
        <v>Objeto obtenido: Carta del Tarot - La Templanza
(Se recarga en días lluviosos)</v>
      </c>
      <c r="U19" s="300" t="s">
        <v>4598</v>
      </c>
      <c r="V19" s="156" t="str">
        <f>IFERROR(__xludf.DUMMYFUNCTION("GOOGLETRANSLATE(B19,""zh-tw"",""KO"")"),"숨겨진 아이템")</f>
        <v>숨겨진 아이템</v>
      </c>
      <c r="W19" s="154" t="str">
        <f>IFERROR(__xludf.DUMMYFUNCTION("GOOGLETRANSLATE(C19,""zh-tw"",""KO"")"),"모험가의 길: 숲 2, 중앙의 숨겨진 통로에 집결")</f>
        <v>모험가의 길: 숲 2, 중앙의 숨겨진 통로에 집결</v>
      </c>
      <c r="X19" s="100" t="str">
        <f>IFERROR(__xludf.DUMMYFUNCTION("GOOGLETRANSLATE(D19,""zh-tw"",""KO"")"),"획득 아이템: 타로 카드 - 절제
(비 오는 날에 효과가 사라집니다)")</f>
        <v>획득 아이템: 타로 카드 - 절제
(비 오는 날에 효과가 사라집니다)</v>
      </c>
      <c r="Y19" s="301" t="s">
        <v>4598</v>
      </c>
      <c r="Z19" s="145" t="s">
        <v>4611</v>
      </c>
      <c r="AA19" s="190" t="s">
        <v>4612</v>
      </c>
      <c r="AB19" s="166" t="s">
        <v>4613</v>
      </c>
      <c r="AC19" s="300" t="s">
        <v>4598</v>
      </c>
      <c r="AD19" s="270" t="s">
        <v>4614</v>
      </c>
      <c r="AE19" s="224" t="s">
        <v>4615</v>
      </c>
      <c r="AF19" s="96" t="s">
        <v>4616</v>
      </c>
      <c r="AG19" s="300" t="s">
        <v>4598</v>
      </c>
      <c r="AH19" s="140" t="s">
        <v>4617</v>
      </c>
      <c r="AI19" s="274" t="s">
        <v>4618</v>
      </c>
      <c r="AJ19" s="86" t="s">
        <v>4619</v>
      </c>
      <c r="AK19" s="300" t="s">
        <v>4598</v>
      </c>
      <c r="AL19" s="308" t="s">
        <v>4620</v>
      </c>
      <c r="AM19" s="309" t="s">
        <v>4621</v>
      </c>
      <c r="AN19" s="310" t="s">
        <v>4622</v>
      </c>
      <c r="AO19" s="300" t="s">
        <v>4598</v>
      </c>
      <c r="AP19" s="140" t="s">
        <v>4623</v>
      </c>
      <c r="AQ19" s="139" t="s">
        <v>4624</v>
      </c>
      <c r="AR19" s="97" t="s">
        <v>4625</v>
      </c>
      <c r="AS19" s="300" t="s">
        <v>4598</v>
      </c>
      <c r="AT19" s="136" t="s">
        <v>4626</v>
      </c>
      <c r="AU19" s="154" t="s">
        <v>4627</v>
      </c>
      <c r="AV19" s="100" t="s">
        <v>4628</v>
      </c>
    </row>
    <row r="20">
      <c r="A20" s="300" t="s">
        <v>4629</v>
      </c>
      <c r="B20" s="140" t="s">
        <v>4630</v>
      </c>
      <c r="C20" s="152" t="s">
        <v>4631</v>
      </c>
      <c r="D20" s="164" t="s">
        <v>4632</v>
      </c>
      <c r="E20" s="300" t="s">
        <v>4629</v>
      </c>
      <c r="F20" s="140" t="s">
        <v>4633</v>
      </c>
      <c r="G20" s="139" t="s">
        <v>4634</v>
      </c>
      <c r="H20" s="97" t="s">
        <v>4635</v>
      </c>
      <c r="I20" s="300" t="s">
        <v>4629</v>
      </c>
      <c r="J20" s="140" t="s">
        <v>4636</v>
      </c>
      <c r="K20" s="139" t="s">
        <v>4637</v>
      </c>
      <c r="L20" s="97" t="s">
        <v>4638</v>
      </c>
      <c r="M20" s="300" t="s">
        <v>4629</v>
      </c>
      <c r="N20" s="140" t="s">
        <v>4639</v>
      </c>
      <c r="O20" s="139" t="s">
        <v>4640</v>
      </c>
      <c r="P20" s="97" t="s">
        <v>4641</v>
      </c>
      <c r="Q20" s="300" t="s">
        <v>4629</v>
      </c>
      <c r="R20" s="156" t="s">
        <v>4642</v>
      </c>
      <c r="S20" s="154" t="str">
        <f>IFERROR(__xludf.DUMMYFUNCTION("GOOGLETRANSLATE(C20,""zh-tw"",""es-MX"")"),"Desde ""Sendero del Aventurero: Bosque-2"", tras pasar el tablón de anuncios, se puede llegar a ""Bosque de Ruinas (Conejo Blanco del Jardín en Miniatura)"" atravesando el bosque.")</f>
        <v>Desde "Sendero del Aventurero: Bosque-2", tras pasar el tablón de anuncios, se puede llegar a "Bosque de Ruinas (Conejo Blanco del Jardín en Miniatura)" atravesando el bosque.</v>
      </c>
      <c r="T20" s="100" t="str">
        <f>IFERROR(__xludf.DUMMYFUNCTION("GOOGLETRANSLATE(D20,""zh-tw"",""es-MX"")"),"Llegada al ""Bosque de las Ruinas""
(El Conejo Blanco del Pequeño Jardín)")</f>
        <v>Llegada al "Bosque de las Ruinas"
(El Conejo Blanco del Pequeño Jardín)</v>
      </c>
      <c r="U20" s="300" t="s">
        <v>4629</v>
      </c>
      <c r="V20" s="156" t="str">
        <f>IFERROR(__xludf.DUMMYFUNCTION("GOOGLETRANSLATE(B20,""zh-tw"",""KO"")"),"폐허의 숲(작은 정원의 흰 토끼)으로 향하세요.")</f>
        <v>폐허의 숲(작은 정원의 흰 토끼)으로 향하세요.</v>
      </c>
      <c r="W20" s="154" t="str">
        <f>IFERROR(__xludf.DUMMYFUNCTION("GOOGLETRANSLATE(C20,""zh-tw"",""KO"")"),"""모험가의 길: 숲-2""에서 게시판을 지나친 후 숲을 통과하면 ""폐허의 숲(미니어처 정원의 흰 토끼)""에 도달할 수 있습니다.")</f>
        <v>"모험가의 길: 숲-2"에서 게시판을 지나친 후 숲을 통과하면 "폐허의 숲(미니어처 정원의 흰 토끼)"에 도달할 수 있습니다.</v>
      </c>
      <c r="X20" s="100" t="str">
        <f>IFERROR(__xludf.DUMMYFUNCTION("GOOGLETRANSLATE(D20,""zh-tw"",""KO"")"),"""폐허의 숲"" 도착
(작은 정원의 흰 토끼)")</f>
        <v>"폐허의 숲" 도착
(작은 정원의 흰 토끼)</v>
      </c>
      <c r="Y20" s="301" t="s">
        <v>4629</v>
      </c>
      <c r="Z20" s="145" t="s">
        <v>4643</v>
      </c>
      <c r="AA20" s="190" t="s">
        <v>4644</v>
      </c>
      <c r="AB20" s="166" t="s">
        <v>4645</v>
      </c>
      <c r="AC20" s="311" t="s">
        <v>4629</v>
      </c>
      <c r="AD20" s="240" t="s">
        <v>4646</v>
      </c>
      <c r="AE20" s="224" t="s">
        <v>4647</v>
      </c>
      <c r="AF20" s="85" t="s">
        <v>4648</v>
      </c>
      <c r="AG20" s="300" t="s">
        <v>4629</v>
      </c>
      <c r="AH20" s="140" t="s">
        <v>4649</v>
      </c>
      <c r="AI20" s="139" t="s">
        <v>4650</v>
      </c>
      <c r="AJ20" s="97" t="s">
        <v>4651</v>
      </c>
      <c r="AK20" s="300" t="s">
        <v>4629</v>
      </c>
      <c r="AL20" s="312" t="s">
        <v>4652</v>
      </c>
      <c r="AM20" s="169" t="s">
        <v>4653</v>
      </c>
      <c r="AN20" s="238" t="s">
        <v>4654</v>
      </c>
      <c r="AO20" s="300" t="s">
        <v>4629</v>
      </c>
      <c r="AP20" s="313" t="s">
        <v>4655</v>
      </c>
      <c r="AQ20" s="154" t="s">
        <v>4656</v>
      </c>
      <c r="AR20" s="100" t="s">
        <v>4657</v>
      </c>
      <c r="AS20" s="300" t="s">
        <v>4629</v>
      </c>
      <c r="AT20" s="136" t="s">
        <v>4658</v>
      </c>
      <c r="AU20" s="154" t="s">
        <v>4659</v>
      </c>
      <c r="AV20" s="100" t="s">
        <v>4660</v>
      </c>
    </row>
    <row r="21">
      <c r="A21" s="294"/>
      <c r="B21" s="216" t="s">
        <v>4661</v>
      </c>
      <c r="E21" s="294"/>
      <c r="F21" s="296"/>
      <c r="I21" s="294"/>
      <c r="J21" s="295" t="s">
        <v>4662</v>
      </c>
      <c r="M21" s="294"/>
      <c r="N21" s="216" t="s">
        <v>4663</v>
      </c>
      <c r="Q21" s="294"/>
      <c r="R21" s="296"/>
      <c r="U21" s="294"/>
      <c r="V21" s="296"/>
      <c r="Y21" s="314"/>
      <c r="Z21" s="297" t="s">
        <v>4664</v>
      </c>
      <c r="AC21" s="294"/>
      <c r="AD21" s="298" t="s">
        <v>4665</v>
      </c>
      <c r="AG21" s="294"/>
      <c r="AH21" s="294"/>
      <c r="AK21" s="294"/>
      <c r="AL21" s="296"/>
      <c r="AO21" s="294"/>
      <c r="AP21" s="299" t="s">
        <v>4666</v>
      </c>
      <c r="AS21" s="294"/>
      <c r="AT21" s="294"/>
    </row>
    <row r="22">
      <c r="A22" s="300" t="s">
        <v>4667</v>
      </c>
      <c r="B22" s="140" t="s">
        <v>4668</v>
      </c>
      <c r="C22" s="139" t="s">
        <v>4669</v>
      </c>
      <c r="D22" s="97" t="s">
        <v>4670</v>
      </c>
      <c r="E22" s="300" t="s">
        <v>4667</v>
      </c>
      <c r="F22" s="140" t="s">
        <v>4671</v>
      </c>
      <c r="G22" s="139" t="s">
        <v>4672</v>
      </c>
      <c r="H22" s="97" t="s">
        <v>4673</v>
      </c>
      <c r="I22" s="300" t="s">
        <v>4667</v>
      </c>
      <c r="J22" s="140" t="s">
        <v>4674</v>
      </c>
      <c r="K22" s="139" t="s">
        <v>4675</v>
      </c>
      <c r="L22" s="97" t="s">
        <v>4676</v>
      </c>
      <c r="M22" s="300" t="s">
        <v>4667</v>
      </c>
      <c r="N22" s="140" t="s">
        <v>4677</v>
      </c>
      <c r="O22" s="139" t="s">
        <v>4678</v>
      </c>
      <c r="P22" s="97" t="s">
        <v>4679</v>
      </c>
      <c r="Q22" s="300" t="s">
        <v>4667</v>
      </c>
      <c r="R22" s="140" t="s">
        <v>4680</v>
      </c>
      <c r="S22" s="139" t="s">
        <v>4681</v>
      </c>
      <c r="T22" s="100" t="str">
        <f>IFERROR(__xludf.DUMMYFUNCTION("GOOGLETRANSLATE(D22,""zh-tw"",""es-MX"")"),"Consigue el objeto ""Pato de goma""; se puede colocar dentro de la bañera.")</f>
        <v>Consigue el objeto "Pato de goma"; se puede colocar dentro de la bañera.</v>
      </c>
      <c r="U22" s="300" t="s">
        <v>4667</v>
      </c>
      <c r="V22" s="156" t="str">
        <f>IFERROR(__xludf.DUMMYFUNCTION("GOOGLETRANSLATE(B22,""zh-tw"",""KO"")"),"오리")</f>
        <v>오리</v>
      </c>
      <c r="W22" s="154" t="str">
        <f>IFERROR(__xludf.DUMMYFUNCTION("GOOGLETRANSLATE(C22,""zh-tw"",""KO"")"),"모험가의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22" s="100" t="str">
        <f>IFERROR(__xludf.DUMMYFUNCTION("GOOGLETRANSLATE(D22,""zh-tw"",""KO"")"),"""고무 오리"" 아이템을 구해서 욕조 안에 넣으세요.")</f>
        <v>"고무 오리" 아이템을 구해서 욕조 안에 넣으세요.</v>
      </c>
      <c r="Y22" s="301" t="s">
        <v>4667</v>
      </c>
      <c r="Z22" s="145" t="s">
        <v>4682</v>
      </c>
      <c r="AA22" s="146" t="s">
        <v>4683</v>
      </c>
      <c r="AB22" s="147" t="s">
        <v>4684</v>
      </c>
      <c r="AC22" s="300" t="s">
        <v>4667</v>
      </c>
      <c r="AD22" s="240" t="s">
        <v>4685</v>
      </c>
      <c r="AE22" s="224" t="s">
        <v>4686</v>
      </c>
      <c r="AF22" s="85" t="s">
        <v>4687</v>
      </c>
      <c r="AG22" s="300" t="s">
        <v>4667</v>
      </c>
      <c r="AH22" s="140" t="s">
        <v>4688</v>
      </c>
      <c r="AI22" s="274" t="s">
        <v>4689</v>
      </c>
      <c r="AJ22" s="86" t="s">
        <v>4690</v>
      </c>
      <c r="AK22" s="300" t="s">
        <v>4667</v>
      </c>
      <c r="AL22" s="302" t="s">
        <v>4691</v>
      </c>
      <c r="AM22" s="169" t="s">
        <v>4692</v>
      </c>
      <c r="AN22" s="172" t="s">
        <v>4693</v>
      </c>
      <c r="AO22" s="300" t="s">
        <v>4667</v>
      </c>
      <c r="AP22" s="156" t="s">
        <v>4674</v>
      </c>
      <c r="AQ22" s="154" t="s">
        <v>4694</v>
      </c>
      <c r="AR22" s="100" t="s">
        <v>4695</v>
      </c>
      <c r="AS22" s="300" t="s">
        <v>4667</v>
      </c>
      <c r="AT22" s="140" t="s">
        <v>4674</v>
      </c>
      <c r="AU22" s="139" t="s">
        <v>4696</v>
      </c>
      <c r="AV22" s="97" t="s">
        <v>4697</v>
      </c>
    </row>
    <row r="23">
      <c r="A23" s="300" t="s">
        <v>4698</v>
      </c>
      <c r="B23" s="140" t="s">
        <v>4416</v>
      </c>
      <c r="C23" s="139" t="s">
        <v>4699</v>
      </c>
      <c r="D23" s="97" t="s">
        <v>4700</v>
      </c>
      <c r="E23" s="300" t="s">
        <v>4698</v>
      </c>
      <c r="F23" s="140" t="s">
        <v>4420</v>
      </c>
      <c r="G23" s="139" t="s">
        <v>4701</v>
      </c>
      <c r="H23" s="97" t="s">
        <v>4702</v>
      </c>
      <c r="I23" s="300" t="s">
        <v>4698</v>
      </c>
      <c r="J23" s="140" t="s">
        <v>4423</v>
      </c>
      <c r="K23" s="139" t="s">
        <v>4703</v>
      </c>
      <c r="L23" s="97" t="s">
        <v>4704</v>
      </c>
      <c r="M23" s="300" t="s">
        <v>4698</v>
      </c>
      <c r="N23" s="140" t="s">
        <v>4426</v>
      </c>
      <c r="O23" s="139" t="s">
        <v>4705</v>
      </c>
      <c r="P23" s="97" t="s">
        <v>4706</v>
      </c>
      <c r="Q23" s="300" t="s">
        <v>4698</v>
      </c>
      <c r="R23" s="140" t="s">
        <v>4429</v>
      </c>
      <c r="S23" s="154" t="str">
        <f>IFERROR(__xludf.DUMMYFUNCTION("GOOGLETRANSLATE(C23,""zh-tw"",""es-MX"")"),"Sendero del Aventurero: Detrás del monumento que se encuentra más abajo, hay un objeto oculto.")</f>
        <v>Sendero del Aventurero: Detrás del monumento que se encuentra más abajo, hay un objeto oculto.</v>
      </c>
      <c r="T23" s="100" t="str">
        <f>IFERROR(__xludf.DUMMYFUNCTION("GOOGLETRANSLATE(D23,""zh-tw"",""es-MX"")"),"Obtén el objeto y el arma: Bastón de Lava.")</f>
        <v>Obtén el objeto y el arma: Bastón de Lava.</v>
      </c>
      <c r="U23" s="300" t="s">
        <v>4698</v>
      </c>
      <c r="V23" s="156" t="str">
        <f>IFERROR(__xludf.DUMMYFUNCTION("GOOGLETRANSLATE(B23,""zh-tw"",""KO"")"),"숨겨진 통로")</f>
        <v>숨겨진 통로</v>
      </c>
      <c r="W23" s="154" t="str">
        <f>IFERROR(__xludf.DUMMYFUNCTION("GOOGLETRANSLATE(C23,""zh-tw"",""KO"")"),"모험가의 길: 아래 기념비 뒤에 숨겨진 아이템이 있습니다.")</f>
        <v>모험가의 길: 아래 기념비 뒤에 숨겨진 아이템이 있습니다.</v>
      </c>
      <c r="X23" s="100" t="str">
        <f>IFERROR(__xludf.DUMMYFUNCTION("GOOGLETRANSLATE(D23,""zh-tw"",""KO"")"),"아이템과 무기인 용암 지팡이를 획득하세요.")</f>
        <v>아이템과 무기인 용암 지팡이를 획득하세요.</v>
      </c>
      <c r="Y23" s="301" t="s">
        <v>4698</v>
      </c>
      <c r="Z23" s="145" t="s">
        <v>4430</v>
      </c>
      <c r="AA23" s="190" t="s">
        <v>4707</v>
      </c>
      <c r="AB23" s="166" t="s">
        <v>4708</v>
      </c>
      <c r="AC23" s="300" t="s">
        <v>4698</v>
      </c>
      <c r="AD23" s="240" t="s">
        <v>4433</v>
      </c>
      <c r="AE23" s="224" t="s">
        <v>4709</v>
      </c>
      <c r="AF23" s="85" t="s">
        <v>4710</v>
      </c>
      <c r="AG23" s="300" t="s">
        <v>4698</v>
      </c>
      <c r="AH23" s="140" t="s">
        <v>4436</v>
      </c>
      <c r="AI23" s="274" t="s">
        <v>4711</v>
      </c>
      <c r="AJ23" s="86" t="s">
        <v>4712</v>
      </c>
      <c r="AK23" s="300" t="s">
        <v>4698</v>
      </c>
      <c r="AL23" s="303" t="s">
        <v>4439</v>
      </c>
      <c r="AM23" s="169" t="s">
        <v>4713</v>
      </c>
      <c r="AN23" s="172" t="s">
        <v>4714</v>
      </c>
      <c r="AO23" s="300" t="s">
        <v>4698</v>
      </c>
      <c r="AP23" s="140" t="s">
        <v>4442</v>
      </c>
      <c r="AQ23" s="154" t="s">
        <v>4715</v>
      </c>
      <c r="AR23" s="100" t="s">
        <v>4716</v>
      </c>
      <c r="AS23" s="300" t="s">
        <v>4698</v>
      </c>
      <c r="AT23" s="140" t="s">
        <v>4445</v>
      </c>
      <c r="AU23" s="154" t="s">
        <v>4717</v>
      </c>
      <c r="AV23" s="100" t="s">
        <v>4718</v>
      </c>
    </row>
    <row r="24">
      <c r="A24" s="294"/>
      <c r="B24" s="216" t="s">
        <v>4719</v>
      </c>
      <c r="E24" s="294"/>
      <c r="F24" s="294"/>
      <c r="I24" s="294"/>
      <c r="J24" s="295" t="s">
        <v>4720</v>
      </c>
      <c r="M24" s="294"/>
      <c r="N24" s="216" t="s">
        <v>4721</v>
      </c>
      <c r="Q24" s="294"/>
      <c r="R24" s="294"/>
      <c r="U24" s="294"/>
      <c r="V24" s="296"/>
      <c r="Y24" s="314"/>
      <c r="Z24" s="297" t="s">
        <v>4722</v>
      </c>
      <c r="AC24" s="294"/>
      <c r="AD24" s="298" t="s">
        <v>4723</v>
      </c>
      <c r="AG24" s="294"/>
      <c r="AH24" s="294"/>
      <c r="AK24" s="294"/>
      <c r="AL24" s="294"/>
      <c r="AO24" s="294"/>
      <c r="AP24" s="299" t="s">
        <v>4724</v>
      </c>
      <c r="AS24" s="294"/>
      <c r="AT24" s="294"/>
    </row>
    <row r="25">
      <c r="A25" s="300" t="s">
        <v>4725</v>
      </c>
      <c r="B25" s="151" t="s">
        <v>4726</v>
      </c>
      <c r="C25" s="139" t="s">
        <v>4727</v>
      </c>
      <c r="D25" s="97" t="s">
        <v>4728</v>
      </c>
      <c r="E25" s="300" t="s">
        <v>4725</v>
      </c>
      <c r="F25" s="140" t="s">
        <v>4729</v>
      </c>
      <c r="G25" s="139" t="s">
        <v>4730</v>
      </c>
      <c r="H25" s="97" t="s">
        <v>4731</v>
      </c>
      <c r="I25" s="300" t="s">
        <v>4725</v>
      </c>
      <c r="J25" s="140" t="s">
        <v>4732</v>
      </c>
      <c r="K25" s="139" t="s">
        <v>4733</v>
      </c>
      <c r="L25" s="97" t="s">
        <v>4734</v>
      </c>
      <c r="M25" s="300" t="s">
        <v>4725</v>
      </c>
      <c r="N25" s="140" t="s">
        <v>4735</v>
      </c>
      <c r="O25" s="139" t="s">
        <v>4736</v>
      </c>
      <c r="P25" s="97" t="s">
        <v>4737</v>
      </c>
      <c r="Q25" s="300" t="s">
        <v>4725</v>
      </c>
      <c r="R25" s="156" t="s">
        <v>4738</v>
      </c>
      <c r="S25" s="154" t="str">
        <f>IFERROR(__xludf.DUMMYFUNCTION("GOOGLETRANSLATE(C25,""zh-tw"",""es-MX"")"),"Frente a la entrada de las ruinas, dirígete hacia la parte inferior derecha y encontrarás una piedra que debes despejar. Dentro, hay varios túneles donde podrás encontrar objetos.")</f>
        <v>Frente a la entrada de las ruinas, dirígete hacia la parte inferior derecha y encontrarás una piedra que debes despejar. Dentro, hay varios túneles donde podrás encontrar objetos.</v>
      </c>
      <c r="T25" s="100" t="str">
        <f>IFERROR(__xludf.DUMMYFUNCTION("GOOGLETRANSLATE(D25,""zh-tw"",""es-MX"")"),"A la zona que hay detrás de la puerta solo se puede entrar y salir libremente después de atravesar la zona no desarrollada (mina)-2.")</f>
        <v>A la zona que hay detrás de la puerta solo se puede entrar y salir libremente después de atravesar la zona no desarrollada (mina)-2.</v>
      </c>
      <c r="U25" s="300" t="s">
        <v>4725</v>
      </c>
      <c r="V25" s="156" t="str">
        <f>IFERROR(__xludf.DUMMYFUNCTION("GOOGLETRANSLATE(B25,""zh-tw"",""KO"")"),"산속 동굴")</f>
        <v>산속 동굴</v>
      </c>
      <c r="W25" s="154" t="str">
        <f>IFERROR(__xludf.DUMMYFUNCTION("GOOGLETRANSLATE(C25,""zh-tw"",""KO"")"),"유적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25" s="100" t="str">
        <f>IFERROR(__xludf.DUMMYFUNCTION("GOOGLETRANSLATE(D25,""zh-tw"",""KO"")"),"문 뒤편 지역은 미개발 지역(광산)-2를 파괴한 후에만 자유롭게 출입할 수 있습니다.")</f>
        <v>문 뒤편 지역은 미개발 지역(광산)-2를 파괴한 후에만 자유롭게 출입할 수 있습니다.</v>
      </c>
      <c r="Y25" s="301" t="s">
        <v>4725</v>
      </c>
      <c r="Z25" s="145" t="s">
        <v>4739</v>
      </c>
      <c r="AA25" s="190" t="s">
        <v>4740</v>
      </c>
      <c r="AB25" s="166" t="s">
        <v>4741</v>
      </c>
      <c r="AC25" s="300" t="s">
        <v>4725</v>
      </c>
      <c r="AD25" s="240" t="s">
        <v>4742</v>
      </c>
      <c r="AE25" s="241" t="s">
        <v>4743</v>
      </c>
      <c r="AF25" s="96" t="s">
        <v>4744</v>
      </c>
      <c r="AG25" s="300" t="s">
        <v>4725</v>
      </c>
      <c r="AH25" s="140" t="s">
        <v>4745</v>
      </c>
      <c r="AI25" s="274" t="s">
        <v>4746</v>
      </c>
      <c r="AJ25" s="86" t="s">
        <v>4747</v>
      </c>
      <c r="AK25" s="300" t="s">
        <v>4725</v>
      </c>
      <c r="AL25" s="302" t="s">
        <v>4748</v>
      </c>
      <c r="AM25" s="173" t="s">
        <v>4749</v>
      </c>
      <c r="AN25" s="170" t="s">
        <v>4750</v>
      </c>
      <c r="AO25" s="300" t="s">
        <v>4725</v>
      </c>
      <c r="AP25" s="156" t="s">
        <v>4751</v>
      </c>
      <c r="AQ25" s="154" t="s">
        <v>4752</v>
      </c>
      <c r="AR25" s="100" t="s">
        <v>4753</v>
      </c>
      <c r="AS25" s="300" t="s">
        <v>4725</v>
      </c>
      <c r="AT25" s="136" t="s">
        <v>4754</v>
      </c>
      <c r="AU25" s="154" t="s">
        <v>4755</v>
      </c>
      <c r="AV25" s="100" t="s">
        <v>4756</v>
      </c>
    </row>
    <row r="26">
      <c r="A26" s="294"/>
      <c r="B26" s="216" t="s">
        <v>4757</v>
      </c>
      <c r="E26" s="294"/>
      <c r="F26" s="294"/>
      <c r="I26" s="294"/>
      <c r="J26" s="295" t="s">
        <v>4758</v>
      </c>
      <c r="M26" s="294"/>
      <c r="N26" s="216" t="s">
        <v>4759</v>
      </c>
      <c r="Q26" s="294"/>
      <c r="R26" s="294"/>
      <c r="U26" s="294"/>
      <c r="V26" s="296"/>
      <c r="Y26" s="314"/>
      <c r="Z26" s="297" t="s">
        <v>4760</v>
      </c>
      <c r="AC26" s="294"/>
      <c r="AD26" s="298" t="s">
        <v>4761</v>
      </c>
      <c r="AG26" s="294"/>
      <c r="AH26" s="294"/>
      <c r="AK26" s="294"/>
      <c r="AL26" s="294"/>
      <c r="AO26" s="294"/>
      <c r="AP26" s="299" t="s">
        <v>4762</v>
      </c>
      <c r="AS26" s="294"/>
      <c r="AT26" s="294"/>
    </row>
    <row r="27">
      <c r="A27" s="300"/>
      <c r="B27" s="151"/>
      <c r="C27" s="139"/>
      <c r="D27" s="97"/>
      <c r="E27" s="300"/>
      <c r="F27" s="140"/>
      <c r="G27" s="139"/>
      <c r="H27" s="97"/>
      <c r="I27" s="300"/>
      <c r="J27" s="140"/>
      <c r="K27" s="139"/>
      <c r="L27" s="97"/>
      <c r="M27" s="300"/>
      <c r="N27" s="140"/>
      <c r="O27" s="139"/>
      <c r="P27" s="97"/>
      <c r="Q27" s="300"/>
      <c r="R27" s="156"/>
      <c r="S27" s="154"/>
      <c r="T27" s="100"/>
      <c r="U27" s="300"/>
      <c r="V27" s="156"/>
      <c r="W27" s="154"/>
      <c r="X27" s="100"/>
      <c r="Y27" s="315"/>
      <c r="Z27" s="316"/>
      <c r="AA27" s="317"/>
      <c r="AB27" s="318"/>
      <c r="AC27" s="300"/>
      <c r="AD27" s="140"/>
      <c r="AE27" s="241"/>
      <c r="AF27" s="96"/>
      <c r="AG27" s="300"/>
      <c r="AH27" s="140"/>
      <c r="AI27" s="274"/>
      <c r="AJ27" s="86"/>
      <c r="AK27" s="300"/>
      <c r="AL27" s="302"/>
      <c r="AM27" s="173"/>
      <c r="AN27" s="170"/>
      <c r="AO27" s="300"/>
      <c r="AP27" s="156"/>
      <c r="AQ27" s="154"/>
      <c r="AR27" s="100"/>
      <c r="AS27" s="300"/>
      <c r="AT27" s="136"/>
      <c r="AU27" s="154"/>
      <c r="AV27" s="100"/>
    </row>
    <row r="28">
      <c r="A28" s="319"/>
      <c r="B28" s="319"/>
      <c r="C28" s="319"/>
      <c r="D28" s="319"/>
      <c r="E28" s="319"/>
      <c r="F28" s="319"/>
      <c r="G28" s="319"/>
      <c r="H28" s="319"/>
      <c r="I28" s="319"/>
      <c r="J28" s="319"/>
      <c r="K28" s="319"/>
      <c r="L28" s="319"/>
      <c r="M28" s="319"/>
      <c r="N28" s="319"/>
      <c r="O28" s="319"/>
      <c r="P28" s="319"/>
      <c r="Q28" s="319"/>
      <c r="R28" s="319"/>
      <c r="S28" s="320"/>
      <c r="T28" s="320"/>
      <c r="U28" s="319"/>
      <c r="V28" s="320"/>
      <c r="W28" s="320"/>
      <c r="X28" s="320"/>
      <c r="Y28" s="213"/>
      <c r="Z28" s="321"/>
      <c r="AA28" s="322"/>
      <c r="AB28" s="322"/>
      <c r="AC28" s="319"/>
      <c r="AD28" s="319"/>
      <c r="AE28" s="323"/>
      <c r="AF28" s="320"/>
      <c r="AG28" s="319"/>
      <c r="AH28" s="319"/>
      <c r="AI28" s="319"/>
      <c r="AJ28" s="319"/>
      <c r="AK28" s="319"/>
      <c r="AL28" s="319"/>
      <c r="AM28" s="319"/>
      <c r="AN28" s="319"/>
      <c r="AO28" s="319"/>
      <c r="AP28" s="320"/>
      <c r="AQ28" s="320"/>
      <c r="AR28" s="320"/>
      <c r="AS28" s="319"/>
      <c r="AT28" s="319"/>
      <c r="AU28" s="320"/>
      <c r="AV28" s="320"/>
    </row>
    <row r="29">
      <c r="A29" s="216" t="s">
        <v>1729</v>
      </c>
      <c r="B29" s="216" t="s">
        <v>4763</v>
      </c>
      <c r="E29" s="216" t="s">
        <v>1729</v>
      </c>
      <c r="F29" s="294"/>
      <c r="I29" s="216" t="s">
        <v>1729</v>
      </c>
      <c r="J29" s="295" t="s">
        <v>4764</v>
      </c>
      <c r="M29" s="216" t="s">
        <v>1729</v>
      </c>
      <c r="N29" s="216" t="s">
        <v>4765</v>
      </c>
      <c r="Q29" s="216" t="s">
        <v>1729</v>
      </c>
      <c r="R29" s="294"/>
      <c r="U29" s="216" t="s">
        <v>1729</v>
      </c>
      <c r="V29" s="296"/>
      <c r="Y29" s="130" t="s">
        <v>1729</v>
      </c>
      <c r="Z29" s="297" t="s">
        <v>4766</v>
      </c>
      <c r="AC29" s="216" t="s">
        <v>1729</v>
      </c>
      <c r="AD29" s="298" t="s">
        <v>4767</v>
      </c>
      <c r="AG29" s="216" t="s">
        <v>1729</v>
      </c>
      <c r="AH29" s="294"/>
      <c r="AK29" s="216" t="s">
        <v>1729</v>
      </c>
      <c r="AL29" s="294"/>
      <c r="AO29" s="216" t="s">
        <v>1729</v>
      </c>
      <c r="AP29" s="299" t="s">
        <v>4768</v>
      </c>
      <c r="AS29" s="216" t="s">
        <v>1729</v>
      </c>
      <c r="AT29" s="294"/>
    </row>
    <row r="30">
      <c r="A30" s="300" t="s">
        <v>4769</v>
      </c>
      <c r="B30" s="140" t="s">
        <v>4416</v>
      </c>
      <c r="C30" s="139" t="s">
        <v>4770</v>
      </c>
      <c r="D30" s="97" t="s">
        <v>4578</v>
      </c>
      <c r="E30" s="300" t="s">
        <v>4769</v>
      </c>
      <c r="F30" s="140" t="s">
        <v>4420</v>
      </c>
      <c r="G30" s="139" t="s">
        <v>4771</v>
      </c>
      <c r="H30" s="97" t="s">
        <v>4580</v>
      </c>
      <c r="I30" s="300" t="s">
        <v>4769</v>
      </c>
      <c r="J30" s="140" t="s">
        <v>4423</v>
      </c>
      <c r="K30" s="139" t="s">
        <v>4772</v>
      </c>
      <c r="L30" s="97" t="s">
        <v>4582</v>
      </c>
      <c r="M30" s="300" t="s">
        <v>4769</v>
      </c>
      <c r="N30" s="140" t="s">
        <v>4426</v>
      </c>
      <c r="O30" s="139" t="s">
        <v>4773</v>
      </c>
      <c r="P30" s="97" t="s">
        <v>4584</v>
      </c>
      <c r="Q30" s="300" t="s">
        <v>4769</v>
      </c>
      <c r="R30" s="140" t="s">
        <v>4429</v>
      </c>
      <c r="S30" s="154" t="str">
        <f>IFERROR(__xludf.DUMMYFUNCTION("GOOGLETRANSLATE(C30,""zh-tw"",""es-MX"")"),"Hay un objeto oculto en el bosque, en la esquina inferior derecha de ""Ruinas del Bosque-4"".")</f>
        <v>Hay un objeto oculto en el bosque, en la esquina inferior derecha de "Ruinas del Bosque-4".</v>
      </c>
      <c r="T30" s="97" t="s">
        <v>4774</v>
      </c>
      <c r="U30" s="300" t="s">
        <v>4769</v>
      </c>
      <c r="V30" s="156" t="str">
        <f>IFERROR(__xludf.DUMMYFUNCTION("GOOGLETRANSLATE(B30,""zh-tw"",""KO"")"),"숨겨진 통로")</f>
        <v>숨겨진 통로</v>
      </c>
      <c r="W30" s="154" t="str">
        <f>IFERROR(__xludf.DUMMYFUNCTION("GOOGLETRANSLATE(C30,""zh-tw"",""KO"")"),"""유적의 숲-4""의 오른쪽 아래 구석에 숨겨진 아이템이 있습니다.")</f>
        <v>"유적의 숲-4"의 오른쪽 아래 구석에 숨겨진 아이템이 있습니다.</v>
      </c>
      <c r="X30" s="100" t="str">
        <f>IFERROR(__xludf.DUMMYFUNCTION("GOOGLETRANSLATE(D30,""zh-tw"",""KO"")"),"아이템을 획득하세요")</f>
        <v>아이템을 획득하세요</v>
      </c>
      <c r="Y30" s="301" t="s">
        <v>4769</v>
      </c>
      <c r="Z30" s="145" t="s">
        <v>4430</v>
      </c>
      <c r="AA30" s="190" t="s">
        <v>4775</v>
      </c>
      <c r="AB30" s="166" t="s">
        <v>4587</v>
      </c>
      <c r="AC30" s="300" t="s">
        <v>4769</v>
      </c>
      <c r="AD30" s="240" t="s">
        <v>4433</v>
      </c>
      <c r="AE30" s="224" t="s">
        <v>4776</v>
      </c>
      <c r="AF30" s="85" t="s">
        <v>4589</v>
      </c>
      <c r="AG30" s="300" t="s">
        <v>4769</v>
      </c>
      <c r="AH30" s="140" t="s">
        <v>4436</v>
      </c>
      <c r="AI30" s="274" t="s">
        <v>4777</v>
      </c>
      <c r="AJ30" s="86" t="s">
        <v>4778</v>
      </c>
      <c r="AK30" s="300" t="s">
        <v>4769</v>
      </c>
      <c r="AL30" s="303" t="s">
        <v>4439</v>
      </c>
      <c r="AM30" s="169" t="s">
        <v>4779</v>
      </c>
      <c r="AN30" s="172" t="s">
        <v>4593</v>
      </c>
      <c r="AO30" s="300" t="s">
        <v>4769</v>
      </c>
      <c r="AP30" s="140" t="s">
        <v>4442</v>
      </c>
      <c r="AQ30" s="154" t="s">
        <v>4780</v>
      </c>
      <c r="AR30" s="100" t="s">
        <v>4781</v>
      </c>
      <c r="AS30" s="300" t="s">
        <v>4769</v>
      </c>
      <c r="AT30" s="140" t="s">
        <v>4445</v>
      </c>
      <c r="AU30" s="154" t="s">
        <v>4782</v>
      </c>
      <c r="AV30" s="100" t="s">
        <v>4597</v>
      </c>
    </row>
    <row r="31">
      <c r="A31" s="300" t="s">
        <v>4783</v>
      </c>
      <c r="B31" s="140" t="s">
        <v>4784</v>
      </c>
      <c r="C31" s="139" t="s">
        <v>4785</v>
      </c>
      <c r="D31" s="97" t="s">
        <v>4786</v>
      </c>
      <c r="E31" s="300" t="s">
        <v>4783</v>
      </c>
      <c r="F31" s="140" t="s">
        <v>4787</v>
      </c>
      <c r="G31" s="139" t="s">
        <v>4788</v>
      </c>
      <c r="H31" s="97" t="s">
        <v>4789</v>
      </c>
      <c r="I31" s="300" t="s">
        <v>4783</v>
      </c>
      <c r="J31" s="140" t="s">
        <v>4790</v>
      </c>
      <c r="K31" s="139" t="s">
        <v>4791</v>
      </c>
      <c r="L31" s="97" t="s">
        <v>4792</v>
      </c>
      <c r="M31" s="300" t="s">
        <v>4783</v>
      </c>
      <c r="N31" s="140" t="s">
        <v>4793</v>
      </c>
      <c r="O31" s="139" t="s">
        <v>4794</v>
      </c>
      <c r="P31" s="97" t="s">
        <v>4795</v>
      </c>
      <c r="Q31" s="300" t="s">
        <v>4783</v>
      </c>
      <c r="R31" s="140" t="s">
        <v>4796</v>
      </c>
      <c r="S31" s="139" t="s">
        <v>4797</v>
      </c>
      <c r="T31" s="100" t="str">
        <f>IFERROR(__xludf.DUMMYFUNCTION("GOOGLETRANSLATE(D31,""zh-tw"",""es-MX"")"),"Enlace al mapa de las ruinas
Observaciones")</f>
        <v>Enlace al mapa de las ruinas
Observaciones</v>
      </c>
      <c r="U31" s="300" t="s">
        <v>4783</v>
      </c>
      <c r="V31" s="156" t="str">
        <f>IFERROR(__xludf.DUMMYFUNCTION("GOOGLETRANSLATE(B31,""zh-tw"",""KO"")"),"유적지 입구들을 연결하기")</f>
        <v>유적지 입구들을 연결하기</v>
      </c>
      <c r="W31" s="154" t="str">
        <f>IFERROR(__xludf.DUMMYFUNCTION("GOOGLETRANSLATE(C31,""zh-tw"",""KO"")"),"유적의 숲 - 4 지도 중앙에 있던 바위들이 제거되었습니다.")</f>
        <v>유적의 숲 - 4 지도 중앙에 있던 바위들이 제거되었습니다.</v>
      </c>
      <c r="X31" s="100" t="str">
        <f>IFERROR(__xludf.DUMMYFUNCTION("GOOGLETRANSLATE(D31,""zh-tw"",""KO"")"),"유적 지도 링크
관찰 내용")</f>
        <v>유적 지도 링크
관찰 내용</v>
      </c>
      <c r="Y31" s="301" t="s">
        <v>4783</v>
      </c>
      <c r="Z31" s="145" t="s">
        <v>4798</v>
      </c>
      <c r="AA31" s="190" t="s">
        <v>4799</v>
      </c>
      <c r="AB31" s="166" t="s">
        <v>4800</v>
      </c>
      <c r="AC31" s="300" t="s">
        <v>4783</v>
      </c>
      <c r="AD31" s="240" t="s">
        <v>4801</v>
      </c>
      <c r="AE31" s="224" t="s">
        <v>4802</v>
      </c>
      <c r="AF31" s="85" t="s">
        <v>4803</v>
      </c>
      <c r="AG31" s="300" t="s">
        <v>4783</v>
      </c>
      <c r="AH31" s="140" t="s">
        <v>4804</v>
      </c>
      <c r="AI31" s="274" t="s">
        <v>4805</v>
      </c>
      <c r="AJ31" s="86" t="s">
        <v>4806</v>
      </c>
      <c r="AK31" s="300" t="s">
        <v>4783</v>
      </c>
      <c r="AL31" s="302" t="s">
        <v>4807</v>
      </c>
      <c r="AM31" s="169" t="s">
        <v>4808</v>
      </c>
      <c r="AN31" s="172" t="s">
        <v>4809</v>
      </c>
      <c r="AO31" s="300" t="s">
        <v>4783</v>
      </c>
      <c r="AP31" s="156" t="s">
        <v>4810</v>
      </c>
      <c r="AQ31" s="154" t="s">
        <v>4811</v>
      </c>
      <c r="AR31" s="100" t="s">
        <v>4812</v>
      </c>
      <c r="AS31" s="300" t="s">
        <v>4783</v>
      </c>
      <c r="AT31" s="324" t="s">
        <v>4813</v>
      </c>
      <c r="AU31" s="325" t="s">
        <v>4814</v>
      </c>
      <c r="AV31" s="326" t="s">
        <v>4815</v>
      </c>
    </row>
    <row r="32">
      <c r="A32" s="294"/>
      <c r="B32" s="216" t="s">
        <v>4816</v>
      </c>
      <c r="E32" s="294"/>
      <c r="F32" s="294"/>
      <c r="I32" s="294"/>
      <c r="J32" s="295" t="s">
        <v>4636</v>
      </c>
      <c r="M32" s="294"/>
      <c r="N32" s="216" t="s">
        <v>4817</v>
      </c>
      <c r="Q32" s="294"/>
      <c r="R32" s="294"/>
      <c r="U32" s="294"/>
      <c r="V32" s="296"/>
      <c r="Y32" s="314"/>
      <c r="Z32" s="297" t="s">
        <v>4818</v>
      </c>
      <c r="AC32" s="294"/>
      <c r="AD32" s="298" t="s">
        <v>4819</v>
      </c>
      <c r="AG32" s="294"/>
      <c r="AH32" s="294"/>
      <c r="AK32" s="294"/>
      <c r="AL32" s="294"/>
      <c r="AO32" s="294"/>
      <c r="AP32" s="299" t="s">
        <v>4820</v>
      </c>
      <c r="AS32" s="294"/>
      <c r="AT32" s="294"/>
    </row>
    <row r="33">
      <c r="A33" s="300" t="s">
        <v>4821</v>
      </c>
      <c r="B33" s="156" t="s">
        <v>4822</v>
      </c>
      <c r="C33" s="154" t="s">
        <v>4823</v>
      </c>
      <c r="D33" s="100" t="s">
        <v>4824</v>
      </c>
      <c r="E33" s="300" t="s">
        <v>4821</v>
      </c>
      <c r="F33" s="156" t="s">
        <v>4825</v>
      </c>
      <c r="G33" s="154" t="s">
        <v>4826</v>
      </c>
      <c r="H33" s="100" t="s">
        <v>4827</v>
      </c>
      <c r="I33" s="300" t="s">
        <v>4821</v>
      </c>
      <c r="J33" s="156" t="s">
        <v>4828</v>
      </c>
      <c r="K33" s="154" t="s">
        <v>4829</v>
      </c>
      <c r="L33" s="100" t="s">
        <v>4830</v>
      </c>
      <c r="M33" s="300" t="s">
        <v>4821</v>
      </c>
      <c r="N33" s="140" t="s">
        <v>4831</v>
      </c>
      <c r="O33" s="139" t="s">
        <v>4832</v>
      </c>
      <c r="P33" s="97" t="s">
        <v>4833</v>
      </c>
      <c r="Q33" s="300" t="s">
        <v>4821</v>
      </c>
      <c r="R33" s="156" t="s">
        <v>4834</v>
      </c>
      <c r="S33" s="154" t="str">
        <f>IFERROR(__xludf.DUMMYFUNCTION("GOOGLETRANSLATE(C33,""zh-tw"",""es-MX"")"),"Puedes llegar a la zona del jefe Maid Bunny utilizando un método de movimiento especial en el ""Bosque de las Ruinas"".")</f>
        <v>Puedes llegar a la zona del jefe Maid Bunny utilizando un método de movimiento especial en el "Bosque de las Ruinas".</v>
      </c>
      <c r="T33" s="100" t="str">
        <f>IFERROR(__xludf.DUMMYFUNCTION("GOOGLETRANSLATE(D33,""zh-tw"",""es-MX"")"),"Llega a la zona del JEFE.
P.D.: Por ejemplo, las plumas del pájaro monstruoso se pueden usar para levitar.")</f>
        <v>Llega a la zona del JEFE.
P.D.: Por ejemplo, las plumas del pájaro monstruoso se pueden usar para levitar.</v>
      </c>
      <c r="U33" s="300" t="s">
        <v>4821</v>
      </c>
      <c r="V33" s="156" t="str">
        <f>IFERROR(__xludf.DUMMYFUNCTION("GOOGLETRANSLATE(B33,""zh-tw"",""KO"")"),"메이드 버니 BOSS 구역 -1")</f>
        <v>메이드 버니 BOSS 구역 -1</v>
      </c>
      <c r="W33" s="154" t="str">
        <f>IFERROR(__xludf.DUMMYFUNCTION("GOOGLETRANSLATE(C33,""zh-tw"",""KO"")"),"""폐허의 숲""에서 특별한 이동 방법을 사용하면 메이드 버니의 보스 지역에 도달할 수 있습니다.")</f>
        <v>"폐허의 숲"에서 특별한 이동 방법을 사용하면 메이드 버니의 보스 지역에 도달할 수 있습니다.</v>
      </c>
      <c r="X33" s="100" t="str">
        <f>IFERROR(__xludf.DUMMYFUNCTION("GOOGLETRANSLATE(D33,""zh-tw"",""KO"")"),"보스 구역에 도착하세요.
추신: 예를 들어, 몬스터 새의 깃털은 공중 부양에 사용할 수 있습니다.")</f>
        <v>보스 구역에 도착하세요.
추신: 예를 들어, 몬스터 새의 깃털은 공중 부양에 사용할 수 있습니다.</v>
      </c>
      <c r="Y33" s="301" t="s">
        <v>4821</v>
      </c>
      <c r="Z33" s="145" t="s">
        <v>4835</v>
      </c>
      <c r="AA33" s="190" t="s">
        <v>4836</v>
      </c>
      <c r="AB33" s="166" t="s">
        <v>4837</v>
      </c>
      <c r="AC33" s="300" t="s">
        <v>4821</v>
      </c>
      <c r="AD33" s="140" t="s">
        <v>4838</v>
      </c>
      <c r="AE33" s="224" t="s">
        <v>4839</v>
      </c>
      <c r="AF33" s="85" t="s">
        <v>4840</v>
      </c>
      <c r="AG33" s="300" t="s">
        <v>4821</v>
      </c>
      <c r="AH33" s="156" t="s">
        <v>4841</v>
      </c>
      <c r="AI33" s="154" t="s">
        <v>4842</v>
      </c>
      <c r="AJ33" s="100" t="s">
        <v>4843</v>
      </c>
      <c r="AK33" s="300" t="s">
        <v>4821</v>
      </c>
      <c r="AL33" s="312" t="s">
        <v>4844</v>
      </c>
      <c r="AM33" s="248" t="s">
        <v>4845</v>
      </c>
      <c r="AN33" s="238" t="s">
        <v>4846</v>
      </c>
      <c r="AO33" s="300" t="s">
        <v>4821</v>
      </c>
      <c r="AP33" s="156" t="s">
        <v>4847</v>
      </c>
      <c r="AQ33" s="154" t="s">
        <v>4848</v>
      </c>
      <c r="AR33" s="100" t="s">
        <v>4849</v>
      </c>
      <c r="AS33" s="300" t="s">
        <v>4821</v>
      </c>
      <c r="AT33" s="136" t="s">
        <v>4850</v>
      </c>
      <c r="AU33" s="154" t="s">
        <v>4851</v>
      </c>
      <c r="AV33" s="100" t="s">
        <v>4852</v>
      </c>
    </row>
    <row r="34">
      <c r="A34" s="300" t="s">
        <v>4853</v>
      </c>
      <c r="B34" s="156" t="s">
        <v>4854</v>
      </c>
      <c r="C34" s="154" t="s">
        <v>4855</v>
      </c>
      <c r="D34" s="97" t="s">
        <v>4856</v>
      </c>
      <c r="E34" s="300" t="s">
        <v>4853</v>
      </c>
      <c r="F34" s="156" t="s">
        <v>4857</v>
      </c>
      <c r="G34" s="154" t="s">
        <v>4858</v>
      </c>
      <c r="H34" s="97" t="s">
        <v>4859</v>
      </c>
      <c r="I34" s="300" t="s">
        <v>4853</v>
      </c>
      <c r="J34" s="156" t="s">
        <v>4860</v>
      </c>
      <c r="K34" s="154" t="s">
        <v>4861</v>
      </c>
      <c r="L34" s="97" t="s">
        <v>4862</v>
      </c>
      <c r="M34" s="300" t="s">
        <v>4853</v>
      </c>
      <c r="N34" s="140" t="s">
        <v>4863</v>
      </c>
      <c r="O34" s="154" t="s">
        <v>4864</v>
      </c>
      <c r="P34" s="100" t="s">
        <v>4865</v>
      </c>
      <c r="Q34" s="300" t="s">
        <v>4853</v>
      </c>
      <c r="R34" s="156" t="s">
        <v>4866</v>
      </c>
      <c r="S34" s="154" t="str">
        <f>IFERROR(__xludf.DUMMYFUNCTION("GOOGLETRANSLATE(C34,""zh-tw"",""es-MX"")"),"El cofre del tesoro que se encuentra frente a la zona del JEFE explotará al abrirse, infligiendo daño a los jugadores o enemigos.")</f>
        <v>El cofre del tesoro que se encuentra frente a la zona del JEFE explotará al abrirse, infligiendo daño a los jugadores o enemigos.</v>
      </c>
      <c r="T34" s="100" t="str">
        <f>IFERROR(__xludf.DUMMYFUNCTION("GOOGLETRANSLATE(D34,""zh-tw"",""es-MX"")"),"Ábralo con precaución. *No se reiniciará.")</f>
        <v>Ábralo con precaución. *No se reiniciará.</v>
      </c>
      <c r="U34" s="300" t="s">
        <v>4853</v>
      </c>
      <c r="V34" s="156" t="str">
        <f>IFERROR(__xludf.DUMMYFUNCTION("GOOGLETRANSLATE(B34,""zh-tw"",""KO"")"),"메이드 버니 BOSS 구역 - 2")</f>
        <v>메이드 버니 BOSS 구역 - 2</v>
      </c>
      <c r="W34" s="154" t="str">
        <f>IFERROR(__xludf.DUMMYFUNCTION("GOOGLETRANSLATE(C34,""zh-tw"",""KO"")"),"보스 구역 앞의 보물 상자는 열면 폭발하여 플레이어나 적에게 피해를 줍니다.")</f>
        <v>보스 구역 앞의 보물 상자는 열면 폭발하여 플레이어나 적에게 피해를 줍니다.</v>
      </c>
      <c r="X34" s="100" t="str">
        <f>IFERROR(__xludf.DUMMYFUNCTION("GOOGLETRANSLATE(D34,""zh-tw"",""KO"")"),"주의해서 열어주세요. *재설정되지 않습니다.")</f>
        <v>주의해서 열어주세요. *재설정되지 않습니다.</v>
      </c>
      <c r="Y34" s="301" t="s">
        <v>4853</v>
      </c>
      <c r="Z34" s="145" t="s">
        <v>4867</v>
      </c>
      <c r="AA34" s="190" t="s">
        <v>4868</v>
      </c>
      <c r="AB34" s="166" t="s">
        <v>4869</v>
      </c>
      <c r="AC34" s="300" t="s">
        <v>4853</v>
      </c>
      <c r="AD34" s="140" t="s">
        <v>4870</v>
      </c>
      <c r="AE34" s="224" t="s">
        <v>4871</v>
      </c>
      <c r="AF34" s="85" t="s">
        <v>4872</v>
      </c>
      <c r="AG34" s="300" t="s">
        <v>4853</v>
      </c>
      <c r="AH34" s="156" t="s">
        <v>4873</v>
      </c>
      <c r="AI34" s="154" t="s">
        <v>4874</v>
      </c>
      <c r="AJ34" s="100" t="s">
        <v>4875</v>
      </c>
      <c r="AK34" s="300" t="s">
        <v>4853</v>
      </c>
      <c r="AL34" s="312" t="s">
        <v>4876</v>
      </c>
      <c r="AM34" s="248" t="s">
        <v>4877</v>
      </c>
      <c r="AN34" s="172" t="s">
        <v>4878</v>
      </c>
      <c r="AO34" s="300" t="s">
        <v>4853</v>
      </c>
      <c r="AP34" s="156" t="s">
        <v>4879</v>
      </c>
      <c r="AQ34" s="154" t="s">
        <v>4880</v>
      </c>
      <c r="AR34" s="100" t="s">
        <v>4881</v>
      </c>
      <c r="AS34" s="300" t="s">
        <v>4853</v>
      </c>
      <c r="AT34" s="136" t="s">
        <v>4882</v>
      </c>
      <c r="AU34" s="154" t="s">
        <v>4883</v>
      </c>
      <c r="AV34" s="100" t="s">
        <v>4884</v>
      </c>
    </row>
    <row r="35">
      <c r="A35" s="300" t="s">
        <v>4885</v>
      </c>
      <c r="B35" s="156" t="s">
        <v>4886</v>
      </c>
      <c r="C35" s="139" t="s">
        <v>4887</v>
      </c>
      <c r="D35" s="100" t="s">
        <v>4888</v>
      </c>
      <c r="E35" s="300" t="s">
        <v>4885</v>
      </c>
      <c r="F35" s="156" t="s">
        <v>4889</v>
      </c>
      <c r="G35" s="154" t="s">
        <v>4890</v>
      </c>
      <c r="H35" s="100" t="s">
        <v>4891</v>
      </c>
      <c r="I35" s="300" t="s">
        <v>4885</v>
      </c>
      <c r="J35" s="156" t="s">
        <v>4892</v>
      </c>
      <c r="K35" s="139" t="s">
        <v>4893</v>
      </c>
      <c r="L35" s="97" t="s">
        <v>4894</v>
      </c>
      <c r="M35" s="300" t="s">
        <v>4885</v>
      </c>
      <c r="N35" s="140" t="s">
        <v>4895</v>
      </c>
      <c r="O35" s="154" t="s">
        <v>4896</v>
      </c>
      <c r="P35" s="100" t="s">
        <v>4897</v>
      </c>
      <c r="Q35" s="300" t="s">
        <v>4885</v>
      </c>
      <c r="R35" s="156" t="s">
        <v>4898</v>
      </c>
      <c r="S35" s="154" t="str">
        <f>IFERROR(__xludf.DUMMYFUNCTION("GOOGLETRANSLATE(C35,""zh-tw"",""es-MX"")"),"Tras retirar la zanahoria brillante, aparecerá el JEFE Conejita Sirvienta.
P.D.: Usar el traje de sirvienta activará diferentes opciones de diálogo, pero la batalla se desarrollará igualmente. Recuerda actualizar tu equipo de batalla.")</f>
        <v>Tras retirar la zanahoria brillante, aparecerá el JEFE Conejita Sirvienta.
P.D.: Usar el traje de sirvienta activará diferentes opciones de diálogo, pero la batalla se desarrollará igualmente. Recuerda actualizar tu equipo de batalla.</v>
      </c>
      <c r="T35" s="100" t="str">
        <f>IFERROR(__xludf.DUMMYFUNCTION("GOOGLETRANSLATE(D35,""zh-tw"",""es-MX"")"),"Jefe de invocación: El conejo blanco del pequeño jardín.")</f>
        <v>Jefe de invocación: El conejo blanco del pequeño jardín.</v>
      </c>
      <c r="U35" s="300" t="s">
        <v>4885</v>
      </c>
      <c r="V35" s="156" t="str">
        <f>IFERROR(__xludf.DUMMYFUNCTION("GOOGLETRANSLATE(B35,""zh-tw"",""KO"")"),"메이드 래빗 보스 구역 - 3")</f>
        <v>메이드 래빗 보스 구역 - 3</v>
      </c>
      <c r="W35" s="154" t="str">
        <f>IFERROR(__xludf.DUMMYFUNCTION("GOOGLETRANSLATE(C35,""zh-tw"",""KO"")"),"빛나는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35" s="100" t="str">
        <f>IFERROR(__xludf.DUMMYFUNCTION("GOOGLETRANSLATE(D35,""zh-tw"",""KO"")"),"보스 소환 - 작은 정원의 하얀 토끼")</f>
        <v>보스 소환 - 작은 정원의 하얀 토끼</v>
      </c>
      <c r="Y35" s="301" t="s">
        <v>4885</v>
      </c>
      <c r="Z35" s="145" t="s">
        <v>4899</v>
      </c>
      <c r="AA35" s="190" t="s">
        <v>4900</v>
      </c>
      <c r="AB35" s="166" t="s">
        <v>4901</v>
      </c>
      <c r="AC35" s="300" t="s">
        <v>4885</v>
      </c>
      <c r="AD35" s="140" t="s">
        <v>4902</v>
      </c>
      <c r="AE35" s="224" t="s">
        <v>4903</v>
      </c>
      <c r="AF35" s="96" t="s">
        <v>4904</v>
      </c>
      <c r="AG35" s="300" t="s">
        <v>4885</v>
      </c>
      <c r="AH35" s="156" t="s">
        <v>4905</v>
      </c>
      <c r="AI35" s="154" t="s">
        <v>4906</v>
      </c>
      <c r="AJ35" s="100" t="s">
        <v>4907</v>
      </c>
      <c r="AK35" s="300" t="s">
        <v>4885</v>
      </c>
      <c r="AL35" s="312" t="s">
        <v>4908</v>
      </c>
      <c r="AM35" s="169" t="s">
        <v>4909</v>
      </c>
      <c r="AN35" s="238" t="s">
        <v>4910</v>
      </c>
      <c r="AO35" s="300" t="s">
        <v>4885</v>
      </c>
      <c r="AP35" s="156" t="s">
        <v>4911</v>
      </c>
      <c r="AQ35" s="154" t="s">
        <v>4912</v>
      </c>
      <c r="AR35" s="100" t="s">
        <v>4913</v>
      </c>
      <c r="AS35" s="300" t="s">
        <v>4885</v>
      </c>
      <c r="AT35" s="140" t="s">
        <v>4914</v>
      </c>
      <c r="AU35" s="154" t="s">
        <v>4915</v>
      </c>
      <c r="AV35" s="100" t="s">
        <v>4916</v>
      </c>
    </row>
    <row r="36">
      <c r="A36" s="300" t="s">
        <v>4917</v>
      </c>
      <c r="B36" s="156" t="s">
        <v>4918</v>
      </c>
      <c r="C36" s="139" t="s">
        <v>4919</v>
      </c>
      <c r="D36" s="97" t="s">
        <v>4920</v>
      </c>
      <c r="E36" s="300" t="s">
        <v>4917</v>
      </c>
      <c r="F36" s="156" t="s">
        <v>4921</v>
      </c>
      <c r="G36" s="139" t="s">
        <v>4922</v>
      </c>
      <c r="H36" s="97" t="s">
        <v>4923</v>
      </c>
      <c r="I36" s="300" t="s">
        <v>4917</v>
      </c>
      <c r="J36" s="156" t="s">
        <v>4924</v>
      </c>
      <c r="K36" s="139" t="s">
        <v>4925</v>
      </c>
      <c r="L36" s="97" t="s">
        <v>4926</v>
      </c>
      <c r="M36" s="300" t="s">
        <v>4917</v>
      </c>
      <c r="N36" s="140" t="s">
        <v>4927</v>
      </c>
      <c r="O36" s="154" t="s">
        <v>4928</v>
      </c>
      <c r="P36" s="100" t="s">
        <v>4929</v>
      </c>
      <c r="Q36" s="300" t="s">
        <v>4917</v>
      </c>
      <c r="R36" s="156" t="s">
        <v>4930</v>
      </c>
      <c r="S36" s="154" t="str">
        <f>IFERROR(__xludf.DUMMYFUNCTION("GOOGLETRANSLATE(C36,""zh-tw"",""es-MX"")"),"Derrota: El Conejo Blanco del Jardín
Derrota especial (no implementada): Destruye todas las entradas de la cueva para derrotar al JEFE.")</f>
        <v>Derrota: El Conejo Blanco del Jardín
Derrota especial (no implementada): Destruye todas las entradas de la cueva para derrotar al JEFE.</v>
      </c>
      <c r="T36" s="100" t="str">
        <f>IFERROR(__xludf.DUMMYFUNCTION("GOOGLETRANSLATE(D36,""zh-tw"",""es-MX"")"),"Probabilidad de obtener objetos: Espada Grande de Zanahoria/Espada Grande de Zanahoria Congelada/Espada Grande de Zanahoria Mohosa
Probabilidad de obtener comida: Zanahoria
Probabilidad de obtener armadura: Orejas de Conejo Lindas, Uniforme de Sirvienta
O"&amp;"bjeto que se obtiene: Mapa del Conejo (Único)")</f>
        <v>Probabilidad de obtener objetos: Espada Grande de Zanahoria/Espada Grande de Zanahoria Congelada/Espada Grande de Zanahoria Mohosa
Probabilidad de obtener comida: Zanahoria
Probabilidad de obtener armadura: Orejas de Conejo Lindas, Uniforme de Sirvienta
Objeto que se obtiene: Mapa del Conejo (Único)</v>
      </c>
      <c r="U36" s="300" t="s">
        <v>4917</v>
      </c>
      <c r="V36" s="156" t="str">
        <f>IFERROR(__xludf.DUMMYFUNCTION("GOOGLETRANSLATE(B36,""zh-tw"",""KO"")"),"메이드 래빗 보스 구역 -4")</f>
        <v>메이드 래빗 보스 구역 -4</v>
      </c>
      <c r="W36" s="154" t="str">
        <f>IFERROR(__xludf.DUMMYFUNCTION("GOOGLETRANSLATE(C36,""zh-tw"",""KO"")"),"처치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36" s="100" t="str">
        <f>IFERROR(__xludf.DUMMYFUNCTION("GOOGLETRANSLATE(D36,""zh-tw"",""KO"")"),"획득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36" s="301" t="s">
        <v>4917</v>
      </c>
      <c r="Z36" s="145" t="s">
        <v>4931</v>
      </c>
      <c r="AA36" s="190" t="s">
        <v>4932</v>
      </c>
      <c r="AB36" s="166" t="s">
        <v>4933</v>
      </c>
      <c r="AC36" s="300" t="s">
        <v>4917</v>
      </c>
      <c r="AD36" s="175" t="s">
        <v>4934</v>
      </c>
      <c r="AE36" s="224" t="s">
        <v>4935</v>
      </c>
      <c r="AF36" s="85" t="s">
        <v>4936</v>
      </c>
      <c r="AG36" s="300" t="s">
        <v>4917</v>
      </c>
      <c r="AH36" s="156" t="s">
        <v>4937</v>
      </c>
      <c r="AI36" s="154" t="s">
        <v>4938</v>
      </c>
      <c r="AJ36" s="100" t="s">
        <v>4939</v>
      </c>
      <c r="AK36" s="300" t="s">
        <v>4917</v>
      </c>
      <c r="AL36" s="312" t="s">
        <v>4940</v>
      </c>
      <c r="AM36" s="169" t="s">
        <v>4941</v>
      </c>
      <c r="AN36" s="170" t="s">
        <v>4942</v>
      </c>
      <c r="AO36" s="300" t="s">
        <v>4917</v>
      </c>
      <c r="AP36" s="156" t="s">
        <v>4943</v>
      </c>
      <c r="AQ36" s="154" t="s">
        <v>4944</v>
      </c>
      <c r="AR36" s="100" t="s">
        <v>4945</v>
      </c>
      <c r="AS36" s="300" t="s">
        <v>4917</v>
      </c>
      <c r="AT36" s="140" t="s">
        <v>4946</v>
      </c>
      <c r="AU36" s="154" t="s">
        <v>4947</v>
      </c>
      <c r="AV36" s="100" t="s">
        <v>4948</v>
      </c>
    </row>
    <row r="37">
      <c r="A37" s="300" t="s">
        <v>4949</v>
      </c>
      <c r="B37" s="140" t="s">
        <v>4950</v>
      </c>
      <c r="C37" s="139" t="s">
        <v>4951</v>
      </c>
      <c r="D37" s="97" t="s">
        <v>4952</v>
      </c>
      <c r="E37" s="300" t="s">
        <v>4949</v>
      </c>
      <c r="F37" s="140" t="s">
        <v>4953</v>
      </c>
      <c r="G37" s="139" t="s">
        <v>4954</v>
      </c>
      <c r="H37" s="97" t="s">
        <v>4955</v>
      </c>
      <c r="I37" s="300" t="s">
        <v>4949</v>
      </c>
      <c r="J37" s="140" t="s">
        <v>4956</v>
      </c>
      <c r="K37" s="139" t="s">
        <v>4957</v>
      </c>
      <c r="L37" s="97" t="s">
        <v>4958</v>
      </c>
      <c r="M37" s="300" t="s">
        <v>4949</v>
      </c>
      <c r="N37" s="140" t="s">
        <v>4959</v>
      </c>
      <c r="O37" s="154" t="s">
        <v>4960</v>
      </c>
      <c r="P37" s="100" t="s">
        <v>4961</v>
      </c>
      <c r="Q37" s="300" t="s">
        <v>4949</v>
      </c>
      <c r="R37" s="156" t="s">
        <v>4962</v>
      </c>
      <c r="S37" s="154" t="str">
        <f>IFERROR(__xludf.DUMMYFUNCTION("GOOGLETRANSLATE(C37,""zh-tw"",""es-MX"")"),"La zanahoria brillante confiscará todas las zanahorias especiales presentes cuando aparezca el jefe Maid Bunny, y no volverá a aparecer hasta que lo derrotes.
Al recoger esta zanahoria especial, soltará un objeto especial.")</f>
        <v>La zanahoria brillante confiscará todas las zanahorias especiales presentes cuando aparezca el jefe Maid Bunny, y no volverá a aparecer hasta que lo derrotes.
Al recoger esta zanahoria especial, soltará un objeto especial.</v>
      </c>
      <c r="T37" s="100" t="str">
        <f>IFERROR(__xludf.DUMMYFUNCTION("GOOGLETRANSLATE(D37,""zh-tw"",""es-MX"")"),"Obtenido: Gran Espada de Zanahoria, Fragmento de Piedra Celestial
Los procesos posteriores aún no se han implementado; actualmente no es posible crear el segundo Elixir de Médula Roja.")</f>
        <v>Obtenido: Gran Espada de Zanahoria, Fragmento de Piedra Celestial
Los procesos posteriores aún no se han implementado; actualmente no es posible crear el segundo Elixir de Médula Roja.</v>
      </c>
      <c r="U37" s="300" t="s">
        <v>4949</v>
      </c>
      <c r="V37" s="156" t="str">
        <f>IFERROR(__xludf.DUMMYFUNCTION("GOOGLETRANSLATE(B37,""zh-tw"",""KO"")"),"빛나는 당근")</f>
        <v>빛나는 당근</v>
      </c>
      <c r="W37" s="154" t="str">
        <f>IFERROR(__xludf.DUMMYFUNCTION("GOOGLETRANSLATE(C37,""zh-tw"",""KO"")"),"빛나는 당근은 메이드 버니 보스가 나타나면 모든 특수 당근을 가져가 버리고, 보스를 물리치기 전까지는 다시 나타나지 않습니다.
이 특수 당근을 뽑으면 특수 아이템이 떨어집니다.")</f>
        <v>빛나는 당근은 메이드 버니 보스가 나타나면 모든 특수 당근을 가져가 버리고, 보스를 물리치기 전까지는 다시 나타나지 않습니다.
이 특수 당근을 뽑으면 특수 아이템이 떨어집니다.</v>
      </c>
      <c r="X37" s="100" t="str">
        <f>IFERROR(__xludf.DUMMYFUNCTION("GOOGLETRANSLATE(D37,""zh-tw"",""KO"")"),"획득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37" s="301" t="s">
        <v>4949</v>
      </c>
      <c r="Z37" s="145" t="s">
        <v>4963</v>
      </c>
      <c r="AA37" s="190" t="s">
        <v>4964</v>
      </c>
      <c r="AB37" s="166" t="s">
        <v>4965</v>
      </c>
      <c r="AC37" s="300" t="s">
        <v>4949</v>
      </c>
      <c r="AD37" s="240" t="s">
        <v>4966</v>
      </c>
      <c r="AE37" s="224" t="s">
        <v>4967</v>
      </c>
      <c r="AF37" s="85" t="s">
        <v>4968</v>
      </c>
      <c r="AG37" s="300" t="s">
        <v>4949</v>
      </c>
      <c r="AH37" s="140" t="s">
        <v>4969</v>
      </c>
      <c r="AI37" s="139" t="str">
        <f>IFERROR(__xludf.DUMMYFUNCTION("GOOGLETRANSLATE(C37,""zh-tw"",""de"")"),"Die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J37" s="97" t="s">
        <v>4970</v>
      </c>
      <c r="AK37" s="300" t="s">
        <v>4949</v>
      </c>
      <c r="AL37" s="302" t="s">
        <v>4971</v>
      </c>
      <c r="AM37" s="169" t="s">
        <v>4972</v>
      </c>
      <c r="AN37" s="170" t="s">
        <v>4973</v>
      </c>
      <c r="AO37" s="300" t="s">
        <v>4949</v>
      </c>
      <c r="AP37" s="156" t="s">
        <v>4974</v>
      </c>
      <c r="AQ37" s="154" t="s">
        <v>4975</v>
      </c>
      <c r="AR37" s="100" t="s">
        <v>4976</v>
      </c>
      <c r="AS37" s="300" t="s">
        <v>4949</v>
      </c>
      <c r="AT37" s="136" t="s">
        <v>4977</v>
      </c>
      <c r="AU37" s="154" t="s">
        <v>4978</v>
      </c>
      <c r="AV37" s="100" t="s">
        <v>4979</v>
      </c>
    </row>
    <row r="38">
      <c r="A38" s="294"/>
      <c r="B38" s="295" t="s">
        <v>4980</v>
      </c>
      <c r="E38" s="294"/>
      <c r="F38" s="294"/>
      <c r="I38" s="294"/>
      <c r="J38" s="295" t="s">
        <v>4981</v>
      </c>
      <c r="M38" s="294"/>
      <c r="N38" s="216" t="s">
        <v>4982</v>
      </c>
      <c r="Q38" s="294"/>
      <c r="R38" s="294"/>
      <c r="U38" s="294"/>
      <c r="V38" s="296"/>
      <c r="Y38" s="314"/>
      <c r="Z38" s="297" t="s">
        <v>4983</v>
      </c>
      <c r="AC38" s="294"/>
      <c r="AD38" s="298" t="s">
        <v>4984</v>
      </c>
      <c r="AG38" s="294"/>
      <c r="AH38" s="294"/>
      <c r="AK38" s="294"/>
      <c r="AL38" s="294"/>
      <c r="AO38" s="294"/>
      <c r="AP38" s="299" t="s">
        <v>4985</v>
      </c>
      <c r="AS38" s="294"/>
      <c r="AT38" s="294"/>
    </row>
    <row r="39">
      <c r="A39" s="300" t="s">
        <v>4986</v>
      </c>
      <c r="B39" s="156" t="s">
        <v>4987</v>
      </c>
      <c r="C39" s="154" t="s">
        <v>4988</v>
      </c>
      <c r="D39" s="100" t="s">
        <v>4989</v>
      </c>
      <c r="E39" s="300" t="s">
        <v>4986</v>
      </c>
      <c r="F39" s="156" t="s">
        <v>4990</v>
      </c>
      <c r="G39" s="154" t="s">
        <v>4991</v>
      </c>
      <c r="H39" s="100" t="s">
        <v>4992</v>
      </c>
      <c r="I39" s="300" t="s">
        <v>4986</v>
      </c>
      <c r="J39" s="156" t="s">
        <v>4993</v>
      </c>
      <c r="K39" s="139" t="s">
        <v>4994</v>
      </c>
      <c r="L39" s="100" t="s">
        <v>4995</v>
      </c>
      <c r="M39" s="300" t="s">
        <v>4986</v>
      </c>
      <c r="N39" s="156" t="s">
        <v>4987</v>
      </c>
      <c r="O39" s="154" t="s">
        <v>4996</v>
      </c>
      <c r="P39" s="97" t="s">
        <v>4997</v>
      </c>
      <c r="Q39" s="300" t="s">
        <v>4986</v>
      </c>
      <c r="R39" s="156" t="s">
        <v>4998</v>
      </c>
      <c r="S39" s="154" t="str">
        <f>IFERROR(__xludf.DUMMYFUNCTION("GOOGLETRANSLATE(C39,""zh-tw"",""es-MX"")"),"Z normalmente solo aparece en el Bosque Perdido. Si entras en contacto con Z, existe la posibilidad de que adquieras un estado especial. Bajo este estado, existe la posibilidad de que Z te siga continuamente cuando cambies de mapa.")</f>
        <v>Z normalmente solo aparece en el Bosque Perdido. Si entras en contacto con Z, existe la posibilidad de que adquieras un estado especial. Bajo este estado, existe la posibilidad de que Z te siga continuamente cuando cambies de mapa.</v>
      </c>
      <c r="T39" s="100" t="str">
        <f>IFERROR(__xludf.DUMMYFUNCTION("GOOGLETRANSLATE(D39,""zh-tw"",""es-MX"")"),"Posibilidad de obtener el efecto de estado y ser seguido por Z.
El Exterminador de Insectos se puede comprar en el carrito de la tienda Nekogami.")</f>
        <v>Posibilidad de obtener el efecto de estado y ser seguido por Z.
El Exterminador de Insectos se puede comprar en el carrito de la tienda Nekogami.</v>
      </c>
      <c r="U39" s="300" t="s">
        <v>4986</v>
      </c>
      <c r="V39" s="156" t="str">
        <f>IFERROR(__xludf.DUMMYFUNCTION("GOOGLETRANSLATE(B39,""zh-tw"",""KO"")"),"나는 하멤의 피리 부는 사람이 아니야~")</f>
        <v>나는 하멤의 피리 부는 사람이 아니야~</v>
      </c>
      <c r="W39" s="154" t="str">
        <f>IFERROR(__xludf.DUMMYFUNCTION("GOOGLETRANSLATE(C39,""zh-tw"",""KO"")"),"Z는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9" s="100" t="str">
        <f>IFERROR(__xludf.DUMMYFUNCTION("GOOGLETRANSLATE(D39,""zh-tw"",""KO"")"),"Z의 추적을 받는 상태 이상 효과를 얻을 확률
벌레 박멸자는 네코가미 상점 카트에서 구입할 수 있습니다.")</f>
        <v>Z의 추적을 받는 상태 이상 효과를 얻을 확률
벌레 박멸자는 네코가미 상점 카트에서 구입할 수 있습니다.</v>
      </c>
      <c r="Y39" s="301" t="s">
        <v>4986</v>
      </c>
      <c r="Z39" s="145" t="s">
        <v>4999</v>
      </c>
      <c r="AA39" s="190" t="s">
        <v>5000</v>
      </c>
      <c r="AB39" s="166" t="s">
        <v>5001</v>
      </c>
      <c r="AC39" s="300" t="s">
        <v>4986</v>
      </c>
      <c r="AD39" s="240" t="s">
        <v>5002</v>
      </c>
      <c r="AE39" s="224" t="s">
        <v>5003</v>
      </c>
      <c r="AF39" s="85" t="s">
        <v>5004</v>
      </c>
      <c r="AG39" s="300" t="s">
        <v>4986</v>
      </c>
      <c r="AH39" s="270" t="str">
        <f>IFERROR(__xludf.DUMMYFUNCTION("IF(N39="""", """", GOOGLETRANSLATE(J39,""en"",""DE""))"),"Ich bin nicht der Rattenfänger von Hameln")</f>
        <v>Ich bin nicht der Rattenfänger von Hameln</v>
      </c>
      <c r="AI39" s="154" t="s">
        <v>5005</v>
      </c>
      <c r="AJ39" s="100" t="s">
        <v>5006</v>
      </c>
      <c r="AK39" s="300" t="s">
        <v>4986</v>
      </c>
      <c r="AL39" s="327" t="s">
        <v>5007</v>
      </c>
      <c r="AM39" s="328" t="s">
        <v>5008</v>
      </c>
      <c r="AN39" s="329" t="s">
        <v>5009</v>
      </c>
      <c r="AO39" s="300" t="s">
        <v>4986</v>
      </c>
      <c r="AP39" s="156" t="s">
        <v>5010</v>
      </c>
      <c r="AQ39" s="154" t="s">
        <v>5011</v>
      </c>
      <c r="AR39" s="97" t="s">
        <v>5012</v>
      </c>
      <c r="AS39" s="300" t="s">
        <v>4986</v>
      </c>
      <c r="AT39" s="136" t="s">
        <v>5013</v>
      </c>
      <c r="AU39" s="154" t="s">
        <v>5014</v>
      </c>
      <c r="AV39" s="100" t="s">
        <v>5015</v>
      </c>
    </row>
    <row r="40">
      <c r="A40" s="300" t="s">
        <v>5016</v>
      </c>
      <c r="B40" s="140" t="s">
        <v>4416</v>
      </c>
      <c r="C40" s="139" t="s">
        <v>5017</v>
      </c>
      <c r="D40" s="97" t="s">
        <v>5018</v>
      </c>
      <c r="E40" s="300" t="s">
        <v>5016</v>
      </c>
      <c r="F40" s="140" t="s">
        <v>4420</v>
      </c>
      <c r="G40" s="139" t="s">
        <v>5019</v>
      </c>
      <c r="H40" s="97" t="s">
        <v>5020</v>
      </c>
      <c r="I40" s="300" t="s">
        <v>5016</v>
      </c>
      <c r="J40" s="140" t="s">
        <v>4423</v>
      </c>
      <c r="K40" s="139" t="s">
        <v>5021</v>
      </c>
      <c r="L40" s="97" t="s">
        <v>5022</v>
      </c>
      <c r="M40" s="300" t="s">
        <v>5016</v>
      </c>
      <c r="N40" s="140" t="s">
        <v>4426</v>
      </c>
      <c r="O40" s="139" t="s">
        <v>5023</v>
      </c>
      <c r="P40" s="97" t="s">
        <v>5024</v>
      </c>
      <c r="Q40" s="300" t="s">
        <v>5016</v>
      </c>
      <c r="R40" s="140" t="s">
        <v>4429</v>
      </c>
      <c r="S40" s="154" t="str">
        <f>IFERROR(__xludf.DUMMYFUNCTION("GOOGLETRANSLATE(C40,""zh-tw"",""es-MX"")"),"En el Bosque Perdido, sigue las setas luminosas para llegar al cofre del tesoro que se encuentra en la esquina inferior derecha del mapa.")</f>
        <v>En el Bosque Perdido, sigue las setas luminosas para llegar al cofre del tesoro que se encuentra en la esquina inferior derecha del mapa.</v>
      </c>
      <c r="T40" s="100" t="str">
        <f>IFERROR(__xludf.DUMMYFUNCTION("GOOGLETRANSLATE(D40,""zh-tw"",""es-MX"")"),"Obtén el arma ""Bastón de Lava""")</f>
        <v>Obtén el arma "Bastón de Lava"</v>
      </c>
      <c r="U40" s="300" t="s">
        <v>5016</v>
      </c>
      <c r="V40" s="156" t="str">
        <f>IFERROR(__xludf.DUMMYFUNCTION("GOOGLETRANSLATE(B40,""zh-tw"",""KO"")"),"숨겨진 통로")</f>
        <v>숨겨진 통로</v>
      </c>
      <c r="W40" s="154" t="str">
        <f>IFERROR(__xludf.DUMMYFUNCTION("GOOGLETRANSLATE(C40,""zh-tw"",""KO"")"),"잃어버린 숲에서 빛나는 버섯을 따라가면 지도 오른쪽 아래에 보물 상자가 있습니다.")</f>
        <v>잃어버린 숲에서 빛나는 버섯을 따라가면 지도 오른쪽 아래에 보물 상자가 있습니다.</v>
      </c>
      <c r="X40" s="100" t="str">
        <f>IFERROR(__xludf.DUMMYFUNCTION("GOOGLETRANSLATE(D40,""zh-tw"",""KO"")"),"""용암 지팡이"" 무기를 획득하세요")</f>
        <v>"용암 지팡이" 무기를 획득하세요</v>
      </c>
      <c r="Y40" s="301" t="s">
        <v>5016</v>
      </c>
      <c r="Z40" s="145" t="s">
        <v>4430</v>
      </c>
      <c r="AA40" s="190" t="s">
        <v>5025</v>
      </c>
      <c r="AB40" s="166" t="s">
        <v>5026</v>
      </c>
      <c r="AC40" s="300" t="s">
        <v>5016</v>
      </c>
      <c r="AD40" s="240" t="s">
        <v>4433</v>
      </c>
      <c r="AE40" s="224" t="s">
        <v>5027</v>
      </c>
      <c r="AF40" s="85" t="s">
        <v>5028</v>
      </c>
      <c r="AG40" s="300" t="s">
        <v>5016</v>
      </c>
      <c r="AH40" s="140" t="s">
        <v>4436</v>
      </c>
      <c r="AI40" s="274" t="s">
        <v>5029</v>
      </c>
      <c r="AJ40" s="86" t="s">
        <v>5030</v>
      </c>
      <c r="AK40" s="300" t="s">
        <v>5016</v>
      </c>
      <c r="AL40" s="303" t="s">
        <v>4439</v>
      </c>
      <c r="AM40" s="169" t="s">
        <v>5031</v>
      </c>
      <c r="AN40" s="172" t="s">
        <v>5032</v>
      </c>
      <c r="AO40" s="300" t="s">
        <v>5016</v>
      </c>
      <c r="AP40" s="140" t="s">
        <v>4442</v>
      </c>
      <c r="AQ40" s="154" t="s">
        <v>5033</v>
      </c>
      <c r="AR40" s="100" t="s">
        <v>5034</v>
      </c>
      <c r="AS40" s="300" t="s">
        <v>5016</v>
      </c>
      <c r="AT40" s="140" t="s">
        <v>4445</v>
      </c>
      <c r="AU40" s="154" t="s">
        <v>5035</v>
      </c>
      <c r="AV40" s="100" t="s">
        <v>5036</v>
      </c>
    </row>
    <row r="41">
      <c r="A41" s="300" t="s">
        <v>5037</v>
      </c>
      <c r="B41" s="140" t="s">
        <v>5038</v>
      </c>
      <c r="C41" s="139" t="s">
        <v>5039</v>
      </c>
      <c r="D41" s="97" t="s">
        <v>5040</v>
      </c>
      <c r="E41" s="300" t="s">
        <v>5037</v>
      </c>
      <c r="F41" s="140" t="s">
        <v>5041</v>
      </c>
      <c r="G41" s="139" t="s">
        <v>5042</v>
      </c>
      <c r="H41" s="97" t="s">
        <v>5043</v>
      </c>
      <c r="I41" s="300" t="s">
        <v>5037</v>
      </c>
      <c r="J41" s="140" t="s">
        <v>5044</v>
      </c>
      <c r="K41" s="139" t="s">
        <v>5045</v>
      </c>
      <c r="L41" s="97" t="s">
        <v>5046</v>
      </c>
      <c r="M41" s="300" t="s">
        <v>5037</v>
      </c>
      <c r="N41" s="140" t="s">
        <v>5047</v>
      </c>
      <c r="O41" s="139" t="s">
        <v>5048</v>
      </c>
      <c r="P41" s="97" t="s">
        <v>5049</v>
      </c>
      <c r="Q41" s="300" t="s">
        <v>5037</v>
      </c>
      <c r="R41" s="156" t="s">
        <v>5050</v>
      </c>
      <c r="S41" s="154" t="str">
        <f>IFERROR(__xludf.DUMMYFUNCTION("GOOGLETRANSLATE(C41,""zh-tw"",""es-MX"")"),"En el Bosque Perdido (el final), apareció una criatura desconocida.")</f>
        <v>En el Bosque Perdido (el final), apareció una criatura desconocida.</v>
      </c>
      <c r="T41" s="100" t="str">
        <f>IFERROR(__xludf.DUMMYFUNCTION("GOOGLETRANSLATE(D41,""zh-tw"",""es-MX"")"),"La configuración inicial del escarabajo BOSS actualmente resulta ineficaz.")</f>
        <v>La configuración inicial del escarabajo BOSS actualmente resulta ineficaz.</v>
      </c>
      <c r="U41" s="300" t="s">
        <v>5037</v>
      </c>
      <c r="V41" s="156" t="str">
        <f>IFERROR(__xludf.DUMMYFUNCTION("GOOGLETRANSLATE(B41,""zh-tw"",""KO"")"),"정체불명의 생명체가 나타났다.")</f>
        <v>정체불명의 생명체가 나타났다.</v>
      </c>
      <c r="W41" s="154" t="str">
        <f>IFERROR(__xludf.DUMMYFUNCTION("GOOGLETRANSLATE(C41,""zh-tw"",""KO"")"),"잃어버린 숲(끝부분)에서 정체불명의 생명체가 나타났다.")</f>
        <v>잃어버린 숲(끝부분)에서 정체불명의 생명체가 나타났다.</v>
      </c>
      <c r="X41" s="100" t="str">
        <f>IFERROR(__xludf.DUMMYFUNCTION("GOOGLETRANSLATE(D41,""zh-tw"",""KO"")"),"BOSS 딱정벌레의 초기 설정은 현재 효과적이지 않습니다.")</f>
        <v>BOSS 딱정벌레의 초기 설정은 현재 효과적이지 않습니다.</v>
      </c>
      <c r="Y41" s="301" t="s">
        <v>5037</v>
      </c>
      <c r="Z41" s="145" t="s">
        <v>5051</v>
      </c>
      <c r="AA41" s="190" t="s">
        <v>5052</v>
      </c>
      <c r="AB41" s="166" t="s">
        <v>5053</v>
      </c>
      <c r="AC41" s="300" t="s">
        <v>5037</v>
      </c>
      <c r="AD41" s="240" t="s">
        <v>5051</v>
      </c>
      <c r="AE41" s="241" t="s">
        <v>5054</v>
      </c>
      <c r="AF41" s="85" t="s">
        <v>5055</v>
      </c>
      <c r="AG41" s="300" t="s">
        <v>5037</v>
      </c>
      <c r="AH41" s="175" t="s">
        <v>5056</v>
      </c>
      <c r="AI41" s="274" t="s">
        <v>5057</v>
      </c>
      <c r="AJ41" s="86" t="s">
        <v>5058</v>
      </c>
      <c r="AK41" s="300" t="s">
        <v>5037</v>
      </c>
      <c r="AL41" s="302" t="s">
        <v>5059</v>
      </c>
      <c r="AM41" s="169" t="s">
        <v>5060</v>
      </c>
      <c r="AN41" s="172" t="s">
        <v>5061</v>
      </c>
      <c r="AO41" s="300" t="s">
        <v>5037</v>
      </c>
      <c r="AP41" s="156" t="s">
        <v>5062</v>
      </c>
      <c r="AQ41" s="154" t="s">
        <v>5063</v>
      </c>
      <c r="AR41" s="100" t="s">
        <v>5064</v>
      </c>
      <c r="AS41" s="300" t="s">
        <v>5037</v>
      </c>
      <c r="AT41" s="140" t="s">
        <v>5065</v>
      </c>
      <c r="AU41" s="154" t="s">
        <v>5066</v>
      </c>
      <c r="AV41" s="100" t="s">
        <v>5067</v>
      </c>
    </row>
    <row r="42">
      <c r="A42" s="319"/>
      <c r="B42" s="319"/>
      <c r="C42" s="319"/>
      <c r="D42" s="319"/>
      <c r="E42" s="319"/>
      <c r="F42" s="319"/>
      <c r="G42" s="319"/>
      <c r="H42" s="319"/>
      <c r="I42" s="319"/>
      <c r="J42" s="319"/>
      <c r="K42" s="319"/>
      <c r="L42" s="319"/>
      <c r="M42" s="319"/>
      <c r="N42" s="319"/>
      <c r="O42" s="319"/>
      <c r="P42" s="319"/>
      <c r="Q42" s="319"/>
      <c r="R42" s="319"/>
      <c r="S42" s="320"/>
      <c r="T42" s="320"/>
      <c r="U42" s="319"/>
      <c r="V42" s="320"/>
      <c r="W42" s="320"/>
      <c r="X42" s="320"/>
      <c r="Y42" s="213"/>
      <c r="Z42" s="321"/>
      <c r="AA42" s="322"/>
      <c r="AB42" s="322"/>
      <c r="AC42" s="319"/>
      <c r="AD42" s="319"/>
      <c r="AE42" s="323"/>
      <c r="AF42" s="320"/>
      <c r="AG42" s="319"/>
      <c r="AH42" s="319"/>
      <c r="AI42" s="319"/>
      <c r="AJ42" s="319"/>
      <c r="AK42" s="319"/>
      <c r="AL42" s="319"/>
      <c r="AM42" s="319"/>
      <c r="AN42" s="319"/>
      <c r="AO42" s="319"/>
      <c r="AP42" s="320"/>
      <c r="AQ42" s="320"/>
      <c r="AR42" s="320"/>
      <c r="AS42" s="319"/>
      <c r="AT42" s="319"/>
      <c r="AU42" s="320"/>
      <c r="AV42" s="320"/>
    </row>
    <row r="43">
      <c r="A43" s="216" t="s">
        <v>2166</v>
      </c>
      <c r="B43" s="216" t="s">
        <v>5068</v>
      </c>
      <c r="E43" s="216" t="s">
        <v>2166</v>
      </c>
      <c r="F43" s="294"/>
      <c r="I43" s="216" t="s">
        <v>2166</v>
      </c>
      <c r="J43" s="295" t="s">
        <v>5069</v>
      </c>
      <c r="M43" s="216" t="s">
        <v>2166</v>
      </c>
      <c r="N43" s="216" t="s">
        <v>5070</v>
      </c>
      <c r="Q43" s="216" t="s">
        <v>2166</v>
      </c>
      <c r="R43" s="294"/>
      <c r="U43" s="216" t="s">
        <v>2166</v>
      </c>
      <c r="V43" s="296"/>
      <c r="Y43" s="130" t="s">
        <v>2166</v>
      </c>
      <c r="Z43" s="297" t="s">
        <v>5071</v>
      </c>
      <c r="AC43" s="216" t="s">
        <v>2166</v>
      </c>
      <c r="AD43" s="298" t="s">
        <v>5072</v>
      </c>
      <c r="AG43" s="216" t="s">
        <v>2166</v>
      </c>
      <c r="AH43" s="294"/>
      <c r="AK43" s="216" t="s">
        <v>2166</v>
      </c>
      <c r="AL43" s="294"/>
      <c r="AO43" s="216" t="s">
        <v>2166</v>
      </c>
      <c r="AP43" s="299" t="s">
        <v>5073</v>
      </c>
      <c r="AS43" s="216" t="s">
        <v>2166</v>
      </c>
      <c r="AT43" s="294"/>
    </row>
    <row r="44">
      <c r="A44" s="301" t="s">
        <v>5074</v>
      </c>
      <c r="B44" s="151" t="s">
        <v>4599</v>
      </c>
      <c r="C44" s="152" t="s">
        <v>5075</v>
      </c>
      <c r="D44" s="153" t="s">
        <v>5076</v>
      </c>
      <c r="E44" s="301" t="s">
        <v>5074</v>
      </c>
      <c r="F44" s="330" t="s">
        <v>4420</v>
      </c>
      <c r="G44" s="331" t="s">
        <v>5077</v>
      </c>
      <c r="H44" s="332" t="s">
        <v>5078</v>
      </c>
      <c r="I44" s="301" t="s">
        <v>5074</v>
      </c>
      <c r="J44" s="330" t="s">
        <v>5079</v>
      </c>
      <c r="K44" s="139" t="s">
        <v>5080</v>
      </c>
      <c r="L44" s="97" t="s">
        <v>5081</v>
      </c>
      <c r="M44" s="301" t="s">
        <v>5074</v>
      </c>
      <c r="N44" s="151" t="s">
        <v>5082</v>
      </c>
      <c r="O44" s="152" t="s">
        <v>5083</v>
      </c>
      <c r="P44" s="153" t="s">
        <v>5084</v>
      </c>
      <c r="Q44" s="301" t="s">
        <v>5074</v>
      </c>
      <c r="R44" s="333"/>
      <c r="S44" s="334"/>
      <c r="T44" s="335"/>
      <c r="U44" s="301" t="s">
        <v>5074</v>
      </c>
      <c r="V44" s="336"/>
      <c r="W44" s="337"/>
      <c r="X44" s="267"/>
      <c r="Y44" s="301" t="s">
        <v>5074</v>
      </c>
      <c r="Z44" s="338" t="s">
        <v>5085</v>
      </c>
      <c r="AA44" s="339" t="s">
        <v>5086</v>
      </c>
      <c r="AB44" s="340" t="s">
        <v>5087</v>
      </c>
      <c r="AC44" s="301" t="s">
        <v>5074</v>
      </c>
      <c r="AD44" s="341" t="s">
        <v>5088</v>
      </c>
      <c r="AE44" s="146" t="s">
        <v>5089</v>
      </c>
      <c r="AF44" s="342" t="s">
        <v>5090</v>
      </c>
      <c r="AG44" s="301" t="s">
        <v>5074</v>
      </c>
      <c r="AH44" s="333"/>
      <c r="AI44" s="334"/>
      <c r="AJ44" s="335"/>
      <c r="AK44" s="301" t="s">
        <v>5074</v>
      </c>
      <c r="AL44" s="333"/>
      <c r="AM44" s="334"/>
      <c r="AN44" s="335"/>
      <c r="AO44" s="301" t="s">
        <v>5074</v>
      </c>
      <c r="AP44" s="330" t="s">
        <v>5091</v>
      </c>
      <c r="AQ44" s="158" t="s">
        <v>5092</v>
      </c>
      <c r="AR44" s="343" t="s">
        <v>5093</v>
      </c>
      <c r="AS44" s="301" t="s">
        <v>5074</v>
      </c>
      <c r="AT44" s="333"/>
      <c r="AU44" s="334"/>
      <c r="AV44" s="335"/>
    </row>
    <row r="45">
      <c r="A45" s="294"/>
      <c r="B45" s="295" t="s">
        <v>5094</v>
      </c>
      <c r="E45" s="294"/>
      <c r="F45" s="294"/>
      <c r="I45" s="294"/>
      <c r="J45" s="295" t="s">
        <v>5095</v>
      </c>
      <c r="M45" s="294"/>
      <c r="N45" s="216" t="s">
        <v>5096</v>
      </c>
      <c r="Q45" s="294"/>
      <c r="R45" s="294"/>
      <c r="U45" s="294"/>
      <c r="V45" s="296"/>
      <c r="Y45" s="314"/>
      <c r="Z45" s="297" t="s">
        <v>5097</v>
      </c>
      <c r="AC45" s="294"/>
      <c r="AD45" s="298" t="s">
        <v>5098</v>
      </c>
      <c r="AG45" s="294"/>
      <c r="AH45" s="294"/>
      <c r="AK45" s="294"/>
      <c r="AL45" s="294"/>
      <c r="AO45" s="294"/>
      <c r="AP45" s="299" t="s">
        <v>5099</v>
      </c>
      <c r="AS45" s="294"/>
      <c r="AT45" s="294"/>
    </row>
    <row r="46">
      <c r="A46" s="344" t="s">
        <v>5100</v>
      </c>
      <c r="B46" s="140" t="s">
        <v>5101</v>
      </c>
      <c r="C46" s="139" t="s">
        <v>5102</v>
      </c>
      <c r="D46" s="97" t="s">
        <v>5103</v>
      </c>
      <c r="E46" s="344" t="s">
        <v>5100</v>
      </c>
      <c r="F46" s="140" t="s">
        <v>5104</v>
      </c>
      <c r="G46" s="139" t="s">
        <v>5105</v>
      </c>
      <c r="H46" s="97" t="s">
        <v>5106</v>
      </c>
      <c r="I46" s="344" t="s">
        <v>5100</v>
      </c>
      <c r="J46" s="140" t="s">
        <v>5107</v>
      </c>
      <c r="K46" s="139" t="s">
        <v>5108</v>
      </c>
      <c r="L46" s="97" t="s">
        <v>5109</v>
      </c>
      <c r="M46" s="344" t="s">
        <v>5100</v>
      </c>
      <c r="N46" s="140" t="s">
        <v>5110</v>
      </c>
      <c r="O46" s="139" t="s">
        <v>5111</v>
      </c>
      <c r="P46" s="97" t="s">
        <v>5112</v>
      </c>
      <c r="Q46" s="344" t="s">
        <v>5100</v>
      </c>
      <c r="R46" s="156" t="s">
        <v>5113</v>
      </c>
      <c r="S46" s="139" t="s">
        <v>5114</v>
      </c>
      <c r="T46" s="100" t="str">
        <f>IFERROR(__xludf.DUMMYFUNCTION("GOOGLETRANSLATE(D46,""zh-tw"",""es-MX"")"),"Lo que vi: Caí en una cueva.")</f>
        <v>Lo que vi: Caí en una cueva.</v>
      </c>
      <c r="U46" s="344" t="s">
        <v>5100</v>
      </c>
      <c r="V46" s="156" t="str">
        <f>IFERROR(__xludf.DUMMYFUNCTION("GOOGLETRANSLATE(B46,""zh-tw"",""KO"")"),"구멍 속으로 떨어지다")</f>
        <v>구멍 속으로 떨어지다</v>
      </c>
      <c r="W46" s="154" t="str">
        <f>IFERROR(__xludf.DUMMYFUNCTION("GOOGLETRANSLATE(C46,""zh-tw"",""KO"")"),"개발 지역(광산)
광산 지도에서 다음 레벨로 이동")</f>
        <v>개발 지역(광산)
광산 지도에서 다음 레벨로 이동</v>
      </c>
      <c r="X46" s="100" t="str">
        <f>IFERROR(__xludf.DUMMYFUNCTION("GOOGLETRANSLATE(D46,""zh-tw"",""KO"")"),"내가 본 것: 나는 동굴 속으로 떨어졌다")</f>
        <v>내가 본 것: 나는 동굴 속으로 떨어졌다</v>
      </c>
      <c r="Y46" s="301" t="s">
        <v>5100</v>
      </c>
      <c r="Z46" s="145" t="s">
        <v>5115</v>
      </c>
      <c r="AA46" s="190" t="s">
        <v>5116</v>
      </c>
      <c r="AB46" s="166" t="s">
        <v>5117</v>
      </c>
      <c r="AC46" s="344" t="s">
        <v>5100</v>
      </c>
      <c r="AD46" s="240" t="s">
        <v>5118</v>
      </c>
      <c r="AE46" s="224" t="s">
        <v>5119</v>
      </c>
      <c r="AF46" s="85" t="s">
        <v>5120</v>
      </c>
      <c r="AG46" s="344" t="s">
        <v>5100</v>
      </c>
      <c r="AH46" s="140" t="s">
        <v>5121</v>
      </c>
      <c r="AI46" s="274" t="s">
        <v>5122</v>
      </c>
      <c r="AJ46" s="86" t="s">
        <v>5123</v>
      </c>
      <c r="AK46" s="344" t="s">
        <v>5100</v>
      </c>
      <c r="AL46" s="302" t="s">
        <v>5124</v>
      </c>
      <c r="AM46" s="169" t="s">
        <v>5125</v>
      </c>
      <c r="AN46" s="172" t="s">
        <v>5126</v>
      </c>
      <c r="AO46" s="344" t="s">
        <v>5100</v>
      </c>
      <c r="AP46" s="156" t="s">
        <v>5127</v>
      </c>
      <c r="AQ46" s="154" t="s">
        <v>5128</v>
      </c>
      <c r="AR46" s="100" t="s">
        <v>5129</v>
      </c>
      <c r="AS46" s="344" t="s">
        <v>5100</v>
      </c>
      <c r="AT46" s="136" t="s">
        <v>5130</v>
      </c>
      <c r="AU46" s="154" t="s">
        <v>5131</v>
      </c>
      <c r="AV46" s="100" t="s">
        <v>5132</v>
      </c>
    </row>
    <row r="47">
      <c r="A47" s="344" t="s">
        <v>5133</v>
      </c>
      <c r="B47" s="151" t="s">
        <v>4599</v>
      </c>
      <c r="C47" s="139" t="s">
        <v>5134</v>
      </c>
      <c r="D47" s="97" t="s">
        <v>5135</v>
      </c>
      <c r="E47" s="344" t="s">
        <v>5133</v>
      </c>
      <c r="F47" s="140" t="s">
        <v>4602</v>
      </c>
      <c r="G47" s="139" t="s">
        <v>5136</v>
      </c>
      <c r="H47" s="97" t="s">
        <v>5137</v>
      </c>
      <c r="I47" s="344" t="s">
        <v>5133</v>
      </c>
      <c r="J47" s="140" t="s">
        <v>5079</v>
      </c>
      <c r="K47" s="139" t="s">
        <v>5138</v>
      </c>
      <c r="L47" s="97" t="s">
        <v>5139</v>
      </c>
      <c r="M47" s="344" t="s">
        <v>5133</v>
      </c>
      <c r="N47" s="140" t="s">
        <v>5082</v>
      </c>
      <c r="O47" s="139" t="s">
        <v>5140</v>
      </c>
      <c r="P47" s="97" t="s">
        <v>5141</v>
      </c>
      <c r="Q47" s="344" t="s">
        <v>5133</v>
      </c>
      <c r="R47" s="156" t="s">
        <v>4610</v>
      </c>
      <c r="S47" s="139" t="s">
        <v>5142</v>
      </c>
      <c r="T47" s="100" t="str">
        <f>IFERROR(__xludf.DUMMYFUNCTION("GOOGLETRANSLATE(D47,""zh-tw"",""es-MX"")"),"Objeto obtenido: Gel mágico x10 (Refrescante en días lluviosos)")</f>
        <v>Objeto obtenido: Gel mágico x10 (Refrescante en días lluviosos)</v>
      </c>
      <c r="U47" s="344" t="s">
        <v>5133</v>
      </c>
      <c r="V47" s="156" t="str">
        <f>IFERROR(__xludf.DUMMYFUNCTION("GOOGLETRANSLATE(B47,""zh-tw"",""KO"")"),"숨겨진 아이템")</f>
        <v>숨겨진 아이템</v>
      </c>
      <c r="W47" s="154" t="str">
        <f>IFERROR(__xludf.DUMMYFUNCTION("GOOGLETRANSLATE(C47,""zh-tw"",""KO"")"),"개발 구역(광산)-1의 계단 중앙에 보물 상자가 있습니다.")</f>
        <v>개발 구역(광산)-1의 계단 중앙에 보물 상자가 있습니다.</v>
      </c>
      <c r="X47" s="100" t="str">
        <f>IFERROR(__xludf.DUMMYFUNCTION("GOOGLETRANSLATE(D47,""zh-tw"",""KO"")"),"획득 아이템: 매직 젤 10개 (비 오는 날 상쾌함을 더해줍니다)")</f>
        <v>획득 아이템: 매직 젤 10개 (비 오는 날 상쾌함을 더해줍니다)</v>
      </c>
      <c r="Y47" s="301" t="s">
        <v>5133</v>
      </c>
      <c r="Z47" s="145" t="s">
        <v>4430</v>
      </c>
      <c r="AA47" s="190" t="s">
        <v>5143</v>
      </c>
      <c r="AB47" s="166" t="s">
        <v>5144</v>
      </c>
      <c r="AC47" s="344" t="s">
        <v>5133</v>
      </c>
      <c r="AD47" s="240" t="s">
        <v>4433</v>
      </c>
      <c r="AE47" s="224" t="s">
        <v>5145</v>
      </c>
      <c r="AF47" s="85" t="s">
        <v>5146</v>
      </c>
      <c r="AG47" s="344" t="s">
        <v>5133</v>
      </c>
      <c r="AH47" s="140" t="s">
        <v>5147</v>
      </c>
      <c r="AI47" s="274" t="s">
        <v>5148</v>
      </c>
      <c r="AJ47" s="86" t="s">
        <v>5149</v>
      </c>
      <c r="AK47" s="344" t="s">
        <v>5133</v>
      </c>
      <c r="AL47" s="302" t="s">
        <v>5150</v>
      </c>
      <c r="AM47" s="169" t="s">
        <v>5151</v>
      </c>
      <c r="AN47" s="172" t="s">
        <v>5152</v>
      </c>
      <c r="AO47" s="344" t="s">
        <v>5133</v>
      </c>
      <c r="AP47" s="156" t="s">
        <v>5153</v>
      </c>
      <c r="AQ47" s="154" t="s">
        <v>5154</v>
      </c>
      <c r="AR47" s="100" t="s">
        <v>5155</v>
      </c>
      <c r="AS47" s="344" t="s">
        <v>5133</v>
      </c>
      <c r="AT47" s="136" t="s">
        <v>4626</v>
      </c>
      <c r="AU47" s="154" t="s">
        <v>5156</v>
      </c>
      <c r="AV47" s="100" t="s">
        <v>5157</v>
      </c>
    </row>
    <row r="48">
      <c r="A48" s="344" t="s">
        <v>5158</v>
      </c>
      <c r="B48" s="140" t="s">
        <v>4416</v>
      </c>
      <c r="C48" s="139" t="s">
        <v>5159</v>
      </c>
      <c r="D48" s="97" t="s">
        <v>5160</v>
      </c>
      <c r="E48" s="344" t="s">
        <v>5158</v>
      </c>
      <c r="F48" s="140" t="s">
        <v>4420</v>
      </c>
      <c r="G48" s="139" t="s">
        <v>5161</v>
      </c>
      <c r="H48" s="97" t="s">
        <v>5162</v>
      </c>
      <c r="I48" s="344" t="s">
        <v>5158</v>
      </c>
      <c r="J48" s="140" t="s">
        <v>4423</v>
      </c>
      <c r="K48" s="139" t="s">
        <v>5163</v>
      </c>
      <c r="L48" s="97" t="s">
        <v>5164</v>
      </c>
      <c r="M48" s="344" t="s">
        <v>5158</v>
      </c>
      <c r="N48" s="140" t="s">
        <v>4426</v>
      </c>
      <c r="O48" s="139" t="s">
        <v>5165</v>
      </c>
      <c r="P48" s="97" t="s">
        <v>5166</v>
      </c>
      <c r="Q48" s="344" t="s">
        <v>5158</v>
      </c>
      <c r="R48" s="140" t="s">
        <v>4429</v>
      </c>
      <c r="S48" s="139" t="s">
        <v>5167</v>
      </c>
      <c r="T48" s="100" t="str">
        <f>IFERROR(__xludf.DUMMYFUNCTION("GOOGLETRANSLATE(D48,""zh-tw"",""es-MX"")"),"Obtén el equipo: Anillo de hueso del ahorcado")</f>
        <v>Obtén el equipo: Anillo de hueso del ahorcado</v>
      </c>
      <c r="U48" s="344" t="s">
        <v>5158</v>
      </c>
      <c r="V48" s="156" t="str">
        <f>IFERROR(__xludf.DUMMYFUNCTION("GOOGLETRANSLATE(B48,""zh-tw"",""KO"")"),"숨겨진 통로")</f>
        <v>숨겨진 통로</v>
      </c>
      <c r="W48" s="154" t="str">
        <f>IFERROR(__xludf.DUMMYFUNCTION("GOOGLETRANSLATE(C48,""zh-tw"",""KO"")"),"개발 지역(광산)-1에서는 광산 수레를 타고 최장 지점까지 도달하면 장비를 획득할 수 있습니다.")</f>
        <v>개발 지역(광산)-1에서는 광산 수레를 타고 최장 지점까지 도달하면 장비를 획득할 수 있습니다.</v>
      </c>
      <c r="X48" s="100" t="str">
        <f>IFERROR(__xludf.DUMMYFUNCTION("GOOGLETRANSLATE(D48,""zh-tw"",""KO"")"),"장비 획득 - 교수형당한 남자의 뼈 반지")</f>
        <v>장비 획득 - 교수형당한 남자의 뼈 반지</v>
      </c>
      <c r="Y48" s="301" t="s">
        <v>5158</v>
      </c>
      <c r="Z48" s="145" t="s">
        <v>5085</v>
      </c>
      <c r="AA48" s="345" t="s">
        <v>5168</v>
      </c>
      <c r="AB48" s="166" t="s">
        <v>5169</v>
      </c>
      <c r="AC48" s="344" t="s">
        <v>5158</v>
      </c>
      <c r="AD48" s="240" t="s">
        <v>5088</v>
      </c>
      <c r="AE48" s="224" t="s">
        <v>5170</v>
      </c>
      <c r="AF48" s="85" t="s">
        <v>5171</v>
      </c>
      <c r="AG48" s="344" t="s">
        <v>5158</v>
      </c>
      <c r="AH48" s="140" t="s">
        <v>4436</v>
      </c>
      <c r="AI48" s="274" t="s">
        <v>5172</v>
      </c>
      <c r="AJ48" s="86" t="s">
        <v>5173</v>
      </c>
      <c r="AK48" s="344" t="s">
        <v>5158</v>
      </c>
      <c r="AL48" s="303" t="s">
        <v>4439</v>
      </c>
      <c r="AM48" s="169" t="s">
        <v>5174</v>
      </c>
      <c r="AN48" s="170" t="s">
        <v>5175</v>
      </c>
      <c r="AO48" s="344" t="s">
        <v>5158</v>
      </c>
      <c r="AP48" s="140" t="s">
        <v>4442</v>
      </c>
      <c r="AQ48" s="154" t="s">
        <v>5176</v>
      </c>
      <c r="AR48" s="100" t="s">
        <v>5177</v>
      </c>
      <c r="AS48" s="344" t="s">
        <v>5158</v>
      </c>
      <c r="AT48" s="136" t="s">
        <v>5178</v>
      </c>
      <c r="AU48" s="154" t="s">
        <v>5179</v>
      </c>
      <c r="AV48" s="100" t="s">
        <v>5180</v>
      </c>
    </row>
    <row r="49">
      <c r="A49" s="344" t="s">
        <v>5181</v>
      </c>
      <c r="B49" s="156" t="s">
        <v>5182</v>
      </c>
      <c r="C49" s="154" t="s">
        <v>5183</v>
      </c>
      <c r="D49" s="100" t="s">
        <v>5184</v>
      </c>
      <c r="E49" s="344" t="s">
        <v>5181</v>
      </c>
      <c r="F49" s="140" t="s">
        <v>5185</v>
      </c>
      <c r="G49" s="139" t="s">
        <v>5186</v>
      </c>
      <c r="H49" s="100" t="s">
        <v>5187</v>
      </c>
      <c r="I49" s="344" t="s">
        <v>5181</v>
      </c>
      <c r="J49" s="156" t="s">
        <v>5188</v>
      </c>
      <c r="K49" s="154" t="s">
        <v>5189</v>
      </c>
      <c r="L49" s="100" t="s">
        <v>5190</v>
      </c>
      <c r="M49" s="344" t="s">
        <v>5181</v>
      </c>
      <c r="N49" s="140" t="s">
        <v>5191</v>
      </c>
      <c r="O49" s="139" t="s">
        <v>5192</v>
      </c>
      <c r="P49" s="97" t="s">
        <v>5193</v>
      </c>
      <c r="Q49" s="344" t="s">
        <v>5181</v>
      </c>
      <c r="R49" s="156" t="s">
        <v>5194</v>
      </c>
      <c r="S49" s="154" t="str">
        <f>IFERROR(__xludf.DUMMYFUNCTION("GOOGLETRANSLATE(C49,""zh-tw"",""es-MX"")"),"Desde el fondo de la zona en desarrollo (mina)-1, se puede acceder al siguiente mapa.")</f>
        <v>Desde el fondo de la zona en desarrollo (mina)-1, se puede acceder al siguiente mapa.</v>
      </c>
      <c r="T49" s="100" t="str">
        <f>IFERROR(__xludf.DUMMYFUNCTION("GOOGLETRANSLATE(D49,""zh-tw"",""es-MX"")"),"Llegada a ""Zona de desarrollo (mina)-2""")</f>
        <v>Llegada a "Zona de desarrollo (mina)-2"</v>
      </c>
      <c r="U49" s="344" t="s">
        <v>5181</v>
      </c>
      <c r="V49" s="156" t="str">
        <f>IFERROR(__xludf.DUMMYFUNCTION("GOOGLETRANSLATE(B49,""zh-tw"",""KO"")"),"개발 지역(광산 구덩이) -2")</f>
        <v>개발 지역(광산 구덩이) -2</v>
      </c>
      <c r="W49" s="154" t="str">
        <f>IFERROR(__xludf.DUMMYFUNCTION("GOOGLETRANSLATE(C49,""zh-tw"",""KO"")"),"개발 지역(광산)-1의 맨 뒤쪽에서 다음 지도로 이동할 수 있습니다.")</f>
        <v>개발 지역(광산)-1의 맨 뒤쪽에서 다음 지도로 이동할 수 있습니다.</v>
      </c>
      <c r="X49" s="100" t="str">
        <f>IFERROR(__xludf.DUMMYFUNCTION("GOOGLETRANSLATE(D49,""zh-tw"",""KO"")"),"""개발 지역(광산)-2""에 도착하세요.")</f>
        <v>"개발 지역(광산)-2"에 도착하세요.</v>
      </c>
      <c r="Y49" s="301" t="s">
        <v>5181</v>
      </c>
      <c r="Z49" s="145" t="s">
        <v>5195</v>
      </c>
      <c r="AA49" s="190" t="s">
        <v>5196</v>
      </c>
      <c r="AB49" s="166" t="s">
        <v>5197</v>
      </c>
      <c r="AC49" s="344" t="s">
        <v>5181</v>
      </c>
      <c r="AD49" s="140" t="s">
        <v>5198</v>
      </c>
      <c r="AE49" s="224" t="s">
        <v>5199</v>
      </c>
      <c r="AF49" s="85" t="s">
        <v>5200</v>
      </c>
      <c r="AG49" s="344" t="s">
        <v>5181</v>
      </c>
      <c r="AH49" s="156" t="s">
        <v>5201</v>
      </c>
      <c r="AI49" s="154" t="s">
        <v>5202</v>
      </c>
      <c r="AJ49" s="100" t="s">
        <v>5203</v>
      </c>
      <c r="AK49" s="344" t="s">
        <v>5181</v>
      </c>
      <c r="AL49" s="312" t="s">
        <v>5204</v>
      </c>
      <c r="AM49" s="248" t="s">
        <v>5205</v>
      </c>
      <c r="AN49" s="238" t="s">
        <v>5206</v>
      </c>
      <c r="AO49" s="344" t="s">
        <v>5181</v>
      </c>
      <c r="AP49" s="156" t="s">
        <v>5207</v>
      </c>
      <c r="AQ49" s="154" t="s">
        <v>5208</v>
      </c>
      <c r="AR49" s="100" t="s">
        <v>5209</v>
      </c>
      <c r="AS49" s="344" t="s">
        <v>5181</v>
      </c>
      <c r="AT49" s="140" t="s">
        <v>5210</v>
      </c>
      <c r="AU49" s="154" t="s">
        <v>5211</v>
      </c>
      <c r="AV49" s="100" t="s">
        <v>5212</v>
      </c>
    </row>
    <row r="50">
      <c r="A50" s="344" t="s">
        <v>5213</v>
      </c>
      <c r="B50" s="140" t="s">
        <v>4599</v>
      </c>
      <c r="C50" s="139" t="s">
        <v>5214</v>
      </c>
      <c r="D50" s="97" t="s">
        <v>5076</v>
      </c>
      <c r="E50" s="344" t="s">
        <v>5213</v>
      </c>
      <c r="F50" s="140" t="s">
        <v>4602</v>
      </c>
      <c r="G50" s="139" t="s">
        <v>5215</v>
      </c>
      <c r="H50" s="97" t="s">
        <v>5216</v>
      </c>
      <c r="I50" s="344" t="s">
        <v>5213</v>
      </c>
      <c r="J50" s="140" t="s">
        <v>5079</v>
      </c>
      <c r="K50" s="139" t="s">
        <v>5217</v>
      </c>
      <c r="L50" s="97" t="s">
        <v>5081</v>
      </c>
      <c r="M50" s="344" t="s">
        <v>5213</v>
      </c>
      <c r="N50" s="140" t="s">
        <v>5082</v>
      </c>
      <c r="O50" s="154" t="s">
        <v>5218</v>
      </c>
      <c r="P50" s="100" t="s">
        <v>5084</v>
      </c>
      <c r="Q50" s="344" t="s">
        <v>5213</v>
      </c>
      <c r="R50" s="156" t="s">
        <v>4610</v>
      </c>
      <c r="S50" s="154" t="str">
        <f>IFERROR(__xludf.DUMMYFUNCTION("GOOGLETRANSLATE(C50,""zh-tw"",""es-MX"")"),"El punto brillante se encuentra en el fondo de la superficie del agua en ""Zona de Desarrollo (Mina)-2"".")</f>
        <v>El punto brillante se encuentra en el fondo de la superficie del agua en "Zona de Desarrollo (Mina)-2".</v>
      </c>
      <c r="T50" s="100" t="str">
        <f>IFERROR(__xludf.DUMMYFUNCTION("GOOGLETRANSLATE(D50,""zh-tw"",""es-MX"")"),"Equipo obtenido: Medalla de la Espada del Guardián")</f>
        <v>Equipo obtenido: Medalla de la Espada del Guardián</v>
      </c>
      <c r="U50" s="344" t="s">
        <v>5213</v>
      </c>
      <c r="V50" s="156" t="str">
        <f>IFERROR(__xludf.DUMMYFUNCTION("GOOGLETRANSLATE(B50,""zh-tw"",""KO"")"),"숨겨진 아이템")</f>
        <v>숨겨진 아이템</v>
      </c>
      <c r="W50" s="154" t="str">
        <f>IFERROR(__xludf.DUMMYFUNCTION("GOOGLETRANSLATE(C50,""zh-tw"",""KO"")"),"빛나는 지점은 ""개발 구역(광산)-2""의 수면 바닥에 위치해 있습니다.")</f>
        <v>빛나는 지점은 "개발 구역(광산)-2"의 수면 바닥에 위치해 있습니다.</v>
      </c>
      <c r="X50" s="100" t="str">
        <f>IFERROR(__xludf.DUMMYFUNCTION("GOOGLETRANSLATE(D50,""zh-tw"",""KO"")"),"획득 장비: 수호자의 검 메달")</f>
        <v>획득 장비: 수호자의 검 메달</v>
      </c>
      <c r="Y50" s="301" t="s">
        <v>5213</v>
      </c>
      <c r="Z50" s="145" t="s">
        <v>5085</v>
      </c>
      <c r="AA50" s="190" t="s">
        <v>5219</v>
      </c>
      <c r="AB50" s="166" t="s">
        <v>5087</v>
      </c>
      <c r="AC50" s="344" t="s">
        <v>5213</v>
      </c>
      <c r="AD50" s="240" t="s">
        <v>5088</v>
      </c>
      <c r="AE50" s="224" t="s">
        <v>5220</v>
      </c>
      <c r="AF50" s="346" t="s">
        <v>5090</v>
      </c>
      <c r="AG50" s="344" t="s">
        <v>5213</v>
      </c>
      <c r="AH50" s="140" t="s">
        <v>5147</v>
      </c>
      <c r="AI50" s="139" t="str">
        <f>IFERROR(__xludf.DUMMYFUNCTION("GOOGLETRANSLATE(C50,""zh-tw"",""de"")"),"Der leuchtende Fleck befindet sich am Grund der Wasseroberfläche im ""Entwicklungsbereich (Mine)-2"".")</f>
        <v>Der leuchtende Fleck befindet sich am Grund der Wasseroberfläche im "Entwicklungsbereich (Mine)-2".</v>
      </c>
      <c r="AJ50" s="97" t="s">
        <v>5221</v>
      </c>
      <c r="AK50" s="344" t="s">
        <v>5213</v>
      </c>
      <c r="AL50" s="302" t="s">
        <v>5150</v>
      </c>
      <c r="AM50" s="169" t="s">
        <v>5222</v>
      </c>
      <c r="AN50" s="172" t="s">
        <v>5223</v>
      </c>
      <c r="AO50" s="344" t="s">
        <v>5213</v>
      </c>
      <c r="AP50" s="156" t="s">
        <v>5153</v>
      </c>
      <c r="AQ50" s="154" t="s">
        <v>5224</v>
      </c>
      <c r="AR50" s="97" t="s">
        <v>5225</v>
      </c>
      <c r="AS50" s="344" t="s">
        <v>5213</v>
      </c>
      <c r="AT50" s="136" t="s">
        <v>4626</v>
      </c>
      <c r="AU50" s="154" t="s">
        <v>5226</v>
      </c>
      <c r="AV50" s="100" t="s">
        <v>5227</v>
      </c>
    </row>
    <row r="51">
      <c r="A51" s="344" t="s">
        <v>5228</v>
      </c>
      <c r="B51" s="156" t="s">
        <v>4416</v>
      </c>
      <c r="C51" s="154" t="s">
        <v>5229</v>
      </c>
      <c r="D51" s="100" t="s">
        <v>5230</v>
      </c>
      <c r="E51" s="344" t="s">
        <v>5228</v>
      </c>
      <c r="F51" s="156" t="s">
        <v>5231</v>
      </c>
      <c r="G51" s="154" t="s">
        <v>5232</v>
      </c>
      <c r="H51" s="100" t="s">
        <v>5233</v>
      </c>
      <c r="I51" s="344" t="s">
        <v>5228</v>
      </c>
      <c r="J51" s="140" t="s">
        <v>5234</v>
      </c>
      <c r="K51" s="139" t="s">
        <v>5235</v>
      </c>
      <c r="L51" s="100" t="s">
        <v>5236</v>
      </c>
      <c r="M51" s="344" t="s">
        <v>5228</v>
      </c>
      <c r="N51" s="140" t="s">
        <v>4426</v>
      </c>
      <c r="O51" s="139" t="s">
        <v>5237</v>
      </c>
      <c r="P51" s="97" t="s">
        <v>5238</v>
      </c>
      <c r="Q51" s="344" t="s">
        <v>5228</v>
      </c>
      <c r="R51" s="156" t="s">
        <v>5239</v>
      </c>
      <c r="S51" s="154" t="str">
        <f>IFERROR(__xludf.DUMMYFUNCTION("GOOGLETRANSLATE(C51,""zh-tw"",""es-MX"")"),"En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51" s="100" t="str">
        <f>IFERROR(__xludf.DUMMYFUNCTION("GOOGLETRANSLATE(D51,""zh-tw"",""es-MX"")"),"Tras retirar las rocas, se puede acceder a las cuevas de la montaña.")</f>
        <v>Tras retirar las rocas, se puede acceder a las cuevas de la montaña.</v>
      </c>
      <c r="U51" s="344" t="s">
        <v>5228</v>
      </c>
      <c r="V51" s="156" t="str">
        <f>IFERROR(__xludf.DUMMYFUNCTION("GOOGLETRANSLATE(B51,""zh-tw"",""KO"")"),"숨겨진 통로")</f>
        <v>숨겨진 통로</v>
      </c>
      <c r="W51" s="154" t="str">
        <f>IFERROR(__xludf.DUMMYFUNCTION("GOOGLETRANSLATE(C51,""zh-tw"",""KO"")"),"개발 지역(광산)-2에서 지도 중앙에서 오른쪽 위로 ""산 동굴""(R11)과 연결되는 숨겨진 통로가 있습니다.")</f>
        <v>개발 지역(광산)-2에서 지도 중앙에서 오른쪽 위로 "산 동굴"(R11)과 연결되는 숨겨진 통로가 있습니다.</v>
      </c>
      <c r="X51" s="100" t="str">
        <f>IFERROR(__xludf.DUMMYFUNCTION("GOOGLETRANSLATE(D51,""zh-tw"",""KO"")"),"바위를 치우면 산속 동굴과 연결될 수 있습니다.")</f>
        <v>바위를 치우면 산속 동굴과 연결될 수 있습니다.</v>
      </c>
      <c r="Y51" s="301" t="s">
        <v>5228</v>
      </c>
      <c r="Z51" s="145" t="s">
        <v>4458</v>
      </c>
      <c r="AA51" s="190" t="s">
        <v>5240</v>
      </c>
      <c r="AB51" s="166" t="s">
        <v>5241</v>
      </c>
      <c r="AC51" s="344" t="s">
        <v>5228</v>
      </c>
      <c r="AD51" s="240" t="s">
        <v>4461</v>
      </c>
      <c r="AE51" s="224" t="s">
        <v>5242</v>
      </c>
      <c r="AF51" s="85" t="s">
        <v>5243</v>
      </c>
      <c r="AG51" s="344" t="s">
        <v>5228</v>
      </c>
      <c r="AH51" s="156" t="s">
        <v>5244</v>
      </c>
      <c r="AI51" s="154" t="s">
        <v>5245</v>
      </c>
      <c r="AJ51" s="100" t="s">
        <v>5246</v>
      </c>
      <c r="AK51" s="344" t="s">
        <v>5228</v>
      </c>
      <c r="AL51" s="303" t="s">
        <v>5247</v>
      </c>
      <c r="AM51" s="248" t="s">
        <v>5248</v>
      </c>
      <c r="AN51" s="238" t="s">
        <v>5249</v>
      </c>
      <c r="AO51" s="344" t="s">
        <v>5228</v>
      </c>
      <c r="AP51" s="140" t="s">
        <v>5250</v>
      </c>
      <c r="AQ51" s="154" t="s">
        <v>5251</v>
      </c>
      <c r="AR51" s="100" t="s">
        <v>5252</v>
      </c>
      <c r="AS51" s="344" t="s">
        <v>5228</v>
      </c>
      <c r="AT51" s="136" t="s">
        <v>5253</v>
      </c>
      <c r="AU51" s="154" t="s">
        <v>5254</v>
      </c>
      <c r="AV51" s="100" t="s">
        <v>5255</v>
      </c>
    </row>
    <row r="52">
      <c r="A52" s="344" t="s">
        <v>5256</v>
      </c>
      <c r="B52" s="156" t="s">
        <v>5257</v>
      </c>
      <c r="C52" s="154" t="s">
        <v>5258</v>
      </c>
      <c r="D52" s="100" t="s">
        <v>5259</v>
      </c>
      <c r="E52" s="344" t="s">
        <v>5256</v>
      </c>
      <c r="F52" s="140" t="s">
        <v>5260</v>
      </c>
      <c r="G52" s="154" t="s">
        <v>5261</v>
      </c>
      <c r="H52" s="100" t="s">
        <v>5262</v>
      </c>
      <c r="I52" s="344" t="s">
        <v>5256</v>
      </c>
      <c r="J52" s="156" t="s">
        <v>5263</v>
      </c>
      <c r="K52" s="154" t="s">
        <v>5264</v>
      </c>
      <c r="L52" s="100" t="s">
        <v>5265</v>
      </c>
      <c r="M52" s="344" t="s">
        <v>5256</v>
      </c>
      <c r="N52" s="140" t="s">
        <v>5266</v>
      </c>
      <c r="O52" s="139" t="s">
        <v>5267</v>
      </c>
      <c r="P52" s="97" t="s">
        <v>5268</v>
      </c>
      <c r="Q52" s="344" t="s">
        <v>5256</v>
      </c>
      <c r="R52" s="156" t="s">
        <v>5269</v>
      </c>
      <c r="S52" s="154" t="str">
        <f>IFERROR(__xludf.DUMMYFUNCTION("GOOGLETRANSLATE(C52,""zh-tw"",""es-MX"")"),"En ""Zona de Desarrollo (Mina)-2"", hay una enorme roca en el centro del mapa que se extiende hacia arriba. Si la atraviesas, llegarás a ""Zona de Desarrollo (Mina)-3"", donde podrás destruirla manualmente o usar una vagoneta para entrar en ella.")</f>
        <v>En "Zona de Desarrollo (Mina)-2", hay una enorme roca en el centro del mapa que se extiende hacia arriba. Si la atraviesas, llegarás a "Zona de Desarrollo (Mina)-3", donde podrás destruirla manualmente o usar una vagoneta para entrar en ella.</v>
      </c>
      <c r="T52" s="100" t="str">
        <f>IFERROR(__xludf.DUMMYFUNCTION("GOOGLETRANSLATE(D52,""zh-tw"",""es-MX"")"),"Llegada a ""Zona de desarrollo (mina)-3""")</f>
        <v>Llegada a "Zona de desarrollo (mina)-3"</v>
      </c>
      <c r="U52" s="344" t="s">
        <v>5256</v>
      </c>
      <c r="V52" s="156" t="str">
        <f>IFERROR(__xludf.DUMMYFUNCTION("GOOGLETRANSLATE(B52,""zh-tw"",""KO"")"),"개발 지역(광산 구덩이) -3")</f>
        <v>개발 지역(광산 구덩이) -3</v>
      </c>
      <c r="W52" s="154" t="str">
        <f>IFERROR(__xludf.DUMMYFUNCTION("GOOGLETRANSLATE(C52,""zh-tw"",""KO"")"),"""개발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52" s="100" t="str">
        <f>IFERROR(__xludf.DUMMYFUNCTION("GOOGLETRANSLATE(D52,""zh-tw"",""KO"")"),"""개발 지역(광산)-3""에 도착하세요.")</f>
        <v>"개발 지역(광산)-3"에 도착하세요.</v>
      </c>
      <c r="Y52" s="301" t="s">
        <v>5256</v>
      </c>
      <c r="Z52" s="145" t="s">
        <v>5270</v>
      </c>
      <c r="AA52" s="190" t="s">
        <v>5271</v>
      </c>
      <c r="AB52" s="166" t="s">
        <v>5272</v>
      </c>
      <c r="AC52" s="344" t="s">
        <v>5256</v>
      </c>
      <c r="AD52" s="140" t="s">
        <v>5273</v>
      </c>
      <c r="AE52" s="224" t="s">
        <v>5274</v>
      </c>
      <c r="AF52" s="85" t="s">
        <v>5275</v>
      </c>
      <c r="AG52" s="344" t="s">
        <v>5256</v>
      </c>
      <c r="AH52" s="156" t="s">
        <v>5276</v>
      </c>
      <c r="AI52" s="154" t="s">
        <v>5277</v>
      </c>
      <c r="AJ52" s="100" t="s">
        <v>5278</v>
      </c>
      <c r="AK52" s="344" t="s">
        <v>5256</v>
      </c>
      <c r="AL52" s="312" t="s">
        <v>5279</v>
      </c>
      <c r="AM52" s="248" t="s">
        <v>5280</v>
      </c>
      <c r="AN52" s="238" t="s">
        <v>5281</v>
      </c>
      <c r="AO52" s="344" t="s">
        <v>5256</v>
      </c>
      <c r="AP52" s="156" t="s">
        <v>5282</v>
      </c>
      <c r="AQ52" s="154" t="s">
        <v>5283</v>
      </c>
      <c r="AR52" s="100" t="s">
        <v>5284</v>
      </c>
      <c r="AS52" s="344" t="s">
        <v>5256</v>
      </c>
      <c r="AT52" s="140" t="s">
        <v>5285</v>
      </c>
      <c r="AU52" s="154" t="s">
        <v>5286</v>
      </c>
      <c r="AV52" s="100" t="s">
        <v>5287</v>
      </c>
    </row>
    <row r="53">
      <c r="A53" s="344" t="s">
        <v>5288</v>
      </c>
      <c r="B53" s="140" t="s">
        <v>4599</v>
      </c>
      <c r="C53" s="139" t="s">
        <v>5289</v>
      </c>
      <c r="D53" s="97" t="s">
        <v>5290</v>
      </c>
      <c r="E53" s="344" t="s">
        <v>5288</v>
      </c>
      <c r="F53" s="140" t="s">
        <v>4602</v>
      </c>
      <c r="G53" s="139" t="s">
        <v>5291</v>
      </c>
      <c r="H53" s="97" t="s">
        <v>5292</v>
      </c>
      <c r="I53" s="344" t="s">
        <v>5288</v>
      </c>
      <c r="J53" s="140" t="s">
        <v>5079</v>
      </c>
      <c r="K53" s="139" t="s">
        <v>5293</v>
      </c>
      <c r="L53" s="97" t="s">
        <v>5294</v>
      </c>
      <c r="M53" s="344" t="s">
        <v>5288</v>
      </c>
      <c r="N53" s="140" t="s">
        <v>5082</v>
      </c>
      <c r="O53" s="154" t="s">
        <v>5295</v>
      </c>
      <c r="P53" s="100" t="s">
        <v>5296</v>
      </c>
      <c r="Q53" s="344" t="s">
        <v>5288</v>
      </c>
      <c r="R53" s="156" t="s">
        <v>4610</v>
      </c>
      <c r="S53" s="154" t="str">
        <f>IFERROR(__xludf.DUMMYFUNCTION("GOOGLETRANSLATE(C53,""zh-tw"",""es-MX"")"),"La caja de madera brillante se encuentra en el lado izquierdo después de entrar en ""Área de Desarrollo (Mina)-3"".")</f>
        <v>La caja de madera brillante se encuentra en el lado izquierdo después de entrar en "Área de Desarrollo (Mina)-3".</v>
      </c>
      <c r="T53" s="100" t="str">
        <f>IFERROR(__xludf.DUMMYFUNCTION("GOOGLETRANSLATE(D53,""zh-tw"",""es-MX"")"),"Equipo obtenido: Guantes de seguridad")</f>
        <v>Equipo obtenido: Guantes de seguridad</v>
      </c>
      <c r="U53" s="344" t="s">
        <v>5288</v>
      </c>
      <c r="V53" s="156" t="str">
        <f>IFERROR(__xludf.DUMMYFUNCTION("GOOGLETRANSLATE(B53,""zh-tw"",""KO"")"),"숨겨진 아이템")</f>
        <v>숨겨진 아이템</v>
      </c>
      <c r="W53" s="154" t="str">
        <f>IFERROR(__xludf.DUMMYFUNCTION("GOOGLETRANSLATE(C53,""zh-tw"",""KO"")"),"빛나는 나무 상자는 ""개발 구역(광산)-3""에 들어간 후 왼쪽에 있습니다.")</f>
        <v>빛나는 나무 상자는 "개발 구역(광산)-3"에 들어간 후 왼쪽에 있습니다.</v>
      </c>
      <c r="X53" s="100" t="str">
        <f>IFERROR(__xludf.DUMMYFUNCTION("GOOGLETRANSLATE(D53,""zh-tw"",""KO"")"),"획득 장비: 안전 장갑")</f>
        <v>획득 장비: 안전 장갑</v>
      </c>
      <c r="Y53" s="301" t="s">
        <v>5288</v>
      </c>
      <c r="Z53" s="145" t="s">
        <v>5085</v>
      </c>
      <c r="AA53" s="190" t="s">
        <v>5297</v>
      </c>
      <c r="AB53" s="166" t="s">
        <v>5298</v>
      </c>
      <c r="AC53" s="344" t="s">
        <v>5288</v>
      </c>
      <c r="AD53" s="240" t="s">
        <v>5088</v>
      </c>
      <c r="AE53" s="224" t="s">
        <v>5299</v>
      </c>
      <c r="AF53" s="85" t="s">
        <v>5300</v>
      </c>
      <c r="AG53" s="344" t="s">
        <v>5288</v>
      </c>
      <c r="AH53" s="140" t="s">
        <v>5147</v>
      </c>
      <c r="AI53" s="139" t="str">
        <f>IFERROR(__xludf.DUMMYFUNCTION("GOOGLETRANSLATE(C53,""zh-tw"",""de"")"),"Die leuchtende Holzkiste befindet sich auf der linken Seite nach Betreten des ""Entwicklungsbereichs (Mine)-3"".")</f>
        <v>Die leuchtende Holzkiste befindet sich auf der linken Seite nach Betreten des "Entwicklungsbereichs (Mine)-3".</v>
      </c>
      <c r="AJ53" s="97" t="s">
        <v>5301</v>
      </c>
      <c r="AK53" s="344" t="s">
        <v>5288</v>
      </c>
      <c r="AL53" s="302" t="s">
        <v>5150</v>
      </c>
      <c r="AM53" s="169" t="s">
        <v>5302</v>
      </c>
      <c r="AN53" s="172" t="s">
        <v>5303</v>
      </c>
      <c r="AO53" s="344" t="s">
        <v>5288</v>
      </c>
      <c r="AP53" s="156" t="s">
        <v>5153</v>
      </c>
      <c r="AQ53" s="154" t="s">
        <v>5304</v>
      </c>
      <c r="AR53" s="100" t="s">
        <v>5305</v>
      </c>
      <c r="AS53" s="344" t="s">
        <v>5288</v>
      </c>
      <c r="AT53" s="136" t="s">
        <v>4626</v>
      </c>
      <c r="AU53" s="154" t="s">
        <v>5306</v>
      </c>
      <c r="AV53" s="100" t="s">
        <v>5307</v>
      </c>
    </row>
    <row r="54">
      <c r="A54" s="344" t="s">
        <v>5308</v>
      </c>
      <c r="B54" s="140" t="s">
        <v>4599</v>
      </c>
      <c r="C54" s="139" t="s">
        <v>5309</v>
      </c>
      <c r="D54" s="97" t="s">
        <v>5310</v>
      </c>
      <c r="E54" s="344" t="s">
        <v>5308</v>
      </c>
      <c r="F54" s="140" t="s">
        <v>4602</v>
      </c>
      <c r="G54" s="139" t="s">
        <v>5311</v>
      </c>
      <c r="H54" s="97" t="s">
        <v>5312</v>
      </c>
      <c r="I54" s="344" t="s">
        <v>5308</v>
      </c>
      <c r="J54" s="140" t="s">
        <v>5079</v>
      </c>
      <c r="K54" s="139" t="s">
        <v>5313</v>
      </c>
      <c r="L54" s="97" t="s">
        <v>5314</v>
      </c>
      <c r="M54" s="344" t="s">
        <v>5308</v>
      </c>
      <c r="N54" s="140" t="s">
        <v>5082</v>
      </c>
      <c r="O54" s="154" t="s">
        <v>5315</v>
      </c>
      <c r="P54" s="100" t="s">
        <v>5316</v>
      </c>
      <c r="Q54" s="344" t="s">
        <v>5308</v>
      </c>
      <c r="R54" s="156" t="s">
        <v>4610</v>
      </c>
      <c r="S54" s="154" t="str">
        <f>IFERROR(__xludf.DUMMYFUNCTION("GOOGLETRANSLATE(C54,""zh-tw"",""es-MX"")"),"Los objetos ocultos se pueden obtener utilizando habilidades de equipo en el área suspendida del área de desarrollo (mina)-3.")</f>
        <v>Los objetos ocultos se pueden obtener utilizando habilidades de equipo en el área suspendida del área de desarrollo (mina)-3.</v>
      </c>
      <c r="T54" s="100" t="str">
        <f>IFERROR(__xludf.DUMMYFUNCTION("GOOGLETRANSLATE(D54,""zh-tw"",""es-MX"")"),"Equipo obtenido: Espada de gemas")</f>
        <v>Equipo obtenido: Espada de gemas</v>
      </c>
      <c r="U54" s="344" t="s">
        <v>5308</v>
      </c>
      <c r="V54" s="156" t="str">
        <f>IFERROR(__xludf.DUMMYFUNCTION("GOOGLETRANSLATE(B54,""zh-tw"",""KO"")"),"숨겨진 아이템")</f>
        <v>숨겨진 아이템</v>
      </c>
      <c r="W54" s="154" t="str">
        <f>IFERROR(__xludf.DUMMYFUNCTION("GOOGLETRANSLATE(C54,""zh-tw"",""KO"")"),"숨겨진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54" s="100" t="str">
        <f>IFERROR(__xludf.DUMMYFUNCTION("GOOGLETRANSLATE(D54,""zh-tw"",""KO"")"),"획득 장비: 보석검")</f>
        <v>획득 장비: 보석검</v>
      </c>
      <c r="Y54" s="301" t="s">
        <v>5308</v>
      </c>
      <c r="Z54" s="145" t="s">
        <v>5085</v>
      </c>
      <c r="AA54" s="190" t="s">
        <v>5317</v>
      </c>
      <c r="AB54" s="166" t="s">
        <v>5318</v>
      </c>
      <c r="AC54" s="344" t="s">
        <v>5308</v>
      </c>
      <c r="AD54" s="240" t="s">
        <v>5088</v>
      </c>
      <c r="AE54" s="224" t="s">
        <v>5319</v>
      </c>
      <c r="AF54" s="85" t="s">
        <v>5320</v>
      </c>
      <c r="AG54" s="344" t="s">
        <v>5308</v>
      </c>
      <c r="AH54" s="140" t="s">
        <v>5147</v>
      </c>
      <c r="AI54" s="139" t="str">
        <f>IFERROR(__xludf.DUMMYFUNCTION("GOOGLETRANSLATE(C54,""zh-tw"",""de"")"),"Versteckte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J54" s="97" t="s">
        <v>5321</v>
      </c>
      <c r="AK54" s="344" t="s">
        <v>5308</v>
      </c>
      <c r="AL54" s="302" t="s">
        <v>5150</v>
      </c>
      <c r="AM54" s="169" t="s">
        <v>5322</v>
      </c>
      <c r="AN54" s="172" t="s">
        <v>5323</v>
      </c>
      <c r="AO54" s="344" t="s">
        <v>5308</v>
      </c>
      <c r="AP54" s="156" t="s">
        <v>5153</v>
      </c>
      <c r="AQ54" s="154" t="s">
        <v>5324</v>
      </c>
      <c r="AR54" s="100" t="s">
        <v>5325</v>
      </c>
      <c r="AS54" s="344" t="s">
        <v>5308</v>
      </c>
      <c r="AT54" s="136" t="s">
        <v>4626</v>
      </c>
      <c r="AU54" s="154" t="s">
        <v>5326</v>
      </c>
      <c r="AV54" s="100" t="s">
        <v>5327</v>
      </c>
    </row>
    <row r="55">
      <c r="A55" s="344" t="s">
        <v>5328</v>
      </c>
      <c r="B55" s="156" t="s">
        <v>5329</v>
      </c>
      <c r="C55" s="154" t="s">
        <v>5330</v>
      </c>
      <c r="D55" s="100" t="s">
        <v>5331</v>
      </c>
      <c r="E55" s="344" t="s">
        <v>5328</v>
      </c>
      <c r="F55" s="140" t="s">
        <v>5332</v>
      </c>
      <c r="G55" s="154" t="s">
        <v>5333</v>
      </c>
      <c r="H55" s="100" t="s">
        <v>5334</v>
      </c>
      <c r="I55" s="344" t="s">
        <v>5328</v>
      </c>
      <c r="J55" s="156" t="s">
        <v>5335</v>
      </c>
      <c r="K55" s="154" t="s">
        <v>5336</v>
      </c>
      <c r="L55" s="100" t="s">
        <v>5337</v>
      </c>
      <c r="M55" s="344" t="s">
        <v>5328</v>
      </c>
      <c r="N55" s="140" t="s">
        <v>5338</v>
      </c>
      <c r="O55" s="139" t="s">
        <v>5339</v>
      </c>
      <c r="P55" s="97" t="s">
        <v>5340</v>
      </c>
      <c r="Q55" s="344" t="s">
        <v>5328</v>
      </c>
      <c r="R55" s="156" t="s">
        <v>5341</v>
      </c>
      <c r="S55" s="154" t="str">
        <f>IFERROR(__xludf.DUMMYFUNCTION("GOOGLETRANSLATE(C55,""zh-tw"",""es-MX"")"),"Desde ""Zona de desarrollo (mina)-3"", siga el camino del mapa para llegar a ""Zona de desarrollo (mina)-4"". Si cae accidentalmente, llegará a la zona de lava.")</f>
        <v>Desde "Zona de desarrollo (mina)-3", siga el camino del mapa para llegar a "Zona de desarrollo (mina)-4". Si cae accidentalmente, llegará a la zona de lava.</v>
      </c>
      <c r="T55" s="100" t="str">
        <f>IFERROR(__xludf.DUMMYFUNCTION("GOOGLETRANSLATE(D55,""zh-tw"",""es-MX"")"),"Llegada a ""Zona de desarrollo (mina)-4""")</f>
        <v>Llegada a "Zona de desarrollo (mina)-4"</v>
      </c>
      <c r="U55" s="344" t="s">
        <v>5328</v>
      </c>
      <c r="V55" s="156" t="str">
        <f>IFERROR(__xludf.DUMMYFUNCTION("GOOGLETRANSLATE(B55,""zh-tw"",""KO"")"),"개발 지역(광산 구덩이) -4")</f>
        <v>개발 지역(광산 구덩이) -4</v>
      </c>
      <c r="W55" s="154" t="str">
        <f>IFERROR(__xludf.DUMMYFUNCTION("GOOGLETRANSLATE(C55,""zh-tw"",""KO"")"),"""개발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55" s="100" t="str">
        <f>IFERROR(__xludf.DUMMYFUNCTION("GOOGLETRANSLATE(D55,""zh-tw"",""KO"")"),"""개발 지역(광산)-4""에 도착하세요.")</f>
        <v>"개발 지역(광산)-4"에 도착하세요.</v>
      </c>
      <c r="Y55" s="301" t="s">
        <v>5328</v>
      </c>
      <c r="Z55" s="145" t="s">
        <v>5342</v>
      </c>
      <c r="AA55" s="190" t="s">
        <v>5343</v>
      </c>
      <c r="AB55" s="166" t="s">
        <v>5344</v>
      </c>
      <c r="AC55" s="344" t="s">
        <v>5328</v>
      </c>
      <c r="AD55" s="140" t="s">
        <v>5345</v>
      </c>
      <c r="AE55" s="224" t="s">
        <v>5346</v>
      </c>
      <c r="AF55" s="85" t="s">
        <v>5347</v>
      </c>
      <c r="AG55" s="344" t="s">
        <v>5328</v>
      </c>
      <c r="AH55" s="156" t="s">
        <v>5348</v>
      </c>
      <c r="AI55" s="154" t="s">
        <v>5349</v>
      </c>
      <c r="AJ55" s="100" t="s">
        <v>5350</v>
      </c>
      <c r="AK55" s="344" t="s">
        <v>5328</v>
      </c>
      <c r="AL55" s="312" t="s">
        <v>5204</v>
      </c>
      <c r="AM55" s="173" t="s">
        <v>5351</v>
      </c>
      <c r="AN55" s="238" t="s">
        <v>5352</v>
      </c>
      <c r="AO55" s="344" t="s">
        <v>5328</v>
      </c>
      <c r="AP55" s="156" t="s">
        <v>5353</v>
      </c>
      <c r="AQ55" s="154" t="s">
        <v>5354</v>
      </c>
      <c r="AR55" s="100" t="s">
        <v>5355</v>
      </c>
      <c r="AS55" s="344" t="s">
        <v>5328</v>
      </c>
      <c r="AT55" s="140" t="s">
        <v>5356</v>
      </c>
      <c r="AU55" s="154" t="s">
        <v>5357</v>
      </c>
      <c r="AV55" s="100" t="s">
        <v>5358</v>
      </c>
    </row>
    <row r="56">
      <c r="A56" s="344" t="s">
        <v>5359</v>
      </c>
      <c r="B56" s="140" t="s">
        <v>4599</v>
      </c>
      <c r="C56" s="139" t="s">
        <v>5360</v>
      </c>
      <c r="D56" s="97" t="s">
        <v>5361</v>
      </c>
      <c r="E56" s="344" t="s">
        <v>5359</v>
      </c>
      <c r="F56" s="140" t="s">
        <v>4602</v>
      </c>
      <c r="G56" s="139" t="s">
        <v>5362</v>
      </c>
      <c r="H56" s="97" t="s">
        <v>5363</v>
      </c>
      <c r="I56" s="344" t="s">
        <v>5359</v>
      </c>
      <c r="J56" s="140" t="s">
        <v>5079</v>
      </c>
      <c r="K56" s="139" t="s">
        <v>5364</v>
      </c>
      <c r="L56" s="97" t="s">
        <v>5365</v>
      </c>
      <c r="M56" s="344" t="s">
        <v>5359</v>
      </c>
      <c r="N56" s="140" t="s">
        <v>5082</v>
      </c>
      <c r="O56" s="154" t="s">
        <v>5366</v>
      </c>
      <c r="P56" s="100" t="s">
        <v>5367</v>
      </c>
      <c r="Q56" s="344" t="s">
        <v>5359</v>
      </c>
      <c r="R56" s="156" t="s">
        <v>4610</v>
      </c>
      <c r="S56" s="154" t="str">
        <f>IFERROR(__xludf.DUMMYFUNCTION("GOOGLETRANSLATE(C56,""zh-tw"",""es-MX"")"),"En la zona de desarrollo (mina)-4, encima de la escalera central, hay un punto brillante.")</f>
        <v>En la zona de desarrollo (mina)-4, encima de la escalera central, hay un punto brillante.</v>
      </c>
      <c r="T56" s="100" t="str">
        <f>IFERROR(__xludf.DUMMYFUNCTION("GOOGLETRANSLATE(D56,""zh-tw"",""es-MX"")"),"Obtén el equipo: Espada de hierro oxidada")</f>
        <v>Obtén el equipo: Espada de hierro oxidada</v>
      </c>
      <c r="U56" s="344" t="s">
        <v>5359</v>
      </c>
      <c r="V56" s="156" t="str">
        <f>IFERROR(__xludf.DUMMYFUNCTION("GOOGLETRANSLATE(B56,""zh-tw"",""KO"")"),"숨겨진 아이템")</f>
        <v>숨겨진 아이템</v>
      </c>
      <c r="W56" s="154" t="str">
        <f>IFERROR(__xludf.DUMMYFUNCTION("GOOGLETRANSLATE(C56,""zh-tw"",""KO"")"),"개발 구역(광산)-4의 중앙 계단 위쪽에 빛나는 지점이 있습니다.")</f>
        <v>개발 구역(광산)-4의 중앙 계단 위쪽에 빛나는 지점이 있습니다.</v>
      </c>
      <c r="X56" s="100" t="str">
        <f>IFERROR(__xludf.DUMMYFUNCTION("GOOGLETRANSLATE(D56,""zh-tw"",""KO"")"),"장비 획득: 녹슨 철검")</f>
        <v>장비 획득: 녹슨 철검</v>
      </c>
      <c r="Y56" s="301" t="s">
        <v>5359</v>
      </c>
      <c r="Z56" s="145" t="s">
        <v>5085</v>
      </c>
      <c r="AA56" s="190" t="s">
        <v>5368</v>
      </c>
      <c r="AB56" s="166" t="s">
        <v>5369</v>
      </c>
      <c r="AC56" s="344" t="s">
        <v>5359</v>
      </c>
      <c r="AD56" s="240" t="s">
        <v>5088</v>
      </c>
      <c r="AE56" s="224" t="s">
        <v>5370</v>
      </c>
      <c r="AF56" s="85" t="s">
        <v>5371</v>
      </c>
      <c r="AG56" s="344" t="s">
        <v>5359</v>
      </c>
      <c r="AH56" s="140" t="s">
        <v>5147</v>
      </c>
      <c r="AI56" s="139" t="str">
        <f>IFERROR(__xludf.DUMMYFUNCTION("GOOGLETRANSLATE(C56,""zh-tw"",""de"")"),"Im Entwicklungsgebiet (Mine)-4, oberhalb der zentralen Treppe, befindet sich ein leuchtender Fleck.")</f>
        <v>Im Entwicklungsgebiet (Mine)-4, oberhalb der zentralen Treppe, befindet sich ein leuchtender Fleck.</v>
      </c>
      <c r="AJ56" s="97" t="s">
        <v>5372</v>
      </c>
      <c r="AK56" s="344" t="s">
        <v>5359</v>
      </c>
      <c r="AL56" s="302" t="s">
        <v>5150</v>
      </c>
      <c r="AM56" s="169" t="s">
        <v>5373</v>
      </c>
      <c r="AN56" s="172" t="s">
        <v>5374</v>
      </c>
      <c r="AO56" s="344" t="s">
        <v>5359</v>
      </c>
      <c r="AP56" s="156" t="s">
        <v>5153</v>
      </c>
      <c r="AQ56" s="154" t="s">
        <v>5375</v>
      </c>
      <c r="AR56" s="100" t="s">
        <v>5376</v>
      </c>
      <c r="AS56" s="344" t="s">
        <v>5359</v>
      </c>
      <c r="AT56" s="136" t="s">
        <v>4626</v>
      </c>
      <c r="AU56" s="154" t="s">
        <v>5377</v>
      </c>
      <c r="AV56" s="100" t="s">
        <v>5378</v>
      </c>
    </row>
    <row r="57">
      <c r="A57" s="344" t="s">
        <v>5379</v>
      </c>
      <c r="B57" s="140" t="s">
        <v>4599</v>
      </c>
      <c r="C57" s="139" t="s">
        <v>5380</v>
      </c>
      <c r="D57" s="97" t="s">
        <v>5381</v>
      </c>
      <c r="E57" s="344" t="s">
        <v>5379</v>
      </c>
      <c r="F57" s="140" t="s">
        <v>4602</v>
      </c>
      <c r="G57" s="139" t="s">
        <v>5382</v>
      </c>
      <c r="H57" s="97" t="s">
        <v>5383</v>
      </c>
      <c r="I57" s="344" t="s">
        <v>5379</v>
      </c>
      <c r="J57" s="140" t="s">
        <v>5079</v>
      </c>
      <c r="K57" s="139" t="s">
        <v>5384</v>
      </c>
      <c r="L57" s="97" t="s">
        <v>5385</v>
      </c>
      <c r="M57" s="344" t="s">
        <v>5379</v>
      </c>
      <c r="N57" s="140" t="s">
        <v>5082</v>
      </c>
      <c r="O57" s="154" t="s">
        <v>5386</v>
      </c>
      <c r="P57" s="100" t="s">
        <v>5387</v>
      </c>
      <c r="Q57" s="344" t="s">
        <v>5379</v>
      </c>
      <c r="R57" s="156" t="s">
        <v>4610</v>
      </c>
      <c r="S57" s="154" t="str">
        <f>IFERROR(__xludf.DUMMYFUNCTION("GOOGLETRANSLATE(C57,""zh-tw"",""es-MX"")"),"En la zona en desarrollo (pozo minero) -4, a la izquierda después de bajar la escalera central.")</f>
        <v>En la zona en desarrollo (pozo minero) -4, a la izquierda después de bajar la escalera central.</v>
      </c>
      <c r="T57" s="100" t="str">
        <f>IFERROR(__xludf.DUMMYFUNCTION("GOOGLETRANSLATE(D57,""zh-tw"",""es-MX"")"),"Adquirir equipo: Golem de hierro. Las reglas para el Golem de hierro se explican en los consejos.")</f>
        <v>Adquirir equipo: Golem de hierro. Las reglas para el Golem de hierro se explican en los consejos.</v>
      </c>
      <c r="U57" s="344" t="s">
        <v>5379</v>
      </c>
      <c r="V57" s="156" t="str">
        <f>IFERROR(__xludf.DUMMYFUNCTION("GOOGLETRANSLATE(B57,""zh-tw"",""KO"")"),"숨겨진 아이템")</f>
        <v>숨겨진 아이템</v>
      </c>
      <c r="W57" s="154" t="str">
        <f>IFERROR(__xludf.DUMMYFUNCTION("GOOGLETRANSLATE(C57,""zh-tw"",""KO"")"),"개발 구역(광산 구덩이) -4에서 중앙 계단을 내려간 후 왼쪽에 있습니다.")</f>
        <v>개발 구역(광산 구덩이) -4에서 중앙 계단을 내려간 후 왼쪽에 있습니다.</v>
      </c>
      <c r="X57" s="100" t="str">
        <f>IFERROR(__xludf.DUMMYFUNCTION("GOOGLETRANSLATE(D57,""zh-tw"",""KO"")"),"장비 획득: 철 골렘 철 골렘 사용 규칙은 팁에서 설명합니다.")</f>
        <v>장비 획득: 철 골렘 철 골렘 사용 규칙은 팁에서 설명합니다.</v>
      </c>
      <c r="Y57" s="301" t="s">
        <v>5379</v>
      </c>
      <c r="Z57" s="145" t="s">
        <v>5085</v>
      </c>
      <c r="AA57" s="190" t="s">
        <v>5388</v>
      </c>
      <c r="AB57" s="347" t="s">
        <v>5389</v>
      </c>
      <c r="AC57" s="344" t="s">
        <v>5379</v>
      </c>
      <c r="AD57" s="240" t="s">
        <v>5088</v>
      </c>
      <c r="AE57" s="224" t="s">
        <v>5390</v>
      </c>
      <c r="AF57" s="85" t="s">
        <v>5391</v>
      </c>
      <c r="AG57" s="344" t="s">
        <v>5379</v>
      </c>
      <c r="AH57" s="140" t="s">
        <v>5147</v>
      </c>
      <c r="AI57" s="139" t="str">
        <f>IFERROR(__xludf.DUMMYFUNCTION("GOOGLETRANSLATE(C57,""zh-tw"",""de"")"),"Im Erschließungsbereich (Schacht) -4, links nach dem Abstieg über die zentrale Treppe.")</f>
        <v>Im Erschließungsbereich (Schacht) -4, links nach dem Abstieg über die zentrale Treppe.</v>
      </c>
      <c r="AJ57" s="97" t="s">
        <v>5392</v>
      </c>
      <c r="AK57" s="344" t="s">
        <v>5379</v>
      </c>
      <c r="AL57" s="302" t="s">
        <v>5150</v>
      </c>
      <c r="AM57" s="169" t="s">
        <v>5393</v>
      </c>
      <c r="AN57" s="172" t="s">
        <v>5394</v>
      </c>
      <c r="AO57" s="344" t="s">
        <v>5379</v>
      </c>
      <c r="AP57" s="156" t="s">
        <v>5153</v>
      </c>
      <c r="AQ57" s="154" t="s">
        <v>5395</v>
      </c>
      <c r="AR57" s="100" t="s">
        <v>5396</v>
      </c>
      <c r="AS57" s="344" t="s">
        <v>5379</v>
      </c>
      <c r="AT57" s="136" t="s">
        <v>4626</v>
      </c>
      <c r="AU57" s="154" t="s">
        <v>5397</v>
      </c>
      <c r="AV57" s="100" t="s">
        <v>5398</v>
      </c>
    </row>
    <row r="58">
      <c r="A58" s="344" t="s">
        <v>5399</v>
      </c>
      <c r="B58" s="140" t="s">
        <v>4599</v>
      </c>
      <c r="C58" s="139" t="s">
        <v>5400</v>
      </c>
      <c r="D58" s="97" t="s">
        <v>5401</v>
      </c>
      <c r="E58" s="344" t="s">
        <v>5399</v>
      </c>
      <c r="F58" s="140" t="s">
        <v>4602</v>
      </c>
      <c r="G58" s="139" t="s">
        <v>5402</v>
      </c>
      <c r="H58" s="97" t="s">
        <v>5403</v>
      </c>
      <c r="I58" s="344" t="s">
        <v>5399</v>
      </c>
      <c r="J58" s="140" t="s">
        <v>5079</v>
      </c>
      <c r="K58" s="139" t="s">
        <v>5404</v>
      </c>
      <c r="L58" s="97" t="s">
        <v>5405</v>
      </c>
      <c r="M58" s="344" t="s">
        <v>5399</v>
      </c>
      <c r="N58" s="140" t="s">
        <v>5082</v>
      </c>
      <c r="O58" s="154" t="s">
        <v>5406</v>
      </c>
      <c r="P58" s="100" t="s">
        <v>5407</v>
      </c>
      <c r="Q58" s="344" t="s">
        <v>5399</v>
      </c>
      <c r="R58" s="156" t="s">
        <v>4610</v>
      </c>
      <c r="S58" s="154" t="str">
        <f>IFERROR(__xludf.DUMMYFUNCTION("GOOGLETRANSLATE(C58,""zh-tw"",""es-MX"")"),"En la zona en desarrollo (pozo de la mina) -4, el punto brillante está a la derecha después de bajar las escaleras centrales.")</f>
        <v>En la zona en desarrollo (pozo de la mina) -4, el punto brillante está a la derecha después de bajar las escaleras centrales.</v>
      </c>
      <c r="T58" s="100" t="str">
        <f>IFERROR(__xludf.DUMMYFUNCTION("GOOGLETRANSLATE(D58,""zh-tw"",""es-MX"")"),"Objeto obtenido: Gel mágico x10")</f>
        <v>Objeto obtenido: Gel mágico x10</v>
      </c>
      <c r="U58" s="344" t="s">
        <v>5399</v>
      </c>
      <c r="V58" s="156" t="str">
        <f>IFERROR(__xludf.DUMMYFUNCTION("GOOGLETRANSLATE(B58,""zh-tw"",""KO"")"),"숨겨진 아이템")</f>
        <v>숨겨진 아이템</v>
      </c>
      <c r="W58" s="154" t="str">
        <f>IFERROR(__xludf.DUMMYFUNCTION("GOOGLETRANSLATE(C58,""zh-tw"",""KO"")"),"개발 구역(광산 구덩이) -4에서, 중앙 계단을 내려간 후 오른쪽에 빛나는 지점이 있습니다.")</f>
        <v>개발 구역(광산 구덩이) -4에서, 중앙 계단을 내려간 후 오른쪽에 빛나는 지점이 있습니다.</v>
      </c>
      <c r="X58" s="100" t="str">
        <f>IFERROR(__xludf.DUMMYFUNCTION("GOOGLETRANSLATE(D58,""zh-tw"",""KO"")"),"획득 아이템: 매직 젤 10개")</f>
        <v>획득 아이템: 매직 젤 10개</v>
      </c>
      <c r="Y58" s="301" t="s">
        <v>5399</v>
      </c>
      <c r="Z58" s="145" t="s">
        <v>5085</v>
      </c>
      <c r="AA58" s="190" t="s">
        <v>5408</v>
      </c>
      <c r="AB58" s="166" t="s">
        <v>5409</v>
      </c>
      <c r="AC58" s="344" t="s">
        <v>5399</v>
      </c>
      <c r="AD58" s="240" t="s">
        <v>5088</v>
      </c>
      <c r="AE58" s="224" t="s">
        <v>5410</v>
      </c>
      <c r="AF58" s="85" t="s">
        <v>5411</v>
      </c>
      <c r="AG58" s="344" t="s">
        <v>5399</v>
      </c>
      <c r="AH58" s="140" t="s">
        <v>5147</v>
      </c>
      <c r="AI58" s="139" t="str">
        <f>IFERROR(__xludf.DUMMYFUNCTION("GOOGLETRANSLATE(C58,""zh-tw"",""de"")"),"Im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J58" s="97" t="s">
        <v>5412</v>
      </c>
      <c r="AK58" s="344" t="s">
        <v>5399</v>
      </c>
      <c r="AL58" s="302" t="s">
        <v>5150</v>
      </c>
      <c r="AM58" s="169" t="s">
        <v>5413</v>
      </c>
      <c r="AN58" s="172" t="s">
        <v>5414</v>
      </c>
      <c r="AO58" s="344" t="s">
        <v>5399</v>
      </c>
      <c r="AP58" s="156" t="s">
        <v>5153</v>
      </c>
      <c r="AQ58" s="154" t="s">
        <v>5415</v>
      </c>
      <c r="AR58" s="100" t="s">
        <v>5416</v>
      </c>
      <c r="AS58" s="344" t="s">
        <v>5399</v>
      </c>
      <c r="AT58" s="136" t="s">
        <v>4626</v>
      </c>
      <c r="AU58" s="154" t="s">
        <v>5417</v>
      </c>
      <c r="AV58" s="100" t="s">
        <v>5418</v>
      </c>
    </row>
    <row r="59">
      <c r="A59" s="344" t="s">
        <v>5419</v>
      </c>
      <c r="B59" s="156" t="s">
        <v>4416</v>
      </c>
      <c r="C59" s="154" t="s">
        <v>5420</v>
      </c>
      <c r="D59" s="97" t="s">
        <v>5421</v>
      </c>
      <c r="E59" s="344" t="s">
        <v>5419</v>
      </c>
      <c r="F59" s="156" t="s">
        <v>5231</v>
      </c>
      <c r="G59" s="154" t="s">
        <v>5422</v>
      </c>
      <c r="H59" s="97" t="s">
        <v>5423</v>
      </c>
      <c r="I59" s="344" t="s">
        <v>5419</v>
      </c>
      <c r="J59" s="140" t="s">
        <v>5424</v>
      </c>
      <c r="K59" s="154" t="s">
        <v>5425</v>
      </c>
      <c r="L59" s="97" t="s">
        <v>5426</v>
      </c>
      <c r="M59" s="344" t="s">
        <v>5419</v>
      </c>
      <c r="N59" s="140" t="s">
        <v>4426</v>
      </c>
      <c r="O59" s="139" t="s">
        <v>5427</v>
      </c>
      <c r="P59" s="97" t="s">
        <v>5428</v>
      </c>
      <c r="Q59" s="344" t="s">
        <v>5419</v>
      </c>
      <c r="R59" s="156" t="s">
        <v>5239</v>
      </c>
      <c r="S59" s="154" t="str">
        <f>IFERROR(__xludf.DUMMYFUNCTION("GOOGLETRANSLATE(C59,""zh-tw"",""es-MX"")"),"En la ""Zona de Desarrollo (Mina)-4"", tras salir de la zona de escaleras, hay un pasaje oculto en la gran zona rocosa situada en la parte superior derecha.")</f>
        <v>En la "Zona de Desarrollo (Mina)-4", tras salir de la zona de escaleras, hay un pasaje oculto en la gran zona rocosa situada en la parte superior derecha.</v>
      </c>
      <c r="T59" s="100" t="str">
        <f>IFERROR(__xludf.DUMMYFUNCTION("GOOGLETRANSLATE(D59,""zh-tw"",""es-MX"")"),"Llegar al ""Nivel Inferior de la Tumba Olvidada""")</f>
        <v>Llegar al "Nivel Inferior de la Tumba Olvidada"</v>
      </c>
      <c r="U59" s="344" t="s">
        <v>5419</v>
      </c>
      <c r="V59" s="156" t="str">
        <f>IFERROR(__xludf.DUMMYFUNCTION("GOOGLETRANSLATE(B59,""zh-tw"",""KO"")"),"숨겨진 통로")</f>
        <v>숨겨진 통로</v>
      </c>
      <c r="W59" s="154" t="str">
        <f>IFERROR(__xludf.DUMMYFUNCTION("GOOGLETRANSLATE(C59,""zh-tw"",""KO"")"),"""개발 구역(광산)-4""에서 계단 구역을 나온 후, 오른쪽 위쪽의 큰 바위 지대에 숨겨진 통로가 있습니다.")</f>
        <v>"개발 구역(광산)-4"에서 계단 구역을 나온 후, 오른쪽 위쪽의 큰 바위 지대에 숨겨진 통로가 있습니다.</v>
      </c>
      <c r="X59" s="100" t="str">
        <f>IFERROR(__xludf.DUMMYFUNCTION("GOOGLETRANSLATE(D59,""zh-tw"",""KO"")"),"""잊혀진 무덤의 하층""에 도착하세요")</f>
        <v>"잊혀진 무덤의 하층"에 도착하세요</v>
      </c>
      <c r="Y59" s="301" t="s">
        <v>5419</v>
      </c>
      <c r="Z59" s="145" t="s">
        <v>4458</v>
      </c>
      <c r="AA59" s="190" t="s">
        <v>5429</v>
      </c>
      <c r="AB59" s="166" t="s">
        <v>5430</v>
      </c>
      <c r="AC59" s="344" t="s">
        <v>5419</v>
      </c>
      <c r="AD59" s="240" t="s">
        <v>4461</v>
      </c>
      <c r="AE59" s="224" t="s">
        <v>5431</v>
      </c>
      <c r="AF59" s="85" t="s">
        <v>5432</v>
      </c>
      <c r="AG59" s="344" t="s">
        <v>5419</v>
      </c>
      <c r="AH59" s="140" t="s">
        <v>5244</v>
      </c>
      <c r="AI59" s="154" t="s">
        <v>5433</v>
      </c>
      <c r="AJ59" s="100" t="s">
        <v>5434</v>
      </c>
      <c r="AK59" s="344" t="s">
        <v>5419</v>
      </c>
      <c r="AL59" s="303" t="s">
        <v>5247</v>
      </c>
      <c r="AM59" s="248" t="s">
        <v>5435</v>
      </c>
      <c r="AN59" s="238" t="s">
        <v>5436</v>
      </c>
      <c r="AO59" s="344" t="s">
        <v>5419</v>
      </c>
      <c r="AP59" s="140" t="s">
        <v>5250</v>
      </c>
      <c r="AQ59" s="154" t="s">
        <v>5437</v>
      </c>
      <c r="AR59" s="100" t="s">
        <v>5438</v>
      </c>
      <c r="AS59" s="344" t="s">
        <v>5419</v>
      </c>
      <c r="AT59" s="136" t="s">
        <v>5253</v>
      </c>
      <c r="AU59" s="154" t="s">
        <v>5439</v>
      </c>
      <c r="AV59" s="100" t="s">
        <v>5440</v>
      </c>
    </row>
    <row r="60">
      <c r="A60" s="319"/>
      <c r="B60" s="319"/>
      <c r="C60" s="319"/>
      <c r="D60" s="319"/>
      <c r="E60" s="319"/>
      <c r="F60" s="319"/>
      <c r="G60" s="319"/>
      <c r="H60" s="319"/>
      <c r="I60" s="319"/>
      <c r="J60" s="319"/>
      <c r="K60" s="319"/>
      <c r="L60" s="319"/>
      <c r="M60" s="319"/>
      <c r="N60" s="319"/>
      <c r="O60" s="319"/>
      <c r="P60" s="319"/>
      <c r="Q60" s="319"/>
      <c r="R60" s="319"/>
      <c r="S60" s="320"/>
      <c r="T60" s="320"/>
      <c r="U60" s="319"/>
      <c r="V60" s="320"/>
      <c r="W60" s="320"/>
      <c r="X60" s="320"/>
      <c r="Y60" s="213"/>
      <c r="Z60" s="321"/>
      <c r="AA60" s="322"/>
      <c r="AB60" s="322"/>
      <c r="AC60" s="319"/>
      <c r="AD60" s="319"/>
      <c r="AE60" s="323"/>
      <c r="AF60" s="320"/>
      <c r="AG60" s="319"/>
      <c r="AH60" s="319"/>
      <c r="AI60" s="319"/>
      <c r="AJ60" s="319"/>
      <c r="AK60" s="319"/>
      <c r="AL60" s="319"/>
      <c r="AM60" s="319"/>
      <c r="AN60" s="319"/>
      <c r="AO60" s="319"/>
      <c r="AP60" s="320"/>
      <c r="AQ60" s="320"/>
      <c r="AR60" s="320"/>
      <c r="AS60" s="319"/>
      <c r="AT60" s="319"/>
      <c r="AU60" s="320"/>
      <c r="AV60" s="320"/>
    </row>
    <row r="61">
      <c r="A61" s="216" t="s">
        <v>3237</v>
      </c>
      <c r="B61" s="348" t="s">
        <v>5441</v>
      </c>
      <c r="E61" s="216" t="s">
        <v>3237</v>
      </c>
      <c r="F61" s="296"/>
      <c r="I61" s="216" t="s">
        <v>3237</v>
      </c>
      <c r="J61" s="295" t="s">
        <v>5442</v>
      </c>
      <c r="M61" s="216" t="s">
        <v>3237</v>
      </c>
      <c r="N61" s="216" t="s">
        <v>5443</v>
      </c>
      <c r="Q61" s="216" t="s">
        <v>3237</v>
      </c>
      <c r="R61" s="296"/>
      <c r="U61" s="216" t="s">
        <v>3237</v>
      </c>
      <c r="V61" s="296"/>
      <c r="Y61" s="130" t="s">
        <v>3237</v>
      </c>
      <c r="Z61" s="297" t="s">
        <v>5444</v>
      </c>
      <c r="AC61" s="216" t="s">
        <v>3237</v>
      </c>
      <c r="AD61" s="298" t="s">
        <v>5445</v>
      </c>
      <c r="AG61" s="216" t="s">
        <v>3237</v>
      </c>
      <c r="AH61" s="296"/>
      <c r="AK61" s="216" t="s">
        <v>3237</v>
      </c>
      <c r="AL61" s="296"/>
      <c r="AO61" s="216" t="s">
        <v>3237</v>
      </c>
      <c r="AP61" s="299" t="s">
        <v>5446</v>
      </c>
      <c r="AS61" s="216" t="s">
        <v>3237</v>
      </c>
      <c r="AT61" s="294"/>
    </row>
    <row r="62">
      <c r="A62" s="344" t="s">
        <v>5447</v>
      </c>
      <c r="B62" s="140" t="s">
        <v>4599</v>
      </c>
      <c r="C62" s="139" t="s">
        <v>5448</v>
      </c>
      <c r="D62" s="97" t="s">
        <v>5449</v>
      </c>
      <c r="E62" s="344" t="s">
        <v>5447</v>
      </c>
      <c r="F62" s="140" t="s">
        <v>4602</v>
      </c>
      <c r="G62" s="137" t="s">
        <v>5450</v>
      </c>
      <c r="H62" s="138" t="s">
        <v>5451</v>
      </c>
      <c r="I62" s="344" t="s">
        <v>5447</v>
      </c>
      <c r="J62" s="140" t="s">
        <v>5079</v>
      </c>
      <c r="K62" s="137" t="s">
        <v>5452</v>
      </c>
      <c r="L62" s="97" t="s">
        <v>5453</v>
      </c>
      <c r="M62" s="344" t="s">
        <v>5447</v>
      </c>
      <c r="N62" s="140" t="s">
        <v>5082</v>
      </c>
      <c r="O62" s="139" t="s">
        <v>5454</v>
      </c>
      <c r="P62" s="97" t="s">
        <v>5455</v>
      </c>
      <c r="Q62" s="344" t="s">
        <v>5447</v>
      </c>
      <c r="R62" s="156" t="s">
        <v>4610</v>
      </c>
      <c r="S62" s="137" t="s">
        <v>5456</v>
      </c>
      <c r="T62" s="100" t="str">
        <f>IFERROR(__xludf.DUMMYFUNCTION("GOOGLETRANSLATE(D62,""zh-tw"",""es-MX"")"),"Cofre del tesoro blanco: Producto defectuoso con fugas, Nubes ardientes
Cofre del tesoro rojo: Luna helada, Cartas del tarot del carro (Los cofres del tesoro rojos se pueden actualizar)")</f>
        <v>Cofre del tesoro blanco: Producto defectuoso con fugas, Nubes ardientes
Cofre del tesoro rojo: Luna helada, Cartas del tarot del carro (Los cofres del tesoro rojos se pueden actualizar)</v>
      </c>
      <c r="U62" s="344" t="s">
        <v>5447</v>
      </c>
      <c r="V62" s="156" t="str">
        <f>IFERROR(__xludf.DUMMYFUNCTION("GOOGLETRANSLATE(B62,""zh-tw"",""KO"")"),"숨겨진 아이템")</f>
        <v>숨겨진 아이템</v>
      </c>
      <c r="W62" s="154" t="str">
        <f>IFERROR(__xludf.DUMMYFUNCTION("GOOGLETRANSLATE(C62,""zh-tw"",""KO"")"),"얕은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62" s="100" t="str">
        <f>IFERROR(__xludf.DUMMYFUNCTION("GOOGLETRANSLATE(D62,""zh-tw"",""KO"")"),"하얀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62" s="301" t="s">
        <v>5447</v>
      </c>
      <c r="Z62" s="145" t="s">
        <v>5085</v>
      </c>
      <c r="AA62" s="190" t="s">
        <v>5457</v>
      </c>
      <c r="AB62" s="166" t="s">
        <v>5458</v>
      </c>
      <c r="AC62" s="344" t="s">
        <v>5447</v>
      </c>
      <c r="AD62" s="240" t="s">
        <v>5088</v>
      </c>
      <c r="AE62" s="224" t="s">
        <v>5459</v>
      </c>
      <c r="AF62" s="85" t="s">
        <v>5460</v>
      </c>
      <c r="AG62" s="344" t="s">
        <v>5447</v>
      </c>
      <c r="AH62" s="140" t="s">
        <v>5147</v>
      </c>
      <c r="AI62" s="137" t="s">
        <v>5461</v>
      </c>
      <c r="AJ62" s="138" t="s">
        <v>5462</v>
      </c>
      <c r="AK62" s="344" t="s">
        <v>5447</v>
      </c>
      <c r="AL62" s="302" t="s">
        <v>5150</v>
      </c>
      <c r="AM62" s="169" t="s">
        <v>5463</v>
      </c>
      <c r="AN62" s="172" t="s">
        <v>5464</v>
      </c>
      <c r="AO62" s="344" t="s">
        <v>5447</v>
      </c>
      <c r="AP62" s="156" t="s">
        <v>5153</v>
      </c>
      <c r="AQ62" s="154" t="s">
        <v>5465</v>
      </c>
      <c r="AR62" s="100" t="s">
        <v>5466</v>
      </c>
      <c r="AS62" s="344" t="s">
        <v>5447</v>
      </c>
      <c r="AT62" s="136" t="s">
        <v>4626</v>
      </c>
      <c r="AU62" s="154" t="s">
        <v>5467</v>
      </c>
      <c r="AV62" s="100" t="s">
        <v>5468</v>
      </c>
    </row>
    <row r="63">
      <c r="A63" s="294"/>
      <c r="B63" s="348" t="s">
        <v>5469</v>
      </c>
      <c r="E63" s="294"/>
      <c r="F63" s="296"/>
      <c r="I63" s="294"/>
      <c r="J63" s="295" t="s">
        <v>5470</v>
      </c>
      <c r="M63" s="294"/>
      <c r="N63" s="216" t="s">
        <v>5471</v>
      </c>
      <c r="Q63" s="294"/>
      <c r="R63" s="296"/>
      <c r="U63" s="294"/>
      <c r="V63" s="296"/>
      <c r="Y63" s="314"/>
      <c r="Z63" s="349" t="s">
        <v>5472</v>
      </c>
      <c r="AC63" s="294"/>
      <c r="AD63" s="298" t="s">
        <v>5473</v>
      </c>
      <c r="AG63" s="294"/>
      <c r="AH63" s="296"/>
      <c r="AK63" s="294"/>
      <c r="AL63" s="296"/>
      <c r="AO63" s="294"/>
      <c r="AP63" s="299" t="s">
        <v>5474</v>
      </c>
      <c r="AS63" s="294"/>
      <c r="AT63" s="294"/>
    </row>
    <row r="64">
      <c r="A64" s="344" t="s">
        <v>5475</v>
      </c>
      <c r="B64" s="140" t="s">
        <v>4416</v>
      </c>
      <c r="C64" s="139" t="s">
        <v>5476</v>
      </c>
      <c r="D64" s="97" t="s">
        <v>5477</v>
      </c>
      <c r="E64" s="344" t="s">
        <v>5475</v>
      </c>
      <c r="F64" s="140" t="s">
        <v>4420</v>
      </c>
      <c r="G64" s="139" t="s">
        <v>5478</v>
      </c>
      <c r="H64" s="97" t="s">
        <v>5479</v>
      </c>
      <c r="I64" s="344" t="s">
        <v>5475</v>
      </c>
      <c r="J64" s="140" t="s">
        <v>5234</v>
      </c>
      <c r="K64" s="139" t="s">
        <v>5480</v>
      </c>
      <c r="L64" s="97" t="s">
        <v>5481</v>
      </c>
      <c r="M64" s="344" t="s">
        <v>5475</v>
      </c>
      <c r="N64" s="140" t="s">
        <v>4426</v>
      </c>
      <c r="O64" s="139" t="s">
        <v>5482</v>
      </c>
      <c r="P64" s="97" t="s">
        <v>5483</v>
      </c>
      <c r="Q64" s="344" t="s">
        <v>5475</v>
      </c>
      <c r="R64" s="140" t="s">
        <v>4429</v>
      </c>
      <c r="S64" s="154" t="str">
        <f>IFERROR(__xludf.DUMMYFUNCTION("GOOGLETRANSLATE(C64,""zh-tw"",""es-MX"")"),"En la Tumba Olvidada - Nivel Superior, al destruir la tumba de la izquierda se revelará un pasaje oculto.")</f>
        <v>En la Tumba Olvidada - Nivel Superior, al destruir la tumba de la izquierda se revelará un pasaje oculto.</v>
      </c>
      <c r="T64" s="100" t="str">
        <f>IFERROR(__xludf.DUMMYFUNCTION("GOOGLETRANSLATE(D64,""zh-tw"",""es-MX"")"),"El mapa oculto contiene los ""Guantes de Absorción Mágica"", la ubicación de una fogata y un personaje no jugable (NPC) ninja.")</f>
        <v>El mapa oculto contiene los "Guantes de Absorción Mágica", la ubicación de una fogata y un personaje no jugable (NPC) ninja.</v>
      </c>
      <c r="U64" s="344" t="s">
        <v>5475</v>
      </c>
      <c r="V64" s="156" t="str">
        <f>IFERROR(__xludf.DUMMYFUNCTION("GOOGLETRANSLATE(B64,""zh-tw"",""KO"")"),"숨겨진 통로")</f>
        <v>숨겨진 통로</v>
      </c>
      <c r="W64" s="154" t="str">
        <f>IFERROR(__xludf.DUMMYFUNCTION("GOOGLETRANSLATE(C64,""zh-tw"",""KO"")"),"잊혀진 무덤 상층부에서 왼쪽에 있는 무덤을 파괴하면 숨겨진 통로가 나타납니다.")</f>
        <v>잊혀진 무덤 상층부에서 왼쪽에 있는 무덤을 파괴하면 숨겨진 통로가 나타납니다.</v>
      </c>
      <c r="X64" s="100" t="str">
        <f>IFERROR(__xludf.DUMMYFUNCTION("GOOGLETRANSLATE(D64,""zh-tw"",""KO"")"),"숨겨진 지도에는 ""마법 흡수 장갑"", 모닥불 위치, 그리고 닌자 NPC가 있습니다.")</f>
        <v>숨겨진 지도에는 "마법 흡수 장갑", 모닥불 위치, 그리고 닌자 NPC가 있습니다.</v>
      </c>
      <c r="Y64" s="301" t="s">
        <v>5475</v>
      </c>
      <c r="Z64" s="145" t="s">
        <v>4458</v>
      </c>
      <c r="AA64" s="190" t="s">
        <v>5484</v>
      </c>
      <c r="AB64" s="166" t="s">
        <v>5485</v>
      </c>
      <c r="AC64" s="344" t="s">
        <v>5475</v>
      </c>
      <c r="AD64" s="240" t="s">
        <v>4461</v>
      </c>
      <c r="AE64" s="224" t="s">
        <v>5486</v>
      </c>
      <c r="AF64" s="85" t="s">
        <v>5487</v>
      </c>
      <c r="AG64" s="344" t="s">
        <v>5475</v>
      </c>
      <c r="AH64" s="140" t="s">
        <v>4436</v>
      </c>
      <c r="AI64" s="274" t="s">
        <v>5488</v>
      </c>
      <c r="AJ64" s="86" t="s">
        <v>5489</v>
      </c>
      <c r="AK64" s="344" t="s">
        <v>5475</v>
      </c>
      <c r="AL64" s="303" t="s">
        <v>4439</v>
      </c>
      <c r="AM64" s="169" t="s">
        <v>5490</v>
      </c>
      <c r="AN64" s="172" t="s">
        <v>5491</v>
      </c>
      <c r="AO64" s="344" t="s">
        <v>5475</v>
      </c>
      <c r="AP64" s="140" t="s">
        <v>4442</v>
      </c>
      <c r="AQ64" s="154" t="s">
        <v>5492</v>
      </c>
      <c r="AR64" s="100" t="s">
        <v>5493</v>
      </c>
      <c r="AS64" s="344" t="s">
        <v>5475</v>
      </c>
      <c r="AT64" s="140" t="s">
        <v>4445</v>
      </c>
      <c r="AU64" s="154" t="s">
        <v>5494</v>
      </c>
      <c r="AV64" s="100" t="s">
        <v>5495</v>
      </c>
    </row>
    <row r="65">
      <c r="A65" s="344" t="s">
        <v>5496</v>
      </c>
      <c r="B65" s="140" t="s">
        <v>5497</v>
      </c>
      <c r="C65" s="139" t="s">
        <v>5498</v>
      </c>
      <c r="D65" s="97" t="s">
        <v>5499</v>
      </c>
      <c r="E65" s="344" t="s">
        <v>5496</v>
      </c>
      <c r="F65" s="140" t="s">
        <v>5497</v>
      </c>
      <c r="G65" s="139" t="s">
        <v>5500</v>
      </c>
      <c r="H65" s="97" t="s">
        <v>5501</v>
      </c>
      <c r="I65" s="344" t="s">
        <v>5496</v>
      </c>
      <c r="J65" s="140" t="s">
        <v>5502</v>
      </c>
      <c r="K65" s="139" t="s">
        <v>5503</v>
      </c>
      <c r="L65" s="97" t="s">
        <v>5504</v>
      </c>
      <c r="M65" s="344" t="s">
        <v>5496</v>
      </c>
      <c r="N65" s="140" t="s">
        <v>5505</v>
      </c>
      <c r="O65" s="139" t="s">
        <v>5506</v>
      </c>
      <c r="P65" s="97" t="s">
        <v>5507</v>
      </c>
      <c r="Q65" s="344" t="s">
        <v>5496</v>
      </c>
      <c r="R65" s="140" t="s">
        <v>5508</v>
      </c>
      <c r="S65" s="154" t="str">
        <f>IFERROR(__xludf.DUMMYFUNCTION("GOOGLETRANSLATE(C65,""zh-tw"",""es-MX"")"),"En la ubicación del objeto R18, después de alimentar al ninja, podrás aprender habilidades del PNJ ninja.")</f>
        <v>En la ubicación del objeto R18, después de alimentar al ninja, podrás aprender habilidades del PNJ ninja.</v>
      </c>
      <c r="T65" s="100" t="str">
        <f>IFERROR(__xludf.DUMMYFUNCTION("GOOGLETRANSLATE(D65,""zh-tw"",""es-MX"")"),"Habilidad aprendida: Eliminación de aura
Reduce el rango de alerta de los enemigos dentro de un área, hasta un máximo de ?? casillas.
Reduce la velocidad a la que se acumula el valor de alerta de tu hermana, hasta un máximo de ??%.
Requiere presionar l"&amp;"a tecla Mayús para cambiar al modo de caminar.")</f>
        <v>Habilidad aprendida: Eliminación de aura
Reduce el rango de alerta de los enemigos dentro de un área, hasta un máximo de ?? casillas.
Reduce la velocidad a la que se acumula el valor de alerta de tu hermana, hasta un máximo de ??%.
Requiere presionar la tecla Mayús para cambiar al modo de caminar.</v>
      </c>
      <c r="U65" s="344" t="s">
        <v>5496</v>
      </c>
      <c r="V65" s="156" t="str">
        <f>IFERROR(__xludf.DUMMYFUNCTION("GOOGLETRANSLATE(B65,""zh-tw"",""KO"")"),"인술-1")</f>
        <v>인술-1</v>
      </c>
      <c r="W65" s="154" t="str">
        <f>IFERROR(__xludf.DUMMYFUNCTION("GOOGLETRANSLATE(C65,""zh-tw"",""KO"")"),"아이템 R18이 있는 위치에서 닌자에게 먹이를 준 후, 닌자 NPC로부터 스킬을 배울 수 있습니다.")</f>
        <v>아이템 R18이 있는 위치에서 닌자에게 먹이를 준 후, 닌자 NPC로부터 스킬을 배울 수 있습니다.</v>
      </c>
      <c r="X65" s="100" t="str">
        <f>IFERROR(__xludf.DUMMYFUNCTION("GOOGLETRANSLATE(D65,""zh-tw"",""KO"")"),"습득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65" s="301" t="s">
        <v>5496</v>
      </c>
      <c r="Z65" s="145" t="s">
        <v>5509</v>
      </c>
      <c r="AA65" s="190" t="s">
        <v>5510</v>
      </c>
      <c r="AB65" s="166" t="s">
        <v>5511</v>
      </c>
      <c r="AC65" s="344" t="s">
        <v>5496</v>
      </c>
      <c r="AD65" s="240" t="s">
        <v>5512</v>
      </c>
      <c r="AE65" s="224" t="s">
        <v>5513</v>
      </c>
      <c r="AF65" s="96" t="s">
        <v>5514</v>
      </c>
      <c r="AG65" s="344" t="s">
        <v>5496</v>
      </c>
      <c r="AH65" s="175" t="s">
        <v>5515</v>
      </c>
      <c r="AI65" s="274" t="s">
        <v>5516</v>
      </c>
      <c r="AJ65" s="86" t="s">
        <v>5517</v>
      </c>
      <c r="AK65" s="344" t="s">
        <v>5496</v>
      </c>
      <c r="AL65" s="302" t="s">
        <v>5518</v>
      </c>
      <c r="AM65" s="169" t="s">
        <v>5519</v>
      </c>
      <c r="AN65" s="172" t="s">
        <v>5520</v>
      </c>
      <c r="AO65" s="344" t="s">
        <v>5496</v>
      </c>
      <c r="AP65" s="156" t="s">
        <v>5502</v>
      </c>
      <c r="AQ65" s="154" t="s">
        <v>5521</v>
      </c>
      <c r="AR65" s="100" t="s">
        <v>5522</v>
      </c>
      <c r="AS65" s="344" t="s">
        <v>5496</v>
      </c>
      <c r="AT65" s="136" t="s">
        <v>5523</v>
      </c>
      <c r="AU65" s="154" t="s">
        <v>5524</v>
      </c>
      <c r="AV65" s="100" t="s">
        <v>5525</v>
      </c>
    </row>
    <row r="66">
      <c r="A66" s="344" t="s">
        <v>5526</v>
      </c>
      <c r="B66" s="140" t="s">
        <v>5527</v>
      </c>
      <c r="C66" s="139" t="s">
        <v>5528</v>
      </c>
      <c r="D66" s="97" t="s">
        <v>5529</v>
      </c>
      <c r="E66" s="344" t="s">
        <v>5526</v>
      </c>
      <c r="F66" s="140" t="s">
        <v>5527</v>
      </c>
      <c r="G66" s="139" t="s">
        <v>5530</v>
      </c>
      <c r="H66" s="97" t="s">
        <v>5531</v>
      </c>
      <c r="I66" s="344" t="s">
        <v>5526</v>
      </c>
      <c r="J66" s="140" t="s">
        <v>5532</v>
      </c>
      <c r="K66" s="139" t="s">
        <v>5533</v>
      </c>
      <c r="L66" s="97" t="s">
        <v>5534</v>
      </c>
      <c r="M66" s="344" t="s">
        <v>5526</v>
      </c>
      <c r="N66" s="140" t="s">
        <v>5535</v>
      </c>
      <c r="O66" s="139" t="s">
        <v>5536</v>
      </c>
      <c r="P66" s="97" t="s">
        <v>5537</v>
      </c>
      <c r="Q66" s="344" t="s">
        <v>5526</v>
      </c>
      <c r="R66" s="140" t="s">
        <v>5538</v>
      </c>
      <c r="S66" s="154" t="str">
        <f>IFERROR(__xludf.DUMMYFUNCTION("GOOGLETRANSLATE(C66,""zh-tw"",""es-MX"")"),"Como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66" s="100" t="str">
        <f>IFERROR(__xludf.DUMMYFUNCTION("GOOGLETRANSLATE(D66,""zh-tw"",""es-MX"")"),"Habilidad aprendida: Ataque por la espalda
Ataca al enemigo por la espalda, aumentando el daño. El multiplicador aumenta con la práctica, alcanzando un máximo del 300 %.")</f>
        <v>Habilidad aprendida: Ataque por la espalda
Ataca al enemigo por la espalda, aumentando el daño. El multiplicador aumenta con la práctica, alcanzando un máximo del 300 %.</v>
      </c>
      <c r="U66" s="344" t="s">
        <v>5526</v>
      </c>
      <c r="V66" s="156" t="str">
        <f>IFERROR(__xludf.DUMMYFUNCTION("GOOGLETRANSLATE(B66,""zh-tw"",""KO"")"),"인술-2")</f>
        <v>인술-2</v>
      </c>
      <c r="W66" s="154" t="str">
        <f>IFERROR(__xludf.DUMMYFUNCTION("GOOGLETRANSLATE(C66,""zh-tw"",""KO"")"),"위에서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66" s="100" t="str">
        <f>IFERROR(__xludf.DUMMYFUNCTION("GOOGLETRANSLATE(D66,""zh-tw"",""KO"")"),"습득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66" s="301" t="s">
        <v>5526</v>
      </c>
      <c r="Z66" s="145" t="s">
        <v>5539</v>
      </c>
      <c r="AA66" s="190" t="s">
        <v>5540</v>
      </c>
      <c r="AB66" s="166" t="s">
        <v>5541</v>
      </c>
      <c r="AC66" s="344" t="s">
        <v>5526</v>
      </c>
      <c r="AD66" s="240" t="s">
        <v>5542</v>
      </c>
      <c r="AE66" s="224" t="s">
        <v>5543</v>
      </c>
      <c r="AF66" s="85" t="s">
        <v>5544</v>
      </c>
      <c r="AG66" s="344" t="s">
        <v>5526</v>
      </c>
      <c r="AH66" s="175" t="s">
        <v>5545</v>
      </c>
      <c r="AI66" s="274" t="s">
        <v>5546</v>
      </c>
      <c r="AJ66" s="86" t="s">
        <v>5547</v>
      </c>
      <c r="AK66" s="344" t="s">
        <v>5526</v>
      </c>
      <c r="AL66" s="302" t="s">
        <v>5548</v>
      </c>
      <c r="AM66" s="169" t="s">
        <v>5549</v>
      </c>
      <c r="AN66" s="172" t="s">
        <v>5550</v>
      </c>
      <c r="AO66" s="344" t="s">
        <v>5526</v>
      </c>
      <c r="AP66" s="156" t="s">
        <v>5532</v>
      </c>
      <c r="AQ66" s="154" t="s">
        <v>5551</v>
      </c>
      <c r="AR66" s="100" t="s">
        <v>5552</v>
      </c>
      <c r="AS66" s="344" t="s">
        <v>5526</v>
      </c>
      <c r="AT66" s="136" t="s">
        <v>5545</v>
      </c>
      <c r="AU66" s="154" t="s">
        <v>5553</v>
      </c>
      <c r="AV66" s="100" t="s">
        <v>5554</v>
      </c>
    </row>
    <row r="67">
      <c r="A67" s="344" t="s">
        <v>5555</v>
      </c>
      <c r="B67" s="140" t="s">
        <v>4416</v>
      </c>
      <c r="C67" s="139" t="s">
        <v>5556</v>
      </c>
      <c r="D67" s="97" t="s">
        <v>5557</v>
      </c>
      <c r="E67" s="344" t="s">
        <v>5555</v>
      </c>
      <c r="F67" s="140" t="s">
        <v>4602</v>
      </c>
      <c r="G67" s="139" t="s">
        <v>5558</v>
      </c>
      <c r="H67" s="97" t="s">
        <v>5559</v>
      </c>
      <c r="I67" s="344" t="s">
        <v>5555</v>
      </c>
      <c r="J67" s="140" t="s">
        <v>5079</v>
      </c>
      <c r="K67" s="139" t="s">
        <v>5560</v>
      </c>
      <c r="L67" s="97" t="s">
        <v>5561</v>
      </c>
      <c r="M67" s="344" t="s">
        <v>5555</v>
      </c>
      <c r="N67" s="140" t="s">
        <v>4426</v>
      </c>
      <c r="O67" s="139" t="s">
        <v>5562</v>
      </c>
      <c r="P67" s="97" t="s">
        <v>5563</v>
      </c>
      <c r="Q67" s="344" t="s">
        <v>5555</v>
      </c>
      <c r="R67" s="140" t="s">
        <v>4429</v>
      </c>
      <c r="S67" s="154" t="str">
        <f>IFERROR(__xludf.DUMMYFUNCTION("GOOGLETRANSLATE(C67,""zh-tw"",""es-MX"")"),"En el ""Nivel Superior de la Tumba Olvidada"", al romper la losa de piedra de la derecha se revelará un pasaje oculto.")</f>
        <v>En el "Nivel Superior de la Tumba Olvidada", al romper la losa de piedra de la derecha se revelará un pasaje oculto.</v>
      </c>
      <c r="T67" s="100" t="str">
        <f>IFERROR(__xludf.DUMMYFUNCTION("GOOGLETRANSLATE(D67,""zh-tw"",""es-MX"")"),"En el mapa oculto se pueden encontrar cofres del tesoro y puntos brillantes escondidos.")</f>
        <v>En el mapa oculto se pueden encontrar cofres del tesoro y puntos brillantes escondidos.</v>
      </c>
      <c r="U67" s="344" t="s">
        <v>5555</v>
      </c>
      <c r="V67" s="156" t="str">
        <f>IFERROR(__xludf.DUMMYFUNCTION("GOOGLETRANSLATE(B67,""zh-tw"",""KO"")"),"숨겨진 통로")</f>
        <v>숨겨진 통로</v>
      </c>
      <c r="W67" s="154" t="str">
        <f>IFERROR(__xludf.DUMMYFUNCTION("GOOGLETRANSLATE(C67,""zh-tw"",""KO"")"),"""잊혀진 무덤의 상층부""에서 오른쪽에 있는 돌판을 부수면 숨겨진 통로가 나타납니다.")</f>
        <v>"잊혀진 무덤의 상층부"에서 오른쪽에 있는 돌판을 부수면 숨겨진 통로가 나타납니다.</v>
      </c>
      <c r="X67" s="100" t="str">
        <f>IFERROR(__xludf.DUMMYFUNCTION("GOOGLETRANSLATE(D67,""zh-tw"",""KO"")"),"숨겨진 지도 속에는 보물 상자와 숨겨진 빛나는 지점들이 있습니다.")</f>
        <v>숨겨진 지도 속에는 보물 상자와 숨겨진 빛나는 지점들이 있습니다.</v>
      </c>
      <c r="Y67" s="301" t="s">
        <v>5555</v>
      </c>
      <c r="Z67" s="145" t="s">
        <v>4458</v>
      </c>
      <c r="AA67" s="190" t="s">
        <v>5564</v>
      </c>
      <c r="AB67" s="166" t="s">
        <v>5565</v>
      </c>
      <c r="AC67" s="344" t="s">
        <v>5555</v>
      </c>
      <c r="AD67" s="240" t="s">
        <v>4461</v>
      </c>
      <c r="AE67" s="224" t="s">
        <v>5566</v>
      </c>
      <c r="AF67" s="85" t="s">
        <v>5567</v>
      </c>
      <c r="AG67" s="344" t="s">
        <v>5555</v>
      </c>
      <c r="AH67" s="140" t="s">
        <v>4436</v>
      </c>
      <c r="AI67" s="274" t="s">
        <v>5568</v>
      </c>
      <c r="AJ67" s="86" t="s">
        <v>5569</v>
      </c>
      <c r="AK67" s="344" t="s">
        <v>5555</v>
      </c>
      <c r="AL67" s="303" t="s">
        <v>4439</v>
      </c>
      <c r="AM67" s="169" t="s">
        <v>5570</v>
      </c>
      <c r="AN67" s="172" t="s">
        <v>5571</v>
      </c>
      <c r="AO67" s="344" t="s">
        <v>5555</v>
      </c>
      <c r="AP67" s="140" t="s">
        <v>4442</v>
      </c>
      <c r="AQ67" s="154" t="s">
        <v>5572</v>
      </c>
      <c r="AR67" s="100" t="s">
        <v>5573</v>
      </c>
      <c r="AS67" s="344" t="s">
        <v>5555</v>
      </c>
      <c r="AT67" s="140" t="s">
        <v>4445</v>
      </c>
      <c r="AU67" s="154" t="s">
        <v>5574</v>
      </c>
      <c r="AV67" s="100" t="s">
        <v>5575</v>
      </c>
    </row>
    <row r="68">
      <c r="A68" s="344" t="s">
        <v>5576</v>
      </c>
      <c r="B68" s="140" t="s">
        <v>4599</v>
      </c>
      <c r="C68" s="139" t="s">
        <v>5577</v>
      </c>
      <c r="D68" s="97" t="s">
        <v>5578</v>
      </c>
      <c r="E68" s="344" t="s">
        <v>5576</v>
      </c>
      <c r="F68" s="140" t="s">
        <v>4602</v>
      </c>
      <c r="G68" s="139" t="s">
        <v>5579</v>
      </c>
      <c r="H68" s="97" t="s">
        <v>5020</v>
      </c>
      <c r="I68" s="344" t="s">
        <v>5576</v>
      </c>
      <c r="J68" s="140" t="s">
        <v>5079</v>
      </c>
      <c r="K68" s="139" t="s">
        <v>5580</v>
      </c>
      <c r="L68" s="97" t="s">
        <v>5581</v>
      </c>
      <c r="M68" s="344" t="s">
        <v>5576</v>
      </c>
      <c r="N68" s="140" t="s">
        <v>5082</v>
      </c>
      <c r="O68" s="139" t="s">
        <v>5582</v>
      </c>
      <c r="P68" s="97" t="s">
        <v>5583</v>
      </c>
      <c r="Q68" s="344" t="s">
        <v>5576</v>
      </c>
      <c r="R68" s="156" t="s">
        <v>4610</v>
      </c>
      <c r="S68" s="139" t="s">
        <v>5584</v>
      </c>
      <c r="T68" s="100" t="str">
        <f>IFERROR(__xludf.DUMMYFUNCTION("GOOGLETRANSLATE(D68,""zh-tw"",""es-MX"")"),"Obtén el arma: Espina de pescado apestosa")</f>
        <v>Obtén el arma: Espina de pescado apestosa</v>
      </c>
      <c r="U68" s="344" t="s">
        <v>5576</v>
      </c>
      <c r="V68" s="156" t="str">
        <f>IFERROR(__xludf.DUMMYFUNCTION("GOOGLETRANSLATE(B68,""zh-tw"",""KO"")"),"숨겨진 아이템")</f>
        <v>숨겨진 아이템</v>
      </c>
      <c r="W68" s="154" t="str">
        <f>IFERROR(__xludf.DUMMYFUNCTION("GOOGLETRANSLATE(C68,""zh-tw"",""KO"")"),"잊혀진 무덤 1층 오른쪽 동굴 입구 옆, 달걀들이 일렬로 늘어선 곳 왼쪽에 보물 상자가 있습니다.")</f>
        <v>잊혀진 무덤 1층 오른쪽 동굴 입구 옆, 달걀들이 일렬로 늘어선 곳 왼쪽에 보물 상자가 있습니다.</v>
      </c>
      <c r="X68" s="100" t="str">
        <f>IFERROR(__xludf.DUMMYFUNCTION("GOOGLETRANSLATE(D68,""zh-tw"",""KO"")"),"무기 획득 - 냄새나는 생선뼈")</f>
        <v>무기 획득 - 냄새나는 생선뼈</v>
      </c>
      <c r="Y68" s="301" t="s">
        <v>5576</v>
      </c>
      <c r="Z68" s="145" t="s">
        <v>5085</v>
      </c>
      <c r="AA68" s="190" t="s">
        <v>5585</v>
      </c>
      <c r="AB68" s="166" t="s">
        <v>5586</v>
      </c>
      <c r="AC68" s="344" t="s">
        <v>5576</v>
      </c>
      <c r="AD68" s="240" t="s">
        <v>5088</v>
      </c>
      <c r="AE68" s="224" t="s">
        <v>5587</v>
      </c>
      <c r="AF68" s="85" t="s">
        <v>5588</v>
      </c>
      <c r="AG68" s="344" t="s">
        <v>5576</v>
      </c>
      <c r="AH68" s="140" t="s">
        <v>5147</v>
      </c>
      <c r="AI68" s="305" t="str">
        <f>IFERROR(__xludf.DUMMYFUNCTION("GOOGLETRANSLATE(C68,""zh-tw"",""DE"")"),"Links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J68" s="86" t="s">
        <v>5589</v>
      </c>
      <c r="AK68" s="344" t="s">
        <v>5576</v>
      </c>
      <c r="AL68" s="302" t="s">
        <v>5150</v>
      </c>
      <c r="AM68" s="169" t="s">
        <v>5590</v>
      </c>
      <c r="AN68" s="172" t="s">
        <v>5591</v>
      </c>
      <c r="AO68" s="344" t="s">
        <v>5576</v>
      </c>
      <c r="AP68" s="156" t="s">
        <v>5153</v>
      </c>
      <c r="AQ68" s="154" t="s">
        <v>5592</v>
      </c>
      <c r="AR68" s="100" t="s">
        <v>5593</v>
      </c>
      <c r="AS68" s="344" t="s">
        <v>5576</v>
      </c>
      <c r="AT68" s="136" t="s">
        <v>4626</v>
      </c>
      <c r="AU68" s="154" t="s">
        <v>5594</v>
      </c>
      <c r="AV68" s="100" t="s">
        <v>5595</v>
      </c>
    </row>
    <row r="69">
      <c r="A69" s="294"/>
      <c r="B69" s="216" t="s">
        <v>5596</v>
      </c>
      <c r="E69" s="294"/>
      <c r="F69" s="294"/>
      <c r="I69" s="294"/>
      <c r="J69" s="295" t="s">
        <v>5597</v>
      </c>
      <c r="M69" s="294"/>
      <c r="N69" s="216" t="s">
        <v>5598</v>
      </c>
      <c r="Q69" s="294"/>
      <c r="R69" s="296"/>
      <c r="U69" s="294"/>
      <c r="V69" s="296"/>
      <c r="Y69" s="314"/>
      <c r="Z69" s="349" t="s">
        <v>5599</v>
      </c>
      <c r="AC69" s="294"/>
      <c r="AD69" s="298" t="s">
        <v>5600</v>
      </c>
      <c r="AG69" s="294"/>
      <c r="AH69" s="294"/>
      <c r="AK69" s="294"/>
      <c r="AL69" s="294"/>
      <c r="AO69" s="294"/>
      <c r="AP69" s="299" t="s">
        <v>5601</v>
      </c>
      <c r="AS69" s="294"/>
      <c r="AT69" s="294"/>
    </row>
    <row r="70">
      <c r="A70" s="344" t="s">
        <v>5602</v>
      </c>
      <c r="B70" s="140" t="s">
        <v>4599</v>
      </c>
      <c r="C70" s="139" t="s">
        <v>5603</v>
      </c>
      <c r="D70" s="97" t="s">
        <v>5604</v>
      </c>
      <c r="E70" s="344" t="s">
        <v>5602</v>
      </c>
      <c r="F70" s="140" t="s">
        <v>4602</v>
      </c>
      <c r="G70" s="139" t="s">
        <v>5605</v>
      </c>
      <c r="H70" s="97" t="s">
        <v>5020</v>
      </c>
      <c r="I70" s="344" t="s">
        <v>5602</v>
      </c>
      <c r="J70" s="140" t="s">
        <v>5079</v>
      </c>
      <c r="K70" s="139" t="s">
        <v>5606</v>
      </c>
      <c r="L70" s="97" t="s">
        <v>5607</v>
      </c>
      <c r="M70" s="344" t="s">
        <v>5602</v>
      </c>
      <c r="N70" s="140" t="s">
        <v>5082</v>
      </c>
      <c r="O70" s="139" t="s">
        <v>5608</v>
      </c>
      <c r="P70" s="97" t="s">
        <v>5609</v>
      </c>
      <c r="Q70" s="344" t="s">
        <v>5602</v>
      </c>
      <c r="R70" s="156" t="s">
        <v>4610</v>
      </c>
      <c r="S70" s="139" t="s">
        <v>5610</v>
      </c>
      <c r="T70" s="100" t="str">
        <f>IFERROR(__xludf.DUMMYFUNCTION("GOOGLETRANSLATE(D70,""zh-tw"",""es-MX"")"),"Obtener arma - Xuejian")</f>
        <v>Obtener arma - Xuejian</v>
      </c>
      <c r="U70" s="344" t="s">
        <v>5602</v>
      </c>
      <c r="V70" s="156" t="str">
        <f>IFERROR(__xludf.DUMMYFUNCTION("GOOGLETRANSLATE(B70,""zh-tw"",""KO"")"),"숨겨진 아이템")</f>
        <v>숨겨진 아이템</v>
      </c>
      <c r="W70" s="154" t="str">
        <f>IFERROR(__xludf.DUMMYFUNCTION("GOOGLETRANSLATE(C70,""zh-tw"",""KO"")"),"잊혀진 무덤 - 하층, 가운데 알 근처에 보물 상자가 있습니다.")</f>
        <v>잊혀진 무덤 - 하층, 가운데 알 근처에 보물 상자가 있습니다.</v>
      </c>
      <c r="X70" s="100" t="str">
        <f>IFERROR(__xludf.DUMMYFUNCTION("GOOGLETRANSLATE(D70,""zh-tw"",""KO"")"),"무기 획득 - 설검")</f>
        <v>무기 획득 - 설검</v>
      </c>
      <c r="Y70" s="301" t="s">
        <v>5602</v>
      </c>
      <c r="Z70" s="145" t="s">
        <v>5085</v>
      </c>
      <c r="AA70" s="190" t="s">
        <v>5611</v>
      </c>
      <c r="AB70" s="166" t="s">
        <v>5612</v>
      </c>
      <c r="AC70" s="344" t="s">
        <v>5602</v>
      </c>
      <c r="AD70" s="240" t="s">
        <v>5088</v>
      </c>
      <c r="AE70" s="224" t="s">
        <v>5613</v>
      </c>
      <c r="AF70" s="85" t="s">
        <v>5614</v>
      </c>
      <c r="AG70" s="344" t="s">
        <v>5602</v>
      </c>
      <c r="AH70" s="140" t="s">
        <v>5147</v>
      </c>
      <c r="AI70" s="305" t="str">
        <f>IFERROR(__xludf.DUMMYFUNCTION("GOOGLETRANSLATE(C70,""zh-tw"",""DE"")"),"Das Vergessene Grab – Untere Ebene, eine Schatztruhe in der Nähe des Eis in der Mitte.")</f>
        <v>Das Vergessene Grab – Untere Ebene, eine Schatztruhe in der Nähe des Eis in der Mitte.</v>
      </c>
      <c r="AJ70" s="86" t="s">
        <v>5615</v>
      </c>
      <c r="AK70" s="344" t="s">
        <v>5602</v>
      </c>
      <c r="AL70" s="302" t="s">
        <v>5150</v>
      </c>
      <c r="AM70" s="169" t="s">
        <v>5616</v>
      </c>
      <c r="AN70" s="172" t="s">
        <v>5617</v>
      </c>
      <c r="AO70" s="344" t="s">
        <v>5602</v>
      </c>
      <c r="AP70" s="156" t="s">
        <v>5153</v>
      </c>
      <c r="AQ70" s="154" t="s">
        <v>5618</v>
      </c>
      <c r="AR70" s="100" t="s">
        <v>5619</v>
      </c>
      <c r="AS70" s="344" t="s">
        <v>5602</v>
      </c>
      <c r="AT70" s="136" t="s">
        <v>4626</v>
      </c>
      <c r="AU70" s="154" t="s">
        <v>5620</v>
      </c>
      <c r="AV70" s="100" t="s">
        <v>5621</v>
      </c>
    </row>
    <row r="71">
      <c r="A71" s="300" t="s">
        <v>5622</v>
      </c>
      <c r="B71" s="140" t="s">
        <v>4599</v>
      </c>
      <c r="C71" s="139" t="s">
        <v>5623</v>
      </c>
      <c r="D71" s="97" t="s">
        <v>5624</v>
      </c>
      <c r="E71" s="300" t="s">
        <v>5622</v>
      </c>
      <c r="F71" s="140"/>
      <c r="G71" s="139"/>
      <c r="H71" s="97"/>
      <c r="I71" s="300" t="s">
        <v>5622</v>
      </c>
      <c r="J71" s="140" t="s">
        <v>5079</v>
      </c>
      <c r="K71" s="139" t="s">
        <v>5625</v>
      </c>
      <c r="L71" s="97" t="s">
        <v>5626</v>
      </c>
      <c r="M71" s="300" t="s">
        <v>5622</v>
      </c>
      <c r="N71" s="140" t="s">
        <v>5082</v>
      </c>
      <c r="O71" s="139" t="s">
        <v>5627</v>
      </c>
      <c r="P71" s="97" t="s">
        <v>5628</v>
      </c>
      <c r="Q71" s="300" t="s">
        <v>5622</v>
      </c>
      <c r="R71" s="156"/>
      <c r="S71" s="139"/>
      <c r="T71" s="100"/>
      <c r="U71" s="300" t="s">
        <v>5622</v>
      </c>
      <c r="V71" s="156"/>
      <c r="W71" s="154"/>
      <c r="X71" s="100"/>
      <c r="Y71" s="344" t="s">
        <v>5622</v>
      </c>
      <c r="Z71" s="145" t="s">
        <v>5085</v>
      </c>
      <c r="AA71" s="174" t="s">
        <v>5629</v>
      </c>
      <c r="AB71" s="85" t="s">
        <v>5630</v>
      </c>
      <c r="AC71" s="300" t="s">
        <v>5622</v>
      </c>
      <c r="AD71" s="240" t="s">
        <v>5088</v>
      </c>
      <c r="AE71" s="174" t="s">
        <v>5631</v>
      </c>
      <c r="AF71" s="85" t="s">
        <v>5632</v>
      </c>
      <c r="AG71" s="300" t="s">
        <v>5622</v>
      </c>
      <c r="AH71" s="140"/>
      <c r="AI71" s="305"/>
      <c r="AJ71" s="86"/>
      <c r="AK71" s="300" t="s">
        <v>5622</v>
      </c>
      <c r="AL71" s="303" t="s">
        <v>5150</v>
      </c>
      <c r="AM71" s="173" t="s">
        <v>5633</v>
      </c>
      <c r="AN71" s="170" t="s">
        <v>5634</v>
      </c>
      <c r="AO71" s="300" t="s">
        <v>5622</v>
      </c>
      <c r="AP71" s="140" t="s">
        <v>5153</v>
      </c>
      <c r="AQ71" s="139" t="s">
        <v>5635</v>
      </c>
      <c r="AR71" s="97" t="s">
        <v>5636</v>
      </c>
      <c r="AS71" s="300" t="s">
        <v>5622</v>
      </c>
      <c r="AT71" s="136"/>
      <c r="AU71" s="154"/>
      <c r="AV71" s="100"/>
    </row>
    <row r="72">
      <c r="A72" s="294"/>
      <c r="B72" s="216" t="s">
        <v>5637</v>
      </c>
      <c r="E72" s="294"/>
      <c r="F72" s="294"/>
      <c r="I72" s="294"/>
      <c r="J72" s="295" t="s">
        <v>5638</v>
      </c>
      <c r="M72" s="294"/>
      <c r="N72" s="295" t="s">
        <v>5639</v>
      </c>
      <c r="Q72" s="294"/>
      <c r="R72" s="296"/>
      <c r="U72" s="294"/>
      <c r="V72" s="296"/>
      <c r="Y72" s="294"/>
      <c r="Z72" s="350" t="s">
        <v>5640</v>
      </c>
      <c r="AC72" s="294"/>
      <c r="AD72" s="298" t="s">
        <v>5641</v>
      </c>
      <c r="AG72" s="294"/>
      <c r="AH72" s="294"/>
      <c r="AK72" s="294"/>
      <c r="AL72" s="294"/>
      <c r="AO72" s="294"/>
      <c r="AP72" s="299" t="s">
        <v>5642</v>
      </c>
      <c r="AS72" s="294"/>
      <c r="AT72" s="294"/>
    </row>
    <row r="73">
      <c r="A73" s="300" t="s">
        <v>5643</v>
      </c>
      <c r="B73" s="140" t="s">
        <v>4416</v>
      </c>
      <c r="C73" s="139" t="s">
        <v>5644</v>
      </c>
      <c r="D73" s="97" t="s">
        <v>5645</v>
      </c>
      <c r="E73" s="300" t="s">
        <v>5643</v>
      </c>
      <c r="F73" s="140" t="s">
        <v>4602</v>
      </c>
      <c r="G73" s="139" t="s">
        <v>5646</v>
      </c>
      <c r="H73" s="97" t="s">
        <v>5162</v>
      </c>
      <c r="I73" s="300" t="s">
        <v>5643</v>
      </c>
      <c r="J73" s="140" t="s">
        <v>5079</v>
      </c>
      <c r="K73" s="139" t="s">
        <v>5647</v>
      </c>
      <c r="L73" s="97" t="s">
        <v>5164</v>
      </c>
      <c r="M73" s="300" t="s">
        <v>5643</v>
      </c>
      <c r="N73" s="140" t="s">
        <v>4426</v>
      </c>
      <c r="O73" s="139" t="s">
        <v>5648</v>
      </c>
      <c r="P73" s="97" t="s">
        <v>5649</v>
      </c>
      <c r="Q73" s="300" t="s">
        <v>5643</v>
      </c>
      <c r="R73" s="140" t="s">
        <v>4429</v>
      </c>
      <c r="S73" s="139" t="s">
        <v>5650</v>
      </c>
      <c r="T73" s="100" t="str">
        <f>IFERROR(__xludf.DUMMYFUNCTION("GOOGLETRANSLATE(D73,""zh-tw"",""es-MX"")"),"Obtén el equipo ""Anillo de Hueso del Ahorcado"".")</f>
        <v>Obtén el equipo "Anillo de Hueso del Ahorcado".</v>
      </c>
      <c r="U73" s="300" t="s">
        <v>5643</v>
      </c>
      <c r="V73" s="156" t="str">
        <f>IFERROR(__xludf.DUMMYFUNCTION("GOOGLETRANSLATE(B73,""zh-tw"",""KO"")"),"숨겨진 통로")</f>
        <v>숨겨진 통로</v>
      </c>
      <c r="W73" s="154" t="str">
        <f>IFERROR(__xludf.DUMMYFUNCTION("GOOGLETRANSLATE(C73,""zh-tw"",""KO"")"),"""???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f>
        <v>"???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v>
      </c>
      <c r="X73" s="100" t="str">
        <f>IFERROR(__xludf.DUMMYFUNCTION("GOOGLETRANSLATE(D73,""zh-tw"",""KO"")"),"""교수형당한 남자의 뼈 반지"" 장비를 획득하세요.")</f>
        <v>"교수형당한 남자의 뼈 반지" 장비를 획득하세요.</v>
      </c>
      <c r="Y73" s="301" t="s">
        <v>5643</v>
      </c>
      <c r="Z73" s="240" t="s">
        <v>5085</v>
      </c>
      <c r="AA73" s="190" t="s">
        <v>5651</v>
      </c>
      <c r="AB73" s="166" t="s">
        <v>5169</v>
      </c>
      <c r="AC73" s="300" t="s">
        <v>5643</v>
      </c>
      <c r="AD73" s="240" t="s">
        <v>4461</v>
      </c>
      <c r="AE73" s="224" t="s">
        <v>5652</v>
      </c>
      <c r="AF73" s="85" t="s">
        <v>5171</v>
      </c>
      <c r="AG73" s="300" t="s">
        <v>5643</v>
      </c>
      <c r="AH73" s="140" t="s">
        <v>4436</v>
      </c>
      <c r="AI73" s="274" t="s">
        <v>5653</v>
      </c>
      <c r="AJ73" s="86" t="s">
        <v>5654</v>
      </c>
      <c r="AK73" s="300" t="s">
        <v>5643</v>
      </c>
      <c r="AL73" s="303" t="s">
        <v>4439</v>
      </c>
      <c r="AM73" s="169" t="s">
        <v>5655</v>
      </c>
      <c r="AN73" s="170" t="s">
        <v>5175</v>
      </c>
      <c r="AO73" s="300" t="s">
        <v>5643</v>
      </c>
      <c r="AP73" s="140" t="s">
        <v>4442</v>
      </c>
      <c r="AQ73" s="154" t="s">
        <v>5656</v>
      </c>
      <c r="AR73" s="100" t="s">
        <v>5657</v>
      </c>
      <c r="AS73" s="300" t="s">
        <v>5643</v>
      </c>
      <c r="AT73" s="140" t="s">
        <v>4445</v>
      </c>
      <c r="AU73" s="154" t="s">
        <v>5658</v>
      </c>
      <c r="AV73" s="100" t="s">
        <v>5659</v>
      </c>
    </row>
    <row r="74" ht="113.25" customHeight="1">
      <c r="A74" s="300" t="s">
        <v>5660</v>
      </c>
      <c r="B74" s="140" t="s">
        <v>5661</v>
      </c>
      <c r="C74" s="139" t="s">
        <v>5662</v>
      </c>
      <c r="D74" s="97" t="s">
        <v>5663</v>
      </c>
      <c r="E74" s="300" t="s">
        <v>5660</v>
      </c>
      <c r="F74" s="140" t="s">
        <v>5664</v>
      </c>
      <c r="G74" s="139" t="s">
        <v>5665</v>
      </c>
      <c r="H74" s="97" t="s">
        <v>5666</v>
      </c>
      <c r="I74" s="300" t="s">
        <v>5660</v>
      </c>
      <c r="J74" s="140" t="s">
        <v>5667</v>
      </c>
      <c r="K74" s="139" t="s">
        <v>5668</v>
      </c>
      <c r="L74" s="97" t="s">
        <v>5669</v>
      </c>
      <c r="M74" s="300" t="s">
        <v>5660</v>
      </c>
      <c r="N74" s="140" t="s">
        <v>5670</v>
      </c>
      <c r="O74" s="139" t="s">
        <v>5671</v>
      </c>
      <c r="P74" s="97" t="s">
        <v>5672</v>
      </c>
      <c r="Q74" s="300" t="s">
        <v>5660</v>
      </c>
      <c r="R74" s="156" t="s">
        <v>5673</v>
      </c>
      <c r="S74" s="139" t="s">
        <v>5674</v>
      </c>
      <c r="T74" s="100" t="str">
        <f>IFERROR(__xludf.DUMMYFUNCTION("GOOGLETRANSLATE(D74,""zh-tw"",""es-MX"")"),"Obtén objetos y equipo.
P.D.: Los jefes del Abismo reaparecen cada siete días, y cada vez son más fuertes. También puedes usar la carta del Tarot ""El Mundo"".")</f>
        <v>Obtén objetos y equipo.
P.D.: Los jefes del Abismo reaparecen cada siete días, y cada vez son más fuertes. También puedes usar la carta del Tarot "El Mundo".</v>
      </c>
      <c r="U74" s="300" t="s">
        <v>5660</v>
      </c>
      <c r="V74" s="156" t="str">
        <f>IFERROR(__xludf.DUMMYFUNCTION("GOOGLETRANSLATE(B74,""zh-tw"",""KO"")"),"심연의 보스: 광폭한 붉은 짐승")</f>
        <v>심연의 보스: 광폭한 붉은 짐승</v>
      </c>
      <c r="W74" s="154" t="str">
        <f>IFERROR(__xludf.DUMMYFUNCTION("GOOGLETRANSLATE(C74,""zh-tw"",""KO"")"),"""??? 무덤(날뛰는 붉은 짐승)""의 폐허 보스를 정복하세요")</f>
        <v>"??? 무덤(날뛰는 붉은 짐승)"의 폐허 보스를 정복하세요</v>
      </c>
      <c r="X74" s="100" t="str">
        <f>IFERROR(__xludf.DUMMYFUNCTION("GOOGLETRANSLATE(D74,""zh-tw"",""KO"")"),"아이템과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74" s="301" t="s">
        <v>5660</v>
      </c>
      <c r="Z74" s="145" t="s">
        <v>5675</v>
      </c>
      <c r="AA74" s="190" t="s">
        <v>5676</v>
      </c>
      <c r="AB74" s="166" t="s">
        <v>5677</v>
      </c>
      <c r="AC74" s="300" t="s">
        <v>5660</v>
      </c>
      <c r="AD74" s="240" t="s">
        <v>5678</v>
      </c>
      <c r="AE74" s="224" t="s">
        <v>5679</v>
      </c>
      <c r="AF74" s="85" t="s">
        <v>5680</v>
      </c>
      <c r="AG74" s="300" t="s">
        <v>5660</v>
      </c>
      <c r="AH74" s="140" t="s">
        <v>5681</v>
      </c>
      <c r="AI74" s="274" t="s">
        <v>5682</v>
      </c>
      <c r="AJ74" s="86" t="s">
        <v>5683</v>
      </c>
      <c r="AK74" s="300" t="s">
        <v>5660</v>
      </c>
      <c r="AL74" s="303" t="s">
        <v>5684</v>
      </c>
      <c r="AM74" s="173" t="s">
        <v>5685</v>
      </c>
      <c r="AN74" s="170" t="s">
        <v>5686</v>
      </c>
      <c r="AO74" s="300" t="s">
        <v>5660</v>
      </c>
      <c r="AP74" s="156" t="s">
        <v>5687</v>
      </c>
      <c r="AQ74" s="154" t="s">
        <v>5688</v>
      </c>
      <c r="AR74" s="100" t="s">
        <v>5689</v>
      </c>
      <c r="AS74" s="300" t="s">
        <v>5660</v>
      </c>
      <c r="AT74" s="136" t="s">
        <v>5690</v>
      </c>
      <c r="AU74" s="154" t="s">
        <v>5691</v>
      </c>
      <c r="AV74" s="100" t="s">
        <v>5692</v>
      </c>
    </row>
    <row r="75">
      <c r="A75" s="300" t="s">
        <v>5693</v>
      </c>
      <c r="B75" s="140" t="s">
        <v>5694</v>
      </c>
      <c r="C75" s="139" t="s">
        <v>5695</v>
      </c>
      <c r="D75" s="97" t="s">
        <v>5696</v>
      </c>
      <c r="E75" s="300" t="s">
        <v>5693</v>
      </c>
      <c r="F75" s="140" t="s">
        <v>5697</v>
      </c>
      <c r="G75" s="139" t="s">
        <v>5698</v>
      </c>
      <c r="H75" s="97" t="s">
        <v>5699</v>
      </c>
      <c r="I75" s="300" t="s">
        <v>5693</v>
      </c>
      <c r="J75" s="140" t="s">
        <v>5700</v>
      </c>
      <c r="K75" s="139" t="s">
        <v>5701</v>
      </c>
      <c r="L75" s="97" t="s">
        <v>5702</v>
      </c>
      <c r="M75" s="300" t="s">
        <v>5693</v>
      </c>
      <c r="N75" s="140" t="s">
        <v>5703</v>
      </c>
      <c r="O75" s="139" t="s">
        <v>5704</v>
      </c>
      <c r="P75" s="97" t="s">
        <v>5705</v>
      </c>
      <c r="Q75" s="300" t="s">
        <v>5693</v>
      </c>
      <c r="R75" s="140" t="s">
        <v>5706</v>
      </c>
      <c r="S75" s="154" t="str">
        <f>IFERROR(__xludf.DUMMYFUNCTION("GOOGLETRANSLATE(C75,""zh-tw"",""es-MX"")"),"En las ruinas de la ""Tumba ??? (Bestia Roja Furiosa)"", tras derrotar al jefe (que debe ser derrotado en 20 segundos), aparecerá un portal de invocación.")</f>
        <v>En las ruinas de la "Tumba ??? (Bestia Roja Furiosa)", tras derrotar al jefe (que debe ser derrotado en 20 segundos), aparecerá un portal de invocación.</v>
      </c>
      <c r="T75" s="100" t="str">
        <f>IFERROR(__xludf.DUMMYFUNCTION("GOOGLETRANSLATE(D75,""zh-tw"",""es-MX"")"),"Nueva ubicación: La Iglesia Caída (con fogata)
(Abreviatura en el mapa: ""Iglesia""; actualmente, los PNJ no tienen funciones, a la espera de futuras actualizaciones).")</f>
        <v>Nueva ubicación: La Iglesia Caída (con fogata)
(Abreviatura en el mapa: "Iglesia"; actualmente, los PNJ no tienen funciones, a la espera de futuras actualizaciones).</v>
      </c>
      <c r="U75" s="300" t="s">
        <v>5693</v>
      </c>
      <c r="V75" s="156" t="str">
        <f>IFERROR(__xludf.DUMMYFUNCTION("GOOGLETRANSLATE(B75,""zh-tw"",""KO"")"),"당신의 죄를 속죄하십시오")</f>
        <v>당신의 죄를 속죄하십시오</v>
      </c>
      <c r="W75" s="154" t="str">
        <f>IFERROR(__xludf.DUMMYFUNCTION("GOOGLETRANSLATE(C75,""zh-tw"",""KO"")"),"""??? 무덤(격노한 붉은 짐승)"" 유적에서 보스를 처치하면(20초 이내에 처치해야 함) 소환 포털이 나타납니다.")</f>
        <v>"??? 무덤(격노한 붉은 짐승)" 유적에서 보스를 처치하면(20초 이내에 처치해야 함) 소환 포털이 나타납니다.</v>
      </c>
      <c r="X75" s="100" t="str">
        <f>IFERROR(__xludf.DUMMYFUNCTION("GOOGLETRANSLATE(D75,""zh-tw"",""KO"")"),"새로운 장소 - 무너진 교회 (캠프파이어 포함)
(지도 약칭: ""교회""; 현재 NPC는 기능이 없으며, 향후 업데이트를 기다리고 있습니다.)")</f>
        <v>새로운 장소 - 무너진 교회 (캠프파이어 포함)
(지도 약칭: "교회"; 현재 NPC는 기능이 없으며, 향후 업데이트를 기다리고 있습니다.)</v>
      </c>
      <c r="Y75" s="301" t="s">
        <v>5693</v>
      </c>
      <c r="Z75" s="145" t="s">
        <v>5707</v>
      </c>
      <c r="AA75" s="190" t="s">
        <v>5708</v>
      </c>
      <c r="AB75" s="166" t="s">
        <v>5709</v>
      </c>
      <c r="AC75" s="300" t="s">
        <v>5693</v>
      </c>
      <c r="AD75" s="240" t="s">
        <v>5710</v>
      </c>
      <c r="AE75" s="224" t="s">
        <v>5711</v>
      </c>
      <c r="AF75" s="85" t="s">
        <v>5712</v>
      </c>
      <c r="AG75" s="300" t="s">
        <v>5693</v>
      </c>
      <c r="AH75" s="140" t="s">
        <v>5713</v>
      </c>
      <c r="AI75" s="274" t="s">
        <v>5714</v>
      </c>
      <c r="AJ75" s="86" t="s">
        <v>5715</v>
      </c>
      <c r="AK75" s="300" t="s">
        <v>5693</v>
      </c>
      <c r="AL75" s="302" t="s">
        <v>5716</v>
      </c>
      <c r="AM75" s="173" t="s">
        <v>5717</v>
      </c>
      <c r="AN75" s="172" t="s">
        <v>5718</v>
      </c>
      <c r="AO75" s="300" t="s">
        <v>5693</v>
      </c>
      <c r="AP75" s="156" t="s">
        <v>5719</v>
      </c>
      <c r="AQ75" s="139" t="s">
        <v>5720</v>
      </c>
      <c r="AR75" s="100" t="s">
        <v>5721</v>
      </c>
      <c r="AS75" s="300" t="s">
        <v>5693</v>
      </c>
      <c r="AT75" s="136" t="s">
        <v>5722</v>
      </c>
      <c r="AU75" s="154" t="s">
        <v>5723</v>
      </c>
      <c r="AV75" s="100" t="s">
        <v>5724</v>
      </c>
    </row>
    <row r="76">
      <c r="A76" s="300" t="s">
        <v>5725</v>
      </c>
      <c r="B76" s="140" t="s">
        <v>5726</v>
      </c>
      <c r="C76" s="139" t="s">
        <v>5727</v>
      </c>
      <c r="D76" s="97" t="s">
        <v>5728</v>
      </c>
      <c r="E76" s="300" t="s">
        <v>5725</v>
      </c>
      <c r="F76" s="140" t="s">
        <v>5729</v>
      </c>
      <c r="G76" s="139" t="s">
        <v>5730</v>
      </c>
      <c r="H76" s="97" t="s">
        <v>5731</v>
      </c>
      <c r="I76" s="300" t="s">
        <v>5725</v>
      </c>
      <c r="J76" s="140" t="s">
        <v>5732</v>
      </c>
      <c r="K76" s="139" t="s">
        <v>5733</v>
      </c>
      <c r="L76" s="97" t="s">
        <v>5734</v>
      </c>
      <c r="M76" s="300" t="s">
        <v>5725</v>
      </c>
      <c r="N76" s="140" t="s">
        <v>5735</v>
      </c>
      <c r="O76" s="139" t="s">
        <v>5736</v>
      </c>
      <c r="P76" s="97" t="s">
        <v>5737</v>
      </c>
      <c r="Q76" s="300" t="s">
        <v>5725</v>
      </c>
      <c r="R76" s="140" t="s">
        <v>5738</v>
      </c>
      <c r="S76" s="139" t="s">
        <v>5739</v>
      </c>
      <c r="T76" s="100" t="str">
        <f>IFERROR(__xludf.DUMMYFUNCTION("GOOGLETRANSLATE(D76,""zh-tw"",""es-MX"")"),"Nuevo mapa: La Gran Zona de Lava Abrasada
(Las funciones de este mapa aún no están completas y puede contener errores. No se recomienda acceder a él sin antes guardar la partida).")</f>
        <v>Nuevo mapa: La Gran Zona de Lava Abrasada
(Las funciones de este mapa aún no están completas y puede contener errores. No se recomienda acceder a él sin antes guardar la partida).</v>
      </c>
      <c r="U76" s="300" t="s">
        <v>5725</v>
      </c>
      <c r="V76" s="156" t="str">
        <f>IFERROR(__xludf.DUMMYFUNCTION("GOOGLETRANSLATE(B76,""zh-tw"",""KO"")"),"다자오 열 카르스트대")</f>
        <v>다자오 열 카르스트대</v>
      </c>
      <c r="W76" s="154" t="str">
        <f>IFERROR(__xludf.DUMMYFUNCTION("GOOGLETRANSLATE(C76,""zh-tw"",""KO"")"),"""??? 무덤(날뛰는 붉은 짐승)"" 동굴 입구로 들어가세요(부활의 깃털을 지참하세요). 그러면 새로운 지도에 도달할 수 있습니다.")</f>
        <v>"??? 무덤(날뛰는 붉은 짐승)" 동굴 입구로 들어가세요(부활의 깃털을 지참하세요). 그러면 새로운 지도에 도달할 수 있습니다.</v>
      </c>
      <c r="X76" s="100" t="str">
        <f>IFERROR(__xludf.DUMMYFUNCTION("GOOGLETRANSLATE(D76,""zh-tw"",""KO"")"),"새로운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76" s="344" t="s">
        <v>5725</v>
      </c>
      <c r="Z76" s="145" t="s">
        <v>5740</v>
      </c>
      <c r="AA76" s="190" t="s">
        <v>5741</v>
      </c>
      <c r="AB76" s="223" t="s">
        <v>5742</v>
      </c>
      <c r="AC76" s="300" t="s">
        <v>5725</v>
      </c>
      <c r="AD76" s="240" t="s">
        <v>5743</v>
      </c>
      <c r="AE76" s="224" t="s">
        <v>5744</v>
      </c>
      <c r="AF76" s="85" t="s">
        <v>5745</v>
      </c>
      <c r="AG76" s="300" t="s">
        <v>5725</v>
      </c>
      <c r="AH76" s="175" t="s">
        <v>5746</v>
      </c>
      <c r="AI76" s="274" t="s">
        <v>5747</v>
      </c>
      <c r="AJ76" s="86" t="s">
        <v>5748</v>
      </c>
      <c r="AK76" s="300" t="s">
        <v>5725</v>
      </c>
      <c r="AL76" s="302" t="s">
        <v>5749</v>
      </c>
      <c r="AM76" s="169" t="s">
        <v>5750</v>
      </c>
      <c r="AN76" s="172" t="s">
        <v>5751</v>
      </c>
      <c r="AO76" s="300" t="s">
        <v>5725</v>
      </c>
      <c r="AP76" s="156" t="s">
        <v>5752</v>
      </c>
      <c r="AQ76" s="154" t="s">
        <v>5753</v>
      </c>
      <c r="AR76" s="100" t="s">
        <v>5754</v>
      </c>
      <c r="AS76" s="300" t="s">
        <v>5725</v>
      </c>
      <c r="AT76" s="136" t="s">
        <v>5755</v>
      </c>
      <c r="AU76" s="154" t="s">
        <v>5756</v>
      </c>
      <c r="AV76" s="100" t="s">
        <v>5757</v>
      </c>
    </row>
    <row r="77">
      <c r="A77" s="294"/>
      <c r="B77" s="216" t="s">
        <v>5758</v>
      </c>
      <c r="E77" s="294"/>
      <c r="F77" s="294"/>
      <c r="I77" s="294"/>
      <c r="J77" s="295" t="s">
        <v>5759</v>
      </c>
      <c r="M77" s="294"/>
      <c r="N77" s="295" t="s">
        <v>5760</v>
      </c>
      <c r="Q77" s="294"/>
      <c r="R77" s="296"/>
      <c r="U77" s="294"/>
      <c r="V77" s="296"/>
      <c r="Y77" s="306"/>
      <c r="Z77" s="297" t="s">
        <v>5761</v>
      </c>
      <c r="AC77" s="294"/>
      <c r="AD77" s="298" t="s">
        <v>5762</v>
      </c>
      <c r="AG77" s="294"/>
      <c r="AH77" s="294"/>
      <c r="AK77" s="294"/>
      <c r="AL77" s="294"/>
      <c r="AO77" s="294"/>
      <c r="AP77" s="299" t="s">
        <v>5763</v>
      </c>
      <c r="AS77" s="294"/>
      <c r="AT77" s="294"/>
    </row>
    <row r="78">
      <c r="A78" s="300" t="s">
        <v>5764</v>
      </c>
      <c r="B78" s="140" t="s">
        <v>5765</v>
      </c>
      <c r="C78" s="139" t="s">
        <v>5766</v>
      </c>
      <c r="D78" s="97" t="s">
        <v>5767</v>
      </c>
      <c r="E78" s="300" t="s">
        <v>5764</v>
      </c>
      <c r="F78" s="140" t="s">
        <v>5768</v>
      </c>
      <c r="G78" s="139" t="s">
        <v>5769</v>
      </c>
      <c r="H78" s="97" t="s">
        <v>5770</v>
      </c>
      <c r="I78" s="300" t="s">
        <v>5764</v>
      </c>
      <c r="J78" s="140" t="s">
        <v>5771</v>
      </c>
      <c r="K78" s="139" t="s">
        <v>5772</v>
      </c>
      <c r="L78" s="97" t="s">
        <v>5773</v>
      </c>
      <c r="M78" s="300" t="s">
        <v>5764</v>
      </c>
      <c r="N78" s="140" t="s">
        <v>5774</v>
      </c>
      <c r="O78" s="139" t="s">
        <v>5775</v>
      </c>
      <c r="P78" s="97" t="s">
        <v>5776</v>
      </c>
      <c r="Q78" s="300" t="s">
        <v>5764</v>
      </c>
      <c r="R78" s="156" t="s">
        <v>5777</v>
      </c>
      <c r="S78" s="139" t="s">
        <v>5778</v>
      </c>
      <c r="T78" s="100" t="str">
        <f>IFERROR(__xludf.DUMMYFUNCTION("GOOGLETRANSLATE(D78,""zh-tw"",""es-MX"")"),"Equipo: Misericordia de Santa Doncella")</f>
        <v>Equipo: Misericordia de Santa Doncella</v>
      </c>
      <c r="U78" s="300" t="s">
        <v>5764</v>
      </c>
      <c r="V78" s="156" t="str">
        <f>IFERROR(__xludf.DUMMYFUNCTION("GOOGLETRANSLATE(B78,""zh-tw"",""KO"")"),"교회 숨겨진 아이템 - 1")</f>
        <v>교회 숨겨진 아이템 - 1</v>
      </c>
      <c r="W78" s="154" t="str">
        <f>IFERROR(__xludf.DUMMYFUNCTION("GOOGLETRANSLATE(C78,""zh-tw"",""KO"")"),"교회 NPC 뒤편, 석상 뒤편")</f>
        <v>교회 NPC 뒤편, 석상 뒤편</v>
      </c>
      <c r="X78" s="100" t="str">
        <f>IFERROR(__xludf.DUMMYFUNCTION("GOOGLETRANSLATE(D78,""zh-tw"",""KO"")"),"장비: 성녀의 자비")</f>
        <v>장비: 성녀의 자비</v>
      </c>
      <c r="Y78" s="344" t="s">
        <v>5764</v>
      </c>
      <c r="Z78" s="145" t="s">
        <v>4611</v>
      </c>
      <c r="AA78" s="190" t="s">
        <v>5779</v>
      </c>
      <c r="AB78" s="166" t="s">
        <v>5780</v>
      </c>
      <c r="AC78" s="300" t="s">
        <v>5764</v>
      </c>
      <c r="AD78" s="240" t="s">
        <v>4614</v>
      </c>
      <c r="AE78" s="224" t="s">
        <v>5781</v>
      </c>
      <c r="AF78" s="85" t="s">
        <v>5782</v>
      </c>
      <c r="AG78" s="300" t="s">
        <v>5764</v>
      </c>
      <c r="AH78" s="140" t="s">
        <v>5783</v>
      </c>
      <c r="AI78" s="274" t="s">
        <v>5784</v>
      </c>
      <c r="AJ78" s="86" t="s">
        <v>5785</v>
      </c>
      <c r="AK78" s="300" t="s">
        <v>5764</v>
      </c>
      <c r="AL78" s="302" t="s">
        <v>5786</v>
      </c>
      <c r="AM78" s="169" t="s">
        <v>5787</v>
      </c>
      <c r="AN78" s="172" t="s">
        <v>5788</v>
      </c>
      <c r="AO78" s="300" t="s">
        <v>5764</v>
      </c>
      <c r="AP78" s="156" t="s">
        <v>5789</v>
      </c>
      <c r="AQ78" s="154" t="s">
        <v>5790</v>
      </c>
      <c r="AR78" s="100" t="s">
        <v>5791</v>
      </c>
      <c r="AS78" s="300" t="s">
        <v>5764</v>
      </c>
      <c r="AT78" s="136" t="s">
        <v>5792</v>
      </c>
      <c r="AU78" s="154" t="s">
        <v>5793</v>
      </c>
      <c r="AV78" s="100" t="s">
        <v>5794</v>
      </c>
    </row>
    <row r="79">
      <c r="A79" s="300" t="s">
        <v>5795</v>
      </c>
      <c r="B79" s="156" t="s">
        <v>5796</v>
      </c>
      <c r="C79" s="139" t="s">
        <v>5797</v>
      </c>
      <c r="D79" s="97" t="s">
        <v>5798</v>
      </c>
      <c r="E79" s="300" t="s">
        <v>5795</v>
      </c>
      <c r="F79" s="156" t="s">
        <v>5799</v>
      </c>
      <c r="G79" s="154" t="s">
        <v>5800</v>
      </c>
      <c r="H79" s="100" t="s">
        <v>5801</v>
      </c>
      <c r="I79" s="300" t="s">
        <v>5795</v>
      </c>
      <c r="J79" s="156" t="s">
        <v>5802</v>
      </c>
      <c r="K79" s="139" t="s">
        <v>5803</v>
      </c>
      <c r="L79" s="97" t="s">
        <v>5804</v>
      </c>
      <c r="M79" s="300" t="s">
        <v>5795</v>
      </c>
      <c r="N79" s="156" t="s">
        <v>5805</v>
      </c>
      <c r="O79" s="154" t="s">
        <v>5806</v>
      </c>
      <c r="P79" s="100" t="s">
        <v>5807</v>
      </c>
      <c r="Q79" s="300" t="s">
        <v>5795</v>
      </c>
      <c r="R79" s="156" t="s">
        <v>5808</v>
      </c>
      <c r="S79" s="154" t="str">
        <f>IFERROR(__xludf.DUMMYFUNCTION("GOOGLETRANSLATE(C79,""zh-tw"",""es-MX"")"),"Para confesarte con las monjas en la iglesia, tu nivel de excitación debe ser superior al 50%. Si es demasiado bajo, no habrá opción.")</f>
        <v>Para confesarte con las monjas en la iglesia, tu nivel de excitación debe ser superior al 50%. Si es demasiado bajo, no habrá opción.</v>
      </c>
      <c r="T79" s="100" t="str">
        <f>IFERROR(__xludf.DUMMYFUNCTION("GOOGLETRANSLATE(D79,""zh-tw"",""es-MX"")"),"Activa la primera parte de la historia.
*Hacerle daño resultará en una muerte segura.")</f>
        <v>Activa la primera parte de la historia.
*Hacerle daño resultará en una muerte segura.</v>
      </c>
      <c r="U79" s="300" t="s">
        <v>5795</v>
      </c>
      <c r="V79" s="156" t="str">
        <f>IFERROR(__xludf.DUMMYFUNCTION("GOOGLETRANSLATE(B79,""zh-tw"",""KO"")"),"회개하라")</f>
        <v>회개하라</v>
      </c>
      <c r="W79" s="154" t="str">
        <f>IFERROR(__xludf.DUMMYFUNCTION("GOOGLETRANSLATE(C79,""zh-tw"",""KO"")"),"교회에서 수녀들에게 고해성사를 하려면 흥분도가 50% 이상이어야 합니다. 흥분도가 너무 낮으면 고해성사 옵션이 나타나지 않습니다.")</f>
        <v>교회에서 수녀들에게 고해성사를 하려면 흥분도가 50% 이상이어야 합니다. 흥분도가 너무 낮으면 고해성사 옵션이 나타나지 않습니다.</v>
      </c>
      <c r="X79" s="100" t="str">
        <f>IFERROR(__xludf.DUMMYFUNCTION("GOOGLETRANSLATE(D79,""zh-tw"",""KO"")"),"이야기의 첫 부분을 시작하세요.
*그녀에게 해를 가하면 반드시 죽게 됩니다.")</f>
        <v>이야기의 첫 부분을 시작하세요.
*그녀에게 해를 가하면 반드시 죽게 됩니다.</v>
      </c>
      <c r="Y79" s="344" t="s">
        <v>5795</v>
      </c>
      <c r="Z79" s="145" t="s">
        <v>5809</v>
      </c>
      <c r="AA79" s="190" t="s">
        <v>5810</v>
      </c>
      <c r="AB79" s="166" t="s">
        <v>5811</v>
      </c>
      <c r="AC79" s="300" t="s">
        <v>5795</v>
      </c>
      <c r="AD79" s="270" t="s">
        <v>5812</v>
      </c>
      <c r="AE79" s="224" t="s">
        <v>5813</v>
      </c>
      <c r="AF79" s="85" t="s">
        <v>5814</v>
      </c>
      <c r="AG79" s="300" t="s">
        <v>5795</v>
      </c>
      <c r="AH79" s="140" t="str">
        <f>IFERROR(__xludf.DUMMYFUNCTION("GOOGLETRANSLATE(B79,""zh-tw"",""de"")"),"Bereuen")</f>
        <v>Bereuen</v>
      </c>
      <c r="AI79" s="154" t="s">
        <v>5815</v>
      </c>
      <c r="AJ79" s="100" t="s">
        <v>5816</v>
      </c>
      <c r="AK79" s="300" t="s">
        <v>5795</v>
      </c>
      <c r="AL79" s="327" t="s">
        <v>5817</v>
      </c>
      <c r="AM79" s="328" t="s">
        <v>5818</v>
      </c>
      <c r="AN79" s="310" t="s">
        <v>5819</v>
      </c>
      <c r="AO79" s="300" t="s">
        <v>5795</v>
      </c>
      <c r="AP79" s="156" t="s">
        <v>5820</v>
      </c>
      <c r="AQ79" s="139" t="s">
        <v>5821</v>
      </c>
      <c r="AR79" s="97" t="s">
        <v>5822</v>
      </c>
      <c r="AS79" s="300" t="s">
        <v>5795</v>
      </c>
      <c r="AT79" s="136" t="s">
        <v>5823</v>
      </c>
      <c r="AU79" s="154" t="s">
        <v>5824</v>
      </c>
      <c r="AV79" s="100" t="s">
        <v>5825</v>
      </c>
    </row>
    <row r="80">
      <c r="A80" s="300" t="s">
        <v>5826</v>
      </c>
      <c r="B80" s="156" t="s">
        <v>5827</v>
      </c>
      <c r="C80" s="154" t="s">
        <v>5828</v>
      </c>
      <c r="D80" s="100" t="s">
        <v>5829</v>
      </c>
      <c r="E80" s="300" t="s">
        <v>5826</v>
      </c>
      <c r="F80" s="156" t="s">
        <v>5830</v>
      </c>
      <c r="G80" s="154" t="s">
        <v>5831</v>
      </c>
      <c r="H80" s="100" t="s">
        <v>5832</v>
      </c>
      <c r="I80" s="300" t="s">
        <v>5826</v>
      </c>
      <c r="J80" s="156" t="s">
        <v>5833</v>
      </c>
      <c r="K80" s="154" t="s">
        <v>5834</v>
      </c>
      <c r="L80" s="100" t="s">
        <v>5835</v>
      </c>
      <c r="M80" s="300" t="s">
        <v>5826</v>
      </c>
      <c r="N80" s="156" t="s">
        <v>5836</v>
      </c>
      <c r="O80" s="154" t="s">
        <v>5837</v>
      </c>
      <c r="P80" s="100" t="s">
        <v>5838</v>
      </c>
      <c r="Q80" s="300" t="s">
        <v>5826</v>
      </c>
      <c r="R80" s="156" t="s">
        <v>5839</v>
      </c>
      <c r="S80" s="154" t="str">
        <f>IFERROR(__xludf.DUMMYFUNCTION("GOOGLETRANSLATE(C80,""zh-tw"",""es-MX"")"),"Cuando el valor del pecado llega a -, se puede activar la segunda etapa del arrepentimiento.")</f>
        <v>Cuando el valor del pecado llega a -, se puede activar la segunda etapa del arrepentimiento.</v>
      </c>
      <c r="T80" s="100" t="str">
        <f>IFERROR(__xludf.DUMMYFUNCTION("GOOGLETRANSLATE(D80,""zh-tw"",""es-MX"")"),"Activar la segunda parte de la historia
*Aún no implementado")</f>
        <v>Activar la segunda parte de la historia
*Aún no implementado</v>
      </c>
      <c r="U80" s="300" t="s">
        <v>5826</v>
      </c>
      <c r="V80" s="156" t="str">
        <f>IFERROR(__xludf.DUMMYFUNCTION("GOOGLETRANSLATE(B80,""zh-tw"",""KO"")"),"회개하라 - 1")</f>
        <v>회개하라 - 1</v>
      </c>
      <c r="W80" s="154" t="str">
        <f>IFERROR(__xludf.DUMMYFUNCTION("GOOGLETRANSLATE(C80,""zh-tw"",""KO"")"),"죄의 값이 마이너스에 도달하면 회개의 두 번째 단계가 시작될 수 있습니다.")</f>
        <v>죄의 값이 마이너스에 도달하면 회개의 두 번째 단계가 시작될 수 있습니다.</v>
      </c>
      <c r="X80" s="100" t="str">
        <f>IFERROR(__xludf.DUMMYFUNCTION("GOOGLETRANSLATE(D80,""zh-tw"",""KO"")"),"이야기의 두 번째 부분을 시작하세요
*아직 구현되지 않았습니다")</f>
        <v>이야기의 두 번째 부분을 시작하세요
*아직 구현되지 않았습니다</v>
      </c>
      <c r="Y80" s="344" t="s">
        <v>5826</v>
      </c>
      <c r="Z80" s="145" t="s">
        <v>5840</v>
      </c>
      <c r="AA80" s="190" t="s">
        <v>5841</v>
      </c>
      <c r="AB80" s="166" t="s">
        <v>5842</v>
      </c>
      <c r="AC80" s="300" t="s">
        <v>5826</v>
      </c>
      <c r="AD80" s="270" t="s">
        <v>5843</v>
      </c>
      <c r="AE80" s="224" t="s">
        <v>5844</v>
      </c>
      <c r="AF80" s="96" t="s">
        <v>5845</v>
      </c>
      <c r="AG80" s="300" t="s">
        <v>5826</v>
      </c>
      <c r="AH80" s="140" t="str">
        <f>IFERROR(__xludf.DUMMYFUNCTION("GOOGLETRANSLATE(B80,""zh-tw"",""de"")"),"Bereue - 1")</f>
        <v>Bereue - 1</v>
      </c>
      <c r="AI80" s="154" t="s">
        <v>5846</v>
      </c>
      <c r="AJ80" s="100" t="s">
        <v>5847</v>
      </c>
      <c r="AK80" s="300" t="s">
        <v>5826</v>
      </c>
      <c r="AL80" s="327" t="s">
        <v>5848</v>
      </c>
      <c r="AM80" s="328" t="s">
        <v>5849</v>
      </c>
      <c r="AN80" s="329" t="s">
        <v>5850</v>
      </c>
      <c r="AO80" s="300" t="s">
        <v>5826</v>
      </c>
      <c r="AP80" s="156" t="s">
        <v>5851</v>
      </c>
      <c r="AQ80" s="154" t="s">
        <v>5852</v>
      </c>
      <c r="AR80" s="100" t="s">
        <v>5853</v>
      </c>
      <c r="AS80" s="300" t="s">
        <v>5826</v>
      </c>
      <c r="AT80" s="136" t="s">
        <v>5854</v>
      </c>
      <c r="AU80" s="154" t="s">
        <v>5855</v>
      </c>
      <c r="AV80" s="100" t="s">
        <v>5856</v>
      </c>
    </row>
    <row r="81">
      <c r="A81" s="294"/>
      <c r="B81" s="348" t="s">
        <v>5726</v>
      </c>
      <c r="E81" s="294"/>
      <c r="F81" s="296"/>
      <c r="I81" s="294"/>
      <c r="J81" s="295" t="s">
        <v>5732</v>
      </c>
      <c r="M81" s="294"/>
      <c r="N81" s="348" t="s">
        <v>5735</v>
      </c>
      <c r="Q81" s="294"/>
      <c r="R81" s="296"/>
      <c r="U81" s="294"/>
      <c r="V81" s="296"/>
      <c r="Y81" s="314"/>
      <c r="Z81" s="351" t="s">
        <v>5740</v>
      </c>
      <c r="AC81" s="294"/>
      <c r="AD81" s="298" t="s">
        <v>5743</v>
      </c>
      <c r="AG81" s="294"/>
      <c r="AH81" s="294"/>
      <c r="AK81" s="294"/>
      <c r="AL81" s="296"/>
      <c r="AO81" s="294"/>
      <c r="AP81" s="299" t="s">
        <v>5857</v>
      </c>
      <c r="AS81" s="294"/>
      <c r="AT81" s="294"/>
    </row>
    <row r="82">
      <c r="A82" s="300" t="s">
        <v>5858</v>
      </c>
      <c r="B82" s="140" t="s">
        <v>4416</v>
      </c>
      <c r="C82" s="139" t="s">
        <v>5859</v>
      </c>
      <c r="D82" s="97" t="s">
        <v>5860</v>
      </c>
      <c r="E82" s="300" t="s">
        <v>5858</v>
      </c>
      <c r="F82" s="140" t="s">
        <v>4602</v>
      </c>
      <c r="G82" s="139" t="s">
        <v>5861</v>
      </c>
      <c r="H82" s="97" t="s">
        <v>5862</v>
      </c>
      <c r="I82" s="300" t="s">
        <v>5858</v>
      </c>
      <c r="J82" s="140" t="s">
        <v>5079</v>
      </c>
      <c r="K82" s="139" t="s">
        <v>5863</v>
      </c>
      <c r="L82" s="97" t="s">
        <v>5864</v>
      </c>
      <c r="M82" s="300" t="s">
        <v>5858</v>
      </c>
      <c r="N82" s="140" t="s">
        <v>4426</v>
      </c>
      <c r="O82" s="139" t="s">
        <v>5865</v>
      </c>
      <c r="P82" s="97" t="s">
        <v>5866</v>
      </c>
      <c r="Q82" s="300" t="s">
        <v>5858</v>
      </c>
      <c r="R82" s="140" t="s">
        <v>4429</v>
      </c>
      <c r="S82" s="154" t="str">
        <f>IFERROR(__xludf.DUMMYFUNCTION("GOOGLETRANSLATE(C82,""zh-tw"",""es-MX"")"),"Detrás del pilar situado en el lado izquierdo del ""Gran Cinturón de Lava de Coca-Cola"", hay un objeto oculto y un punto de recogida.")</f>
        <v>Detrás del pilar situado en el lado izquierdo del "Gran Cinturón de Lava de Coca-Cola", hay un objeto oculto y un punto de recogida.</v>
      </c>
      <c r="T82" s="100" t="str">
        <f>IFERROR(__xludf.DUMMYFUNCTION("GOOGLETRANSLATE(D82,""zh-tw"",""es-MX"")"),"Equipo: Anillo de Lava
*Este objeto se puede obtener repetidamente después de que se actualice el mapa.")</f>
        <v>Equipo: Anillo de Lava
*Este objeto se puede obtener repetidamente después de que se actualice el mapa.</v>
      </c>
      <c r="U82" s="300" t="s">
        <v>5858</v>
      </c>
      <c r="V82" s="156" t="str">
        <f>IFERROR(__xludf.DUMMYFUNCTION("GOOGLETRANSLATE(B82,""zh-tw"",""KO"")"),"숨겨진 통로")</f>
        <v>숨겨진 통로</v>
      </c>
      <c r="W82" s="154" t="str">
        <f>IFERROR(__xludf.DUMMYFUNCTION("GOOGLETRANSLATE(C82,""zh-tw"",""KO"")"),"""거대한 코카콜라 용암 지대"" 왼쪽 기둥 뒤에는 숨겨진 아이템과 수집 지점이 있습니다.")</f>
        <v>"거대한 코카콜라 용암 지대" 왼쪽 기둥 뒤에는 숨겨진 아이템과 수집 지점이 있습니다.</v>
      </c>
      <c r="X82" s="100" t="str">
        <f>IFERROR(__xludf.DUMMYFUNCTION("GOOGLETRANSLATE(D82,""zh-tw"",""KO"")"),"장비: 용암 반지
*이 아이템은 맵이 새로고침된 후에도 반복해서 획득할 수 있습니다.")</f>
        <v>장비: 용암 반지
*이 아이템은 맵이 새로고침된 후에도 반복해서 획득할 수 있습니다.</v>
      </c>
      <c r="Y82" s="344" t="s">
        <v>5858</v>
      </c>
      <c r="Z82" s="145" t="s">
        <v>4458</v>
      </c>
      <c r="AA82" s="190" t="s">
        <v>5867</v>
      </c>
      <c r="AB82" s="166" t="s">
        <v>5868</v>
      </c>
      <c r="AC82" s="300" t="s">
        <v>5858</v>
      </c>
      <c r="AD82" s="240" t="s">
        <v>4461</v>
      </c>
      <c r="AE82" s="224" t="s">
        <v>5869</v>
      </c>
      <c r="AF82" s="85" t="s">
        <v>5870</v>
      </c>
      <c r="AG82" s="300" t="s">
        <v>5858</v>
      </c>
      <c r="AH82" s="140" t="s">
        <v>4436</v>
      </c>
      <c r="AI82" s="274" t="s">
        <v>5871</v>
      </c>
      <c r="AJ82" s="86" t="s">
        <v>5872</v>
      </c>
      <c r="AK82" s="300" t="s">
        <v>5858</v>
      </c>
      <c r="AL82" s="303" t="s">
        <v>4439</v>
      </c>
      <c r="AM82" s="169" t="s">
        <v>5873</v>
      </c>
      <c r="AN82" s="170" t="s">
        <v>5874</v>
      </c>
      <c r="AO82" s="300" t="s">
        <v>5858</v>
      </c>
      <c r="AP82" s="140" t="s">
        <v>4442</v>
      </c>
      <c r="AQ82" s="154" t="s">
        <v>5875</v>
      </c>
      <c r="AR82" s="100" t="s">
        <v>5876</v>
      </c>
      <c r="AS82" s="300" t="s">
        <v>5858</v>
      </c>
      <c r="AT82" s="140" t="s">
        <v>4445</v>
      </c>
      <c r="AU82" s="154" t="s">
        <v>5877</v>
      </c>
      <c r="AV82" s="100" t="s">
        <v>5878</v>
      </c>
    </row>
    <row r="83">
      <c r="A83" s="352"/>
      <c r="B83" s="352"/>
      <c r="C83" s="352"/>
      <c r="D83" s="352"/>
      <c r="E83" s="352"/>
      <c r="F83" s="352"/>
      <c r="G83" s="352"/>
      <c r="H83" s="352"/>
      <c r="I83" s="352"/>
      <c r="J83" s="352"/>
      <c r="K83" s="352"/>
      <c r="L83" s="352"/>
      <c r="M83" s="352"/>
      <c r="N83" s="352"/>
      <c r="O83" s="352"/>
      <c r="P83" s="352"/>
      <c r="Q83" s="352"/>
      <c r="R83" s="352"/>
      <c r="S83" s="353"/>
      <c r="T83" s="353"/>
      <c r="U83" s="352"/>
      <c r="V83" s="353"/>
      <c r="W83" s="353"/>
      <c r="X83" s="353"/>
      <c r="Y83" s="352"/>
      <c r="Z83" s="352"/>
      <c r="AA83" s="353"/>
      <c r="AB83" s="353"/>
      <c r="AC83" s="352"/>
      <c r="AD83" s="352"/>
      <c r="AE83" s="354"/>
      <c r="AF83" s="353"/>
      <c r="AG83" s="352"/>
      <c r="AH83" s="352"/>
      <c r="AI83" s="352"/>
      <c r="AJ83" s="352"/>
      <c r="AK83" s="352"/>
      <c r="AL83" s="352"/>
      <c r="AM83" s="352"/>
      <c r="AN83" s="352"/>
      <c r="AO83" s="352"/>
      <c r="AP83" s="353"/>
      <c r="AQ83" s="353"/>
      <c r="AR83" s="353"/>
      <c r="AS83" s="352"/>
      <c r="AT83" s="352"/>
      <c r="AU83" s="353"/>
      <c r="AV83" s="353"/>
    </row>
    <row r="84">
      <c r="A84" s="216" t="s">
        <v>5879</v>
      </c>
      <c r="B84" s="348" t="s">
        <v>5880</v>
      </c>
      <c r="E84" s="216" t="s">
        <v>5879</v>
      </c>
      <c r="F84" s="296"/>
      <c r="I84" s="216" t="s">
        <v>5879</v>
      </c>
      <c r="J84" s="295" t="s">
        <v>5881</v>
      </c>
      <c r="M84" s="216" t="s">
        <v>5879</v>
      </c>
      <c r="N84" s="348" t="s">
        <v>5880</v>
      </c>
      <c r="Q84" s="216" t="s">
        <v>5879</v>
      </c>
      <c r="R84" s="296"/>
      <c r="U84" s="216" t="s">
        <v>5879</v>
      </c>
      <c r="V84" s="296"/>
      <c r="Y84" s="355" t="s">
        <v>5879</v>
      </c>
      <c r="Z84" s="297" t="s">
        <v>5882</v>
      </c>
      <c r="AC84" s="216" t="s">
        <v>5879</v>
      </c>
      <c r="AD84" s="298" t="s">
        <v>5883</v>
      </c>
      <c r="AG84" s="216" t="s">
        <v>5879</v>
      </c>
      <c r="AH84" s="294"/>
      <c r="AK84" s="216" t="s">
        <v>5879</v>
      </c>
      <c r="AL84" s="296"/>
      <c r="AO84" s="216" t="s">
        <v>5879</v>
      </c>
      <c r="AP84" s="299" t="s">
        <v>5884</v>
      </c>
      <c r="AS84" s="216" t="s">
        <v>5879</v>
      </c>
      <c r="AT84" s="294"/>
    </row>
    <row r="85">
      <c r="A85" s="300" t="s">
        <v>5885</v>
      </c>
      <c r="B85" s="140" t="s">
        <v>5886</v>
      </c>
      <c r="C85" s="139" t="s">
        <v>5887</v>
      </c>
      <c r="D85" s="97" t="s">
        <v>5888</v>
      </c>
      <c r="E85" s="300" t="s">
        <v>5885</v>
      </c>
      <c r="F85" s="140" t="s">
        <v>5889</v>
      </c>
      <c r="G85" s="139" t="s">
        <v>5890</v>
      </c>
      <c r="H85" s="97" t="s">
        <v>5891</v>
      </c>
      <c r="I85" s="300" t="s">
        <v>5885</v>
      </c>
      <c r="J85" s="140" t="s">
        <v>5892</v>
      </c>
      <c r="K85" s="139" t="s">
        <v>5893</v>
      </c>
      <c r="L85" s="97" t="s">
        <v>5894</v>
      </c>
      <c r="M85" s="300" t="s">
        <v>5885</v>
      </c>
      <c r="N85" s="140" t="s">
        <v>5895</v>
      </c>
      <c r="O85" s="139" t="s">
        <v>5896</v>
      </c>
      <c r="P85" s="97" t="s">
        <v>5897</v>
      </c>
      <c r="Q85" s="300" t="s">
        <v>5885</v>
      </c>
      <c r="R85" s="156" t="s">
        <v>5898</v>
      </c>
      <c r="S85" s="154" t="str">
        <f>IFERROR(__xludf.DUMMYFUNCTION("GOOGLETRANSLATE(C85,""zh-tw"",""es-MX"")"),"Tras aprender la técnica ""Paso Rápido con Katana"", equipar un arma cuerpo a cuerpo y realizar un cuarto tajo aéreo activará automáticamente un estado de entrenamiento de esgrima oculto.
Usar un arma de mayor tamaño puede aumentar la eficacia del entren"&amp;"amiento (por ejemplo, mediante el uso de cartas del tarot o habilidades propias del arma).")</f>
        <v>Tras aprender la técnica "Paso Rápido con Katana", equipar un arma cuerpo a cuerpo y realizar un cuarto tajo aéreo activará automáticamente un estado de entrenamiento de esgrima oculto.
Usar un arma de mayor tamaño puede aumentar la eficacia del entrenamiento (por ejemplo, mediante el uso de cartas del tarot o habilidades propias del arma).</v>
      </c>
      <c r="T85" s="100" t="str">
        <f>IFERROR(__xludf.DUMMYFUNCTION("GOOGLETRANSLATE(D85,""zh-tw"",""es-MX"")"),"Durante el entrenamiento, las estadísticas ocultas se acumularán gradualmente, alcanzando un máximo de 36 000 golpes aéreos.
[4, 15, 50, 150, 500, 1600, 4800, 12 000, 24 000, 36 000]
Con la acumulación de golpes aéreos, el poder de ataque normal y la ve"&amp;"locidad de ataque aumentarán gradualmente. El multiplicador de ataque máximo es del 357 % (1,8 * nivel de entrenamiento de esgrima).")</f>
        <v>Durante el entrenamiento, las estadísticas ocultas se acumularán gradualmente, alcanzando un máximo de 36 000 golpes aéreos.
[4, 15, 50, 150, 500, 1600, 4800, 12 000, 24 000, 36 000]
Con la acumulación de golpes aéreos, el poder de ataque normal y la velocidad de ataque aumentarán gradualmente. El multiplicador de ataque máximo es del 357 % (1,8 * nivel de entrenamiento de esgrima).</v>
      </c>
      <c r="U85" s="300" t="s">
        <v>5885</v>
      </c>
      <c r="V85" s="156" t="str">
        <f>IFERROR(__xludf.DUMMYFUNCTION("GOOGLETRANSLATE(B85,""zh-tw"",""KO"")"),"검술 훈련")</f>
        <v>검술 훈련</v>
      </c>
      <c r="W85" s="154" t="str">
        <f>IFERROR(__xludf.DUMMYFUNCTION("GOOGLETRANSLATE(C85,""zh-tw"",""KO"")"),"""플래시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f>
        <v>"플래시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v>
      </c>
      <c r="X85" s="100" t="str">
        <f>IFERROR(__xludf.DUMMYFUNCTION("GOOGLETRANSLATE(D85,""zh-tw"",""KO"")"),"훈련하는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f>
        <v>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v>
      </c>
      <c r="Y85" s="301" t="s">
        <v>5885</v>
      </c>
      <c r="Z85" s="145" t="s">
        <v>5899</v>
      </c>
      <c r="AA85" s="146" t="s">
        <v>5900</v>
      </c>
      <c r="AB85" s="259" t="s">
        <v>5901</v>
      </c>
      <c r="AC85" s="300" t="s">
        <v>5885</v>
      </c>
      <c r="AD85" s="240" t="s">
        <v>5902</v>
      </c>
      <c r="AE85" s="224" t="s">
        <v>5903</v>
      </c>
      <c r="AF85" s="85" t="s">
        <v>5904</v>
      </c>
      <c r="AG85" s="300" t="s">
        <v>5885</v>
      </c>
      <c r="AH85" s="140" t="s">
        <v>5905</v>
      </c>
      <c r="AI85" s="274" t="s">
        <v>5906</v>
      </c>
      <c r="AJ85" s="86" t="s">
        <v>5907</v>
      </c>
      <c r="AK85" s="300" t="s">
        <v>5885</v>
      </c>
      <c r="AL85" s="302" t="s">
        <v>5908</v>
      </c>
      <c r="AM85" s="173" t="s">
        <v>5909</v>
      </c>
      <c r="AN85" s="170" t="s">
        <v>5910</v>
      </c>
      <c r="AO85" s="300" t="s">
        <v>5885</v>
      </c>
      <c r="AP85" s="156" t="s">
        <v>5911</v>
      </c>
      <c r="AQ85" s="139" t="s">
        <v>5912</v>
      </c>
      <c r="AR85" s="97" t="s">
        <v>5913</v>
      </c>
      <c r="AS85" s="300" t="s">
        <v>5885</v>
      </c>
      <c r="AT85" s="140" t="s">
        <v>5914</v>
      </c>
      <c r="AU85" s="139" t="s">
        <v>5915</v>
      </c>
      <c r="AV85" s="97" t="s">
        <v>5916</v>
      </c>
    </row>
    <row r="86">
      <c r="A86" s="300" t="s">
        <v>5917</v>
      </c>
      <c r="B86" s="140" t="s">
        <v>5918</v>
      </c>
      <c r="C86" s="139" t="s">
        <v>5919</v>
      </c>
      <c r="D86" s="97" t="s">
        <v>5920</v>
      </c>
      <c r="E86" s="300" t="s">
        <v>5917</v>
      </c>
      <c r="F86" s="140" t="s">
        <v>5921</v>
      </c>
      <c r="G86" s="139" t="s">
        <v>5922</v>
      </c>
      <c r="H86" s="97" t="s">
        <v>5923</v>
      </c>
      <c r="I86" s="300" t="s">
        <v>5917</v>
      </c>
      <c r="J86" s="140" t="s">
        <v>5924</v>
      </c>
      <c r="K86" s="139" t="s">
        <v>5925</v>
      </c>
      <c r="L86" s="97" t="s">
        <v>5926</v>
      </c>
      <c r="M86" s="300" t="s">
        <v>5917</v>
      </c>
      <c r="N86" s="140" t="s">
        <v>5927</v>
      </c>
      <c r="O86" s="139" t="s">
        <v>5928</v>
      </c>
      <c r="P86" s="97" t="s">
        <v>5929</v>
      </c>
      <c r="Q86" s="300" t="s">
        <v>5917</v>
      </c>
      <c r="R86" s="140" t="s">
        <v>5930</v>
      </c>
      <c r="S86" s="154" t="str">
        <f>IFERROR(__xludf.DUMMYFUNCTION("GOOGLETRANSLATE(C86,""zh-tw"",""es-MX"")"),"En días soleados, es probable que haga calor.
(Si tu hermana ya recibió la camiseta, aumenta la probabilidad de que haga calor).")</f>
        <v>En días soleados, es probable que haga calor.
(Si tu hermana ya recibió la camiseta, aumenta la probabilidad de que haga calor).</v>
      </c>
      <c r="T86" s="100" t="str">
        <f>IFERROR(__xludf.DUMMYFUNCTION("GOOGLETRANSLATE(D86,""zh-tw"",""es-MX"")"),"Algunos PNJ se esconderán.
Si regresas a casa antes de tiempo (y no puedes usar el Portal Estelar), tu hermana tendrá un evento relacionado con el calor.")</f>
        <v>Algunos PNJ se esconderán.
Si regresas a casa antes de tiempo (y no puedes usar el Portal Estelar), tu hermana tendrá un evento relacionado con el calor.</v>
      </c>
      <c r="U86" s="300" t="s">
        <v>5917</v>
      </c>
      <c r="V86" s="156" t="str">
        <f>IFERROR(__xludf.DUMMYFUNCTION("GOOGLETRANSLATE(B86,""zh-tw"",""KO"")"),"더운 날씨 1")</f>
        <v>더운 날씨 1</v>
      </c>
      <c r="W86" s="154" t="str">
        <f>IFERROR(__xludf.DUMMYFUNCTION("GOOGLETRANSLATE(C86,""zh-tw"",""KO"")"),"화창한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86" s="100" t="str">
        <f>IFERROR(__xludf.DUMMYFUNCTION("GOOGLETRANSLATE(D86,""zh-tw"",""KO"")"),"일부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86" s="301" t="s">
        <v>5917</v>
      </c>
      <c r="Z86" s="145" t="s">
        <v>5931</v>
      </c>
      <c r="AA86" s="190" t="s">
        <v>5932</v>
      </c>
      <c r="AB86" s="166" t="s">
        <v>5933</v>
      </c>
      <c r="AC86" s="300" t="s">
        <v>5917</v>
      </c>
      <c r="AD86" s="240" t="s">
        <v>5934</v>
      </c>
      <c r="AE86" s="224" t="s">
        <v>5935</v>
      </c>
      <c r="AF86" s="85" t="s">
        <v>5936</v>
      </c>
      <c r="AG86" s="300" t="s">
        <v>5917</v>
      </c>
      <c r="AH86" s="140" t="s">
        <v>5937</v>
      </c>
      <c r="AI86" s="274" t="s">
        <v>5938</v>
      </c>
      <c r="AJ86" s="86" t="s">
        <v>5939</v>
      </c>
      <c r="AK86" s="300" t="s">
        <v>5917</v>
      </c>
      <c r="AL86" s="302" t="s">
        <v>5940</v>
      </c>
      <c r="AM86" s="169" t="s">
        <v>5941</v>
      </c>
      <c r="AN86" s="172" t="s">
        <v>5942</v>
      </c>
      <c r="AO86" s="300" t="s">
        <v>5917</v>
      </c>
      <c r="AP86" s="156" t="s">
        <v>5943</v>
      </c>
      <c r="AQ86" s="154" t="s">
        <v>5944</v>
      </c>
      <c r="AR86" s="100" t="s">
        <v>5945</v>
      </c>
      <c r="AS86" s="300" t="s">
        <v>5917</v>
      </c>
      <c r="AT86" s="136" t="s">
        <v>5946</v>
      </c>
      <c r="AU86" s="154" t="s">
        <v>5947</v>
      </c>
      <c r="AV86" s="100" t="s">
        <v>5948</v>
      </c>
    </row>
    <row r="87">
      <c r="A87" s="300" t="s">
        <v>5949</v>
      </c>
      <c r="B87" s="140" t="s">
        <v>5950</v>
      </c>
      <c r="C87" s="139" t="s">
        <v>5951</v>
      </c>
      <c r="D87" s="97" t="s">
        <v>5952</v>
      </c>
      <c r="E87" s="300" t="s">
        <v>5949</v>
      </c>
      <c r="F87" s="140" t="s">
        <v>5953</v>
      </c>
      <c r="G87" s="139" t="s">
        <v>5954</v>
      </c>
      <c r="H87" s="97" t="s">
        <v>5955</v>
      </c>
      <c r="I87" s="300" t="s">
        <v>5949</v>
      </c>
      <c r="J87" s="140" t="s">
        <v>5956</v>
      </c>
      <c r="K87" s="139" t="s">
        <v>5957</v>
      </c>
      <c r="L87" s="97" t="s">
        <v>5958</v>
      </c>
      <c r="M87" s="300" t="s">
        <v>5949</v>
      </c>
      <c r="N87" s="140" t="s">
        <v>5959</v>
      </c>
      <c r="O87" s="139" t="s">
        <v>5960</v>
      </c>
      <c r="P87" s="97" t="s">
        <v>5961</v>
      </c>
      <c r="Q87" s="300" t="s">
        <v>5949</v>
      </c>
      <c r="R87" s="140" t="s">
        <v>5962</v>
      </c>
      <c r="S87" s="139" t="s">
        <v>5963</v>
      </c>
      <c r="T87" s="100" t="str">
        <f>IFERROR(__xludf.DUMMYFUNCTION("GOOGLETRANSLATE(D87,""zh-tw"",""es-MX"")"),"Igual que lo anterior. Historia secundaria sobre el clima cálido.
(En la versión actual, este atuendo se usará automáticamente, independientemente de si has obtenido la camiseta o no).")</f>
        <v>Igual que lo anterior. Historia secundaria sobre el clima cálido.
(En la versión actual, este atuendo se usará automáticamente, independientemente de si has obtenido la camiseta o no).</v>
      </c>
      <c r="U87" s="300" t="s">
        <v>5949</v>
      </c>
      <c r="V87" s="156" t="str">
        <f>IFERROR(__xludf.DUMMYFUNCTION("GOOGLETRANSLATE(B87,""zh-tw"",""KO"")"),"더운 날씨 2 보너스 티셔츠")</f>
        <v>더운 날씨 2 보너스 티셔츠</v>
      </c>
      <c r="W87" s="154" t="str">
        <f>IFERROR(__xludf.DUMMYFUNCTION("GOOGLETRANSLATE(C87,""zh-tw"",""KO"")"),"위에서 언급했듯이, 티셔츠가 있으면 스토리가 분기됩니다.")</f>
        <v>위에서 언급했듯이, 티셔츠가 있으면 스토리가 분기됩니다.</v>
      </c>
      <c r="X87" s="100" t="str">
        <f>IFERROR(__xludf.DUMMYFUNCTION("GOOGLETRANSLATE(D87,""zh-tw"",""KO"")"),"위와 동일합니다. 더운 날씨 사이드 스토리
(현재 버전에서는 티셔츠 획득 여부와 관계없이 자동으로 이 의상을 착용하게 됩니다.)")</f>
        <v>위와 동일합니다. 더운 날씨 사이드 스토리
(현재 버전에서는 티셔츠 획득 여부와 관계없이 자동으로 이 의상을 착용하게 됩니다.)</v>
      </c>
      <c r="Y87" s="301" t="s">
        <v>5949</v>
      </c>
      <c r="Z87" s="145" t="s">
        <v>5964</v>
      </c>
      <c r="AA87" s="190" t="s">
        <v>5965</v>
      </c>
      <c r="AB87" s="166" t="s">
        <v>5966</v>
      </c>
      <c r="AC87" s="300" t="s">
        <v>5949</v>
      </c>
      <c r="AD87" s="240" t="s">
        <v>5967</v>
      </c>
      <c r="AE87" s="224" t="s">
        <v>5968</v>
      </c>
      <c r="AF87" s="85" t="s">
        <v>5969</v>
      </c>
      <c r="AG87" s="300" t="s">
        <v>5949</v>
      </c>
      <c r="AH87" s="140" t="s">
        <v>5970</v>
      </c>
      <c r="AI87" s="274" t="s">
        <v>5971</v>
      </c>
      <c r="AJ87" s="86" t="s">
        <v>5972</v>
      </c>
      <c r="AK87" s="300" t="s">
        <v>5949</v>
      </c>
      <c r="AL87" s="302" t="s">
        <v>5973</v>
      </c>
      <c r="AM87" s="169" t="s">
        <v>5974</v>
      </c>
      <c r="AN87" s="172" t="s">
        <v>5975</v>
      </c>
      <c r="AO87" s="300" t="s">
        <v>5949</v>
      </c>
      <c r="AP87" s="156" t="s">
        <v>5976</v>
      </c>
      <c r="AQ87" s="154" t="s">
        <v>5977</v>
      </c>
      <c r="AR87" s="100" t="s">
        <v>5978</v>
      </c>
      <c r="AS87" s="300" t="s">
        <v>5949</v>
      </c>
      <c r="AT87" s="136" t="s">
        <v>5979</v>
      </c>
      <c r="AU87" s="154" t="s">
        <v>5980</v>
      </c>
      <c r="AV87" s="100" t="s">
        <v>5981</v>
      </c>
    </row>
    <row r="88">
      <c r="A88" s="300" t="s">
        <v>5982</v>
      </c>
      <c r="B88" s="140" t="s">
        <v>5983</v>
      </c>
      <c r="C88" s="139" t="s">
        <v>5984</v>
      </c>
      <c r="D88" s="97" t="s">
        <v>5985</v>
      </c>
      <c r="E88" s="300" t="s">
        <v>5982</v>
      </c>
      <c r="F88" s="140" t="s">
        <v>5986</v>
      </c>
      <c r="G88" s="139" t="s">
        <v>5987</v>
      </c>
      <c r="H88" s="97" t="s">
        <v>5988</v>
      </c>
      <c r="I88" s="300" t="s">
        <v>5982</v>
      </c>
      <c r="J88" s="140" t="s">
        <v>5989</v>
      </c>
      <c r="K88" s="139" t="s">
        <v>5990</v>
      </c>
      <c r="L88" s="97" t="s">
        <v>5991</v>
      </c>
      <c r="M88" s="300" t="s">
        <v>5982</v>
      </c>
      <c r="N88" s="140" t="s">
        <v>5992</v>
      </c>
      <c r="O88" s="139" t="s">
        <v>5993</v>
      </c>
      <c r="P88" s="97" t="s">
        <v>5994</v>
      </c>
      <c r="Q88" s="300" t="s">
        <v>5982</v>
      </c>
      <c r="R88" s="140" t="s">
        <v>5995</v>
      </c>
      <c r="S88" s="139" t="s">
        <v>5996</v>
      </c>
      <c r="T88" s="100" t="str">
        <f>IFERROR(__xludf.DUMMYFUNCTION("GOOGLETRANSLATE(D88,""zh-tw"",""es-MX"")"),"Consigue un ventilador eléctrico. Historia paralela sobre el calor.")</f>
        <v>Consigue un ventilador eléctrico. Historia paralela sobre el calor.</v>
      </c>
      <c r="U88" s="300" t="s">
        <v>5982</v>
      </c>
      <c r="V88" s="156" t="str">
        <f>IFERROR(__xludf.DUMMYFUNCTION("GOOGLETRANSLATE(B88,""zh-tw"",""KO"")"),"더운 날씨 3. 선풍기")</f>
        <v>더운 날씨 3. 선풍기</v>
      </c>
      <c r="W88" s="154" t="str">
        <f>IFERROR(__xludf.DUMMYFUNCTION("GOOGLETRANSLATE(C88,""zh-tw"",""KO"")"),"마찬가지로, ""전차"" 타로 카드가 소환하는 상점에서 선풍기를 구입할 수 있습니다.")</f>
        <v>마찬가지로, "전차" 타로 카드가 소환하는 상점에서 선풍기를 구입할 수 있습니다.</v>
      </c>
      <c r="X88" s="100" t="str">
        <f>IFERROR(__xludf.DUMMYFUNCTION("GOOGLETRANSLATE(D88,""zh-tw"",""KO"")"),"선풍기를 구하세요. 더운 날씨에 대한 여담입니다.")</f>
        <v>선풍기를 구하세요. 더운 날씨에 대한 여담입니다.</v>
      </c>
      <c r="Y88" s="301" t="s">
        <v>5982</v>
      </c>
      <c r="Z88" s="145" t="s">
        <v>5997</v>
      </c>
      <c r="AA88" s="190" t="s">
        <v>5998</v>
      </c>
      <c r="AB88" s="166" t="s">
        <v>5999</v>
      </c>
      <c r="AC88" s="300" t="s">
        <v>5982</v>
      </c>
      <c r="AD88" s="240" t="s">
        <v>6000</v>
      </c>
      <c r="AE88" s="224" t="s">
        <v>6001</v>
      </c>
      <c r="AF88" s="85" t="s">
        <v>6002</v>
      </c>
      <c r="AG88" s="300" t="s">
        <v>5982</v>
      </c>
      <c r="AH88" s="140" t="s">
        <v>6003</v>
      </c>
      <c r="AI88" s="274" t="s">
        <v>6004</v>
      </c>
      <c r="AJ88" s="86" t="s">
        <v>6005</v>
      </c>
      <c r="AK88" s="300" t="s">
        <v>5982</v>
      </c>
      <c r="AL88" s="302" t="s">
        <v>6006</v>
      </c>
      <c r="AM88" s="169" t="s">
        <v>6007</v>
      </c>
      <c r="AN88" s="172" t="s">
        <v>6008</v>
      </c>
      <c r="AO88" s="300" t="s">
        <v>5982</v>
      </c>
      <c r="AP88" s="156" t="s">
        <v>6009</v>
      </c>
      <c r="AQ88" s="154" t="s">
        <v>6010</v>
      </c>
      <c r="AR88" s="100" t="s">
        <v>6011</v>
      </c>
      <c r="AS88" s="300" t="s">
        <v>5982</v>
      </c>
      <c r="AT88" s="136" t="s">
        <v>6012</v>
      </c>
      <c r="AU88" s="154" t="s">
        <v>6013</v>
      </c>
      <c r="AV88" s="100" t="s">
        <v>6014</v>
      </c>
    </row>
    <row r="89">
      <c r="A89" s="300" t="s">
        <v>6015</v>
      </c>
      <c r="B89" s="140" t="s">
        <v>6016</v>
      </c>
      <c r="C89" s="139" t="s">
        <v>6017</v>
      </c>
      <c r="D89" s="97" t="s">
        <v>6018</v>
      </c>
      <c r="E89" s="300" t="s">
        <v>6015</v>
      </c>
      <c r="F89" s="140" t="s">
        <v>6019</v>
      </c>
      <c r="G89" s="139" t="s">
        <v>6020</v>
      </c>
      <c r="H89" s="97" t="s">
        <v>6021</v>
      </c>
      <c r="I89" s="300" t="s">
        <v>6015</v>
      </c>
      <c r="J89" s="140" t="s">
        <v>6022</v>
      </c>
      <c r="K89" s="139" t="s">
        <v>6023</v>
      </c>
      <c r="L89" s="97" t="s">
        <v>6024</v>
      </c>
      <c r="M89" s="300" t="s">
        <v>6015</v>
      </c>
      <c r="N89" s="140" t="s">
        <v>6016</v>
      </c>
      <c r="O89" s="139" t="s">
        <v>6025</v>
      </c>
      <c r="P89" s="97" t="s">
        <v>6026</v>
      </c>
      <c r="Q89" s="300" t="s">
        <v>6015</v>
      </c>
      <c r="R89" s="140" t="s">
        <v>6027</v>
      </c>
      <c r="S89" s="139" t="s">
        <v>6028</v>
      </c>
      <c r="T89" s="100" t="str">
        <f>IFERROR(__xludf.DUMMYFUNCTION("GOOGLETRANSLATE(D89,""zh-tw"",""es-MX"")"),"La primera vez que te encuentres con esto, tendrás dos opciones de diálogo; recuerda completarlas ambas.
De lo contrario, te perderás elementos posteriores.")</f>
        <v>La primera vez que te encuentres con esto, tendrás dos opciones de diálogo; recuerda completarlas ambas.
De lo contrario, te perderás elementos posteriores.</v>
      </c>
      <c r="U89" s="300" t="s">
        <v>6015</v>
      </c>
      <c r="V89" s="156" t="str">
        <f>IFERROR(__xludf.DUMMYFUNCTION("GOOGLETRANSLATE(B89,""zh-tw"",""KO"")"),"미스터리 쇼핑")</f>
        <v>미스터리 쇼핑</v>
      </c>
      <c r="W89" s="154" t="str">
        <f>IFERROR(__xludf.DUMMYFUNCTION("GOOGLETRANSLATE(C89,""zh-tw"",""KO"")"),"맑은 날에는 ""폐허의 숲"" 지역 내 무작위 위치에서 60% 확률로 나타납니다.
""폐허의 숲"" 지역은 지도에 표시되어 있으며, ""잃어버린 숲""과는 다른 지역입니다.")</f>
        <v>맑은 날에는 "폐허의 숲" 지역 내 무작위 위치에서 60% 확률로 나타납니다.
"폐허의 숲" 지역은 지도에 표시되어 있으며, "잃어버린 숲"과는 다른 지역입니다.</v>
      </c>
      <c r="X89" s="100" t="str">
        <f>IFERROR(__xludf.DUMMYFUNCTION("GOOGLETRANSLATE(D89,""zh-tw"",""KO"")"),"처음 이 상황을 접했을 때 두 가지 대화 선택지가 있습니다. 두 가지 대화 모두 완료해 주세요.
그렇지 않으면 나중에 얻을 수 있는 아이템들을 놓치게 됩니다.")</f>
        <v>처음 이 상황을 접했을 때 두 가지 대화 선택지가 있습니다. 두 가지 대화 모두 완료해 주세요.
그렇지 않으면 나중에 얻을 수 있는 아이템들을 놓치게 됩니다.</v>
      </c>
      <c r="Y89" s="301" t="s">
        <v>6015</v>
      </c>
      <c r="Z89" s="145" t="s">
        <v>6029</v>
      </c>
      <c r="AA89" s="190" t="s">
        <v>6030</v>
      </c>
      <c r="AB89" s="166" t="s">
        <v>6031</v>
      </c>
      <c r="AC89" s="300" t="s">
        <v>6015</v>
      </c>
      <c r="AD89" s="240" t="s">
        <v>6032</v>
      </c>
      <c r="AE89" s="224" t="s">
        <v>6033</v>
      </c>
      <c r="AF89" s="85" t="s">
        <v>6034</v>
      </c>
      <c r="AG89" s="300" t="s">
        <v>6015</v>
      </c>
      <c r="AH89" s="140" t="s">
        <v>6035</v>
      </c>
      <c r="AI89" s="274" t="s">
        <v>6036</v>
      </c>
      <c r="AJ89" s="86" t="s">
        <v>6037</v>
      </c>
      <c r="AK89" s="300" t="s">
        <v>6015</v>
      </c>
      <c r="AL89" s="302" t="s">
        <v>6038</v>
      </c>
      <c r="AM89" s="169" t="s">
        <v>6039</v>
      </c>
      <c r="AN89" s="170" t="s">
        <v>6040</v>
      </c>
      <c r="AO89" s="300" t="s">
        <v>6015</v>
      </c>
      <c r="AP89" s="156" t="s">
        <v>6041</v>
      </c>
      <c r="AQ89" s="154" t="s">
        <v>6042</v>
      </c>
      <c r="AR89" s="97" t="s">
        <v>6043</v>
      </c>
      <c r="AS89" s="300" t="s">
        <v>6015</v>
      </c>
      <c r="AT89" s="136" t="s">
        <v>6044</v>
      </c>
      <c r="AU89" s="154" t="s">
        <v>6045</v>
      </c>
      <c r="AV89" s="100" t="s">
        <v>6046</v>
      </c>
    </row>
    <row r="90">
      <c r="A90" s="300" t="s">
        <v>6047</v>
      </c>
      <c r="B90" s="140" t="s">
        <v>6048</v>
      </c>
      <c r="C90" s="139" t="s">
        <v>6049</v>
      </c>
      <c r="D90" s="97" t="s">
        <v>6050</v>
      </c>
      <c r="E90" s="300" t="s">
        <v>6047</v>
      </c>
      <c r="F90" s="140" t="s">
        <v>6051</v>
      </c>
      <c r="G90" s="139" t="s">
        <v>6052</v>
      </c>
      <c r="H90" s="97" t="s">
        <v>6053</v>
      </c>
      <c r="I90" s="300" t="s">
        <v>6047</v>
      </c>
      <c r="J90" s="140" t="s">
        <v>6054</v>
      </c>
      <c r="K90" s="139" t="s">
        <v>6055</v>
      </c>
      <c r="L90" s="97" t="s">
        <v>6056</v>
      </c>
      <c r="M90" s="300" t="s">
        <v>6047</v>
      </c>
      <c r="N90" s="140" t="s">
        <v>6057</v>
      </c>
      <c r="O90" s="139" t="s">
        <v>6058</v>
      </c>
      <c r="P90" s="97" t="s">
        <v>6059</v>
      </c>
      <c r="Q90" s="300" t="s">
        <v>6047</v>
      </c>
      <c r="R90" s="140" t="s">
        <v>6060</v>
      </c>
      <c r="S90" s="139" t="s">
        <v>6061</v>
      </c>
      <c r="T90" s="100" t="str">
        <f>IFERROR(__xludf.DUMMYFUNCTION("GOOGLETRANSLATE(D90,""zh-tw"",""es-MX"")"),"Obtén al azar konpeito (dulce japonés) azul, verde o rosa.
«Cuanto mejor sea tu relación con el tendero, menor será el precio».")</f>
        <v>Obtén al azar konpeito (dulce japonés) azul, verde o rosa.
«Cuanto mejor sea tu relación con el tendero, menor será el precio».</v>
      </c>
      <c r="U90" s="300" t="s">
        <v>6047</v>
      </c>
      <c r="V90" s="156" t="str">
        <f>IFERROR(__xludf.DUMMYFUNCTION("GOOGLETRANSLATE(B90,""zh-tw"",""KO"")"),"미스터리 쇼핑 - 1")</f>
        <v>미스터리 쇼핑 - 1</v>
      </c>
      <c r="W90" s="154" t="str">
        <f>IFERROR(__xludf.DUMMYFUNCTION("GOOGLETRANSLATE(C90,""zh-tw"",""KO"")"),"미스터리 샵의 가챠 시스템에서는 5,000엔을 사용하거나 특정 아이템을 사용할 수 있습니다.")</f>
        <v>미스터리 샵의 가챠 시스템에서는 5,000엔을 사용하거나 특정 아이템을 사용할 수 있습니다.</v>
      </c>
      <c r="X90" s="100" t="str">
        <f>IFERROR(__xludf.DUMMYFUNCTION("GOOGLETRANSLATE(D90,""zh-tw"",""KO"")"),"파란색,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90" s="301" t="s">
        <v>6047</v>
      </c>
      <c r="Z90" s="145" t="s">
        <v>6062</v>
      </c>
      <c r="AA90" s="190" t="s">
        <v>6063</v>
      </c>
      <c r="AB90" s="166" t="s">
        <v>6064</v>
      </c>
      <c r="AC90" s="300" t="s">
        <v>6047</v>
      </c>
      <c r="AD90" s="230" t="s">
        <v>6065</v>
      </c>
      <c r="AE90" s="224" t="s">
        <v>6066</v>
      </c>
      <c r="AF90" s="85" t="s">
        <v>6067</v>
      </c>
      <c r="AG90" s="300" t="s">
        <v>6047</v>
      </c>
      <c r="AH90" s="140" t="s">
        <v>6068</v>
      </c>
      <c r="AI90" s="274" t="s">
        <v>6069</v>
      </c>
      <c r="AJ90" s="86" t="s">
        <v>6070</v>
      </c>
      <c r="AK90" s="300" t="s">
        <v>6047</v>
      </c>
      <c r="AL90" s="302" t="s">
        <v>6071</v>
      </c>
      <c r="AM90" s="169" t="s">
        <v>6072</v>
      </c>
      <c r="AN90" s="172" t="s">
        <v>6073</v>
      </c>
      <c r="AO90" s="300" t="s">
        <v>6047</v>
      </c>
      <c r="AP90" s="156" t="s">
        <v>6074</v>
      </c>
      <c r="AQ90" s="154" t="s">
        <v>6075</v>
      </c>
      <c r="AR90" s="100" t="s">
        <v>6076</v>
      </c>
      <c r="AS90" s="300" t="s">
        <v>6047</v>
      </c>
      <c r="AT90" s="136" t="s">
        <v>6077</v>
      </c>
      <c r="AU90" s="154" t="s">
        <v>6078</v>
      </c>
      <c r="AV90" s="100" t="s">
        <v>6079</v>
      </c>
    </row>
    <row r="91">
      <c r="A91" s="300" t="s">
        <v>6080</v>
      </c>
      <c r="B91" s="140" t="s">
        <v>6081</v>
      </c>
      <c r="C91" s="139" t="s">
        <v>6082</v>
      </c>
      <c r="D91" s="97" t="s">
        <v>6083</v>
      </c>
      <c r="E91" s="300" t="s">
        <v>6080</v>
      </c>
      <c r="F91" s="140" t="s">
        <v>6084</v>
      </c>
      <c r="G91" s="139" t="s">
        <v>6085</v>
      </c>
      <c r="H91" s="97" t="s">
        <v>6086</v>
      </c>
      <c r="I91" s="300" t="s">
        <v>6080</v>
      </c>
      <c r="J91" s="140" t="s">
        <v>6087</v>
      </c>
      <c r="K91" s="139" t="s">
        <v>6088</v>
      </c>
      <c r="L91" s="97" t="s">
        <v>6089</v>
      </c>
      <c r="M91" s="300" t="s">
        <v>6080</v>
      </c>
      <c r="N91" s="140" t="s">
        <v>6081</v>
      </c>
      <c r="O91" s="139" t="s">
        <v>6090</v>
      </c>
      <c r="P91" s="97" t="s">
        <v>6091</v>
      </c>
      <c r="Q91" s="300" t="s">
        <v>6080</v>
      </c>
      <c r="R91" s="140" t="s">
        <v>6092</v>
      </c>
      <c r="S91" s="154" t="str">
        <f>IFERROR(__xludf.DUMMYFUNCTION("GOOGLETRANSLATE(C91,""zh-tw"",""es-MX"")"),"Habla con el tendero de la Tienda Misteriosa y dale un ""Salmón"".")</f>
        <v>Habla con el tendero de la Tienda Misteriosa y dale un "Salmón".</v>
      </c>
      <c r="T91" s="100" t="str">
        <f>IFERROR(__xludf.DUMMYFUNCTION("GOOGLETRANSLATE(D91,""zh-tw"",""es-MX"")"),"Precio de la máquina expendedora de dulces rebajado en $50
*El precio mínimo de la máquina expendedora de dulces es de $500")</f>
        <v>Precio de la máquina expendedora de dulces rebajado en $50
*El precio mínimo de la máquina expendedora de dulces es de $500</v>
      </c>
      <c r="U91" s="300" t="s">
        <v>6080</v>
      </c>
      <c r="V91" s="156" t="str">
        <f>IFERROR(__xludf.DUMMYFUNCTION("GOOGLETRANSLATE(B91,""zh-tw"",""KO"")"),"미스터리 쇼핑 - 2")</f>
        <v>미스터리 쇼핑 - 2</v>
      </c>
      <c r="W91" s="154" t="str">
        <f>IFERROR(__xludf.DUMMYFUNCTION("GOOGLETRANSLATE(C91,""zh-tw"",""KO"")"),"수수께끼의 가게 주인에게 말을 걸고 ""연어""를 주세요.")</f>
        <v>수수께끼의 가게 주인에게 말을 걸고 "연어"를 주세요.</v>
      </c>
      <c r="X91" s="100" t="str">
        <f>IFERROR(__xludf.DUMMYFUNCTION("GOOGLETRANSLATE(D91,""zh-tw"",""KO"")"),"사탕 자판기 가격이 50달러 인하되었습니다.
*사탕 자판기 최저 가격은 500달러입니다.")</f>
        <v>사탕 자판기 가격이 50달러 인하되었습니다.
*사탕 자판기 최저 가격은 500달러입니다.</v>
      </c>
      <c r="Y91" s="301" t="s">
        <v>6080</v>
      </c>
      <c r="Z91" s="145" t="s">
        <v>6093</v>
      </c>
      <c r="AA91" s="190" t="s">
        <v>6094</v>
      </c>
      <c r="AB91" s="166" t="s">
        <v>6095</v>
      </c>
      <c r="AC91" s="300" t="s">
        <v>6080</v>
      </c>
      <c r="AD91" s="230" t="s">
        <v>6096</v>
      </c>
      <c r="AE91" s="224" t="s">
        <v>6097</v>
      </c>
      <c r="AF91" s="85" t="s">
        <v>6098</v>
      </c>
      <c r="AG91" s="300" t="s">
        <v>6080</v>
      </c>
      <c r="AH91" s="140" t="s">
        <v>6099</v>
      </c>
      <c r="AI91" s="274" t="s">
        <v>6100</v>
      </c>
      <c r="AJ91" s="86" t="s">
        <v>6101</v>
      </c>
      <c r="AK91" s="300" t="s">
        <v>6080</v>
      </c>
      <c r="AL91" s="302" t="s">
        <v>6102</v>
      </c>
      <c r="AM91" s="169" t="s">
        <v>6103</v>
      </c>
      <c r="AN91" s="170" t="s">
        <v>6104</v>
      </c>
      <c r="AO91" s="300" t="s">
        <v>6080</v>
      </c>
      <c r="AP91" s="156" t="s">
        <v>6105</v>
      </c>
      <c r="AQ91" s="154" t="s">
        <v>6106</v>
      </c>
      <c r="AR91" s="100" t="s">
        <v>6107</v>
      </c>
      <c r="AS91" s="300" t="s">
        <v>6080</v>
      </c>
      <c r="AT91" s="136" t="s">
        <v>6108</v>
      </c>
      <c r="AU91" s="154" t="s">
        <v>6109</v>
      </c>
      <c r="AV91" s="100" t="s">
        <v>6110</v>
      </c>
    </row>
    <row r="92">
      <c r="A92" s="300" t="s">
        <v>6111</v>
      </c>
      <c r="B92" s="140" t="s">
        <v>6112</v>
      </c>
      <c r="C92" s="139" t="s">
        <v>6113</v>
      </c>
      <c r="D92" s="97" t="s">
        <v>6114</v>
      </c>
      <c r="E92" s="300" t="s">
        <v>6111</v>
      </c>
      <c r="F92" s="140" t="s">
        <v>6115</v>
      </c>
      <c r="G92" s="139" t="s">
        <v>6116</v>
      </c>
      <c r="H92" s="97" t="s">
        <v>6117</v>
      </c>
      <c r="I92" s="300" t="s">
        <v>6111</v>
      </c>
      <c r="J92" s="140" t="s">
        <v>6118</v>
      </c>
      <c r="K92" s="139" t="s">
        <v>6119</v>
      </c>
      <c r="L92" s="97" t="s">
        <v>6120</v>
      </c>
      <c r="M92" s="300" t="s">
        <v>6111</v>
      </c>
      <c r="N92" s="140" t="s">
        <v>6112</v>
      </c>
      <c r="O92" s="139" t="s">
        <v>6121</v>
      </c>
      <c r="P92" s="97" t="s">
        <v>6122</v>
      </c>
      <c r="Q92" s="300" t="s">
        <v>6111</v>
      </c>
      <c r="R92" s="140" t="s">
        <v>6123</v>
      </c>
      <c r="S92" s="154" t="str">
        <f>IFERROR(__xludf.DUMMYFUNCTION("GOOGLETRANSLATE(C92,""zh-tw"",""es-MX"")"),"Habla con el tendero de la Tienda Misteriosa y dale ""Salmón Rey"".")</f>
        <v>Habla con el tendero de la Tienda Misteriosa y dale "Salmón Rey".</v>
      </c>
      <c r="T92" s="100" t="str">
        <f>IFERROR(__xludf.DUMMYFUNCTION("GOOGLETRANSLATE(D92,""zh-tw"",""es-MX"")"),"Precio de la máquina expendedora de dulces rebajado en $500
Recibe: Pudín de sushi
*El precio mínimo de la máquina expendedora de dulces es de $500")</f>
        <v>Precio de la máquina expendedora de dulces rebajado en $500
Recibe: Pudín de sushi
*El precio mínimo de la máquina expendedora de dulces es de $500</v>
      </c>
      <c r="U92" s="300" t="s">
        <v>6111</v>
      </c>
      <c r="V92" s="156" t="str">
        <f>IFERROR(__xludf.DUMMYFUNCTION("GOOGLETRANSLATE(B92,""zh-tw"",""KO"")"),"미스터리 쇼핑 - 3")</f>
        <v>미스터리 쇼핑 - 3</v>
      </c>
      <c r="W92" s="154" t="str">
        <f>IFERROR(__xludf.DUMMYFUNCTION("GOOGLETRANSLATE(C92,""zh-tw"",""KO"")"),"신비의 상점 주인에게 말을 걸고 ""킹 연어""를 주세요.")</f>
        <v>신비의 상점 주인에게 말을 걸고 "킹 연어"를 주세요.</v>
      </c>
      <c r="X92" s="100" t="str">
        <f>IFERROR(__xludf.DUMMYFUNCTION("GOOGLETRANSLATE(D92,""zh-tw"",""KO"")"),"자판기 상품 최저가 500달러 인하
상품: 스시 푸딩
*자판기 상품 최저가는 500달러입니다")</f>
        <v>자판기 상품 최저가 500달러 인하
상품: 스시 푸딩
*자판기 상품 최저가는 500달러입니다</v>
      </c>
      <c r="Y92" s="301" t="s">
        <v>6111</v>
      </c>
      <c r="Z92" s="145" t="s">
        <v>6124</v>
      </c>
      <c r="AA92" s="190" t="s">
        <v>6125</v>
      </c>
      <c r="AB92" s="166" t="s">
        <v>6126</v>
      </c>
      <c r="AC92" s="300" t="s">
        <v>6111</v>
      </c>
      <c r="AD92" s="230" t="s">
        <v>6127</v>
      </c>
      <c r="AE92" s="224" t="s">
        <v>6128</v>
      </c>
      <c r="AF92" s="85" t="s">
        <v>6129</v>
      </c>
      <c r="AG92" s="300" t="s">
        <v>6111</v>
      </c>
      <c r="AH92" s="140" t="s">
        <v>6130</v>
      </c>
      <c r="AI92" s="274" t="s">
        <v>6131</v>
      </c>
      <c r="AJ92" s="86" t="s">
        <v>6132</v>
      </c>
      <c r="AK92" s="300" t="s">
        <v>6111</v>
      </c>
      <c r="AL92" s="302" t="s">
        <v>6133</v>
      </c>
      <c r="AM92" s="169" t="s">
        <v>6134</v>
      </c>
      <c r="AN92" s="172" t="s">
        <v>6135</v>
      </c>
      <c r="AO92" s="300" t="s">
        <v>6111</v>
      </c>
      <c r="AP92" s="156" t="s">
        <v>6136</v>
      </c>
      <c r="AQ92" s="154" t="s">
        <v>6137</v>
      </c>
      <c r="AR92" s="100" t="s">
        <v>6138</v>
      </c>
      <c r="AS92" s="300" t="s">
        <v>6111</v>
      </c>
      <c r="AT92" s="136" t="s">
        <v>6139</v>
      </c>
      <c r="AU92" s="154" t="s">
        <v>6140</v>
      </c>
      <c r="AV92" s="100" t="s">
        <v>6141</v>
      </c>
    </row>
    <row r="93">
      <c r="A93" s="300" t="s">
        <v>6142</v>
      </c>
      <c r="B93" s="140" t="s">
        <v>6143</v>
      </c>
      <c r="C93" s="139" t="s">
        <v>6144</v>
      </c>
      <c r="D93" s="97" t="s">
        <v>6145</v>
      </c>
      <c r="E93" s="300" t="s">
        <v>6142</v>
      </c>
      <c r="F93" s="140" t="s">
        <v>6146</v>
      </c>
      <c r="G93" s="139" t="s">
        <v>6147</v>
      </c>
      <c r="H93" s="97" t="s">
        <v>6148</v>
      </c>
      <c r="I93" s="300" t="s">
        <v>6142</v>
      </c>
      <c r="J93" s="140" t="s">
        <v>6149</v>
      </c>
      <c r="K93" s="139" t="s">
        <v>6150</v>
      </c>
      <c r="L93" s="97" t="s">
        <v>6151</v>
      </c>
      <c r="M93" s="300" t="s">
        <v>6142</v>
      </c>
      <c r="N93" s="140" t="s">
        <v>6143</v>
      </c>
      <c r="O93" s="139" t="s">
        <v>6152</v>
      </c>
      <c r="P93" s="97" t="s">
        <v>6153</v>
      </c>
      <c r="Q93" s="300" t="s">
        <v>6142</v>
      </c>
      <c r="R93" s="140" t="s">
        <v>6154</v>
      </c>
      <c r="S93" s="154" t="str">
        <f>IFERROR(__xludf.DUMMYFUNCTION("GOOGLETRANSLATE(C93,""zh-tw"",""es-MX"")"),"Habla con el tendero de la Tienda Misteriosa y ""no le des"" el salmón.")</f>
        <v>Habla con el tendero de la Tienda Misteriosa y "no le des" el salmón.</v>
      </c>
      <c r="T93" s="100" t="str">
        <f>IFERROR(__xludf.DUMMYFUNCTION("GOOGLETRANSLATE(D93,""zh-tw"",""es-MX"")"),"Estado: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93" s="300" t="s">
        <v>6142</v>
      </c>
      <c r="V93" s="156" t="str">
        <f>IFERROR(__xludf.DUMMYFUNCTION("GOOGLETRANSLATE(B93,""zh-tw"",""KO"")"),"미스터리 쇼핑 - 4")</f>
        <v>미스터리 쇼핑 - 4</v>
      </c>
      <c r="W93" s="154" t="str">
        <f>IFERROR(__xludf.DUMMYFUNCTION("GOOGLETRANSLATE(C93,""zh-tw"",""KO"")"),"수수께끼의 가게 주인에게 말을 걸되 연어를 ""주지 마세요"".")</f>
        <v>수수께끼의 가게 주인에게 말을 걸되 연어를 "주지 마세요".</v>
      </c>
      <c r="X93" s="100" t="str">
        <f>IFERROR(__xludf.DUMMYFUNCTION("GOOGLETRANSLATE(D93,""zh-tw"",""KO"")"),"상태: 저주받음
오빠의 성기가 빛나고 있다.
현재, 그와 여동생이 함께 목욕하며 나란히 앉아 있을 때만 특별한 현상이 발생한다.")</f>
        <v>상태: 저주받음
오빠의 성기가 빛나고 있다.
현재, 그와 여동생이 함께 목욕하며 나란히 앉아 있을 때만 특별한 현상이 발생한다.</v>
      </c>
      <c r="Y93" s="301" t="s">
        <v>6142</v>
      </c>
      <c r="Z93" s="145" t="s">
        <v>6155</v>
      </c>
      <c r="AA93" s="190" t="s">
        <v>6156</v>
      </c>
      <c r="AB93" s="166" t="s">
        <v>6157</v>
      </c>
      <c r="AC93" s="300" t="s">
        <v>6142</v>
      </c>
      <c r="AD93" s="230" t="s">
        <v>6158</v>
      </c>
      <c r="AE93" s="224" t="s">
        <v>6159</v>
      </c>
      <c r="AF93" s="85" t="s">
        <v>6160</v>
      </c>
      <c r="AG93" s="300" t="s">
        <v>6142</v>
      </c>
      <c r="AH93" s="140" t="s">
        <v>6161</v>
      </c>
      <c r="AI93" s="274" t="s">
        <v>6162</v>
      </c>
      <c r="AJ93" s="86" t="s">
        <v>6163</v>
      </c>
      <c r="AK93" s="300" t="s">
        <v>6142</v>
      </c>
      <c r="AL93" s="302" t="s">
        <v>6164</v>
      </c>
      <c r="AM93" s="169" t="s">
        <v>6165</v>
      </c>
      <c r="AN93" s="172" t="s">
        <v>6166</v>
      </c>
      <c r="AO93" s="300" t="s">
        <v>6142</v>
      </c>
      <c r="AP93" s="156" t="s">
        <v>6167</v>
      </c>
      <c r="AQ93" s="154" t="s">
        <v>6150</v>
      </c>
      <c r="AR93" s="100" t="s">
        <v>6151</v>
      </c>
      <c r="AS93" s="300" t="s">
        <v>6142</v>
      </c>
      <c r="AT93" s="136" t="s">
        <v>6168</v>
      </c>
      <c r="AU93" s="154" t="s">
        <v>6169</v>
      </c>
      <c r="AV93" s="100" t="s">
        <v>6170</v>
      </c>
    </row>
    <row r="94">
      <c r="A94" s="300" t="s">
        <v>6171</v>
      </c>
      <c r="B94" s="140" t="s">
        <v>6172</v>
      </c>
      <c r="C94" s="139" t="s">
        <v>6173</v>
      </c>
      <c r="D94" s="97" t="s">
        <v>6174</v>
      </c>
      <c r="E94" s="300" t="s">
        <v>6171</v>
      </c>
      <c r="F94" s="140" t="s">
        <v>6175</v>
      </c>
      <c r="G94" s="139" t="s">
        <v>6176</v>
      </c>
      <c r="H94" s="97" t="s">
        <v>6177</v>
      </c>
      <c r="I94" s="300" t="s">
        <v>6171</v>
      </c>
      <c r="J94" s="140" t="s">
        <v>6178</v>
      </c>
      <c r="K94" s="139" t="s">
        <v>6179</v>
      </c>
      <c r="L94" s="97" t="s">
        <v>6180</v>
      </c>
      <c r="M94" s="300" t="s">
        <v>6171</v>
      </c>
      <c r="N94" s="140" t="s">
        <v>6172</v>
      </c>
      <c r="O94" s="139" t="s">
        <v>6181</v>
      </c>
      <c r="P94" s="97" t="s">
        <v>6182</v>
      </c>
      <c r="Q94" s="300" t="s">
        <v>6171</v>
      </c>
      <c r="R94" s="140" t="s">
        <v>6183</v>
      </c>
      <c r="S94" s="154" t="str">
        <f>IFERROR(__xludf.DUMMYFUNCTION("GOOGLETRANSLATE(C94,""zh-tw"",""es-MX"")"),"Como continuación del punto anterior, dárselo a un salmón rey puede eliminar la maldición.")</f>
        <v>Como continuación del punto anterior, dárselo a un salmón rey puede eliminar la maldición.</v>
      </c>
      <c r="T94" s="100" t="str">
        <f>IFERROR(__xludf.DUMMYFUNCTION("GOOGLETRANSLATE(D94,""zh-tw"",""es-MX"")"),"Eliminar la maldición")</f>
        <v>Eliminar la maldición</v>
      </c>
      <c r="U94" s="300" t="s">
        <v>6171</v>
      </c>
      <c r="V94" s="156" t="str">
        <f>IFERROR(__xludf.DUMMYFUNCTION("GOOGLETRANSLATE(B94,""zh-tw"",""KO"")"),"미스터리 쇼핑 - 5")</f>
        <v>미스터리 쇼핑 - 5</v>
      </c>
      <c r="W94" s="154" t="str">
        <f>IFERROR(__xludf.DUMMYFUNCTION("GOOGLETRANSLATE(C94,""zh-tw"",""KO"")"),"앞서 언급한 내용에 이어서, 왕연어에게 주면 저주가 풀립니다.")</f>
        <v>앞서 언급한 내용에 이어서, 왕연어에게 주면 저주가 풀립니다.</v>
      </c>
      <c r="X94" s="100" t="str">
        <f>IFERROR(__xludf.DUMMYFUNCTION("GOOGLETRANSLATE(D94,""zh-tw"",""KO"")"),"저주를 풀어주세요")</f>
        <v>저주를 풀어주세요</v>
      </c>
      <c r="Y94" s="301" t="s">
        <v>6171</v>
      </c>
      <c r="Z94" s="145" t="s">
        <v>6184</v>
      </c>
      <c r="AA94" s="190" t="s">
        <v>6185</v>
      </c>
      <c r="AB94" s="166" t="s">
        <v>6186</v>
      </c>
      <c r="AC94" s="300" t="s">
        <v>6171</v>
      </c>
      <c r="AD94" s="230" t="s">
        <v>6187</v>
      </c>
      <c r="AE94" s="224" t="s">
        <v>6188</v>
      </c>
      <c r="AF94" s="85" t="s">
        <v>6189</v>
      </c>
      <c r="AG94" s="300" t="s">
        <v>6171</v>
      </c>
      <c r="AH94" s="140" t="s">
        <v>6190</v>
      </c>
      <c r="AI94" s="274" t="s">
        <v>6191</v>
      </c>
      <c r="AJ94" s="86" t="s">
        <v>6192</v>
      </c>
      <c r="AK94" s="300" t="s">
        <v>6171</v>
      </c>
      <c r="AL94" s="302" t="s">
        <v>6193</v>
      </c>
      <c r="AM94" s="169" t="s">
        <v>6194</v>
      </c>
      <c r="AN94" s="172" t="s">
        <v>6195</v>
      </c>
      <c r="AO94" s="300" t="s">
        <v>6171</v>
      </c>
      <c r="AP94" s="156" t="s">
        <v>6196</v>
      </c>
      <c r="AQ94" s="154" t="s">
        <v>6197</v>
      </c>
      <c r="AR94" s="100" t="s">
        <v>6198</v>
      </c>
      <c r="AS94" s="300" t="s">
        <v>6171</v>
      </c>
      <c r="AT94" s="136" t="s">
        <v>6199</v>
      </c>
      <c r="AU94" s="154" t="s">
        <v>6200</v>
      </c>
      <c r="AV94" s="100" t="s">
        <v>6201</v>
      </c>
    </row>
    <row r="95">
      <c r="A95" s="300" t="s">
        <v>6202</v>
      </c>
      <c r="B95" s="140" t="s">
        <v>6203</v>
      </c>
      <c r="C95" s="139" t="s">
        <v>6204</v>
      </c>
      <c r="D95" s="97" t="s">
        <v>6205</v>
      </c>
      <c r="E95" s="300" t="s">
        <v>6202</v>
      </c>
      <c r="F95" s="140" t="s">
        <v>6206</v>
      </c>
      <c r="G95" s="139" t="s">
        <v>6207</v>
      </c>
      <c r="H95" s="97" t="s">
        <v>6208</v>
      </c>
      <c r="I95" s="300" t="s">
        <v>6202</v>
      </c>
      <c r="J95" s="140" t="s">
        <v>6209</v>
      </c>
      <c r="K95" s="139" t="s">
        <v>6210</v>
      </c>
      <c r="L95" s="97" t="s">
        <v>6211</v>
      </c>
      <c r="M95" s="300" t="s">
        <v>6202</v>
      </c>
      <c r="N95" s="140" t="s">
        <v>6212</v>
      </c>
      <c r="O95" s="139" t="s">
        <v>6213</v>
      </c>
      <c r="P95" s="97" t="s">
        <v>6214</v>
      </c>
      <c r="Q95" s="300" t="s">
        <v>6202</v>
      </c>
      <c r="R95" s="156" t="s">
        <v>6215</v>
      </c>
      <c r="S95" s="154" t="str">
        <f>IFERROR(__xludf.DUMMYFUNCTION("GOOGLETRANSLATE(C95,""zh-tw"",""es-MX"")"),"Tras completar el diálogo y al volver a encontrarte con la tienda, es posible que encuentres bollos de agua entre los artículos.")</f>
        <v>Tras completar el diálogo y al volver a encontrarte con la tienda, es posible que encuentres bollos de agua entre los artículos.</v>
      </c>
      <c r="T95" s="100" t="str">
        <f>IFERROR(__xludf.DUMMYFUNCTION("GOOGLETRANSLATE(D95,""zh-tw"",""es-MX"")"),"Compra el producto para recibir ""Panecillos al vapor súper suaves y masticables para piel sensible"".")</f>
        <v>Compra el producto para recibir "Panecillos al vapor súper suaves y masticables para piel sensible".</v>
      </c>
      <c r="U95" s="300" t="s">
        <v>6202</v>
      </c>
      <c r="V95" s="156" t="str">
        <f>IFERROR(__xludf.DUMMYFUNCTION("GOOGLETRANSLATE(B95,""zh-tw"",""KO"")"),"미스터리 쇼핑 - 6")</f>
        <v>미스터리 쇼핑 - 6</v>
      </c>
      <c r="W95" s="154" t="str">
        <f>IFERROR(__xludf.DUMMYFUNCTION("GOOGLETRANSLATE(C95,""zh-tw"",""KO"")"),"대화를 마친 후, 상점을 두 번째로 마주쳤을 때 물빵을 아이템으로 발견할 수 있습니다.")</f>
        <v>대화를 마친 후, 상점을 두 번째로 마주쳤을 때 물빵을 아이템으로 발견할 수 있습니다.</v>
      </c>
      <c r="X95" s="100" t="str">
        <f>IFERROR(__xludf.DUMMYFUNCTION("GOOGLETRANSLATE(D95,""zh-tw"",""KO"")"),"구매하시면 ""매우 부드럽고 쫄깃한 찐빵""을 드립니다.")</f>
        <v>구매하시면 "매우 부드럽고 쫄깃한 찐빵"을 드립니다.</v>
      </c>
      <c r="Y95" s="301" t="s">
        <v>6202</v>
      </c>
      <c r="Z95" s="145" t="s">
        <v>6216</v>
      </c>
      <c r="AA95" s="190" t="s">
        <v>6217</v>
      </c>
      <c r="AB95" s="166" t="s">
        <v>6218</v>
      </c>
      <c r="AC95" s="300" t="s">
        <v>6202</v>
      </c>
      <c r="AD95" s="230" t="s">
        <v>6219</v>
      </c>
      <c r="AE95" s="224" t="s">
        <v>6220</v>
      </c>
      <c r="AF95" s="85" t="s">
        <v>6221</v>
      </c>
      <c r="AG95" s="300" t="s">
        <v>6202</v>
      </c>
      <c r="AH95" s="140" t="s">
        <v>6222</v>
      </c>
      <c r="AI95" s="274" t="s">
        <v>6223</v>
      </c>
      <c r="AJ95" s="86" t="s">
        <v>6224</v>
      </c>
      <c r="AK95" s="300" t="s">
        <v>6202</v>
      </c>
      <c r="AL95" s="302" t="s">
        <v>6225</v>
      </c>
      <c r="AM95" s="169" t="s">
        <v>6226</v>
      </c>
      <c r="AN95" s="172" t="s">
        <v>6227</v>
      </c>
      <c r="AO95" s="300" t="s">
        <v>6202</v>
      </c>
      <c r="AP95" s="156" t="s">
        <v>6228</v>
      </c>
      <c r="AQ95" s="154" t="s">
        <v>6229</v>
      </c>
      <c r="AR95" s="100" t="s">
        <v>6230</v>
      </c>
      <c r="AS95" s="300" t="s">
        <v>6202</v>
      </c>
      <c r="AT95" s="136" t="s">
        <v>6231</v>
      </c>
      <c r="AU95" s="154" t="s">
        <v>6232</v>
      </c>
      <c r="AV95" s="100" t="s">
        <v>6233</v>
      </c>
    </row>
    <row r="96">
      <c r="A96" s="300" t="s">
        <v>6234</v>
      </c>
      <c r="B96" s="140" t="s">
        <v>6235</v>
      </c>
      <c r="C96" s="139" t="s">
        <v>6236</v>
      </c>
      <c r="D96" s="97" t="s">
        <v>6237</v>
      </c>
      <c r="E96" s="300" t="s">
        <v>6234</v>
      </c>
      <c r="F96" s="140" t="s">
        <v>6238</v>
      </c>
      <c r="G96" s="139" t="s">
        <v>6239</v>
      </c>
      <c r="H96" s="97" t="s">
        <v>6240</v>
      </c>
      <c r="I96" s="300" t="s">
        <v>6234</v>
      </c>
      <c r="J96" s="140" t="s">
        <v>6241</v>
      </c>
      <c r="K96" s="139" t="s">
        <v>6242</v>
      </c>
      <c r="L96" s="97" t="s">
        <v>6243</v>
      </c>
      <c r="M96" s="300" t="s">
        <v>6234</v>
      </c>
      <c r="N96" s="140" t="s">
        <v>6235</v>
      </c>
      <c r="O96" s="139" t="s">
        <v>6244</v>
      </c>
      <c r="P96" s="97" t="s">
        <v>6245</v>
      </c>
      <c r="Q96" s="300" t="s">
        <v>6234</v>
      </c>
      <c r="R96" s="156" t="s">
        <v>6246</v>
      </c>
      <c r="S96" s="154" t="str">
        <f>IFERROR(__xludf.DUMMYFUNCTION("GOOGLETRANSLATE(C96,""zh-tw"",""es-MX"")"),"Tras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96" s="100" t="str">
        <f>IFERROR(__xludf.DUMMYFUNCTION("GOOGLETRANSLATE(D96,""zh-tw"",""es-MX"")"),"Obtén el artículo ""Líquido de médula roja""")</f>
        <v>Obtén el artículo "Líquido de médula roja"</v>
      </c>
      <c r="U96" s="300" t="s">
        <v>6234</v>
      </c>
      <c r="V96" s="156" t="str">
        <f>IFERROR(__xludf.DUMMYFUNCTION("GOOGLETRANSLATE(B96,""zh-tw"",""KO"")"),"천상의 돌 조각 1")</f>
        <v>천상의 돌 조각 1</v>
      </c>
      <c r="W96" s="154" t="str">
        <f>IFERROR(__xludf.DUMMYFUNCTION("GOOGLETRANSLATE(C96,""zh-tw"",""KO"")"),"유적 3층의 보스를 물리치고 아이템을 획득한 후, ""스타 게이트""를 이용해 집으로 돌아가면 이벤트가 발생합니다.")</f>
        <v>유적 3층의 보스를 물리치고 아이템을 획득한 후, "스타 게이트"를 이용해 집으로 돌아가면 이벤트가 발생합니다.</v>
      </c>
      <c r="X96" s="100" t="str">
        <f>IFERROR(__xludf.DUMMYFUNCTION("GOOGLETRANSLATE(D96,""zh-tw"",""KO"")"),"""적골수액"" 아이템을 획득하세요.")</f>
        <v>"적골수액" 아이템을 획득하세요.</v>
      </c>
      <c r="Y96" s="301" t="s">
        <v>6234</v>
      </c>
      <c r="Z96" s="145" t="s">
        <v>6247</v>
      </c>
      <c r="AA96" s="190" t="s">
        <v>6248</v>
      </c>
      <c r="AB96" s="166" t="s">
        <v>6249</v>
      </c>
      <c r="AC96" s="300" t="s">
        <v>6234</v>
      </c>
      <c r="AD96" s="175" t="s">
        <v>6250</v>
      </c>
      <c r="AE96" s="224" t="s">
        <v>6251</v>
      </c>
      <c r="AF96" s="85" t="s">
        <v>6252</v>
      </c>
      <c r="AG96" s="300" t="s">
        <v>6234</v>
      </c>
      <c r="AH96" s="140" t="s">
        <v>6253</v>
      </c>
      <c r="AI96" s="274" t="s">
        <v>6254</v>
      </c>
      <c r="AJ96" s="86" t="s">
        <v>6255</v>
      </c>
      <c r="AK96" s="300" t="s">
        <v>6234</v>
      </c>
      <c r="AL96" s="302" t="s">
        <v>6256</v>
      </c>
      <c r="AM96" s="169" t="s">
        <v>6257</v>
      </c>
      <c r="AN96" s="172" t="s">
        <v>6258</v>
      </c>
      <c r="AO96" s="300" t="s">
        <v>6234</v>
      </c>
      <c r="AP96" s="156" t="s">
        <v>6259</v>
      </c>
      <c r="AQ96" s="154" t="s">
        <v>6260</v>
      </c>
      <c r="AR96" s="100" t="s">
        <v>6261</v>
      </c>
      <c r="AS96" s="300" t="s">
        <v>6234</v>
      </c>
      <c r="AT96" s="136" t="s">
        <v>6262</v>
      </c>
      <c r="AU96" s="154" t="s">
        <v>6263</v>
      </c>
      <c r="AV96" s="100" t="s">
        <v>6264</v>
      </c>
    </row>
    <row r="97">
      <c r="A97" s="300" t="s">
        <v>6265</v>
      </c>
      <c r="B97" s="140" t="s">
        <v>6266</v>
      </c>
      <c r="C97" s="139" t="s">
        <v>6267</v>
      </c>
      <c r="D97" s="97" t="s">
        <v>6268</v>
      </c>
      <c r="E97" s="300" t="s">
        <v>6265</v>
      </c>
      <c r="F97" s="140" t="s">
        <v>6269</v>
      </c>
      <c r="G97" s="139" t="s">
        <v>6270</v>
      </c>
      <c r="H97" s="97" t="s">
        <v>6271</v>
      </c>
      <c r="I97" s="300" t="s">
        <v>6265</v>
      </c>
      <c r="J97" s="140" t="s">
        <v>6272</v>
      </c>
      <c r="K97" s="139" t="s">
        <v>6273</v>
      </c>
      <c r="L97" s="97" t="s">
        <v>6274</v>
      </c>
      <c r="M97" s="300" t="s">
        <v>6265</v>
      </c>
      <c r="N97" s="140" t="s">
        <v>6266</v>
      </c>
      <c r="O97" s="139" t="s">
        <v>6275</v>
      </c>
      <c r="P97" s="97" t="s">
        <v>6276</v>
      </c>
      <c r="Q97" s="300" t="s">
        <v>6265</v>
      </c>
      <c r="R97" s="156" t="s">
        <v>6277</v>
      </c>
      <c r="S97" s="154" t="str">
        <f>IFERROR(__xludf.DUMMYFUNCTION("GOOGLETRANSLATE(C97,""zh-tw"",""es-MX"")"),"El hermano mayor puede beber este objeto y obtener el efecto de estado.")</f>
        <v>El hermano mayor puede beber este objeto y obtener el efecto de estado.</v>
      </c>
      <c r="T97" s="100" t="str">
        <f>IFERROR(__xludf.DUMMYFUNCTION("GOOGLETRANSLATE(D97,""zh-tw"",""es-MX"")"),"Ganando estatus
*Se desarrollan diferentes tramas dependiendo de si la bebida se consume antes o después de curar a la hermana.")</f>
        <v>Ganando estatus
*Se desarrollan diferentes tramas dependiendo de si la bebida se consume antes o después de curar a la hermana.</v>
      </c>
      <c r="U97" s="300" t="s">
        <v>6265</v>
      </c>
      <c r="V97" s="156" t="str">
        <f>IFERROR(__xludf.DUMMYFUNCTION("GOOGLETRANSLATE(B97,""zh-tw"",""KO"")"),"천상의 돌 조각 2")</f>
        <v>천상의 돌 조각 2</v>
      </c>
      <c r="W97" s="154" t="str">
        <f>IFERROR(__xludf.DUMMYFUNCTION("GOOGLETRANSLATE(C97,""zh-tw"",""KO"")"),"형은 이 아이템을 마시면 상태 효과를 얻을 수 있습니다.")</f>
        <v>형은 이 아이템을 마시면 상태 효과를 얻을 수 있습니다.</v>
      </c>
      <c r="X97" s="100" t="str">
        <f>IFERROR(__xludf.DUMMYFUNCTION("GOOGLETRANSLATE(D97,""zh-tw"",""KO"")"),"지위 상승
*여동생을 치료하기 전 또는 후에 음료를 마시는지에 따라 스토리가 달라집니다.")</f>
        <v>지위 상승
*여동생을 치료하기 전 또는 후에 음료를 마시는지에 따라 스토리가 달라집니다.</v>
      </c>
      <c r="Y97" s="301" t="s">
        <v>6265</v>
      </c>
      <c r="Z97" s="145" t="s">
        <v>6278</v>
      </c>
      <c r="AA97" s="190" t="s">
        <v>6279</v>
      </c>
      <c r="AB97" s="166" t="s">
        <v>6280</v>
      </c>
      <c r="AC97" s="300" t="s">
        <v>6265</v>
      </c>
      <c r="AD97" s="175" t="s">
        <v>6281</v>
      </c>
      <c r="AE97" s="224" t="s">
        <v>6282</v>
      </c>
      <c r="AF97" s="85" t="s">
        <v>6283</v>
      </c>
      <c r="AG97" s="300" t="s">
        <v>6265</v>
      </c>
      <c r="AH97" s="140" t="s">
        <v>6284</v>
      </c>
      <c r="AI97" s="274" t="s">
        <v>6285</v>
      </c>
      <c r="AJ97" s="86" t="s">
        <v>6286</v>
      </c>
      <c r="AK97" s="300" t="s">
        <v>6265</v>
      </c>
      <c r="AL97" s="302" t="s">
        <v>6287</v>
      </c>
      <c r="AM97" s="169" t="s">
        <v>6288</v>
      </c>
      <c r="AN97" s="172" t="s">
        <v>6289</v>
      </c>
      <c r="AO97" s="300" t="s">
        <v>6265</v>
      </c>
      <c r="AP97" s="156" t="s">
        <v>6290</v>
      </c>
      <c r="AQ97" s="154" t="s">
        <v>6291</v>
      </c>
      <c r="AR97" s="100" t="s">
        <v>6292</v>
      </c>
      <c r="AS97" s="300" t="s">
        <v>6265</v>
      </c>
      <c r="AT97" s="136" t="s">
        <v>6293</v>
      </c>
      <c r="AU97" s="154" t="s">
        <v>6294</v>
      </c>
      <c r="AV97" s="100" t="s">
        <v>6295</v>
      </c>
    </row>
    <row r="98">
      <c r="A98" s="300" t="s">
        <v>6296</v>
      </c>
      <c r="B98" s="136" t="s">
        <v>6297</v>
      </c>
      <c r="C98" s="137" t="s">
        <v>6298</v>
      </c>
      <c r="D98" s="138" t="s">
        <v>6299</v>
      </c>
      <c r="E98" s="300" t="s">
        <v>6296</v>
      </c>
      <c r="F98" s="136" t="s">
        <v>6300</v>
      </c>
      <c r="G98" s="137" t="s">
        <v>6301</v>
      </c>
      <c r="H98" s="138" t="s">
        <v>6302</v>
      </c>
      <c r="I98" s="300" t="s">
        <v>6296</v>
      </c>
      <c r="J98" s="136" t="s">
        <v>6303</v>
      </c>
      <c r="K98" s="137" t="s">
        <v>6304</v>
      </c>
      <c r="L98" s="138" t="s">
        <v>6305</v>
      </c>
      <c r="M98" s="300" t="s">
        <v>6296</v>
      </c>
      <c r="N98" s="136" t="s">
        <v>6306</v>
      </c>
      <c r="O98" s="139" t="s">
        <v>6307</v>
      </c>
      <c r="P98" s="100" t="s">
        <v>6308</v>
      </c>
      <c r="Q98" s="300" t="s">
        <v>6296</v>
      </c>
      <c r="R98" s="156" t="s">
        <v>6309</v>
      </c>
      <c r="S98" s="139" t="s">
        <v>5778</v>
      </c>
      <c r="T98" s="100" t="str">
        <f>IFERROR(__xludf.DUMMYFUNCTION("GOOGLETRANSLATE(D98,""zh-tw"",""es-MX"")"),"Interactúa con el carrito de la chica gato.
¡No tomes los artículos inmediatamente! ¡Hacerlo se considerará robo!")</f>
        <v>Interactúa con el carrito de la chica gato.
¡No tomes los artículos inmediatamente! ¡Hacerlo se considerará robo!</v>
      </c>
      <c r="U98" s="300" t="s">
        <v>6296</v>
      </c>
      <c r="V98" s="156" t="str">
        <f>IFERROR(__xludf.DUMMYFUNCTION("GOOGLETRANSLATE(B98,""zh-tw"",""KO"")"),"샵 트럭-1")</f>
        <v>샵 트럭-1</v>
      </c>
      <c r="W98" s="154" t="str">
        <f>IFERROR(__xludf.DUMMYFUNCTION("GOOGLETRANSLATE(C98,""zh-tw"",""KO"")"),"지도상에서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98" s="100" t="str">
        <f>IFERROR(__xludf.DUMMYFUNCTION("GOOGLETRANSLATE(D98,""zh-tw"",""KO"")"),"고양이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98" s="301" t="s">
        <v>6296</v>
      </c>
      <c r="Z98" s="145" t="s">
        <v>6310</v>
      </c>
      <c r="AA98" s="345" t="s">
        <v>6311</v>
      </c>
      <c r="AB98" s="166" t="s">
        <v>6312</v>
      </c>
      <c r="AC98" s="300" t="s">
        <v>6296</v>
      </c>
      <c r="AD98" s="240" t="s">
        <v>6313</v>
      </c>
      <c r="AE98" s="224" t="s">
        <v>6314</v>
      </c>
      <c r="AF98" s="85" t="s">
        <v>6315</v>
      </c>
      <c r="AG98" s="300" t="s">
        <v>6296</v>
      </c>
      <c r="AH98" s="136" t="s">
        <v>6316</v>
      </c>
      <c r="AI98" s="137" t="s">
        <v>6317</v>
      </c>
      <c r="AJ98" s="138" t="s">
        <v>6318</v>
      </c>
      <c r="AK98" s="300" t="s">
        <v>6296</v>
      </c>
      <c r="AL98" s="356" t="s">
        <v>6319</v>
      </c>
      <c r="AM98" s="150" t="s">
        <v>6320</v>
      </c>
      <c r="AN98" s="89" t="s">
        <v>6321</v>
      </c>
      <c r="AO98" s="300" t="s">
        <v>6296</v>
      </c>
      <c r="AP98" s="156" t="s">
        <v>6322</v>
      </c>
      <c r="AQ98" s="137" t="s">
        <v>6323</v>
      </c>
      <c r="AR98" s="138" t="s">
        <v>6324</v>
      </c>
      <c r="AS98" s="300" t="s">
        <v>6296</v>
      </c>
      <c r="AT98" s="140" t="s">
        <v>6325</v>
      </c>
      <c r="AU98" s="154" t="s">
        <v>6326</v>
      </c>
      <c r="AV98" s="100" t="s">
        <v>6327</v>
      </c>
    </row>
    <row r="99" ht="396.0" customHeight="1">
      <c r="A99" s="300" t="s">
        <v>6328</v>
      </c>
      <c r="B99" s="136" t="s">
        <v>6329</v>
      </c>
      <c r="C99" s="137" t="s">
        <v>6330</v>
      </c>
      <c r="D99" s="138" t="s">
        <v>6331</v>
      </c>
      <c r="E99" s="300" t="s">
        <v>6328</v>
      </c>
      <c r="F99" s="136" t="s">
        <v>6332</v>
      </c>
      <c r="G99" s="137" t="s">
        <v>6333</v>
      </c>
      <c r="H99" s="138" t="s">
        <v>6334</v>
      </c>
      <c r="I99" s="300" t="s">
        <v>6328</v>
      </c>
      <c r="J99" s="136" t="s">
        <v>6335</v>
      </c>
      <c r="K99" s="137" t="s">
        <v>6336</v>
      </c>
      <c r="L99" s="97" t="s">
        <v>6337</v>
      </c>
      <c r="M99" s="300" t="s">
        <v>6328</v>
      </c>
      <c r="N99" s="136" t="s">
        <v>6338</v>
      </c>
      <c r="O99" s="154" t="s">
        <v>6339</v>
      </c>
      <c r="P99" s="97" t="s">
        <v>6340</v>
      </c>
      <c r="Q99" s="300" t="s">
        <v>6328</v>
      </c>
      <c r="R99" s="156" t="s">
        <v>6341</v>
      </c>
      <c r="S99" s="139" t="s">
        <v>5778</v>
      </c>
      <c r="T99" s="100" t="str">
        <f>IFERROR(__xludf.DUMMYFUNCTION("GOOGLETRANSLATE(D99,""zh-tw"",""es-MX"")"),"Advertencia: Catgirl Asaba es extremadamente poderosa y normalmente invencible. Por lo tanto, no la desafíes antes de guardar la partida.
Elegir ""Escabullirse"" resultará en un ataque (Nota: Incluso usando el dispositivo de detención del tiempo, te dete"&amp;"ctará).
Los jugadores deben llevar el objeto fuera del mapa actual para robarlo. Lanzar el objeto al Portal Estelar también cuenta como robarlo. Puedes robar varios objetos simultáneamente.
Si Asaba te derriba mientras llevas el objeto, este será recupe"&amp;"rado y se te impondrá una multa.
Puedes soltar el objeto intencionalmente mientras lo llevas para evitar la multa, pero esto no eliminará la atención de Asaba.
Derrotar a Asaba no conlleva multa.
*Consulta los CONSEJOS para obtener más detalles sobre l"&amp;"as multas.")</f>
        <v>Advertencia: Catgirl Asaba es extremadamente poderosa y normalmente invencible. Por lo tanto, no la desafíes antes de guardar la partida.
Elegir "Escabullirse" resultará en un ataque (Nota: Incluso usando el dispositivo de detención del tiempo, te detectará).
Los jugadores deben llevar el objeto fuera del mapa actual para robarlo. Lanzar el objeto al Portal Estelar también cuenta como robarlo. Puedes robar varios objetos simultáneamente.
Si Asaba te derriba mientras llevas el objeto, este será recuperado y se te impondrá una multa.
Puedes soltar el objeto intencionalmente mientras lo llevas para evitar la multa, pero esto no eliminará la atención de Asaba.
Derrotar a Asaba no conlleva multa.
*Consulta los CONSEJOS para obtener más detalles sobre las multas.</v>
      </c>
      <c r="U99" s="300" t="s">
        <v>6328</v>
      </c>
      <c r="V99" s="156" t="str">
        <f>IFERROR(__xludf.DUMMYFUNCTION("GOOGLETRANSLATE(B99,""zh-tw"",""KO"")"),"샵 트럭-2")</f>
        <v>샵 트럭-2</v>
      </c>
      <c r="W99" s="154" t="str">
        <f>IFERROR(__xludf.DUMMYFUNCTION("GOOGLETRANSLATE(C99,""zh-tw"",""KO"")"),"쇼핑 카트에서 물건을 훔치는 행위")</f>
        <v>쇼핑 카트에서 물건을 훔치는 행위</v>
      </c>
      <c r="X99" s="100" t="str">
        <f>IFERROR(__xludf.DUMMYFUNCTION("GOOGLETRANSLATE(D99,""zh-tw"",""KO"")"),"경고: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쓰러지면 아이"&amp;"템을 되찾고 벌금을 내야 합니다.
벌금을 피하려면 일부러 아이템을 떨어뜨릴 수 있지만, 아사바의 적대감은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쓰러지면 아이템을 되찾고 벌금을 내야 합니다.
벌금을 피하려면 일부러 아이템을 떨어뜨릴 수 있지만, 아사바의 적대감은 사라지지 않습니다.
아사바를 쓰러뜨리면 벌금이 부과되지 않습니다.
*벌금에 대한 자세한 내용은 팁을 참조하십시오.</v>
      </c>
      <c r="Y99" s="301" t="s">
        <v>6328</v>
      </c>
      <c r="Z99" s="145" t="s">
        <v>6342</v>
      </c>
      <c r="AA99" s="190" t="s">
        <v>6343</v>
      </c>
      <c r="AB99" s="166" t="s">
        <v>6344</v>
      </c>
      <c r="AC99" s="300" t="s">
        <v>6328</v>
      </c>
      <c r="AD99" s="240" t="s">
        <v>6345</v>
      </c>
      <c r="AE99" s="224" t="s">
        <v>6346</v>
      </c>
      <c r="AF99" s="85" t="s">
        <v>6347</v>
      </c>
      <c r="AG99" s="300" t="s">
        <v>6328</v>
      </c>
      <c r="AH99" s="136" t="s">
        <v>6348</v>
      </c>
      <c r="AI99" s="137" t="s">
        <v>6349</v>
      </c>
      <c r="AJ99" s="97" t="str">
        <f>IFERROR(__xludf.DUMMYFUNCTION("GOOGLETRANSLATE(D99,""zh-tw"",""de"")"),"Warnung: Katzenmädchen Asaba ist extrem mächtig und normalerweise unbesiegbar. Fordern Sie sie daher bitte nicht heraus, bevor Sie Ihr Spiel gespeichert haben.
Die Option „Wegschleichen“ führt zu einem Angriff (P.S.: Selbst mit dem Zeitstoppgerät werden "&amp;"Sie entdeckt).
Spieler müssen den Gegenstand von der aktuellen Karte wegbringen, um ihn erfolgreich zu stehlen. Das Werfen des Gegenstands in das Sternentor zählt ebenfalls. Sie können mehrere Gegenstände gleichzeitig stehlen.
Wenn Asaba Sie beim Tragen"&amp;" des Gegenstands zu Boden wirft, wird Ihnen der Gegenstand abgenommen und Sie erhalten eine Strafe.
Sie können den Gegenstand absichtlich fallen lassen, um die Strafe zu vermeiden. Dadurch verschwindet Asabas Aggression jedoch nicht.
Das Besiegen von As"&amp;"aba führt nicht zu einer Strafe.
*Siehe TIPPS für Details zu Strafen.")</f>
        <v>Warnung: Katzenmädchen Asaba ist extrem mächtig und normalerweise unbesiegbar. Fordern Sie sie daher bitte nicht heraus, bevor Sie Ihr Spiel gespeichert haben.
Die Option „Wegschleichen“ führt zu einem Angriff (P.S.: Selbst mit dem Zeitstoppgerät werden Sie entdeckt).
Spieler müssen den Gegenstand von der aktuellen Karte wegbringen, um ihn erfolgreich zu stehlen. Das Werfen des Gegenstands in das Sternentor zählt ebenfalls. Sie können mehrere Gegenstände gleichzeitig stehlen.
Wenn Asaba Sie beim Tragen des Gegenstands zu Boden wirft, wird Ihnen der Gegenstand abgenommen und Sie erhalten eine Strafe.
Sie können den Gegenstand absichtlich fallen lassen, um die Strafe zu vermeiden. Dadurch verschwindet Asabas Aggression jedoch nicht.
Das Besiegen von Asaba führt nicht zu einer Strafe.
*Siehe TIPPS für Details zu Strafen.</v>
      </c>
      <c r="AK99" s="300" t="s">
        <v>6328</v>
      </c>
      <c r="AL99" s="356" t="s">
        <v>6350</v>
      </c>
      <c r="AM99" s="150" t="s">
        <v>6351</v>
      </c>
      <c r="AN99" s="89" t="s">
        <v>6352</v>
      </c>
      <c r="AO99" s="300" t="s">
        <v>6328</v>
      </c>
      <c r="AP99" s="156" t="s">
        <v>6353</v>
      </c>
      <c r="AQ99" s="154" t="s">
        <v>6354</v>
      </c>
      <c r="AR99" s="100" t="s">
        <v>6355</v>
      </c>
      <c r="AS99" s="300" t="s">
        <v>6328</v>
      </c>
      <c r="AT99" s="140" t="s">
        <v>6356</v>
      </c>
      <c r="AU99" s="154" t="s">
        <v>6357</v>
      </c>
      <c r="AV99" s="100" t="s">
        <v>6358</v>
      </c>
    </row>
    <row r="100">
      <c r="A100" s="300" t="s">
        <v>6359</v>
      </c>
      <c r="B100" s="140" t="s">
        <v>6360</v>
      </c>
      <c r="C100" s="139" t="s">
        <v>6361</v>
      </c>
      <c r="D100" s="97" t="s">
        <v>6362</v>
      </c>
      <c r="E100" s="300" t="s">
        <v>6359</v>
      </c>
      <c r="F100" s="140" t="s">
        <v>6363</v>
      </c>
      <c r="G100" s="139" t="s">
        <v>6364</v>
      </c>
      <c r="H100" s="97" t="s">
        <v>6365</v>
      </c>
      <c r="I100" s="300" t="s">
        <v>6359</v>
      </c>
      <c r="J100" s="140" t="s">
        <v>6366</v>
      </c>
      <c r="K100" s="139" t="s">
        <v>6367</v>
      </c>
      <c r="L100" s="97" t="s">
        <v>6368</v>
      </c>
      <c r="M100" s="300" t="s">
        <v>6359</v>
      </c>
      <c r="N100" s="140" t="s">
        <v>6369</v>
      </c>
      <c r="O100" s="139" t="s">
        <v>6370</v>
      </c>
      <c r="P100" s="97" t="s">
        <v>6371</v>
      </c>
      <c r="Q100" s="300" t="s">
        <v>6359</v>
      </c>
      <c r="R100" s="156" t="s">
        <v>6372</v>
      </c>
      <c r="S100" s="139" t="s">
        <v>6373</v>
      </c>
      <c r="T100" s="100" t="str">
        <f>IFERROR(__xludf.DUMMYFUNCTION("GOOGLETRANSLATE(D100,""zh-tw"",""es-MX"")"),"Obtención del objeto: Fotógrafo Mágico (Cámara)
*Implementación: Al fotografiar a tu hermana menor, podría poner cara graciosa.
*Tomar fotos durante escenas eróticas también hará que tu hermana menor se ponga tímida.
*Cuando tu hermano mayor está maldi"&amp;"to, es más fácil tomar fotos inquietantes.
*Implementación: Al usarla en el Abismo, el sonido al tomar fotos atraerá la atención de los monstruos cercanos.
(Actualmente, esta función está en sus primeras etapas y gran parte del contenido aún no está com"&amp;"pletamente implementado).")</f>
        <v>Obtención del objeto: Fotógrafo Mágico (Cámara)
*Implementación: Al fotografiar a tu hermana menor, podría poner cara graciosa.
*Tomar fotos durante escenas eróticas también hará que tu hermana menor se ponga tímida.
*Cuando tu hermano mayor está maldito, es más fácil tomar fotos inquietantes.
*Implementación: Al usarla en el Abismo, el sonido al tomar fotos atraerá la atención de los monstruos cercanos.
(Actualmente, esta función está en sus primeras etapas y gran parte del contenido aún no está completamente implementado).</v>
      </c>
      <c r="U100" s="300" t="s">
        <v>6359</v>
      </c>
      <c r="V100" s="156" t="str">
        <f>IFERROR(__xludf.DUMMYFUNCTION("GOOGLETRANSLATE(B100,""zh-tw"",""KO"")"),"샵 트럭-3")</f>
        <v>샵 트럭-3</v>
      </c>
      <c r="W100" s="154" t="str">
        <f>IFERROR(__xludf.DUMMYFUNCTION("GOOGLETRANSLATE(C100,""zh-tw"",""KO"")"),"쇼핑 카트에 고정된 품목 중 하나")</f>
        <v>쇼핑 카트에 고정된 품목 중 하나</v>
      </c>
      <c r="X100" s="100" t="str">
        <f>IFERROR(__xludf.DUMMYFUNCTION("GOOGLETRANSLATE(D100,""zh-tw"",""KO"")"),"획득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f>
        <v>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v>
      </c>
      <c r="Y100" s="301" t="s">
        <v>6359</v>
      </c>
      <c r="Z100" s="145" t="s">
        <v>6374</v>
      </c>
      <c r="AA100" s="190" t="s">
        <v>6375</v>
      </c>
      <c r="AB100" s="166" t="s">
        <v>6376</v>
      </c>
      <c r="AC100" s="300" t="s">
        <v>6359</v>
      </c>
      <c r="AD100" s="240" t="s">
        <v>6377</v>
      </c>
      <c r="AE100" s="224" t="s">
        <v>6378</v>
      </c>
      <c r="AF100" s="85" t="s">
        <v>6379</v>
      </c>
      <c r="AG100" s="300" t="s">
        <v>6359</v>
      </c>
      <c r="AH100" s="175" t="s">
        <v>6380</v>
      </c>
      <c r="AI100" s="274" t="s">
        <v>6381</v>
      </c>
      <c r="AJ100" s="86" t="s">
        <v>6382</v>
      </c>
      <c r="AK100" s="300" t="s">
        <v>6359</v>
      </c>
      <c r="AL100" s="302" t="s">
        <v>6383</v>
      </c>
      <c r="AM100" s="169" t="s">
        <v>6384</v>
      </c>
      <c r="AN100" s="170" t="s">
        <v>6385</v>
      </c>
      <c r="AO100" s="300" t="s">
        <v>6359</v>
      </c>
      <c r="AP100" s="156" t="s">
        <v>6386</v>
      </c>
      <c r="AQ100" s="154" t="s">
        <v>6387</v>
      </c>
      <c r="AR100" s="100" t="s">
        <v>6388</v>
      </c>
      <c r="AS100" s="300" t="s">
        <v>6359</v>
      </c>
      <c r="AT100" s="140" t="s">
        <v>6389</v>
      </c>
      <c r="AU100" s="154" t="s">
        <v>6390</v>
      </c>
      <c r="AV100" s="100" t="s">
        <v>6391</v>
      </c>
    </row>
    <row r="101">
      <c r="A101" s="300" t="s">
        <v>6392</v>
      </c>
      <c r="B101" s="140" t="s">
        <v>6393</v>
      </c>
      <c r="C101" s="139" t="s">
        <v>6361</v>
      </c>
      <c r="D101" s="97" t="s">
        <v>6394</v>
      </c>
      <c r="E101" s="300" t="s">
        <v>6392</v>
      </c>
      <c r="F101" s="140" t="s">
        <v>6395</v>
      </c>
      <c r="G101" s="139" t="s">
        <v>6396</v>
      </c>
      <c r="H101" s="97" t="s">
        <v>6397</v>
      </c>
      <c r="I101" s="300" t="s">
        <v>6392</v>
      </c>
      <c r="J101" s="140" t="s">
        <v>6398</v>
      </c>
      <c r="K101" s="139" t="s">
        <v>6367</v>
      </c>
      <c r="L101" s="97" t="s">
        <v>6399</v>
      </c>
      <c r="M101" s="300" t="s">
        <v>6392</v>
      </c>
      <c r="N101" s="140" t="s">
        <v>6400</v>
      </c>
      <c r="O101" s="139" t="s">
        <v>6370</v>
      </c>
      <c r="P101" s="97" t="s">
        <v>6401</v>
      </c>
      <c r="Q101" s="300" t="s">
        <v>6392</v>
      </c>
      <c r="R101" s="156" t="s">
        <v>6402</v>
      </c>
      <c r="S101" s="139" t="s">
        <v>6373</v>
      </c>
      <c r="T101" s="100" t="str">
        <f>IFERROR(__xludf.DUMMYFUNCTION("GOOGLETRANSLATE(D101,""zh-tw"",""es-MX"")"),"Obtención del objeto: Hucha
Este objeto evoluciona tras reunir 1 millón de monedas (solo puede existir una a la vez). Otorga intereses, la habilidad ""Resplandor Mammon"", mayor velocidad de movimiento e invulnerabilidad.
P.D.: No puedes introducir tus "&amp;"propias monedas en la hucha.")</f>
        <v>Obtención del objeto: Hucha
Este objeto evoluciona tras reunir 1 millón de monedas (solo puede existir una a la vez). Otorga intereses, la habilidad "Resplandor Mammon", mayor velocidad de movimiento e invulnerabilidad.
P.D.: No puedes introducir tus propias monedas en la hucha.</v>
      </c>
      <c r="U101" s="300" t="s">
        <v>6392</v>
      </c>
      <c r="V101" s="156" t="str">
        <f>IFERROR(__xludf.DUMMYFUNCTION("GOOGLETRANSLATE(B101,""zh-tw"",""KO"")"),"샵카-4")</f>
        <v>샵카-4</v>
      </c>
      <c r="W101" s="154" t="str">
        <f>IFERROR(__xludf.DUMMYFUNCTION("GOOGLETRANSLATE(C101,""zh-tw"",""KO"")"),"쇼핑 카트에 고정된 품목 중 하나")</f>
        <v>쇼핑 카트에 고정된 품목 중 하나</v>
      </c>
      <c r="X101" s="100" t="str">
        <f>IFERROR(__xludf.DUMMYFUNCTION("GOOGLETRANSLATE(D101,""zh-tw"",""KO"")"),"획득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101" s="301" t="s">
        <v>6392</v>
      </c>
      <c r="Z101" s="145" t="s">
        <v>6403</v>
      </c>
      <c r="AA101" s="190" t="s">
        <v>6375</v>
      </c>
      <c r="AB101" s="166" t="s">
        <v>6404</v>
      </c>
      <c r="AC101" s="300" t="s">
        <v>6392</v>
      </c>
      <c r="AD101" s="240" t="s">
        <v>6405</v>
      </c>
      <c r="AE101" s="224" t="s">
        <v>6378</v>
      </c>
      <c r="AF101" s="85" t="s">
        <v>6406</v>
      </c>
      <c r="AG101" s="300" t="s">
        <v>6392</v>
      </c>
      <c r="AH101" s="175" t="s">
        <v>6407</v>
      </c>
      <c r="AI101" s="274" t="s">
        <v>6381</v>
      </c>
      <c r="AJ101" s="86" t="s">
        <v>6408</v>
      </c>
      <c r="AK101" s="300" t="s">
        <v>6392</v>
      </c>
      <c r="AL101" s="302" t="s">
        <v>6409</v>
      </c>
      <c r="AM101" s="169" t="s">
        <v>6384</v>
      </c>
      <c r="AN101" s="172" t="s">
        <v>6410</v>
      </c>
      <c r="AO101" s="300" t="s">
        <v>6392</v>
      </c>
      <c r="AP101" s="156" t="s">
        <v>6411</v>
      </c>
      <c r="AQ101" s="154" t="s">
        <v>6387</v>
      </c>
      <c r="AR101" s="100" t="s">
        <v>6412</v>
      </c>
      <c r="AS101" s="300" t="s">
        <v>6392</v>
      </c>
      <c r="AT101" s="140" t="s">
        <v>6413</v>
      </c>
      <c r="AU101" s="154" t="s">
        <v>6390</v>
      </c>
      <c r="AV101" s="100" t="s">
        <v>6414</v>
      </c>
    </row>
    <row r="102">
      <c r="A102" s="300" t="s">
        <v>6415</v>
      </c>
      <c r="B102" s="140" t="s">
        <v>6416</v>
      </c>
      <c r="C102" s="139" t="s">
        <v>6417</v>
      </c>
      <c r="D102" s="97" t="s">
        <v>6418</v>
      </c>
      <c r="E102" s="300" t="s">
        <v>6415</v>
      </c>
      <c r="F102" s="140" t="s">
        <v>6419</v>
      </c>
      <c r="G102" s="139" t="s">
        <v>6420</v>
      </c>
      <c r="H102" s="97" t="s">
        <v>1292</v>
      </c>
      <c r="I102" s="300" t="s">
        <v>6415</v>
      </c>
      <c r="J102" s="140" t="s">
        <v>6421</v>
      </c>
      <c r="K102" s="139" t="s">
        <v>6422</v>
      </c>
      <c r="L102" s="97" t="s">
        <v>1660</v>
      </c>
      <c r="M102" s="300" t="s">
        <v>6415</v>
      </c>
      <c r="N102" s="140" t="s">
        <v>6423</v>
      </c>
      <c r="O102" s="139" t="s">
        <v>6424</v>
      </c>
      <c r="P102" s="97" t="s">
        <v>3739</v>
      </c>
      <c r="Q102" s="300" t="s">
        <v>6415</v>
      </c>
      <c r="R102" s="156" t="s">
        <v>6425</v>
      </c>
      <c r="S102" s="139" t="s">
        <v>6426</v>
      </c>
      <c r="T102" s="100" t="str">
        <f>IFERROR(__xludf.DUMMYFUNCTION("GOOGLETRANSLATE(D102,""zh-tw"",""es-MX"")"),"No implementado")</f>
        <v>No implementado</v>
      </c>
      <c r="U102" s="300" t="s">
        <v>6415</v>
      </c>
      <c r="V102" s="156" t="str">
        <f>IFERROR(__xludf.DUMMYFUNCTION("GOOGLETRANSLATE(B102,""zh-tw"",""KO"")"),"샵 트럭-5")</f>
        <v>샵 트럭-5</v>
      </c>
      <c r="W102" s="154" t="str">
        <f>IFERROR(__xludf.DUMMYFUNCTION("GOOGLETRANSLATE(C102,""zh-tw"",""KO"")"),"형이 상점 트럭에 치여 HP가 0이 되면 새로운 맵으로 이동하게 됩니다(아직 구현되지 않음).")</f>
        <v>형이 상점 트럭에 치여 HP가 0이 되면 새로운 맵으로 이동하게 됩니다(아직 구현되지 않음).</v>
      </c>
      <c r="X102" s="100" t="str">
        <f>IFERROR(__xludf.DUMMYFUNCTION("GOOGLETRANSLATE(D102,""zh-tw"",""KO"")"),"구현되지 않음")</f>
        <v>구현되지 않음</v>
      </c>
      <c r="Y102" s="301" t="s">
        <v>6415</v>
      </c>
      <c r="Z102" s="145" t="s">
        <v>6427</v>
      </c>
      <c r="AA102" s="190" t="s">
        <v>6428</v>
      </c>
      <c r="AB102" s="166" t="s">
        <v>6429</v>
      </c>
      <c r="AC102" s="300" t="s">
        <v>6415</v>
      </c>
      <c r="AD102" s="240" t="s">
        <v>6430</v>
      </c>
      <c r="AE102" s="224" t="s">
        <v>6431</v>
      </c>
      <c r="AF102" s="96" t="s">
        <v>6432</v>
      </c>
      <c r="AG102" s="300" t="s">
        <v>6415</v>
      </c>
      <c r="AH102" s="175" t="s">
        <v>6433</v>
      </c>
      <c r="AI102" s="274" t="s">
        <v>6434</v>
      </c>
      <c r="AJ102" s="86" t="s">
        <v>6435</v>
      </c>
      <c r="AK102" s="300" t="s">
        <v>6415</v>
      </c>
      <c r="AL102" s="302" t="s">
        <v>6436</v>
      </c>
      <c r="AM102" s="169" t="s">
        <v>6437</v>
      </c>
      <c r="AN102" s="172" t="s">
        <v>6438</v>
      </c>
      <c r="AO102" s="300" t="s">
        <v>6415</v>
      </c>
      <c r="AP102" s="156" t="s">
        <v>6439</v>
      </c>
      <c r="AQ102" s="154" t="s">
        <v>6440</v>
      </c>
      <c r="AR102" s="100" t="s">
        <v>1676</v>
      </c>
      <c r="AS102" s="300" t="s">
        <v>6415</v>
      </c>
      <c r="AT102" s="140" t="s">
        <v>6441</v>
      </c>
      <c r="AU102" s="154" t="s">
        <v>6442</v>
      </c>
      <c r="AV102" s="100" t="s">
        <v>1965</v>
      </c>
    </row>
    <row r="103">
      <c r="A103" s="300" t="s">
        <v>6443</v>
      </c>
      <c r="B103" s="140" t="s">
        <v>6444</v>
      </c>
      <c r="C103" s="139" t="s">
        <v>6361</v>
      </c>
      <c r="D103" s="97" t="s">
        <v>6445</v>
      </c>
      <c r="E103" s="300" t="s">
        <v>6443</v>
      </c>
      <c r="F103" s="140" t="s">
        <v>6446</v>
      </c>
      <c r="G103" s="139" t="s">
        <v>6447</v>
      </c>
      <c r="H103" s="97" t="s">
        <v>6448</v>
      </c>
      <c r="I103" s="300" t="s">
        <v>6443</v>
      </c>
      <c r="J103" s="140" t="s">
        <v>6449</v>
      </c>
      <c r="K103" s="139" t="s">
        <v>6450</v>
      </c>
      <c r="L103" s="97" t="s">
        <v>6451</v>
      </c>
      <c r="M103" s="300" t="s">
        <v>6443</v>
      </c>
      <c r="N103" s="140" t="s">
        <v>6452</v>
      </c>
      <c r="O103" s="139" t="s">
        <v>6370</v>
      </c>
      <c r="P103" s="97" t="s">
        <v>6453</v>
      </c>
      <c r="Q103" s="300" t="s">
        <v>6443</v>
      </c>
      <c r="R103" s="156" t="s">
        <v>6454</v>
      </c>
      <c r="S103" s="154" t="str">
        <f>IFERROR(__xludf.DUMMYFUNCTION("GOOGLETRANSLATE(C103,""zh-tw"",""es-MX"")"),"Uno de los artículos fijos en el carrito de la tienda")</f>
        <v>Uno de los artículos fijos en el carrito de la tienda</v>
      </c>
      <c r="T103" s="100" t="str">
        <f>IFERROR(__xludf.DUMMYFUNCTION("GOOGLETRANSLATE(D103,""zh-tw"",""es-MX"")"),"Objeto obtenido: Doujinshi de Yuriko
Efecto: Aumenta la libido
※Este objeto es experimental por el momento; la función de visualización de imágenes se añadirá más adelante.")</f>
        <v>Objeto obtenido: Doujinshi de Yuriko
Efecto: Aumenta la libido
※Este objeto es experimental por el momento; la función de visualización de imágenes se añadirá más adelante.</v>
      </c>
      <c r="U103" s="300" t="s">
        <v>6443</v>
      </c>
      <c r="V103" s="156" t="str">
        <f>IFERROR(__xludf.DUMMYFUNCTION("GOOGLETRANSLATE(B103,""zh-tw"",""KO"")"),"샵 트럭-6")</f>
        <v>샵 트럭-6</v>
      </c>
      <c r="W103" s="154" t="str">
        <f>IFERROR(__xludf.DUMMYFUNCTION("GOOGLETRANSLATE(C103,""zh-tw"",""KO"")"),"쇼핑 카트에 고정된 품목 중 하나")</f>
        <v>쇼핑 카트에 고정된 품목 중 하나</v>
      </c>
      <c r="X103" s="100" t="str">
        <f>IFERROR(__xludf.DUMMYFUNCTION("GOOGLETRANSLATE(D103,""zh-tw"",""KO"")"),"획득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103" s="301" t="s">
        <v>6443</v>
      </c>
      <c r="Z103" s="145" t="s">
        <v>6455</v>
      </c>
      <c r="AA103" s="190" t="s">
        <v>6375</v>
      </c>
      <c r="AB103" s="347" t="s">
        <v>6456</v>
      </c>
      <c r="AC103" s="300" t="s">
        <v>6443</v>
      </c>
      <c r="AD103" s="240" t="s">
        <v>6457</v>
      </c>
      <c r="AE103" s="224" t="s">
        <v>6378</v>
      </c>
      <c r="AF103" s="85" t="s">
        <v>6458</v>
      </c>
      <c r="AG103" s="300" t="s">
        <v>6443</v>
      </c>
      <c r="AH103" s="175" t="s">
        <v>6459</v>
      </c>
      <c r="AI103" s="274" t="s">
        <v>6460</v>
      </c>
      <c r="AJ103" s="86" t="s">
        <v>6461</v>
      </c>
      <c r="AK103" s="300" t="s">
        <v>6443</v>
      </c>
      <c r="AL103" s="302" t="s">
        <v>6462</v>
      </c>
      <c r="AM103" s="169" t="s">
        <v>6463</v>
      </c>
      <c r="AN103" s="172" t="s">
        <v>6464</v>
      </c>
      <c r="AO103" s="300" t="s">
        <v>6443</v>
      </c>
      <c r="AP103" s="156" t="s">
        <v>6465</v>
      </c>
      <c r="AQ103" s="154" t="s">
        <v>6466</v>
      </c>
      <c r="AR103" s="100" t="s">
        <v>6467</v>
      </c>
      <c r="AS103" s="300" t="s">
        <v>6443</v>
      </c>
      <c r="AT103" s="136" t="s">
        <v>6468</v>
      </c>
      <c r="AU103" s="154" t="s">
        <v>6390</v>
      </c>
      <c r="AV103" s="100" t="s">
        <v>6469</v>
      </c>
    </row>
    <row r="104">
      <c r="A104" s="300" t="s">
        <v>6470</v>
      </c>
      <c r="B104" s="140" t="s">
        <v>6471</v>
      </c>
      <c r="C104" s="139" t="s">
        <v>6361</v>
      </c>
      <c r="D104" s="97" t="s">
        <v>6472</v>
      </c>
      <c r="E104" s="300" t="s">
        <v>6470</v>
      </c>
      <c r="F104" s="140" t="s">
        <v>6473</v>
      </c>
      <c r="G104" s="139" t="s">
        <v>6447</v>
      </c>
      <c r="H104" s="97" t="s">
        <v>6474</v>
      </c>
      <c r="I104" s="300" t="s">
        <v>6470</v>
      </c>
      <c r="J104" s="140" t="s">
        <v>6475</v>
      </c>
      <c r="K104" s="139" t="s">
        <v>6450</v>
      </c>
      <c r="L104" s="97" t="s">
        <v>6476</v>
      </c>
      <c r="M104" s="300" t="s">
        <v>6470</v>
      </c>
      <c r="N104" s="140" t="s">
        <v>6477</v>
      </c>
      <c r="O104" s="139" t="s">
        <v>6370</v>
      </c>
      <c r="P104" s="97" t="s">
        <v>6478</v>
      </c>
      <c r="Q104" s="300" t="s">
        <v>6470</v>
      </c>
      <c r="R104" s="156" t="s">
        <v>6479</v>
      </c>
      <c r="S104" s="154" t="str">
        <f>IFERROR(__xludf.DUMMYFUNCTION("GOOGLETRANSLATE(C104,""zh-tw"",""es-MX"")"),"Uno de los artículos fijos en el carrito de la tienda")</f>
        <v>Uno de los artículos fijos en el carrito de la tienda</v>
      </c>
      <c r="T104" s="100" t="str">
        <f>IFERROR(__xludf.DUMMYFUNCTION("GOOGLETRANSLATE(D104,""zh-tw"",""es-MX"")"),"Objeto obtenido: Doujinshi adorable
Efecto: Aumenta la libido
※Este objeto es experimental por el momento; la función de visualización de imágenes se añadirá más adelante.")</f>
        <v>Objeto obtenido: Doujinshi adorable
Efecto: Aumenta la libido
※Este objeto es experimental por el momento; la función de visualización de imágenes se añadirá más adelante.</v>
      </c>
      <c r="U104" s="300" t="s">
        <v>6470</v>
      </c>
      <c r="V104" s="156" t="str">
        <f>IFERROR(__xludf.DUMMYFUNCTION("GOOGLETRANSLATE(B104,""zh-tw"",""KO"")"),"상점 차량-7")</f>
        <v>상점 차량-7</v>
      </c>
      <c r="W104" s="154" t="str">
        <f>IFERROR(__xludf.DUMMYFUNCTION("GOOGLETRANSLATE(C104,""zh-tw"",""KO"")"),"쇼핑 카트에 고정된 품목 중 하나")</f>
        <v>쇼핑 카트에 고정된 품목 중 하나</v>
      </c>
      <c r="X104" s="100" t="str">
        <f>IFERROR(__xludf.DUMMYFUNCTION("GOOGLETRANSLATE(D104,""zh-tw"",""KO"")"),"획득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104" s="301" t="s">
        <v>6470</v>
      </c>
      <c r="Z104" s="145" t="s">
        <v>6480</v>
      </c>
      <c r="AA104" s="190" t="s">
        <v>6375</v>
      </c>
      <c r="AB104" s="347" t="s">
        <v>6481</v>
      </c>
      <c r="AC104" s="300" t="s">
        <v>6470</v>
      </c>
      <c r="AD104" s="240" t="s">
        <v>6482</v>
      </c>
      <c r="AE104" s="224" t="s">
        <v>6378</v>
      </c>
      <c r="AF104" s="85" t="s">
        <v>6483</v>
      </c>
      <c r="AG104" s="300" t="s">
        <v>6470</v>
      </c>
      <c r="AH104" s="175" t="s">
        <v>6484</v>
      </c>
      <c r="AI104" s="274" t="s">
        <v>6485</v>
      </c>
      <c r="AJ104" s="86" t="s">
        <v>6486</v>
      </c>
      <c r="AK104" s="300" t="s">
        <v>6470</v>
      </c>
      <c r="AL104" s="302" t="s">
        <v>6487</v>
      </c>
      <c r="AM104" s="169" t="s">
        <v>6463</v>
      </c>
      <c r="AN104" s="172" t="s">
        <v>6488</v>
      </c>
      <c r="AO104" s="300" t="s">
        <v>6470</v>
      </c>
      <c r="AP104" s="156" t="s">
        <v>6489</v>
      </c>
      <c r="AQ104" s="154" t="s">
        <v>6466</v>
      </c>
      <c r="AR104" s="100" t="s">
        <v>6490</v>
      </c>
      <c r="AS104" s="300" t="s">
        <v>6470</v>
      </c>
      <c r="AT104" s="136" t="s">
        <v>6491</v>
      </c>
      <c r="AU104" s="154" t="s">
        <v>6390</v>
      </c>
      <c r="AV104" s="100" t="s">
        <v>6492</v>
      </c>
    </row>
    <row r="105">
      <c r="A105" s="300" t="s">
        <v>6493</v>
      </c>
      <c r="B105" s="140" t="s">
        <v>6494</v>
      </c>
      <c r="C105" s="139" t="s">
        <v>6495</v>
      </c>
      <c r="D105" s="97" t="s">
        <v>6496</v>
      </c>
      <c r="E105" s="300" t="s">
        <v>6493</v>
      </c>
      <c r="F105" s="140" t="s">
        <v>6497</v>
      </c>
      <c r="G105" s="139" t="s">
        <v>6498</v>
      </c>
      <c r="H105" s="97" t="s">
        <v>6499</v>
      </c>
      <c r="I105" s="300" t="s">
        <v>6493</v>
      </c>
      <c r="J105" s="140" t="s">
        <v>6500</v>
      </c>
      <c r="K105" s="139" t="s">
        <v>6501</v>
      </c>
      <c r="L105" s="97" t="s">
        <v>6502</v>
      </c>
      <c r="M105" s="300" t="s">
        <v>6493</v>
      </c>
      <c r="N105" s="140" t="str">
        <f>IFERROR(__xludf.DUMMYFUNCTION("GOOGLETRANSLATE(B105,""zh-tw"",""zh"")"),"深夜的好选择")</f>
        <v>深夜的好选择</v>
      </c>
      <c r="O105" s="139" t="str">
        <f>IFERROR(__xludf.DUMMYFUNCTION("GOOGLETRANSLATE(C105,""zh-tw"",""zh"")"),"当完成治愈妹妹，解锁深夜时段后
可以向骑士花费5000元或者于AKI商店花费一只帝王鲑
购买恐怖录影带、成人录影带")</f>
        <v>当完成治愈妹妹，解锁深夜时段后
可以向骑士花费5000元或者于AKI商店花费一只帝王鲑
购买恐怖录影带、成人录影带</v>
      </c>
      <c r="P105" s="97" t="str">
        <f>IFERROR(__xludf.DUMMYFUNCTION("GOOGLETRANSLATE(D105,""zh-tw"",""zh"")"),"获得道具:恐怖录影带
获得道具:成人录影带")</f>
        <v>获得道具:恐怖录影带
获得道具:成人录影带</v>
      </c>
      <c r="Q105" s="300" t="s">
        <v>6493</v>
      </c>
      <c r="R105" s="156" t="str">
        <f>IFERROR(__xludf.DUMMYFUNCTION("GOOGLETRANSLATE(B105,""zh-tw"",""es-MX"")"),"Una buena opción para las noches largas.")</f>
        <v>Una buena opción para las noches largas.</v>
      </c>
      <c r="S105" s="154" t="str">
        <f>IFERROR(__xludf.DUMMYFUNCTION("GOOGLETRANSLATE(C105,""zh-tw"",""es-MX"")"),"Tras curar a tu hermana y desbloquear el horario nocturno, puedes gastar 5000 monedas con el Caballero o un Rey Salmón en la tienda AKI para comprar cintas de vídeo de terror y cintas de vídeo para adultos.")</f>
        <v>Tras curar a tu hermana y desbloquear el horario nocturno, puedes gastar 5000 monedas con el Caballero o un Rey Salmón en la tienda AKI para comprar cintas de vídeo de terror y cintas de vídeo para adultos.</v>
      </c>
      <c r="T105" s="100" t="str">
        <f>IFERROR(__xludf.DUMMYFUNCTION("GOOGLETRANSLATE(D105,""zh-tw"",""es-MX"")"),"Objeto obtenido: Cinta de vídeo de terror
Objeto obtenido: Cinta de vídeo para adultos")</f>
        <v>Objeto obtenido: Cinta de vídeo de terror
Objeto obtenido: Cinta de vídeo para adultos</v>
      </c>
      <c r="U105" s="300" t="s">
        <v>6493</v>
      </c>
      <c r="V105" s="156" t="str">
        <f>IFERROR(__xludf.DUMMYFUNCTION("GOOGLETRANSLATE(B105,""zh-tw"",""KO"")"),"늦은 밤에 즐기기 좋은 선택입니다.")</f>
        <v>늦은 밤에 즐기기 좋은 선택입니다.</v>
      </c>
      <c r="W105" s="154" t="str">
        <f>IFERROR(__xludf.DUMMYFUNCTION("GOOGLETRANSLATE(C105,""zh-tw"",""KO"")"),"여동생을 치료하고 심야 시간대를 해금한 후, AKI 상점에서 기사나 왕연어에게 5000 코인을 지불하면 공포 비디오테이프와 성인 비디오테이프를 구입할 수 있습니다.")</f>
        <v>여동생을 치료하고 심야 시간대를 해금한 후, AKI 상점에서 기사나 왕연어에게 5000 코인을 지불하면 공포 비디오테이프와 성인 비디오테이프를 구입할 수 있습니다.</v>
      </c>
      <c r="X105" s="100" t="str">
        <f>IFERROR(__xludf.DUMMYFUNCTION("GOOGLETRANSLATE(D105,""zh-tw"",""KO"")"),"획득 아이템: 공포 비디오테이프
획득 아이템: 성인 비디오테이프")</f>
        <v>획득 아이템: 공포 비디오테이프
획득 아이템: 성인 비디오테이프</v>
      </c>
      <c r="Y105" s="301" t="s">
        <v>6493</v>
      </c>
      <c r="Z105" s="145" t="s">
        <v>6503</v>
      </c>
      <c r="AA105" s="190" t="s">
        <v>6504</v>
      </c>
      <c r="AB105" s="166" t="s">
        <v>6505</v>
      </c>
      <c r="AC105" s="300" t="s">
        <v>6493</v>
      </c>
      <c r="AD105" s="240" t="s">
        <v>6506</v>
      </c>
      <c r="AE105" s="224" t="s">
        <v>6507</v>
      </c>
      <c r="AF105" s="85" t="s">
        <v>6508</v>
      </c>
      <c r="AG105" s="300" t="s">
        <v>6493</v>
      </c>
      <c r="AH105" s="175" t="s">
        <v>6509</v>
      </c>
      <c r="AI105" s="274" t="s">
        <v>6510</v>
      </c>
      <c r="AJ105" s="86" t="s">
        <v>6511</v>
      </c>
      <c r="AK105" s="300" t="s">
        <v>6493</v>
      </c>
      <c r="AL105" s="302" t="s">
        <v>6512</v>
      </c>
      <c r="AM105" s="173" t="s">
        <v>6513</v>
      </c>
      <c r="AN105" s="170" t="s">
        <v>6514</v>
      </c>
      <c r="AO105" s="300" t="s">
        <v>6493</v>
      </c>
      <c r="AP105" s="156" t="s">
        <v>6515</v>
      </c>
      <c r="AQ105" s="154" t="s">
        <v>6516</v>
      </c>
      <c r="AR105" s="100" t="s">
        <v>6517</v>
      </c>
      <c r="AS105" s="300" t="s">
        <v>6493</v>
      </c>
      <c r="AT105" s="136" t="s">
        <v>6518</v>
      </c>
      <c r="AU105" s="154" t="s">
        <v>6519</v>
      </c>
      <c r="AV105" s="100" t="s">
        <v>6520</v>
      </c>
    </row>
    <row r="106">
      <c r="A106" s="300" t="s">
        <v>6521</v>
      </c>
      <c r="B106" s="140" t="s">
        <v>6522</v>
      </c>
      <c r="C106" s="139" t="s">
        <v>6523</v>
      </c>
      <c r="D106" s="97" t="s">
        <v>6524</v>
      </c>
      <c r="E106" s="300" t="s">
        <v>6521</v>
      </c>
      <c r="F106" s="140" t="s">
        <v>6525</v>
      </c>
      <c r="G106" s="139" t="s">
        <v>6526</v>
      </c>
      <c r="H106" s="97" t="s">
        <v>6527</v>
      </c>
      <c r="I106" s="300" t="s">
        <v>6521</v>
      </c>
      <c r="J106" s="140" t="s">
        <v>6528</v>
      </c>
      <c r="K106" s="139" t="s">
        <v>6529</v>
      </c>
      <c r="L106" s="97" t="s">
        <v>6530</v>
      </c>
      <c r="M106" s="300" t="s">
        <v>6521</v>
      </c>
      <c r="N106" s="140" t="s">
        <v>6522</v>
      </c>
      <c r="O106" s="154" t="s">
        <v>6531</v>
      </c>
      <c r="P106" s="100" t="s">
        <v>6532</v>
      </c>
      <c r="Q106" s="300" t="s">
        <v>6521</v>
      </c>
      <c r="R106" s="156" t="s">
        <v>6522</v>
      </c>
      <c r="S106" s="154" t="str">
        <f>IFERROR(__xludf.DUMMYFUNCTION("GOOGLETRANSLATE(C106,""zh-tw"",""es-MX"")"),"Alimente a ASABA - ""alimento regular""")</f>
        <v>Alimente a ASABA - "alimento regular"</v>
      </c>
      <c r="T106" s="100" t="str">
        <f>IFERROR(__xludf.DUMMYFUNCTION("GOOGLETRANSLATE(D106,""zh-tw"",""es-MX"")"),"No hubo reacción alguna, e incluso la repetición del suceso podía provocar aversión.")</f>
        <v>No hubo reacción alguna, e incluso la repetición del suceso podía provocar aversión.</v>
      </c>
      <c r="U106" s="300" t="s">
        <v>6521</v>
      </c>
      <c r="V106" s="156" t="str">
        <f>IFERROR(__xludf.DUMMYFUNCTION("GOOGLETRANSLATE(B106,""zh-tw"",""KO"")"),"아사바-1")</f>
        <v>아사바-1</v>
      </c>
      <c r="W106" s="154" t="str">
        <f>IFERROR(__xludf.DUMMYFUNCTION("GOOGLETRANSLATE(C106,""zh-tw"",""KO"")"),"ASABA에게 ""일반 사료""를 먹이세요.")</f>
        <v>ASABA에게 "일반 사료"를 먹이세요.</v>
      </c>
      <c r="X106" s="100" t="str">
        <f>IFERROR(__xludf.DUMMYFUNCTION("GOOGLETRANSLATE(D106,""zh-tw"",""KO"")"),"아무런 반응도 없었고, 반복될 경우 오히려 혐오감이 생길 수도 있었다.")</f>
        <v>아무런 반응도 없었고, 반복될 경우 오히려 혐오감이 생길 수도 있었다.</v>
      </c>
      <c r="Y106" s="301" t="s">
        <v>6521</v>
      </c>
      <c r="Z106" s="145" t="s">
        <v>6533</v>
      </c>
      <c r="AA106" s="190" t="s">
        <v>6534</v>
      </c>
      <c r="AB106" s="166" t="s">
        <v>6535</v>
      </c>
      <c r="AC106" s="300" t="s">
        <v>6521</v>
      </c>
      <c r="AD106" s="240" t="s">
        <v>6533</v>
      </c>
      <c r="AE106" s="224" t="s">
        <v>6536</v>
      </c>
      <c r="AF106" s="85" t="s">
        <v>6537</v>
      </c>
      <c r="AG106" s="300" t="s">
        <v>6521</v>
      </c>
      <c r="AH106" s="140" t="str">
        <f>IFERROR(__xludf.DUMMYFUNCTION("GOOGLETRANSLATE(B106,""zh-tw"",""de"")"),"ASABA-1")</f>
        <v>ASABA-1</v>
      </c>
      <c r="AI106" s="139" t="str">
        <f>IFERROR(__xludf.DUMMYFUNCTION("GOOGLETRANSLATE(C106,""zh-tw"",""de"")"),"ASABA füttern – „normales Futter“")</f>
        <v>ASABA füttern – „normales Futter“</v>
      </c>
      <c r="AJ106" s="97" t="s">
        <v>6538</v>
      </c>
      <c r="AK106" s="300" t="s">
        <v>6521</v>
      </c>
      <c r="AL106" s="302" t="s">
        <v>6528</v>
      </c>
      <c r="AM106" s="169" t="s">
        <v>6539</v>
      </c>
      <c r="AN106" s="172" t="s">
        <v>6540</v>
      </c>
      <c r="AO106" s="300" t="s">
        <v>6521</v>
      </c>
      <c r="AP106" s="156" t="s">
        <v>6528</v>
      </c>
      <c r="AQ106" s="154" t="s">
        <v>6541</v>
      </c>
      <c r="AR106" s="100" t="s">
        <v>6542</v>
      </c>
      <c r="AS106" s="300" t="s">
        <v>6521</v>
      </c>
      <c r="AT106" s="136" t="s">
        <v>6522</v>
      </c>
      <c r="AU106" s="154" t="s">
        <v>6543</v>
      </c>
      <c r="AV106" s="100" t="s">
        <v>6544</v>
      </c>
    </row>
    <row r="107">
      <c r="A107" s="300" t="s">
        <v>6545</v>
      </c>
      <c r="B107" s="140" t="s">
        <v>6546</v>
      </c>
      <c r="C107" s="139" t="s">
        <v>6547</v>
      </c>
      <c r="D107" s="97" t="s">
        <v>6548</v>
      </c>
      <c r="E107" s="300" t="s">
        <v>6545</v>
      </c>
      <c r="F107" s="140" t="s">
        <v>6549</v>
      </c>
      <c r="G107" s="139" t="s">
        <v>6550</v>
      </c>
      <c r="H107" s="97" t="s">
        <v>6551</v>
      </c>
      <c r="I107" s="300" t="s">
        <v>6545</v>
      </c>
      <c r="J107" s="140" t="s">
        <v>6552</v>
      </c>
      <c r="K107" s="139" t="s">
        <v>6553</v>
      </c>
      <c r="L107" s="97" t="s">
        <v>6554</v>
      </c>
      <c r="M107" s="300" t="s">
        <v>6545</v>
      </c>
      <c r="N107" s="140" t="s">
        <v>6546</v>
      </c>
      <c r="O107" s="154" t="s">
        <v>6555</v>
      </c>
      <c r="P107" s="100" t="s">
        <v>6556</v>
      </c>
      <c r="Q107" s="300" t="s">
        <v>6545</v>
      </c>
      <c r="R107" s="156" t="s">
        <v>6546</v>
      </c>
      <c r="S107" s="154" t="str">
        <f>IFERROR(__xludf.DUMMYFUNCTION("GOOGLETRANSLATE(C107,""zh-tw"",""es-MX"")"),"Alimentando a ASABA - ""El mechón rebelde de la hermana""")</f>
        <v>Alimentando a ASABA - "El mechón rebelde de la hermana"</v>
      </c>
      <c r="T107" s="100" t="str">
        <f>IFERROR(__xludf.DUMMYFUNCTION("GOOGLETRANSLATE(D107,""zh-tw"",""es-MX"")"),"Desactivando el cerebro de ASABA")</f>
        <v>Desactivando el cerebro de ASABA</v>
      </c>
      <c r="U107" s="300" t="s">
        <v>6545</v>
      </c>
      <c r="V107" s="156" t="str">
        <f>IFERROR(__xludf.DUMMYFUNCTION("GOOGLETRANSLATE(B107,""zh-tw"",""KO"")"),"아사바-2")</f>
        <v>아사바-2</v>
      </c>
      <c r="W107" s="154" t="str">
        <f>IFERROR(__xludf.DUMMYFUNCTION("GOOGLETRANSLATE(C107,""zh-tw"",""KO"")"),"아사바 먹이 주기 - ""언니의 아호게""")</f>
        <v>아사바 먹이 주기 - "언니의 아호게"</v>
      </c>
      <c r="X107" s="100" t="str">
        <f>IFERROR(__xludf.DUMMYFUNCTION("GOOGLETRANSLATE(D107,""zh-tw"",""KO"")"),"ASABA의 두뇌를 차단하기")</f>
        <v>ASABA의 두뇌를 차단하기</v>
      </c>
      <c r="Y107" s="301" t="s">
        <v>6545</v>
      </c>
      <c r="Z107" s="145" t="s">
        <v>6557</v>
      </c>
      <c r="AA107" s="190" t="s">
        <v>6558</v>
      </c>
      <c r="AB107" s="166" t="s">
        <v>6559</v>
      </c>
      <c r="AC107" s="300" t="s">
        <v>6545</v>
      </c>
      <c r="AD107" s="240" t="s">
        <v>6557</v>
      </c>
      <c r="AE107" s="224" t="s">
        <v>6560</v>
      </c>
      <c r="AF107" s="85" t="s">
        <v>6561</v>
      </c>
      <c r="AG107" s="300" t="s">
        <v>6545</v>
      </c>
      <c r="AH107" s="140" t="str">
        <f>IFERROR(__xludf.DUMMYFUNCTION("GOOGLETRANSLATE(B107,""zh-tw"",""de"")"),"ASABA-2")</f>
        <v>ASABA-2</v>
      </c>
      <c r="AI107" s="139" t="str">
        <f>IFERROR(__xludf.DUMMYFUNCTION("GOOGLETRANSLATE(C107,""zh-tw"",""de"")"),"Fütterung von ASABA – „Schwesters Ahoge“")</f>
        <v>Fütterung von ASABA – „Schwesters Ahoge“</v>
      </c>
      <c r="AJ107" s="97" t="s">
        <v>6562</v>
      </c>
      <c r="AK107" s="300" t="s">
        <v>6545</v>
      </c>
      <c r="AL107" s="302" t="s">
        <v>6552</v>
      </c>
      <c r="AM107" s="169" t="s">
        <v>6563</v>
      </c>
      <c r="AN107" s="172" t="s">
        <v>6564</v>
      </c>
      <c r="AO107" s="300" t="s">
        <v>6545</v>
      </c>
      <c r="AP107" s="156" t="s">
        <v>6552</v>
      </c>
      <c r="AQ107" s="154" t="s">
        <v>6565</v>
      </c>
      <c r="AR107" s="100" t="s">
        <v>6566</v>
      </c>
      <c r="AS107" s="300" t="s">
        <v>6545</v>
      </c>
      <c r="AT107" s="136" t="s">
        <v>6546</v>
      </c>
      <c r="AU107" s="154" t="s">
        <v>6567</v>
      </c>
      <c r="AV107" s="100" t="s">
        <v>6568</v>
      </c>
    </row>
    <row r="108">
      <c r="A108" s="300" t="s">
        <v>6569</v>
      </c>
      <c r="B108" s="140" t="s">
        <v>6570</v>
      </c>
      <c r="C108" s="139" t="s">
        <v>6571</v>
      </c>
      <c r="D108" s="97" t="s">
        <v>6572</v>
      </c>
      <c r="E108" s="300" t="s">
        <v>6569</v>
      </c>
      <c r="F108" s="140" t="s">
        <v>6573</v>
      </c>
      <c r="G108" s="139" t="s">
        <v>6574</v>
      </c>
      <c r="H108" s="97" t="s">
        <v>6575</v>
      </c>
      <c r="I108" s="300" t="s">
        <v>6569</v>
      </c>
      <c r="J108" s="140" t="s">
        <v>6576</v>
      </c>
      <c r="K108" s="139" t="s">
        <v>6577</v>
      </c>
      <c r="L108" s="97" t="s">
        <v>6578</v>
      </c>
      <c r="M108" s="300" t="s">
        <v>6569</v>
      </c>
      <c r="N108" s="140" t="s">
        <v>6570</v>
      </c>
      <c r="O108" s="154" t="s">
        <v>6579</v>
      </c>
      <c r="P108" s="100" t="s">
        <v>6580</v>
      </c>
      <c r="Q108" s="300" t="s">
        <v>6569</v>
      </c>
      <c r="R108" s="156" t="s">
        <v>6570</v>
      </c>
      <c r="S108" s="154" t="str">
        <f>IFERROR(__xludf.DUMMYFUNCTION("GOOGLETRANSLATE(C108,""zh-tw"",""es-MX"")"),"Alimentar a ASABA con ""fresas"" te otorgará una mejora.")</f>
        <v>Alimentar a ASABA con "fresas" te otorgará una mejora.</v>
      </c>
      <c r="T108" s="100" t="str">
        <f>IFERROR(__xludf.DUMMYFUNCTION("GOOGLETRANSLATE(D108,""zh-tw"",""es-MX"")"),"Ponte en forma")</f>
        <v>Ponte en forma</v>
      </c>
      <c r="U108" s="300" t="s">
        <v>6569</v>
      </c>
      <c r="V108" s="156" t="str">
        <f>IFERROR(__xludf.DUMMYFUNCTION("GOOGLETRANSLATE(B108,""zh-tw"",""KO"")"),"아사바-3")</f>
        <v>아사바-3</v>
      </c>
      <c r="W108" s="154" t="str">
        <f>IFERROR(__xludf.DUMMYFUNCTION("GOOGLETRANSLATE(C108,""zh-tw"",""KO"")"),"아사바에게 ""딸기""를 먹이면 버프를 얻을 수 있습니다.")</f>
        <v>아사바에게 "딸기"를 먹이면 버프를 얻을 수 있습니다.</v>
      </c>
      <c r="X108" s="100" t="str">
        <f>IFERROR(__xludf.DUMMYFUNCTION("GOOGLETRANSLATE(D108,""zh-tw"",""KO"")"),"버프 받으세요")</f>
        <v>버프 받으세요</v>
      </c>
      <c r="Y108" s="301" t="s">
        <v>6569</v>
      </c>
      <c r="Z108" s="145" t="s">
        <v>6581</v>
      </c>
      <c r="AA108" s="190" t="s">
        <v>6582</v>
      </c>
      <c r="AB108" s="166" t="s">
        <v>6583</v>
      </c>
      <c r="AC108" s="300" t="s">
        <v>6569</v>
      </c>
      <c r="AD108" s="240" t="s">
        <v>6581</v>
      </c>
      <c r="AE108" s="224" t="s">
        <v>6584</v>
      </c>
      <c r="AF108" s="96" t="s">
        <v>6585</v>
      </c>
      <c r="AG108" s="300" t="s">
        <v>6569</v>
      </c>
      <c r="AH108" s="140" t="str">
        <f>IFERROR(__xludf.DUMMYFUNCTION("GOOGLETRANSLATE(B108,""zh-tw"",""de"")"),"ASABA-3")</f>
        <v>ASABA-3</v>
      </c>
      <c r="AI108" s="139" t="str">
        <f>IFERROR(__xludf.DUMMYFUNCTION("GOOGLETRANSLATE(C108,""zh-tw"",""de"")"),"Wenn du ASABA mit ""Erdbeeren"" fütterst, erhältst du einen Buff.")</f>
        <v>Wenn du ASABA mit "Erdbeeren" fütterst, erhältst du einen Buff.</v>
      </c>
      <c r="AJ108" s="97" t="s">
        <v>6586</v>
      </c>
      <c r="AK108" s="300" t="s">
        <v>6569</v>
      </c>
      <c r="AL108" s="302" t="s">
        <v>6576</v>
      </c>
      <c r="AM108" s="169" t="s">
        <v>6587</v>
      </c>
      <c r="AN108" s="172" t="s">
        <v>6588</v>
      </c>
      <c r="AO108" s="300" t="s">
        <v>6569</v>
      </c>
      <c r="AP108" s="156" t="s">
        <v>6576</v>
      </c>
      <c r="AQ108" s="154" t="s">
        <v>6589</v>
      </c>
      <c r="AR108" s="100" t="s">
        <v>6590</v>
      </c>
      <c r="AS108" s="300" t="s">
        <v>6569</v>
      </c>
      <c r="AT108" s="136" t="s">
        <v>6570</v>
      </c>
      <c r="AU108" s="154" t="s">
        <v>6591</v>
      </c>
      <c r="AV108" s="100" t="s">
        <v>6592</v>
      </c>
    </row>
    <row r="109">
      <c r="A109" s="300" t="s">
        <v>6593</v>
      </c>
      <c r="B109" s="140" t="s">
        <v>6594</v>
      </c>
      <c r="C109" s="139" t="s">
        <v>6595</v>
      </c>
      <c r="D109" s="97" t="s">
        <v>6596</v>
      </c>
      <c r="E109" s="300" t="s">
        <v>6593</v>
      </c>
      <c r="F109" s="140" t="s">
        <v>6597</v>
      </c>
      <c r="G109" s="139" t="s">
        <v>6598</v>
      </c>
      <c r="H109" s="97" t="s">
        <v>6599</v>
      </c>
      <c r="I109" s="300" t="s">
        <v>6593</v>
      </c>
      <c r="J109" s="140" t="s">
        <v>6600</v>
      </c>
      <c r="K109" s="139" t="s">
        <v>6601</v>
      </c>
      <c r="L109" s="97" t="s">
        <v>6602</v>
      </c>
      <c r="M109" s="300" t="s">
        <v>6593</v>
      </c>
      <c r="N109" s="140" t="s">
        <v>6594</v>
      </c>
      <c r="O109" s="154" t="s">
        <v>6603</v>
      </c>
      <c r="P109" s="100" t="s">
        <v>6604</v>
      </c>
      <c r="Q109" s="300" t="s">
        <v>6593</v>
      </c>
      <c r="R109" s="156" t="s">
        <v>6594</v>
      </c>
      <c r="S109" s="154" t="str">
        <f>IFERROR(__xludf.DUMMYFUNCTION("GOOGLETRANSLATE(C109,""zh-tw"",""es-MX"")"),"Derrotar al ASABA normal te recompensará con la ""Fresa de ASABA"".")</f>
        <v>Derrotar al ASABA normal te recompensará con la "Fresa de ASABA".</v>
      </c>
      <c r="T109" s="100" t="str">
        <f>IFERROR(__xludf.DUMMYFUNCTION("GOOGLETRANSLATE(D109,""zh-tw"",""es-MX"")"),"Fresas de ASABA")</f>
        <v>Fresas de ASABA</v>
      </c>
      <c r="U109" s="300" t="s">
        <v>6593</v>
      </c>
      <c r="V109" s="156" t="str">
        <f>IFERROR(__xludf.DUMMYFUNCTION("GOOGLETRANSLATE(B109,""zh-tw"",""KO"")"),"아사바-4")</f>
        <v>아사바-4</v>
      </c>
      <c r="W109" s="154" t="str">
        <f>IFERROR(__xludf.DUMMYFUNCTION("GOOGLETRANSLATE(C109,""zh-tw"",""KO"")"),"일반 아사바를 물리치면 ""아사바의 딸기""를 보상으로 받게 됩니다.")</f>
        <v>일반 아사바를 물리치면 "아사바의 딸기"를 보상으로 받게 됩니다.</v>
      </c>
      <c r="X109" s="100" t="str">
        <f>IFERROR(__xludf.DUMMYFUNCTION("GOOGLETRANSLATE(D109,""zh-tw"",""KO"")"),"아사바산 딸기")</f>
        <v>아사바산 딸기</v>
      </c>
      <c r="Y109" s="301" t="s">
        <v>6593</v>
      </c>
      <c r="Z109" s="145" t="s">
        <v>6605</v>
      </c>
      <c r="AA109" s="345" t="s">
        <v>6606</v>
      </c>
      <c r="AB109" s="166" t="s">
        <v>6607</v>
      </c>
      <c r="AC109" s="300" t="s">
        <v>6593</v>
      </c>
      <c r="AD109" s="240" t="s">
        <v>6605</v>
      </c>
      <c r="AE109" s="224" t="s">
        <v>6608</v>
      </c>
      <c r="AF109" s="85" t="s">
        <v>6609</v>
      </c>
      <c r="AG109" s="300" t="s">
        <v>6593</v>
      </c>
      <c r="AH109" s="140" t="str">
        <f>IFERROR(__xludf.DUMMYFUNCTION("GOOGLETRANSLATE(B109,""zh-tw"",""de"")"),"ASABA-4")</f>
        <v>ASABA-4</v>
      </c>
      <c r="AI109" s="139" t="str">
        <f>IFERROR(__xludf.DUMMYFUNCTION("GOOGLETRANSLATE(C109,""zh-tw"",""de"")"),"Wenn du den normalen ASABA besiegst, erhältst du als Belohnung ""ASABAs Erdbeere"".")</f>
        <v>Wenn du den normalen ASABA besiegst, erhältst du als Belohnung "ASABAs Erdbeere".</v>
      </c>
      <c r="AJ109" s="97" t="s">
        <v>6610</v>
      </c>
      <c r="AK109" s="300" t="s">
        <v>6593</v>
      </c>
      <c r="AL109" s="302" t="s">
        <v>6600</v>
      </c>
      <c r="AM109" s="169" t="s">
        <v>6611</v>
      </c>
      <c r="AN109" s="172" t="s">
        <v>6612</v>
      </c>
      <c r="AO109" s="300" t="s">
        <v>6593</v>
      </c>
      <c r="AP109" s="156" t="s">
        <v>6600</v>
      </c>
      <c r="AQ109" s="154" t="s">
        <v>6613</v>
      </c>
      <c r="AR109" s="100" t="s">
        <v>6614</v>
      </c>
      <c r="AS109" s="300" t="s">
        <v>6593</v>
      </c>
      <c r="AT109" s="136" t="s">
        <v>6594</v>
      </c>
      <c r="AU109" s="154" t="s">
        <v>6615</v>
      </c>
      <c r="AV109" s="100" t="s">
        <v>6616</v>
      </c>
    </row>
    <row r="110">
      <c r="A110" s="300" t="s">
        <v>6617</v>
      </c>
      <c r="B110" s="140" t="s">
        <v>6618</v>
      </c>
      <c r="C110" s="139" t="s">
        <v>6619</v>
      </c>
      <c r="D110" s="97" t="s">
        <v>6620</v>
      </c>
      <c r="E110" s="300" t="s">
        <v>6617</v>
      </c>
      <c r="F110" s="140" t="s">
        <v>6621</v>
      </c>
      <c r="G110" s="139" t="s">
        <v>6622</v>
      </c>
      <c r="H110" s="97" t="s">
        <v>6623</v>
      </c>
      <c r="I110" s="300" t="s">
        <v>6617</v>
      </c>
      <c r="J110" s="140" t="s">
        <v>6624</v>
      </c>
      <c r="K110" s="139" t="s">
        <v>6625</v>
      </c>
      <c r="L110" s="97" t="s">
        <v>6626</v>
      </c>
      <c r="M110" s="300" t="s">
        <v>6617</v>
      </c>
      <c r="N110" s="140" t="s">
        <v>6618</v>
      </c>
      <c r="O110" s="154" t="s">
        <v>6627</v>
      </c>
      <c r="P110" s="100" t="s">
        <v>6628</v>
      </c>
      <c r="Q110" s="300" t="s">
        <v>6617</v>
      </c>
      <c r="R110" s="156" t="s">
        <v>6618</v>
      </c>
      <c r="S110" s="154" t="str">
        <f>IFERROR(__xludf.DUMMYFUNCTION("GOOGLETRANSLATE(C110,""zh-tw"",""es-MX"")"),"Alimentar a ASABA con ""La fresa de ASABA"" iniciará una batalla contra un JEFE.")</f>
        <v>Alimentar a ASABA con "La fresa de ASABA" iniciará una batalla contra un JEFE.</v>
      </c>
      <c r="T110" s="100" t="str">
        <f>IFERROR(__xludf.DUMMYFUNCTION("GOOGLETRANSLATE(D110,""zh-tw"",""es-MX"")"),"Derrotar al enemigo te recompensará con la ""Fresa de ASABA"".")</f>
        <v>Derrotar al enemigo te recompensará con la "Fresa de ASABA".</v>
      </c>
      <c r="U110" s="300" t="s">
        <v>6617</v>
      </c>
      <c r="V110" s="156" t="str">
        <f>IFERROR(__xludf.DUMMYFUNCTION("GOOGLETRANSLATE(B110,""zh-tw"",""KO"")"),"아사바-5")</f>
        <v>아사바-5</v>
      </c>
      <c r="W110" s="154" t="str">
        <f>IFERROR(__xludf.DUMMYFUNCTION("GOOGLETRANSLATE(C110,""zh-tw"",""KO"")"),"아사바에게 ""아사바의 딸기""를 먹이면 보스전이 시작됩니다.")</f>
        <v>아사바에게 "아사바의 딸기"를 먹이면 보스전이 시작됩니다.</v>
      </c>
      <c r="X110" s="100" t="str">
        <f>IFERROR(__xludf.DUMMYFUNCTION("GOOGLETRANSLATE(D110,""zh-tw"",""KO"")"),"적을 물리치면 ""아사바의 딸기""를 보상으로 받게 됩니다.")</f>
        <v>적을 물리치면 "아사바의 딸기"를 보상으로 받게 됩니다.</v>
      </c>
      <c r="Y110" s="301" t="s">
        <v>6617</v>
      </c>
      <c r="Z110" s="145" t="s">
        <v>6629</v>
      </c>
      <c r="AA110" s="190" t="s">
        <v>6630</v>
      </c>
      <c r="AB110" s="166" t="s">
        <v>6631</v>
      </c>
      <c r="AC110" s="300" t="s">
        <v>6617</v>
      </c>
      <c r="AD110" s="240" t="s">
        <v>6629</v>
      </c>
      <c r="AE110" s="224" t="s">
        <v>6632</v>
      </c>
      <c r="AF110" s="85" t="s">
        <v>6633</v>
      </c>
      <c r="AG110" s="300" t="s">
        <v>6617</v>
      </c>
      <c r="AH110" s="140" t="str">
        <f>IFERROR(__xludf.DUMMYFUNCTION("GOOGLETRANSLATE(B110,""zh-tw"",""de"")"),"ASABA-5")</f>
        <v>ASABA-5</v>
      </c>
      <c r="AI110" s="139" t="str">
        <f>IFERROR(__xludf.DUMMYFUNCTION("GOOGLETRANSLATE(C110,""zh-tw"",""de"")"),"Wenn man ASABA mit „ASABAs Erdbeere“ füttert, wird ein Bosskampf ausgelöst.")</f>
        <v>Wenn man ASABA mit „ASABAs Erdbeere“ füttert, wird ein Bosskampf ausgelöst.</v>
      </c>
      <c r="AJ110" s="97" t="s">
        <v>6634</v>
      </c>
      <c r="AK110" s="300" t="s">
        <v>6617</v>
      </c>
      <c r="AL110" s="302" t="s">
        <v>6624</v>
      </c>
      <c r="AM110" s="169" t="s">
        <v>6635</v>
      </c>
      <c r="AN110" s="172" t="s">
        <v>6636</v>
      </c>
      <c r="AO110" s="300" t="s">
        <v>6617</v>
      </c>
      <c r="AP110" s="156" t="s">
        <v>6624</v>
      </c>
      <c r="AQ110" s="154" t="s">
        <v>6637</v>
      </c>
      <c r="AR110" s="100" t="s">
        <v>6638</v>
      </c>
      <c r="AS110" s="300" t="s">
        <v>6617</v>
      </c>
      <c r="AT110" s="136" t="s">
        <v>6618</v>
      </c>
      <c r="AU110" s="154" t="s">
        <v>6639</v>
      </c>
      <c r="AV110" s="100" t="s">
        <v>6640</v>
      </c>
    </row>
    <row r="111">
      <c r="A111" s="300" t="s">
        <v>6641</v>
      </c>
      <c r="B111" s="140" t="s">
        <v>6642</v>
      </c>
      <c r="C111" s="139" t="s">
        <v>6643</v>
      </c>
      <c r="D111" s="97" t="s">
        <v>6644</v>
      </c>
      <c r="E111" s="300" t="s">
        <v>6641</v>
      </c>
      <c r="F111" s="140" t="s">
        <v>6645</v>
      </c>
      <c r="G111" s="139" t="s">
        <v>6646</v>
      </c>
      <c r="H111" s="97" t="s">
        <v>6647</v>
      </c>
      <c r="I111" s="300" t="s">
        <v>6641</v>
      </c>
      <c r="J111" s="140" t="s">
        <v>6648</v>
      </c>
      <c r="K111" s="139" t="s">
        <v>6649</v>
      </c>
      <c r="L111" s="97" t="s">
        <v>6650</v>
      </c>
      <c r="M111" s="300" t="s">
        <v>6641</v>
      </c>
      <c r="N111" s="140" t="s">
        <v>6642</v>
      </c>
      <c r="O111" s="154" t="s">
        <v>6651</v>
      </c>
      <c r="P111" s="100" t="s">
        <v>6652</v>
      </c>
      <c r="Q111" s="300" t="s">
        <v>6641</v>
      </c>
      <c r="R111" s="156" t="s">
        <v>6642</v>
      </c>
      <c r="S111" s="154" t="str">
        <f>IFERROR(__xludf.DUMMYFUNCTION("GOOGLETRANSLATE(C111,""zh-tw"",""es-MX"")"),"Del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111" s="100" t="str">
        <f>IFERROR(__xludf.DUMMYFUNCTION("GOOGLETRANSLATE(D111,""zh-tw"",""es-MX"")"),"Consigue el equipo ""¡Recupera las fresas!""
(Consulta la barra de habilidades para ver los comandos)")</f>
        <v>Consigue el equipo "¡Recupera las fresas!"
(Consulta la barra de habilidades para ver los comandos)</v>
      </c>
      <c r="U111" s="300" t="s">
        <v>6641</v>
      </c>
      <c r="V111" s="156" t="str">
        <f>IFERROR(__xludf.DUMMYFUNCTION("GOOGLETRANSLATE(B111,""zh-tw"",""KO"")"),"아사바-6")</f>
        <v>아사바-6</v>
      </c>
      <c r="W111" s="154" t="str">
        <f>IFERROR(__xludf.DUMMYFUNCTION("GOOGLETRANSLATE(C111,""zh-tw"",""KO"")"),"마찬가지로, 보스의 궁극기 공격을 더 많이 맞을수록 특별한 아이템을 얻을 확률이 높아집니다.")</f>
        <v>마찬가지로, 보스의 궁극기 공격을 더 많이 맞을수록 특별한 아이템을 얻을 확률이 높아집니다.</v>
      </c>
      <c r="X111" s="100" t="str">
        <f>IFERROR(__xludf.DUMMYFUNCTION("GOOGLETRANSLATE(D111,""zh-tw"",""KO"")"),"""딸기 되찾기!!"" 장비를 획득하세요!
(명령어는 스킬 바를 참조하세요)")</f>
        <v>"딸기 되찾기!!" 장비를 획득하세요!
(명령어는 스킬 바를 참조하세요)</v>
      </c>
      <c r="Y111" s="301" t="s">
        <v>6641</v>
      </c>
      <c r="Z111" s="145" t="s">
        <v>6653</v>
      </c>
      <c r="AA111" s="190" t="s">
        <v>6654</v>
      </c>
      <c r="AB111" s="166" t="s">
        <v>6631</v>
      </c>
      <c r="AC111" s="300" t="s">
        <v>6641</v>
      </c>
      <c r="AD111" s="240" t="s">
        <v>6653</v>
      </c>
      <c r="AE111" s="224" t="s">
        <v>6655</v>
      </c>
      <c r="AF111" s="85" t="s">
        <v>6656</v>
      </c>
      <c r="AG111" s="300" t="s">
        <v>6641</v>
      </c>
      <c r="AH111" s="140" t="str">
        <f>IFERROR(__xludf.DUMMYFUNCTION("GOOGLETRANSLATE(B111,""zh-tw"",""de"")"),"ASABA-6")</f>
        <v>ASABA-6</v>
      </c>
      <c r="AI111" s="139" t="str">
        <f>IFERROR(__xludf.DUMMYFUNCTION("GOOGLETRANSLATE(C111,""zh-tw"",""de"")"),"Genauso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J111" s="97" t="str">
        <f>IFERROR(__xludf.DUMMYFUNCTION("GOOGLETRANSLATE(D111,""zh-tw"",""de"")"),"Hol dir die Ausrüstung „Erdbeeren zurückerobern!!“
(Befehle siehe Fertigkeitsleiste)")</f>
        <v>Hol dir die Ausrüstung „Erdbeeren zurückerobern!!“
(Befehle siehe Fertigkeitsleiste)</v>
      </c>
      <c r="AK111" s="300" t="s">
        <v>6641</v>
      </c>
      <c r="AL111" s="302" t="s">
        <v>6648</v>
      </c>
      <c r="AM111" s="169" t="s">
        <v>6657</v>
      </c>
      <c r="AN111" s="172" t="s">
        <v>6658</v>
      </c>
      <c r="AO111" s="300" t="s">
        <v>6641</v>
      </c>
      <c r="AP111" s="156" t="s">
        <v>6648</v>
      </c>
      <c r="AQ111" s="154" t="s">
        <v>6659</v>
      </c>
      <c r="AR111" s="100" t="s">
        <v>6660</v>
      </c>
      <c r="AS111" s="300" t="s">
        <v>6641</v>
      </c>
      <c r="AT111" s="136" t="s">
        <v>6642</v>
      </c>
      <c r="AU111" s="154" t="s">
        <v>6661</v>
      </c>
      <c r="AV111" s="100" t="s">
        <v>6662</v>
      </c>
    </row>
    <row r="112">
      <c r="A112" s="300" t="s">
        <v>6663</v>
      </c>
      <c r="B112" s="140" t="s">
        <v>6664</v>
      </c>
      <c r="C112" s="139" t="s">
        <v>6665</v>
      </c>
      <c r="D112" s="97" t="s">
        <v>6666</v>
      </c>
      <c r="E112" s="300" t="s">
        <v>6663</v>
      </c>
      <c r="F112" s="140" t="s">
        <v>6664</v>
      </c>
      <c r="G112" s="139" t="s">
        <v>6667</v>
      </c>
      <c r="H112" s="97" t="s">
        <v>6668</v>
      </c>
      <c r="I112" s="300" t="s">
        <v>6663</v>
      </c>
      <c r="J112" s="140" t="s">
        <v>6664</v>
      </c>
      <c r="K112" s="139" t="s">
        <v>6669</v>
      </c>
      <c r="L112" s="97" t="s">
        <v>6670</v>
      </c>
      <c r="M112" s="300" t="s">
        <v>6663</v>
      </c>
      <c r="N112" s="140" t="s">
        <v>6664</v>
      </c>
      <c r="O112" s="154" t="s">
        <v>6671</v>
      </c>
      <c r="P112" s="100" t="s">
        <v>6672</v>
      </c>
      <c r="Q112" s="300" t="s">
        <v>6663</v>
      </c>
      <c r="R112" s="156" t="s">
        <v>6664</v>
      </c>
      <c r="S112" s="154" t="str">
        <f>IFERROR(__xludf.DUMMYFUNCTION("GOOGLETRANSLATE(C112,""zh-tw"",""es-MX"")"),"Este pequeño monstruo podría aparecer cuando estés friendo pescado.")</f>
        <v>Este pequeño monstruo podría aparecer cuando estés friendo pescado.</v>
      </c>
      <c r="T112" s="100" t="str">
        <f>IFERROR(__xludf.DUMMYFUNCTION("GOOGLETRANSLATE(D112,""zh-tw"",""es-MX"")"),"Tortuga Sakaban (Pequeña) - Botín al ser derrotada: ◉▽◉ (Azul)")</f>
        <v>Tortuga Sakaban (Pequeña) - Botín al ser derrotada: ◉▽◉ (Azul)</v>
      </c>
      <c r="U112" s="300" t="s">
        <v>6663</v>
      </c>
      <c r="V112" s="156" t="str">
        <f>IFERROR(__xludf.DUMMYFUNCTION("GOOGLETRANSLATE(B112,""zh-tw"",""KO"")"),"◉▽◉?")</f>
        <v>◉▽◉?</v>
      </c>
      <c r="W112" s="154" t="str">
        <f>IFERROR(__xludf.DUMMYFUNCTION("GOOGLETRANSLATE(C112,""zh-tw"",""KO"")"),"이 작은 괴물은 생선을 튀길 때 나타날 수도 있습니다.")</f>
        <v>이 작은 괴물은 생선을 튀길 때 나타날 수도 있습니다.</v>
      </c>
      <c r="X112" s="100" t="str">
        <f>IFERROR(__xludf.DUMMYFUNCTION("GOOGLETRANSLATE(D112,""zh-tw"",""KO"")"),"사카반 거북 (소형) - 처치 시 드롭 아이템: ◉▽◉ (파란색)")</f>
        <v>사카반 거북 (소형) - 처치 시 드롭 아이템: ◉▽◉ (파란색)</v>
      </c>
      <c r="Y112" s="301" t="s">
        <v>6663</v>
      </c>
      <c r="Z112" s="145" t="s">
        <v>6664</v>
      </c>
      <c r="AA112" s="190" t="s">
        <v>6673</v>
      </c>
      <c r="AB112" s="166" t="s">
        <v>6674</v>
      </c>
      <c r="AC112" s="300" t="s">
        <v>6663</v>
      </c>
      <c r="AD112" s="240" t="s">
        <v>6664</v>
      </c>
      <c r="AE112" s="224" t="s">
        <v>6675</v>
      </c>
      <c r="AF112" s="85" t="s">
        <v>6676</v>
      </c>
      <c r="AG112" s="300" t="s">
        <v>6663</v>
      </c>
      <c r="AH112" s="140" t="str">
        <f>IFERROR(__xludf.DUMMYFUNCTION("GOOGLETRANSLATE(B112,""zh-tw"",""de"")"),"◉▽◉?")</f>
        <v>◉▽◉?</v>
      </c>
      <c r="AI112" s="139" t="str">
        <f>IFERROR(__xludf.DUMMYFUNCTION("GOOGLETRANSLATE(C112,""zh-tw"",""de"")"),"Dieses kleine Monster könnte auftauchen, wenn man gerade Fisch brät.")</f>
        <v>Dieses kleine Monster könnte auftauchen, wenn man gerade Fisch brät.</v>
      </c>
      <c r="AJ112" s="97" t="str">
        <f>IFERROR(__xludf.DUMMYFUNCTION("GOOGLETRANSLATE(D112,""zh-tw"",""de"")"),"Sakaban-Schildkröte (Klein) - Beute nach Niederlage: ◉▽◉ (Blau)")</f>
        <v>Sakaban-Schildkröte (Klein) - Beute nach Niederlage: ◉▽◉ (Blau)</v>
      </c>
      <c r="AK112" s="300" t="s">
        <v>6663</v>
      </c>
      <c r="AL112" s="149" t="s">
        <v>6664</v>
      </c>
      <c r="AM112" s="169" t="s">
        <v>6677</v>
      </c>
      <c r="AN112" s="172" t="s">
        <v>6678</v>
      </c>
      <c r="AO112" s="300" t="s">
        <v>6663</v>
      </c>
      <c r="AP112" s="156" t="s">
        <v>6664</v>
      </c>
      <c r="AQ112" s="154" t="s">
        <v>6679</v>
      </c>
      <c r="AR112" s="100" t="s">
        <v>6680</v>
      </c>
      <c r="AS112" s="300" t="s">
        <v>6663</v>
      </c>
      <c r="AT112" s="136" t="s">
        <v>6664</v>
      </c>
      <c r="AU112" s="154" t="s">
        <v>6681</v>
      </c>
      <c r="AV112" s="100" t="s">
        <v>6682</v>
      </c>
    </row>
    <row r="113">
      <c r="A113" s="300" t="s">
        <v>6683</v>
      </c>
      <c r="B113" s="140" t="s">
        <v>6684</v>
      </c>
      <c r="C113" s="139" t="s">
        <v>6685</v>
      </c>
      <c r="D113" s="97" t="s">
        <v>6686</v>
      </c>
      <c r="E113" s="300" t="s">
        <v>6683</v>
      </c>
      <c r="F113" s="140" t="s">
        <v>6684</v>
      </c>
      <c r="G113" s="139" t="s">
        <v>6687</v>
      </c>
      <c r="H113" s="97" t="s">
        <v>6688</v>
      </c>
      <c r="I113" s="300" t="s">
        <v>6683</v>
      </c>
      <c r="J113" s="140" t="s">
        <v>6684</v>
      </c>
      <c r="K113" s="139" t="s">
        <v>6689</v>
      </c>
      <c r="L113" s="97" t="s">
        <v>6690</v>
      </c>
      <c r="M113" s="300" t="s">
        <v>6683</v>
      </c>
      <c r="N113" s="140" t="s">
        <v>6684</v>
      </c>
      <c r="O113" s="154" t="s">
        <v>6691</v>
      </c>
      <c r="P113" s="100" t="s">
        <v>6692</v>
      </c>
      <c r="Q113" s="300" t="s">
        <v>6683</v>
      </c>
      <c r="R113" s="156" t="s">
        <v>6684</v>
      </c>
      <c r="S113" s="154" t="str">
        <f>IFERROR(__xludf.DUMMYFUNCTION("GOOGLETRANSLATE(C113,""zh-tw"",""es-MX"")"),"Este monstruo puede aparecer con baja probabilidad al freír pescado.")</f>
        <v>Este monstruo puede aparecer con baja probabilidad al freír pescado.</v>
      </c>
      <c r="T113" s="100" t="str">
        <f>IFERROR(__xludf.DUMMYFUNCTION("GOOGLETRANSLATE(D113,""zh-tw"",""es-MX"")"),"Tortuga Sakaban (Grande) - Suelta al ser derrotada: ◉▽◉ (Morado)")</f>
        <v>Tortuga Sakaban (Grande) - Suelta al ser derrotada: ◉▽◉ (Morado)</v>
      </c>
      <c r="U113" s="300" t="s">
        <v>6683</v>
      </c>
      <c r="V113" s="156" t="str">
        <f>IFERROR(__xludf.DUMMYFUNCTION("GOOGLETRANSLATE(B113,""zh-tw"",""KO"")"),"◉▽◉!?")</f>
        <v>◉▽◉!?</v>
      </c>
      <c r="W113" s="154" t="str">
        <f>IFERROR(__xludf.DUMMYFUNCTION("GOOGLETRANSLATE(C113,""zh-tw"",""KO"")"),"이 괴물은 생선을 튀길 때 낮은 확률로 나타날 수 있습니다.")</f>
        <v>이 괴물은 생선을 튀길 때 낮은 확률로 나타날 수 있습니다.</v>
      </c>
      <c r="X113" s="100" t="str">
        <f>IFERROR(__xludf.DUMMYFUNCTION("GOOGLETRANSLATE(D113,""zh-tw"",""KO"")"),"사카반 거북 (대형) - 처치 시 드롭 아이템: ◉▽◉ (보라색)")</f>
        <v>사카반 거북 (대형) - 처치 시 드롭 아이템: ◉▽◉ (보라색)</v>
      </c>
      <c r="Y113" s="301" t="s">
        <v>6683</v>
      </c>
      <c r="Z113" s="145" t="s">
        <v>6693</v>
      </c>
      <c r="AA113" s="190" t="s">
        <v>6694</v>
      </c>
      <c r="AB113" s="166" t="s">
        <v>6695</v>
      </c>
      <c r="AC113" s="300" t="s">
        <v>6683</v>
      </c>
      <c r="AD113" s="240" t="s">
        <v>6693</v>
      </c>
      <c r="AE113" s="224" t="s">
        <v>6696</v>
      </c>
      <c r="AF113" s="85" t="s">
        <v>6697</v>
      </c>
      <c r="AG113" s="300" t="s">
        <v>6683</v>
      </c>
      <c r="AH113" s="140" t="str">
        <f>IFERROR(__xludf.DUMMYFUNCTION("GOOGLETRANSLATE(B113,""zh-tw"",""de"")"),"◉▽◉!?")</f>
        <v>◉▽◉!?</v>
      </c>
      <c r="AI113" s="139" t="str">
        <f>IFERROR(__xludf.DUMMYFUNCTION("GOOGLETRANSLATE(C113,""zh-tw"",""de"")"),"Dieses Monster kann mit geringer Wahrscheinlichkeit beim Braten von Fisch erscheinen.")</f>
        <v>Dieses Monster kann mit geringer Wahrscheinlichkeit beim Braten von Fisch erscheinen.</v>
      </c>
      <c r="AJ113" s="97" t="str">
        <f>IFERROR(__xludf.DUMMYFUNCTION("GOOGLETRANSLATE(D113,""zh-tw"",""de"")"),"Sakaban-Schildkröte (Groß) – Beute nach Niederlage: ◉▽◉ (Lila)")</f>
        <v>Sakaban-Schildkröte (Groß) – Beute nach Niederlage: ◉▽◉ (Lila)</v>
      </c>
      <c r="AK113" s="300" t="s">
        <v>6683</v>
      </c>
      <c r="AL113" s="149" t="s">
        <v>6684</v>
      </c>
      <c r="AM113" s="169" t="s">
        <v>6698</v>
      </c>
      <c r="AN113" s="172" t="s">
        <v>6699</v>
      </c>
      <c r="AO113" s="300" t="s">
        <v>6683</v>
      </c>
      <c r="AP113" s="156" t="s">
        <v>6684</v>
      </c>
      <c r="AQ113" s="154" t="s">
        <v>6700</v>
      </c>
      <c r="AR113" s="100" t="s">
        <v>6701</v>
      </c>
      <c r="AS113" s="300" t="s">
        <v>6683</v>
      </c>
      <c r="AT113" s="136" t="s">
        <v>6684</v>
      </c>
      <c r="AU113" s="154" t="s">
        <v>6702</v>
      </c>
      <c r="AV113" s="100" t="s">
        <v>6703</v>
      </c>
    </row>
    <row r="114">
      <c r="A114" s="300" t="s">
        <v>6704</v>
      </c>
      <c r="B114" s="140" t="s">
        <v>6705</v>
      </c>
      <c r="C114" s="139" t="s">
        <v>6706</v>
      </c>
      <c r="D114" s="97" t="s">
        <v>6707</v>
      </c>
      <c r="E114" s="300" t="s">
        <v>6704</v>
      </c>
      <c r="F114" s="140" t="s">
        <v>6705</v>
      </c>
      <c r="G114" s="139" t="s">
        <v>6708</v>
      </c>
      <c r="H114" s="97" t="s">
        <v>6709</v>
      </c>
      <c r="I114" s="300" t="s">
        <v>6704</v>
      </c>
      <c r="J114" s="140" t="s">
        <v>6705</v>
      </c>
      <c r="K114" s="139" t="s">
        <v>6710</v>
      </c>
      <c r="L114" s="97" t="s">
        <v>6711</v>
      </c>
      <c r="M114" s="300" t="s">
        <v>6704</v>
      </c>
      <c r="N114" s="140" t="s">
        <v>6705</v>
      </c>
      <c r="O114" s="154" t="s">
        <v>6712</v>
      </c>
      <c r="P114" s="100" t="s">
        <v>6713</v>
      </c>
      <c r="Q114" s="300" t="s">
        <v>6704</v>
      </c>
      <c r="R114" s="156" t="s">
        <v>6714</v>
      </c>
      <c r="S114" s="154" t="str">
        <f>IFERROR(__xludf.DUMMYFUNCTION("GOOGLETRANSLATE(C114,""zh-tw"",""es-MX"")"),"Cuando la probabilidad es baja y se dan las condiciones del terreno, puede aparecer un JEFE.
(Explicación detallada en los CONSEJOS)")</f>
        <v>Cuando la probabilidad es baja y se dan las condiciones del terreno, puede aparecer un JEFE.
(Explicación detallada en los CONSEJOS)</v>
      </c>
      <c r="T114" s="100" t="str">
        <f>IFERROR(__xludf.DUMMYFUNCTION("GOOGLETRANSLATE(D114,""zh-tw"",""es-MX"")"),"Jefe invocado: ¡El Señor del Río, que debería estar extinto! (Rey Tortuga)
Botín al ser derrotado: Decreto Real, ◉▽◉ (Rosa)")</f>
        <v>Jefe invocado: ¡El Señor del Río, que debería estar extinto! (Rey Tortuga)
Botín al ser derrotado: Decreto Real, ◉▽◉ (Rosa)</v>
      </c>
      <c r="U114" s="300" t="s">
        <v>6704</v>
      </c>
      <c r="V114" s="156" t="str">
        <f>IFERROR(__xludf.DUMMYFUNCTION("GOOGLETRANSLATE(B114,""zh-tw"",""KO"")"),"♔
◉▽◉")</f>
        <v>♔
◉▽◉</v>
      </c>
      <c r="W114" s="154" t="str">
        <f>IFERROR(__xludf.DUMMYFUNCTION("GOOGLETRANSLATE(C114,""zh-tw"",""KO"")"),"희귀한 확률이 충분히 높고 지형 조건이 충족되면 보스 몬스터가 소환될 수 있습니다.
(자세한 설명은 팁을 참조하세요)")</f>
        <v>희귀한 확률이 충분히 높고 지형 조건이 충족되면 보스 몬스터가 소환될 수 있습니다.
(자세한 설명은 팁을 참조하세요)</v>
      </c>
      <c r="X114" s="100" t="str">
        <f>IFERROR(__xludf.DUMMYFUNCTION("GOOGLETRANSLATE(D114,""zh-tw"",""KO"")"),"소환 보스: 사라져야 할 강의 군주!? (거북왕)
전리품: 왕의 칙령, ◉▽◉ (분홍색)")</f>
        <v>소환 보스: 사라져야 할 강의 군주!? (거북왕)
전리품: 왕의 칙령, ◉▽◉ (분홍색)</v>
      </c>
      <c r="Y114" s="301" t="s">
        <v>6704</v>
      </c>
      <c r="Z114" s="145" t="s">
        <v>6715</v>
      </c>
      <c r="AA114" s="190" t="s">
        <v>6716</v>
      </c>
      <c r="AB114" s="166" t="s">
        <v>6717</v>
      </c>
      <c r="AC114" s="300" t="s">
        <v>6704</v>
      </c>
      <c r="AD114" s="240" t="s">
        <v>6714</v>
      </c>
      <c r="AE114" s="224" t="s">
        <v>6718</v>
      </c>
      <c r="AF114" s="85" t="s">
        <v>6719</v>
      </c>
      <c r="AG114" s="300" t="s">
        <v>6704</v>
      </c>
      <c r="AH114" s="140" t="str">
        <f>IFERROR(__xludf.DUMMYFUNCTION("GOOGLETRANSLATE(B114,""zh-tw"",""de"")"),"♔
◉▽◉")</f>
        <v>♔
◉▽◉</v>
      </c>
      <c r="AI114" s="139" t="str">
        <f>IFERROR(__xludf.DUMMYFUNCTION("GOOGLETRANSLATE(C114,""zh-tw"",""de"")"),"Wenn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J114" s="97" t="str">
        <f>IFERROR(__xludf.DUMMYFUNCTION("GOOGLETRANSLATE(D114,""zh-tw"",""de"")"),"Beschwörungsboss: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K114" s="300" t="s">
        <v>6704</v>
      </c>
      <c r="AL114" s="171" t="s">
        <v>6714</v>
      </c>
      <c r="AM114" s="169" t="s">
        <v>6720</v>
      </c>
      <c r="AN114" s="170" t="s">
        <v>6721</v>
      </c>
      <c r="AO114" s="300" t="s">
        <v>6704</v>
      </c>
      <c r="AP114" s="156" t="s">
        <v>6705</v>
      </c>
      <c r="AQ114" s="154" t="s">
        <v>6722</v>
      </c>
      <c r="AR114" s="97" t="s">
        <v>6723</v>
      </c>
      <c r="AS114" s="300" t="s">
        <v>6704</v>
      </c>
      <c r="AT114" s="136" t="s">
        <v>6714</v>
      </c>
      <c r="AU114" s="154" t="s">
        <v>6724</v>
      </c>
      <c r="AV114" s="100" t="s">
        <v>6725</v>
      </c>
    </row>
    <row r="115">
      <c r="A115" s="300" t="s">
        <v>6726</v>
      </c>
      <c r="B115" s="140" t="s">
        <v>6727</v>
      </c>
      <c r="C115" s="139" t="s">
        <v>6728</v>
      </c>
      <c r="D115" s="97" t="s">
        <v>6729</v>
      </c>
      <c r="E115" s="300" t="s">
        <v>6726</v>
      </c>
      <c r="F115" s="140" t="s">
        <v>6730</v>
      </c>
      <c r="G115" s="139" t="s">
        <v>6731</v>
      </c>
      <c r="H115" s="97" t="s">
        <v>6732</v>
      </c>
      <c r="I115" s="300" t="s">
        <v>6726</v>
      </c>
      <c r="J115" s="140" t="s">
        <v>6733</v>
      </c>
      <c r="K115" s="139" t="s">
        <v>6734</v>
      </c>
      <c r="L115" s="97" t="s">
        <v>6735</v>
      </c>
      <c r="M115" s="300" t="s">
        <v>6726</v>
      </c>
      <c r="N115" s="140" t="s">
        <v>6736</v>
      </c>
      <c r="O115" s="154" t="s">
        <v>6737</v>
      </c>
      <c r="P115" s="100" t="s">
        <v>6738</v>
      </c>
      <c r="Q115" s="300" t="s">
        <v>6726</v>
      </c>
      <c r="R115" s="156" t="s">
        <v>6739</v>
      </c>
      <c r="S115" s="154" t="str">
        <f>IFERROR(__xludf.DUMMYFUNCTION("GOOGLETRANSLATE(C115,""zh-tw"",""es-MX"")"),"Cuando las tortugas seguidoras o el rey tortuga se encuentran con la superficie del agua, corren de vuelta al agua.")</f>
        <v>Cuando las tortugas seguidoras o el rey tortuga se encuentran con la superficie del agua, corren de vuelta al agua.</v>
      </c>
      <c r="T115" s="100" t="str">
        <f>IFERROR(__xludf.DUMMYFUNCTION("GOOGLETRANSLATE(D115,""zh-tw"",""es-MX"")"),"Escape de objeto")</f>
        <v>Escape de objeto</v>
      </c>
      <c r="U115" s="300" t="s">
        <v>6726</v>
      </c>
      <c r="V115" s="156" t="str">
        <f>IFERROR(__xludf.DUMMYFUNCTION("GOOGLETRANSLATE(B115,""zh-tw"",""KO"")"),"물로 돌아가기")</f>
        <v>물로 돌아가기</v>
      </c>
      <c r="W115" s="154" t="str">
        <f>IFERROR(__xludf.DUMMYFUNCTION("GOOGLETRANSLATE(C115,""zh-tw"",""KO"")"),"거북이의 추종자들이나 거북이 왕은 수면을 만나면 다시 물속으로 뛰어들어갑니다.")</f>
        <v>거북이의 추종자들이나 거북이 왕은 수면을 만나면 다시 물속으로 뛰어들어갑니다.</v>
      </c>
      <c r="X115" s="100" t="str">
        <f>IFERROR(__xludf.DUMMYFUNCTION("GOOGLETRANSLATE(D115,""zh-tw"",""KO"")"),"객체 탈출")</f>
        <v>객체 탈출</v>
      </c>
      <c r="Y115" s="301" t="s">
        <v>6726</v>
      </c>
      <c r="Z115" s="145" t="s">
        <v>6740</v>
      </c>
      <c r="AA115" s="190" t="s">
        <v>6741</v>
      </c>
      <c r="AB115" s="166" t="s">
        <v>6742</v>
      </c>
      <c r="AC115" s="300" t="s">
        <v>6726</v>
      </c>
      <c r="AD115" s="145" t="s">
        <v>6743</v>
      </c>
      <c r="AE115" s="190" t="s">
        <v>6744</v>
      </c>
      <c r="AF115" s="166" t="s">
        <v>6745</v>
      </c>
      <c r="AG115" s="300" t="s">
        <v>6726</v>
      </c>
      <c r="AH115" s="140" t="s">
        <v>6746</v>
      </c>
      <c r="AI115" s="139" t="str">
        <f>IFERROR(__xludf.DUMMYFUNCTION("GOOGLETRANSLATE(C115,""zh-tw"",""de"")"),"Wenn die Schildkrötenanhänger oder der Schildkrötenkönig die Wasseroberfläche erreichen, rennen sie zurück ins Wasser.")</f>
        <v>Wenn die Schildkrötenanhänger oder der Schildkrötenkönig die Wasseroberfläche erreichen, rennen sie zurück ins Wasser.</v>
      </c>
      <c r="AJ115" s="97" t="s">
        <v>6747</v>
      </c>
      <c r="AK115" s="300" t="s">
        <v>6726</v>
      </c>
      <c r="AL115" s="302" t="s">
        <v>6748</v>
      </c>
      <c r="AM115" s="169" t="s">
        <v>6749</v>
      </c>
      <c r="AN115" s="172" t="s">
        <v>6750</v>
      </c>
      <c r="AO115" s="300" t="s">
        <v>6726</v>
      </c>
      <c r="AP115" s="156" t="s">
        <v>6751</v>
      </c>
      <c r="AQ115" s="139" t="s">
        <v>6752</v>
      </c>
      <c r="AR115" s="100" t="s">
        <v>6753</v>
      </c>
      <c r="AS115" s="300" t="s">
        <v>6726</v>
      </c>
      <c r="AT115" s="136" t="s">
        <v>6754</v>
      </c>
      <c r="AU115" s="154" t="s">
        <v>6755</v>
      </c>
      <c r="AV115" s="100" t="s">
        <v>6756</v>
      </c>
    </row>
    <row r="116">
      <c r="A116" s="300" t="s">
        <v>6757</v>
      </c>
      <c r="B116" s="140" t="s">
        <v>6758</v>
      </c>
      <c r="C116" s="139" t="s">
        <v>6759</v>
      </c>
      <c r="D116" s="97" t="s">
        <v>1289</v>
      </c>
      <c r="E116" s="300" t="s">
        <v>6757</v>
      </c>
      <c r="F116" s="140" t="s">
        <v>6760</v>
      </c>
      <c r="G116" s="139" t="s">
        <v>6761</v>
      </c>
      <c r="H116" s="97" t="s">
        <v>1292</v>
      </c>
      <c r="I116" s="300" t="s">
        <v>6757</v>
      </c>
      <c r="J116" s="140" t="s">
        <v>6762</v>
      </c>
      <c r="K116" s="139" t="s">
        <v>6763</v>
      </c>
      <c r="L116" s="97" t="s">
        <v>1660</v>
      </c>
      <c r="M116" s="300" t="s">
        <v>6757</v>
      </c>
      <c r="N116" s="140" t="s">
        <v>6764</v>
      </c>
      <c r="O116" s="154" t="s">
        <v>6765</v>
      </c>
      <c r="P116" s="100" t="s">
        <v>3739</v>
      </c>
      <c r="Q116" s="300" t="s">
        <v>6757</v>
      </c>
      <c r="R116" s="156" t="s">
        <v>6766</v>
      </c>
      <c r="S116" s="154" t="str">
        <f>IFERROR(__xludf.DUMMYFUNCTION("GOOGLETRANSLATE(C116,""zh-tw"",""es-MX"")"),"Tras descongelar la Gran Espada de Zanahoria Congelada sobre una hoguera, podrás obtener la Gran Espada de Zanahoria Mohosa.")</f>
        <v>Tras descongelar la Gran Espada de Zanahoria Congelada sobre una hoguera, podrás obtener la Gran Espada de Zanahoria Mohosa.</v>
      </c>
      <c r="T116" s="100" t="str">
        <f>IFERROR(__xludf.DUMMYFUNCTION("GOOGLETRANSLATE(D116,""zh-tw"",""es-MX"")"),"No implementado")</f>
        <v>No implementado</v>
      </c>
      <c r="U116" s="300" t="s">
        <v>6757</v>
      </c>
      <c r="V116" s="156" t="str">
        <f>IFERROR(__xludf.DUMMYFUNCTION("GOOGLETRANSLATE(B116,""zh-tw"",""KO"")"),"큰 검")</f>
        <v>큰 검</v>
      </c>
      <c r="W116" s="154" t="str">
        <f>IFERROR(__xludf.DUMMYFUNCTION("GOOGLETRANSLATE(C116,""zh-tw"",""KO"")"),"캠프파이어에서 얼어붙은 당근 대검을 녹이면 곰팡이 핀 당근 대검을 얻을 수 있습니다.")</f>
        <v>캠프파이어에서 얼어붙은 당근 대검을 녹이면 곰팡이 핀 당근 대검을 얻을 수 있습니다.</v>
      </c>
      <c r="X116" s="100" t="str">
        <f>IFERROR(__xludf.DUMMYFUNCTION("GOOGLETRANSLATE(D116,""zh-tw"",""KO"")"),"구현되지 않음")</f>
        <v>구현되지 않음</v>
      </c>
      <c r="Y116" s="301" t="s">
        <v>6757</v>
      </c>
      <c r="Z116" s="145" t="s">
        <v>6767</v>
      </c>
      <c r="AA116" s="190" t="s">
        <v>6768</v>
      </c>
      <c r="AB116" s="166" t="s">
        <v>6429</v>
      </c>
      <c r="AC116" s="300" t="s">
        <v>6757</v>
      </c>
      <c r="AD116" s="145" t="s">
        <v>6769</v>
      </c>
      <c r="AE116" s="190" t="s">
        <v>6770</v>
      </c>
      <c r="AF116" s="166" t="s">
        <v>6432</v>
      </c>
      <c r="AG116" s="300" t="s">
        <v>6757</v>
      </c>
      <c r="AH116" s="140" t="s">
        <v>6771</v>
      </c>
      <c r="AI116" s="139" t="str">
        <f>IFERROR(__xludf.DUMMYFUNCTION("GOOGLETRANSLATE(C116,""zh-tw"",""de"")"),"Nachdem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J116" s="97" t="s">
        <v>1310</v>
      </c>
      <c r="AK116" s="300" t="s">
        <v>6757</v>
      </c>
      <c r="AL116" s="302" t="s">
        <v>6772</v>
      </c>
      <c r="AM116" s="173" t="s">
        <v>6773</v>
      </c>
      <c r="AN116" s="172" t="s">
        <v>1498</v>
      </c>
      <c r="AO116" s="300" t="s">
        <v>6757</v>
      </c>
      <c r="AP116" s="156" t="s">
        <v>6774</v>
      </c>
      <c r="AQ116" s="154" t="s">
        <v>6775</v>
      </c>
      <c r="AR116" s="100" t="s">
        <v>1676</v>
      </c>
      <c r="AS116" s="300" t="s">
        <v>6757</v>
      </c>
      <c r="AT116" s="136" t="s">
        <v>6776</v>
      </c>
      <c r="AU116" s="154" t="s">
        <v>6777</v>
      </c>
      <c r="AV116" s="100" t="s">
        <v>1965</v>
      </c>
    </row>
    <row r="117">
      <c r="A117" s="300" t="s">
        <v>6778</v>
      </c>
      <c r="B117" s="140" t="s">
        <v>6779</v>
      </c>
      <c r="C117" s="139" t="s">
        <v>6780</v>
      </c>
      <c r="D117" s="97" t="s">
        <v>1289</v>
      </c>
      <c r="E117" s="300" t="s">
        <v>6778</v>
      </c>
      <c r="F117" s="140" t="s">
        <v>6781</v>
      </c>
      <c r="G117" s="139" t="s">
        <v>6782</v>
      </c>
      <c r="H117" s="97" t="s">
        <v>1292</v>
      </c>
      <c r="I117" s="300" t="s">
        <v>6778</v>
      </c>
      <c r="J117" s="140" t="s">
        <v>6783</v>
      </c>
      <c r="K117" s="139" t="s">
        <v>6784</v>
      </c>
      <c r="L117" s="97" t="s">
        <v>1660</v>
      </c>
      <c r="M117" s="300" t="s">
        <v>6778</v>
      </c>
      <c r="N117" s="140" t="s">
        <v>6785</v>
      </c>
      <c r="O117" s="154" t="s">
        <v>6786</v>
      </c>
      <c r="P117" s="100" t="s">
        <v>3739</v>
      </c>
      <c r="Q117" s="300" t="s">
        <v>6778</v>
      </c>
      <c r="R117" s="156" t="s">
        <v>6787</v>
      </c>
      <c r="S117" s="154" t="str">
        <f>IFERROR(__xludf.DUMMYFUNCTION("GOOGLETRANSLATE(C117,""zh-tw"",""es-MX"")"),"Usar la gran espada de zanahoria alrededor de la fogata invocará a una simpática conejita sirvienta que te ayudará a teletransportarte por el mapa.")</f>
        <v>Usar la gran espada de zanahoria alrededor de la fogata invocará a una simpática conejita sirvienta que te ayudará a teletransportarte por el mapa.</v>
      </c>
      <c r="T117" s="100" t="str">
        <f>IFERROR(__xludf.DUMMYFUNCTION("GOOGLETRANSLATE(D117,""zh-tw"",""es-MX"")"),"No implementado")</f>
        <v>No implementado</v>
      </c>
      <c r="U117" s="300" t="s">
        <v>6778</v>
      </c>
      <c r="V117" s="156" t="str">
        <f>IFERROR(__xludf.DUMMYFUNCTION("GOOGLETRANSLATE(B117,""zh-tw"",""KO"")"),"당근 대검 - 1")</f>
        <v>당근 대검 - 1</v>
      </c>
      <c r="W117" s="154" t="str">
        <f>IFERROR(__xludf.DUMMYFUNCTION("GOOGLETRANSLATE(C117,""zh-tw"",""KO"")"),"캠프파이어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117" s="100" t="str">
        <f>IFERROR(__xludf.DUMMYFUNCTION("GOOGLETRANSLATE(D117,""zh-tw"",""KO"")"),"구현되지 않음")</f>
        <v>구현되지 않음</v>
      </c>
      <c r="Y117" s="301" t="s">
        <v>6778</v>
      </c>
      <c r="Z117" s="145" t="s">
        <v>6788</v>
      </c>
      <c r="AA117" s="190" t="s">
        <v>6789</v>
      </c>
      <c r="AB117" s="166" t="s">
        <v>6429</v>
      </c>
      <c r="AC117" s="300" t="s">
        <v>6778</v>
      </c>
      <c r="AD117" s="145" t="s">
        <v>6790</v>
      </c>
      <c r="AE117" s="190" t="s">
        <v>6791</v>
      </c>
      <c r="AF117" s="166" t="s">
        <v>6432</v>
      </c>
      <c r="AG117" s="300" t="s">
        <v>6778</v>
      </c>
      <c r="AH117" s="140" t="s">
        <v>6792</v>
      </c>
      <c r="AI117" s="139" t="str">
        <f>IFERROR(__xludf.DUMMYFUNCTION("GOOGLETRANSLATE(C117,""zh-tw"",""de"")"),"Wenn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J117" s="97" t="s">
        <v>1310</v>
      </c>
      <c r="AK117" s="300" t="s">
        <v>6778</v>
      </c>
      <c r="AL117" s="302" t="s">
        <v>6793</v>
      </c>
      <c r="AM117" s="169" t="s">
        <v>6794</v>
      </c>
      <c r="AN117" s="172" t="s">
        <v>1498</v>
      </c>
      <c r="AO117" s="300" t="s">
        <v>6778</v>
      </c>
      <c r="AP117" s="156" t="s">
        <v>6795</v>
      </c>
      <c r="AQ117" s="154" t="s">
        <v>6796</v>
      </c>
      <c r="AR117" s="100" t="s">
        <v>1676</v>
      </c>
      <c r="AS117" s="300" t="s">
        <v>6778</v>
      </c>
      <c r="AT117" s="136" t="s">
        <v>6797</v>
      </c>
      <c r="AU117" s="154" t="s">
        <v>6798</v>
      </c>
      <c r="AV117" s="100" t="s">
        <v>1965</v>
      </c>
    </row>
    <row r="118">
      <c r="A118" s="300" t="s">
        <v>6799</v>
      </c>
      <c r="B118" s="140" t="s">
        <v>6800</v>
      </c>
      <c r="C118" s="139" t="s">
        <v>6801</v>
      </c>
      <c r="D118" s="97" t="s">
        <v>6802</v>
      </c>
      <c r="E118" s="300" t="s">
        <v>6799</v>
      </c>
      <c r="F118" s="140" t="s">
        <v>6803</v>
      </c>
      <c r="G118" s="139" t="s">
        <v>6804</v>
      </c>
      <c r="H118" s="97" t="s">
        <v>6805</v>
      </c>
      <c r="I118" s="300" t="s">
        <v>6799</v>
      </c>
      <c r="J118" s="140" t="s">
        <v>6806</v>
      </c>
      <c r="K118" s="139" t="s">
        <v>6807</v>
      </c>
      <c r="L118" s="97" t="s">
        <v>6808</v>
      </c>
      <c r="M118" s="300" t="s">
        <v>6799</v>
      </c>
      <c r="N118" s="140" t="str">
        <f>IFERROR(__xludf.DUMMYFUNCTION("GOOGLETRANSLATE(B118,""zh-tw"",""zh"")"),"封印之柱")</f>
        <v>封印之柱</v>
      </c>
      <c r="O118" s="154" t="s">
        <v>6809</v>
      </c>
      <c r="P118" s="100" t="str">
        <f>IFERROR(__xludf.DUMMYFUNCTION("GOOGLETRANSLATE(D118,""zh-tw"",""zh"")"),"领域范围内玩家无法自由离开，且领域内会出现强力怪物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f>
        <v>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v>
      </c>
      <c r="Q118" s="300" t="s">
        <v>6799</v>
      </c>
      <c r="R118" s="156" t="str">
        <f>IFERROR(__xludf.DUMMYFUNCTION("GOOGLETRANSLATE(B118,""zh-tw"",""es-MX"")"),"Pilar del Sello")</f>
        <v>Pilar del Sello</v>
      </c>
      <c r="S118" s="154" t="str">
        <f>IFERROR(__xludf.DUMMYFUNCTION("GOOGLETRANSLATE(C118,""zh-tw"",""es-MX"")"),"Cuando la ""Concentración de Aura Abisal"" supera cierto valor, el ""Pilar de Sellado"" aparecerá en una ubicación aleatoria del Abismo.
La [Carta del Tarot - Torre] puede invocarlo directamente y marcar su ubicación (el jugador debe estar en el Abismo).")</f>
        <v>Cuando la "Concentración de Aura Abisal" supera cierto valor, el "Pilar de Sellado" aparecerá en una ubicación aleatoria del Abismo.
La [Carta del Tarot - Torre] puede invocarlo directamente y marcar su ubicación (el jugador debe estar en el Abismo).</v>
      </c>
      <c r="T118" s="100" t="str">
        <f>IFERROR(__xludf.DUMMYFUNCTION("GOOGLETRANSLATE(D118,""zh-tw"",""es-MX"")"),"Los jugadores no pueden abandonar la zona libremente, y aparecerán poderosos monstruos en su interior.
En la fase final aparecerá el [Demonio lascivo].
Debes derrotar a todos los monstruos para eliminar el muro de la zona.
Los monstruos del mapa, tanto"&amp;" dentro como fuera de la zona, también sufrirán daño al atravesar el muro.
Puedes escapar usando la teletransportación, pero el pilar de sellado desaparecerá tras tu huida.")</f>
        <v>Los jugadores no pueden abandonar la zona libremente, y aparecerán poderosos monstruos en su interior.
En la fase final aparecerá el [Demonio lascivo].
Debes derrotar a todos los monstruos para eliminar el muro de la zona.
Los monstruos del mapa, tanto dentro como fuera de la zona, también sufrirán daño al atravesar el muro.
Puedes escapar usando la teletransportación, pero el pilar de sellado desaparecerá tras tu huida.</v>
      </c>
      <c r="U118" s="300" t="s">
        <v>6799</v>
      </c>
      <c r="V118" s="156" t="str">
        <f>IFERROR(__xludf.DUMMYFUNCTION("GOOGLETRANSLATE(B118,""zh-tw"",""KO"")"),"봉인의 기둥")</f>
        <v>봉인의 기둥</v>
      </c>
      <c r="W118" s="154" t="str">
        <f>IFERROR(__xludf.DUMMYFUNCTION("GOOGLETRANSLATE(C118,""zh-tw"",""KO"")"),"""심연의 기운 집중도""가 특정 값을 초과하면 심연의 임의 위치에 ""봉인 기둥""이 나타납니다.
[타로 카드 - 탑]을 사용하면 봉인 기둥을 직접 소환하고 위치를 표시할 수 있습니다 (플레이어는 심연에 있어야 합니다).")</f>
        <v>"심연의 기운 집중도"가 특정 값을 초과하면 심연의 임의 위치에 "봉인 기둥"이 나타납니다.
[타로 카드 - 탑]을 사용하면 봉인 기둥을 직접 소환하고 위치를 표시할 수 있습니다 (플레이어는 심연에 있어야 합니다).</v>
      </c>
      <c r="X118" s="100" t="str">
        <f>IFERROR(__xludf.DUMMYFUNCTION("GOOGLETRANSLATE(D118,""zh-tw"",""KO"")"),"플레이어는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f>
        <v>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v>
      </c>
      <c r="Y118" s="301" t="s">
        <v>6799</v>
      </c>
      <c r="Z118" s="145" t="s">
        <v>6810</v>
      </c>
      <c r="AA118" s="190" t="s">
        <v>6811</v>
      </c>
      <c r="AB118" s="166" t="s">
        <v>6812</v>
      </c>
      <c r="AC118" s="300" t="s">
        <v>6799</v>
      </c>
      <c r="AD118" s="145" t="s">
        <v>6813</v>
      </c>
      <c r="AE118" s="190" t="s">
        <v>6814</v>
      </c>
      <c r="AF118" s="166" t="s">
        <v>6815</v>
      </c>
      <c r="AG118" s="300" t="s">
        <v>6799</v>
      </c>
      <c r="AH118" s="140" t="s">
        <v>6816</v>
      </c>
      <c r="AI118" s="139" t="s">
        <v>6817</v>
      </c>
      <c r="AJ118" s="97" t="s">
        <v>6818</v>
      </c>
      <c r="AK118" s="300" t="s">
        <v>6799</v>
      </c>
      <c r="AL118" s="303" t="s">
        <v>6819</v>
      </c>
      <c r="AM118" s="173" t="s">
        <v>6820</v>
      </c>
      <c r="AN118" s="172" t="s">
        <v>6821</v>
      </c>
      <c r="AO118" s="300" t="s">
        <v>6799</v>
      </c>
      <c r="AP118" s="156" t="s">
        <v>6822</v>
      </c>
      <c r="AQ118" s="154" t="s">
        <v>6823</v>
      </c>
      <c r="AR118" s="100" t="s">
        <v>6824</v>
      </c>
      <c r="AS118" s="300" t="s">
        <v>6799</v>
      </c>
      <c r="AT118" s="136" t="s">
        <v>6825</v>
      </c>
      <c r="AU118" s="154" t="s">
        <v>6826</v>
      </c>
      <c r="AV118" s="100" t="s">
        <v>6827</v>
      </c>
    </row>
    <row r="119">
      <c r="A119" s="300" t="s">
        <v>6828</v>
      </c>
      <c r="B119" s="140" t="s">
        <v>6829</v>
      </c>
      <c r="C119" s="139" t="s">
        <v>6830</v>
      </c>
      <c r="D119" s="97" t="s">
        <v>6831</v>
      </c>
      <c r="E119" s="300" t="s">
        <v>6828</v>
      </c>
      <c r="F119" s="140" t="s">
        <v>6832</v>
      </c>
      <c r="G119" s="139" t="s">
        <v>6833</v>
      </c>
      <c r="H119" s="97" t="s">
        <v>6834</v>
      </c>
      <c r="I119" s="300" t="s">
        <v>6828</v>
      </c>
      <c r="J119" s="140" t="s">
        <v>6835</v>
      </c>
      <c r="K119" s="139" t="s">
        <v>6836</v>
      </c>
      <c r="L119" s="97" t="s">
        <v>6837</v>
      </c>
      <c r="M119" s="357"/>
      <c r="N119" s="156"/>
      <c r="O119" s="154"/>
      <c r="P119" s="100"/>
      <c r="Q119" s="357"/>
      <c r="R119" s="156"/>
      <c r="S119" s="154"/>
      <c r="T119" s="100"/>
      <c r="U119" s="357"/>
      <c r="V119" s="156"/>
      <c r="W119" s="154"/>
      <c r="X119" s="100"/>
      <c r="Y119" s="358" t="s">
        <v>6828</v>
      </c>
      <c r="Z119" s="359" t="s">
        <v>6838</v>
      </c>
      <c r="AA119" s="345" t="s">
        <v>6839</v>
      </c>
      <c r="AB119" s="166" t="s">
        <v>6840</v>
      </c>
      <c r="AC119" s="300" t="s">
        <v>6828</v>
      </c>
      <c r="AD119" s="231" t="s">
        <v>6841</v>
      </c>
      <c r="AE119" s="360" t="s">
        <v>6842</v>
      </c>
      <c r="AF119" s="223" t="s">
        <v>6843</v>
      </c>
      <c r="AG119" s="357"/>
      <c r="AH119" s="140" t="s">
        <v>6844</v>
      </c>
      <c r="AI119" s="274" t="s">
        <v>6845</v>
      </c>
      <c r="AJ119" s="86" t="s">
        <v>6846</v>
      </c>
      <c r="AK119" s="300" t="s">
        <v>6828</v>
      </c>
      <c r="AL119" s="361" t="s">
        <v>6847</v>
      </c>
      <c r="AM119" s="173" t="s">
        <v>6848</v>
      </c>
      <c r="AN119" s="170" t="s">
        <v>6849</v>
      </c>
      <c r="AO119" s="300" t="s">
        <v>6828</v>
      </c>
      <c r="AP119" s="362" t="s">
        <v>6850</v>
      </c>
      <c r="AQ119" s="139" t="s">
        <v>6851</v>
      </c>
      <c r="AR119" s="97" t="s">
        <v>6852</v>
      </c>
      <c r="AS119" s="357"/>
      <c r="AT119" s="363"/>
      <c r="AU119" s="364"/>
      <c r="AV119" s="100"/>
    </row>
    <row r="120">
      <c r="A120" s="300" t="s">
        <v>6853</v>
      </c>
      <c r="B120" s="140" t="s">
        <v>6854</v>
      </c>
      <c r="C120" s="139" t="s">
        <v>6855</v>
      </c>
      <c r="D120" s="97" t="s">
        <v>6856</v>
      </c>
      <c r="E120" s="300" t="s">
        <v>6853</v>
      </c>
      <c r="F120" s="140" t="s">
        <v>6857</v>
      </c>
      <c r="G120" s="139" t="s">
        <v>6858</v>
      </c>
      <c r="H120" s="97" t="s">
        <v>6859</v>
      </c>
      <c r="I120" s="300" t="s">
        <v>6853</v>
      </c>
      <c r="J120" s="140" t="s">
        <v>6860</v>
      </c>
      <c r="K120" s="139" t="s">
        <v>6861</v>
      </c>
      <c r="L120" s="100"/>
      <c r="M120" s="357"/>
      <c r="N120" s="156"/>
      <c r="O120" s="154"/>
      <c r="P120" s="100"/>
      <c r="Q120" s="357"/>
      <c r="R120" s="156"/>
      <c r="S120" s="154"/>
      <c r="T120" s="100"/>
      <c r="U120" s="357"/>
      <c r="V120" s="156"/>
      <c r="W120" s="154"/>
      <c r="X120" s="100"/>
      <c r="Y120" s="301" t="s">
        <v>6853</v>
      </c>
      <c r="Z120" s="341" t="s">
        <v>6862</v>
      </c>
      <c r="AA120" s="365" t="s">
        <v>6863</v>
      </c>
      <c r="AB120" s="147" t="s">
        <v>6864</v>
      </c>
      <c r="AC120" s="301" t="s">
        <v>6853</v>
      </c>
      <c r="AD120" s="145" t="s">
        <v>6865</v>
      </c>
      <c r="AE120" s="345" t="s">
        <v>6866</v>
      </c>
      <c r="AF120" s="166" t="s">
        <v>6867</v>
      </c>
      <c r="AG120" s="357"/>
      <c r="AH120" s="140" t="s">
        <v>6868</v>
      </c>
      <c r="AI120" s="274" t="s">
        <v>6869</v>
      </c>
      <c r="AJ120" s="366"/>
      <c r="AK120" s="300" t="s">
        <v>6853</v>
      </c>
      <c r="AL120" s="361" t="s">
        <v>6870</v>
      </c>
      <c r="AM120" s="173" t="s">
        <v>6871</v>
      </c>
      <c r="AN120" s="238"/>
      <c r="AO120" s="300" t="s">
        <v>6853</v>
      </c>
      <c r="AP120" s="362" t="s">
        <v>6872</v>
      </c>
      <c r="AQ120" s="139" t="s">
        <v>6873</v>
      </c>
      <c r="AR120" s="97" t="s">
        <v>6874</v>
      </c>
      <c r="AS120" s="357"/>
      <c r="AT120" s="363"/>
      <c r="AU120" s="364"/>
      <c r="AV120" s="100"/>
    </row>
    <row r="121">
      <c r="A121" s="357"/>
      <c r="B121" s="156"/>
      <c r="C121" s="154"/>
      <c r="D121" s="100"/>
      <c r="E121" s="357"/>
      <c r="F121" s="156"/>
      <c r="G121" s="154"/>
      <c r="H121" s="100"/>
      <c r="I121" s="357"/>
      <c r="J121" s="156"/>
      <c r="K121" s="154"/>
      <c r="L121" s="100"/>
      <c r="M121" s="357"/>
      <c r="N121" s="156"/>
      <c r="O121" s="154"/>
      <c r="P121" s="100"/>
      <c r="Q121" s="357"/>
      <c r="R121" s="156"/>
      <c r="S121" s="154"/>
      <c r="T121" s="100"/>
      <c r="U121" s="357"/>
      <c r="V121" s="156"/>
      <c r="W121" s="154"/>
      <c r="X121" s="100"/>
      <c r="Y121" s="357"/>
      <c r="Z121" s="363"/>
      <c r="AA121" s="364"/>
      <c r="AB121" s="100"/>
      <c r="AC121" s="357"/>
      <c r="AD121" s="367"/>
      <c r="AE121" s="368"/>
      <c r="AF121" s="98"/>
      <c r="AG121" s="357"/>
      <c r="AH121" s="156"/>
      <c r="AI121" s="305"/>
      <c r="AJ121" s="366"/>
      <c r="AK121" s="357"/>
      <c r="AL121" s="369"/>
      <c r="AM121" s="370"/>
      <c r="AN121" s="238"/>
      <c r="AO121" s="357"/>
      <c r="AP121" s="363"/>
      <c r="AQ121" s="364"/>
      <c r="AR121" s="100"/>
      <c r="AS121" s="357"/>
      <c r="AT121" s="363"/>
      <c r="AU121" s="364"/>
      <c r="AV121" s="100"/>
    </row>
    <row r="122">
      <c r="A122" s="357"/>
      <c r="B122" s="156"/>
      <c r="C122" s="154"/>
      <c r="D122" s="100"/>
      <c r="E122" s="357"/>
      <c r="F122" s="156"/>
      <c r="G122" s="154"/>
      <c r="H122" s="100"/>
      <c r="I122" s="357"/>
      <c r="J122" s="156"/>
      <c r="K122" s="154"/>
      <c r="L122" s="100"/>
      <c r="M122" s="357"/>
      <c r="N122" s="156"/>
      <c r="O122" s="154"/>
      <c r="P122" s="100"/>
      <c r="Q122" s="357"/>
      <c r="R122" s="156"/>
      <c r="S122" s="154"/>
      <c r="T122" s="100"/>
      <c r="U122" s="357"/>
      <c r="V122" s="156"/>
      <c r="W122" s="154"/>
      <c r="X122" s="100"/>
      <c r="Y122" s="357"/>
      <c r="Z122" s="363"/>
      <c r="AA122" s="364"/>
      <c r="AB122" s="100"/>
      <c r="AC122" s="357"/>
      <c r="AD122" s="367"/>
      <c r="AE122" s="368"/>
      <c r="AF122" s="98"/>
      <c r="AG122" s="357"/>
      <c r="AH122" s="156"/>
      <c r="AI122" s="305"/>
      <c r="AJ122" s="366"/>
      <c r="AK122" s="357"/>
      <c r="AL122" s="369"/>
      <c r="AM122" s="370"/>
      <c r="AN122" s="238"/>
      <c r="AO122" s="357"/>
      <c r="AP122" s="363"/>
      <c r="AQ122" s="364"/>
      <c r="AR122" s="100"/>
      <c r="AS122" s="357"/>
      <c r="AT122" s="363"/>
      <c r="AU122" s="364"/>
      <c r="AV122" s="100"/>
    </row>
    <row r="123">
      <c r="A123" s="357"/>
      <c r="B123" s="156"/>
      <c r="C123" s="154"/>
      <c r="D123" s="100"/>
      <c r="E123" s="357"/>
      <c r="F123" s="156"/>
      <c r="G123" s="154"/>
      <c r="H123" s="100"/>
      <c r="I123" s="357"/>
      <c r="J123" s="156"/>
      <c r="K123" s="154"/>
      <c r="L123" s="100"/>
      <c r="M123" s="357"/>
      <c r="N123" s="156"/>
      <c r="O123" s="154"/>
      <c r="P123" s="100"/>
      <c r="Q123" s="357"/>
      <c r="R123" s="156"/>
      <c r="S123" s="154"/>
      <c r="T123" s="100"/>
      <c r="U123" s="357"/>
      <c r="V123" s="156"/>
      <c r="W123" s="154"/>
      <c r="X123" s="100"/>
      <c r="Y123" s="357"/>
      <c r="Z123" s="363"/>
      <c r="AA123" s="364"/>
      <c r="AB123" s="100"/>
      <c r="AC123" s="357"/>
      <c r="AD123" s="367"/>
      <c r="AE123" s="368"/>
      <c r="AF123" s="98"/>
      <c r="AG123" s="357"/>
      <c r="AH123" s="156"/>
      <c r="AI123" s="305"/>
      <c r="AJ123" s="366"/>
      <c r="AK123" s="357"/>
      <c r="AL123" s="369"/>
      <c r="AM123" s="370"/>
      <c r="AN123" s="238"/>
      <c r="AO123" s="357"/>
      <c r="AP123" s="363"/>
      <c r="AQ123" s="364"/>
      <c r="AR123" s="100"/>
      <c r="AS123" s="357"/>
      <c r="AT123" s="363"/>
      <c r="AU123" s="364"/>
      <c r="AV123" s="100"/>
    </row>
    <row r="124">
      <c r="A124" s="357"/>
      <c r="B124" s="156"/>
      <c r="C124" s="154"/>
      <c r="D124" s="100"/>
      <c r="E124" s="357"/>
      <c r="F124" s="156"/>
      <c r="G124" s="154"/>
      <c r="H124" s="100"/>
      <c r="I124" s="357"/>
      <c r="J124" s="156"/>
      <c r="K124" s="154"/>
      <c r="L124" s="100"/>
      <c r="M124" s="357"/>
      <c r="N124" s="156"/>
      <c r="O124" s="154"/>
      <c r="P124" s="100"/>
      <c r="Q124" s="357"/>
      <c r="R124" s="156"/>
      <c r="S124" s="154"/>
      <c r="T124" s="100"/>
      <c r="U124" s="357"/>
      <c r="V124" s="156"/>
      <c r="W124" s="154"/>
      <c r="X124" s="100"/>
      <c r="Y124" s="357"/>
      <c r="Z124" s="363"/>
      <c r="AA124" s="364"/>
      <c r="AB124" s="100"/>
      <c r="AC124" s="357"/>
      <c r="AD124" s="367"/>
      <c r="AE124" s="368"/>
      <c r="AF124" s="98"/>
      <c r="AG124" s="357"/>
      <c r="AH124" s="156"/>
      <c r="AI124" s="305"/>
      <c r="AJ124" s="366"/>
      <c r="AK124" s="357"/>
      <c r="AL124" s="369"/>
      <c r="AM124" s="370"/>
      <c r="AN124" s="238"/>
      <c r="AO124" s="357"/>
      <c r="AP124" s="363"/>
      <c r="AQ124" s="364"/>
      <c r="AR124" s="100"/>
      <c r="AS124" s="357"/>
      <c r="AT124" s="363"/>
      <c r="AU124" s="364"/>
      <c r="AV124" s="100"/>
    </row>
    <row r="125">
      <c r="A125" s="357"/>
      <c r="B125" s="156"/>
      <c r="C125" s="154"/>
      <c r="D125" s="100"/>
      <c r="E125" s="357"/>
      <c r="F125" s="156"/>
      <c r="G125" s="154"/>
      <c r="H125" s="100"/>
      <c r="I125" s="357"/>
      <c r="J125" s="156"/>
      <c r="K125" s="154"/>
      <c r="L125" s="100"/>
      <c r="M125" s="357"/>
      <c r="N125" s="156"/>
      <c r="O125" s="154"/>
      <c r="P125" s="100"/>
      <c r="Q125" s="357"/>
      <c r="R125" s="156"/>
      <c r="S125" s="154"/>
      <c r="T125" s="100"/>
      <c r="U125" s="357"/>
      <c r="V125" s="156"/>
      <c r="W125" s="154"/>
      <c r="X125" s="100"/>
      <c r="Y125" s="357"/>
      <c r="Z125" s="363"/>
      <c r="AA125" s="364"/>
      <c r="AB125" s="100"/>
      <c r="AC125" s="357"/>
      <c r="AD125" s="367"/>
      <c r="AE125" s="368"/>
      <c r="AF125" s="98"/>
      <c r="AG125" s="357"/>
      <c r="AH125" s="156"/>
      <c r="AI125" s="305"/>
      <c r="AJ125" s="366"/>
      <c r="AK125" s="357"/>
      <c r="AL125" s="369"/>
      <c r="AM125" s="370"/>
      <c r="AN125" s="238"/>
      <c r="AO125" s="357"/>
      <c r="AP125" s="363"/>
      <c r="AQ125" s="364"/>
      <c r="AR125" s="100"/>
      <c r="AS125" s="357"/>
      <c r="AT125" s="363"/>
      <c r="AU125" s="364"/>
      <c r="AV125" s="100"/>
    </row>
    <row r="126">
      <c r="A126" s="357"/>
      <c r="B126" s="156"/>
      <c r="C126" s="154"/>
      <c r="D126" s="100"/>
      <c r="E126" s="357"/>
      <c r="F126" s="156"/>
      <c r="G126" s="154"/>
      <c r="H126" s="100"/>
      <c r="I126" s="357"/>
      <c r="J126" s="156"/>
      <c r="K126" s="154"/>
      <c r="L126" s="100"/>
      <c r="M126" s="357"/>
      <c r="N126" s="156"/>
      <c r="O126" s="154"/>
      <c r="P126" s="100"/>
      <c r="Q126" s="357"/>
      <c r="R126" s="156"/>
      <c r="S126" s="154"/>
      <c r="T126" s="100"/>
      <c r="U126" s="357"/>
      <c r="V126" s="156"/>
      <c r="W126" s="154"/>
      <c r="X126" s="100"/>
      <c r="Y126" s="357"/>
      <c r="Z126" s="363"/>
      <c r="AA126" s="364"/>
      <c r="AB126" s="100"/>
      <c r="AC126" s="357"/>
      <c r="AD126" s="367"/>
      <c r="AE126" s="368"/>
      <c r="AF126" s="98"/>
      <c r="AG126" s="357"/>
      <c r="AH126" s="156"/>
      <c r="AI126" s="305"/>
      <c r="AJ126" s="366"/>
      <c r="AK126" s="357"/>
      <c r="AL126" s="369"/>
      <c r="AM126" s="370"/>
      <c r="AN126" s="238"/>
      <c r="AO126" s="357"/>
      <c r="AP126" s="363"/>
      <c r="AQ126" s="364"/>
      <c r="AR126" s="100"/>
      <c r="AS126" s="357"/>
      <c r="AT126" s="363"/>
      <c r="AU126" s="364"/>
      <c r="AV126" s="100"/>
    </row>
    <row r="127">
      <c r="A127" s="357"/>
      <c r="B127" s="156"/>
      <c r="C127" s="154"/>
      <c r="D127" s="100"/>
      <c r="E127" s="357"/>
      <c r="F127" s="156"/>
      <c r="G127" s="154"/>
      <c r="H127" s="100"/>
      <c r="I127" s="357"/>
      <c r="J127" s="156"/>
      <c r="K127" s="154"/>
      <c r="L127" s="100"/>
      <c r="M127" s="357"/>
      <c r="N127" s="156"/>
      <c r="O127" s="154"/>
      <c r="P127" s="100"/>
      <c r="Q127" s="357"/>
      <c r="R127" s="156"/>
      <c r="S127" s="154"/>
      <c r="T127" s="100"/>
      <c r="U127" s="357"/>
      <c r="V127" s="156"/>
      <c r="W127" s="154"/>
      <c r="X127" s="100"/>
      <c r="Y127" s="357"/>
      <c r="Z127" s="363"/>
      <c r="AA127" s="364"/>
      <c r="AB127" s="100"/>
      <c r="AC127" s="357"/>
      <c r="AD127" s="367"/>
      <c r="AE127" s="368"/>
      <c r="AF127" s="98"/>
      <c r="AG127" s="357"/>
      <c r="AH127" s="156"/>
      <c r="AI127" s="305"/>
      <c r="AJ127" s="366"/>
      <c r="AK127" s="357"/>
      <c r="AL127" s="369"/>
      <c r="AM127" s="370"/>
      <c r="AN127" s="238"/>
      <c r="AO127" s="357"/>
      <c r="AP127" s="363"/>
      <c r="AQ127" s="364"/>
      <c r="AR127" s="100"/>
      <c r="AS127" s="357"/>
      <c r="AT127" s="363"/>
      <c r="AU127" s="364"/>
      <c r="AV127" s="100"/>
    </row>
    <row r="128">
      <c r="A128" s="357"/>
      <c r="B128" s="156"/>
      <c r="C128" s="154"/>
      <c r="D128" s="100"/>
      <c r="E128" s="357"/>
      <c r="F128" s="156"/>
      <c r="G128" s="154"/>
      <c r="H128" s="100"/>
      <c r="I128" s="357"/>
      <c r="J128" s="156"/>
      <c r="K128" s="154"/>
      <c r="L128" s="100"/>
      <c r="M128" s="357"/>
      <c r="N128" s="156"/>
      <c r="O128" s="154"/>
      <c r="P128" s="100"/>
      <c r="Q128" s="357"/>
      <c r="R128" s="156"/>
      <c r="S128" s="154"/>
      <c r="T128" s="100"/>
      <c r="U128" s="357"/>
      <c r="V128" s="156"/>
      <c r="W128" s="154"/>
      <c r="X128" s="100"/>
      <c r="Y128" s="357"/>
      <c r="Z128" s="363"/>
      <c r="AA128" s="364"/>
      <c r="AB128" s="100"/>
      <c r="AC128" s="357"/>
      <c r="AD128" s="367"/>
      <c r="AE128" s="368"/>
      <c r="AF128" s="98"/>
      <c r="AG128" s="357"/>
      <c r="AH128" s="156"/>
      <c r="AI128" s="305"/>
      <c r="AJ128" s="366"/>
      <c r="AK128" s="357"/>
      <c r="AL128" s="369"/>
      <c r="AM128" s="370"/>
      <c r="AN128" s="238"/>
      <c r="AO128" s="357"/>
      <c r="AP128" s="363"/>
      <c r="AQ128" s="364"/>
      <c r="AR128" s="100"/>
      <c r="AS128" s="357"/>
      <c r="AT128" s="363"/>
      <c r="AU128" s="364"/>
      <c r="AV128" s="100"/>
    </row>
    <row r="129">
      <c r="A129" s="357"/>
      <c r="B129" s="156"/>
      <c r="C129" s="154"/>
      <c r="D129" s="100"/>
      <c r="E129" s="357"/>
      <c r="F129" s="156"/>
      <c r="G129" s="154"/>
      <c r="H129" s="100"/>
      <c r="I129" s="357"/>
      <c r="J129" s="156"/>
      <c r="K129" s="154"/>
      <c r="L129" s="100"/>
      <c r="M129" s="357"/>
      <c r="N129" s="156"/>
      <c r="O129" s="154"/>
      <c r="P129" s="100"/>
      <c r="Q129" s="357"/>
      <c r="R129" s="156"/>
      <c r="S129" s="154"/>
      <c r="T129" s="100"/>
      <c r="U129" s="357"/>
      <c r="V129" s="156"/>
      <c r="W129" s="154"/>
      <c r="X129" s="100"/>
      <c r="Y129" s="357"/>
      <c r="Z129" s="363"/>
      <c r="AA129" s="364"/>
      <c r="AB129" s="100"/>
      <c r="AC129" s="357"/>
      <c r="AD129" s="367"/>
      <c r="AE129" s="368"/>
      <c r="AF129" s="98"/>
      <c r="AG129" s="357"/>
      <c r="AH129" s="156"/>
      <c r="AI129" s="305"/>
      <c r="AJ129" s="366"/>
      <c r="AK129" s="357"/>
      <c r="AL129" s="369"/>
      <c r="AM129" s="370"/>
      <c r="AN129" s="238"/>
      <c r="AO129" s="357"/>
      <c r="AP129" s="363"/>
      <c r="AQ129" s="364"/>
      <c r="AR129" s="100"/>
      <c r="AS129" s="357"/>
      <c r="AT129" s="363"/>
      <c r="AU129" s="364"/>
      <c r="AV129" s="100"/>
    </row>
    <row r="130">
      <c r="A130" s="357"/>
      <c r="B130" s="156"/>
      <c r="C130" s="154"/>
      <c r="D130" s="100"/>
      <c r="E130" s="357"/>
      <c r="F130" s="156"/>
      <c r="G130" s="154"/>
      <c r="H130" s="100"/>
      <c r="I130" s="357"/>
      <c r="J130" s="156"/>
      <c r="K130" s="154"/>
      <c r="L130" s="100"/>
      <c r="M130" s="357"/>
      <c r="N130" s="156"/>
      <c r="O130" s="154"/>
      <c r="P130" s="100"/>
      <c r="Q130" s="357"/>
      <c r="R130" s="156"/>
      <c r="S130" s="154"/>
      <c r="T130" s="100"/>
      <c r="U130" s="357"/>
      <c r="V130" s="156"/>
      <c r="W130" s="154"/>
      <c r="X130" s="100"/>
      <c r="Y130" s="357"/>
      <c r="Z130" s="363"/>
      <c r="AA130" s="364"/>
      <c r="AB130" s="100"/>
      <c r="AC130" s="357"/>
      <c r="AD130" s="367"/>
      <c r="AE130" s="368"/>
      <c r="AF130" s="98"/>
      <c r="AG130" s="357"/>
      <c r="AH130" s="156"/>
      <c r="AI130" s="305"/>
      <c r="AJ130" s="366"/>
      <c r="AK130" s="357"/>
      <c r="AL130" s="369"/>
      <c r="AM130" s="370"/>
      <c r="AN130" s="238"/>
      <c r="AO130" s="357"/>
      <c r="AP130" s="363"/>
      <c r="AQ130" s="364"/>
      <c r="AR130" s="100"/>
      <c r="AS130" s="357"/>
      <c r="AT130" s="363"/>
      <c r="AU130" s="364"/>
      <c r="AV130" s="100"/>
    </row>
    <row r="131">
      <c r="A131" s="357"/>
      <c r="B131" s="156"/>
      <c r="C131" s="154"/>
      <c r="D131" s="100"/>
      <c r="E131" s="357"/>
      <c r="F131" s="156"/>
      <c r="G131" s="154"/>
      <c r="H131" s="100"/>
      <c r="I131" s="357"/>
      <c r="J131" s="156"/>
      <c r="K131" s="154"/>
      <c r="L131" s="100"/>
      <c r="M131" s="357"/>
      <c r="N131" s="156"/>
      <c r="O131" s="154"/>
      <c r="P131" s="100"/>
      <c r="Q131" s="357"/>
      <c r="R131" s="156"/>
      <c r="S131" s="154"/>
      <c r="T131" s="100"/>
      <c r="U131" s="357"/>
      <c r="V131" s="156"/>
      <c r="W131" s="154"/>
      <c r="X131" s="100"/>
      <c r="Y131" s="357"/>
      <c r="Z131" s="363"/>
      <c r="AA131" s="364"/>
      <c r="AB131" s="100"/>
      <c r="AC131" s="357"/>
      <c r="AD131" s="367"/>
      <c r="AE131" s="368"/>
      <c r="AF131" s="98"/>
      <c r="AG131" s="357"/>
      <c r="AH131" s="156"/>
      <c r="AI131" s="305"/>
      <c r="AJ131" s="366"/>
      <c r="AK131" s="357"/>
      <c r="AL131" s="369"/>
      <c r="AM131" s="370"/>
      <c r="AN131" s="238"/>
      <c r="AO131" s="357"/>
      <c r="AP131" s="363"/>
      <c r="AQ131" s="364"/>
      <c r="AR131" s="100"/>
      <c r="AS131" s="357"/>
      <c r="AT131" s="363"/>
      <c r="AU131" s="364"/>
      <c r="AV131" s="100"/>
    </row>
    <row r="132">
      <c r="A132" s="357"/>
      <c r="B132" s="156"/>
      <c r="C132" s="154"/>
      <c r="D132" s="100"/>
      <c r="E132" s="357"/>
      <c r="F132" s="156"/>
      <c r="G132" s="154"/>
      <c r="H132" s="100"/>
      <c r="I132" s="357"/>
      <c r="J132" s="156"/>
      <c r="K132" s="154"/>
      <c r="L132" s="100"/>
      <c r="M132" s="357"/>
      <c r="N132" s="156"/>
      <c r="O132" s="154"/>
      <c r="P132" s="100"/>
      <c r="Q132" s="357"/>
      <c r="R132" s="156"/>
      <c r="S132" s="154"/>
      <c r="T132" s="100"/>
      <c r="U132" s="357"/>
      <c r="V132" s="156"/>
      <c r="W132" s="154"/>
      <c r="X132" s="100"/>
      <c r="Y132" s="357"/>
      <c r="Z132" s="363"/>
      <c r="AA132" s="364"/>
      <c r="AB132" s="100"/>
      <c r="AC132" s="357"/>
      <c r="AD132" s="367"/>
      <c r="AE132" s="368"/>
      <c r="AF132" s="98"/>
      <c r="AG132" s="357"/>
      <c r="AH132" s="156"/>
      <c r="AI132" s="305"/>
      <c r="AJ132" s="366"/>
      <c r="AK132" s="357"/>
      <c r="AL132" s="369"/>
      <c r="AM132" s="370"/>
      <c r="AN132" s="238"/>
      <c r="AO132" s="357"/>
      <c r="AP132" s="363"/>
      <c r="AQ132" s="364"/>
      <c r="AR132" s="100"/>
      <c r="AS132" s="357"/>
      <c r="AT132" s="363"/>
      <c r="AU132" s="364"/>
      <c r="AV132" s="100"/>
    </row>
    <row r="133">
      <c r="A133" s="357"/>
      <c r="B133" s="156"/>
      <c r="C133" s="154"/>
      <c r="D133" s="100"/>
      <c r="E133" s="357"/>
      <c r="F133" s="156"/>
      <c r="G133" s="154"/>
      <c r="H133" s="100"/>
      <c r="I133" s="357"/>
      <c r="J133" s="156"/>
      <c r="K133" s="154"/>
      <c r="L133" s="100"/>
      <c r="M133" s="357"/>
      <c r="N133" s="156"/>
      <c r="O133" s="154"/>
      <c r="P133" s="100"/>
      <c r="Q133" s="357"/>
      <c r="R133" s="156"/>
      <c r="S133" s="154"/>
      <c r="T133" s="100"/>
      <c r="U133" s="357"/>
      <c r="V133" s="156"/>
      <c r="W133" s="154"/>
      <c r="X133" s="100"/>
      <c r="Y133" s="357"/>
      <c r="Z133" s="363"/>
      <c r="AA133" s="364"/>
      <c r="AB133" s="100"/>
      <c r="AC133" s="357"/>
      <c r="AD133" s="367"/>
      <c r="AE133" s="368"/>
      <c r="AF133" s="98"/>
      <c r="AG133" s="357"/>
      <c r="AH133" s="156"/>
      <c r="AI133" s="305"/>
      <c r="AJ133" s="366"/>
      <c r="AK133" s="357"/>
      <c r="AL133" s="369"/>
      <c r="AM133" s="370"/>
      <c r="AN133" s="238"/>
      <c r="AO133" s="357"/>
      <c r="AP133" s="363"/>
      <c r="AQ133" s="364"/>
      <c r="AR133" s="100"/>
      <c r="AS133" s="357"/>
      <c r="AT133" s="363"/>
      <c r="AU133" s="364"/>
      <c r="AV133" s="100"/>
    </row>
    <row r="134">
      <c r="A134" s="357"/>
      <c r="B134" s="156"/>
      <c r="C134" s="154"/>
      <c r="D134" s="100"/>
      <c r="E134" s="357"/>
      <c r="F134" s="156"/>
      <c r="G134" s="154"/>
      <c r="H134" s="100"/>
      <c r="I134" s="357"/>
      <c r="J134" s="156"/>
      <c r="K134" s="154"/>
      <c r="L134" s="100"/>
      <c r="M134" s="357"/>
      <c r="N134" s="156"/>
      <c r="O134" s="154"/>
      <c r="P134" s="100"/>
      <c r="Q134" s="357"/>
      <c r="R134" s="156"/>
      <c r="S134" s="154"/>
      <c r="T134" s="100"/>
      <c r="U134" s="357"/>
      <c r="V134" s="156"/>
      <c r="W134" s="154"/>
      <c r="X134" s="100"/>
      <c r="Y134" s="357"/>
      <c r="Z134" s="363"/>
      <c r="AA134" s="364"/>
      <c r="AB134" s="100"/>
      <c r="AC134" s="357"/>
      <c r="AD134" s="367"/>
      <c r="AE134" s="368"/>
      <c r="AF134" s="98"/>
      <c r="AG134" s="357"/>
      <c r="AH134" s="156"/>
      <c r="AI134" s="305"/>
      <c r="AJ134" s="366"/>
      <c r="AK134" s="357"/>
      <c r="AL134" s="369"/>
      <c r="AM134" s="370"/>
      <c r="AN134" s="238"/>
      <c r="AO134" s="357"/>
      <c r="AP134" s="363"/>
      <c r="AQ134" s="364"/>
      <c r="AR134" s="100"/>
      <c r="AS134" s="357"/>
      <c r="AT134" s="363"/>
      <c r="AU134" s="364"/>
      <c r="AV134" s="100"/>
    </row>
    <row r="135">
      <c r="A135" s="357"/>
      <c r="B135" s="156"/>
      <c r="C135" s="154"/>
      <c r="D135" s="100"/>
      <c r="E135" s="357"/>
      <c r="F135" s="156"/>
      <c r="G135" s="154"/>
      <c r="H135" s="100"/>
      <c r="I135" s="357"/>
      <c r="J135" s="156"/>
      <c r="K135" s="154"/>
      <c r="L135" s="100"/>
      <c r="M135" s="357"/>
      <c r="N135" s="156"/>
      <c r="O135" s="154"/>
      <c r="P135" s="100"/>
      <c r="Q135" s="357"/>
      <c r="R135" s="156"/>
      <c r="S135" s="154"/>
      <c r="T135" s="100"/>
      <c r="U135" s="357"/>
      <c r="V135" s="156"/>
      <c r="W135" s="154"/>
      <c r="X135" s="100"/>
      <c r="Y135" s="357"/>
      <c r="Z135" s="363"/>
      <c r="AA135" s="364"/>
      <c r="AB135" s="100"/>
      <c r="AC135" s="357"/>
      <c r="AD135" s="367"/>
      <c r="AE135" s="368"/>
      <c r="AF135" s="98"/>
      <c r="AG135" s="357"/>
      <c r="AH135" s="156"/>
      <c r="AI135" s="305"/>
      <c r="AJ135" s="366"/>
      <c r="AK135" s="357"/>
      <c r="AL135" s="369"/>
      <c r="AM135" s="370"/>
      <c r="AN135" s="238"/>
      <c r="AO135" s="357"/>
      <c r="AP135" s="363"/>
      <c r="AQ135" s="364"/>
      <c r="AR135" s="100"/>
      <c r="AS135" s="357"/>
      <c r="AT135" s="363"/>
      <c r="AU135" s="364"/>
      <c r="AV135" s="100"/>
    </row>
    <row r="136">
      <c r="A136" s="357"/>
      <c r="B136" s="156"/>
      <c r="C136" s="154"/>
      <c r="D136" s="100"/>
      <c r="E136" s="357"/>
      <c r="F136" s="156"/>
      <c r="G136" s="154"/>
      <c r="H136" s="100"/>
      <c r="I136" s="357"/>
      <c r="J136" s="156"/>
      <c r="K136" s="154"/>
      <c r="L136" s="100"/>
      <c r="M136" s="357"/>
      <c r="N136" s="156"/>
      <c r="O136" s="154"/>
      <c r="P136" s="100"/>
      <c r="Q136" s="357"/>
      <c r="R136" s="156"/>
      <c r="S136" s="154"/>
      <c r="T136" s="100"/>
      <c r="U136" s="357"/>
      <c r="V136" s="156"/>
      <c r="W136" s="154"/>
      <c r="X136" s="100"/>
      <c r="Y136" s="357"/>
      <c r="Z136" s="363"/>
      <c r="AA136" s="364"/>
      <c r="AB136" s="100"/>
      <c r="AC136" s="357"/>
      <c r="AD136" s="367"/>
      <c r="AE136" s="368"/>
      <c r="AF136" s="98"/>
      <c r="AG136" s="357"/>
      <c r="AH136" s="156"/>
      <c r="AI136" s="305"/>
      <c r="AJ136" s="366"/>
      <c r="AK136" s="357"/>
      <c r="AL136" s="369"/>
      <c r="AM136" s="370"/>
      <c r="AN136" s="238"/>
      <c r="AO136" s="357"/>
      <c r="AP136" s="363"/>
      <c r="AQ136" s="364"/>
      <c r="AR136" s="100"/>
      <c r="AS136" s="357"/>
      <c r="AT136" s="363"/>
      <c r="AU136" s="364"/>
      <c r="AV136" s="100"/>
    </row>
    <row r="137">
      <c r="A137" s="357"/>
      <c r="B137" s="156"/>
      <c r="C137" s="154"/>
      <c r="D137" s="100"/>
      <c r="E137" s="357"/>
      <c r="F137" s="156"/>
      <c r="G137" s="154"/>
      <c r="H137" s="100"/>
      <c r="I137" s="357"/>
      <c r="J137" s="156"/>
      <c r="K137" s="154"/>
      <c r="L137" s="100"/>
      <c r="M137" s="357"/>
      <c r="N137" s="156"/>
      <c r="O137" s="154"/>
      <c r="P137" s="100"/>
      <c r="Q137" s="357"/>
      <c r="R137" s="156"/>
      <c r="S137" s="154"/>
      <c r="T137" s="100"/>
      <c r="U137" s="357"/>
      <c r="V137" s="156"/>
      <c r="W137" s="154"/>
      <c r="X137" s="100"/>
      <c r="Y137" s="357"/>
      <c r="Z137" s="363"/>
      <c r="AA137" s="364"/>
      <c r="AB137" s="100"/>
      <c r="AC137" s="357"/>
      <c r="AD137" s="367"/>
      <c r="AE137" s="368"/>
      <c r="AF137" s="98"/>
      <c r="AG137" s="357"/>
      <c r="AH137" s="156"/>
      <c r="AI137" s="305"/>
      <c r="AJ137" s="366"/>
      <c r="AK137" s="357"/>
      <c r="AL137" s="369"/>
      <c r="AM137" s="370"/>
      <c r="AN137" s="238"/>
      <c r="AO137" s="357"/>
      <c r="AP137" s="363"/>
      <c r="AQ137" s="364"/>
      <c r="AR137" s="100"/>
      <c r="AS137" s="357"/>
      <c r="AT137" s="363"/>
      <c r="AU137" s="364"/>
      <c r="AV137" s="100"/>
    </row>
    <row r="138">
      <c r="A138" s="357"/>
      <c r="B138" s="156"/>
      <c r="C138" s="154"/>
      <c r="D138" s="100"/>
      <c r="E138" s="357"/>
      <c r="F138" s="156"/>
      <c r="G138" s="154"/>
      <c r="H138" s="100"/>
      <c r="I138" s="357"/>
      <c r="J138" s="156"/>
      <c r="K138" s="154"/>
      <c r="L138" s="100"/>
      <c r="M138" s="357"/>
      <c r="N138" s="156"/>
      <c r="O138" s="154"/>
      <c r="P138" s="100"/>
      <c r="Q138" s="357"/>
      <c r="R138" s="156"/>
      <c r="S138" s="154"/>
      <c r="T138" s="100"/>
      <c r="U138" s="357"/>
      <c r="V138" s="156"/>
      <c r="W138" s="154"/>
      <c r="X138" s="100"/>
      <c r="Y138" s="357"/>
      <c r="Z138" s="363"/>
      <c r="AA138" s="364"/>
      <c r="AB138" s="100"/>
      <c r="AC138" s="357"/>
      <c r="AD138" s="367"/>
      <c r="AE138" s="368"/>
      <c r="AF138" s="98"/>
      <c r="AG138" s="357"/>
      <c r="AH138" s="156"/>
      <c r="AI138" s="305"/>
      <c r="AJ138" s="366"/>
      <c r="AK138" s="357"/>
      <c r="AL138" s="369"/>
      <c r="AM138" s="370"/>
      <c r="AN138" s="238"/>
      <c r="AO138" s="357"/>
      <c r="AP138" s="363"/>
      <c r="AQ138" s="364"/>
      <c r="AR138" s="100"/>
      <c r="AS138" s="357"/>
      <c r="AT138" s="363"/>
      <c r="AU138" s="364"/>
      <c r="AV138" s="100"/>
    </row>
    <row r="139">
      <c r="A139" s="357"/>
      <c r="B139" s="156"/>
      <c r="C139" s="154"/>
      <c r="D139" s="100"/>
      <c r="E139" s="357"/>
      <c r="F139" s="156"/>
      <c r="G139" s="154"/>
      <c r="H139" s="100"/>
      <c r="I139" s="357"/>
      <c r="J139" s="156"/>
      <c r="K139" s="154"/>
      <c r="L139" s="100"/>
      <c r="M139" s="357"/>
      <c r="N139" s="156"/>
      <c r="O139" s="154"/>
      <c r="P139" s="100"/>
      <c r="Q139" s="357"/>
      <c r="R139" s="156"/>
      <c r="S139" s="154"/>
      <c r="T139" s="100"/>
      <c r="U139" s="357"/>
      <c r="V139" s="156"/>
      <c r="W139" s="154"/>
      <c r="X139" s="100"/>
      <c r="Y139" s="357"/>
      <c r="Z139" s="363"/>
      <c r="AA139" s="364"/>
      <c r="AB139" s="100"/>
      <c r="AC139" s="357"/>
      <c r="AD139" s="367"/>
      <c r="AE139" s="368"/>
      <c r="AF139" s="98"/>
      <c r="AG139" s="357"/>
      <c r="AH139" s="156"/>
      <c r="AI139" s="305"/>
      <c r="AJ139" s="366"/>
      <c r="AK139" s="357"/>
      <c r="AL139" s="369"/>
      <c r="AM139" s="370"/>
      <c r="AN139" s="238"/>
      <c r="AO139" s="357"/>
      <c r="AP139" s="363"/>
      <c r="AQ139" s="364"/>
      <c r="AR139" s="100"/>
      <c r="AS139" s="357"/>
      <c r="AT139" s="363"/>
      <c r="AU139" s="364"/>
      <c r="AV139" s="100"/>
    </row>
    <row r="140">
      <c r="A140" s="357"/>
      <c r="B140" s="156"/>
      <c r="C140" s="154"/>
      <c r="D140" s="100"/>
      <c r="E140" s="357"/>
      <c r="F140" s="156"/>
      <c r="G140" s="154"/>
      <c r="H140" s="100"/>
      <c r="I140" s="357"/>
      <c r="J140" s="156"/>
      <c r="K140" s="154"/>
      <c r="L140" s="100"/>
      <c r="M140" s="357"/>
      <c r="N140" s="156"/>
      <c r="O140" s="154"/>
      <c r="P140" s="100"/>
      <c r="Q140" s="357"/>
      <c r="R140" s="156"/>
      <c r="S140" s="154"/>
      <c r="T140" s="100"/>
      <c r="U140" s="357"/>
      <c r="V140" s="156"/>
      <c r="W140" s="154"/>
      <c r="X140" s="100"/>
      <c r="Y140" s="357"/>
      <c r="Z140" s="363"/>
      <c r="AA140" s="364"/>
      <c r="AB140" s="100"/>
      <c r="AC140" s="357"/>
      <c r="AD140" s="367"/>
      <c r="AE140" s="368"/>
      <c r="AF140" s="98"/>
      <c r="AG140" s="357"/>
      <c r="AH140" s="156"/>
      <c r="AI140" s="305"/>
      <c r="AJ140" s="366"/>
      <c r="AK140" s="357"/>
      <c r="AL140" s="369"/>
      <c r="AM140" s="370"/>
      <c r="AN140" s="238"/>
      <c r="AO140" s="357"/>
      <c r="AP140" s="363"/>
      <c r="AQ140" s="364"/>
      <c r="AR140" s="100"/>
      <c r="AS140" s="357"/>
      <c r="AT140" s="363"/>
      <c r="AU140" s="364"/>
      <c r="AV140" s="100"/>
    </row>
    <row r="141">
      <c r="A141" s="357"/>
      <c r="B141" s="156"/>
      <c r="C141" s="154"/>
      <c r="D141" s="100"/>
      <c r="E141" s="357"/>
      <c r="F141" s="156"/>
      <c r="G141" s="154"/>
      <c r="H141" s="100"/>
      <c r="I141" s="357"/>
      <c r="J141" s="156"/>
      <c r="K141" s="154"/>
      <c r="L141" s="100"/>
      <c r="M141" s="357"/>
      <c r="N141" s="156"/>
      <c r="O141" s="154"/>
      <c r="P141" s="100"/>
      <c r="Q141" s="357"/>
      <c r="R141" s="156"/>
      <c r="S141" s="154"/>
      <c r="T141" s="100"/>
      <c r="U141" s="357"/>
      <c r="V141" s="156"/>
      <c r="W141" s="154"/>
      <c r="X141" s="100"/>
      <c r="Y141" s="357"/>
      <c r="Z141" s="363"/>
      <c r="AA141" s="364"/>
      <c r="AB141" s="100"/>
      <c r="AC141" s="357"/>
      <c r="AD141" s="367"/>
      <c r="AE141" s="368"/>
      <c r="AF141" s="98"/>
      <c r="AG141" s="357"/>
      <c r="AH141" s="156"/>
      <c r="AI141" s="305"/>
      <c r="AJ141" s="366"/>
      <c r="AK141" s="357"/>
      <c r="AL141" s="369"/>
      <c r="AM141" s="370"/>
      <c r="AN141" s="238"/>
      <c r="AO141" s="357"/>
      <c r="AP141" s="363"/>
      <c r="AQ141" s="364"/>
      <c r="AR141" s="100"/>
      <c r="AS141" s="357"/>
      <c r="AT141" s="363"/>
      <c r="AU141" s="364"/>
      <c r="AV141" s="100"/>
    </row>
    <row r="142">
      <c r="A142" s="357"/>
      <c r="B142" s="156"/>
      <c r="C142" s="154"/>
      <c r="D142" s="100"/>
      <c r="E142" s="357"/>
      <c r="F142" s="156"/>
      <c r="G142" s="154"/>
      <c r="H142" s="100"/>
      <c r="I142" s="357"/>
      <c r="J142" s="156"/>
      <c r="K142" s="154"/>
      <c r="L142" s="100"/>
      <c r="M142" s="357"/>
      <c r="N142" s="156"/>
      <c r="O142" s="154"/>
      <c r="P142" s="100"/>
      <c r="Q142" s="357"/>
      <c r="R142" s="156"/>
      <c r="S142" s="154"/>
      <c r="T142" s="100"/>
      <c r="U142" s="357"/>
      <c r="V142" s="156"/>
      <c r="W142" s="154"/>
      <c r="X142" s="100"/>
      <c r="Y142" s="357"/>
      <c r="Z142" s="363"/>
      <c r="AA142" s="364"/>
      <c r="AB142" s="100"/>
      <c r="AC142" s="357"/>
      <c r="AD142" s="367"/>
      <c r="AE142" s="368"/>
      <c r="AF142" s="98"/>
      <c r="AG142" s="357"/>
      <c r="AH142" s="156"/>
      <c r="AI142" s="305"/>
      <c r="AJ142" s="366"/>
      <c r="AK142" s="357"/>
      <c r="AL142" s="369"/>
      <c r="AM142" s="370"/>
      <c r="AN142" s="238"/>
      <c r="AO142" s="357"/>
      <c r="AP142" s="363"/>
      <c r="AQ142" s="364"/>
      <c r="AR142" s="100"/>
      <c r="AS142" s="357"/>
      <c r="AT142" s="363"/>
      <c r="AU142" s="364"/>
      <c r="AV142" s="100"/>
    </row>
    <row r="143">
      <c r="A143" s="357"/>
      <c r="B143" s="156"/>
      <c r="C143" s="154"/>
      <c r="D143" s="100"/>
      <c r="E143" s="357"/>
      <c r="F143" s="156"/>
      <c r="G143" s="154"/>
      <c r="H143" s="100"/>
      <c r="I143" s="357"/>
      <c r="J143" s="156"/>
      <c r="K143" s="154"/>
      <c r="L143" s="100"/>
      <c r="M143" s="357"/>
      <c r="N143" s="156"/>
      <c r="O143" s="154"/>
      <c r="P143" s="100"/>
      <c r="Q143" s="357"/>
      <c r="R143" s="156"/>
      <c r="S143" s="154"/>
      <c r="T143" s="100"/>
      <c r="U143" s="357"/>
      <c r="V143" s="156"/>
      <c r="W143" s="154"/>
      <c r="X143" s="100"/>
      <c r="Y143" s="357"/>
      <c r="Z143" s="363"/>
      <c r="AA143" s="364"/>
      <c r="AB143" s="100"/>
      <c r="AC143" s="357"/>
      <c r="AD143" s="367"/>
      <c r="AE143" s="368"/>
      <c r="AF143" s="98"/>
      <c r="AG143" s="357"/>
      <c r="AH143" s="156"/>
      <c r="AI143" s="305"/>
      <c r="AJ143" s="366"/>
      <c r="AK143" s="357"/>
      <c r="AL143" s="369"/>
      <c r="AM143" s="370"/>
      <c r="AN143" s="238"/>
      <c r="AO143" s="357"/>
      <c r="AP143" s="363"/>
      <c r="AQ143" s="364"/>
      <c r="AR143" s="100"/>
      <c r="AS143" s="357"/>
      <c r="AT143" s="363"/>
      <c r="AU143" s="364"/>
      <c r="AV143" s="100"/>
    </row>
    <row r="144">
      <c r="A144" s="357"/>
      <c r="B144" s="156"/>
      <c r="C144" s="154"/>
      <c r="D144" s="100"/>
      <c r="E144" s="357"/>
      <c r="F144" s="156"/>
      <c r="G144" s="154"/>
      <c r="H144" s="100"/>
      <c r="I144" s="357"/>
      <c r="J144" s="156"/>
      <c r="K144" s="154"/>
      <c r="L144" s="100"/>
      <c r="M144" s="357"/>
      <c r="N144" s="156"/>
      <c r="O144" s="154"/>
      <c r="P144" s="100"/>
      <c r="Q144" s="357"/>
      <c r="R144" s="156"/>
      <c r="S144" s="154"/>
      <c r="T144" s="100"/>
      <c r="U144" s="357"/>
      <c r="V144" s="156"/>
      <c r="W144" s="154"/>
      <c r="X144" s="100"/>
      <c r="Y144" s="357"/>
      <c r="Z144" s="363"/>
      <c r="AA144" s="364"/>
      <c r="AB144" s="100"/>
      <c r="AC144" s="357"/>
      <c r="AD144" s="367"/>
      <c r="AE144" s="368"/>
      <c r="AF144" s="98"/>
      <c r="AG144" s="357"/>
      <c r="AH144" s="156"/>
      <c r="AI144" s="305"/>
      <c r="AJ144" s="366"/>
      <c r="AK144" s="357"/>
      <c r="AL144" s="369"/>
      <c r="AM144" s="370"/>
      <c r="AN144" s="238"/>
      <c r="AO144" s="357"/>
      <c r="AP144" s="363"/>
      <c r="AQ144" s="364"/>
      <c r="AR144" s="100"/>
      <c r="AS144" s="357"/>
      <c r="AT144" s="363"/>
      <c r="AU144" s="364"/>
      <c r="AV144" s="100"/>
    </row>
    <row r="145">
      <c r="A145" s="357"/>
      <c r="B145" s="156"/>
      <c r="C145" s="154"/>
      <c r="D145" s="100"/>
      <c r="E145" s="357"/>
      <c r="F145" s="156"/>
      <c r="G145" s="154"/>
      <c r="H145" s="100"/>
      <c r="I145" s="357"/>
      <c r="J145" s="156"/>
      <c r="K145" s="154"/>
      <c r="L145" s="100"/>
      <c r="M145" s="357"/>
      <c r="N145" s="156"/>
      <c r="O145" s="154"/>
      <c r="P145" s="100"/>
      <c r="Q145" s="357"/>
      <c r="R145" s="156"/>
      <c r="S145" s="154"/>
      <c r="T145" s="100"/>
      <c r="U145" s="357"/>
      <c r="V145" s="156"/>
      <c r="W145" s="154"/>
      <c r="X145" s="100"/>
      <c r="Y145" s="357"/>
      <c r="Z145" s="363"/>
      <c r="AA145" s="364"/>
      <c r="AB145" s="100"/>
      <c r="AC145" s="357"/>
      <c r="AD145" s="367"/>
      <c r="AE145" s="368"/>
      <c r="AF145" s="98"/>
      <c r="AG145" s="357"/>
      <c r="AH145" s="156"/>
      <c r="AI145" s="305"/>
      <c r="AJ145" s="366"/>
      <c r="AK145" s="357"/>
      <c r="AL145" s="369"/>
      <c r="AM145" s="370"/>
      <c r="AN145" s="238"/>
      <c r="AO145" s="357"/>
      <c r="AP145" s="363"/>
      <c r="AQ145" s="364"/>
      <c r="AR145" s="100"/>
      <c r="AS145" s="357"/>
      <c r="AT145" s="363"/>
      <c r="AU145" s="364"/>
      <c r="AV145" s="100"/>
    </row>
    <row r="146">
      <c r="A146" s="357"/>
      <c r="B146" s="156"/>
      <c r="C146" s="154"/>
      <c r="D146" s="100"/>
      <c r="E146" s="357"/>
      <c r="F146" s="156"/>
      <c r="G146" s="154"/>
      <c r="H146" s="100"/>
      <c r="I146" s="357"/>
      <c r="J146" s="156"/>
      <c r="K146" s="154"/>
      <c r="L146" s="100"/>
      <c r="M146" s="357"/>
      <c r="N146" s="156"/>
      <c r="O146" s="154"/>
      <c r="P146" s="100"/>
      <c r="Q146" s="357"/>
      <c r="R146" s="156"/>
      <c r="S146" s="154"/>
      <c r="T146" s="100"/>
      <c r="U146" s="357"/>
      <c r="V146" s="156"/>
      <c r="W146" s="154"/>
      <c r="X146" s="100"/>
      <c r="Y146" s="357"/>
      <c r="Z146" s="363"/>
      <c r="AA146" s="364"/>
      <c r="AB146" s="100"/>
      <c r="AC146" s="357"/>
      <c r="AD146" s="367"/>
      <c r="AE146" s="368"/>
      <c r="AF146" s="98"/>
      <c r="AG146" s="357"/>
      <c r="AH146" s="156"/>
      <c r="AI146" s="305"/>
      <c r="AJ146" s="366"/>
      <c r="AK146" s="357"/>
      <c r="AL146" s="369"/>
      <c r="AM146" s="370"/>
      <c r="AN146" s="238"/>
      <c r="AO146" s="357"/>
      <c r="AP146" s="363"/>
      <c r="AQ146" s="364"/>
      <c r="AR146" s="100"/>
      <c r="AS146" s="357"/>
      <c r="AT146" s="363"/>
      <c r="AU146" s="364"/>
      <c r="AV146" s="100"/>
    </row>
    <row r="147">
      <c r="A147" s="357"/>
      <c r="B147" s="156"/>
      <c r="C147" s="154"/>
      <c r="D147" s="100"/>
      <c r="E147" s="357"/>
      <c r="F147" s="156"/>
      <c r="G147" s="154"/>
      <c r="H147" s="100"/>
      <c r="I147" s="357"/>
      <c r="J147" s="156"/>
      <c r="K147" s="154"/>
      <c r="L147" s="100"/>
      <c r="M147" s="357"/>
      <c r="N147" s="156"/>
      <c r="O147" s="154"/>
      <c r="P147" s="100"/>
      <c r="Q147" s="357"/>
      <c r="R147" s="156"/>
      <c r="S147" s="154"/>
      <c r="T147" s="100"/>
      <c r="U147" s="357"/>
      <c r="V147" s="156"/>
      <c r="W147" s="154"/>
      <c r="X147" s="100"/>
      <c r="Y147" s="357"/>
      <c r="Z147" s="363"/>
      <c r="AA147" s="364"/>
      <c r="AB147" s="100"/>
      <c r="AC147" s="357"/>
      <c r="AD147" s="367"/>
      <c r="AE147" s="368"/>
      <c r="AF147" s="98"/>
      <c r="AG147" s="357"/>
      <c r="AH147" s="156"/>
      <c r="AI147" s="305"/>
      <c r="AJ147" s="366"/>
      <c r="AK147" s="357"/>
      <c r="AL147" s="369"/>
      <c r="AM147" s="370"/>
      <c r="AN147" s="238"/>
      <c r="AO147" s="357"/>
      <c r="AP147" s="363"/>
      <c r="AQ147" s="364"/>
      <c r="AR147" s="100"/>
      <c r="AS147" s="357"/>
      <c r="AT147" s="363"/>
      <c r="AU147" s="364"/>
      <c r="AV147" s="100"/>
    </row>
    <row r="148">
      <c r="A148" s="357"/>
      <c r="B148" s="156"/>
      <c r="C148" s="154"/>
      <c r="D148" s="100"/>
      <c r="E148" s="357"/>
      <c r="F148" s="156"/>
      <c r="G148" s="154"/>
      <c r="H148" s="100"/>
      <c r="I148" s="357"/>
      <c r="J148" s="156"/>
      <c r="K148" s="154"/>
      <c r="L148" s="100"/>
      <c r="M148" s="357"/>
      <c r="N148" s="156"/>
      <c r="O148" s="154"/>
      <c r="P148" s="100"/>
      <c r="Q148" s="357"/>
      <c r="R148" s="156"/>
      <c r="S148" s="154"/>
      <c r="T148" s="100"/>
      <c r="U148" s="357"/>
      <c r="V148" s="156"/>
      <c r="W148" s="154"/>
      <c r="X148" s="100"/>
      <c r="Y148" s="357"/>
      <c r="Z148" s="363"/>
      <c r="AA148" s="364"/>
      <c r="AB148" s="100"/>
      <c r="AC148" s="357"/>
      <c r="AD148" s="367"/>
      <c r="AE148" s="368"/>
      <c r="AF148" s="98"/>
      <c r="AG148" s="357"/>
      <c r="AH148" s="156"/>
      <c r="AI148" s="305"/>
      <c r="AJ148" s="366"/>
      <c r="AK148" s="357"/>
      <c r="AL148" s="369"/>
      <c r="AM148" s="370"/>
      <c r="AN148" s="238"/>
      <c r="AO148" s="357"/>
      <c r="AP148" s="363"/>
      <c r="AQ148" s="364"/>
      <c r="AR148" s="100"/>
      <c r="AS148" s="357"/>
      <c r="AT148" s="363"/>
      <c r="AU148" s="364"/>
      <c r="AV148" s="100"/>
    </row>
    <row r="149">
      <c r="A149" s="357"/>
      <c r="B149" s="156"/>
      <c r="C149" s="154"/>
      <c r="D149" s="100"/>
      <c r="E149" s="357"/>
      <c r="F149" s="156"/>
      <c r="G149" s="154"/>
      <c r="H149" s="100"/>
      <c r="I149" s="357"/>
      <c r="J149" s="156"/>
      <c r="K149" s="154"/>
      <c r="L149" s="100"/>
      <c r="M149" s="357"/>
      <c r="N149" s="156"/>
      <c r="O149" s="154"/>
      <c r="P149" s="100"/>
      <c r="Q149" s="357"/>
      <c r="R149" s="156"/>
      <c r="S149" s="154"/>
      <c r="T149" s="100"/>
      <c r="U149" s="357"/>
      <c r="V149" s="156"/>
      <c r="W149" s="154"/>
      <c r="X149" s="100"/>
      <c r="Y149" s="357"/>
      <c r="Z149" s="363"/>
      <c r="AA149" s="364"/>
      <c r="AB149" s="100"/>
      <c r="AC149" s="357"/>
      <c r="AD149" s="367"/>
      <c r="AE149" s="368"/>
      <c r="AF149" s="98"/>
      <c r="AG149" s="357"/>
      <c r="AH149" s="156"/>
      <c r="AI149" s="305"/>
      <c r="AJ149" s="366"/>
      <c r="AK149" s="357"/>
      <c r="AL149" s="369"/>
      <c r="AM149" s="370"/>
      <c r="AN149" s="238"/>
      <c r="AO149" s="357"/>
      <c r="AP149" s="363"/>
      <c r="AQ149" s="364"/>
      <c r="AR149" s="100"/>
      <c r="AS149" s="357"/>
      <c r="AT149" s="363"/>
      <c r="AU149" s="364"/>
      <c r="AV149" s="100"/>
    </row>
    <row r="150">
      <c r="A150" s="357"/>
      <c r="B150" s="156"/>
      <c r="C150" s="154"/>
      <c r="D150" s="100"/>
      <c r="E150" s="357"/>
      <c r="F150" s="156"/>
      <c r="G150" s="154"/>
      <c r="H150" s="100"/>
      <c r="I150" s="357"/>
      <c r="J150" s="156"/>
      <c r="K150" s="154"/>
      <c r="L150" s="100"/>
      <c r="M150" s="357"/>
      <c r="N150" s="156"/>
      <c r="O150" s="154"/>
      <c r="P150" s="100"/>
      <c r="Q150" s="357"/>
      <c r="R150" s="156"/>
      <c r="S150" s="154"/>
      <c r="T150" s="100"/>
      <c r="U150" s="357"/>
      <c r="V150" s="156"/>
      <c r="W150" s="154"/>
      <c r="X150" s="100"/>
      <c r="Y150" s="357"/>
      <c r="Z150" s="363"/>
      <c r="AA150" s="364"/>
      <c r="AB150" s="100"/>
      <c r="AC150" s="357"/>
      <c r="AD150" s="367"/>
      <c r="AE150" s="368"/>
      <c r="AF150" s="98"/>
      <c r="AG150" s="357"/>
      <c r="AH150" s="156"/>
      <c r="AI150" s="305"/>
      <c r="AJ150" s="366"/>
      <c r="AK150" s="357"/>
      <c r="AL150" s="369"/>
      <c r="AM150" s="370"/>
      <c r="AN150" s="238"/>
      <c r="AO150" s="357"/>
      <c r="AP150" s="363"/>
      <c r="AQ150" s="364"/>
      <c r="AR150" s="100"/>
      <c r="AS150" s="357"/>
      <c r="AT150" s="363"/>
      <c r="AU150" s="364"/>
      <c r="AV150" s="100"/>
    </row>
    <row r="151">
      <c r="A151" s="357"/>
      <c r="B151" s="156"/>
      <c r="C151" s="154"/>
      <c r="D151" s="100"/>
      <c r="E151" s="357"/>
      <c r="F151" s="156"/>
      <c r="G151" s="154"/>
      <c r="H151" s="100"/>
      <c r="I151" s="357"/>
      <c r="J151" s="156"/>
      <c r="K151" s="154"/>
      <c r="L151" s="100"/>
      <c r="M151" s="357"/>
      <c r="N151" s="156"/>
      <c r="O151" s="154"/>
      <c r="P151" s="100"/>
      <c r="Q151" s="357"/>
      <c r="R151" s="156"/>
      <c r="S151" s="154"/>
      <c r="T151" s="100"/>
      <c r="U151" s="357"/>
      <c r="V151" s="156"/>
      <c r="W151" s="154"/>
      <c r="X151" s="100"/>
      <c r="Y151" s="357"/>
      <c r="Z151" s="363"/>
      <c r="AA151" s="364"/>
      <c r="AB151" s="100"/>
      <c r="AC151" s="357"/>
      <c r="AD151" s="367"/>
      <c r="AE151" s="368"/>
      <c r="AF151" s="98"/>
      <c r="AG151" s="357"/>
      <c r="AH151" s="156"/>
      <c r="AI151" s="305"/>
      <c r="AJ151" s="366"/>
      <c r="AK151" s="357"/>
      <c r="AL151" s="369"/>
      <c r="AM151" s="370"/>
      <c r="AN151" s="238"/>
      <c r="AO151" s="357"/>
      <c r="AP151" s="363"/>
      <c r="AQ151" s="364"/>
      <c r="AR151" s="100"/>
      <c r="AS151" s="357"/>
      <c r="AT151" s="363"/>
      <c r="AU151" s="364"/>
      <c r="AV151" s="100"/>
    </row>
    <row r="152">
      <c r="A152" s="357"/>
      <c r="B152" s="156"/>
      <c r="C152" s="154"/>
      <c r="D152" s="100"/>
      <c r="E152" s="357"/>
      <c r="F152" s="156"/>
      <c r="G152" s="154"/>
      <c r="H152" s="100"/>
      <c r="I152" s="357"/>
      <c r="J152" s="156"/>
      <c r="K152" s="154"/>
      <c r="L152" s="100"/>
      <c r="M152" s="357"/>
      <c r="N152" s="156"/>
      <c r="O152" s="154"/>
      <c r="P152" s="100"/>
      <c r="Q152" s="357"/>
      <c r="R152" s="156"/>
      <c r="S152" s="154"/>
      <c r="T152" s="100"/>
      <c r="U152" s="357"/>
      <c r="V152" s="156"/>
      <c r="W152" s="154"/>
      <c r="X152" s="100"/>
      <c r="Y152" s="357"/>
      <c r="Z152" s="363"/>
      <c r="AA152" s="364"/>
      <c r="AB152" s="100"/>
      <c r="AC152" s="357"/>
      <c r="AD152" s="367"/>
      <c r="AE152" s="368"/>
      <c r="AF152" s="98"/>
      <c r="AG152" s="357"/>
      <c r="AH152" s="156"/>
      <c r="AI152" s="305"/>
      <c r="AJ152" s="366"/>
      <c r="AK152" s="357"/>
      <c r="AL152" s="369"/>
      <c r="AM152" s="370"/>
      <c r="AN152" s="238"/>
      <c r="AO152" s="357"/>
      <c r="AP152" s="363"/>
      <c r="AQ152" s="364"/>
      <c r="AR152" s="100"/>
      <c r="AS152" s="357"/>
      <c r="AT152" s="363"/>
      <c r="AU152" s="364"/>
      <c r="AV152" s="100"/>
    </row>
    <row r="153">
      <c r="A153" s="357"/>
      <c r="B153" s="156"/>
      <c r="C153" s="154"/>
      <c r="D153" s="100"/>
      <c r="E153" s="357"/>
      <c r="F153" s="156"/>
      <c r="G153" s="154"/>
      <c r="H153" s="100"/>
      <c r="I153" s="357"/>
      <c r="J153" s="156"/>
      <c r="K153" s="154"/>
      <c r="L153" s="100"/>
      <c r="M153" s="357"/>
      <c r="N153" s="156"/>
      <c r="O153" s="154"/>
      <c r="P153" s="100"/>
      <c r="Q153" s="357"/>
      <c r="R153" s="156"/>
      <c r="S153" s="154"/>
      <c r="T153" s="100"/>
      <c r="U153" s="357"/>
      <c r="V153" s="156"/>
      <c r="W153" s="154"/>
      <c r="X153" s="100"/>
      <c r="Y153" s="357"/>
      <c r="Z153" s="363"/>
      <c r="AA153" s="364"/>
      <c r="AB153" s="100"/>
      <c r="AC153" s="357"/>
      <c r="AD153" s="367"/>
      <c r="AE153" s="368"/>
      <c r="AF153" s="98"/>
      <c r="AG153" s="357"/>
      <c r="AH153" s="156"/>
      <c r="AI153" s="305"/>
      <c r="AJ153" s="366"/>
      <c r="AK153" s="357"/>
      <c r="AL153" s="369"/>
      <c r="AM153" s="370"/>
      <c r="AN153" s="238"/>
      <c r="AO153" s="357"/>
      <c r="AP153" s="363"/>
      <c r="AQ153" s="364"/>
      <c r="AR153" s="100"/>
      <c r="AS153" s="357"/>
      <c r="AT153" s="363"/>
      <c r="AU153" s="364"/>
      <c r="AV153" s="100"/>
    </row>
    <row r="154">
      <c r="A154" s="357"/>
      <c r="B154" s="156"/>
      <c r="C154" s="154"/>
      <c r="D154" s="100"/>
      <c r="E154" s="357"/>
      <c r="F154" s="156"/>
      <c r="G154" s="154"/>
      <c r="H154" s="100"/>
      <c r="I154" s="357"/>
      <c r="J154" s="156"/>
      <c r="K154" s="154"/>
      <c r="L154" s="100"/>
      <c r="M154" s="357"/>
      <c r="N154" s="156"/>
      <c r="O154" s="154"/>
      <c r="P154" s="100"/>
      <c r="Q154" s="357"/>
      <c r="R154" s="156"/>
      <c r="S154" s="154"/>
      <c r="T154" s="100"/>
      <c r="U154" s="357"/>
      <c r="V154" s="156"/>
      <c r="W154" s="154"/>
      <c r="X154" s="100"/>
      <c r="Y154" s="357"/>
      <c r="Z154" s="363"/>
      <c r="AA154" s="364"/>
      <c r="AB154" s="100"/>
      <c r="AC154" s="357"/>
      <c r="AD154" s="367"/>
      <c r="AE154" s="368"/>
      <c r="AF154" s="98"/>
      <c r="AG154" s="357"/>
      <c r="AH154" s="156"/>
      <c r="AI154" s="305"/>
      <c r="AJ154" s="366"/>
      <c r="AK154" s="357"/>
      <c r="AL154" s="369"/>
      <c r="AM154" s="370"/>
      <c r="AN154" s="238"/>
      <c r="AO154" s="357"/>
      <c r="AP154" s="363"/>
      <c r="AQ154" s="364"/>
      <c r="AR154" s="100"/>
      <c r="AS154" s="357"/>
      <c r="AT154" s="363"/>
      <c r="AU154" s="364"/>
      <c r="AV154" s="100"/>
    </row>
    <row r="155">
      <c r="A155" s="357"/>
      <c r="B155" s="156"/>
      <c r="C155" s="154"/>
      <c r="D155" s="100"/>
      <c r="E155" s="357"/>
      <c r="F155" s="156"/>
      <c r="G155" s="154"/>
      <c r="H155" s="100"/>
      <c r="I155" s="357"/>
      <c r="J155" s="156"/>
      <c r="K155" s="154"/>
      <c r="L155" s="100"/>
      <c r="M155" s="357"/>
      <c r="N155" s="156"/>
      <c r="O155" s="154"/>
      <c r="P155" s="100"/>
      <c r="Q155" s="357"/>
      <c r="R155" s="156"/>
      <c r="S155" s="154"/>
      <c r="T155" s="100"/>
      <c r="U155" s="357"/>
      <c r="V155" s="156"/>
      <c r="W155" s="154"/>
      <c r="X155" s="100"/>
      <c r="Y155" s="357"/>
      <c r="Z155" s="363"/>
      <c r="AA155" s="364"/>
      <c r="AB155" s="100"/>
      <c r="AC155" s="357"/>
      <c r="AD155" s="367"/>
      <c r="AE155" s="368"/>
      <c r="AF155" s="98"/>
      <c r="AG155" s="357"/>
      <c r="AH155" s="156"/>
      <c r="AI155" s="305"/>
      <c r="AJ155" s="366"/>
      <c r="AK155" s="357"/>
      <c r="AL155" s="369"/>
      <c r="AM155" s="370"/>
      <c r="AN155" s="238"/>
      <c r="AO155" s="357"/>
      <c r="AP155" s="363"/>
      <c r="AQ155" s="364"/>
      <c r="AR155" s="100"/>
      <c r="AS155" s="357"/>
      <c r="AT155" s="363"/>
      <c r="AU155" s="364"/>
      <c r="AV155" s="100"/>
    </row>
    <row r="156">
      <c r="A156" s="357"/>
      <c r="B156" s="156"/>
      <c r="C156" s="154"/>
      <c r="D156" s="100"/>
      <c r="E156" s="357"/>
      <c r="F156" s="156"/>
      <c r="G156" s="154"/>
      <c r="H156" s="100"/>
      <c r="I156" s="357"/>
      <c r="J156" s="156"/>
      <c r="K156" s="154"/>
      <c r="L156" s="100"/>
      <c r="M156" s="357"/>
      <c r="N156" s="156"/>
      <c r="O156" s="154"/>
      <c r="P156" s="100"/>
      <c r="Q156" s="357"/>
      <c r="R156" s="156"/>
      <c r="S156" s="154"/>
      <c r="T156" s="100"/>
      <c r="U156" s="357"/>
      <c r="V156" s="156"/>
      <c r="W156" s="154"/>
      <c r="X156" s="100"/>
      <c r="Y156" s="357"/>
      <c r="Z156" s="363"/>
      <c r="AA156" s="364"/>
      <c r="AB156" s="100"/>
      <c r="AC156" s="357"/>
      <c r="AD156" s="367"/>
      <c r="AE156" s="368"/>
      <c r="AF156" s="98"/>
      <c r="AG156" s="357"/>
      <c r="AH156" s="156"/>
      <c r="AI156" s="305"/>
      <c r="AJ156" s="366"/>
      <c r="AK156" s="357"/>
      <c r="AL156" s="369"/>
      <c r="AM156" s="370"/>
      <c r="AN156" s="238"/>
      <c r="AO156" s="357"/>
      <c r="AP156" s="363"/>
      <c r="AQ156" s="364"/>
      <c r="AR156" s="100"/>
      <c r="AS156" s="357"/>
      <c r="AT156" s="363"/>
      <c r="AU156" s="364"/>
      <c r="AV156" s="100"/>
    </row>
    <row r="157">
      <c r="A157" s="357"/>
      <c r="B157" s="156"/>
      <c r="C157" s="154"/>
      <c r="D157" s="100"/>
      <c r="E157" s="357"/>
      <c r="F157" s="156"/>
      <c r="G157" s="154"/>
      <c r="H157" s="100"/>
      <c r="I157" s="357"/>
      <c r="J157" s="156"/>
      <c r="K157" s="154"/>
      <c r="L157" s="100"/>
      <c r="M157" s="357"/>
      <c r="N157" s="156"/>
      <c r="O157" s="154"/>
      <c r="P157" s="100"/>
      <c r="Q157" s="357"/>
      <c r="R157" s="156"/>
      <c r="S157" s="154"/>
      <c r="T157" s="100"/>
      <c r="U157" s="357"/>
      <c r="V157" s="156"/>
      <c r="W157" s="154"/>
      <c r="X157" s="100"/>
      <c r="Y157" s="357"/>
      <c r="Z157" s="363"/>
      <c r="AA157" s="364"/>
      <c r="AB157" s="100"/>
      <c r="AC157" s="357"/>
      <c r="AD157" s="367"/>
      <c r="AE157" s="368"/>
      <c r="AF157" s="98"/>
      <c r="AG157" s="357"/>
      <c r="AH157" s="156"/>
      <c r="AI157" s="305"/>
      <c r="AJ157" s="366"/>
      <c r="AK157" s="357"/>
      <c r="AL157" s="369"/>
      <c r="AM157" s="370"/>
      <c r="AN157" s="238"/>
      <c r="AO157" s="357"/>
      <c r="AP157" s="363"/>
      <c r="AQ157" s="364"/>
      <c r="AR157" s="100"/>
      <c r="AS157" s="357"/>
      <c r="AT157" s="363"/>
      <c r="AU157" s="364"/>
      <c r="AV157" s="100"/>
    </row>
    <row r="158">
      <c r="A158" s="357"/>
      <c r="B158" s="156"/>
      <c r="C158" s="154"/>
      <c r="D158" s="100"/>
      <c r="E158" s="357"/>
      <c r="F158" s="156"/>
      <c r="G158" s="154"/>
      <c r="H158" s="100"/>
      <c r="I158" s="357"/>
      <c r="J158" s="156"/>
      <c r="K158" s="154"/>
      <c r="L158" s="100"/>
      <c r="M158" s="357"/>
      <c r="N158" s="156"/>
      <c r="O158" s="154"/>
      <c r="P158" s="100"/>
      <c r="Q158" s="357"/>
      <c r="R158" s="156"/>
      <c r="S158" s="154"/>
      <c r="T158" s="100"/>
      <c r="U158" s="357"/>
      <c r="V158" s="156"/>
      <c r="W158" s="154"/>
      <c r="X158" s="100"/>
      <c r="Y158" s="357"/>
      <c r="Z158" s="363"/>
      <c r="AA158" s="364"/>
      <c r="AB158" s="100"/>
      <c r="AC158" s="357"/>
      <c r="AD158" s="367"/>
      <c r="AE158" s="368"/>
      <c r="AF158" s="98"/>
      <c r="AG158" s="357"/>
      <c r="AH158" s="156"/>
      <c r="AI158" s="305"/>
      <c r="AJ158" s="366"/>
      <c r="AK158" s="357"/>
      <c r="AL158" s="369"/>
      <c r="AM158" s="370"/>
      <c r="AN158" s="238"/>
      <c r="AO158" s="357"/>
      <c r="AP158" s="363"/>
      <c r="AQ158" s="364"/>
      <c r="AR158" s="100"/>
      <c r="AS158" s="357"/>
      <c r="AT158" s="363"/>
      <c r="AU158" s="364"/>
      <c r="AV158" s="100"/>
    </row>
    <row r="159">
      <c r="A159" s="357"/>
      <c r="B159" s="156"/>
      <c r="C159" s="154"/>
      <c r="D159" s="100"/>
      <c r="E159" s="357"/>
      <c r="F159" s="156"/>
      <c r="G159" s="154"/>
      <c r="H159" s="100"/>
      <c r="I159" s="357"/>
      <c r="J159" s="156"/>
      <c r="K159" s="154"/>
      <c r="L159" s="100"/>
      <c r="M159" s="357"/>
      <c r="N159" s="156"/>
      <c r="O159" s="154"/>
      <c r="P159" s="100"/>
      <c r="Q159" s="357"/>
      <c r="R159" s="156"/>
      <c r="S159" s="154"/>
      <c r="T159" s="100"/>
      <c r="U159" s="357"/>
      <c r="V159" s="156"/>
      <c r="W159" s="154"/>
      <c r="X159" s="100"/>
      <c r="Y159" s="357"/>
      <c r="Z159" s="363"/>
      <c r="AA159" s="364"/>
      <c r="AB159" s="100"/>
      <c r="AC159" s="357"/>
      <c r="AD159" s="367"/>
      <c r="AE159" s="368"/>
      <c r="AF159" s="98"/>
      <c r="AG159" s="357"/>
      <c r="AH159" s="156"/>
      <c r="AI159" s="305"/>
      <c r="AJ159" s="366"/>
      <c r="AK159" s="357"/>
      <c r="AL159" s="369"/>
      <c r="AM159" s="370"/>
      <c r="AN159" s="238"/>
      <c r="AO159" s="357"/>
      <c r="AP159" s="363"/>
      <c r="AQ159" s="364"/>
      <c r="AR159" s="100"/>
      <c r="AS159" s="357"/>
      <c r="AT159" s="363"/>
      <c r="AU159" s="364"/>
      <c r="AV159" s="100"/>
    </row>
    <row r="160">
      <c r="A160" s="357"/>
      <c r="B160" s="156"/>
      <c r="C160" s="154"/>
      <c r="D160" s="100"/>
      <c r="E160" s="357"/>
      <c r="F160" s="156"/>
      <c r="G160" s="154"/>
      <c r="H160" s="100"/>
      <c r="I160" s="357"/>
      <c r="J160" s="156"/>
      <c r="K160" s="154"/>
      <c r="L160" s="100"/>
      <c r="M160" s="357"/>
      <c r="N160" s="156"/>
      <c r="O160" s="154"/>
      <c r="P160" s="100"/>
      <c r="Q160" s="357"/>
      <c r="R160" s="156"/>
      <c r="S160" s="154"/>
      <c r="T160" s="100"/>
      <c r="U160" s="357"/>
      <c r="V160" s="156"/>
      <c r="W160" s="154"/>
      <c r="X160" s="100"/>
      <c r="Y160" s="357"/>
      <c r="Z160" s="363"/>
      <c r="AA160" s="364"/>
      <c r="AB160" s="100"/>
      <c r="AC160" s="357"/>
      <c r="AD160" s="367"/>
      <c r="AE160" s="368"/>
      <c r="AF160" s="98"/>
      <c r="AG160" s="357"/>
      <c r="AH160" s="156"/>
      <c r="AI160" s="305"/>
      <c r="AJ160" s="366"/>
      <c r="AK160" s="357"/>
      <c r="AL160" s="369"/>
      <c r="AM160" s="370"/>
      <c r="AN160" s="238"/>
      <c r="AO160" s="357"/>
      <c r="AP160" s="363"/>
      <c r="AQ160" s="364"/>
      <c r="AR160" s="100"/>
      <c r="AS160" s="357"/>
      <c r="AT160" s="363"/>
      <c r="AU160" s="364"/>
      <c r="AV160" s="100"/>
    </row>
    <row r="161">
      <c r="A161" s="357"/>
      <c r="B161" s="156"/>
      <c r="C161" s="154"/>
      <c r="D161" s="100"/>
      <c r="E161" s="357"/>
      <c r="F161" s="156"/>
      <c r="G161" s="154"/>
      <c r="H161" s="100"/>
      <c r="I161" s="357"/>
      <c r="J161" s="156"/>
      <c r="K161" s="154"/>
      <c r="L161" s="100"/>
      <c r="M161" s="357"/>
      <c r="N161" s="156"/>
      <c r="O161" s="154"/>
      <c r="P161" s="100"/>
      <c r="Q161" s="357"/>
      <c r="R161" s="156"/>
      <c r="S161" s="154"/>
      <c r="T161" s="100"/>
      <c r="U161" s="357"/>
      <c r="V161" s="156"/>
      <c r="W161" s="154"/>
      <c r="X161" s="100"/>
      <c r="Y161" s="357"/>
      <c r="Z161" s="363"/>
      <c r="AA161" s="364"/>
      <c r="AB161" s="100"/>
      <c r="AC161" s="357"/>
      <c r="AD161" s="367"/>
      <c r="AE161" s="368"/>
      <c r="AF161" s="98"/>
      <c r="AG161" s="357"/>
      <c r="AH161" s="156"/>
      <c r="AI161" s="305"/>
      <c r="AJ161" s="366"/>
      <c r="AK161" s="357"/>
      <c r="AL161" s="369"/>
      <c r="AM161" s="370"/>
      <c r="AN161" s="238"/>
      <c r="AO161" s="357"/>
      <c r="AP161" s="363"/>
      <c r="AQ161" s="364"/>
      <c r="AR161" s="100"/>
      <c r="AS161" s="357"/>
      <c r="AT161" s="363"/>
      <c r="AU161" s="364"/>
      <c r="AV161" s="100"/>
    </row>
    <row r="162">
      <c r="A162" s="357"/>
      <c r="B162" s="156"/>
      <c r="C162" s="154"/>
      <c r="D162" s="100"/>
      <c r="E162" s="357"/>
      <c r="F162" s="156"/>
      <c r="G162" s="154"/>
      <c r="H162" s="100"/>
      <c r="I162" s="357"/>
      <c r="J162" s="156"/>
      <c r="K162" s="154"/>
      <c r="L162" s="100"/>
      <c r="M162" s="357"/>
      <c r="N162" s="156"/>
      <c r="O162" s="154"/>
      <c r="P162" s="100"/>
      <c r="Q162" s="357"/>
      <c r="R162" s="156"/>
      <c r="S162" s="154"/>
      <c r="T162" s="100"/>
      <c r="U162" s="357"/>
      <c r="V162" s="156"/>
      <c r="W162" s="154"/>
      <c r="X162" s="100"/>
      <c r="Y162" s="357"/>
      <c r="Z162" s="363"/>
      <c r="AA162" s="364"/>
      <c r="AB162" s="100"/>
      <c r="AC162" s="357"/>
      <c r="AD162" s="367"/>
      <c r="AE162" s="368"/>
      <c r="AF162" s="98"/>
      <c r="AG162" s="357"/>
      <c r="AH162" s="156"/>
      <c r="AI162" s="305"/>
      <c r="AJ162" s="366"/>
      <c r="AK162" s="357"/>
      <c r="AL162" s="369"/>
      <c r="AM162" s="370"/>
      <c r="AN162" s="238"/>
      <c r="AO162" s="357"/>
      <c r="AP162" s="363"/>
      <c r="AQ162" s="364"/>
      <c r="AR162" s="100"/>
      <c r="AS162" s="357"/>
      <c r="AT162" s="363"/>
      <c r="AU162" s="364"/>
      <c r="AV162" s="100"/>
    </row>
    <row r="163">
      <c r="A163" s="357"/>
      <c r="B163" s="156"/>
      <c r="C163" s="154"/>
      <c r="D163" s="100"/>
      <c r="E163" s="357"/>
      <c r="F163" s="156"/>
      <c r="G163" s="154"/>
      <c r="H163" s="100"/>
      <c r="I163" s="357"/>
      <c r="J163" s="156"/>
      <c r="K163" s="154"/>
      <c r="L163" s="100"/>
      <c r="M163" s="357"/>
      <c r="N163" s="156"/>
      <c r="O163" s="154"/>
      <c r="P163" s="100"/>
      <c r="Q163" s="357"/>
      <c r="R163" s="156"/>
      <c r="S163" s="154"/>
      <c r="T163" s="100"/>
      <c r="U163" s="357"/>
      <c r="V163" s="156"/>
      <c r="W163" s="154"/>
      <c r="X163" s="100"/>
      <c r="Y163" s="357"/>
      <c r="Z163" s="363"/>
      <c r="AA163" s="364"/>
      <c r="AB163" s="100"/>
      <c r="AC163" s="357"/>
      <c r="AD163" s="367"/>
      <c r="AE163" s="368"/>
      <c r="AF163" s="98"/>
      <c r="AG163" s="357"/>
      <c r="AH163" s="156"/>
      <c r="AI163" s="305"/>
      <c r="AJ163" s="366"/>
      <c r="AK163" s="357"/>
      <c r="AL163" s="369"/>
      <c r="AM163" s="370"/>
      <c r="AN163" s="238"/>
      <c r="AO163" s="357"/>
      <c r="AP163" s="363"/>
      <c r="AQ163" s="364"/>
      <c r="AR163" s="100"/>
      <c r="AS163" s="357"/>
      <c r="AT163" s="363"/>
      <c r="AU163" s="364"/>
      <c r="AV163" s="100"/>
    </row>
    <row r="164">
      <c r="A164" s="357"/>
      <c r="B164" s="156"/>
      <c r="C164" s="154"/>
      <c r="D164" s="100"/>
      <c r="E164" s="357"/>
      <c r="F164" s="156"/>
      <c r="G164" s="154"/>
      <c r="H164" s="100"/>
      <c r="I164" s="357"/>
      <c r="J164" s="156"/>
      <c r="K164" s="154"/>
      <c r="L164" s="100"/>
      <c r="M164" s="357"/>
      <c r="N164" s="156"/>
      <c r="O164" s="154"/>
      <c r="P164" s="100"/>
      <c r="Q164" s="357"/>
      <c r="R164" s="156"/>
      <c r="S164" s="154"/>
      <c r="T164" s="100"/>
      <c r="U164" s="357"/>
      <c r="V164" s="156"/>
      <c r="W164" s="154"/>
      <c r="X164" s="100"/>
      <c r="Y164" s="357"/>
      <c r="Z164" s="363"/>
      <c r="AA164" s="364"/>
      <c r="AB164" s="100"/>
      <c r="AC164" s="357"/>
      <c r="AD164" s="367"/>
      <c r="AE164" s="368"/>
      <c r="AF164" s="98"/>
      <c r="AG164" s="357"/>
      <c r="AH164" s="156"/>
      <c r="AI164" s="305"/>
      <c r="AJ164" s="366"/>
      <c r="AK164" s="357"/>
      <c r="AL164" s="369"/>
      <c r="AM164" s="370"/>
      <c r="AN164" s="238"/>
      <c r="AO164" s="357"/>
      <c r="AP164" s="363"/>
      <c r="AQ164" s="364"/>
      <c r="AR164" s="100"/>
      <c r="AS164" s="357"/>
      <c r="AT164" s="363"/>
      <c r="AU164" s="364"/>
      <c r="AV164" s="100"/>
    </row>
    <row r="165">
      <c r="A165" s="357"/>
      <c r="B165" s="156"/>
      <c r="C165" s="154"/>
      <c r="D165" s="100"/>
      <c r="E165" s="357"/>
      <c r="F165" s="156"/>
      <c r="G165" s="154"/>
      <c r="H165" s="100"/>
      <c r="I165" s="357"/>
      <c r="J165" s="156"/>
      <c r="K165" s="154"/>
      <c r="L165" s="100"/>
      <c r="M165" s="357"/>
      <c r="N165" s="156"/>
      <c r="O165" s="154"/>
      <c r="P165" s="100"/>
      <c r="Q165" s="357"/>
      <c r="R165" s="156"/>
      <c r="S165" s="154"/>
      <c r="T165" s="100"/>
      <c r="U165" s="357"/>
      <c r="V165" s="156"/>
      <c r="W165" s="154"/>
      <c r="X165" s="100"/>
      <c r="Y165" s="357"/>
      <c r="Z165" s="363"/>
      <c r="AA165" s="364"/>
      <c r="AB165" s="100"/>
      <c r="AC165" s="357"/>
      <c r="AD165" s="367"/>
      <c r="AE165" s="368"/>
      <c r="AF165" s="98"/>
      <c r="AG165" s="357"/>
      <c r="AH165" s="156"/>
      <c r="AI165" s="305"/>
      <c r="AJ165" s="366"/>
      <c r="AK165" s="357"/>
      <c r="AL165" s="369"/>
      <c r="AM165" s="370"/>
      <c r="AN165" s="238"/>
      <c r="AO165" s="357"/>
      <c r="AP165" s="363"/>
      <c r="AQ165" s="364"/>
      <c r="AR165" s="100"/>
      <c r="AS165" s="357"/>
      <c r="AT165" s="363"/>
      <c r="AU165" s="364"/>
      <c r="AV165" s="100"/>
    </row>
    <row r="166">
      <c r="A166" s="357"/>
      <c r="B166" s="156"/>
      <c r="C166" s="154"/>
      <c r="D166" s="100"/>
      <c r="E166" s="357"/>
      <c r="F166" s="156"/>
      <c r="G166" s="154"/>
      <c r="H166" s="100"/>
      <c r="I166" s="357"/>
      <c r="J166" s="156"/>
      <c r="K166" s="154"/>
      <c r="L166" s="100"/>
      <c r="M166" s="357"/>
      <c r="N166" s="156"/>
      <c r="O166" s="154"/>
      <c r="P166" s="100"/>
      <c r="Q166" s="357"/>
      <c r="R166" s="156"/>
      <c r="S166" s="154"/>
      <c r="T166" s="100"/>
      <c r="U166" s="357"/>
      <c r="V166" s="156"/>
      <c r="W166" s="154"/>
      <c r="X166" s="100"/>
      <c r="Y166" s="357"/>
      <c r="Z166" s="363"/>
      <c r="AA166" s="364"/>
      <c r="AB166" s="100"/>
      <c r="AC166" s="357"/>
      <c r="AD166" s="367"/>
      <c r="AE166" s="368"/>
      <c r="AF166" s="98"/>
      <c r="AG166" s="357"/>
      <c r="AH166" s="156"/>
      <c r="AI166" s="305"/>
      <c r="AJ166" s="366"/>
      <c r="AK166" s="357"/>
      <c r="AL166" s="369"/>
      <c r="AM166" s="370"/>
      <c r="AN166" s="238"/>
      <c r="AO166" s="357"/>
      <c r="AP166" s="363"/>
      <c r="AQ166" s="364"/>
      <c r="AR166" s="100"/>
      <c r="AS166" s="357"/>
      <c r="AT166" s="363"/>
      <c r="AU166" s="364"/>
      <c r="AV166" s="100"/>
    </row>
    <row r="167">
      <c r="A167" s="357"/>
      <c r="B167" s="156"/>
      <c r="C167" s="154"/>
      <c r="D167" s="100"/>
      <c r="E167" s="357"/>
      <c r="F167" s="156"/>
      <c r="G167" s="154"/>
      <c r="H167" s="100"/>
      <c r="I167" s="357"/>
      <c r="J167" s="156"/>
      <c r="K167" s="154"/>
      <c r="L167" s="100"/>
      <c r="M167" s="357"/>
      <c r="N167" s="156"/>
      <c r="O167" s="154"/>
      <c r="P167" s="100"/>
      <c r="Q167" s="357"/>
      <c r="R167" s="156"/>
      <c r="S167" s="154"/>
      <c r="T167" s="100"/>
      <c r="U167" s="357"/>
      <c r="V167" s="156"/>
      <c r="W167" s="154"/>
      <c r="X167" s="100"/>
      <c r="Y167" s="357"/>
      <c r="Z167" s="363"/>
      <c r="AA167" s="364"/>
      <c r="AB167" s="100"/>
      <c r="AC167" s="357"/>
      <c r="AD167" s="367"/>
      <c r="AE167" s="368"/>
      <c r="AF167" s="98"/>
      <c r="AG167" s="357"/>
      <c r="AH167" s="156"/>
      <c r="AI167" s="305"/>
      <c r="AJ167" s="366"/>
      <c r="AK167" s="357"/>
      <c r="AL167" s="369"/>
      <c r="AM167" s="370"/>
      <c r="AN167" s="238"/>
      <c r="AO167" s="357"/>
      <c r="AP167" s="363"/>
      <c r="AQ167" s="364"/>
      <c r="AR167" s="100"/>
      <c r="AS167" s="357"/>
      <c r="AT167" s="363"/>
      <c r="AU167" s="364"/>
      <c r="AV167" s="100"/>
    </row>
    <row r="168">
      <c r="A168" s="357"/>
      <c r="B168" s="156"/>
      <c r="C168" s="154"/>
      <c r="D168" s="100"/>
      <c r="E168" s="357"/>
      <c r="F168" s="156"/>
      <c r="G168" s="154"/>
      <c r="H168" s="100"/>
      <c r="I168" s="357"/>
      <c r="J168" s="156"/>
      <c r="K168" s="154"/>
      <c r="L168" s="100"/>
      <c r="M168" s="357"/>
      <c r="N168" s="156"/>
      <c r="O168" s="154"/>
      <c r="P168" s="100"/>
      <c r="Q168" s="357"/>
      <c r="R168" s="156"/>
      <c r="S168" s="154"/>
      <c r="T168" s="100"/>
      <c r="U168" s="357"/>
      <c r="V168" s="156"/>
      <c r="W168" s="154"/>
      <c r="X168" s="100"/>
      <c r="Y168" s="357"/>
      <c r="Z168" s="363"/>
      <c r="AA168" s="364"/>
      <c r="AB168" s="100"/>
      <c r="AC168" s="357"/>
      <c r="AD168" s="367"/>
      <c r="AE168" s="368"/>
      <c r="AF168" s="98"/>
      <c r="AG168" s="357"/>
      <c r="AH168" s="156"/>
      <c r="AI168" s="305"/>
      <c r="AJ168" s="366"/>
      <c r="AK168" s="357"/>
      <c r="AL168" s="369"/>
      <c r="AM168" s="370"/>
      <c r="AN168" s="238"/>
      <c r="AO168" s="357"/>
      <c r="AP168" s="363"/>
      <c r="AQ168" s="364"/>
      <c r="AR168" s="100"/>
      <c r="AS168" s="357"/>
      <c r="AT168" s="363"/>
      <c r="AU168" s="364"/>
      <c r="AV168" s="100"/>
    </row>
    <row r="169">
      <c r="A169" s="357"/>
      <c r="B169" s="156"/>
      <c r="C169" s="154"/>
      <c r="D169" s="100"/>
      <c r="E169" s="357"/>
      <c r="F169" s="156"/>
      <c r="G169" s="154"/>
      <c r="H169" s="100"/>
      <c r="I169" s="357"/>
      <c r="J169" s="156"/>
      <c r="K169" s="154"/>
      <c r="L169" s="100"/>
      <c r="M169" s="357"/>
      <c r="N169" s="156"/>
      <c r="O169" s="154"/>
      <c r="P169" s="100"/>
      <c r="Q169" s="357"/>
      <c r="R169" s="156"/>
      <c r="S169" s="154"/>
      <c r="T169" s="100"/>
      <c r="U169" s="357"/>
      <c r="V169" s="156"/>
      <c r="W169" s="154"/>
      <c r="X169" s="100"/>
      <c r="Y169" s="357"/>
      <c r="Z169" s="363"/>
      <c r="AA169" s="364"/>
      <c r="AB169" s="100"/>
      <c r="AC169" s="357"/>
      <c r="AD169" s="367"/>
      <c r="AE169" s="368"/>
      <c r="AF169" s="98"/>
      <c r="AG169" s="357"/>
      <c r="AH169" s="156"/>
      <c r="AI169" s="305"/>
      <c r="AJ169" s="366"/>
      <c r="AK169" s="357"/>
      <c r="AL169" s="369"/>
      <c r="AM169" s="370"/>
      <c r="AN169" s="238"/>
      <c r="AO169" s="357"/>
      <c r="AP169" s="363"/>
      <c r="AQ169" s="364"/>
      <c r="AR169" s="100"/>
      <c r="AS169" s="357"/>
      <c r="AT169" s="363"/>
      <c r="AU169" s="364"/>
      <c r="AV169" s="100"/>
    </row>
    <row r="170">
      <c r="A170" s="357"/>
      <c r="B170" s="156"/>
      <c r="C170" s="154"/>
      <c r="D170" s="100"/>
      <c r="E170" s="357"/>
      <c r="F170" s="156"/>
      <c r="G170" s="154"/>
      <c r="H170" s="100"/>
      <c r="I170" s="357"/>
      <c r="J170" s="156"/>
      <c r="K170" s="154"/>
      <c r="L170" s="100"/>
      <c r="M170" s="357"/>
      <c r="N170" s="156"/>
      <c r="O170" s="154"/>
      <c r="P170" s="100"/>
      <c r="Q170" s="357"/>
      <c r="R170" s="156"/>
      <c r="S170" s="154"/>
      <c r="T170" s="100"/>
      <c r="U170" s="357"/>
      <c r="V170" s="156"/>
      <c r="W170" s="154"/>
      <c r="X170" s="100"/>
      <c r="Y170" s="357"/>
      <c r="Z170" s="363"/>
      <c r="AA170" s="364"/>
      <c r="AB170" s="100"/>
      <c r="AC170" s="357"/>
      <c r="AD170" s="367"/>
      <c r="AE170" s="368"/>
      <c r="AF170" s="98"/>
      <c r="AG170" s="357"/>
      <c r="AH170" s="156"/>
      <c r="AI170" s="305"/>
      <c r="AJ170" s="366"/>
      <c r="AK170" s="357"/>
      <c r="AL170" s="369"/>
      <c r="AM170" s="370"/>
      <c r="AN170" s="238"/>
      <c r="AO170" s="357"/>
      <c r="AP170" s="363"/>
      <c r="AQ170" s="364"/>
      <c r="AR170" s="100"/>
      <c r="AS170" s="357"/>
      <c r="AT170" s="363"/>
      <c r="AU170" s="364"/>
      <c r="AV170" s="100"/>
    </row>
    <row r="171">
      <c r="A171" s="357"/>
      <c r="B171" s="156"/>
      <c r="C171" s="154"/>
      <c r="D171" s="100"/>
      <c r="E171" s="357"/>
      <c r="F171" s="156"/>
      <c r="G171" s="154"/>
      <c r="H171" s="100"/>
      <c r="I171" s="357"/>
      <c r="J171" s="156"/>
      <c r="K171" s="154"/>
      <c r="L171" s="100"/>
      <c r="M171" s="357"/>
      <c r="N171" s="156"/>
      <c r="O171" s="154"/>
      <c r="P171" s="100"/>
      <c r="Q171" s="357"/>
      <c r="R171" s="156"/>
      <c r="S171" s="154"/>
      <c r="T171" s="100"/>
      <c r="U171" s="357"/>
      <c r="V171" s="156"/>
      <c r="W171" s="154"/>
      <c r="X171" s="100"/>
      <c r="Y171" s="357"/>
      <c r="Z171" s="363"/>
      <c r="AA171" s="364"/>
      <c r="AB171" s="100"/>
      <c r="AC171" s="357"/>
      <c r="AD171" s="367"/>
      <c r="AE171" s="368"/>
      <c r="AF171" s="98"/>
      <c r="AG171" s="357"/>
      <c r="AH171" s="156"/>
      <c r="AI171" s="305"/>
      <c r="AJ171" s="366"/>
      <c r="AK171" s="357"/>
      <c r="AL171" s="369"/>
      <c r="AM171" s="370"/>
      <c r="AN171" s="238"/>
      <c r="AO171" s="357"/>
      <c r="AP171" s="363"/>
      <c r="AQ171" s="364"/>
      <c r="AR171" s="100"/>
      <c r="AS171" s="357"/>
      <c r="AT171" s="363"/>
      <c r="AU171" s="364"/>
      <c r="AV171" s="100"/>
    </row>
    <row r="172">
      <c r="A172" s="357"/>
      <c r="B172" s="156"/>
      <c r="C172" s="154"/>
      <c r="D172" s="100"/>
      <c r="E172" s="357"/>
      <c r="F172" s="156"/>
      <c r="G172" s="154"/>
      <c r="H172" s="100"/>
      <c r="I172" s="357"/>
      <c r="J172" s="156"/>
      <c r="K172" s="154"/>
      <c r="L172" s="100"/>
      <c r="M172" s="357"/>
      <c r="N172" s="156"/>
      <c r="O172" s="154"/>
      <c r="P172" s="100"/>
      <c r="Q172" s="357"/>
      <c r="R172" s="156"/>
      <c r="S172" s="154"/>
      <c r="T172" s="100"/>
      <c r="U172" s="357"/>
      <c r="V172" s="156"/>
      <c r="W172" s="154"/>
      <c r="X172" s="100"/>
      <c r="Y172" s="357"/>
      <c r="Z172" s="363"/>
      <c r="AA172" s="364"/>
      <c r="AB172" s="100"/>
      <c r="AC172" s="357"/>
      <c r="AD172" s="367"/>
      <c r="AE172" s="368"/>
      <c r="AF172" s="98"/>
      <c r="AG172" s="357"/>
      <c r="AH172" s="156"/>
      <c r="AI172" s="305"/>
      <c r="AJ172" s="366"/>
      <c r="AK172" s="357"/>
      <c r="AL172" s="369"/>
      <c r="AM172" s="370"/>
      <c r="AN172" s="238"/>
      <c r="AO172" s="357"/>
      <c r="AP172" s="363"/>
      <c r="AQ172" s="364"/>
      <c r="AR172" s="100"/>
      <c r="AS172" s="357"/>
      <c r="AT172" s="363"/>
      <c r="AU172" s="364"/>
      <c r="AV172" s="100"/>
    </row>
    <row r="173">
      <c r="A173" s="357"/>
      <c r="B173" s="156"/>
      <c r="C173" s="154"/>
      <c r="D173" s="100"/>
      <c r="E173" s="357"/>
      <c r="F173" s="156"/>
      <c r="G173" s="154"/>
      <c r="H173" s="100"/>
      <c r="I173" s="357"/>
      <c r="J173" s="156"/>
      <c r="K173" s="154"/>
      <c r="L173" s="100"/>
      <c r="M173" s="357"/>
      <c r="N173" s="156"/>
      <c r="O173" s="154"/>
      <c r="P173" s="100"/>
      <c r="Q173" s="357"/>
      <c r="R173" s="156"/>
      <c r="S173" s="154"/>
      <c r="T173" s="100"/>
      <c r="U173" s="357"/>
      <c r="V173" s="156"/>
      <c r="W173" s="154"/>
      <c r="X173" s="100"/>
      <c r="Y173" s="357"/>
      <c r="Z173" s="363"/>
      <c r="AA173" s="364"/>
      <c r="AB173" s="100"/>
      <c r="AC173" s="357"/>
      <c r="AD173" s="367"/>
      <c r="AE173" s="368"/>
      <c r="AF173" s="98"/>
      <c r="AG173" s="357"/>
      <c r="AH173" s="156"/>
      <c r="AI173" s="305"/>
      <c r="AJ173" s="366"/>
      <c r="AK173" s="357"/>
      <c r="AL173" s="369"/>
      <c r="AM173" s="370"/>
      <c r="AN173" s="238"/>
      <c r="AO173" s="357"/>
      <c r="AP173" s="363"/>
      <c r="AQ173" s="364"/>
      <c r="AR173" s="100"/>
      <c r="AS173" s="357"/>
      <c r="AT173" s="363"/>
      <c r="AU173" s="364"/>
      <c r="AV173" s="100"/>
    </row>
    <row r="174">
      <c r="A174" s="357"/>
      <c r="B174" s="156"/>
      <c r="C174" s="154"/>
      <c r="D174" s="100"/>
      <c r="E174" s="357"/>
      <c r="F174" s="156"/>
      <c r="G174" s="154"/>
      <c r="H174" s="100"/>
      <c r="I174" s="357"/>
      <c r="J174" s="156"/>
      <c r="K174" s="154"/>
      <c r="L174" s="100"/>
      <c r="M174" s="357"/>
      <c r="N174" s="156"/>
      <c r="O174" s="154"/>
      <c r="P174" s="100"/>
      <c r="Q174" s="357"/>
      <c r="R174" s="156"/>
      <c r="S174" s="154"/>
      <c r="T174" s="100"/>
      <c r="U174" s="357"/>
      <c r="V174" s="156"/>
      <c r="W174" s="154"/>
      <c r="X174" s="100"/>
      <c r="Y174" s="357"/>
      <c r="Z174" s="363"/>
      <c r="AA174" s="364"/>
      <c r="AB174" s="100"/>
      <c r="AC174" s="357"/>
      <c r="AD174" s="367"/>
      <c r="AE174" s="368"/>
      <c r="AF174" s="98"/>
      <c r="AG174" s="357"/>
      <c r="AH174" s="156"/>
      <c r="AI174" s="305"/>
      <c r="AJ174" s="366"/>
      <c r="AK174" s="357"/>
      <c r="AL174" s="369"/>
      <c r="AM174" s="370"/>
      <c r="AN174" s="238"/>
      <c r="AO174" s="357"/>
      <c r="AP174" s="363"/>
      <c r="AQ174" s="364"/>
      <c r="AR174" s="100"/>
      <c r="AS174" s="357"/>
      <c r="AT174" s="363"/>
      <c r="AU174" s="364"/>
      <c r="AV174" s="100"/>
    </row>
    <row r="175">
      <c r="A175" s="357"/>
      <c r="B175" s="156"/>
      <c r="C175" s="154"/>
      <c r="D175" s="100"/>
      <c r="E175" s="357"/>
      <c r="F175" s="156"/>
      <c r="G175" s="154"/>
      <c r="H175" s="100"/>
      <c r="I175" s="357"/>
      <c r="J175" s="156"/>
      <c r="K175" s="154"/>
      <c r="L175" s="100"/>
      <c r="M175" s="357"/>
      <c r="N175" s="156"/>
      <c r="O175" s="154"/>
      <c r="P175" s="100"/>
      <c r="Q175" s="357"/>
      <c r="R175" s="156"/>
      <c r="S175" s="154"/>
      <c r="T175" s="100"/>
      <c r="U175" s="357"/>
      <c r="V175" s="156"/>
      <c r="W175" s="154"/>
      <c r="X175" s="100"/>
      <c r="Y175" s="357"/>
      <c r="Z175" s="363"/>
      <c r="AA175" s="364"/>
      <c r="AB175" s="100"/>
      <c r="AC175" s="357"/>
      <c r="AD175" s="367"/>
      <c r="AE175" s="368"/>
      <c r="AF175" s="98"/>
      <c r="AG175" s="357"/>
      <c r="AH175" s="156"/>
      <c r="AI175" s="305"/>
      <c r="AJ175" s="366"/>
      <c r="AK175" s="357"/>
      <c r="AL175" s="369"/>
      <c r="AM175" s="370"/>
      <c r="AN175" s="238"/>
      <c r="AO175" s="357"/>
      <c r="AP175" s="363"/>
      <c r="AQ175" s="364"/>
      <c r="AR175" s="100"/>
      <c r="AS175" s="357"/>
      <c r="AT175" s="363"/>
      <c r="AU175" s="364"/>
      <c r="AV175" s="100"/>
    </row>
    <row r="176">
      <c r="A176" s="357"/>
      <c r="B176" s="156"/>
      <c r="C176" s="154"/>
      <c r="D176" s="100"/>
      <c r="E176" s="357"/>
      <c r="F176" s="156"/>
      <c r="G176" s="154"/>
      <c r="H176" s="100"/>
      <c r="I176" s="357"/>
      <c r="J176" s="156"/>
      <c r="K176" s="154"/>
      <c r="L176" s="100"/>
      <c r="M176" s="357"/>
      <c r="N176" s="156"/>
      <c r="O176" s="154"/>
      <c r="P176" s="100"/>
      <c r="Q176" s="357"/>
      <c r="R176" s="156"/>
      <c r="S176" s="154"/>
      <c r="T176" s="100"/>
      <c r="U176" s="357"/>
      <c r="V176" s="156"/>
      <c r="W176" s="154"/>
      <c r="X176" s="100"/>
      <c r="Y176" s="357"/>
      <c r="Z176" s="363"/>
      <c r="AA176" s="364"/>
      <c r="AB176" s="100"/>
      <c r="AC176" s="357"/>
      <c r="AD176" s="367"/>
      <c r="AE176" s="368"/>
      <c r="AF176" s="98"/>
      <c r="AG176" s="357"/>
      <c r="AH176" s="156"/>
      <c r="AI176" s="305"/>
      <c r="AJ176" s="366"/>
      <c r="AK176" s="357"/>
      <c r="AL176" s="369"/>
      <c r="AM176" s="370"/>
      <c r="AN176" s="238"/>
      <c r="AO176" s="357"/>
      <c r="AP176" s="363"/>
      <c r="AQ176" s="364"/>
      <c r="AR176" s="100"/>
      <c r="AS176" s="357"/>
      <c r="AT176" s="363"/>
      <c r="AU176" s="364"/>
      <c r="AV176" s="100"/>
    </row>
    <row r="177">
      <c r="A177" s="357"/>
      <c r="B177" s="156"/>
      <c r="C177" s="154"/>
      <c r="D177" s="100"/>
      <c r="E177" s="357"/>
      <c r="F177" s="156"/>
      <c r="G177" s="154"/>
      <c r="H177" s="100"/>
      <c r="I177" s="357"/>
      <c r="J177" s="156"/>
      <c r="K177" s="154"/>
      <c r="L177" s="100"/>
      <c r="M177" s="357"/>
      <c r="N177" s="156"/>
      <c r="O177" s="154"/>
      <c r="P177" s="100"/>
      <c r="Q177" s="357"/>
      <c r="R177" s="156"/>
      <c r="S177" s="154"/>
      <c r="T177" s="100"/>
      <c r="U177" s="357"/>
      <c r="V177" s="156"/>
      <c r="W177" s="154"/>
      <c r="X177" s="100"/>
      <c r="Y177" s="357"/>
      <c r="Z177" s="363"/>
      <c r="AA177" s="364"/>
      <c r="AB177" s="100"/>
      <c r="AC177" s="357"/>
      <c r="AD177" s="367"/>
      <c r="AE177" s="368"/>
      <c r="AF177" s="98"/>
      <c r="AG177" s="357"/>
      <c r="AH177" s="156"/>
      <c r="AI177" s="305"/>
      <c r="AJ177" s="366"/>
      <c r="AK177" s="357"/>
      <c r="AL177" s="369"/>
      <c r="AM177" s="370"/>
      <c r="AN177" s="238"/>
      <c r="AO177" s="357"/>
      <c r="AP177" s="363"/>
      <c r="AQ177" s="364"/>
      <c r="AR177" s="100"/>
      <c r="AS177" s="357"/>
      <c r="AT177" s="363"/>
      <c r="AU177" s="364"/>
      <c r="AV177" s="100"/>
    </row>
    <row r="178">
      <c r="A178" s="357"/>
      <c r="B178" s="156"/>
      <c r="C178" s="154"/>
      <c r="D178" s="100"/>
      <c r="E178" s="357"/>
      <c r="F178" s="156"/>
      <c r="G178" s="154"/>
      <c r="H178" s="100"/>
      <c r="I178" s="357"/>
      <c r="J178" s="156"/>
      <c r="K178" s="154"/>
      <c r="L178" s="100"/>
      <c r="M178" s="357"/>
      <c r="N178" s="156"/>
      <c r="O178" s="154"/>
      <c r="P178" s="100"/>
      <c r="Q178" s="357"/>
      <c r="R178" s="156"/>
      <c r="S178" s="154"/>
      <c r="T178" s="100"/>
      <c r="U178" s="357"/>
      <c r="V178" s="156"/>
      <c r="W178" s="154"/>
      <c r="X178" s="100"/>
      <c r="Y178" s="357"/>
      <c r="Z178" s="363"/>
      <c r="AA178" s="364"/>
      <c r="AB178" s="100"/>
      <c r="AC178" s="357"/>
      <c r="AD178" s="367"/>
      <c r="AE178" s="368"/>
      <c r="AF178" s="98"/>
      <c r="AG178" s="357"/>
      <c r="AH178" s="156"/>
      <c r="AI178" s="305"/>
      <c r="AJ178" s="366"/>
      <c r="AK178" s="357"/>
      <c r="AL178" s="369"/>
      <c r="AM178" s="370"/>
      <c r="AN178" s="238"/>
      <c r="AO178" s="357"/>
      <c r="AP178" s="363"/>
      <c r="AQ178" s="364"/>
      <c r="AR178" s="100"/>
      <c r="AS178" s="357"/>
      <c r="AT178" s="363"/>
      <c r="AU178" s="364"/>
      <c r="AV178" s="100"/>
    </row>
    <row r="179">
      <c r="A179" s="357"/>
      <c r="B179" s="156"/>
      <c r="C179" s="154"/>
      <c r="D179" s="100"/>
      <c r="E179" s="357"/>
      <c r="F179" s="156"/>
      <c r="G179" s="154"/>
      <c r="H179" s="100"/>
      <c r="I179" s="357"/>
      <c r="J179" s="156"/>
      <c r="K179" s="154"/>
      <c r="L179" s="100"/>
      <c r="M179" s="357"/>
      <c r="N179" s="156"/>
      <c r="O179" s="154"/>
      <c r="P179" s="100"/>
      <c r="Q179" s="357"/>
      <c r="R179" s="156"/>
      <c r="S179" s="154"/>
      <c r="T179" s="100"/>
      <c r="U179" s="357"/>
      <c r="V179" s="156"/>
      <c r="W179" s="154"/>
      <c r="X179" s="100"/>
      <c r="Y179" s="357"/>
      <c r="Z179" s="363"/>
      <c r="AA179" s="364"/>
      <c r="AB179" s="100"/>
      <c r="AC179" s="357"/>
      <c r="AD179" s="367"/>
      <c r="AE179" s="368"/>
      <c r="AF179" s="98"/>
      <c r="AG179" s="357"/>
      <c r="AH179" s="156"/>
      <c r="AI179" s="305"/>
      <c r="AJ179" s="366"/>
      <c r="AK179" s="357"/>
      <c r="AL179" s="369"/>
      <c r="AM179" s="370"/>
      <c r="AN179" s="238"/>
      <c r="AO179" s="357"/>
      <c r="AP179" s="363"/>
      <c r="AQ179" s="364"/>
      <c r="AR179" s="100"/>
      <c r="AS179" s="357"/>
      <c r="AT179" s="363"/>
      <c r="AU179" s="364"/>
      <c r="AV179" s="100"/>
    </row>
    <row r="180">
      <c r="A180" s="357"/>
      <c r="B180" s="156"/>
      <c r="C180" s="154"/>
      <c r="D180" s="100"/>
      <c r="E180" s="357"/>
      <c r="F180" s="156"/>
      <c r="G180" s="154"/>
      <c r="H180" s="100"/>
      <c r="I180" s="357"/>
      <c r="J180" s="156"/>
      <c r="K180" s="154"/>
      <c r="L180" s="100"/>
      <c r="M180" s="357"/>
      <c r="N180" s="156"/>
      <c r="O180" s="154"/>
      <c r="P180" s="100"/>
      <c r="Q180" s="357"/>
      <c r="R180" s="156"/>
      <c r="S180" s="154"/>
      <c r="T180" s="100"/>
      <c r="U180" s="357"/>
      <c r="V180" s="156"/>
      <c r="W180" s="154"/>
      <c r="X180" s="100"/>
      <c r="Y180" s="357"/>
      <c r="Z180" s="363"/>
      <c r="AA180" s="364"/>
      <c r="AB180" s="100"/>
      <c r="AC180" s="357"/>
      <c r="AD180" s="367"/>
      <c r="AE180" s="368"/>
      <c r="AF180" s="98"/>
      <c r="AG180" s="357"/>
      <c r="AH180" s="156"/>
      <c r="AI180" s="305"/>
      <c r="AJ180" s="366"/>
      <c r="AK180" s="357"/>
      <c r="AL180" s="369"/>
      <c r="AM180" s="370"/>
      <c r="AN180" s="238"/>
      <c r="AO180" s="357"/>
      <c r="AP180" s="363"/>
      <c r="AQ180" s="364"/>
      <c r="AR180" s="100"/>
      <c r="AS180" s="357"/>
      <c r="AT180" s="363"/>
      <c r="AU180" s="364"/>
      <c r="AV180" s="100"/>
    </row>
    <row r="181">
      <c r="A181" s="357"/>
      <c r="B181" s="156"/>
      <c r="C181" s="154"/>
      <c r="D181" s="100"/>
      <c r="E181" s="357"/>
      <c r="F181" s="156"/>
      <c r="G181" s="154"/>
      <c r="H181" s="100"/>
      <c r="I181" s="357"/>
      <c r="J181" s="156"/>
      <c r="K181" s="154"/>
      <c r="L181" s="100"/>
      <c r="M181" s="357"/>
      <c r="N181" s="156"/>
      <c r="O181" s="154"/>
      <c r="P181" s="100"/>
      <c r="Q181" s="357"/>
      <c r="R181" s="156"/>
      <c r="S181" s="154"/>
      <c r="T181" s="100"/>
      <c r="U181" s="357"/>
      <c r="V181" s="156"/>
      <c r="W181" s="154"/>
      <c r="X181" s="100"/>
      <c r="Y181" s="357"/>
      <c r="Z181" s="363"/>
      <c r="AA181" s="364"/>
      <c r="AB181" s="100"/>
      <c r="AC181" s="357"/>
      <c r="AD181" s="367"/>
      <c r="AE181" s="368"/>
      <c r="AF181" s="98"/>
      <c r="AG181" s="357"/>
      <c r="AH181" s="156"/>
      <c r="AI181" s="305"/>
      <c r="AJ181" s="366"/>
      <c r="AK181" s="357"/>
      <c r="AL181" s="369"/>
      <c r="AM181" s="370"/>
      <c r="AN181" s="238"/>
      <c r="AO181" s="357"/>
      <c r="AP181" s="363"/>
      <c r="AQ181" s="364"/>
      <c r="AR181" s="100"/>
      <c r="AS181" s="357"/>
      <c r="AT181" s="363"/>
      <c r="AU181" s="364"/>
      <c r="AV181" s="100"/>
    </row>
    <row r="182">
      <c r="A182" s="357"/>
      <c r="B182" s="156"/>
      <c r="C182" s="154"/>
      <c r="D182" s="100"/>
      <c r="E182" s="357"/>
      <c r="F182" s="156"/>
      <c r="G182" s="154"/>
      <c r="H182" s="100"/>
      <c r="I182" s="357"/>
      <c r="J182" s="156"/>
      <c r="K182" s="154"/>
      <c r="L182" s="100"/>
      <c r="M182" s="357"/>
      <c r="N182" s="156"/>
      <c r="O182" s="154"/>
      <c r="P182" s="100"/>
      <c r="Q182" s="357"/>
      <c r="R182" s="156"/>
      <c r="S182" s="154"/>
      <c r="T182" s="100"/>
      <c r="U182" s="357"/>
      <c r="V182" s="156"/>
      <c r="W182" s="154"/>
      <c r="X182" s="100"/>
      <c r="Y182" s="357"/>
      <c r="Z182" s="363"/>
      <c r="AA182" s="364"/>
      <c r="AB182" s="100"/>
      <c r="AC182" s="357"/>
      <c r="AD182" s="367"/>
      <c r="AE182" s="368"/>
      <c r="AF182" s="98"/>
      <c r="AG182" s="357"/>
      <c r="AH182" s="156"/>
      <c r="AI182" s="305"/>
      <c r="AJ182" s="366"/>
      <c r="AK182" s="357"/>
      <c r="AL182" s="369"/>
      <c r="AM182" s="370"/>
      <c r="AN182" s="238"/>
      <c r="AO182" s="357"/>
      <c r="AP182" s="363"/>
      <c r="AQ182" s="364"/>
      <c r="AR182" s="100"/>
      <c r="AS182" s="357"/>
      <c r="AT182" s="363"/>
      <c r="AU182" s="364"/>
      <c r="AV182" s="100"/>
    </row>
    <row r="183">
      <c r="A183" s="357"/>
      <c r="B183" s="156"/>
      <c r="C183" s="154"/>
      <c r="D183" s="100"/>
      <c r="E183" s="357"/>
      <c r="F183" s="156"/>
      <c r="G183" s="154"/>
      <c r="H183" s="100"/>
      <c r="I183" s="357"/>
      <c r="J183" s="156"/>
      <c r="K183" s="154"/>
      <c r="L183" s="100"/>
      <c r="M183" s="357"/>
      <c r="N183" s="156"/>
      <c r="O183" s="154"/>
      <c r="P183" s="100"/>
      <c r="Q183" s="357"/>
      <c r="R183" s="156"/>
      <c r="S183" s="154"/>
      <c r="T183" s="100"/>
      <c r="U183" s="357"/>
      <c r="V183" s="156"/>
      <c r="W183" s="154"/>
      <c r="X183" s="100"/>
      <c r="Y183" s="357"/>
      <c r="Z183" s="363"/>
      <c r="AA183" s="364"/>
      <c r="AB183" s="100"/>
      <c r="AC183" s="357"/>
      <c r="AD183" s="367"/>
      <c r="AE183" s="368"/>
      <c r="AF183" s="98"/>
      <c r="AG183" s="357"/>
      <c r="AH183" s="156"/>
      <c r="AI183" s="305"/>
      <c r="AJ183" s="366"/>
      <c r="AK183" s="357"/>
      <c r="AL183" s="369"/>
      <c r="AM183" s="370"/>
      <c r="AN183" s="238"/>
      <c r="AO183" s="357"/>
      <c r="AP183" s="363"/>
      <c r="AQ183" s="364"/>
      <c r="AR183" s="100"/>
      <c r="AS183" s="357"/>
      <c r="AT183" s="363"/>
      <c r="AU183" s="364"/>
      <c r="AV183" s="100"/>
    </row>
    <row r="184">
      <c r="A184" s="357"/>
      <c r="B184" s="156"/>
      <c r="C184" s="154"/>
      <c r="D184" s="100"/>
      <c r="E184" s="357"/>
      <c r="F184" s="156"/>
      <c r="G184" s="154"/>
      <c r="H184" s="100"/>
      <c r="I184" s="357"/>
      <c r="J184" s="156"/>
      <c r="K184" s="154"/>
      <c r="L184" s="100"/>
      <c r="M184" s="357"/>
      <c r="N184" s="156"/>
      <c r="O184" s="154"/>
      <c r="P184" s="100"/>
      <c r="Q184" s="357"/>
      <c r="R184" s="156"/>
      <c r="S184" s="154"/>
      <c r="T184" s="100"/>
      <c r="U184" s="357"/>
      <c r="V184" s="156"/>
      <c r="W184" s="154"/>
      <c r="X184" s="100"/>
      <c r="Y184" s="357"/>
      <c r="Z184" s="363"/>
      <c r="AA184" s="364"/>
      <c r="AB184" s="100"/>
      <c r="AC184" s="357"/>
      <c r="AD184" s="367"/>
      <c r="AE184" s="368"/>
      <c r="AF184" s="98"/>
      <c r="AG184" s="357"/>
      <c r="AH184" s="156"/>
      <c r="AI184" s="305"/>
      <c r="AJ184" s="366"/>
      <c r="AK184" s="357"/>
      <c r="AL184" s="369"/>
      <c r="AM184" s="370"/>
      <c r="AN184" s="238"/>
      <c r="AO184" s="357"/>
      <c r="AP184" s="363"/>
      <c r="AQ184" s="364"/>
      <c r="AR184" s="100"/>
      <c r="AS184" s="357"/>
      <c r="AT184" s="363"/>
      <c r="AU184" s="364"/>
      <c r="AV184" s="100"/>
    </row>
    <row r="185">
      <c r="A185" s="357"/>
      <c r="B185" s="156"/>
      <c r="C185" s="154"/>
      <c r="D185" s="100"/>
      <c r="E185" s="357"/>
      <c r="F185" s="156"/>
      <c r="G185" s="154"/>
      <c r="H185" s="100"/>
      <c r="I185" s="357"/>
      <c r="J185" s="156"/>
      <c r="K185" s="154"/>
      <c r="L185" s="100"/>
      <c r="M185" s="357"/>
      <c r="N185" s="156"/>
      <c r="O185" s="154"/>
      <c r="P185" s="100"/>
      <c r="Q185" s="357"/>
      <c r="R185" s="156"/>
      <c r="S185" s="154"/>
      <c r="T185" s="100"/>
      <c r="U185" s="357"/>
      <c r="V185" s="156"/>
      <c r="W185" s="154"/>
      <c r="X185" s="100"/>
      <c r="Y185" s="357"/>
      <c r="Z185" s="363"/>
      <c r="AA185" s="364"/>
      <c r="AB185" s="100"/>
      <c r="AC185" s="357"/>
      <c r="AD185" s="367"/>
      <c r="AE185" s="368"/>
      <c r="AF185" s="98"/>
      <c r="AG185" s="357"/>
      <c r="AH185" s="156"/>
      <c r="AI185" s="305"/>
      <c r="AJ185" s="366"/>
      <c r="AK185" s="357"/>
      <c r="AL185" s="369"/>
      <c r="AM185" s="370"/>
      <c r="AN185" s="238"/>
      <c r="AO185" s="357"/>
      <c r="AP185" s="363"/>
      <c r="AQ185" s="364"/>
      <c r="AR185" s="100"/>
      <c r="AS185" s="357"/>
      <c r="AT185" s="363"/>
      <c r="AU185" s="364"/>
      <c r="AV185" s="100"/>
    </row>
    <row r="186">
      <c r="A186" s="357"/>
      <c r="B186" s="156"/>
      <c r="C186" s="154"/>
      <c r="D186" s="100"/>
      <c r="E186" s="357"/>
      <c r="F186" s="156"/>
      <c r="G186" s="154"/>
      <c r="H186" s="100"/>
      <c r="I186" s="357"/>
      <c r="J186" s="156"/>
      <c r="K186" s="154"/>
      <c r="L186" s="100"/>
      <c r="M186" s="357"/>
      <c r="N186" s="156"/>
      <c r="O186" s="154"/>
      <c r="P186" s="100"/>
      <c r="Q186" s="357"/>
      <c r="R186" s="156"/>
      <c r="S186" s="154"/>
      <c r="T186" s="100"/>
      <c r="U186" s="357"/>
      <c r="V186" s="156"/>
      <c r="W186" s="154"/>
      <c r="X186" s="100"/>
      <c r="Y186" s="357"/>
      <c r="Z186" s="363"/>
      <c r="AA186" s="364"/>
      <c r="AB186" s="100"/>
      <c r="AC186" s="357"/>
      <c r="AD186" s="367"/>
      <c r="AE186" s="368"/>
      <c r="AF186" s="98"/>
      <c r="AG186" s="357"/>
      <c r="AH186" s="156"/>
      <c r="AI186" s="305"/>
      <c r="AJ186" s="366"/>
      <c r="AK186" s="357"/>
      <c r="AL186" s="369"/>
      <c r="AM186" s="370"/>
      <c r="AN186" s="238"/>
      <c r="AO186" s="357"/>
      <c r="AP186" s="363"/>
      <c r="AQ186" s="364"/>
      <c r="AR186" s="100"/>
      <c r="AS186" s="357"/>
      <c r="AT186" s="363"/>
      <c r="AU186" s="364"/>
      <c r="AV186" s="100"/>
    </row>
    <row r="187">
      <c r="A187" s="357"/>
      <c r="B187" s="156"/>
      <c r="C187" s="154"/>
      <c r="D187" s="100"/>
      <c r="E187" s="357"/>
      <c r="F187" s="156"/>
      <c r="G187" s="154"/>
      <c r="H187" s="100"/>
      <c r="I187" s="357"/>
      <c r="J187" s="156"/>
      <c r="K187" s="154"/>
      <c r="L187" s="100"/>
      <c r="M187" s="357"/>
      <c r="N187" s="156"/>
      <c r="O187" s="154"/>
      <c r="P187" s="100"/>
      <c r="Q187" s="357"/>
      <c r="R187" s="156"/>
      <c r="S187" s="154"/>
      <c r="T187" s="100"/>
      <c r="U187" s="357"/>
      <c r="V187" s="156"/>
      <c r="W187" s="154"/>
      <c r="X187" s="100"/>
      <c r="Y187" s="357"/>
      <c r="Z187" s="363"/>
      <c r="AA187" s="364"/>
      <c r="AB187" s="100"/>
      <c r="AC187" s="357"/>
      <c r="AD187" s="367"/>
      <c r="AE187" s="368"/>
      <c r="AF187" s="98"/>
      <c r="AG187" s="357"/>
      <c r="AH187" s="156"/>
      <c r="AI187" s="305"/>
      <c r="AJ187" s="366"/>
      <c r="AK187" s="357"/>
      <c r="AL187" s="369"/>
      <c r="AM187" s="370"/>
      <c r="AN187" s="238"/>
      <c r="AO187" s="357"/>
      <c r="AP187" s="363"/>
      <c r="AQ187" s="364"/>
      <c r="AR187" s="100"/>
      <c r="AS187" s="357"/>
      <c r="AT187" s="363"/>
      <c r="AU187" s="364"/>
      <c r="AV187" s="100"/>
    </row>
    <row r="188">
      <c r="A188" s="357"/>
      <c r="B188" s="156"/>
      <c r="C188" s="154"/>
      <c r="D188" s="100"/>
      <c r="E188" s="357"/>
      <c r="F188" s="156"/>
      <c r="G188" s="154"/>
      <c r="H188" s="100"/>
      <c r="I188" s="357"/>
      <c r="J188" s="156"/>
      <c r="K188" s="154"/>
      <c r="L188" s="100"/>
      <c r="M188" s="357"/>
      <c r="N188" s="156"/>
      <c r="O188" s="154"/>
      <c r="P188" s="100"/>
      <c r="Q188" s="357"/>
      <c r="R188" s="156"/>
      <c r="S188" s="154"/>
      <c r="T188" s="100"/>
      <c r="U188" s="357"/>
      <c r="V188" s="156"/>
      <c r="W188" s="154"/>
      <c r="X188" s="100"/>
      <c r="Y188" s="357"/>
      <c r="Z188" s="363"/>
      <c r="AA188" s="364"/>
      <c r="AB188" s="100"/>
      <c r="AC188" s="357"/>
      <c r="AD188" s="367"/>
      <c r="AE188" s="368"/>
      <c r="AF188" s="98"/>
      <c r="AG188" s="357"/>
      <c r="AH188" s="156"/>
      <c r="AI188" s="305"/>
      <c r="AJ188" s="366"/>
      <c r="AK188" s="357"/>
      <c r="AL188" s="369"/>
      <c r="AM188" s="370"/>
      <c r="AN188" s="238"/>
      <c r="AO188" s="357"/>
      <c r="AP188" s="363"/>
      <c r="AQ188" s="364"/>
      <c r="AR188" s="100"/>
      <c r="AS188" s="357"/>
      <c r="AT188" s="363"/>
      <c r="AU188" s="364"/>
      <c r="AV188" s="100"/>
    </row>
    <row r="189">
      <c r="A189" s="357"/>
      <c r="B189" s="156"/>
      <c r="C189" s="154"/>
      <c r="D189" s="100"/>
      <c r="E189" s="357"/>
      <c r="F189" s="156"/>
      <c r="G189" s="154"/>
      <c r="H189" s="100"/>
      <c r="I189" s="357"/>
      <c r="J189" s="156"/>
      <c r="K189" s="154"/>
      <c r="L189" s="100"/>
      <c r="M189" s="357"/>
      <c r="N189" s="156"/>
      <c r="O189" s="154"/>
      <c r="P189" s="100"/>
      <c r="Q189" s="357"/>
      <c r="R189" s="156"/>
      <c r="S189" s="154"/>
      <c r="T189" s="100"/>
      <c r="U189" s="357"/>
      <c r="V189" s="156"/>
      <c r="W189" s="154"/>
      <c r="X189" s="100"/>
      <c r="Y189" s="357"/>
      <c r="Z189" s="363"/>
      <c r="AA189" s="364"/>
      <c r="AB189" s="100"/>
      <c r="AC189" s="357"/>
      <c r="AD189" s="367"/>
      <c r="AE189" s="368"/>
      <c r="AF189" s="98"/>
      <c r="AG189" s="357"/>
      <c r="AH189" s="156"/>
      <c r="AI189" s="305"/>
      <c r="AJ189" s="366"/>
      <c r="AK189" s="357"/>
      <c r="AL189" s="369"/>
      <c r="AM189" s="370"/>
      <c r="AN189" s="238"/>
      <c r="AO189" s="357"/>
      <c r="AP189" s="363"/>
      <c r="AQ189" s="364"/>
      <c r="AR189" s="100"/>
      <c r="AS189" s="357"/>
      <c r="AT189" s="363"/>
      <c r="AU189" s="364"/>
      <c r="AV189" s="100"/>
    </row>
    <row r="190">
      <c r="A190" s="357"/>
      <c r="B190" s="156"/>
      <c r="C190" s="154"/>
      <c r="D190" s="100"/>
      <c r="E190" s="357"/>
      <c r="F190" s="156"/>
      <c r="G190" s="154"/>
      <c r="H190" s="100"/>
      <c r="I190" s="357"/>
      <c r="J190" s="156"/>
      <c r="K190" s="154"/>
      <c r="L190" s="100"/>
      <c r="M190" s="357"/>
      <c r="N190" s="156"/>
      <c r="O190" s="154"/>
      <c r="P190" s="100"/>
      <c r="Q190" s="357"/>
      <c r="R190" s="156"/>
      <c r="S190" s="154"/>
      <c r="T190" s="100"/>
      <c r="U190" s="357"/>
      <c r="V190" s="156"/>
      <c r="W190" s="154"/>
      <c r="X190" s="100"/>
      <c r="Y190" s="357"/>
      <c r="Z190" s="363"/>
      <c r="AA190" s="364"/>
      <c r="AB190" s="100"/>
      <c r="AC190" s="357"/>
      <c r="AD190" s="367"/>
      <c r="AE190" s="368"/>
      <c r="AF190" s="98"/>
      <c r="AG190" s="357"/>
      <c r="AH190" s="156"/>
      <c r="AI190" s="305"/>
      <c r="AJ190" s="366"/>
      <c r="AK190" s="357"/>
      <c r="AL190" s="369"/>
      <c r="AM190" s="370"/>
      <c r="AN190" s="238"/>
      <c r="AO190" s="357"/>
      <c r="AP190" s="363"/>
      <c r="AQ190" s="364"/>
      <c r="AR190" s="100"/>
      <c r="AS190" s="357"/>
      <c r="AT190" s="363"/>
      <c r="AU190" s="364"/>
      <c r="AV190" s="100"/>
    </row>
    <row r="191">
      <c r="A191" s="357"/>
      <c r="B191" s="156"/>
      <c r="C191" s="154"/>
      <c r="D191" s="100"/>
      <c r="E191" s="357"/>
      <c r="F191" s="156"/>
      <c r="G191" s="154"/>
      <c r="H191" s="100"/>
      <c r="I191" s="357"/>
      <c r="J191" s="156"/>
      <c r="K191" s="154"/>
      <c r="L191" s="100"/>
      <c r="M191" s="357"/>
      <c r="N191" s="156"/>
      <c r="O191" s="154"/>
      <c r="P191" s="100"/>
      <c r="Q191" s="357"/>
      <c r="R191" s="156"/>
      <c r="S191" s="154"/>
      <c r="T191" s="100"/>
      <c r="U191" s="357"/>
      <c r="V191" s="156"/>
      <c r="W191" s="154"/>
      <c r="X191" s="100"/>
      <c r="Y191" s="357"/>
      <c r="Z191" s="363"/>
      <c r="AA191" s="364"/>
      <c r="AB191" s="100"/>
      <c r="AC191" s="357"/>
      <c r="AD191" s="367"/>
      <c r="AE191" s="368"/>
      <c r="AF191" s="98"/>
      <c r="AG191" s="357"/>
      <c r="AH191" s="156"/>
      <c r="AI191" s="305"/>
      <c r="AJ191" s="366"/>
      <c r="AK191" s="357"/>
      <c r="AL191" s="369"/>
      <c r="AM191" s="370"/>
      <c r="AN191" s="238"/>
      <c r="AO191" s="357"/>
      <c r="AP191" s="363"/>
      <c r="AQ191" s="364"/>
      <c r="AR191" s="100"/>
      <c r="AS191" s="357"/>
      <c r="AT191" s="363"/>
      <c r="AU191" s="364"/>
      <c r="AV191" s="100"/>
    </row>
    <row r="192">
      <c r="A192" s="357"/>
      <c r="B192" s="156"/>
      <c r="C192" s="154"/>
      <c r="D192" s="100"/>
      <c r="E192" s="357"/>
      <c r="F192" s="156"/>
      <c r="G192" s="154"/>
      <c r="H192" s="100"/>
      <c r="I192" s="357"/>
      <c r="J192" s="156"/>
      <c r="K192" s="154"/>
      <c r="L192" s="100"/>
      <c r="M192" s="357"/>
      <c r="N192" s="156"/>
      <c r="O192" s="154"/>
      <c r="P192" s="100"/>
      <c r="Q192" s="357"/>
      <c r="R192" s="156"/>
      <c r="S192" s="154"/>
      <c r="T192" s="100"/>
      <c r="U192" s="357"/>
      <c r="V192" s="156"/>
      <c r="W192" s="154"/>
      <c r="X192" s="100"/>
      <c r="Y192" s="357"/>
      <c r="Z192" s="363"/>
      <c r="AA192" s="364"/>
      <c r="AB192" s="100"/>
      <c r="AC192" s="357"/>
      <c r="AD192" s="367"/>
      <c r="AE192" s="368"/>
      <c r="AF192" s="98"/>
      <c r="AG192" s="357"/>
      <c r="AH192" s="156"/>
      <c r="AI192" s="305"/>
      <c r="AJ192" s="366"/>
      <c r="AK192" s="357"/>
      <c r="AL192" s="369"/>
      <c r="AM192" s="370"/>
      <c r="AN192" s="238"/>
      <c r="AO192" s="357"/>
      <c r="AP192" s="363"/>
      <c r="AQ192" s="364"/>
      <c r="AR192" s="100"/>
      <c r="AS192" s="357"/>
      <c r="AT192" s="363"/>
      <c r="AU192" s="364"/>
      <c r="AV192" s="100"/>
    </row>
    <row r="193">
      <c r="A193" s="357"/>
      <c r="B193" s="156"/>
      <c r="C193" s="154"/>
      <c r="D193" s="100"/>
      <c r="E193" s="357"/>
      <c r="F193" s="156"/>
      <c r="G193" s="154"/>
      <c r="H193" s="100"/>
      <c r="I193" s="357"/>
      <c r="J193" s="156"/>
      <c r="K193" s="154"/>
      <c r="L193" s="100"/>
      <c r="M193" s="357"/>
      <c r="N193" s="156"/>
      <c r="O193" s="154"/>
      <c r="P193" s="100"/>
      <c r="Q193" s="357"/>
      <c r="R193" s="156"/>
      <c r="S193" s="154"/>
      <c r="T193" s="100"/>
      <c r="U193" s="357"/>
      <c r="V193" s="156"/>
      <c r="W193" s="154"/>
      <c r="X193" s="100"/>
      <c r="Y193" s="357"/>
      <c r="Z193" s="363"/>
      <c r="AA193" s="364"/>
      <c r="AB193" s="100"/>
      <c r="AC193" s="357"/>
      <c r="AD193" s="367"/>
      <c r="AE193" s="368"/>
      <c r="AF193" s="98"/>
      <c r="AG193" s="357"/>
      <c r="AH193" s="156"/>
      <c r="AI193" s="305"/>
      <c r="AJ193" s="366"/>
      <c r="AK193" s="357"/>
      <c r="AL193" s="369"/>
      <c r="AM193" s="370"/>
      <c r="AN193" s="238"/>
      <c r="AO193" s="357"/>
      <c r="AP193" s="363"/>
      <c r="AQ193" s="364"/>
      <c r="AR193" s="100"/>
      <c r="AS193" s="357"/>
      <c r="AT193" s="363"/>
      <c r="AU193" s="364"/>
      <c r="AV193" s="100"/>
    </row>
    <row r="194">
      <c r="A194" s="357"/>
      <c r="B194" s="156"/>
      <c r="C194" s="154"/>
      <c r="D194" s="100"/>
      <c r="E194" s="357"/>
      <c r="F194" s="156"/>
      <c r="G194" s="154"/>
      <c r="H194" s="100"/>
      <c r="I194" s="357"/>
      <c r="J194" s="156"/>
      <c r="K194" s="154"/>
      <c r="L194" s="100"/>
      <c r="M194" s="357"/>
      <c r="N194" s="156"/>
      <c r="O194" s="154"/>
      <c r="P194" s="100"/>
      <c r="Q194" s="357"/>
      <c r="R194" s="156"/>
      <c r="S194" s="154"/>
      <c r="T194" s="100"/>
      <c r="U194" s="357"/>
      <c r="V194" s="156"/>
      <c r="W194" s="154"/>
      <c r="X194" s="100"/>
      <c r="Y194" s="357"/>
      <c r="Z194" s="363"/>
      <c r="AA194" s="364"/>
      <c r="AB194" s="100"/>
      <c r="AC194" s="357"/>
      <c r="AD194" s="367"/>
      <c r="AE194" s="368"/>
      <c r="AF194" s="98"/>
      <c r="AG194" s="357"/>
      <c r="AH194" s="156"/>
      <c r="AI194" s="305"/>
      <c r="AJ194" s="366"/>
      <c r="AK194" s="357"/>
      <c r="AL194" s="369"/>
      <c r="AM194" s="370"/>
      <c r="AN194" s="238"/>
      <c r="AO194" s="357"/>
      <c r="AP194" s="363"/>
      <c r="AQ194" s="364"/>
      <c r="AR194" s="100"/>
      <c r="AS194" s="357"/>
      <c r="AT194" s="363"/>
      <c r="AU194" s="364"/>
      <c r="AV194" s="100"/>
    </row>
    <row r="195">
      <c r="A195" s="357"/>
      <c r="B195" s="156"/>
      <c r="C195" s="154"/>
      <c r="D195" s="100"/>
      <c r="E195" s="357"/>
      <c r="F195" s="156"/>
      <c r="G195" s="154"/>
      <c r="H195" s="100"/>
      <c r="I195" s="357"/>
      <c r="J195" s="156"/>
      <c r="K195" s="154"/>
      <c r="L195" s="100"/>
      <c r="M195" s="357"/>
      <c r="N195" s="156"/>
      <c r="O195" s="154"/>
      <c r="P195" s="100"/>
      <c r="Q195" s="357"/>
      <c r="R195" s="156"/>
      <c r="S195" s="154"/>
      <c r="T195" s="100"/>
      <c r="U195" s="357"/>
      <c r="V195" s="156"/>
      <c r="W195" s="154"/>
      <c r="X195" s="100"/>
      <c r="Y195" s="357"/>
      <c r="Z195" s="363"/>
      <c r="AA195" s="364"/>
      <c r="AB195" s="100"/>
      <c r="AC195" s="357"/>
      <c r="AD195" s="367"/>
      <c r="AE195" s="368"/>
      <c r="AF195" s="98"/>
      <c r="AG195" s="357"/>
      <c r="AH195" s="156"/>
      <c r="AI195" s="305"/>
      <c r="AJ195" s="366"/>
      <c r="AK195" s="357"/>
      <c r="AL195" s="369"/>
      <c r="AM195" s="370"/>
      <c r="AN195" s="238"/>
      <c r="AO195" s="357"/>
      <c r="AP195" s="363"/>
      <c r="AQ195" s="364"/>
      <c r="AR195" s="100"/>
      <c r="AS195" s="357"/>
      <c r="AT195" s="363"/>
      <c r="AU195" s="364"/>
      <c r="AV195" s="100"/>
    </row>
    <row r="196">
      <c r="A196" s="357"/>
      <c r="B196" s="156"/>
      <c r="C196" s="154"/>
      <c r="D196" s="100"/>
      <c r="E196" s="357"/>
      <c r="F196" s="156"/>
      <c r="G196" s="154"/>
      <c r="H196" s="100"/>
      <c r="I196" s="357"/>
      <c r="J196" s="156"/>
      <c r="K196" s="154"/>
      <c r="L196" s="100"/>
      <c r="M196" s="357"/>
      <c r="N196" s="156"/>
      <c r="O196" s="154"/>
      <c r="P196" s="100"/>
      <c r="Q196" s="357"/>
      <c r="R196" s="156"/>
      <c r="S196" s="154"/>
      <c r="T196" s="100"/>
      <c r="U196" s="357"/>
      <c r="V196" s="156"/>
      <c r="W196" s="154"/>
      <c r="X196" s="100"/>
      <c r="Y196" s="357"/>
      <c r="Z196" s="363"/>
      <c r="AA196" s="364"/>
      <c r="AB196" s="100"/>
      <c r="AC196" s="357"/>
      <c r="AD196" s="367"/>
      <c r="AE196" s="368"/>
      <c r="AF196" s="98"/>
      <c r="AG196" s="357"/>
      <c r="AH196" s="156"/>
      <c r="AI196" s="305"/>
      <c r="AJ196" s="366"/>
      <c r="AK196" s="357"/>
      <c r="AL196" s="369"/>
      <c r="AM196" s="370"/>
      <c r="AN196" s="238"/>
      <c r="AO196" s="357"/>
      <c r="AP196" s="363"/>
      <c r="AQ196" s="364"/>
      <c r="AR196" s="100"/>
      <c r="AS196" s="357"/>
      <c r="AT196" s="363"/>
      <c r="AU196" s="364"/>
      <c r="AV196" s="100"/>
    </row>
    <row r="197">
      <c r="A197" s="357"/>
      <c r="B197" s="156"/>
      <c r="C197" s="154"/>
      <c r="D197" s="100"/>
      <c r="E197" s="357"/>
      <c r="F197" s="156"/>
      <c r="G197" s="154"/>
      <c r="H197" s="100"/>
      <c r="I197" s="357"/>
      <c r="J197" s="156"/>
      <c r="K197" s="154"/>
      <c r="L197" s="100"/>
      <c r="M197" s="357"/>
      <c r="N197" s="156"/>
      <c r="O197" s="154"/>
      <c r="P197" s="100"/>
      <c r="Q197" s="357"/>
      <c r="R197" s="156"/>
      <c r="S197" s="154"/>
      <c r="T197" s="100"/>
      <c r="U197" s="357"/>
      <c r="V197" s="156"/>
      <c r="W197" s="154"/>
      <c r="X197" s="100"/>
      <c r="Y197" s="357"/>
      <c r="Z197" s="363"/>
      <c r="AA197" s="364"/>
      <c r="AB197" s="100"/>
      <c r="AC197" s="357"/>
      <c r="AD197" s="367"/>
      <c r="AE197" s="368"/>
      <c r="AF197" s="98"/>
      <c r="AG197" s="357"/>
      <c r="AH197" s="156"/>
      <c r="AI197" s="305"/>
      <c r="AJ197" s="366"/>
      <c r="AK197" s="357"/>
      <c r="AL197" s="369"/>
      <c r="AM197" s="370"/>
      <c r="AN197" s="238"/>
      <c r="AO197" s="357"/>
      <c r="AP197" s="363"/>
      <c r="AQ197" s="364"/>
      <c r="AR197" s="100"/>
      <c r="AS197" s="357"/>
      <c r="AT197" s="363"/>
      <c r="AU197" s="364"/>
      <c r="AV197" s="100"/>
    </row>
    <row r="198">
      <c r="A198" s="357"/>
      <c r="B198" s="156"/>
      <c r="C198" s="154"/>
      <c r="D198" s="100"/>
      <c r="E198" s="357"/>
      <c r="F198" s="156"/>
      <c r="G198" s="154"/>
      <c r="H198" s="100"/>
      <c r="I198" s="357"/>
      <c r="J198" s="156"/>
      <c r="K198" s="154"/>
      <c r="L198" s="100"/>
      <c r="M198" s="357"/>
      <c r="N198" s="156"/>
      <c r="O198" s="154"/>
      <c r="P198" s="100"/>
      <c r="Q198" s="357"/>
      <c r="R198" s="156"/>
      <c r="S198" s="154"/>
      <c r="T198" s="100"/>
      <c r="U198" s="357"/>
      <c r="V198" s="156"/>
      <c r="W198" s="154"/>
      <c r="X198" s="100"/>
      <c r="Y198" s="357"/>
      <c r="Z198" s="363"/>
      <c r="AA198" s="364"/>
      <c r="AB198" s="100"/>
      <c r="AC198" s="357"/>
      <c r="AD198" s="367"/>
      <c r="AE198" s="368"/>
      <c r="AF198" s="98"/>
      <c r="AG198" s="357"/>
      <c r="AH198" s="156"/>
      <c r="AI198" s="305"/>
      <c r="AJ198" s="366"/>
      <c r="AK198" s="357"/>
      <c r="AL198" s="369"/>
      <c r="AM198" s="370"/>
      <c r="AN198" s="238"/>
      <c r="AO198" s="357"/>
      <c r="AP198" s="363"/>
      <c r="AQ198" s="364"/>
      <c r="AR198" s="100"/>
      <c r="AS198" s="357"/>
      <c r="AT198" s="363"/>
      <c r="AU198" s="364"/>
      <c r="AV198" s="100"/>
    </row>
    <row r="199">
      <c r="A199" s="357"/>
      <c r="B199" s="156"/>
      <c r="C199" s="154"/>
      <c r="D199" s="100"/>
      <c r="E199" s="357"/>
      <c r="F199" s="156"/>
      <c r="G199" s="154"/>
      <c r="H199" s="100"/>
      <c r="I199" s="357"/>
      <c r="J199" s="156"/>
      <c r="K199" s="154"/>
      <c r="L199" s="100"/>
      <c r="M199" s="357"/>
      <c r="N199" s="156"/>
      <c r="O199" s="154"/>
      <c r="P199" s="100"/>
      <c r="Q199" s="357"/>
      <c r="R199" s="156"/>
      <c r="S199" s="154"/>
      <c r="T199" s="100"/>
      <c r="U199" s="357"/>
      <c r="V199" s="156"/>
      <c r="W199" s="154"/>
      <c r="X199" s="100"/>
      <c r="Y199" s="357"/>
      <c r="Z199" s="363"/>
      <c r="AA199" s="364"/>
      <c r="AB199" s="100"/>
      <c r="AC199" s="357"/>
      <c r="AD199" s="367"/>
      <c r="AE199" s="368"/>
      <c r="AF199" s="98"/>
      <c r="AG199" s="357"/>
      <c r="AH199" s="156"/>
      <c r="AI199" s="305"/>
      <c r="AJ199" s="366"/>
      <c r="AK199" s="357"/>
      <c r="AL199" s="369"/>
      <c r="AM199" s="370"/>
      <c r="AN199" s="238"/>
      <c r="AO199" s="357"/>
      <c r="AP199" s="363"/>
      <c r="AQ199" s="364"/>
      <c r="AR199" s="100"/>
      <c r="AS199" s="357"/>
      <c r="AT199" s="363"/>
      <c r="AU199" s="364"/>
      <c r="AV199" s="100"/>
    </row>
    <row r="200">
      <c r="A200" s="357"/>
      <c r="B200" s="156"/>
      <c r="C200" s="154"/>
      <c r="D200" s="100"/>
      <c r="E200" s="357"/>
      <c r="F200" s="156"/>
      <c r="G200" s="154"/>
      <c r="H200" s="100"/>
      <c r="I200" s="357"/>
      <c r="J200" s="156"/>
      <c r="K200" s="154"/>
      <c r="L200" s="100"/>
      <c r="M200" s="357"/>
      <c r="N200" s="156"/>
      <c r="O200" s="154"/>
      <c r="P200" s="100"/>
      <c r="Q200" s="357"/>
      <c r="R200" s="156"/>
      <c r="S200" s="154"/>
      <c r="T200" s="100"/>
      <c r="U200" s="357"/>
      <c r="V200" s="156"/>
      <c r="W200" s="154"/>
      <c r="X200" s="100"/>
      <c r="Y200" s="357"/>
      <c r="Z200" s="363"/>
      <c r="AA200" s="364"/>
      <c r="AB200" s="100"/>
      <c r="AC200" s="357"/>
      <c r="AD200" s="367"/>
      <c r="AE200" s="368"/>
      <c r="AF200" s="98"/>
      <c r="AG200" s="357"/>
      <c r="AH200" s="156"/>
      <c r="AI200" s="305"/>
      <c r="AJ200" s="366"/>
      <c r="AK200" s="357"/>
      <c r="AL200" s="369"/>
      <c r="AM200" s="370"/>
      <c r="AN200" s="238"/>
      <c r="AO200" s="357"/>
      <c r="AP200" s="363"/>
      <c r="AQ200" s="364"/>
      <c r="AR200" s="100"/>
      <c r="AS200" s="357"/>
      <c r="AT200" s="363"/>
      <c r="AU200" s="364"/>
      <c r="AV200" s="100"/>
    </row>
    <row r="201">
      <c r="A201" s="357"/>
      <c r="B201" s="156"/>
      <c r="C201" s="154"/>
      <c r="D201" s="100"/>
      <c r="E201" s="357"/>
      <c r="F201" s="156"/>
      <c r="G201" s="154"/>
      <c r="H201" s="100"/>
      <c r="I201" s="357"/>
      <c r="J201" s="156"/>
      <c r="K201" s="154"/>
      <c r="L201" s="100"/>
      <c r="M201" s="357"/>
      <c r="N201" s="156"/>
      <c r="O201" s="154"/>
      <c r="P201" s="100"/>
      <c r="Q201" s="357"/>
      <c r="R201" s="156"/>
      <c r="S201" s="154"/>
      <c r="T201" s="100"/>
      <c r="U201" s="357"/>
      <c r="V201" s="156"/>
      <c r="W201" s="154"/>
      <c r="X201" s="100"/>
      <c r="Y201" s="357"/>
      <c r="Z201" s="363"/>
      <c r="AA201" s="364"/>
      <c r="AB201" s="100"/>
      <c r="AC201" s="357"/>
      <c r="AD201" s="367"/>
      <c r="AE201" s="368"/>
      <c r="AF201" s="98"/>
      <c r="AG201" s="357"/>
      <c r="AH201" s="156"/>
      <c r="AI201" s="305"/>
      <c r="AJ201" s="366"/>
      <c r="AK201" s="357"/>
      <c r="AL201" s="369"/>
      <c r="AM201" s="370"/>
      <c r="AN201" s="238"/>
      <c r="AO201" s="357"/>
      <c r="AP201" s="363"/>
      <c r="AQ201" s="364"/>
      <c r="AR201" s="100"/>
      <c r="AS201" s="357"/>
      <c r="AT201" s="363"/>
      <c r="AU201" s="364"/>
      <c r="AV201" s="100"/>
    </row>
    <row r="202">
      <c r="A202" s="357"/>
      <c r="B202" s="156"/>
      <c r="C202" s="154"/>
      <c r="D202" s="100"/>
      <c r="E202" s="357"/>
      <c r="F202" s="156"/>
      <c r="G202" s="154"/>
      <c r="H202" s="100"/>
      <c r="I202" s="357"/>
      <c r="J202" s="156"/>
      <c r="K202" s="154"/>
      <c r="L202" s="100"/>
      <c r="M202" s="357"/>
      <c r="N202" s="156"/>
      <c r="O202" s="154"/>
      <c r="P202" s="100"/>
      <c r="Q202" s="357"/>
      <c r="R202" s="156"/>
      <c r="S202" s="154"/>
      <c r="T202" s="100"/>
      <c r="U202" s="357"/>
      <c r="V202" s="156"/>
      <c r="W202" s="154"/>
      <c r="X202" s="100"/>
      <c r="Y202" s="357"/>
      <c r="Z202" s="363"/>
      <c r="AA202" s="364"/>
      <c r="AB202" s="100"/>
      <c r="AC202" s="357"/>
      <c r="AD202" s="367"/>
      <c r="AE202" s="368"/>
      <c r="AF202" s="98"/>
      <c r="AG202" s="357"/>
      <c r="AH202" s="156"/>
      <c r="AI202" s="305"/>
      <c r="AJ202" s="366"/>
      <c r="AK202" s="357"/>
      <c r="AL202" s="369"/>
      <c r="AM202" s="370"/>
      <c r="AN202" s="238"/>
      <c r="AO202" s="357"/>
      <c r="AP202" s="363"/>
      <c r="AQ202" s="364"/>
      <c r="AR202" s="100"/>
      <c r="AS202" s="357"/>
      <c r="AT202" s="363"/>
      <c r="AU202" s="364"/>
      <c r="AV202" s="100"/>
    </row>
    <row r="203">
      <c r="A203" s="357"/>
      <c r="B203" s="156"/>
      <c r="C203" s="154"/>
      <c r="D203" s="100"/>
      <c r="E203" s="357"/>
      <c r="F203" s="156"/>
      <c r="G203" s="154"/>
      <c r="H203" s="100"/>
      <c r="I203" s="357"/>
      <c r="J203" s="156"/>
      <c r="K203" s="154"/>
      <c r="L203" s="100"/>
      <c r="M203" s="357"/>
      <c r="N203" s="156"/>
      <c r="O203" s="154"/>
      <c r="P203" s="100"/>
      <c r="Q203" s="357"/>
      <c r="R203" s="156"/>
      <c r="S203" s="154"/>
      <c r="T203" s="100"/>
      <c r="U203" s="357"/>
      <c r="V203" s="156"/>
      <c r="W203" s="154"/>
      <c r="X203" s="100"/>
      <c r="Y203" s="357"/>
      <c r="Z203" s="363"/>
      <c r="AA203" s="364"/>
      <c r="AB203" s="100"/>
      <c r="AC203" s="357"/>
      <c r="AD203" s="367"/>
      <c r="AE203" s="368"/>
      <c r="AF203" s="98"/>
      <c r="AG203" s="357"/>
      <c r="AH203" s="156"/>
      <c r="AI203" s="305"/>
      <c r="AJ203" s="366"/>
      <c r="AK203" s="357"/>
      <c r="AL203" s="369"/>
      <c r="AM203" s="370"/>
      <c r="AN203" s="238"/>
      <c r="AO203" s="357"/>
      <c r="AP203" s="363"/>
      <c r="AQ203" s="364"/>
      <c r="AR203" s="100"/>
      <c r="AS203" s="357"/>
      <c r="AT203" s="363"/>
      <c r="AU203" s="364"/>
      <c r="AV203" s="100"/>
    </row>
    <row r="204">
      <c r="A204" s="357"/>
      <c r="B204" s="156"/>
      <c r="C204" s="154"/>
      <c r="D204" s="100"/>
      <c r="E204" s="357"/>
      <c r="F204" s="156"/>
      <c r="G204" s="154"/>
      <c r="H204" s="100"/>
      <c r="I204" s="357"/>
      <c r="J204" s="156"/>
      <c r="K204" s="154"/>
      <c r="L204" s="100"/>
      <c r="M204" s="357"/>
      <c r="N204" s="156"/>
      <c r="O204" s="154"/>
      <c r="P204" s="100"/>
      <c r="Q204" s="357"/>
      <c r="R204" s="156"/>
      <c r="S204" s="154"/>
      <c r="T204" s="100"/>
      <c r="U204" s="357"/>
      <c r="V204" s="156"/>
      <c r="W204" s="154"/>
      <c r="X204" s="100"/>
      <c r="Y204" s="357"/>
      <c r="Z204" s="363"/>
      <c r="AA204" s="364"/>
      <c r="AB204" s="100"/>
      <c r="AC204" s="357"/>
      <c r="AD204" s="367"/>
      <c r="AE204" s="368"/>
      <c r="AF204" s="98"/>
      <c r="AG204" s="357"/>
      <c r="AH204" s="156"/>
      <c r="AI204" s="305"/>
      <c r="AJ204" s="366"/>
      <c r="AK204" s="357"/>
      <c r="AL204" s="369"/>
      <c r="AM204" s="370"/>
      <c r="AN204" s="238"/>
      <c r="AO204" s="357"/>
      <c r="AP204" s="363"/>
      <c r="AQ204" s="364"/>
      <c r="AR204" s="100"/>
      <c r="AS204" s="357"/>
      <c r="AT204" s="363"/>
      <c r="AU204" s="364"/>
      <c r="AV204" s="100"/>
    </row>
    <row r="205">
      <c r="A205" s="357"/>
      <c r="B205" s="156"/>
      <c r="C205" s="154"/>
      <c r="D205" s="100"/>
      <c r="E205" s="357"/>
      <c r="F205" s="156"/>
      <c r="G205" s="154"/>
      <c r="H205" s="100"/>
      <c r="I205" s="357"/>
      <c r="J205" s="156"/>
      <c r="K205" s="154"/>
      <c r="L205" s="100"/>
      <c r="M205" s="357"/>
      <c r="N205" s="156"/>
      <c r="O205" s="154"/>
      <c r="P205" s="100"/>
      <c r="Q205" s="357"/>
      <c r="R205" s="156"/>
      <c r="S205" s="154"/>
      <c r="T205" s="100"/>
      <c r="U205" s="357"/>
      <c r="V205" s="156"/>
      <c r="W205" s="154"/>
      <c r="X205" s="100"/>
      <c r="Y205" s="357"/>
      <c r="Z205" s="363"/>
      <c r="AA205" s="364"/>
      <c r="AB205" s="100"/>
      <c r="AC205" s="357"/>
      <c r="AD205" s="367"/>
      <c r="AE205" s="368"/>
      <c r="AF205" s="98"/>
      <c r="AG205" s="357"/>
      <c r="AH205" s="156"/>
      <c r="AI205" s="305"/>
      <c r="AJ205" s="366"/>
      <c r="AK205" s="357"/>
      <c r="AL205" s="369"/>
      <c r="AM205" s="370"/>
      <c r="AN205" s="238"/>
      <c r="AO205" s="357"/>
      <c r="AP205" s="363"/>
      <c r="AQ205" s="364"/>
      <c r="AR205" s="100"/>
      <c r="AS205" s="357"/>
      <c r="AT205" s="363"/>
      <c r="AU205" s="364"/>
      <c r="AV205" s="100"/>
    </row>
    <row r="206">
      <c r="A206" s="357"/>
      <c r="B206" s="156"/>
      <c r="C206" s="154"/>
      <c r="D206" s="100"/>
      <c r="E206" s="357"/>
      <c r="F206" s="156"/>
      <c r="G206" s="154"/>
      <c r="H206" s="100"/>
      <c r="I206" s="357"/>
      <c r="J206" s="156"/>
      <c r="K206" s="154"/>
      <c r="L206" s="100"/>
      <c r="M206" s="357"/>
      <c r="N206" s="156"/>
      <c r="O206" s="154"/>
      <c r="P206" s="100"/>
      <c r="Q206" s="357"/>
      <c r="R206" s="156"/>
      <c r="S206" s="154"/>
      <c r="T206" s="100"/>
      <c r="U206" s="357"/>
      <c r="V206" s="156"/>
      <c r="W206" s="154"/>
      <c r="X206" s="100"/>
      <c r="Y206" s="357"/>
      <c r="Z206" s="363"/>
      <c r="AA206" s="364"/>
      <c r="AB206" s="100"/>
      <c r="AC206" s="357"/>
      <c r="AD206" s="367"/>
      <c r="AE206" s="368"/>
      <c r="AF206" s="98"/>
      <c r="AG206" s="357"/>
      <c r="AH206" s="156"/>
      <c r="AI206" s="305"/>
      <c r="AJ206" s="366"/>
      <c r="AK206" s="357"/>
      <c r="AL206" s="369"/>
      <c r="AM206" s="370"/>
      <c r="AN206" s="238"/>
      <c r="AO206" s="357"/>
      <c r="AP206" s="363"/>
      <c r="AQ206" s="364"/>
      <c r="AR206" s="100"/>
      <c r="AS206" s="357"/>
      <c r="AT206" s="363"/>
      <c r="AU206" s="364"/>
      <c r="AV206" s="100"/>
    </row>
    <row r="207">
      <c r="A207" s="357"/>
      <c r="B207" s="156"/>
      <c r="C207" s="154"/>
      <c r="D207" s="100"/>
      <c r="E207" s="357"/>
      <c r="F207" s="156"/>
      <c r="G207" s="154"/>
      <c r="H207" s="100"/>
      <c r="I207" s="357"/>
      <c r="J207" s="156"/>
      <c r="K207" s="154"/>
      <c r="L207" s="100"/>
      <c r="M207" s="357"/>
      <c r="N207" s="156"/>
      <c r="O207" s="154"/>
      <c r="P207" s="100"/>
      <c r="Q207" s="357"/>
      <c r="R207" s="156"/>
      <c r="S207" s="154"/>
      <c r="T207" s="100"/>
      <c r="U207" s="357"/>
      <c r="V207" s="156"/>
      <c r="W207" s="154"/>
      <c r="X207" s="100"/>
      <c r="Y207" s="357"/>
      <c r="Z207" s="363"/>
      <c r="AA207" s="364"/>
      <c r="AB207" s="100"/>
      <c r="AC207" s="357"/>
      <c r="AD207" s="367"/>
      <c r="AE207" s="368"/>
      <c r="AF207" s="98"/>
      <c r="AG207" s="357"/>
      <c r="AH207" s="156"/>
      <c r="AI207" s="305"/>
      <c r="AJ207" s="366"/>
      <c r="AK207" s="357"/>
      <c r="AL207" s="369"/>
      <c r="AM207" s="370"/>
      <c r="AN207" s="238"/>
      <c r="AO207" s="357"/>
      <c r="AP207" s="363"/>
      <c r="AQ207" s="364"/>
      <c r="AR207" s="100"/>
      <c r="AS207" s="357"/>
      <c r="AT207" s="363"/>
      <c r="AU207" s="364"/>
      <c r="AV207" s="100"/>
    </row>
    <row r="208">
      <c r="A208" s="357"/>
      <c r="B208" s="156"/>
      <c r="C208" s="154"/>
      <c r="D208" s="100"/>
      <c r="E208" s="357"/>
      <c r="F208" s="156"/>
      <c r="G208" s="154"/>
      <c r="H208" s="100"/>
      <c r="I208" s="357"/>
      <c r="J208" s="156"/>
      <c r="K208" s="154"/>
      <c r="L208" s="100"/>
      <c r="M208" s="357"/>
      <c r="N208" s="156"/>
      <c r="O208" s="154"/>
      <c r="P208" s="100"/>
      <c r="Q208" s="357"/>
      <c r="R208" s="156"/>
      <c r="S208" s="154"/>
      <c r="T208" s="100"/>
      <c r="U208" s="357"/>
      <c r="V208" s="156"/>
      <c r="W208" s="154"/>
      <c r="X208" s="100"/>
      <c r="Y208" s="357"/>
      <c r="Z208" s="363"/>
      <c r="AA208" s="364"/>
      <c r="AB208" s="100"/>
      <c r="AC208" s="357"/>
      <c r="AD208" s="367"/>
      <c r="AE208" s="368"/>
      <c r="AF208" s="98"/>
      <c r="AG208" s="357"/>
      <c r="AH208" s="156"/>
      <c r="AI208" s="305"/>
      <c r="AJ208" s="366"/>
      <c r="AK208" s="357"/>
      <c r="AL208" s="369"/>
      <c r="AM208" s="370"/>
      <c r="AN208" s="238"/>
      <c r="AO208" s="357"/>
      <c r="AP208" s="363"/>
      <c r="AQ208" s="364"/>
      <c r="AR208" s="100"/>
      <c r="AS208" s="357"/>
      <c r="AT208" s="363"/>
      <c r="AU208" s="364"/>
      <c r="AV208" s="100"/>
    </row>
    <row r="209">
      <c r="A209" s="357"/>
      <c r="B209" s="156"/>
      <c r="C209" s="154"/>
      <c r="D209" s="100"/>
      <c r="E209" s="357"/>
      <c r="F209" s="156"/>
      <c r="G209" s="154"/>
      <c r="H209" s="100"/>
      <c r="I209" s="357"/>
      <c r="J209" s="156"/>
      <c r="K209" s="154"/>
      <c r="L209" s="100"/>
      <c r="M209" s="357"/>
      <c r="N209" s="156"/>
      <c r="O209" s="154"/>
      <c r="P209" s="100"/>
      <c r="Q209" s="357"/>
      <c r="R209" s="156"/>
      <c r="S209" s="154"/>
      <c r="T209" s="100"/>
      <c r="U209" s="357"/>
      <c r="V209" s="156"/>
      <c r="W209" s="154"/>
      <c r="X209" s="100"/>
      <c r="Y209" s="357"/>
      <c r="Z209" s="363"/>
      <c r="AA209" s="364"/>
      <c r="AB209" s="100"/>
      <c r="AC209" s="357"/>
      <c r="AD209" s="367"/>
      <c r="AE209" s="368"/>
      <c r="AF209" s="98"/>
      <c r="AG209" s="357"/>
      <c r="AH209" s="156"/>
      <c r="AI209" s="305"/>
      <c r="AJ209" s="366"/>
      <c r="AK209" s="357"/>
      <c r="AL209" s="369"/>
      <c r="AM209" s="370"/>
      <c r="AN209" s="238"/>
      <c r="AO209" s="357"/>
      <c r="AP209" s="363"/>
      <c r="AQ209" s="364"/>
      <c r="AR209" s="100"/>
      <c r="AS209" s="357"/>
      <c r="AT209" s="363"/>
      <c r="AU209" s="364"/>
      <c r="AV209" s="100"/>
    </row>
    <row r="210">
      <c r="A210" s="357"/>
      <c r="B210" s="156"/>
      <c r="C210" s="154"/>
      <c r="D210" s="100"/>
      <c r="E210" s="357"/>
      <c r="F210" s="156"/>
      <c r="G210" s="154"/>
      <c r="H210" s="100"/>
      <c r="I210" s="357"/>
      <c r="J210" s="156"/>
      <c r="K210" s="154"/>
      <c r="L210" s="100"/>
      <c r="M210" s="357"/>
      <c r="N210" s="156"/>
      <c r="O210" s="154"/>
      <c r="P210" s="100"/>
      <c r="Q210" s="357"/>
      <c r="R210" s="156"/>
      <c r="S210" s="154"/>
      <c r="T210" s="100"/>
      <c r="U210" s="357"/>
      <c r="V210" s="156"/>
      <c r="W210" s="154"/>
      <c r="X210" s="100"/>
      <c r="Y210" s="357"/>
      <c r="Z210" s="363"/>
      <c r="AA210" s="364"/>
      <c r="AB210" s="100"/>
      <c r="AC210" s="357"/>
      <c r="AD210" s="367"/>
      <c r="AE210" s="368"/>
      <c r="AF210" s="98"/>
      <c r="AG210" s="357"/>
      <c r="AH210" s="156"/>
      <c r="AI210" s="305"/>
      <c r="AJ210" s="366"/>
      <c r="AK210" s="357"/>
      <c r="AL210" s="369"/>
      <c r="AM210" s="370"/>
      <c r="AN210" s="238"/>
      <c r="AO210" s="357"/>
      <c r="AP210" s="363"/>
      <c r="AQ210" s="364"/>
      <c r="AR210" s="100"/>
      <c r="AS210" s="357"/>
      <c r="AT210" s="363"/>
      <c r="AU210" s="364"/>
      <c r="AV210" s="100"/>
    </row>
    <row r="211">
      <c r="A211" s="357"/>
      <c r="B211" s="156"/>
      <c r="C211" s="154"/>
      <c r="D211" s="100"/>
      <c r="E211" s="357"/>
      <c r="F211" s="156"/>
      <c r="G211" s="154"/>
      <c r="H211" s="100"/>
      <c r="I211" s="357"/>
      <c r="J211" s="156"/>
      <c r="K211" s="154"/>
      <c r="L211" s="100"/>
      <c r="M211" s="357"/>
      <c r="N211" s="156"/>
      <c r="O211" s="154"/>
      <c r="P211" s="100"/>
      <c r="Q211" s="357"/>
      <c r="R211" s="156"/>
      <c r="S211" s="154"/>
      <c r="T211" s="100"/>
      <c r="U211" s="357"/>
      <c r="V211" s="156"/>
      <c r="W211" s="154"/>
      <c r="X211" s="100"/>
      <c r="Y211" s="357"/>
      <c r="Z211" s="363"/>
      <c r="AA211" s="364"/>
      <c r="AB211" s="100"/>
      <c r="AC211" s="357"/>
      <c r="AD211" s="367"/>
      <c r="AE211" s="368"/>
      <c r="AF211" s="98"/>
      <c r="AG211" s="357"/>
      <c r="AH211" s="156"/>
      <c r="AI211" s="305"/>
      <c r="AJ211" s="366"/>
      <c r="AK211" s="357"/>
      <c r="AL211" s="369"/>
      <c r="AM211" s="370"/>
      <c r="AN211" s="238"/>
      <c r="AO211" s="357"/>
      <c r="AP211" s="363"/>
      <c r="AQ211" s="364"/>
      <c r="AR211" s="100"/>
      <c r="AS211" s="357"/>
      <c r="AT211" s="363"/>
      <c r="AU211" s="364"/>
      <c r="AV211" s="100"/>
    </row>
    <row r="212">
      <c r="A212" s="357"/>
      <c r="B212" s="156"/>
      <c r="C212" s="154"/>
      <c r="D212" s="100"/>
      <c r="E212" s="357"/>
      <c r="F212" s="156"/>
      <c r="G212" s="154"/>
      <c r="H212" s="100"/>
      <c r="I212" s="357"/>
      <c r="J212" s="156"/>
      <c r="K212" s="154"/>
      <c r="L212" s="100"/>
      <c r="M212" s="357"/>
      <c r="N212" s="156"/>
      <c r="O212" s="154"/>
      <c r="P212" s="100"/>
      <c r="Q212" s="357"/>
      <c r="R212" s="156"/>
      <c r="S212" s="154"/>
      <c r="T212" s="100"/>
      <c r="U212" s="357"/>
      <c r="V212" s="156"/>
      <c r="W212" s="154"/>
      <c r="X212" s="100"/>
      <c r="Y212" s="357"/>
      <c r="Z212" s="363"/>
      <c r="AA212" s="364"/>
      <c r="AB212" s="100"/>
      <c r="AC212" s="357"/>
      <c r="AD212" s="367"/>
      <c r="AE212" s="368"/>
      <c r="AF212" s="98"/>
      <c r="AG212" s="357"/>
      <c r="AH212" s="156"/>
      <c r="AI212" s="305"/>
      <c r="AJ212" s="366"/>
      <c r="AK212" s="357"/>
      <c r="AL212" s="369"/>
      <c r="AM212" s="370"/>
      <c r="AN212" s="238"/>
      <c r="AO212" s="357"/>
      <c r="AP212" s="363"/>
      <c r="AQ212" s="364"/>
      <c r="AR212" s="100"/>
      <c r="AS212" s="357"/>
      <c r="AT212" s="363"/>
      <c r="AU212" s="364"/>
      <c r="AV212" s="100"/>
    </row>
    <row r="213">
      <c r="A213" s="357"/>
      <c r="B213" s="156"/>
      <c r="C213" s="154"/>
      <c r="D213" s="100"/>
      <c r="E213" s="357"/>
      <c r="F213" s="156"/>
      <c r="G213" s="154"/>
      <c r="H213" s="100"/>
      <c r="I213" s="357"/>
      <c r="J213" s="156"/>
      <c r="K213" s="154"/>
      <c r="L213" s="100"/>
      <c r="M213" s="357"/>
      <c r="N213" s="156"/>
      <c r="O213" s="154"/>
      <c r="P213" s="100"/>
      <c r="Q213" s="357"/>
      <c r="R213" s="156"/>
      <c r="S213" s="154"/>
      <c r="T213" s="100"/>
      <c r="U213" s="357"/>
      <c r="V213" s="156"/>
      <c r="W213" s="154"/>
      <c r="X213" s="100"/>
      <c r="Y213" s="357"/>
      <c r="Z213" s="363"/>
      <c r="AA213" s="364"/>
      <c r="AB213" s="100"/>
      <c r="AC213" s="357"/>
      <c r="AD213" s="367"/>
      <c r="AE213" s="368"/>
      <c r="AF213" s="98"/>
      <c r="AG213" s="357"/>
      <c r="AH213" s="156"/>
      <c r="AI213" s="305"/>
      <c r="AJ213" s="366"/>
      <c r="AK213" s="357"/>
      <c r="AL213" s="369"/>
      <c r="AM213" s="370"/>
      <c r="AN213" s="238"/>
      <c r="AO213" s="357"/>
      <c r="AP213" s="363"/>
      <c r="AQ213" s="364"/>
      <c r="AR213" s="100"/>
      <c r="AS213" s="357"/>
      <c r="AT213" s="363"/>
      <c r="AU213" s="364"/>
      <c r="AV213" s="100"/>
    </row>
    <row r="214">
      <c r="A214" s="357"/>
      <c r="B214" s="156"/>
      <c r="C214" s="154"/>
      <c r="D214" s="100"/>
      <c r="E214" s="357"/>
      <c r="F214" s="156"/>
      <c r="G214" s="154"/>
      <c r="H214" s="100"/>
      <c r="I214" s="357"/>
      <c r="J214" s="156"/>
      <c r="K214" s="154"/>
      <c r="L214" s="100"/>
      <c r="M214" s="357"/>
      <c r="N214" s="156"/>
      <c r="O214" s="154"/>
      <c r="P214" s="100"/>
      <c r="Q214" s="357"/>
      <c r="R214" s="156"/>
      <c r="S214" s="154"/>
      <c r="T214" s="100"/>
      <c r="U214" s="357"/>
      <c r="V214" s="156"/>
      <c r="W214" s="154"/>
      <c r="X214" s="100"/>
      <c r="Y214" s="357"/>
      <c r="Z214" s="363"/>
      <c r="AA214" s="364"/>
      <c r="AB214" s="100"/>
      <c r="AC214" s="357"/>
      <c r="AD214" s="367"/>
      <c r="AE214" s="368"/>
      <c r="AF214" s="98"/>
      <c r="AG214" s="357"/>
      <c r="AH214" s="156"/>
      <c r="AI214" s="305"/>
      <c r="AJ214" s="366"/>
      <c r="AK214" s="357"/>
      <c r="AL214" s="369"/>
      <c r="AM214" s="370"/>
      <c r="AN214" s="238"/>
      <c r="AO214" s="357"/>
      <c r="AP214" s="363"/>
      <c r="AQ214" s="364"/>
      <c r="AR214" s="100"/>
      <c r="AS214" s="357"/>
      <c r="AT214" s="363"/>
      <c r="AU214" s="364"/>
      <c r="AV214" s="100"/>
    </row>
    <row r="215">
      <c r="A215" s="357"/>
      <c r="B215" s="156"/>
      <c r="C215" s="154"/>
      <c r="D215" s="100"/>
      <c r="E215" s="357"/>
      <c r="F215" s="156"/>
      <c r="G215" s="154"/>
      <c r="H215" s="100"/>
      <c r="I215" s="357"/>
      <c r="J215" s="156"/>
      <c r="K215" s="154"/>
      <c r="L215" s="100"/>
      <c r="M215" s="357"/>
      <c r="N215" s="156"/>
      <c r="O215" s="154"/>
      <c r="P215" s="100"/>
      <c r="Q215" s="357"/>
      <c r="R215" s="156"/>
      <c r="S215" s="154"/>
      <c r="T215" s="100"/>
      <c r="U215" s="357"/>
      <c r="V215" s="156"/>
      <c r="W215" s="154"/>
      <c r="X215" s="100"/>
      <c r="Y215" s="357"/>
      <c r="Z215" s="363"/>
      <c r="AA215" s="364"/>
      <c r="AB215" s="100"/>
      <c r="AC215" s="357"/>
      <c r="AD215" s="367"/>
      <c r="AE215" s="368"/>
      <c r="AF215" s="98"/>
      <c r="AG215" s="357"/>
      <c r="AH215" s="156"/>
      <c r="AI215" s="305"/>
      <c r="AJ215" s="366"/>
      <c r="AK215" s="357"/>
      <c r="AL215" s="369"/>
      <c r="AM215" s="370"/>
      <c r="AN215" s="238"/>
      <c r="AO215" s="357"/>
      <c r="AP215" s="363"/>
      <c r="AQ215" s="364"/>
      <c r="AR215" s="100"/>
      <c r="AS215" s="357"/>
      <c r="AT215" s="363"/>
      <c r="AU215" s="364"/>
      <c r="AV215" s="100"/>
    </row>
    <row r="216">
      <c r="A216" s="357"/>
      <c r="B216" s="156"/>
      <c r="C216" s="154"/>
      <c r="D216" s="100"/>
      <c r="E216" s="357"/>
      <c r="F216" s="156"/>
      <c r="G216" s="154"/>
      <c r="H216" s="100"/>
      <c r="I216" s="357"/>
      <c r="J216" s="156"/>
      <c r="K216" s="154"/>
      <c r="L216" s="100"/>
      <c r="M216" s="357"/>
      <c r="N216" s="156"/>
      <c r="O216" s="154"/>
      <c r="P216" s="100"/>
      <c r="Q216" s="357"/>
      <c r="R216" s="156"/>
      <c r="S216" s="154"/>
      <c r="T216" s="100"/>
      <c r="U216" s="357"/>
      <c r="V216" s="156"/>
      <c r="W216" s="154"/>
      <c r="X216" s="100"/>
      <c r="Y216" s="357"/>
      <c r="Z216" s="363"/>
      <c r="AA216" s="364"/>
      <c r="AB216" s="100"/>
      <c r="AC216" s="357"/>
      <c r="AD216" s="367"/>
      <c r="AE216" s="368"/>
      <c r="AF216" s="98"/>
      <c r="AG216" s="357"/>
      <c r="AH216" s="156"/>
      <c r="AI216" s="305"/>
      <c r="AJ216" s="366"/>
      <c r="AK216" s="357"/>
      <c r="AL216" s="369"/>
      <c r="AM216" s="370"/>
      <c r="AN216" s="238"/>
      <c r="AO216" s="357"/>
      <c r="AP216" s="363"/>
      <c r="AQ216" s="364"/>
      <c r="AR216" s="100"/>
      <c r="AS216" s="357"/>
      <c r="AT216" s="363"/>
      <c r="AU216" s="364"/>
      <c r="AV216" s="100"/>
    </row>
    <row r="217">
      <c r="A217" s="357"/>
      <c r="B217" s="156"/>
      <c r="C217" s="154"/>
      <c r="D217" s="100"/>
      <c r="E217" s="357"/>
      <c r="F217" s="156"/>
      <c r="G217" s="154"/>
      <c r="H217" s="100"/>
      <c r="I217" s="357"/>
      <c r="J217" s="156"/>
      <c r="K217" s="154"/>
      <c r="L217" s="100"/>
      <c r="M217" s="357"/>
      <c r="N217" s="156"/>
      <c r="O217" s="154"/>
      <c r="P217" s="100"/>
      <c r="Q217" s="357"/>
      <c r="R217" s="156"/>
      <c r="S217" s="154"/>
      <c r="T217" s="100"/>
      <c r="U217" s="357"/>
      <c r="V217" s="156"/>
      <c r="W217" s="154"/>
      <c r="X217" s="100"/>
      <c r="Y217" s="357"/>
      <c r="Z217" s="363"/>
      <c r="AA217" s="364"/>
      <c r="AB217" s="100"/>
      <c r="AC217" s="357"/>
      <c r="AD217" s="367"/>
      <c r="AE217" s="368"/>
      <c r="AF217" s="98"/>
      <c r="AG217" s="357"/>
      <c r="AH217" s="156"/>
      <c r="AI217" s="305"/>
      <c r="AJ217" s="366"/>
      <c r="AK217" s="357"/>
      <c r="AL217" s="369"/>
      <c r="AM217" s="370"/>
      <c r="AN217" s="238"/>
      <c r="AO217" s="357"/>
      <c r="AP217" s="363"/>
      <c r="AQ217" s="364"/>
      <c r="AR217" s="100"/>
      <c r="AS217" s="357"/>
      <c r="AT217" s="363"/>
      <c r="AU217" s="364"/>
      <c r="AV217" s="100"/>
    </row>
    <row r="218">
      <c r="A218" s="357"/>
      <c r="B218" s="156"/>
      <c r="C218" s="154"/>
      <c r="D218" s="100"/>
      <c r="E218" s="357"/>
      <c r="F218" s="156"/>
      <c r="G218" s="154"/>
      <c r="H218" s="100"/>
      <c r="I218" s="357"/>
      <c r="J218" s="156"/>
      <c r="K218" s="154"/>
      <c r="L218" s="100"/>
      <c r="M218" s="357"/>
      <c r="N218" s="156"/>
      <c r="O218" s="154"/>
      <c r="P218" s="100"/>
      <c r="Q218" s="357"/>
      <c r="R218" s="156"/>
      <c r="S218" s="154"/>
      <c r="T218" s="100"/>
      <c r="U218" s="357"/>
      <c r="V218" s="156"/>
      <c r="W218" s="154"/>
      <c r="X218" s="100"/>
      <c r="Y218" s="357"/>
      <c r="Z218" s="363"/>
      <c r="AA218" s="364"/>
      <c r="AB218" s="100"/>
      <c r="AC218" s="357"/>
      <c r="AD218" s="367"/>
      <c r="AE218" s="368"/>
      <c r="AF218" s="98"/>
      <c r="AG218" s="357"/>
      <c r="AH218" s="156"/>
      <c r="AI218" s="305"/>
      <c r="AJ218" s="366"/>
      <c r="AK218" s="357"/>
      <c r="AL218" s="369"/>
      <c r="AM218" s="370"/>
      <c r="AN218" s="238"/>
      <c r="AO218" s="357"/>
      <c r="AP218" s="363"/>
      <c r="AQ218" s="364"/>
      <c r="AR218" s="100"/>
      <c r="AS218" s="357"/>
      <c r="AT218" s="363"/>
      <c r="AU218" s="364"/>
      <c r="AV218" s="100"/>
    </row>
    <row r="219">
      <c r="A219" s="357"/>
      <c r="B219" s="156"/>
      <c r="C219" s="154"/>
      <c r="D219" s="100"/>
      <c r="E219" s="357"/>
      <c r="F219" s="156"/>
      <c r="G219" s="154"/>
      <c r="H219" s="100"/>
      <c r="I219" s="357"/>
      <c r="J219" s="156"/>
      <c r="K219" s="154"/>
      <c r="L219" s="100"/>
      <c r="M219" s="357"/>
      <c r="N219" s="156"/>
      <c r="O219" s="154"/>
      <c r="P219" s="100"/>
      <c r="Q219" s="357"/>
      <c r="R219" s="156"/>
      <c r="S219" s="154"/>
      <c r="T219" s="100"/>
      <c r="U219" s="357"/>
      <c r="V219" s="156"/>
      <c r="W219" s="154"/>
      <c r="X219" s="100"/>
      <c r="Y219" s="357"/>
      <c r="Z219" s="363"/>
      <c r="AA219" s="364"/>
      <c r="AB219" s="100"/>
      <c r="AC219" s="357"/>
      <c r="AD219" s="367"/>
      <c r="AE219" s="368"/>
      <c r="AF219" s="98"/>
      <c r="AG219" s="357"/>
      <c r="AH219" s="156"/>
      <c r="AI219" s="305"/>
      <c r="AJ219" s="366"/>
      <c r="AK219" s="357"/>
      <c r="AL219" s="369"/>
      <c r="AM219" s="370"/>
      <c r="AN219" s="238"/>
      <c r="AO219" s="357"/>
      <c r="AP219" s="363"/>
      <c r="AQ219" s="364"/>
      <c r="AR219" s="100"/>
      <c r="AS219" s="357"/>
      <c r="AT219" s="363"/>
      <c r="AU219" s="364"/>
      <c r="AV219" s="100"/>
    </row>
    <row r="220">
      <c r="A220" s="357"/>
      <c r="B220" s="156"/>
      <c r="C220" s="154"/>
      <c r="D220" s="100"/>
      <c r="E220" s="357"/>
      <c r="F220" s="156"/>
      <c r="G220" s="154"/>
      <c r="H220" s="100"/>
      <c r="I220" s="357"/>
      <c r="J220" s="156"/>
      <c r="K220" s="154"/>
      <c r="L220" s="100"/>
      <c r="M220" s="357"/>
      <c r="N220" s="156"/>
      <c r="O220" s="154"/>
      <c r="P220" s="100"/>
      <c r="Q220" s="357"/>
      <c r="R220" s="156"/>
      <c r="S220" s="154"/>
      <c r="T220" s="100"/>
      <c r="U220" s="357"/>
      <c r="V220" s="156"/>
      <c r="W220" s="154"/>
      <c r="X220" s="100"/>
      <c r="Y220" s="357"/>
      <c r="Z220" s="363"/>
      <c r="AA220" s="364"/>
      <c r="AB220" s="100"/>
      <c r="AC220" s="357"/>
      <c r="AD220" s="367"/>
      <c r="AE220" s="368"/>
      <c r="AF220" s="98"/>
      <c r="AG220" s="357"/>
      <c r="AH220" s="156"/>
      <c r="AI220" s="305"/>
      <c r="AJ220" s="366"/>
      <c r="AK220" s="357"/>
      <c r="AL220" s="369"/>
      <c r="AM220" s="370"/>
      <c r="AN220" s="238"/>
      <c r="AO220" s="357"/>
      <c r="AP220" s="363"/>
      <c r="AQ220" s="364"/>
      <c r="AR220" s="100"/>
      <c r="AS220" s="357"/>
      <c r="AT220" s="363"/>
      <c r="AU220" s="364"/>
      <c r="AV220" s="100"/>
    </row>
    <row r="221">
      <c r="A221" s="357"/>
      <c r="B221" s="156"/>
      <c r="C221" s="154"/>
      <c r="D221" s="100"/>
      <c r="E221" s="357"/>
      <c r="F221" s="156"/>
      <c r="G221" s="154"/>
      <c r="H221" s="100"/>
      <c r="I221" s="357"/>
      <c r="J221" s="156"/>
      <c r="K221" s="154"/>
      <c r="L221" s="100"/>
      <c r="M221" s="357"/>
      <c r="N221" s="156"/>
      <c r="O221" s="154"/>
      <c r="P221" s="100"/>
      <c r="Q221" s="357"/>
      <c r="R221" s="156"/>
      <c r="S221" s="154"/>
      <c r="T221" s="100"/>
      <c r="U221" s="357"/>
      <c r="V221" s="156"/>
      <c r="W221" s="154"/>
      <c r="X221" s="100"/>
      <c r="Y221" s="357"/>
      <c r="Z221" s="363"/>
      <c r="AA221" s="364"/>
      <c r="AB221" s="100"/>
      <c r="AC221" s="357"/>
      <c r="AD221" s="367"/>
      <c r="AE221" s="368"/>
      <c r="AF221" s="98"/>
      <c r="AG221" s="357"/>
      <c r="AH221" s="156"/>
      <c r="AI221" s="305"/>
      <c r="AJ221" s="366"/>
      <c r="AK221" s="357"/>
      <c r="AL221" s="369"/>
      <c r="AM221" s="370"/>
      <c r="AN221" s="238"/>
      <c r="AO221" s="357"/>
      <c r="AP221" s="363"/>
      <c r="AQ221" s="364"/>
      <c r="AR221" s="100"/>
      <c r="AS221" s="357"/>
      <c r="AT221" s="363"/>
      <c r="AU221" s="364"/>
      <c r="AV221" s="100"/>
    </row>
    <row r="222">
      <c r="A222" s="357"/>
      <c r="B222" s="156"/>
      <c r="C222" s="154"/>
      <c r="D222" s="100"/>
      <c r="E222" s="357"/>
      <c r="F222" s="156"/>
      <c r="G222" s="154"/>
      <c r="H222" s="100"/>
      <c r="I222" s="357"/>
      <c r="J222" s="156"/>
      <c r="K222" s="154"/>
      <c r="L222" s="100"/>
      <c r="M222" s="357"/>
      <c r="N222" s="156"/>
      <c r="O222" s="154"/>
      <c r="P222" s="100"/>
      <c r="Q222" s="357"/>
      <c r="R222" s="156"/>
      <c r="S222" s="154"/>
      <c r="T222" s="100"/>
      <c r="U222" s="357"/>
      <c r="V222" s="156"/>
      <c r="W222" s="154"/>
      <c r="X222" s="100"/>
      <c r="Y222" s="357"/>
      <c r="Z222" s="363"/>
      <c r="AA222" s="364"/>
      <c r="AB222" s="100"/>
      <c r="AC222" s="357"/>
      <c r="AD222" s="367"/>
      <c r="AE222" s="368"/>
      <c r="AF222" s="98"/>
      <c r="AG222" s="357"/>
      <c r="AH222" s="156"/>
      <c r="AI222" s="305"/>
      <c r="AJ222" s="366"/>
      <c r="AK222" s="357"/>
      <c r="AL222" s="369"/>
      <c r="AM222" s="370"/>
      <c r="AN222" s="238"/>
      <c r="AO222" s="357"/>
      <c r="AP222" s="363"/>
      <c r="AQ222" s="364"/>
      <c r="AR222" s="100"/>
      <c r="AS222" s="357"/>
      <c r="AT222" s="363"/>
      <c r="AU222" s="364"/>
      <c r="AV222" s="100"/>
    </row>
    <row r="223">
      <c r="A223" s="357"/>
      <c r="B223" s="156"/>
      <c r="C223" s="154"/>
      <c r="D223" s="100"/>
      <c r="E223" s="357"/>
      <c r="F223" s="156"/>
      <c r="G223" s="154"/>
      <c r="H223" s="100"/>
      <c r="I223" s="357"/>
      <c r="J223" s="156"/>
      <c r="K223" s="154"/>
      <c r="L223" s="100"/>
      <c r="M223" s="357"/>
      <c r="N223" s="156"/>
      <c r="O223" s="154"/>
      <c r="P223" s="100"/>
      <c r="Q223" s="357"/>
      <c r="R223" s="156"/>
      <c r="S223" s="154"/>
      <c r="T223" s="100"/>
      <c r="U223" s="357"/>
      <c r="V223" s="156"/>
      <c r="W223" s="154"/>
      <c r="X223" s="100"/>
      <c r="Y223" s="357"/>
      <c r="Z223" s="363"/>
      <c r="AA223" s="364"/>
      <c r="AB223" s="100"/>
      <c r="AC223" s="357"/>
      <c r="AD223" s="367"/>
      <c r="AE223" s="368"/>
      <c r="AF223" s="98"/>
      <c r="AG223" s="357"/>
      <c r="AH223" s="156"/>
      <c r="AI223" s="305"/>
      <c r="AJ223" s="366"/>
      <c r="AK223" s="357"/>
      <c r="AL223" s="369"/>
      <c r="AM223" s="370"/>
      <c r="AN223" s="238"/>
      <c r="AO223" s="357"/>
      <c r="AP223" s="363"/>
      <c r="AQ223" s="364"/>
      <c r="AR223" s="100"/>
      <c r="AS223" s="357"/>
      <c r="AT223" s="363"/>
      <c r="AU223" s="364"/>
      <c r="AV223" s="100"/>
    </row>
    <row r="224">
      <c r="A224" s="357"/>
      <c r="B224" s="156"/>
      <c r="C224" s="154"/>
      <c r="D224" s="100"/>
      <c r="E224" s="357"/>
      <c r="F224" s="156"/>
      <c r="G224" s="154"/>
      <c r="H224" s="100"/>
      <c r="I224" s="357"/>
      <c r="J224" s="156"/>
      <c r="K224" s="154"/>
      <c r="L224" s="100"/>
      <c r="M224" s="357"/>
      <c r="N224" s="156"/>
      <c r="O224" s="154"/>
      <c r="P224" s="100"/>
      <c r="Q224" s="357"/>
      <c r="R224" s="156"/>
      <c r="S224" s="154"/>
      <c r="T224" s="100"/>
      <c r="U224" s="357"/>
      <c r="V224" s="156"/>
      <c r="W224" s="154"/>
      <c r="X224" s="100"/>
      <c r="Y224" s="357"/>
      <c r="Z224" s="363"/>
      <c r="AA224" s="364"/>
      <c r="AB224" s="100"/>
      <c r="AC224" s="357"/>
      <c r="AD224" s="367"/>
      <c r="AE224" s="368"/>
      <c r="AF224" s="98"/>
      <c r="AG224" s="357"/>
      <c r="AH224" s="156"/>
      <c r="AI224" s="305"/>
      <c r="AJ224" s="366"/>
      <c r="AK224" s="357"/>
      <c r="AL224" s="369"/>
      <c r="AM224" s="370"/>
      <c r="AN224" s="238"/>
      <c r="AO224" s="357"/>
      <c r="AP224" s="363"/>
      <c r="AQ224" s="364"/>
      <c r="AR224" s="100"/>
      <c r="AS224" s="357"/>
      <c r="AT224" s="363"/>
      <c r="AU224" s="364"/>
      <c r="AV224" s="100"/>
    </row>
    <row r="225">
      <c r="A225" s="357"/>
      <c r="B225" s="156"/>
      <c r="C225" s="154"/>
      <c r="D225" s="100"/>
      <c r="E225" s="357"/>
      <c r="F225" s="156"/>
      <c r="G225" s="154"/>
      <c r="H225" s="100"/>
      <c r="I225" s="357"/>
      <c r="J225" s="156"/>
      <c r="K225" s="154"/>
      <c r="L225" s="100"/>
      <c r="M225" s="357"/>
      <c r="N225" s="156"/>
      <c r="O225" s="154"/>
      <c r="P225" s="100"/>
      <c r="Q225" s="357"/>
      <c r="R225" s="156"/>
      <c r="S225" s="154"/>
      <c r="T225" s="100"/>
      <c r="U225" s="357"/>
      <c r="V225" s="156"/>
      <c r="W225" s="154"/>
      <c r="X225" s="100"/>
      <c r="Y225" s="357"/>
      <c r="Z225" s="363"/>
      <c r="AA225" s="364"/>
      <c r="AB225" s="100"/>
      <c r="AC225" s="357"/>
      <c r="AD225" s="367"/>
      <c r="AE225" s="368"/>
      <c r="AF225" s="98"/>
      <c r="AG225" s="357"/>
      <c r="AH225" s="156"/>
      <c r="AI225" s="305"/>
      <c r="AJ225" s="366"/>
      <c r="AK225" s="357"/>
      <c r="AL225" s="369"/>
      <c r="AM225" s="370"/>
      <c r="AN225" s="238"/>
      <c r="AO225" s="357"/>
      <c r="AP225" s="363"/>
      <c r="AQ225" s="364"/>
      <c r="AR225" s="100"/>
      <c r="AS225" s="357"/>
      <c r="AT225" s="363"/>
      <c r="AU225" s="364"/>
      <c r="AV225" s="100"/>
    </row>
    <row r="226">
      <c r="A226" s="357"/>
      <c r="B226" s="156"/>
      <c r="C226" s="154"/>
      <c r="D226" s="100"/>
      <c r="E226" s="357"/>
      <c r="F226" s="156"/>
      <c r="G226" s="154"/>
      <c r="H226" s="100"/>
      <c r="I226" s="357"/>
      <c r="J226" s="156"/>
      <c r="K226" s="154"/>
      <c r="L226" s="100"/>
      <c r="M226" s="357"/>
      <c r="N226" s="156"/>
      <c r="O226" s="154"/>
      <c r="P226" s="100"/>
      <c r="Q226" s="357"/>
      <c r="R226" s="156"/>
      <c r="S226" s="154"/>
      <c r="T226" s="100"/>
      <c r="U226" s="357"/>
      <c r="V226" s="156"/>
      <c r="W226" s="154"/>
      <c r="X226" s="100"/>
      <c r="Y226" s="357"/>
      <c r="Z226" s="363"/>
      <c r="AA226" s="364"/>
      <c r="AB226" s="100"/>
      <c r="AC226" s="357"/>
      <c r="AD226" s="367"/>
      <c r="AE226" s="368"/>
      <c r="AF226" s="98"/>
      <c r="AG226" s="357"/>
      <c r="AH226" s="156"/>
      <c r="AI226" s="305"/>
      <c r="AJ226" s="366"/>
      <c r="AK226" s="357"/>
      <c r="AL226" s="369"/>
      <c r="AM226" s="370"/>
      <c r="AN226" s="238"/>
      <c r="AO226" s="357"/>
      <c r="AP226" s="363"/>
      <c r="AQ226" s="364"/>
      <c r="AR226" s="100"/>
      <c r="AS226" s="357"/>
      <c r="AT226" s="363"/>
      <c r="AU226" s="364"/>
      <c r="AV226" s="100"/>
    </row>
    <row r="227">
      <c r="A227" s="357"/>
      <c r="B227" s="156"/>
      <c r="C227" s="154"/>
      <c r="D227" s="100"/>
      <c r="E227" s="357"/>
      <c r="F227" s="156"/>
      <c r="G227" s="154"/>
      <c r="H227" s="100"/>
      <c r="I227" s="357"/>
      <c r="J227" s="156"/>
      <c r="K227" s="154"/>
      <c r="L227" s="100"/>
      <c r="M227" s="357"/>
      <c r="N227" s="156"/>
      <c r="O227" s="154"/>
      <c r="P227" s="100"/>
      <c r="Q227" s="357"/>
      <c r="R227" s="156"/>
      <c r="S227" s="154"/>
      <c r="T227" s="100"/>
      <c r="U227" s="357"/>
      <c r="V227" s="156"/>
      <c r="W227" s="154"/>
      <c r="X227" s="100"/>
      <c r="Y227" s="357"/>
      <c r="Z227" s="363"/>
      <c r="AA227" s="364"/>
      <c r="AB227" s="100"/>
      <c r="AC227" s="357"/>
      <c r="AD227" s="367"/>
      <c r="AE227" s="368"/>
      <c r="AF227" s="98"/>
      <c r="AG227" s="357"/>
      <c r="AH227" s="156"/>
      <c r="AI227" s="305"/>
      <c r="AJ227" s="366"/>
      <c r="AK227" s="357"/>
      <c r="AL227" s="369"/>
      <c r="AM227" s="370"/>
      <c r="AN227" s="238"/>
      <c r="AO227" s="357"/>
      <c r="AP227" s="363"/>
      <c r="AQ227" s="364"/>
      <c r="AR227" s="100"/>
      <c r="AS227" s="357"/>
      <c r="AT227" s="363"/>
      <c r="AU227" s="364"/>
      <c r="AV227" s="100"/>
    </row>
    <row r="228">
      <c r="A228" s="357"/>
      <c r="B228" s="156"/>
      <c r="C228" s="154"/>
      <c r="D228" s="100"/>
      <c r="E228" s="357"/>
      <c r="F228" s="156"/>
      <c r="G228" s="154"/>
      <c r="H228" s="100"/>
      <c r="I228" s="357"/>
      <c r="J228" s="156"/>
      <c r="K228" s="154"/>
      <c r="L228" s="100"/>
      <c r="M228" s="357"/>
      <c r="N228" s="156"/>
      <c r="O228" s="154"/>
      <c r="P228" s="100"/>
      <c r="Q228" s="357"/>
      <c r="R228" s="156"/>
      <c r="S228" s="154"/>
      <c r="T228" s="100"/>
      <c r="U228" s="357"/>
      <c r="V228" s="156"/>
      <c r="W228" s="154"/>
      <c r="X228" s="100"/>
      <c r="Y228" s="357"/>
      <c r="Z228" s="363"/>
      <c r="AA228" s="364"/>
      <c r="AB228" s="100"/>
      <c r="AC228" s="357"/>
      <c r="AD228" s="367"/>
      <c r="AE228" s="368"/>
      <c r="AF228" s="98"/>
      <c r="AG228" s="357"/>
      <c r="AH228" s="156"/>
      <c r="AI228" s="305"/>
      <c r="AJ228" s="366"/>
      <c r="AK228" s="357"/>
      <c r="AL228" s="369"/>
      <c r="AM228" s="370"/>
      <c r="AN228" s="238"/>
      <c r="AO228" s="357"/>
      <c r="AP228" s="363"/>
      <c r="AQ228" s="364"/>
      <c r="AR228" s="100"/>
      <c r="AS228" s="357"/>
      <c r="AT228" s="363"/>
      <c r="AU228" s="364"/>
      <c r="AV228" s="100"/>
    </row>
    <row r="229">
      <c r="A229" s="357"/>
      <c r="B229" s="156"/>
      <c r="C229" s="154"/>
      <c r="D229" s="100"/>
      <c r="E229" s="357"/>
      <c r="F229" s="156"/>
      <c r="G229" s="154"/>
      <c r="H229" s="100"/>
      <c r="I229" s="357"/>
      <c r="J229" s="156"/>
      <c r="K229" s="154"/>
      <c r="L229" s="100"/>
      <c r="M229" s="357"/>
      <c r="N229" s="156"/>
      <c r="O229" s="154"/>
      <c r="P229" s="100"/>
      <c r="Q229" s="357"/>
      <c r="R229" s="156"/>
      <c r="S229" s="154"/>
      <c r="T229" s="100"/>
      <c r="U229" s="357"/>
      <c r="V229" s="156"/>
      <c r="W229" s="154"/>
      <c r="X229" s="100"/>
      <c r="Y229" s="357"/>
      <c r="Z229" s="363"/>
      <c r="AA229" s="364"/>
      <c r="AB229" s="100"/>
      <c r="AC229" s="357"/>
      <c r="AD229" s="367"/>
      <c r="AE229" s="368"/>
      <c r="AF229" s="98"/>
      <c r="AG229" s="357"/>
      <c r="AH229" s="156"/>
      <c r="AI229" s="305"/>
      <c r="AJ229" s="366"/>
      <c r="AK229" s="357"/>
      <c r="AL229" s="369"/>
      <c r="AM229" s="370"/>
      <c r="AN229" s="238"/>
      <c r="AO229" s="357"/>
      <c r="AP229" s="363"/>
      <c r="AQ229" s="364"/>
      <c r="AR229" s="100"/>
      <c r="AS229" s="357"/>
      <c r="AT229" s="363"/>
      <c r="AU229" s="364"/>
      <c r="AV229" s="100"/>
    </row>
    <row r="230">
      <c r="A230" s="357"/>
      <c r="B230" s="156"/>
      <c r="C230" s="154"/>
      <c r="D230" s="100"/>
      <c r="E230" s="357"/>
      <c r="F230" s="156"/>
      <c r="G230" s="154"/>
      <c r="H230" s="100"/>
      <c r="I230" s="357"/>
      <c r="J230" s="156"/>
      <c r="K230" s="154"/>
      <c r="L230" s="100"/>
      <c r="M230" s="357"/>
      <c r="N230" s="156"/>
      <c r="O230" s="154"/>
      <c r="P230" s="100"/>
      <c r="Q230" s="357"/>
      <c r="R230" s="156"/>
      <c r="S230" s="154"/>
      <c r="T230" s="100"/>
      <c r="U230" s="357"/>
      <c r="V230" s="156"/>
      <c r="W230" s="154"/>
      <c r="X230" s="100"/>
      <c r="Y230" s="357"/>
      <c r="Z230" s="363"/>
      <c r="AA230" s="364"/>
      <c r="AB230" s="100"/>
      <c r="AC230" s="357"/>
      <c r="AD230" s="367"/>
      <c r="AE230" s="368"/>
      <c r="AF230" s="98"/>
      <c r="AG230" s="357"/>
      <c r="AH230" s="156"/>
      <c r="AI230" s="305"/>
      <c r="AJ230" s="366"/>
      <c r="AK230" s="357"/>
      <c r="AL230" s="369"/>
      <c r="AM230" s="370"/>
      <c r="AN230" s="238"/>
      <c r="AO230" s="357"/>
      <c r="AP230" s="363"/>
      <c r="AQ230" s="364"/>
      <c r="AR230" s="100"/>
      <c r="AS230" s="357"/>
      <c r="AT230" s="363"/>
      <c r="AU230" s="364"/>
      <c r="AV230" s="100"/>
    </row>
    <row r="231">
      <c r="A231" s="357"/>
      <c r="B231" s="156"/>
      <c r="C231" s="154"/>
      <c r="D231" s="100"/>
      <c r="E231" s="357"/>
      <c r="F231" s="156"/>
      <c r="G231" s="154"/>
      <c r="H231" s="100"/>
      <c r="I231" s="357"/>
      <c r="J231" s="156"/>
      <c r="K231" s="154"/>
      <c r="L231" s="100"/>
      <c r="M231" s="357"/>
      <c r="N231" s="156"/>
      <c r="O231" s="154"/>
      <c r="P231" s="100"/>
      <c r="Q231" s="357"/>
      <c r="R231" s="156"/>
      <c r="S231" s="154"/>
      <c r="T231" s="100"/>
      <c r="U231" s="357"/>
      <c r="V231" s="156"/>
      <c r="W231" s="154"/>
      <c r="X231" s="100"/>
      <c r="Y231" s="357"/>
      <c r="Z231" s="363"/>
      <c r="AA231" s="364"/>
      <c r="AB231" s="100"/>
      <c r="AC231" s="357"/>
      <c r="AD231" s="367"/>
      <c r="AE231" s="368"/>
      <c r="AF231" s="98"/>
      <c r="AG231" s="357"/>
      <c r="AH231" s="156"/>
      <c r="AI231" s="305"/>
      <c r="AJ231" s="366"/>
      <c r="AK231" s="357"/>
      <c r="AL231" s="369"/>
      <c r="AM231" s="370"/>
      <c r="AN231" s="238"/>
      <c r="AO231" s="357"/>
      <c r="AP231" s="363"/>
      <c r="AQ231" s="364"/>
      <c r="AR231" s="100"/>
      <c r="AS231" s="357"/>
      <c r="AT231" s="363"/>
      <c r="AU231" s="364"/>
      <c r="AV231" s="100"/>
    </row>
    <row r="232">
      <c r="A232" s="357"/>
      <c r="B232" s="156"/>
      <c r="C232" s="154"/>
      <c r="D232" s="100"/>
      <c r="E232" s="357"/>
      <c r="F232" s="156"/>
      <c r="G232" s="154"/>
      <c r="H232" s="100"/>
      <c r="I232" s="357"/>
      <c r="J232" s="156"/>
      <c r="K232" s="154"/>
      <c r="L232" s="100"/>
      <c r="M232" s="357"/>
      <c r="N232" s="156"/>
      <c r="O232" s="154"/>
      <c r="P232" s="100"/>
      <c r="Q232" s="357"/>
      <c r="R232" s="156"/>
      <c r="S232" s="154"/>
      <c r="T232" s="100"/>
      <c r="U232" s="357"/>
      <c r="V232" s="156"/>
      <c r="W232" s="154"/>
      <c r="X232" s="100"/>
      <c r="Y232" s="357"/>
      <c r="Z232" s="363"/>
      <c r="AA232" s="364"/>
      <c r="AB232" s="100"/>
      <c r="AC232" s="357"/>
      <c r="AD232" s="367"/>
      <c r="AE232" s="368"/>
      <c r="AF232" s="98"/>
      <c r="AG232" s="357"/>
      <c r="AH232" s="156"/>
      <c r="AI232" s="305"/>
      <c r="AJ232" s="366"/>
      <c r="AK232" s="357"/>
      <c r="AL232" s="369"/>
      <c r="AM232" s="370"/>
      <c r="AN232" s="238"/>
      <c r="AO232" s="357"/>
      <c r="AP232" s="363"/>
      <c r="AQ232" s="364"/>
      <c r="AR232" s="100"/>
      <c r="AS232" s="357"/>
      <c r="AT232" s="363"/>
      <c r="AU232" s="364"/>
      <c r="AV232" s="100"/>
    </row>
    <row r="233">
      <c r="A233" s="357"/>
      <c r="B233" s="156"/>
      <c r="C233" s="154"/>
      <c r="D233" s="100"/>
      <c r="E233" s="357"/>
      <c r="F233" s="156"/>
      <c r="G233" s="154"/>
      <c r="H233" s="100"/>
      <c r="I233" s="357"/>
      <c r="J233" s="156"/>
      <c r="K233" s="154"/>
      <c r="L233" s="100"/>
      <c r="M233" s="357"/>
      <c r="N233" s="156"/>
      <c r="O233" s="154"/>
      <c r="P233" s="100"/>
      <c r="Q233" s="357"/>
      <c r="R233" s="156"/>
      <c r="S233" s="154"/>
      <c r="T233" s="100"/>
      <c r="U233" s="357"/>
      <c r="V233" s="156"/>
      <c r="W233" s="154"/>
      <c r="X233" s="100"/>
      <c r="Y233" s="357"/>
      <c r="Z233" s="363"/>
      <c r="AA233" s="364"/>
      <c r="AB233" s="100"/>
      <c r="AC233" s="357"/>
      <c r="AD233" s="367"/>
      <c r="AE233" s="368"/>
      <c r="AF233" s="98"/>
      <c r="AG233" s="357"/>
      <c r="AH233" s="156"/>
      <c r="AI233" s="305"/>
      <c r="AJ233" s="366"/>
      <c r="AK233" s="357"/>
      <c r="AL233" s="369"/>
      <c r="AM233" s="370"/>
      <c r="AN233" s="238"/>
      <c r="AO233" s="357"/>
      <c r="AP233" s="363"/>
      <c r="AQ233" s="364"/>
      <c r="AR233" s="100"/>
      <c r="AS233" s="357"/>
      <c r="AT233" s="363"/>
      <c r="AU233" s="364"/>
      <c r="AV233" s="100"/>
    </row>
    <row r="234">
      <c r="A234" s="357"/>
      <c r="B234" s="156"/>
      <c r="C234" s="154"/>
      <c r="D234" s="100"/>
      <c r="E234" s="357"/>
      <c r="F234" s="156"/>
      <c r="G234" s="154"/>
      <c r="H234" s="100"/>
      <c r="I234" s="357"/>
      <c r="J234" s="156"/>
      <c r="K234" s="154"/>
      <c r="L234" s="100"/>
      <c r="M234" s="357"/>
      <c r="N234" s="156"/>
      <c r="O234" s="154"/>
      <c r="P234" s="100"/>
      <c r="Q234" s="357"/>
      <c r="R234" s="156"/>
      <c r="S234" s="154"/>
      <c r="T234" s="100"/>
      <c r="U234" s="357"/>
      <c r="V234" s="156"/>
      <c r="W234" s="154"/>
      <c r="X234" s="100"/>
      <c r="Y234" s="357"/>
      <c r="Z234" s="363"/>
      <c r="AA234" s="364"/>
      <c r="AB234" s="100"/>
      <c r="AC234" s="357"/>
      <c r="AD234" s="367"/>
      <c r="AE234" s="368"/>
      <c r="AF234" s="98"/>
      <c r="AG234" s="357"/>
      <c r="AH234" s="156"/>
      <c r="AI234" s="305"/>
      <c r="AJ234" s="366"/>
      <c r="AK234" s="357"/>
      <c r="AL234" s="369"/>
      <c r="AM234" s="370"/>
      <c r="AN234" s="238"/>
      <c r="AO234" s="357"/>
      <c r="AP234" s="363"/>
      <c r="AQ234" s="364"/>
      <c r="AR234" s="100"/>
      <c r="AS234" s="357"/>
      <c r="AT234" s="363"/>
      <c r="AU234" s="364"/>
      <c r="AV234" s="100"/>
    </row>
    <row r="235">
      <c r="A235" s="357"/>
      <c r="B235" s="156"/>
      <c r="C235" s="154"/>
      <c r="D235" s="100"/>
      <c r="E235" s="357"/>
      <c r="F235" s="156"/>
      <c r="G235" s="154"/>
      <c r="H235" s="100"/>
      <c r="I235" s="357"/>
      <c r="J235" s="156"/>
      <c r="K235" s="154"/>
      <c r="L235" s="100"/>
      <c r="M235" s="357"/>
      <c r="N235" s="156"/>
      <c r="O235" s="154"/>
      <c r="P235" s="100"/>
      <c r="Q235" s="357"/>
      <c r="R235" s="156"/>
      <c r="S235" s="154"/>
      <c r="T235" s="100"/>
      <c r="U235" s="357"/>
      <c r="V235" s="156"/>
      <c r="W235" s="154"/>
      <c r="X235" s="100"/>
      <c r="Y235" s="357"/>
      <c r="Z235" s="363"/>
      <c r="AA235" s="364"/>
      <c r="AB235" s="100"/>
      <c r="AC235" s="357"/>
      <c r="AD235" s="367"/>
      <c r="AE235" s="368"/>
      <c r="AF235" s="98"/>
      <c r="AG235" s="357"/>
      <c r="AH235" s="156"/>
      <c r="AI235" s="305"/>
      <c r="AJ235" s="366"/>
      <c r="AK235" s="357"/>
      <c r="AL235" s="369"/>
      <c r="AM235" s="370"/>
      <c r="AN235" s="238"/>
      <c r="AO235" s="357"/>
      <c r="AP235" s="363"/>
      <c r="AQ235" s="364"/>
      <c r="AR235" s="100"/>
      <c r="AS235" s="357"/>
      <c r="AT235" s="363"/>
      <c r="AU235" s="364"/>
      <c r="AV235" s="100"/>
    </row>
    <row r="236">
      <c r="A236" s="357"/>
      <c r="B236" s="156"/>
      <c r="C236" s="154"/>
      <c r="D236" s="100"/>
      <c r="E236" s="357"/>
      <c r="F236" s="156"/>
      <c r="G236" s="154"/>
      <c r="H236" s="100"/>
      <c r="I236" s="357"/>
      <c r="J236" s="156"/>
      <c r="K236" s="154"/>
      <c r="L236" s="100"/>
      <c r="M236" s="357"/>
      <c r="N236" s="156"/>
      <c r="O236" s="154"/>
      <c r="P236" s="100"/>
      <c r="Q236" s="357"/>
      <c r="R236" s="156"/>
      <c r="S236" s="154"/>
      <c r="T236" s="100"/>
      <c r="U236" s="357"/>
      <c r="V236" s="156"/>
      <c r="W236" s="154"/>
      <c r="X236" s="100"/>
      <c r="Y236" s="357"/>
      <c r="Z236" s="363"/>
      <c r="AA236" s="364"/>
      <c r="AB236" s="100"/>
      <c r="AC236" s="357"/>
      <c r="AD236" s="367"/>
      <c r="AE236" s="368"/>
      <c r="AF236" s="98"/>
      <c r="AG236" s="357"/>
      <c r="AH236" s="156"/>
      <c r="AI236" s="305"/>
      <c r="AJ236" s="366"/>
      <c r="AK236" s="357"/>
      <c r="AL236" s="369"/>
      <c r="AM236" s="370"/>
      <c r="AN236" s="238"/>
      <c r="AO236" s="357"/>
      <c r="AP236" s="363"/>
      <c r="AQ236" s="364"/>
      <c r="AR236" s="100"/>
      <c r="AS236" s="357"/>
      <c r="AT236" s="363"/>
      <c r="AU236" s="364"/>
      <c r="AV236" s="100"/>
    </row>
    <row r="237">
      <c r="A237" s="357"/>
      <c r="B237" s="156"/>
      <c r="C237" s="154"/>
      <c r="D237" s="100"/>
      <c r="E237" s="357"/>
      <c r="F237" s="156"/>
      <c r="G237" s="154"/>
      <c r="H237" s="100"/>
      <c r="I237" s="357"/>
      <c r="J237" s="156"/>
      <c r="K237" s="154"/>
      <c r="L237" s="100"/>
      <c r="M237" s="357"/>
      <c r="N237" s="156"/>
      <c r="O237" s="154"/>
      <c r="P237" s="100"/>
      <c r="Q237" s="357"/>
      <c r="R237" s="156"/>
      <c r="S237" s="154"/>
      <c r="T237" s="100"/>
      <c r="U237" s="357"/>
      <c r="V237" s="156"/>
      <c r="W237" s="154"/>
      <c r="X237" s="100"/>
      <c r="Y237" s="357"/>
      <c r="Z237" s="363"/>
      <c r="AA237" s="364"/>
      <c r="AB237" s="100"/>
      <c r="AC237" s="357"/>
      <c r="AD237" s="367"/>
      <c r="AE237" s="368"/>
      <c r="AF237" s="98"/>
      <c r="AG237" s="357"/>
      <c r="AH237" s="156"/>
      <c r="AI237" s="305"/>
      <c r="AJ237" s="366"/>
      <c r="AK237" s="357"/>
      <c r="AL237" s="369"/>
      <c r="AM237" s="370"/>
      <c r="AN237" s="238"/>
      <c r="AO237" s="357"/>
      <c r="AP237" s="363"/>
      <c r="AQ237" s="364"/>
      <c r="AR237" s="100"/>
      <c r="AS237" s="357"/>
      <c r="AT237" s="363"/>
      <c r="AU237" s="364"/>
      <c r="AV237" s="100"/>
    </row>
    <row r="238">
      <c r="A238" s="357"/>
      <c r="B238" s="156"/>
      <c r="C238" s="154"/>
      <c r="D238" s="100"/>
      <c r="E238" s="357"/>
      <c r="F238" s="156"/>
      <c r="G238" s="154"/>
      <c r="H238" s="100"/>
      <c r="I238" s="357"/>
      <c r="J238" s="156"/>
      <c r="K238" s="154"/>
      <c r="L238" s="100"/>
      <c r="M238" s="357"/>
      <c r="N238" s="156"/>
      <c r="O238" s="154"/>
      <c r="P238" s="100"/>
      <c r="Q238" s="357"/>
      <c r="R238" s="156"/>
      <c r="S238" s="154"/>
      <c r="T238" s="100"/>
      <c r="U238" s="357"/>
      <c r="V238" s="156"/>
      <c r="W238" s="154"/>
      <c r="X238" s="100"/>
      <c r="Y238" s="357"/>
      <c r="Z238" s="363"/>
      <c r="AA238" s="364"/>
      <c r="AB238" s="100"/>
      <c r="AC238" s="357"/>
      <c r="AD238" s="367"/>
      <c r="AE238" s="368"/>
      <c r="AF238" s="98"/>
      <c r="AG238" s="357"/>
      <c r="AH238" s="156"/>
      <c r="AI238" s="305"/>
      <c r="AJ238" s="366"/>
      <c r="AK238" s="357"/>
      <c r="AL238" s="369"/>
      <c r="AM238" s="370"/>
      <c r="AN238" s="238"/>
      <c r="AO238" s="357"/>
      <c r="AP238" s="363"/>
      <c r="AQ238" s="364"/>
      <c r="AR238" s="100"/>
      <c r="AS238" s="357"/>
      <c r="AT238" s="363"/>
      <c r="AU238" s="364"/>
      <c r="AV238" s="100"/>
    </row>
    <row r="239">
      <c r="A239" s="357"/>
      <c r="B239" s="156"/>
      <c r="C239" s="154"/>
      <c r="D239" s="100"/>
      <c r="E239" s="357"/>
      <c r="F239" s="156"/>
      <c r="G239" s="154"/>
      <c r="H239" s="100"/>
      <c r="I239" s="357"/>
      <c r="J239" s="156"/>
      <c r="K239" s="154"/>
      <c r="L239" s="100"/>
      <c r="M239" s="357"/>
      <c r="N239" s="156"/>
      <c r="O239" s="154"/>
      <c r="P239" s="100"/>
      <c r="Q239" s="357"/>
      <c r="R239" s="156"/>
      <c r="S239" s="154"/>
      <c r="T239" s="100"/>
      <c r="U239" s="357"/>
      <c r="V239" s="156"/>
      <c r="W239" s="154"/>
      <c r="X239" s="100"/>
      <c r="Y239" s="357"/>
      <c r="Z239" s="363"/>
      <c r="AA239" s="364"/>
      <c r="AB239" s="100"/>
      <c r="AC239" s="357"/>
      <c r="AD239" s="367"/>
      <c r="AE239" s="368"/>
      <c r="AF239" s="98"/>
      <c r="AG239" s="357"/>
      <c r="AH239" s="156"/>
      <c r="AI239" s="305"/>
      <c r="AJ239" s="366"/>
      <c r="AK239" s="357"/>
      <c r="AL239" s="369"/>
      <c r="AM239" s="370"/>
      <c r="AN239" s="238"/>
      <c r="AO239" s="357"/>
      <c r="AP239" s="363"/>
      <c r="AQ239" s="364"/>
      <c r="AR239" s="100"/>
      <c r="AS239" s="357"/>
      <c r="AT239" s="363"/>
      <c r="AU239" s="364"/>
      <c r="AV239" s="100"/>
    </row>
    <row r="240">
      <c r="A240" s="357"/>
      <c r="B240" s="156"/>
      <c r="C240" s="154"/>
      <c r="D240" s="100"/>
      <c r="E240" s="357"/>
      <c r="F240" s="156"/>
      <c r="G240" s="154"/>
      <c r="H240" s="100"/>
      <c r="I240" s="357"/>
      <c r="J240" s="156"/>
      <c r="K240" s="154"/>
      <c r="L240" s="100"/>
      <c r="M240" s="357"/>
      <c r="N240" s="156"/>
      <c r="O240" s="154"/>
      <c r="P240" s="100"/>
      <c r="Q240" s="357"/>
      <c r="R240" s="156"/>
      <c r="S240" s="154"/>
      <c r="T240" s="100"/>
      <c r="U240" s="357"/>
      <c r="V240" s="156"/>
      <c r="W240" s="154"/>
      <c r="X240" s="100"/>
      <c r="Y240" s="357"/>
      <c r="Z240" s="363"/>
      <c r="AA240" s="364"/>
      <c r="AB240" s="100"/>
      <c r="AC240" s="357"/>
      <c r="AD240" s="367"/>
      <c r="AE240" s="368"/>
      <c r="AF240" s="98"/>
      <c r="AG240" s="357"/>
      <c r="AH240" s="156"/>
      <c r="AI240" s="305"/>
      <c r="AJ240" s="366"/>
      <c r="AK240" s="357"/>
      <c r="AL240" s="369"/>
      <c r="AM240" s="370"/>
      <c r="AN240" s="238"/>
      <c r="AO240" s="357"/>
      <c r="AP240" s="363"/>
      <c r="AQ240" s="364"/>
      <c r="AR240" s="100"/>
      <c r="AS240" s="357"/>
      <c r="AT240" s="363"/>
      <c r="AU240" s="364"/>
      <c r="AV240" s="100"/>
    </row>
    <row r="241">
      <c r="A241" s="357"/>
      <c r="B241" s="156"/>
      <c r="C241" s="154"/>
      <c r="D241" s="100"/>
      <c r="E241" s="357"/>
      <c r="F241" s="156"/>
      <c r="G241" s="154"/>
      <c r="H241" s="100"/>
      <c r="I241" s="357"/>
      <c r="J241" s="156"/>
      <c r="K241" s="154"/>
      <c r="L241" s="100"/>
      <c r="M241" s="357"/>
      <c r="N241" s="156"/>
      <c r="O241" s="154"/>
      <c r="P241" s="100"/>
      <c r="Q241" s="357"/>
      <c r="R241" s="156"/>
      <c r="S241" s="154"/>
      <c r="T241" s="100"/>
      <c r="U241" s="357"/>
      <c r="V241" s="156"/>
      <c r="W241" s="154"/>
      <c r="X241" s="100"/>
      <c r="Y241" s="357"/>
      <c r="Z241" s="363"/>
      <c r="AA241" s="364"/>
      <c r="AB241" s="100"/>
      <c r="AC241" s="357"/>
      <c r="AD241" s="367"/>
      <c r="AE241" s="368"/>
      <c r="AF241" s="98"/>
      <c r="AG241" s="357"/>
      <c r="AH241" s="156"/>
      <c r="AI241" s="305"/>
      <c r="AJ241" s="366"/>
      <c r="AK241" s="357"/>
      <c r="AL241" s="369"/>
      <c r="AM241" s="370"/>
      <c r="AN241" s="238"/>
      <c r="AO241" s="357"/>
      <c r="AP241" s="363"/>
      <c r="AQ241" s="364"/>
      <c r="AR241" s="100"/>
      <c r="AS241" s="357"/>
      <c r="AT241" s="363"/>
      <c r="AU241" s="364"/>
      <c r="AV241" s="100"/>
    </row>
    <row r="242">
      <c r="A242" s="357"/>
      <c r="B242" s="156"/>
      <c r="C242" s="154"/>
      <c r="D242" s="100"/>
      <c r="E242" s="357"/>
      <c r="F242" s="156"/>
      <c r="G242" s="154"/>
      <c r="H242" s="100"/>
      <c r="I242" s="357"/>
      <c r="J242" s="156"/>
      <c r="K242" s="154"/>
      <c r="L242" s="100"/>
      <c r="M242" s="357"/>
      <c r="N242" s="156"/>
      <c r="O242" s="154"/>
      <c r="P242" s="100"/>
      <c r="Q242" s="357"/>
      <c r="R242" s="156"/>
      <c r="S242" s="154"/>
      <c r="T242" s="100"/>
      <c r="U242" s="357"/>
      <c r="V242" s="156"/>
      <c r="W242" s="154"/>
      <c r="X242" s="100"/>
      <c r="Y242" s="357"/>
      <c r="Z242" s="363"/>
      <c r="AA242" s="364"/>
      <c r="AB242" s="100"/>
      <c r="AC242" s="357"/>
      <c r="AD242" s="367"/>
      <c r="AE242" s="368"/>
      <c r="AF242" s="98"/>
      <c r="AG242" s="357"/>
      <c r="AH242" s="156"/>
      <c r="AI242" s="305"/>
      <c r="AJ242" s="366"/>
      <c r="AK242" s="357"/>
      <c r="AL242" s="369"/>
      <c r="AM242" s="370"/>
      <c r="AN242" s="238"/>
      <c r="AO242" s="357"/>
      <c r="AP242" s="363"/>
      <c r="AQ242" s="364"/>
      <c r="AR242" s="100"/>
      <c r="AS242" s="357"/>
      <c r="AT242" s="363"/>
      <c r="AU242" s="364"/>
      <c r="AV242" s="100"/>
    </row>
    <row r="243">
      <c r="A243" s="357"/>
      <c r="B243" s="156"/>
      <c r="C243" s="154"/>
      <c r="D243" s="100"/>
      <c r="E243" s="357"/>
      <c r="F243" s="156"/>
      <c r="G243" s="154"/>
      <c r="H243" s="100"/>
      <c r="I243" s="357"/>
      <c r="J243" s="156"/>
      <c r="K243" s="154"/>
      <c r="L243" s="100"/>
      <c r="M243" s="357"/>
      <c r="N243" s="156"/>
      <c r="O243" s="154"/>
      <c r="P243" s="100"/>
      <c r="Q243" s="357"/>
      <c r="R243" s="156"/>
      <c r="S243" s="154"/>
      <c r="T243" s="100"/>
      <c r="U243" s="357"/>
      <c r="V243" s="156"/>
      <c r="W243" s="154"/>
      <c r="X243" s="100"/>
      <c r="Y243" s="357"/>
      <c r="Z243" s="363"/>
      <c r="AA243" s="364"/>
      <c r="AB243" s="100"/>
      <c r="AC243" s="357"/>
      <c r="AD243" s="367"/>
      <c r="AE243" s="368"/>
      <c r="AF243" s="98"/>
      <c r="AG243" s="357"/>
      <c r="AH243" s="156"/>
      <c r="AI243" s="305"/>
      <c r="AJ243" s="366"/>
      <c r="AK243" s="357"/>
      <c r="AL243" s="369"/>
      <c r="AM243" s="370"/>
      <c r="AN243" s="238"/>
      <c r="AO243" s="357"/>
      <c r="AP243" s="363"/>
      <c r="AQ243" s="364"/>
      <c r="AR243" s="100"/>
      <c r="AS243" s="357"/>
      <c r="AT243" s="363"/>
      <c r="AU243" s="364"/>
      <c r="AV243" s="100"/>
    </row>
    <row r="244">
      <c r="A244" s="357"/>
      <c r="B244" s="156"/>
      <c r="C244" s="154"/>
      <c r="D244" s="100"/>
      <c r="E244" s="357"/>
      <c r="F244" s="156"/>
      <c r="G244" s="154"/>
      <c r="H244" s="100"/>
      <c r="I244" s="357"/>
      <c r="J244" s="156"/>
      <c r="K244" s="154"/>
      <c r="L244" s="100"/>
      <c r="M244" s="357"/>
      <c r="N244" s="156"/>
      <c r="O244" s="154"/>
      <c r="P244" s="100"/>
      <c r="Q244" s="357"/>
      <c r="R244" s="156"/>
      <c r="S244" s="154"/>
      <c r="T244" s="100"/>
      <c r="U244" s="357"/>
      <c r="V244" s="156"/>
      <c r="W244" s="154"/>
      <c r="X244" s="100"/>
      <c r="Y244" s="357"/>
      <c r="Z244" s="363"/>
      <c r="AA244" s="364"/>
      <c r="AB244" s="100"/>
      <c r="AC244" s="357"/>
      <c r="AD244" s="367"/>
      <c r="AE244" s="368"/>
      <c r="AF244" s="98"/>
      <c r="AG244" s="357"/>
      <c r="AH244" s="156"/>
      <c r="AI244" s="305"/>
      <c r="AJ244" s="366"/>
      <c r="AK244" s="357"/>
      <c r="AL244" s="369"/>
      <c r="AM244" s="370"/>
      <c r="AN244" s="238"/>
      <c r="AO244" s="357"/>
      <c r="AP244" s="363"/>
      <c r="AQ244" s="364"/>
      <c r="AR244" s="100"/>
      <c r="AS244" s="357"/>
      <c r="AT244" s="363"/>
      <c r="AU244" s="364"/>
      <c r="AV244" s="100"/>
    </row>
    <row r="245">
      <c r="A245" s="357"/>
      <c r="B245" s="156"/>
      <c r="C245" s="154"/>
      <c r="D245" s="100"/>
      <c r="E245" s="357"/>
      <c r="F245" s="156"/>
      <c r="G245" s="154"/>
      <c r="H245" s="100"/>
      <c r="I245" s="357"/>
      <c r="J245" s="156"/>
      <c r="K245" s="154"/>
      <c r="L245" s="100"/>
      <c r="M245" s="357"/>
      <c r="N245" s="156"/>
      <c r="O245" s="154"/>
      <c r="P245" s="100"/>
      <c r="Q245" s="357"/>
      <c r="R245" s="156"/>
      <c r="S245" s="154"/>
      <c r="T245" s="100"/>
      <c r="U245" s="357"/>
      <c r="V245" s="156"/>
      <c r="W245" s="154"/>
      <c r="X245" s="100"/>
      <c r="Y245" s="357"/>
      <c r="Z245" s="363"/>
      <c r="AA245" s="364"/>
      <c r="AB245" s="100"/>
      <c r="AC245" s="357"/>
      <c r="AD245" s="367"/>
      <c r="AE245" s="368"/>
      <c r="AF245" s="98"/>
      <c r="AG245" s="357"/>
      <c r="AH245" s="156"/>
      <c r="AI245" s="305"/>
      <c r="AJ245" s="366"/>
      <c r="AK245" s="357"/>
      <c r="AL245" s="369"/>
      <c r="AM245" s="370"/>
      <c r="AN245" s="238"/>
      <c r="AO245" s="357"/>
      <c r="AP245" s="363"/>
      <c r="AQ245" s="364"/>
      <c r="AR245" s="100"/>
      <c r="AS245" s="357"/>
      <c r="AT245" s="363"/>
      <c r="AU245" s="364"/>
      <c r="AV245" s="100"/>
    </row>
    <row r="246">
      <c r="A246" s="357"/>
      <c r="B246" s="156"/>
      <c r="C246" s="154"/>
      <c r="D246" s="100"/>
      <c r="E246" s="357"/>
      <c r="F246" s="156"/>
      <c r="G246" s="154"/>
      <c r="H246" s="100"/>
      <c r="I246" s="357"/>
      <c r="J246" s="156"/>
      <c r="K246" s="154"/>
      <c r="L246" s="100"/>
      <c r="M246" s="357"/>
      <c r="N246" s="156"/>
      <c r="O246" s="154"/>
      <c r="P246" s="100"/>
      <c r="Q246" s="357"/>
      <c r="R246" s="156"/>
      <c r="S246" s="154"/>
      <c r="T246" s="100"/>
      <c r="U246" s="357"/>
      <c r="V246" s="156"/>
      <c r="W246" s="154"/>
      <c r="X246" s="100"/>
      <c r="Y246" s="357"/>
      <c r="Z246" s="363"/>
      <c r="AA246" s="364"/>
      <c r="AB246" s="100"/>
      <c r="AC246" s="357"/>
      <c r="AD246" s="367"/>
      <c r="AE246" s="368"/>
      <c r="AF246" s="98"/>
      <c r="AG246" s="357"/>
      <c r="AH246" s="156"/>
      <c r="AI246" s="305"/>
      <c r="AJ246" s="366"/>
      <c r="AK246" s="357"/>
      <c r="AL246" s="369"/>
      <c r="AM246" s="370"/>
      <c r="AN246" s="238"/>
      <c r="AO246" s="357"/>
      <c r="AP246" s="363"/>
      <c r="AQ246" s="364"/>
      <c r="AR246" s="100"/>
      <c r="AS246" s="357"/>
      <c r="AT246" s="363"/>
      <c r="AU246" s="364"/>
      <c r="AV246" s="100"/>
    </row>
    <row r="247">
      <c r="A247" s="357"/>
      <c r="B247" s="156"/>
      <c r="C247" s="154"/>
      <c r="D247" s="100"/>
      <c r="E247" s="357"/>
      <c r="F247" s="156"/>
      <c r="G247" s="154"/>
      <c r="H247" s="100"/>
      <c r="I247" s="357"/>
      <c r="J247" s="156"/>
      <c r="K247" s="154"/>
      <c r="L247" s="100"/>
      <c r="M247" s="357"/>
      <c r="N247" s="156"/>
      <c r="O247" s="154"/>
      <c r="P247" s="100"/>
      <c r="Q247" s="357"/>
      <c r="R247" s="156"/>
      <c r="S247" s="154"/>
      <c r="T247" s="100"/>
      <c r="U247" s="357"/>
      <c r="V247" s="156"/>
      <c r="W247" s="154"/>
      <c r="X247" s="100"/>
      <c r="Y247" s="357"/>
      <c r="Z247" s="363"/>
      <c r="AA247" s="364"/>
      <c r="AB247" s="100"/>
      <c r="AC247" s="357"/>
      <c r="AD247" s="367"/>
      <c r="AE247" s="368"/>
      <c r="AF247" s="98"/>
      <c r="AG247" s="357"/>
      <c r="AH247" s="156"/>
      <c r="AI247" s="305"/>
      <c r="AJ247" s="366"/>
      <c r="AK247" s="357"/>
      <c r="AL247" s="369"/>
      <c r="AM247" s="370"/>
      <c r="AN247" s="238"/>
      <c r="AO247" s="357"/>
      <c r="AP247" s="363"/>
      <c r="AQ247" s="364"/>
      <c r="AR247" s="100"/>
      <c r="AS247" s="357"/>
      <c r="AT247" s="363"/>
      <c r="AU247" s="364"/>
      <c r="AV247" s="100"/>
    </row>
    <row r="248">
      <c r="A248" s="357"/>
      <c r="B248" s="156"/>
      <c r="C248" s="154"/>
      <c r="D248" s="100"/>
      <c r="E248" s="357"/>
      <c r="F248" s="156"/>
      <c r="G248" s="154"/>
      <c r="H248" s="100"/>
      <c r="I248" s="357"/>
      <c r="J248" s="156"/>
      <c r="K248" s="154"/>
      <c r="L248" s="100"/>
      <c r="M248" s="357"/>
      <c r="N248" s="156"/>
      <c r="O248" s="154"/>
      <c r="P248" s="100"/>
      <c r="Q248" s="357"/>
      <c r="R248" s="156"/>
      <c r="S248" s="154"/>
      <c r="T248" s="100"/>
      <c r="U248" s="357"/>
      <c r="V248" s="156"/>
      <c r="W248" s="154"/>
      <c r="X248" s="100"/>
      <c r="Y248" s="357"/>
      <c r="Z248" s="363"/>
      <c r="AA248" s="364"/>
      <c r="AB248" s="100"/>
      <c r="AC248" s="357"/>
      <c r="AD248" s="367"/>
      <c r="AE248" s="368"/>
      <c r="AF248" s="98"/>
      <c r="AG248" s="357"/>
      <c r="AH248" s="156"/>
      <c r="AI248" s="305"/>
      <c r="AJ248" s="366"/>
      <c r="AK248" s="357"/>
      <c r="AL248" s="369"/>
      <c r="AM248" s="370"/>
      <c r="AN248" s="238"/>
      <c r="AO248" s="357"/>
      <c r="AP248" s="363"/>
      <c r="AQ248" s="364"/>
      <c r="AR248" s="100"/>
      <c r="AS248" s="357"/>
      <c r="AT248" s="363"/>
      <c r="AU248" s="364"/>
      <c r="AV248" s="100"/>
    </row>
    <row r="249">
      <c r="A249" s="357"/>
      <c r="B249" s="156"/>
      <c r="C249" s="154"/>
      <c r="D249" s="100"/>
      <c r="E249" s="357"/>
      <c r="F249" s="156"/>
      <c r="G249" s="154"/>
      <c r="H249" s="100"/>
      <c r="I249" s="357"/>
      <c r="J249" s="156"/>
      <c r="K249" s="154"/>
      <c r="L249" s="100"/>
      <c r="M249" s="357"/>
      <c r="N249" s="156"/>
      <c r="O249" s="154"/>
      <c r="P249" s="100"/>
      <c r="Q249" s="357"/>
      <c r="R249" s="156"/>
      <c r="S249" s="154"/>
      <c r="T249" s="100"/>
      <c r="U249" s="357"/>
      <c r="V249" s="156"/>
      <c r="W249" s="154"/>
      <c r="X249" s="100"/>
      <c r="Y249" s="357"/>
      <c r="Z249" s="100"/>
      <c r="AA249" s="100"/>
      <c r="AB249" s="100"/>
      <c r="AC249" s="357"/>
      <c r="AD249" s="367"/>
      <c r="AE249" s="368"/>
      <c r="AF249" s="98"/>
      <c r="AG249" s="357"/>
      <c r="AH249" s="156"/>
      <c r="AI249" s="305"/>
      <c r="AJ249" s="366"/>
      <c r="AK249" s="357"/>
      <c r="AL249" s="371"/>
      <c r="AM249" s="371"/>
      <c r="AN249" s="371"/>
      <c r="AO249" s="357"/>
      <c r="AP249" s="100"/>
      <c r="AQ249" s="100"/>
      <c r="AR249" s="100"/>
      <c r="AS249" s="357"/>
      <c r="AT249" s="100"/>
      <c r="AU249" s="100"/>
      <c r="AV249" s="100"/>
    </row>
    <row r="250">
      <c r="A250" s="357"/>
      <c r="B250" s="156"/>
      <c r="C250" s="154"/>
      <c r="D250" s="100"/>
      <c r="E250" s="357"/>
      <c r="F250" s="156"/>
      <c r="G250" s="154"/>
      <c r="H250" s="100"/>
      <c r="I250" s="357"/>
      <c r="J250" s="156"/>
      <c r="K250" s="154"/>
      <c r="L250" s="100"/>
      <c r="M250" s="357"/>
      <c r="N250" s="156"/>
      <c r="O250" s="154"/>
      <c r="P250" s="100"/>
      <c r="Q250" s="357"/>
      <c r="R250" s="156"/>
      <c r="S250" s="154"/>
      <c r="T250" s="100"/>
      <c r="U250" s="357"/>
      <c r="V250" s="156"/>
      <c r="W250" s="154"/>
      <c r="X250" s="100"/>
      <c r="Y250" s="357"/>
      <c r="Z250" s="100"/>
      <c r="AA250" s="100"/>
      <c r="AB250" s="100"/>
      <c r="AC250" s="357"/>
      <c r="AD250" s="367"/>
      <c r="AE250" s="368"/>
      <c r="AF250" s="98"/>
      <c r="AG250" s="357"/>
      <c r="AH250" s="156"/>
      <c r="AI250" s="305"/>
      <c r="AJ250" s="366"/>
      <c r="AK250" s="357"/>
      <c r="AL250" s="371"/>
      <c r="AM250" s="371"/>
      <c r="AN250" s="371"/>
      <c r="AO250" s="357"/>
      <c r="AP250" s="100"/>
      <c r="AQ250" s="100"/>
      <c r="AR250" s="100"/>
      <c r="AS250" s="357"/>
      <c r="AT250" s="100"/>
      <c r="AU250" s="100"/>
      <c r="AV250" s="100"/>
    </row>
    <row r="251">
      <c r="A251" s="357"/>
      <c r="B251" s="156"/>
      <c r="C251" s="154"/>
      <c r="D251" s="100"/>
      <c r="E251" s="357"/>
      <c r="F251" s="156"/>
      <c r="G251" s="154"/>
      <c r="H251" s="100"/>
      <c r="I251" s="357"/>
      <c r="J251" s="156"/>
      <c r="K251" s="154"/>
      <c r="L251" s="100"/>
      <c r="M251" s="357"/>
      <c r="N251" s="156"/>
      <c r="O251" s="154"/>
      <c r="P251" s="100"/>
      <c r="Q251" s="357"/>
      <c r="R251" s="156"/>
      <c r="S251" s="154"/>
      <c r="T251" s="100"/>
      <c r="U251" s="357"/>
      <c r="V251" s="156"/>
      <c r="W251" s="154"/>
      <c r="X251" s="100"/>
      <c r="Y251" s="357"/>
      <c r="Z251" s="100"/>
      <c r="AA251" s="100"/>
      <c r="AB251" s="100"/>
      <c r="AC251" s="357"/>
      <c r="AD251" s="367"/>
      <c r="AE251" s="368"/>
      <c r="AF251" s="98"/>
      <c r="AG251" s="357"/>
      <c r="AH251" s="156"/>
      <c r="AI251" s="305"/>
      <c r="AJ251" s="366"/>
      <c r="AK251" s="357"/>
      <c r="AL251" s="371"/>
      <c r="AM251" s="371"/>
      <c r="AN251" s="371"/>
      <c r="AO251" s="357"/>
      <c r="AP251" s="100"/>
      <c r="AQ251" s="100"/>
      <c r="AR251" s="100"/>
      <c r="AS251" s="357"/>
      <c r="AT251" s="100"/>
      <c r="AU251" s="100"/>
      <c r="AV251" s="100"/>
    </row>
    <row r="252">
      <c r="A252" s="357"/>
      <c r="B252" s="156"/>
      <c r="C252" s="154"/>
      <c r="D252" s="100"/>
      <c r="E252" s="357"/>
      <c r="F252" s="156"/>
      <c r="G252" s="154"/>
      <c r="H252" s="100"/>
      <c r="I252" s="357"/>
      <c r="J252" s="156"/>
      <c r="K252" s="154"/>
      <c r="L252" s="100"/>
      <c r="M252" s="357"/>
      <c r="N252" s="156"/>
      <c r="O252" s="154"/>
      <c r="P252" s="100"/>
      <c r="Q252" s="357"/>
      <c r="R252" s="156"/>
      <c r="S252" s="154"/>
      <c r="T252" s="100"/>
      <c r="U252" s="357"/>
      <c r="V252" s="156"/>
      <c r="W252" s="154"/>
      <c r="X252" s="100"/>
      <c r="Y252" s="357"/>
      <c r="Z252" s="100"/>
      <c r="AA252" s="100"/>
      <c r="AB252" s="100"/>
      <c r="AC252" s="357"/>
      <c r="AD252" s="367"/>
      <c r="AE252" s="368"/>
      <c r="AF252" s="98"/>
      <c r="AG252" s="357"/>
      <c r="AH252" s="156"/>
      <c r="AI252" s="305"/>
      <c r="AJ252" s="366"/>
      <c r="AK252" s="357"/>
      <c r="AL252" s="371"/>
      <c r="AM252" s="371"/>
      <c r="AN252" s="371"/>
      <c r="AO252" s="357"/>
      <c r="AP252" s="100"/>
      <c r="AQ252" s="100"/>
      <c r="AR252" s="100"/>
      <c r="AS252" s="357"/>
      <c r="AT252" s="100"/>
      <c r="AU252" s="100"/>
      <c r="AV252" s="100"/>
    </row>
    <row r="253">
      <c r="A253" s="357"/>
      <c r="B253" s="156"/>
      <c r="C253" s="154"/>
      <c r="D253" s="100"/>
      <c r="E253" s="357"/>
      <c r="F253" s="156"/>
      <c r="G253" s="154"/>
      <c r="H253" s="100"/>
      <c r="I253" s="357"/>
      <c r="J253" s="156"/>
      <c r="K253" s="154"/>
      <c r="L253" s="100"/>
      <c r="M253" s="357"/>
      <c r="N253" s="156"/>
      <c r="O253" s="154"/>
      <c r="P253" s="100"/>
      <c r="Q253" s="357"/>
      <c r="R253" s="156"/>
      <c r="S253" s="154"/>
      <c r="T253" s="100"/>
      <c r="U253" s="357"/>
      <c r="V253" s="156"/>
      <c r="W253" s="154"/>
      <c r="X253" s="100"/>
      <c r="Y253" s="357"/>
      <c r="Z253" s="100"/>
      <c r="AA253" s="100"/>
      <c r="AB253" s="100"/>
      <c r="AC253" s="357"/>
      <c r="AD253" s="367"/>
      <c r="AE253" s="368"/>
      <c r="AF253" s="98"/>
      <c r="AG253" s="357"/>
      <c r="AH253" s="156"/>
      <c r="AI253" s="305"/>
      <c r="AJ253" s="366"/>
      <c r="AK253" s="357"/>
      <c r="AL253" s="371"/>
      <c r="AM253" s="371"/>
      <c r="AN253" s="371"/>
      <c r="AO253" s="357"/>
      <c r="AP253" s="100"/>
      <c r="AQ253" s="100"/>
      <c r="AR253" s="100"/>
      <c r="AS253" s="357"/>
      <c r="AT253" s="100"/>
      <c r="AU253" s="100"/>
      <c r="AV253" s="100"/>
    </row>
    <row r="254">
      <c r="A254" s="357"/>
      <c r="B254" s="156"/>
      <c r="C254" s="154"/>
      <c r="D254" s="100"/>
      <c r="E254" s="357"/>
      <c r="F254" s="156"/>
      <c r="G254" s="154"/>
      <c r="H254" s="100"/>
      <c r="I254" s="357"/>
      <c r="J254" s="156"/>
      <c r="K254" s="154"/>
      <c r="L254" s="100"/>
      <c r="M254" s="357"/>
      <c r="N254" s="156"/>
      <c r="O254" s="154"/>
      <c r="P254" s="100"/>
      <c r="Q254" s="357"/>
      <c r="R254" s="156"/>
      <c r="S254" s="154"/>
      <c r="T254" s="100"/>
      <c r="U254" s="357"/>
      <c r="V254" s="156"/>
      <c r="W254" s="154"/>
      <c r="X254" s="100"/>
      <c r="Y254" s="357"/>
      <c r="Z254" s="100"/>
      <c r="AA254" s="100"/>
      <c r="AB254" s="100"/>
      <c r="AC254" s="357"/>
      <c r="AD254" s="367"/>
      <c r="AE254" s="368"/>
      <c r="AF254" s="98"/>
      <c r="AG254" s="357"/>
      <c r="AH254" s="156"/>
      <c r="AI254" s="305"/>
      <c r="AJ254" s="366"/>
      <c r="AK254" s="357"/>
      <c r="AL254" s="371"/>
      <c r="AM254" s="371"/>
      <c r="AN254" s="371"/>
      <c r="AO254" s="357"/>
      <c r="AP254" s="100"/>
      <c r="AQ254" s="100"/>
      <c r="AR254" s="100"/>
      <c r="AS254" s="357"/>
      <c r="AT254" s="100"/>
      <c r="AU254" s="100"/>
      <c r="AV254" s="100"/>
    </row>
    <row r="255">
      <c r="A255" s="357"/>
      <c r="B255" s="156"/>
      <c r="C255" s="154"/>
      <c r="D255" s="100"/>
      <c r="E255" s="357"/>
      <c r="F255" s="156"/>
      <c r="G255" s="154"/>
      <c r="H255" s="100"/>
      <c r="I255" s="357"/>
      <c r="J255" s="156"/>
      <c r="K255" s="154"/>
      <c r="L255" s="100"/>
      <c r="M255" s="357"/>
      <c r="N255" s="156"/>
      <c r="O255" s="154"/>
      <c r="P255" s="100"/>
      <c r="Q255" s="357"/>
      <c r="R255" s="156"/>
      <c r="S255" s="154"/>
      <c r="T255" s="100"/>
      <c r="U255" s="357"/>
      <c r="V255" s="156"/>
      <c r="W255" s="154"/>
      <c r="X255" s="100"/>
      <c r="Y255" s="357"/>
      <c r="Z255" s="100"/>
      <c r="AA255" s="100"/>
      <c r="AB255" s="100"/>
      <c r="AC255" s="357"/>
      <c r="AD255" s="367"/>
      <c r="AE255" s="368"/>
      <c r="AF255" s="98"/>
      <c r="AG255" s="357"/>
      <c r="AH255" s="156"/>
      <c r="AI255" s="305"/>
      <c r="AJ255" s="366"/>
      <c r="AK255" s="357"/>
      <c r="AL255" s="371"/>
      <c r="AM255" s="371"/>
      <c r="AN255" s="371"/>
      <c r="AO255" s="357"/>
      <c r="AP255" s="100"/>
      <c r="AQ255" s="100"/>
      <c r="AR255" s="100"/>
      <c r="AS255" s="357"/>
      <c r="AT255" s="100"/>
      <c r="AU255" s="100"/>
      <c r="AV255" s="100"/>
    </row>
    <row r="256">
      <c r="A256" s="357"/>
      <c r="B256" s="156"/>
      <c r="C256" s="154"/>
      <c r="D256" s="100"/>
      <c r="E256" s="357"/>
      <c r="F256" s="156"/>
      <c r="G256" s="154"/>
      <c r="H256" s="100"/>
      <c r="I256" s="357"/>
      <c r="J256" s="156"/>
      <c r="K256" s="154"/>
      <c r="L256" s="100"/>
      <c r="M256" s="357"/>
      <c r="N256" s="156"/>
      <c r="O256" s="154"/>
      <c r="P256" s="100"/>
      <c r="Q256" s="357"/>
      <c r="R256" s="156"/>
      <c r="S256" s="154"/>
      <c r="T256" s="100"/>
      <c r="U256" s="357"/>
      <c r="V256" s="156"/>
      <c r="W256" s="154"/>
      <c r="X256" s="100"/>
      <c r="Y256" s="357"/>
      <c r="Z256" s="100"/>
      <c r="AA256" s="100"/>
      <c r="AB256" s="100"/>
      <c r="AC256" s="357"/>
      <c r="AD256" s="367"/>
      <c r="AE256" s="368"/>
      <c r="AF256" s="98"/>
      <c r="AG256" s="357"/>
      <c r="AH256" s="156"/>
      <c r="AI256" s="305"/>
      <c r="AJ256" s="366"/>
      <c r="AK256" s="357"/>
      <c r="AL256" s="371"/>
      <c r="AM256" s="371"/>
      <c r="AN256" s="371"/>
      <c r="AO256" s="357"/>
      <c r="AP256" s="100"/>
      <c r="AQ256" s="100"/>
      <c r="AR256" s="100"/>
      <c r="AS256" s="357"/>
      <c r="AT256" s="100"/>
      <c r="AU256" s="100"/>
      <c r="AV256" s="100"/>
    </row>
    <row r="257">
      <c r="A257" s="357"/>
      <c r="B257" s="156"/>
      <c r="C257" s="154"/>
      <c r="D257" s="100"/>
      <c r="E257" s="357"/>
      <c r="F257" s="156"/>
      <c r="G257" s="154"/>
      <c r="H257" s="100"/>
      <c r="I257" s="357"/>
      <c r="J257" s="156"/>
      <c r="K257" s="154"/>
      <c r="L257" s="100"/>
      <c r="M257" s="357"/>
      <c r="N257" s="156"/>
      <c r="O257" s="154"/>
      <c r="P257" s="100"/>
      <c r="Q257" s="357"/>
      <c r="R257" s="156"/>
      <c r="S257" s="154"/>
      <c r="T257" s="100"/>
      <c r="U257" s="357"/>
      <c r="V257" s="156"/>
      <c r="W257" s="154"/>
      <c r="X257" s="100"/>
      <c r="Y257" s="357"/>
      <c r="Z257" s="100"/>
      <c r="AA257" s="100"/>
      <c r="AB257" s="100"/>
      <c r="AC257" s="357"/>
      <c r="AD257" s="367"/>
      <c r="AE257" s="368"/>
      <c r="AF257" s="98"/>
      <c r="AG257" s="357"/>
      <c r="AH257" s="156"/>
      <c r="AI257" s="305"/>
      <c r="AJ257" s="366"/>
      <c r="AK257" s="357"/>
      <c r="AL257" s="371"/>
      <c r="AM257" s="371"/>
      <c r="AN257" s="371"/>
      <c r="AO257" s="357"/>
      <c r="AP257" s="100"/>
      <c r="AQ257" s="100"/>
      <c r="AR257" s="100"/>
      <c r="AS257" s="357"/>
      <c r="AT257" s="100"/>
      <c r="AU257" s="100"/>
      <c r="AV257" s="100"/>
    </row>
    <row r="258">
      <c r="A258" s="357"/>
      <c r="B258" s="156"/>
      <c r="C258" s="154"/>
      <c r="D258" s="100"/>
      <c r="E258" s="357"/>
      <c r="F258" s="156"/>
      <c r="G258" s="154"/>
      <c r="H258" s="100"/>
      <c r="I258" s="357"/>
      <c r="J258" s="156"/>
      <c r="K258" s="154"/>
      <c r="L258" s="100"/>
      <c r="M258" s="357"/>
      <c r="N258" s="156"/>
      <c r="O258" s="154"/>
      <c r="P258" s="100"/>
      <c r="Q258" s="357"/>
      <c r="R258" s="156"/>
      <c r="S258" s="154"/>
      <c r="T258" s="100"/>
      <c r="U258" s="357"/>
      <c r="V258" s="156"/>
      <c r="W258" s="154"/>
      <c r="X258" s="100"/>
      <c r="Y258" s="357"/>
      <c r="Z258" s="100"/>
      <c r="AA258" s="100"/>
      <c r="AB258" s="100"/>
      <c r="AC258" s="357"/>
      <c r="AD258" s="367"/>
      <c r="AE258" s="368"/>
      <c r="AF258" s="98"/>
      <c r="AG258" s="357"/>
      <c r="AH258" s="156"/>
      <c r="AI258" s="305"/>
      <c r="AJ258" s="366"/>
      <c r="AK258" s="357"/>
      <c r="AL258" s="371"/>
      <c r="AM258" s="371"/>
      <c r="AN258" s="371"/>
      <c r="AO258" s="357"/>
      <c r="AP258" s="100"/>
      <c r="AQ258" s="100"/>
      <c r="AR258" s="100"/>
      <c r="AS258" s="357"/>
      <c r="AT258" s="100"/>
      <c r="AU258" s="100"/>
      <c r="AV258" s="100"/>
    </row>
    <row r="259">
      <c r="A259" s="357"/>
      <c r="B259" s="156"/>
      <c r="C259" s="154"/>
      <c r="D259" s="100"/>
      <c r="E259" s="357"/>
      <c r="F259" s="156"/>
      <c r="G259" s="154"/>
      <c r="H259" s="100"/>
      <c r="I259" s="357"/>
      <c r="J259" s="156"/>
      <c r="K259" s="154"/>
      <c r="L259" s="100"/>
      <c r="M259" s="357"/>
      <c r="N259" s="156"/>
      <c r="O259" s="154"/>
      <c r="P259" s="100"/>
      <c r="Q259" s="357"/>
      <c r="R259" s="156"/>
      <c r="S259" s="154"/>
      <c r="T259" s="100"/>
      <c r="U259" s="357"/>
      <c r="V259" s="156"/>
      <c r="W259" s="154"/>
      <c r="X259" s="100"/>
      <c r="Y259" s="357"/>
      <c r="Z259" s="100"/>
      <c r="AA259" s="100"/>
      <c r="AB259" s="100"/>
      <c r="AC259" s="357"/>
      <c r="AD259" s="367"/>
      <c r="AE259" s="368"/>
      <c r="AF259" s="98"/>
      <c r="AG259" s="357"/>
      <c r="AH259" s="156"/>
      <c r="AI259" s="305"/>
      <c r="AJ259" s="366"/>
      <c r="AK259" s="357"/>
      <c r="AL259" s="371"/>
      <c r="AM259" s="371"/>
      <c r="AN259" s="371"/>
      <c r="AO259" s="357"/>
      <c r="AP259" s="100"/>
      <c r="AQ259" s="100"/>
      <c r="AR259" s="100"/>
      <c r="AS259" s="357"/>
      <c r="AT259" s="100"/>
      <c r="AU259" s="100"/>
      <c r="AV259" s="100"/>
    </row>
    <row r="260">
      <c r="A260" s="357"/>
      <c r="B260" s="156"/>
      <c r="C260" s="154"/>
      <c r="D260" s="100"/>
      <c r="E260" s="357"/>
      <c r="F260" s="156"/>
      <c r="G260" s="154"/>
      <c r="H260" s="100"/>
      <c r="I260" s="357"/>
      <c r="J260" s="156"/>
      <c r="K260" s="154"/>
      <c r="L260" s="100"/>
      <c r="M260" s="357"/>
      <c r="N260" s="156"/>
      <c r="O260" s="154"/>
      <c r="P260" s="100"/>
      <c r="Q260" s="357"/>
      <c r="R260" s="156"/>
      <c r="S260" s="154"/>
      <c r="T260" s="100"/>
      <c r="U260" s="357"/>
      <c r="V260" s="156"/>
      <c r="W260" s="154"/>
      <c r="X260" s="100"/>
      <c r="Y260" s="357"/>
      <c r="Z260" s="100"/>
      <c r="AA260" s="100"/>
      <c r="AB260" s="100"/>
      <c r="AC260" s="357"/>
      <c r="AD260" s="367"/>
      <c r="AE260" s="368"/>
      <c r="AF260" s="98"/>
      <c r="AG260" s="357"/>
      <c r="AH260" s="156"/>
      <c r="AI260" s="305"/>
      <c r="AJ260" s="366"/>
      <c r="AK260" s="357"/>
      <c r="AL260" s="371"/>
      <c r="AM260" s="371"/>
      <c r="AN260" s="371"/>
      <c r="AO260" s="357"/>
      <c r="AP260" s="100"/>
      <c r="AQ260" s="100"/>
      <c r="AR260" s="100"/>
      <c r="AS260" s="357"/>
      <c r="AT260" s="100"/>
      <c r="AU260" s="100"/>
      <c r="AV260" s="100"/>
    </row>
    <row r="261">
      <c r="A261" s="357"/>
      <c r="B261" s="156"/>
      <c r="C261" s="154"/>
      <c r="D261" s="100"/>
      <c r="E261" s="357"/>
      <c r="F261" s="156"/>
      <c r="G261" s="154"/>
      <c r="H261" s="100"/>
      <c r="I261" s="357"/>
      <c r="J261" s="156"/>
      <c r="K261" s="154"/>
      <c r="L261" s="100"/>
      <c r="M261" s="357"/>
      <c r="N261" s="156"/>
      <c r="O261" s="154"/>
      <c r="P261" s="100"/>
      <c r="Q261" s="357"/>
      <c r="R261" s="156"/>
      <c r="S261" s="154"/>
      <c r="T261" s="100"/>
      <c r="U261" s="357"/>
      <c r="V261" s="156"/>
      <c r="W261" s="154"/>
      <c r="X261" s="100"/>
      <c r="Y261" s="357"/>
      <c r="Z261" s="100"/>
      <c r="AA261" s="100"/>
      <c r="AB261" s="100"/>
      <c r="AC261" s="357"/>
      <c r="AD261" s="367"/>
      <c r="AE261" s="368"/>
      <c r="AF261" s="98"/>
      <c r="AG261" s="357"/>
      <c r="AH261" s="156"/>
      <c r="AI261" s="305"/>
      <c r="AJ261" s="366"/>
      <c r="AK261" s="357"/>
      <c r="AL261" s="371"/>
      <c r="AM261" s="371"/>
      <c r="AN261" s="371"/>
      <c r="AO261" s="357"/>
      <c r="AP261" s="100"/>
      <c r="AQ261" s="100"/>
      <c r="AR261" s="100"/>
      <c r="AS261" s="357"/>
      <c r="AT261" s="100"/>
      <c r="AU261" s="100"/>
      <c r="AV261" s="100"/>
    </row>
    <row r="262">
      <c r="A262" s="357"/>
      <c r="B262" s="156"/>
      <c r="C262" s="154"/>
      <c r="D262" s="100"/>
      <c r="E262" s="357"/>
      <c r="F262" s="156"/>
      <c r="G262" s="154"/>
      <c r="H262" s="100"/>
      <c r="I262" s="357"/>
      <c r="J262" s="156"/>
      <c r="K262" s="154"/>
      <c r="L262" s="100"/>
      <c r="M262" s="357"/>
      <c r="N262" s="156"/>
      <c r="O262" s="154"/>
      <c r="P262" s="100"/>
      <c r="Q262" s="357"/>
      <c r="R262" s="156"/>
      <c r="S262" s="154"/>
      <c r="T262" s="100"/>
      <c r="U262" s="357"/>
      <c r="V262" s="156"/>
      <c r="W262" s="154"/>
      <c r="X262" s="100"/>
      <c r="Y262" s="357"/>
      <c r="Z262" s="100"/>
      <c r="AA262" s="100"/>
      <c r="AB262" s="100"/>
      <c r="AC262" s="357"/>
      <c r="AD262" s="367"/>
      <c r="AE262" s="368"/>
      <c r="AF262" s="98"/>
      <c r="AG262" s="357"/>
      <c r="AH262" s="156"/>
      <c r="AI262" s="305"/>
      <c r="AJ262" s="366"/>
      <c r="AK262" s="357"/>
      <c r="AL262" s="371"/>
      <c r="AM262" s="371"/>
      <c r="AN262" s="371"/>
      <c r="AO262" s="357"/>
      <c r="AP262" s="100"/>
      <c r="AQ262" s="100"/>
      <c r="AR262" s="100"/>
      <c r="AS262" s="357"/>
      <c r="AT262" s="100"/>
      <c r="AU262" s="100"/>
      <c r="AV262" s="100"/>
    </row>
    <row r="263">
      <c r="A263" s="357"/>
      <c r="B263" s="156"/>
      <c r="C263" s="154"/>
      <c r="D263" s="100"/>
      <c r="E263" s="357"/>
      <c r="F263" s="156"/>
      <c r="G263" s="154"/>
      <c r="H263" s="100"/>
      <c r="I263" s="357"/>
      <c r="J263" s="156"/>
      <c r="K263" s="154"/>
      <c r="L263" s="100"/>
      <c r="M263" s="357"/>
      <c r="N263" s="156"/>
      <c r="O263" s="154"/>
      <c r="P263" s="100"/>
      <c r="Q263" s="357"/>
      <c r="R263" s="156"/>
      <c r="S263" s="154"/>
      <c r="T263" s="100"/>
      <c r="U263" s="357"/>
      <c r="V263" s="156"/>
      <c r="W263" s="154"/>
      <c r="X263" s="100"/>
      <c r="Y263" s="357"/>
      <c r="Z263" s="100"/>
      <c r="AA263" s="100"/>
      <c r="AB263" s="100"/>
      <c r="AC263" s="357"/>
      <c r="AD263" s="367"/>
      <c r="AE263" s="368"/>
      <c r="AF263" s="98"/>
      <c r="AG263" s="357"/>
      <c r="AH263" s="156"/>
      <c r="AI263" s="305"/>
      <c r="AJ263" s="366"/>
      <c r="AK263" s="357"/>
      <c r="AL263" s="371"/>
      <c r="AM263" s="371"/>
      <c r="AN263" s="371"/>
      <c r="AO263" s="357"/>
      <c r="AP263" s="100"/>
      <c r="AQ263" s="100"/>
      <c r="AR263" s="100"/>
      <c r="AS263" s="357"/>
      <c r="AT263" s="100"/>
      <c r="AU263" s="100"/>
      <c r="AV263" s="100"/>
    </row>
    <row r="264">
      <c r="A264" s="357"/>
      <c r="B264" s="156"/>
      <c r="C264" s="154"/>
      <c r="D264" s="100"/>
      <c r="E264" s="357"/>
      <c r="F264" s="156"/>
      <c r="G264" s="154"/>
      <c r="H264" s="100"/>
      <c r="I264" s="357"/>
      <c r="J264" s="156"/>
      <c r="K264" s="154"/>
      <c r="L264" s="100"/>
      <c r="M264" s="357"/>
      <c r="N264" s="156"/>
      <c r="O264" s="154"/>
      <c r="P264" s="100"/>
      <c r="Q264" s="357"/>
      <c r="R264" s="156"/>
      <c r="S264" s="154"/>
      <c r="T264" s="100"/>
      <c r="U264" s="357"/>
      <c r="V264" s="156"/>
      <c r="W264" s="154"/>
      <c r="X264" s="100"/>
      <c r="Y264" s="357"/>
      <c r="Z264" s="100"/>
      <c r="AA264" s="100"/>
      <c r="AB264" s="100"/>
      <c r="AC264" s="357"/>
      <c r="AD264" s="367"/>
      <c r="AE264" s="368"/>
      <c r="AF264" s="98"/>
      <c r="AG264" s="357"/>
      <c r="AH264" s="156"/>
      <c r="AI264" s="305"/>
      <c r="AJ264" s="366"/>
      <c r="AK264" s="357"/>
      <c r="AL264" s="371"/>
      <c r="AM264" s="371"/>
      <c r="AN264" s="371"/>
      <c r="AO264" s="357"/>
      <c r="AP264" s="100"/>
      <c r="AQ264" s="100"/>
      <c r="AR264" s="100"/>
      <c r="AS264" s="357"/>
      <c r="AT264" s="100"/>
      <c r="AU264" s="100"/>
      <c r="AV264" s="100"/>
    </row>
    <row r="265">
      <c r="A265" s="357"/>
      <c r="B265" s="156"/>
      <c r="C265" s="154"/>
      <c r="D265" s="100"/>
      <c r="E265" s="357"/>
      <c r="F265" s="156"/>
      <c r="G265" s="154"/>
      <c r="H265" s="100"/>
      <c r="I265" s="357"/>
      <c r="J265" s="156"/>
      <c r="K265" s="154"/>
      <c r="L265" s="100"/>
      <c r="M265" s="357"/>
      <c r="N265" s="156"/>
      <c r="O265" s="154"/>
      <c r="P265" s="100"/>
      <c r="Q265" s="357"/>
      <c r="R265" s="156"/>
      <c r="S265" s="154"/>
      <c r="T265" s="100"/>
      <c r="U265" s="357"/>
      <c r="V265" s="156"/>
      <c r="W265" s="154"/>
      <c r="X265" s="100"/>
      <c r="Y265" s="357"/>
      <c r="Z265" s="100"/>
      <c r="AA265" s="100"/>
      <c r="AB265" s="100"/>
      <c r="AC265" s="357"/>
      <c r="AD265" s="367"/>
      <c r="AE265" s="368"/>
      <c r="AF265" s="98"/>
      <c r="AG265" s="357"/>
      <c r="AH265" s="156"/>
      <c r="AI265" s="305"/>
      <c r="AJ265" s="366"/>
      <c r="AK265" s="357"/>
      <c r="AL265" s="371"/>
      <c r="AM265" s="371"/>
      <c r="AN265" s="371"/>
      <c r="AO265" s="357"/>
      <c r="AP265" s="100"/>
      <c r="AQ265" s="100"/>
      <c r="AR265" s="100"/>
      <c r="AS265" s="357"/>
      <c r="AT265" s="100"/>
      <c r="AU265" s="100"/>
      <c r="AV265" s="100"/>
    </row>
    <row r="266">
      <c r="A266" s="357"/>
      <c r="B266" s="156"/>
      <c r="C266" s="154"/>
      <c r="D266" s="100"/>
      <c r="E266" s="357"/>
      <c r="F266" s="156"/>
      <c r="G266" s="154"/>
      <c r="H266" s="100"/>
      <c r="I266" s="357"/>
      <c r="J266" s="156"/>
      <c r="K266" s="154"/>
      <c r="L266" s="100"/>
      <c r="M266" s="357"/>
      <c r="N266" s="156"/>
      <c r="O266" s="154"/>
      <c r="P266" s="100"/>
      <c r="Q266" s="357"/>
      <c r="R266" s="156"/>
      <c r="S266" s="154"/>
      <c r="T266" s="100"/>
      <c r="U266" s="357"/>
      <c r="V266" s="156"/>
      <c r="W266" s="154"/>
      <c r="X266" s="100"/>
      <c r="Y266" s="357"/>
      <c r="Z266" s="100"/>
      <c r="AA266" s="100"/>
      <c r="AB266" s="100"/>
      <c r="AC266" s="357"/>
      <c r="AD266" s="367"/>
      <c r="AE266" s="368"/>
      <c r="AF266" s="98"/>
      <c r="AG266" s="357"/>
      <c r="AH266" s="156"/>
      <c r="AI266" s="305"/>
      <c r="AJ266" s="366"/>
      <c r="AK266" s="357"/>
      <c r="AL266" s="371"/>
      <c r="AM266" s="371"/>
      <c r="AN266" s="371"/>
      <c r="AO266" s="357"/>
      <c r="AP266" s="100"/>
      <c r="AQ266" s="100"/>
      <c r="AR266" s="100"/>
      <c r="AS266" s="357"/>
      <c r="AT266" s="100"/>
      <c r="AU266" s="100"/>
      <c r="AV266" s="100"/>
    </row>
    <row r="267">
      <c r="A267" s="357"/>
      <c r="B267" s="156"/>
      <c r="C267" s="154"/>
      <c r="D267" s="100"/>
      <c r="E267" s="357"/>
      <c r="F267" s="156"/>
      <c r="G267" s="154"/>
      <c r="H267" s="100"/>
      <c r="I267" s="357"/>
      <c r="J267" s="156"/>
      <c r="K267" s="154"/>
      <c r="L267" s="100"/>
      <c r="M267" s="357"/>
      <c r="N267" s="156"/>
      <c r="O267" s="154"/>
      <c r="P267" s="100"/>
      <c r="Q267" s="357"/>
      <c r="R267" s="156"/>
      <c r="S267" s="154"/>
      <c r="T267" s="100"/>
      <c r="U267" s="357"/>
      <c r="V267" s="156"/>
      <c r="W267" s="154"/>
      <c r="X267" s="100"/>
      <c r="Y267" s="357"/>
      <c r="Z267" s="100"/>
      <c r="AA267" s="100"/>
      <c r="AB267" s="100"/>
      <c r="AC267" s="357"/>
      <c r="AD267" s="367"/>
      <c r="AE267" s="368"/>
      <c r="AF267" s="98"/>
      <c r="AG267" s="357"/>
      <c r="AH267" s="156"/>
      <c r="AI267" s="305"/>
      <c r="AJ267" s="366"/>
      <c r="AK267" s="357"/>
      <c r="AL267" s="371"/>
      <c r="AM267" s="371"/>
      <c r="AN267" s="371"/>
      <c r="AO267" s="357"/>
      <c r="AP267" s="100"/>
      <c r="AQ267" s="100"/>
      <c r="AR267" s="100"/>
      <c r="AS267" s="357"/>
      <c r="AT267" s="100"/>
      <c r="AU267" s="100"/>
      <c r="AV267" s="100"/>
    </row>
    <row r="268">
      <c r="A268" s="357"/>
      <c r="B268" s="156"/>
      <c r="C268" s="154"/>
      <c r="D268" s="100"/>
      <c r="E268" s="357"/>
      <c r="F268" s="156"/>
      <c r="G268" s="154"/>
      <c r="H268" s="100"/>
      <c r="I268" s="357"/>
      <c r="J268" s="156"/>
      <c r="K268" s="154"/>
      <c r="L268" s="100"/>
      <c r="M268" s="357"/>
      <c r="N268" s="156"/>
      <c r="O268" s="154"/>
      <c r="P268" s="100"/>
      <c r="Q268" s="357"/>
      <c r="R268" s="156"/>
      <c r="S268" s="154"/>
      <c r="T268" s="100"/>
      <c r="U268" s="357"/>
      <c r="V268" s="156"/>
      <c r="W268" s="154"/>
      <c r="X268" s="100"/>
      <c r="Y268" s="357"/>
      <c r="Z268" s="100"/>
      <c r="AA268" s="100"/>
      <c r="AB268" s="100"/>
      <c r="AC268" s="357"/>
      <c r="AD268" s="367"/>
      <c r="AE268" s="368"/>
      <c r="AF268" s="98"/>
      <c r="AG268" s="357"/>
      <c r="AH268" s="156"/>
      <c r="AI268" s="305"/>
      <c r="AJ268" s="366"/>
      <c r="AK268" s="357"/>
      <c r="AL268" s="371"/>
      <c r="AM268" s="371"/>
      <c r="AN268" s="371"/>
      <c r="AO268" s="357"/>
      <c r="AP268" s="100"/>
      <c r="AQ268" s="100"/>
      <c r="AR268" s="100"/>
      <c r="AS268" s="357"/>
      <c r="AT268" s="100"/>
      <c r="AU268" s="100"/>
      <c r="AV268" s="100"/>
    </row>
    <row r="269">
      <c r="A269" s="357"/>
      <c r="B269" s="156"/>
      <c r="C269" s="154"/>
      <c r="D269" s="100"/>
      <c r="E269" s="357"/>
      <c r="F269" s="156"/>
      <c r="G269" s="154"/>
      <c r="H269" s="100"/>
      <c r="I269" s="357"/>
      <c r="J269" s="156"/>
      <c r="K269" s="154"/>
      <c r="L269" s="100"/>
      <c r="M269" s="357"/>
      <c r="N269" s="156"/>
      <c r="O269" s="154"/>
      <c r="P269" s="100"/>
      <c r="Q269" s="357"/>
      <c r="R269" s="156"/>
      <c r="S269" s="154"/>
      <c r="T269" s="100"/>
      <c r="U269" s="357"/>
      <c r="V269" s="156"/>
      <c r="W269" s="154"/>
      <c r="X269" s="100"/>
      <c r="Y269" s="357"/>
      <c r="Z269" s="100"/>
      <c r="AA269" s="100"/>
      <c r="AB269" s="100"/>
      <c r="AC269" s="357"/>
      <c r="AD269" s="367"/>
      <c r="AE269" s="368"/>
      <c r="AF269" s="98"/>
      <c r="AG269" s="357"/>
      <c r="AH269" s="156"/>
      <c r="AI269" s="305"/>
      <c r="AJ269" s="366"/>
      <c r="AK269" s="357"/>
      <c r="AL269" s="371"/>
      <c r="AM269" s="371"/>
      <c r="AN269" s="371"/>
      <c r="AO269" s="357"/>
      <c r="AP269" s="100"/>
      <c r="AQ269" s="100"/>
      <c r="AR269" s="100"/>
      <c r="AS269" s="357"/>
      <c r="AT269" s="100"/>
      <c r="AU269" s="100"/>
      <c r="AV269" s="100"/>
    </row>
    <row r="270">
      <c r="A270" s="357"/>
      <c r="B270" s="156"/>
      <c r="C270" s="154"/>
      <c r="D270" s="100"/>
      <c r="E270" s="357"/>
      <c r="F270" s="156"/>
      <c r="G270" s="154"/>
      <c r="H270" s="100"/>
      <c r="I270" s="357"/>
      <c r="J270" s="156"/>
      <c r="K270" s="154"/>
      <c r="L270" s="100"/>
      <c r="M270" s="357"/>
      <c r="N270" s="156"/>
      <c r="O270" s="154"/>
      <c r="P270" s="100"/>
      <c r="Q270" s="357"/>
      <c r="R270" s="156"/>
      <c r="S270" s="154"/>
      <c r="T270" s="100"/>
      <c r="U270" s="357"/>
      <c r="V270" s="156"/>
      <c r="W270" s="154"/>
      <c r="X270" s="100"/>
      <c r="Y270" s="357"/>
      <c r="Z270" s="100"/>
      <c r="AA270" s="100"/>
      <c r="AB270" s="100"/>
      <c r="AC270" s="357"/>
      <c r="AD270" s="367"/>
      <c r="AE270" s="368"/>
      <c r="AF270" s="98"/>
      <c r="AG270" s="357"/>
      <c r="AH270" s="156"/>
      <c r="AI270" s="305"/>
      <c r="AJ270" s="366"/>
      <c r="AK270" s="357"/>
      <c r="AL270" s="371"/>
      <c r="AM270" s="371"/>
      <c r="AN270" s="371"/>
      <c r="AO270" s="357"/>
      <c r="AP270" s="100"/>
      <c r="AQ270" s="100"/>
      <c r="AR270" s="100"/>
      <c r="AS270" s="357"/>
      <c r="AT270" s="100"/>
      <c r="AU270" s="100"/>
      <c r="AV270" s="100"/>
    </row>
    <row r="271">
      <c r="A271" s="357"/>
      <c r="B271" s="156"/>
      <c r="C271" s="154"/>
      <c r="D271" s="100"/>
      <c r="E271" s="357"/>
      <c r="F271" s="156"/>
      <c r="G271" s="154"/>
      <c r="H271" s="100"/>
      <c r="I271" s="357"/>
      <c r="J271" s="156"/>
      <c r="K271" s="154"/>
      <c r="L271" s="100"/>
      <c r="M271" s="357"/>
      <c r="N271" s="156"/>
      <c r="O271" s="154"/>
      <c r="P271" s="100"/>
      <c r="Q271" s="357"/>
      <c r="R271" s="156"/>
      <c r="S271" s="154"/>
      <c r="T271" s="100"/>
      <c r="U271" s="357"/>
      <c r="V271" s="156"/>
      <c r="W271" s="154"/>
      <c r="X271" s="100"/>
      <c r="Y271" s="357"/>
      <c r="Z271" s="100"/>
      <c r="AA271" s="100"/>
      <c r="AB271" s="100"/>
      <c r="AC271" s="357"/>
      <c r="AD271" s="367"/>
      <c r="AE271" s="368"/>
      <c r="AF271" s="98"/>
      <c r="AG271" s="357"/>
      <c r="AH271" s="156"/>
      <c r="AI271" s="305"/>
      <c r="AJ271" s="366"/>
      <c r="AK271" s="357"/>
      <c r="AL271" s="371"/>
      <c r="AM271" s="371"/>
      <c r="AN271" s="371"/>
      <c r="AO271" s="357"/>
      <c r="AP271" s="100"/>
      <c r="AQ271" s="100"/>
      <c r="AR271" s="100"/>
      <c r="AS271" s="357"/>
      <c r="AT271" s="100"/>
      <c r="AU271" s="100"/>
      <c r="AV271" s="100"/>
    </row>
    <row r="272">
      <c r="A272" s="357"/>
      <c r="B272" s="156"/>
      <c r="C272" s="154"/>
      <c r="D272" s="100"/>
      <c r="E272" s="357"/>
      <c r="F272" s="156"/>
      <c r="G272" s="154"/>
      <c r="H272" s="100"/>
      <c r="I272" s="357"/>
      <c r="J272" s="156"/>
      <c r="K272" s="154"/>
      <c r="L272" s="100"/>
      <c r="M272" s="357"/>
      <c r="N272" s="156"/>
      <c r="O272" s="154"/>
      <c r="P272" s="100"/>
      <c r="Q272" s="357"/>
      <c r="R272" s="156"/>
      <c r="S272" s="154"/>
      <c r="T272" s="100"/>
      <c r="U272" s="357"/>
      <c r="V272" s="156"/>
      <c r="W272" s="154"/>
      <c r="X272" s="100"/>
      <c r="Y272" s="357"/>
      <c r="Z272" s="100"/>
      <c r="AA272" s="100"/>
      <c r="AB272" s="100"/>
      <c r="AC272" s="357"/>
      <c r="AD272" s="367"/>
      <c r="AE272" s="368"/>
      <c r="AF272" s="98"/>
      <c r="AG272" s="357"/>
      <c r="AH272" s="156"/>
      <c r="AI272" s="305"/>
      <c r="AJ272" s="366"/>
      <c r="AK272" s="357"/>
      <c r="AL272" s="371"/>
      <c r="AM272" s="371"/>
      <c r="AN272" s="371"/>
      <c r="AO272" s="357"/>
      <c r="AP272" s="100"/>
      <c r="AQ272" s="100"/>
      <c r="AR272" s="100"/>
      <c r="AS272" s="357"/>
      <c r="AT272" s="100"/>
      <c r="AU272" s="100"/>
      <c r="AV272" s="100"/>
    </row>
    <row r="273">
      <c r="A273" s="357"/>
      <c r="B273" s="156"/>
      <c r="C273" s="154"/>
      <c r="D273" s="100"/>
      <c r="E273" s="357"/>
      <c r="F273" s="156"/>
      <c r="G273" s="154"/>
      <c r="H273" s="100"/>
      <c r="I273" s="357"/>
      <c r="J273" s="156"/>
      <c r="K273" s="154"/>
      <c r="L273" s="100"/>
      <c r="M273" s="357"/>
      <c r="N273" s="156"/>
      <c r="O273" s="154"/>
      <c r="P273" s="100"/>
      <c r="Q273" s="357"/>
      <c r="R273" s="156"/>
      <c r="S273" s="154"/>
      <c r="T273" s="100"/>
      <c r="U273" s="357"/>
      <c r="V273" s="156"/>
      <c r="W273" s="154"/>
      <c r="X273" s="100"/>
      <c r="Y273" s="357"/>
      <c r="Z273" s="100"/>
      <c r="AA273" s="100"/>
      <c r="AB273" s="100"/>
      <c r="AC273" s="357"/>
      <c r="AD273" s="367"/>
      <c r="AE273" s="368"/>
      <c r="AF273" s="98"/>
      <c r="AG273" s="357"/>
      <c r="AH273" s="156"/>
      <c r="AI273" s="305"/>
      <c r="AJ273" s="366"/>
      <c r="AK273" s="357"/>
      <c r="AL273" s="371"/>
      <c r="AM273" s="371"/>
      <c r="AN273" s="371"/>
      <c r="AO273" s="357"/>
      <c r="AP273" s="100"/>
      <c r="AQ273" s="100"/>
      <c r="AR273" s="100"/>
      <c r="AS273" s="357"/>
      <c r="AT273" s="100"/>
      <c r="AU273" s="100"/>
      <c r="AV273" s="100"/>
    </row>
    <row r="274">
      <c r="A274" s="357"/>
      <c r="B274" s="156"/>
      <c r="C274" s="154"/>
      <c r="D274" s="100"/>
      <c r="E274" s="357"/>
      <c r="F274" s="156"/>
      <c r="G274" s="154"/>
      <c r="H274" s="100"/>
      <c r="I274" s="357"/>
      <c r="J274" s="156"/>
      <c r="K274" s="154"/>
      <c r="L274" s="100"/>
      <c r="M274" s="357"/>
      <c r="N274" s="156"/>
      <c r="O274" s="154"/>
      <c r="P274" s="100"/>
      <c r="Q274" s="357"/>
      <c r="R274" s="156"/>
      <c r="S274" s="154"/>
      <c r="T274" s="100"/>
      <c r="U274" s="357"/>
      <c r="V274" s="156"/>
      <c r="W274" s="154"/>
      <c r="X274" s="100"/>
      <c r="Y274" s="357"/>
      <c r="Z274" s="100"/>
      <c r="AA274" s="100"/>
      <c r="AB274" s="100"/>
      <c r="AC274" s="357"/>
      <c r="AD274" s="367"/>
      <c r="AE274" s="368"/>
      <c r="AF274" s="98"/>
      <c r="AG274" s="357"/>
      <c r="AH274" s="156"/>
      <c r="AI274" s="305"/>
      <c r="AJ274" s="366"/>
      <c r="AK274" s="357"/>
      <c r="AL274" s="371"/>
      <c r="AM274" s="371"/>
      <c r="AN274" s="371"/>
      <c r="AO274" s="357"/>
      <c r="AP274" s="100"/>
      <c r="AQ274" s="100"/>
      <c r="AR274" s="100"/>
      <c r="AS274" s="357"/>
      <c r="AT274" s="100"/>
      <c r="AU274" s="100"/>
      <c r="AV274" s="100"/>
    </row>
    <row r="275">
      <c r="A275" s="357"/>
      <c r="B275" s="156"/>
      <c r="C275" s="154"/>
      <c r="D275" s="100"/>
      <c r="E275" s="357"/>
      <c r="F275" s="156"/>
      <c r="G275" s="154"/>
      <c r="H275" s="100"/>
      <c r="I275" s="357"/>
      <c r="J275" s="156"/>
      <c r="K275" s="154"/>
      <c r="L275" s="100"/>
      <c r="M275" s="357"/>
      <c r="N275" s="156"/>
      <c r="O275" s="154"/>
      <c r="P275" s="100"/>
      <c r="Q275" s="357"/>
      <c r="R275" s="156"/>
      <c r="S275" s="154"/>
      <c r="T275" s="100"/>
      <c r="U275" s="357"/>
      <c r="V275" s="156"/>
      <c r="W275" s="154"/>
      <c r="X275" s="100"/>
      <c r="Y275" s="357"/>
      <c r="Z275" s="100"/>
      <c r="AA275" s="100"/>
      <c r="AB275" s="100"/>
      <c r="AC275" s="357"/>
      <c r="AD275" s="367"/>
      <c r="AE275" s="368"/>
      <c r="AF275" s="98"/>
      <c r="AG275" s="357"/>
      <c r="AH275" s="156"/>
      <c r="AI275" s="305"/>
      <c r="AJ275" s="366"/>
      <c r="AK275" s="357"/>
      <c r="AL275" s="371"/>
      <c r="AM275" s="371"/>
      <c r="AN275" s="371"/>
      <c r="AO275" s="357"/>
      <c r="AP275" s="100"/>
      <c r="AQ275" s="100"/>
      <c r="AR275" s="100"/>
      <c r="AS275" s="357"/>
      <c r="AT275" s="100"/>
      <c r="AU275" s="100"/>
      <c r="AV275" s="100"/>
    </row>
    <row r="276">
      <c r="A276" s="357"/>
      <c r="B276" s="156"/>
      <c r="C276" s="154"/>
      <c r="D276" s="100"/>
      <c r="E276" s="357"/>
      <c r="F276" s="156"/>
      <c r="G276" s="154"/>
      <c r="H276" s="100"/>
      <c r="I276" s="357"/>
      <c r="J276" s="156"/>
      <c r="K276" s="154"/>
      <c r="L276" s="100"/>
      <c r="M276" s="357"/>
      <c r="N276" s="156"/>
      <c r="O276" s="154"/>
      <c r="P276" s="100"/>
      <c r="Q276" s="357"/>
      <c r="R276" s="156"/>
      <c r="S276" s="154"/>
      <c r="T276" s="100"/>
      <c r="U276" s="357"/>
      <c r="V276" s="156"/>
      <c r="W276" s="154"/>
      <c r="X276" s="100"/>
      <c r="Y276" s="357"/>
      <c r="Z276" s="100"/>
      <c r="AA276" s="100"/>
      <c r="AB276" s="100"/>
      <c r="AC276" s="357"/>
      <c r="AD276" s="367"/>
      <c r="AE276" s="368"/>
      <c r="AF276" s="98"/>
      <c r="AG276" s="357"/>
      <c r="AH276" s="156"/>
      <c r="AI276" s="305"/>
      <c r="AJ276" s="366"/>
      <c r="AK276" s="357"/>
      <c r="AL276" s="371"/>
      <c r="AM276" s="371"/>
      <c r="AN276" s="371"/>
      <c r="AO276" s="357"/>
      <c r="AP276" s="100"/>
      <c r="AQ276" s="100"/>
      <c r="AR276" s="100"/>
      <c r="AS276" s="357"/>
      <c r="AT276" s="100"/>
      <c r="AU276" s="100"/>
      <c r="AV276" s="100"/>
    </row>
    <row r="277">
      <c r="A277" s="357"/>
      <c r="B277" s="156"/>
      <c r="C277" s="154"/>
      <c r="D277" s="100"/>
      <c r="E277" s="357"/>
      <c r="F277" s="156"/>
      <c r="G277" s="154"/>
      <c r="H277" s="100"/>
      <c r="I277" s="357"/>
      <c r="J277" s="156"/>
      <c r="K277" s="154"/>
      <c r="L277" s="100"/>
      <c r="M277" s="357"/>
      <c r="N277" s="156"/>
      <c r="O277" s="154"/>
      <c r="P277" s="100"/>
      <c r="Q277" s="357"/>
      <c r="R277" s="156"/>
      <c r="S277" s="154"/>
      <c r="T277" s="100"/>
      <c r="U277" s="357"/>
      <c r="V277" s="156"/>
      <c r="W277" s="154"/>
      <c r="X277" s="100"/>
      <c r="Y277" s="357"/>
      <c r="Z277" s="100"/>
      <c r="AA277" s="100"/>
      <c r="AB277" s="100"/>
      <c r="AC277" s="357"/>
      <c r="AD277" s="367"/>
      <c r="AE277" s="368"/>
      <c r="AF277" s="98"/>
      <c r="AG277" s="357"/>
      <c r="AH277" s="156"/>
      <c r="AI277" s="305"/>
      <c r="AJ277" s="366"/>
      <c r="AK277" s="357"/>
      <c r="AL277" s="371"/>
      <c r="AM277" s="371"/>
      <c r="AN277" s="371"/>
      <c r="AO277" s="357"/>
      <c r="AP277" s="100"/>
      <c r="AQ277" s="100"/>
      <c r="AR277" s="100"/>
      <c r="AS277" s="357"/>
      <c r="AT277" s="100"/>
      <c r="AU277" s="100"/>
      <c r="AV277" s="100"/>
    </row>
    <row r="278">
      <c r="A278" s="357"/>
      <c r="B278" s="156"/>
      <c r="C278" s="154"/>
      <c r="D278" s="100"/>
      <c r="E278" s="357"/>
      <c r="F278" s="156"/>
      <c r="G278" s="154"/>
      <c r="H278" s="100"/>
      <c r="I278" s="357"/>
      <c r="J278" s="156"/>
      <c r="K278" s="154"/>
      <c r="L278" s="100"/>
      <c r="M278" s="357"/>
      <c r="N278" s="156"/>
      <c r="O278" s="154"/>
      <c r="P278" s="100"/>
      <c r="Q278" s="357"/>
      <c r="R278" s="156"/>
      <c r="S278" s="154"/>
      <c r="T278" s="100"/>
      <c r="U278" s="357"/>
      <c r="V278" s="156"/>
      <c r="W278" s="154"/>
      <c r="X278" s="100"/>
      <c r="Y278" s="357"/>
      <c r="Z278" s="100"/>
      <c r="AA278" s="100"/>
      <c r="AB278" s="100"/>
      <c r="AC278" s="357"/>
      <c r="AD278" s="367"/>
      <c r="AE278" s="368"/>
      <c r="AF278" s="98"/>
      <c r="AG278" s="357"/>
      <c r="AH278" s="156"/>
      <c r="AI278" s="305"/>
      <c r="AJ278" s="366"/>
      <c r="AK278" s="357"/>
      <c r="AL278" s="371"/>
      <c r="AM278" s="371"/>
      <c r="AN278" s="371"/>
      <c r="AO278" s="357"/>
      <c r="AP278" s="100"/>
      <c r="AQ278" s="100"/>
      <c r="AR278" s="100"/>
      <c r="AS278" s="357"/>
      <c r="AT278" s="100"/>
      <c r="AU278" s="100"/>
      <c r="AV278" s="100"/>
    </row>
    <row r="279">
      <c r="A279" s="357"/>
      <c r="B279" s="156"/>
      <c r="C279" s="154"/>
      <c r="D279" s="100"/>
      <c r="E279" s="357"/>
      <c r="F279" s="156"/>
      <c r="G279" s="154"/>
      <c r="H279" s="100"/>
      <c r="I279" s="357"/>
      <c r="J279" s="156"/>
      <c r="K279" s="154"/>
      <c r="L279" s="100"/>
      <c r="M279" s="357"/>
      <c r="N279" s="156"/>
      <c r="O279" s="154"/>
      <c r="P279" s="100"/>
      <c r="Q279" s="357"/>
      <c r="R279" s="156"/>
      <c r="S279" s="154"/>
      <c r="T279" s="100"/>
      <c r="U279" s="357"/>
      <c r="V279" s="156"/>
      <c r="W279" s="154"/>
      <c r="X279" s="100"/>
      <c r="Y279" s="357"/>
      <c r="Z279" s="100"/>
      <c r="AA279" s="100"/>
      <c r="AB279" s="100"/>
      <c r="AC279" s="357"/>
      <c r="AD279" s="367"/>
      <c r="AE279" s="368"/>
      <c r="AF279" s="98"/>
      <c r="AG279" s="357"/>
      <c r="AH279" s="156"/>
      <c r="AI279" s="305"/>
      <c r="AJ279" s="366"/>
      <c r="AK279" s="357"/>
      <c r="AL279" s="371"/>
      <c r="AM279" s="371"/>
      <c r="AN279" s="371"/>
      <c r="AO279" s="357"/>
      <c r="AP279" s="100"/>
      <c r="AQ279" s="100"/>
      <c r="AR279" s="100"/>
      <c r="AS279" s="357"/>
      <c r="AT279" s="100"/>
      <c r="AU279" s="100"/>
      <c r="AV279" s="100"/>
    </row>
    <row r="280">
      <c r="A280" s="357"/>
      <c r="B280" s="156"/>
      <c r="C280" s="154"/>
      <c r="D280" s="100"/>
      <c r="E280" s="357"/>
      <c r="F280" s="156"/>
      <c r="G280" s="154"/>
      <c r="H280" s="100"/>
      <c r="I280" s="357"/>
      <c r="J280" s="156"/>
      <c r="K280" s="154"/>
      <c r="L280" s="100"/>
      <c r="M280" s="357"/>
      <c r="N280" s="156"/>
      <c r="O280" s="154"/>
      <c r="P280" s="100"/>
      <c r="Q280" s="357"/>
      <c r="R280" s="156"/>
      <c r="S280" s="154"/>
      <c r="T280" s="100"/>
      <c r="U280" s="357"/>
      <c r="V280" s="156"/>
      <c r="W280" s="154"/>
      <c r="X280" s="100"/>
      <c r="Y280" s="357"/>
      <c r="Z280" s="100"/>
      <c r="AA280" s="100"/>
      <c r="AB280" s="100"/>
      <c r="AC280" s="357"/>
      <c r="AD280" s="367"/>
      <c r="AE280" s="368"/>
      <c r="AF280" s="98"/>
      <c r="AG280" s="357"/>
      <c r="AH280" s="156"/>
      <c r="AI280" s="305"/>
      <c r="AJ280" s="366"/>
      <c r="AK280" s="357"/>
      <c r="AL280" s="371"/>
      <c r="AM280" s="371"/>
      <c r="AN280" s="371"/>
      <c r="AO280" s="357"/>
      <c r="AP280" s="100"/>
      <c r="AQ280" s="100"/>
      <c r="AR280" s="100"/>
      <c r="AS280" s="357"/>
      <c r="AT280" s="100"/>
      <c r="AU280" s="100"/>
      <c r="AV280" s="100"/>
    </row>
    <row r="281">
      <c r="A281" s="357"/>
      <c r="B281" s="156"/>
      <c r="C281" s="154"/>
      <c r="D281" s="100"/>
      <c r="E281" s="357"/>
      <c r="F281" s="156"/>
      <c r="G281" s="154"/>
      <c r="H281" s="100"/>
      <c r="I281" s="357"/>
      <c r="J281" s="156"/>
      <c r="K281" s="154"/>
      <c r="L281" s="100"/>
      <c r="M281" s="357"/>
      <c r="N281" s="156"/>
      <c r="O281" s="154"/>
      <c r="P281" s="100"/>
      <c r="Q281" s="357"/>
      <c r="R281" s="156"/>
      <c r="S281" s="154"/>
      <c r="T281" s="100"/>
      <c r="U281" s="357"/>
      <c r="V281" s="156"/>
      <c r="W281" s="154"/>
      <c r="X281" s="100"/>
      <c r="Y281" s="357"/>
      <c r="Z281" s="100"/>
      <c r="AA281" s="100"/>
      <c r="AB281" s="100"/>
      <c r="AC281" s="357"/>
      <c r="AD281" s="367"/>
      <c r="AE281" s="368"/>
      <c r="AF281" s="98"/>
      <c r="AG281" s="357"/>
      <c r="AH281" s="156"/>
      <c r="AI281" s="305"/>
      <c r="AJ281" s="366"/>
      <c r="AK281" s="357"/>
      <c r="AL281" s="371"/>
      <c r="AM281" s="371"/>
      <c r="AN281" s="371"/>
      <c r="AO281" s="357"/>
      <c r="AP281" s="100"/>
      <c r="AQ281" s="100"/>
      <c r="AR281" s="100"/>
      <c r="AS281" s="357"/>
      <c r="AT281" s="100"/>
      <c r="AU281" s="100"/>
      <c r="AV281" s="100"/>
    </row>
    <row r="282">
      <c r="A282" s="357"/>
      <c r="B282" s="156"/>
      <c r="C282" s="154"/>
      <c r="D282" s="100"/>
      <c r="E282" s="357"/>
      <c r="F282" s="156"/>
      <c r="G282" s="154"/>
      <c r="H282" s="100"/>
      <c r="I282" s="357"/>
      <c r="J282" s="156"/>
      <c r="K282" s="154"/>
      <c r="L282" s="100"/>
      <c r="M282" s="357"/>
      <c r="N282" s="156"/>
      <c r="O282" s="154"/>
      <c r="P282" s="100"/>
      <c r="Q282" s="357"/>
      <c r="R282" s="156"/>
      <c r="S282" s="154"/>
      <c r="T282" s="100"/>
      <c r="U282" s="357"/>
      <c r="V282" s="156"/>
      <c r="W282" s="154"/>
      <c r="X282" s="100"/>
      <c r="Y282" s="357"/>
      <c r="Z282" s="100"/>
      <c r="AA282" s="100"/>
      <c r="AB282" s="100"/>
      <c r="AC282" s="357"/>
      <c r="AD282" s="367"/>
      <c r="AE282" s="368"/>
      <c r="AF282" s="98"/>
      <c r="AG282" s="357"/>
      <c r="AH282" s="156"/>
      <c r="AI282" s="305"/>
      <c r="AJ282" s="366"/>
      <c r="AK282" s="357"/>
      <c r="AL282" s="371"/>
      <c r="AM282" s="371"/>
      <c r="AN282" s="371"/>
      <c r="AO282" s="357"/>
      <c r="AP282" s="100"/>
      <c r="AQ282" s="100"/>
      <c r="AR282" s="100"/>
      <c r="AS282" s="357"/>
      <c r="AT282" s="100"/>
      <c r="AU282" s="100"/>
      <c r="AV282" s="100"/>
    </row>
    <row r="283">
      <c r="A283" s="357"/>
      <c r="B283" s="156"/>
      <c r="C283" s="154"/>
      <c r="D283" s="100"/>
      <c r="E283" s="357"/>
      <c r="F283" s="156"/>
      <c r="G283" s="154"/>
      <c r="H283" s="100"/>
      <c r="I283" s="357"/>
      <c r="J283" s="156"/>
      <c r="K283" s="154"/>
      <c r="L283" s="100"/>
      <c r="M283" s="357"/>
      <c r="N283" s="156"/>
      <c r="O283" s="154"/>
      <c r="P283" s="100"/>
      <c r="Q283" s="357"/>
      <c r="R283" s="156"/>
      <c r="S283" s="154"/>
      <c r="T283" s="100"/>
      <c r="U283" s="357"/>
      <c r="V283" s="156"/>
      <c r="W283" s="154"/>
      <c r="X283" s="100"/>
      <c r="Y283" s="357"/>
      <c r="Z283" s="100"/>
      <c r="AA283" s="100"/>
      <c r="AB283" s="100"/>
      <c r="AC283" s="357"/>
      <c r="AD283" s="367"/>
      <c r="AE283" s="368"/>
      <c r="AF283" s="98"/>
      <c r="AG283" s="357"/>
      <c r="AH283" s="156"/>
      <c r="AI283" s="305"/>
      <c r="AJ283" s="366"/>
      <c r="AK283" s="357"/>
      <c r="AL283" s="371"/>
      <c r="AM283" s="371"/>
      <c r="AN283" s="371"/>
      <c r="AO283" s="357"/>
      <c r="AP283" s="100"/>
      <c r="AQ283" s="100"/>
      <c r="AR283" s="100"/>
      <c r="AS283" s="357"/>
      <c r="AT283" s="100"/>
      <c r="AU283" s="100"/>
      <c r="AV283" s="100"/>
    </row>
    <row r="284">
      <c r="A284" s="357"/>
      <c r="B284" s="156"/>
      <c r="C284" s="154"/>
      <c r="D284" s="100"/>
      <c r="E284" s="357"/>
      <c r="F284" s="156"/>
      <c r="G284" s="154"/>
      <c r="H284" s="100"/>
      <c r="I284" s="357"/>
      <c r="J284" s="156"/>
      <c r="K284" s="154"/>
      <c r="L284" s="100"/>
      <c r="M284" s="357"/>
      <c r="N284" s="156"/>
      <c r="O284" s="154"/>
      <c r="P284" s="100"/>
      <c r="Q284" s="357"/>
      <c r="R284" s="156"/>
      <c r="S284" s="154"/>
      <c r="T284" s="100"/>
      <c r="U284" s="357"/>
      <c r="V284" s="156"/>
      <c r="W284" s="154"/>
      <c r="X284" s="100"/>
      <c r="Y284" s="357"/>
      <c r="Z284" s="100"/>
      <c r="AA284" s="100"/>
      <c r="AB284" s="100"/>
      <c r="AC284" s="357"/>
      <c r="AD284" s="367"/>
      <c r="AE284" s="368"/>
      <c r="AF284" s="98"/>
      <c r="AG284" s="357"/>
      <c r="AH284" s="156"/>
      <c r="AI284" s="305"/>
      <c r="AJ284" s="366"/>
      <c r="AK284" s="357"/>
      <c r="AL284" s="371"/>
      <c r="AM284" s="371"/>
      <c r="AN284" s="371"/>
      <c r="AO284" s="357"/>
      <c r="AP284" s="100"/>
      <c r="AQ284" s="100"/>
      <c r="AR284" s="100"/>
      <c r="AS284" s="357"/>
      <c r="AT284" s="100"/>
      <c r="AU284" s="100"/>
      <c r="AV284" s="100"/>
    </row>
    <row r="285">
      <c r="A285" s="357"/>
      <c r="B285" s="156"/>
      <c r="C285" s="154"/>
      <c r="D285" s="100"/>
      <c r="E285" s="357"/>
      <c r="F285" s="156"/>
      <c r="G285" s="154"/>
      <c r="H285" s="100"/>
      <c r="I285" s="357"/>
      <c r="J285" s="156"/>
      <c r="K285" s="154"/>
      <c r="L285" s="100"/>
      <c r="M285" s="357"/>
      <c r="N285" s="156"/>
      <c r="O285" s="154"/>
      <c r="P285" s="100"/>
      <c r="Q285" s="357"/>
      <c r="R285" s="156"/>
      <c r="S285" s="154"/>
      <c r="T285" s="100"/>
      <c r="U285" s="357"/>
      <c r="V285" s="156"/>
      <c r="W285" s="154"/>
      <c r="X285" s="100"/>
      <c r="Y285" s="357"/>
      <c r="Z285" s="100"/>
      <c r="AA285" s="100"/>
      <c r="AB285" s="100"/>
      <c r="AC285" s="357"/>
      <c r="AD285" s="367"/>
      <c r="AE285" s="368"/>
      <c r="AF285" s="98"/>
      <c r="AG285" s="357"/>
      <c r="AH285" s="156"/>
      <c r="AI285" s="305"/>
      <c r="AJ285" s="366"/>
      <c r="AK285" s="357"/>
      <c r="AL285" s="371"/>
      <c r="AM285" s="371"/>
      <c r="AN285" s="371"/>
      <c r="AO285" s="357"/>
      <c r="AP285" s="100"/>
      <c r="AQ285" s="100"/>
      <c r="AR285" s="100"/>
      <c r="AS285" s="357"/>
      <c r="AT285" s="100"/>
      <c r="AU285" s="100"/>
      <c r="AV285" s="100"/>
    </row>
    <row r="286">
      <c r="A286" s="357"/>
      <c r="B286" s="156"/>
      <c r="C286" s="154"/>
      <c r="D286" s="100"/>
      <c r="E286" s="357"/>
      <c r="F286" s="156"/>
      <c r="G286" s="154"/>
      <c r="H286" s="100"/>
      <c r="I286" s="357"/>
      <c r="J286" s="156"/>
      <c r="K286" s="154"/>
      <c r="L286" s="100"/>
      <c r="M286" s="357"/>
      <c r="N286" s="156"/>
      <c r="O286" s="154"/>
      <c r="P286" s="100"/>
      <c r="Q286" s="357"/>
      <c r="R286" s="156"/>
      <c r="S286" s="154"/>
      <c r="T286" s="100"/>
      <c r="U286" s="357"/>
      <c r="V286" s="156"/>
      <c r="W286" s="154"/>
      <c r="X286" s="100"/>
      <c r="Y286" s="357"/>
      <c r="Z286" s="100"/>
      <c r="AA286" s="100"/>
      <c r="AB286" s="100"/>
      <c r="AC286" s="357"/>
      <c r="AD286" s="367"/>
      <c r="AE286" s="368"/>
      <c r="AF286" s="98"/>
      <c r="AG286" s="357"/>
      <c r="AH286" s="156"/>
      <c r="AI286" s="305"/>
      <c r="AJ286" s="366"/>
      <c r="AK286" s="357"/>
      <c r="AL286" s="371"/>
      <c r="AM286" s="371"/>
      <c r="AN286" s="371"/>
      <c r="AO286" s="357"/>
      <c r="AP286" s="100"/>
      <c r="AQ286" s="100"/>
      <c r="AR286" s="100"/>
      <c r="AS286" s="357"/>
      <c r="AT286" s="100"/>
      <c r="AU286" s="100"/>
      <c r="AV286" s="100"/>
    </row>
    <row r="287">
      <c r="A287" s="357"/>
      <c r="B287" s="156"/>
      <c r="C287" s="154"/>
      <c r="D287" s="100"/>
      <c r="E287" s="357"/>
      <c r="F287" s="156"/>
      <c r="G287" s="154"/>
      <c r="H287" s="100"/>
      <c r="I287" s="357"/>
      <c r="J287" s="156"/>
      <c r="K287" s="154"/>
      <c r="L287" s="100"/>
      <c r="M287" s="357"/>
      <c r="N287" s="156"/>
      <c r="O287" s="154"/>
      <c r="P287" s="100"/>
      <c r="Q287" s="357"/>
      <c r="R287" s="156"/>
      <c r="S287" s="154"/>
      <c r="T287" s="100"/>
      <c r="U287" s="357"/>
      <c r="V287" s="156"/>
      <c r="W287" s="154"/>
      <c r="X287" s="100"/>
      <c r="Y287" s="357"/>
      <c r="Z287" s="100"/>
      <c r="AA287" s="100"/>
      <c r="AB287" s="100"/>
      <c r="AC287" s="357"/>
      <c r="AD287" s="367"/>
      <c r="AE287" s="368"/>
      <c r="AF287" s="98"/>
      <c r="AG287" s="357"/>
      <c r="AH287" s="156"/>
      <c r="AI287" s="305"/>
      <c r="AJ287" s="366"/>
      <c r="AK287" s="357"/>
      <c r="AL287" s="371"/>
      <c r="AM287" s="371"/>
      <c r="AN287" s="371"/>
      <c r="AO287" s="357"/>
      <c r="AP287" s="100"/>
      <c r="AQ287" s="100"/>
      <c r="AR287" s="100"/>
      <c r="AS287" s="357"/>
      <c r="AT287" s="100"/>
      <c r="AU287" s="100"/>
      <c r="AV287" s="100"/>
    </row>
    <row r="288">
      <c r="A288" s="357"/>
      <c r="B288" s="156"/>
      <c r="C288" s="154"/>
      <c r="D288" s="100"/>
      <c r="E288" s="357"/>
      <c r="F288" s="156"/>
      <c r="G288" s="154"/>
      <c r="H288" s="100"/>
      <c r="I288" s="357"/>
      <c r="J288" s="156"/>
      <c r="K288" s="154"/>
      <c r="L288" s="100"/>
      <c r="M288" s="357"/>
      <c r="N288" s="156"/>
      <c r="O288" s="154"/>
      <c r="P288" s="100"/>
      <c r="Q288" s="357"/>
      <c r="R288" s="156"/>
      <c r="S288" s="154"/>
      <c r="T288" s="100"/>
      <c r="U288" s="357"/>
      <c r="V288" s="156"/>
      <c r="W288" s="154"/>
      <c r="X288" s="100"/>
      <c r="Y288" s="357"/>
      <c r="Z288" s="100"/>
      <c r="AA288" s="100"/>
      <c r="AB288" s="100"/>
      <c r="AC288" s="357"/>
      <c r="AD288" s="367"/>
      <c r="AE288" s="368"/>
      <c r="AF288" s="98"/>
      <c r="AG288" s="357"/>
      <c r="AH288" s="156"/>
      <c r="AI288" s="305"/>
      <c r="AJ288" s="366"/>
      <c r="AK288" s="357"/>
      <c r="AL288" s="371"/>
      <c r="AM288" s="371"/>
      <c r="AN288" s="371"/>
      <c r="AO288" s="357"/>
      <c r="AP288" s="100"/>
      <c r="AQ288" s="100"/>
      <c r="AR288" s="100"/>
      <c r="AS288" s="357"/>
      <c r="AT288" s="100"/>
      <c r="AU288" s="100"/>
      <c r="AV288" s="100"/>
    </row>
    <row r="289">
      <c r="A289" s="357"/>
      <c r="B289" s="156"/>
      <c r="C289" s="154"/>
      <c r="D289" s="100"/>
      <c r="E289" s="357"/>
      <c r="F289" s="156"/>
      <c r="G289" s="154"/>
      <c r="H289" s="100"/>
      <c r="I289" s="357"/>
      <c r="J289" s="156"/>
      <c r="K289" s="154"/>
      <c r="L289" s="100"/>
      <c r="M289" s="357"/>
      <c r="N289" s="156"/>
      <c r="O289" s="154"/>
      <c r="P289" s="100"/>
      <c r="Q289" s="357"/>
      <c r="R289" s="156"/>
      <c r="S289" s="154"/>
      <c r="T289" s="100"/>
      <c r="U289" s="357"/>
      <c r="V289" s="156"/>
      <c r="W289" s="154"/>
      <c r="X289" s="100"/>
      <c r="Y289" s="357"/>
      <c r="Z289" s="100"/>
      <c r="AA289" s="100"/>
      <c r="AB289" s="100"/>
      <c r="AC289" s="357"/>
      <c r="AD289" s="367"/>
      <c r="AE289" s="368"/>
      <c r="AF289" s="98"/>
      <c r="AG289" s="357"/>
      <c r="AH289" s="156"/>
      <c r="AI289" s="305"/>
      <c r="AJ289" s="366"/>
      <c r="AK289" s="357"/>
      <c r="AL289" s="371"/>
      <c r="AM289" s="371"/>
      <c r="AN289" s="371"/>
      <c r="AO289" s="357"/>
      <c r="AP289" s="100"/>
      <c r="AQ289" s="100"/>
      <c r="AR289" s="100"/>
      <c r="AS289" s="357"/>
      <c r="AT289" s="100"/>
      <c r="AU289" s="100"/>
      <c r="AV289" s="100"/>
    </row>
    <row r="290">
      <c r="A290" s="357"/>
      <c r="B290" s="156"/>
      <c r="C290" s="154"/>
      <c r="D290" s="100"/>
      <c r="E290" s="357"/>
      <c r="F290" s="156"/>
      <c r="G290" s="154"/>
      <c r="H290" s="100"/>
      <c r="I290" s="357"/>
      <c r="J290" s="156"/>
      <c r="K290" s="154"/>
      <c r="L290" s="100"/>
      <c r="M290" s="357"/>
      <c r="N290" s="156"/>
      <c r="O290" s="154"/>
      <c r="P290" s="100"/>
      <c r="Q290" s="357"/>
      <c r="R290" s="156"/>
      <c r="S290" s="154"/>
      <c r="T290" s="100"/>
      <c r="U290" s="357"/>
      <c r="V290" s="156"/>
      <c r="W290" s="154"/>
      <c r="X290" s="100"/>
      <c r="Y290" s="357"/>
      <c r="Z290" s="100"/>
      <c r="AA290" s="100"/>
      <c r="AB290" s="100"/>
      <c r="AC290" s="357"/>
      <c r="AD290" s="367"/>
      <c r="AE290" s="368"/>
      <c r="AF290" s="98"/>
      <c r="AG290" s="357"/>
      <c r="AH290" s="156"/>
      <c r="AI290" s="305"/>
      <c r="AJ290" s="366"/>
      <c r="AK290" s="357"/>
      <c r="AL290" s="371"/>
      <c r="AM290" s="371"/>
      <c r="AN290" s="371"/>
      <c r="AO290" s="357"/>
      <c r="AP290" s="100"/>
      <c r="AQ290" s="100"/>
      <c r="AR290" s="100"/>
      <c r="AS290" s="357"/>
      <c r="AT290" s="100"/>
      <c r="AU290" s="100"/>
      <c r="AV290" s="100"/>
    </row>
    <row r="291">
      <c r="A291" s="357"/>
      <c r="B291" s="156"/>
      <c r="C291" s="154"/>
      <c r="D291" s="100"/>
      <c r="E291" s="357"/>
      <c r="F291" s="156"/>
      <c r="G291" s="154"/>
      <c r="H291" s="100"/>
      <c r="I291" s="357"/>
      <c r="J291" s="156"/>
      <c r="K291" s="154"/>
      <c r="L291" s="100"/>
      <c r="M291" s="357"/>
      <c r="N291" s="156"/>
      <c r="O291" s="154"/>
      <c r="P291" s="100"/>
      <c r="Q291" s="357"/>
      <c r="R291" s="156"/>
      <c r="S291" s="154"/>
      <c r="T291" s="100"/>
      <c r="U291" s="357"/>
      <c r="V291" s="156"/>
      <c r="W291" s="154"/>
      <c r="X291" s="100"/>
      <c r="Y291" s="357"/>
      <c r="Z291" s="100"/>
      <c r="AA291" s="100"/>
      <c r="AB291" s="100"/>
      <c r="AC291" s="357"/>
      <c r="AD291" s="367"/>
      <c r="AE291" s="368"/>
      <c r="AF291" s="98"/>
      <c r="AG291" s="357"/>
      <c r="AH291" s="156"/>
      <c r="AI291" s="305"/>
      <c r="AJ291" s="366"/>
      <c r="AK291" s="357"/>
      <c r="AL291" s="371"/>
      <c r="AM291" s="371"/>
      <c r="AN291" s="371"/>
      <c r="AO291" s="357"/>
      <c r="AP291" s="100"/>
      <c r="AQ291" s="100"/>
      <c r="AR291" s="100"/>
      <c r="AS291" s="357"/>
      <c r="AT291" s="100"/>
      <c r="AU291" s="100"/>
      <c r="AV291" s="100"/>
    </row>
    <row r="292">
      <c r="A292" s="357"/>
      <c r="B292" s="156"/>
      <c r="C292" s="154"/>
      <c r="D292" s="100"/>
      <c r="E292" s="357"/>
      <c r="F292" s="156"/>
      <c r="G292" s="154"/>
      <c r="H292" s="100"/>
      <c r="I292" s="357"/>
      <c r="J292" s="156"/>
      <c r="K292" s="154"/>
      <c r="L292" s="100"/>
      <c r="M292" s="357"/>
      <c r="N292" s="156"/>
      <c r="O292" s="154"/>
      <c r="P292" s="100"/>
      <c r="Q292" s="357"/>
      <c r="R292" s="156"/>
      <c r="S292" s="154"/>
      <c r="T292" s="100"/>
      <c r="U292" s="357"/>
      <c r="V292" s="156"/>
      <c r="W292" s="154"/>
      <c r="X292" s="100"/>
      <c r="Y292" s="357"/>
      <c r="Z292" s="100"/>
      <c r="AA292" s="100"/>
      <c r="AB292" s="100"/>
      <c r="AC292" s="357"/>
      <c r="AD292" s="367"/>
      <c r="AE292" s="368"/>
      <c r="AF292" s="98"/>
      <c r="AG292" s="357"/>
      <c r="AH292" s="156"/>
      <c r="AI292" s="305"/>
      <c r="AJ292" s="366"/>
      <c r="AK292" s="357"/>
      <c r="AL292" s="371"/>
      <c r="AM292" s="371"/>
      <c r="AN292" s="371"/>
      <c r="AO292" s="357"/>
      <c r="AP292" s="100"/>
      <c r="AQ292" s="100"/>
      <c r="AR292" s="100"/>
      <c r="AS292" s="357"/>
      <c r="AT292" s="100"/>
      <c r="AU292" s="100"/>
      <c r="AV292" s="100"/>
    </row>
    <row r="293">
      <c r="A293" s="357"/>
      <c r="B293" s="156"/>
      <c r="C293" s="154"/>
      <c r="D293" s="100"/>
      <c r="E293" s="357"/>
      <c r="F293" s="156"/>
      <c r="G293" s="154"/>
      <c r="H293" s="100"/>
      <c r="I293" s="357"/>
      <c r="J293" s="156"/>
      <c r="K293" s="154"/>
      <c r="L293" s="100"/>
      <c r="M293" s="357"/>
      <c r="N293" s="156"/>
      <c r="O293" s="154"/>
      <c r="P293" s="100"/>
      <c r="Q293" s="357"/>
      <c r="R293" s="156"/>
      <c r="S293" s="154"/>
      <c r="T293" s="100"/>
      <c r="U293" s="357"/>
      <c r="V293" s="156"/>
      <c r="W293" s="154"/>
      <c r="X293" s="100"/>
      <c r="Y293" s="357"/>
      <c r="Z293" s="100"/>
      <c r="AA293" s="100"/>
      <c r="AB293" s="100"/>
      <c r="AC293" s="357"/>
      <c r="AD293" s="367"/>
      <c r="AE293" s="368"/>
      <c r="AF293" s="98"/>
      <c r="AG293" s="357"/>
      <c r="AH293" s="156"/>
      <c r="AI293" s="305"/>
      <c r="AJ293" s="366"/>
      <c r="AK293" s="357"/>
      <c r="AL293" s="371"/>
      <c r="AM293" s="371"/>
      <c r="AN293" s="371"/>
      <c r="AO293" s="357"/>
      <c r="AP293" s="100"/>
      <c r="AQ293" s="100"/>
      <c r="AR293" s="100"/>
      <c r="AS293" s="357"/>
      <c r="AT293" s="100"/>
      <c r="AU293" s="100"/>
      <c r="AV293" s="100"/>
    </row>
    <row r="294">
      <c r="A294" s="357"/>
      <c r="B294" s="156"/>
      <c r="C294" s="154"/>
      <c r="D294" s="100"/>
      <c r="E294" s="357"/>
      <c r="F294" s="156"/>
      <c r="G294" s="154"/>
      <c r="H294" s="100"/>
      <c r="I294" s="357"/>
      <c r="J294" s="156"/>
      <c r="K294" s="154"/>
      <c r="L294" s="100"/>
      <c r="M294" s="357"/>
      <c r="N294" s="156"/>
      <c r="O294" s="154"/>
      <c r="P294" s="100"/>
      <c r="Q294" s="357"/>
      <c r="R294" s="156"/>
      <c r="S294" s="154"/>
      <c r="T294" s="100"/>
      <c r="U294" s="357"/>
      <c r="V294" s="156"/>
      <c r="W294" s="154"/>
      <c r="X294" s="100"/>
      <c r="Y294" s="357"/>
      <c r="Z294" s="100"/>
      <c r="AA294" s="100"/>
      <c r="AB294" s="100"/>
      <c r="AC294" s="357"/>
      <c r="AD294" s="367"/>
      <c r="AE294" s="368"/>
      <c r="AF294" s="98"/>
      <c r="AG294" s="357"/>
      <c r="AH294" s="156"/>
      <c r="AI294" s="305"/>
      <c r="AJ294" s="366"/>
      <c r="AK294" s="357"/>
      <c r="AL294" s="371"/>
      <c r="AM294" s="371"/>
      <c r="AN294" s="371"/>
      <c r="AO294" s="357"/>
      <c r="AP294" s="100"/>
      <c r="AQ294" s="100"/>
      <c r="AR294" s="100"/>
      <c r="AS294" s="357"/>
      <c r="AT294" s="100"/>
      <c r="AU294" s="100"/>
      <c r="AV294" s="100"/>
    </row>
    <row r="295">
      <c r="A295" s="357"/>
      <c r="B295" s="156"/>
      <c r="C295" s="154"/>
      <c r="D295" s="100"/>
      <c r="E295" s="357"/>
      <c r="F295" s="156"/>
      <c r="G295" s="154"/>
      <c r="H295" s="100"/>
      <c r="I295" s="357"/>
      <c r="J295" s="156"/>
      <c r="K295" s="154"/>
      <c r="L295" s="100"/>
      <c r="M295" s="357"/>
      <c r="N295" s="156"/>
      <c r="O295" s="154"/>
      <c r="P295" s="100"/>
      <c r="Q295" s="357"/>
      <c r="R295" s="156"/>
      <c r="S295" s="154"/>
      <c r="T295" s="100"/>
      <c r="U295" s="357"/>
      <c r="V295" s="156"/>
      <c r="W295" s="154"/>
      <c r="X295" s="100"/>
      <c r="Y295" s="357"/>
      <c r="Z295" s="100"/>
      <c r="AA295" s="100"/>
      <c r="AB295" s="100"/>
      <c r="AC295" s="357"/>
      <c r="AD295" s="367"/>
      <c r="AE295" s="368"/>
      <c r="AF295" s="98"/>
      <c r="AG295" s="357"/>
      <c r="AH295" s="156"/>
      <c r="AI295" s="305"/>
      <c r="AJ295" s="366"/>
      <c r="AK295" s="357"/>
      <c r="AL295" s="371"/>
      <c r="AM295" s="371"/>
      <c r="AN295" s="371"/>
      <c r="AO295" s="357"/>
      <c r="AP295" s="100"/>
      <c r="AQ295" s="100"/>
      <c r="AR295" s="100"/>
      <c r="AS295" s="357"/>
      <c r="AT295" s="100"/>
      <c r="AU295" s="100"/>
      <c r="AV295" s="100"/>
    </row>
    <row r="296">
      <c r="A296" s="357"/>
      <c r="B296" s="156"/>
      <c r="C296" s="154"/>
      <c r="D296" s="100"/>
      <c r="E296" s="357"/>
      <c r="F296" s="156"/>
      <c r="G296" s="154"/>
      <c r="H296" s="100"/>
      <c r="I296" s="357"/>
      <c r="J296" s="156"/>
      <c r="K296" s="154"/>
      <c r="L296" s="100"/>
      <c r="M296" s="357"/>
      <c r="N296" s="156"/>
      <c r="O296" s="154"/>
      <c r="P296" s="100"/>
      <c r="Q296" s="357"/>
      <c r="R296" s="156"/>
      <c r="S296" s="154"/>
      <c r="T296" s="100"/>
      <c r="U296" s="357"/>
      <c r="V296" s="156"/>
      <c r="W296" s="154"/>
      <c r="X296" s="100"/>
      <c r="Y296" s="357"/>
      <c r="Z296" s="100"/>
      <c r="AA296" s="100"/>
      <c r="AB296" s="100"/>
      <c r="AC296" s="357"/>
      <c r="AD296" s="367"/>
      <c r="AE296" s="368"/>
      <c r="AF296" s="98"/>
      <c r="AG296" s="357"/>
      <c r="AH296" s="156"/>
      <c r="AI296" s="305"/>
      <c r="AJ296" s="366"/>
      <c r="AK296" s="357"/>
      <c r="AL296" s="371"/>
      <c r="AM296" s="371"/>
      <c r="AN296" s="371"/>
      <c r="AO296" s="357"/>
      <c r="AP296" s="100"/>
      <c r="AQ296" s="100"/>
      <c r="AR296" s="100"/>
      <c r="AS296" s="357"/>
      <c r="AT296" s="100"/>
      <c r="AU296" s="100"/>
      <c r="AV296" s="100"/>
    </row>
    <row r="297">
      <c r="A297" s="357"/>
      <c r="B297" s="156"/>
      <c r="C297" s="154"/>
      <c r="D297" s="100"/>
      <c r="E297" s="357"/>
      <c r="F297" s="156"/>
      <c r="G297" s="154"/>
      <c r="H297" s="100"/>
      <c r="I297" s="357"/>
      <c r="J297" s="156"/>
      <c r="K297" s="154"/>
      <c r="L297" s="100"/>
      <c r="M297" s="357"/>
      <c r="N297" s="156"/>
      <c r="O297" s="154"/>
      <c r="P297" s="100"/>
      <c r="Q297" s="357"/>
      <c r="R297" s="156"/>
      <c r="S297" s="154"/>
      <c r="T297" s="100"/>
      <c r="U297" s="357"/>
      <c r="V297" s="156"/>
      <c r="W297" s="154"/>
      <c r="X297" s="100"/>
      <c r="Y297" s="357"/>
      <c r="Z297" s="100"/>
      <c r="AA297" s="100"/>
      <c r="AB297" s="100"/>
      <c r="AC297" s="357"/>
      <c r="AD297" s="367"/>
      <c r="AE297" s="368"/>
      <c r="AF297" s="98"/>
      <c r="AG297" s="357"/>
      <c r="AH297" s="156"/>
      <c r="AI297" s="305"/>
      <c r="AJ297" s="366"/>
      <c r="AK297" s="357"/>
      <c r="AL297" s="371"/>
      <c r="AM297" s="371"/>
      <c r="AN297" s="371"/>
      <c r="AO297" s="357"/>
      <c r="AP297" s="100"/>
      <c r="AQ297" s="100"/>
      <c r="AR297" s="100"/>
      <c r="AS297" s="357"/>
      <c r="AT297" s="100"/>
      <c r="AU297" s="100"/>
      <c r="AV297" s="100"/>
    </row>
    <row r="298">
      <c r="A298" s="357"/>
      <c r="B298" s="156"/>
      <c r="C298" s="154"/>
      <c r="D298" s="100"/>
      <c r="E298" s="357"/>
      <c r="F298" s="156"/>
      <c r="G298" s="154"/>
      <c r="H298" s="100"/>
      <c r="I298" s="357"/>
      <c r="J298" s="156"/>
      <c r="K298" s="154"/>
      <c r="L298" s="100"/>
      <c r="M298" s="357"/>
      <c r="N298" s="156"/>
      <c r="O298" s="154"/>
      <c r="P298" s="100"/>
      <c r="Q298" s="357"/>
      <c r="R298" s="156"/>
      <c r="S298" s="154"/>
      <c r="T298" s="100"/>
      <c r="U298" s="357"/>
      <c r="V298" s="156"/>
      <c r="W298" s="154"/>
      <c r="X298" s="100"/>
      <c r="Y298" s="357"/>
      <c r="Z298" s="100"/>
      <c r="AA298" s="100"/>
      <c r="AB298" s="100"/>
      <c r="AC298" s="357"/>
      <c r="AD298" s="367"/>
      <c r="AE298" s="368"/>
      <c r="AF298" s="98"/>
      <c r="AG298" s="357"/>
      <c r="AH298" s="156"/>
      <c r="AI298" s="305"/>
      <c r="AJ298" s="366"/>
      <c r="AK298" s="357"/>
      <c r="AL298" s="371"/>
      <c r="AM298" s="371"/>
      <c r="AN298" s="371"/>
      <c r="AO298" s="357"/>
      <c r="AP298" s="100"/>
      <c r="AQ298" s="100"/>
      <c r="AR298" s="100"/>
      <c r="AS298" s="357"/>
      <c r="AT298" s="100"/>
      <c r="AU298" s="100"/>
      <c r="AV298" s="100"/>
    </row>
    <row r="299">
      <c r="A299" s="357"/>
      <c r="B299" s="156"/>
      <c r="C299" s="154"/>
      <c r="D299" s="100"/>
      <c r="E299" s="357"/>
      <c r="F299" s="156"/>
      <c r="G299" s="154"/>
      <c r="H299" s="100"/>
      <c r="I299" s="357"/>
      <c r="J299" s="156"/>
      <c r="K299" s="154"/>
      <c r="L299" s="100"/>
      <c r="M299" s="357"/>
      <c r="N299" s="156"/>
      <c r="O299" s="154"/>
      <c r="P299" s="100"/>
      <c r="Q299" s="357"/>
      <c r="R299" s="156"/>
      <c r="S299" s="154"/>
      <c r="T299" s="100"/>
      <c r="U299" s="357"/>
      <c r="V299" s="156"/>
      <c r="W299" s="154"/>
      <c r="X299" s="100"/>
      <c r="Y299" s="357"/>
      <c r="Z299" s="100"/>
      <c r="AA299" s="100"/>
      <c r="AB299" s="100"/>
      <c r="AC299" s="357"/>
      <c r="AD299" s="367"/>
      <c r="AE299" s="368"/>
      <c r="AF299" s="98"/>
      <c r="AG299" s="357"/>
      <c r="AH299" s="156"/>
      <c r="AI299" s="305"/>
      <c r="AJ299" s="366"/>
      <c r="AK299" s="357"/>
      <c r="AL299" s="371"/>
      <c r="AM299" s="371"/>
      <c r="AN299" s="371"/>
      <c r="AO299" s="357"/>
      <c r="AP299" s="100"/>
      <c r="AQ299" s="100"/>
      <c r="AR299" s="100"/>
      <c r="AS299" s="357"/>
      <c r="AT299" s="100"/>
      <c r="AU299" s="100"/>
      <c r="AV299" s="100"/>
    </row>
    <row r="300">
      <c r="A300" s="357"/>
      <c r="B300" s="156"/>
      <c r="C300" s="154"/>
      <c r="D300" s="100"/>
      <c r="E300" s="357"/>
      <c r="F300" s="156"/>
      <c r="G300" s="154"/>
      <c r="H300" s="100"/>
      <c r="I300" s="357"/>
      <c r="J300" s="156"/>
      <c r="K300" s="154"/>
      <c r="L300" s="100"/>
      <c r="M300" s="357"/>
      <c r="N300" s="156"/>
      <c r="O300" s="154"/>
      <c r="P300" s="100"/>
      <c r="Q300" s="357"/>
      <c r="R300" s="156"/>
      <c r="S300" s="154"/>
      <c r="T300" s="100"/>
      <c r="U300" s="357"/>
      <c r="V300" s="156"/>
      <c r="W300" s="154"/>
      <c r="X300" s="100"/>
      <c r="Y300" s="357"/>
      <c r="Z300" s="100"/>
      <c r="AA300" s="100"/>
      <c r="AB300" s="100"/>
      <c r="AC300" s="357"/>
      <c r="AD300" s="367"/>
      <c r="AE300" s="368"/>
      <c r="AF300" s="98"/>
      <c r="AG300" s="357"/>
      <c r="AH300" s="156"/>
      <c r="AI300" s="305"/>
      <c r="AJ300" s="366"/>
      <c r="AK300" s="357"/>
      <c r="AL300" s="371"/>
      <c r="AM300" s="371"/>
      <c r="AN300" s="371"/>
      <c r="AO300" s="357"/>
      <c r="AP300" s="100"/>
      <c r="AQ300" s="100"/>
      <c r="AR300" s="100"/>
      <c r="AS300" s="357"/>
      <c r="AT300" s="100"/>
      <c r="AU300" s="100"/>
      <c r="AV300" s="100"/>
    </row>
    <row r="301">
      <c r="A301" s="357"/>
      <c r="B301" s="156"/>
      <c r="C301" s="154"/>
      <c r="D301" s="100"/>
      <c r="E301" s="357"/>
      <c r="F301" s="156"/>
      <c r="G301" s="154"/>
      <c r="H301" s="100"/>
      <c r="I301" s="357"/>
      <c r="J301" s="156"/>
      <c r="K301" s="154"/>
      <c r="L301" s="100"/>
      <c r="M301" s="357"/>
      <c r="N301" s="156"/>
      <c r="O301" s="154"/>
      <c r="P301" s="100"/>
      <c r="Q301" s="357"/>
      <c r="R301" s="156"/>
      <c r="S301" s="154"/>
      <c r="T301" s="100"/>
      <c r="U301" s="357"/>
      <c r="V301" s="156"/>
      <c r="W301" s="154"/>
      <c r="X301" s="100"/>
      <c r="Y301" s="357"/>
      <c r="Z301" s="100"/>
      <c r="AA301" s="100"/>
      <c r="AB301" s="100"/>
      <c r="AC301" s="357"/>
      <c r="AD301" s="367"/>
      <c r="AE301" s="368"/>
      <c r="AF301" s="98"/>
      <c r="AG301" s="357"/>
      <c r="AH301" s="156"/>
      <c r="AI301" s="305"/>
      <c r="AJ301" s="366"/>
      <c r="AK301" s="357"/>
      <c r="AL301" s="371"/>
      <c r="AM301" s="371"/>
      <c r="AN301" s="371"/>
      <c r="AO301" s="357"/>
      <c r="AP301" s="100"/>
      <c r="AQ301" s="100"/>
      <c r="AR301" s="100"/>
      <c r="AS301" s="357"/>
      <c r="AT301" s="100"/>
      <c r="AU301" s="100"/>
      <c r="AV301" s="100"/>
    </row>
    <row r="302">
      <c r="A302" s="357"/>
      <c r="B302" s="156"/>
      <c r="C302" s="154"/>
      <c r="D302" s="100"/>
      <c r="E302" s="357"/>
      <c r="F302" s="156"/>
      <c r="G302" s="154"/>
      <c r="H302" s="100"/>
      <c r="I302" s="357"/>
      <c r="J302" s="156"/>
      <c r="K302" s="154"/>
      <c r="L302" s="100"/>
      <c r="M302" s="357"/>
      <c r="N302" s="156"/>
      <c r="O302" s="154"/>
      <c r="P302" s="100"/>
      <c r="Q302" s="357"/>
      <c r="R302" s="156"/>
      <c r="S302" s="154"/>
      <c r="T302" s="100"/>
      <c r="U302" s="357"/>
      <c r="V302" s="156"/>
      <c r="W302" s="154"/>
      <c r="X302" s="100"/>
      <c r="Y302" s="357"/>
      <c r="Z302" s="100"/>
      <c r="AA302" s="100"/>
      <c r="AB302" s="100"/>
      <c r="AC302" s="357"/>
      <c r="AD302" s="367"/>
      <c r="AE302" s="368"/>
      <c r="AF302" s="98"/>
      <c r="AG302" s="357"/>
      <c r="AH302" s="156"/>
      <c r="AI302" s="305"/>
      <c r="AJ302" s="366"/>
      <c r="AK302" s="357"/>
      <c r="AL302" s="371"/>
      <c r="AM302" s="371"/>
      <c r="AN302" s="371"/>
      <c r="AO302" s="357"/>
      <c r="AP302" s="100"/>
      <c r="AQ302" s="100"/>
      <c r="AR302" s="100"/>
      <c r="AS302" s="357"/>
      <c r="AT302" s="100"/>
      <c r="AU302" s="100"/>
      <c r="AV302" s="100"/>
    </row>
    <row r="303">
      <c r="A303" s="357"/>
      <c r="B303" s="156"/>
      <c r="C303" s="154"/>
      <c r="D303" s="100"/>
      <c r="E303" s="357"/>
      <c r="F303" s="156"/>
      <c r="G303" s="154"/>
      <c r="H303" s="100"/>
      <c r="I303" s="357"/>
      <c r="J303" s="156"/>
      <c r="K303" s="154"/>
      <c r="L303" s="100"/>
      <c r="M303" s="357"/>
      <c r="N303" s="156"/>
      <c r="O303" s="154"/>
      <c r="P303" s="100"/>
      <c r="Q303" s="357"/>
      <c r="R303" s="156"/>
      <c r="S303" s="154"/>
      <c r="T303" s="100"/>
      <c r="U303" s="357"/>
      <c r="V303" s="156"/>
      <c r="W303" s="154"/>
      <c r="X303" s="100"/>
      <c r="Y303" s="357"/>
      <c r="Z303" s="100"/>
      <c r="AA303" s="100"/>
      <c r="AB303" s="100"/>
      <c r="AC303" s="357"/>
      <c r="AD303" s="367"/>
      <c r="AE303" s="368"/>
      <c r="AF303" s="98"/>
      <c r="AG303" s="357"/>
      <c r="AH303" s="156"/>
      <c r="AI303" s="305"/>
      <c r="AJ303" s="366"/>
      <c r="AK303" s="357"/>
      <c r="AL303" s="371"/>
      <c r="AM303" s="371"/>
      <c r="AN303" s="371"/>
      <c r="AO303" s="357"/>
      <c r="AP303" s="100"/>
      <c r="AQ303" s="100"/>
      <c r="AR303" s="100"/>
      <c r="AS303" s="357"/>
      <c r="AT303" s="100"/>
      <c r="AU303" s="100"/>
      <c r="AV303" s="100"/>
    </row>
    <row r="304">
      <c r="A304" s="357"/>
      <c r="B304" s="156"/>
      <c r="C304" s="154"/>
      <c r="D304" s="100"/>
      <c r="E304" s="357"/>
      <c r="F304" s="156"/>
      <c r="G304" s="154"/>
      <c r="H304" s="100"/>
      <c r="I304" s="357"/>
      <c r="J304" s="156"/>
      <c r="K304" s="154"/>
      <c r="L304" s="100"/>
      <c r="M304" s="357"/>
      <c r="N304" s="156"/>
      <c r="O304" s="154"/>
      <c r="P304" s="100"/>
      <c r="Q304" s="357"/>
      <c r="R304" s="156"/>
      <c r="S304" s="154"/>
      <c r="T304" s="100"/>
      <c r="U304" s="357"/>
      <c r="V304" s="156"/>
      <c r="W304" s="154"/>
      <c r="X304" s="100"/>
      <c r="Y304" s="357"/>
      <c r="Z304" s="100"/>
      <c r="AA304" s="100"/>
      <c r="AB304" s="100"/>
      <c r="AC304" s="357"/>
      <c r="AD304" s="367"/>
      <c r="AE304" s="368"/>
      <c r="AF304" s="98"/>
      <c r="AG304" s="357"/>
      <c r="AH304" s="156"/>
      <c r="AI304" s="305"/>
      <c r="AJ304" s="366"/>
      <c r="AK304" s="357"/>
      <c r="AL304" s="371"/>
      <c r="AM304" s="371"/>
      <c r="AN304" s="371"/>
      <c r="AO304" s="357"/>
      <c r="AP304" s="100"/>
      <c r="AQ304" s="100"/>
      <c r="AR304" s="100"/>
      <c r="AS304" s="357"/>
      <c r="AT304" s="100"/>
      <c r="AU304" s="100"/>
      <c r="AV304" s="100"/>
    </row>
    <row r="305">
      <c r="A305" s="357"/>
      <c r="B305" s="156"/>
      <c r="C305" s="154"/>
      <c r="D305" s="100"/>
      <c r="E305" s="357"/>
      <c r="F305" s="156"/>
      <c r="G305" s="154"/>
      <c r="H305" s="100"/>
      <c r="I305" s="357"/>
      <c r="J305" s="156"/>
      <c r="K305" s="154"/>
      <c r="L305" s="100"/>
      <c r="M305" s="357"/>
      <c r="N305" s="156"/>
      <c r="O305" s="154"/>
      <c r="P305" s="100"/>
      <c r="Q305" s="357"/>
      <c r="R305" s="156"/>
      <c r="S305" s="154"/>
      <c r="T305" s="100"/>
      <c r="U305" s="357"/>
      <c r="V305" s="156"/>
      <c r="W305" s="154"/>
      <c r="X305" s="100"/>
      <c r="Y305" s="357"/>
      <c r="Z305" s="100"/>
      <c r="AA305" s="100"/>
      <c r="AB305" s="100"/>
      <c r="AC305" s="357"/>
      <c r="AD305" s="367"/>
      <c r="AE305" s="368"/>
      <c r="AF305" s="98"/>
      <c r="AG305" s="357"/>
      <c r="AH305" s="156"/>
      <c r="AI305" s="305"/>
      <c r="AJ305" s="366"/>
      <c r="AK305" s="357"/>
      <c r="AL305" s="371"/>
      <c r="AM305" s="371"/>
      <c r="AN305" s="371"/>
      <c r="AO305" s="357"/>
      <c r="AP305" s="100"/>
      <c r="AQ305" s="100"/>
      <c r="AR305" s="100"/>
      <c r="AS305" s="357"/>
      <c r="AT305" s="100"/>
      <c r="AU305" s="100"/>
      <c r="AV305" s="100"/>
    </row>
    <row r="306">
      <c r="A306" s="357"/>
      <c r="B306" s="156"/>
      <c r="C306" s="154"/>
      <c r="D306" s="100"/>
      <c r="E306" s="357"/>
      <c r="F306" s="156"/>
      <c r="G306" s="154"/>
      <c r="H306" s="100"/>
      <c r="I306" s="357"/>
      <c r="J306" s="156"/>
      <c r="K306" s="154"/>
      <c r="L306" s="100"/>
      <c r="M306" s="357"/>
      <c r="N306" s="156"/>
      <c r="O306" s="154"/>
      <c r="P306" s="100"/>
      <c r="Q306" s="357"/>
      <c r="R306" s="156"/>
      <c r="S306" s="154"/>
      <c r="T306" s="100"/>
      <c r="U306" s="357"/>
      <c r="V306" s="156"/>
      <c r="W306" s="154"/>
      <c r="X306" s="100"/>
      <c r="Y306" s="357"/>
      <c r="Z306" s="100"/>
      <c r="AA306" s="100"/>
      <c r="AB306" s="100"/>
      <c r="AC306" s="357"/>
      <c r="AD306" s="367"/>
      <c r="AE306" s="368"/>
      <c r="AF306" s="98"/>
      <c r="AG306" s="357"/>
      <c r="AH306" s="156"/>
      <c r="AI306" s="305"/>
      <c r="AJ306" s="366"/>
      <c r="AK306" s="357"/>
      <c r="AL306" s="371"/>
      <c r="AM306" s="371"/>
      <c r="AN306" s="371"/>
      <c r="AO306" s="357"/>
      <c r="AP306" s="100"/>
      <c r="AQ306" s="100"/>
      <c r="AR306" s="100"/>
      <c r="AS306" s="357"/>
      <c r="AT306" s="100"/>
      <c r="AU306" s="100"/>
      <c r="AV306" s="100"/>
    </row>
    <row r="307">
      <c r="A307" s="357"/>
      <c r="B307" s="156"/>
      <c r="C307" s="154"/>
      <c r="D307" s="100"/>
      <c r="E307" s="357"/>
      <c r="F307" s="156"/>
      <c r="G307" s="154"/>
      <c r="H307" s="100"/>
      <c r="I307" s="357"/>
      <c r="J307" s="156"/>
      <c r="K307" s="154"/>
      <c r="L307" s="100"/>
      <c r="M307" s="357"/>
      <c r="N307" s="156"/>
      <c r="O307" s="154"/>
      <c r="P307" s="100"/>
      <c r="Q307" s="357"/>
      <c r="R307" s="156"/>
      <c r="S307" s="154"/>
      <c r="T307" s="100"/>
      <c r="U307" s="357"/>
      <c r="V307" s="156"/>
      <c r="W307" s="154"/>
      <c r="X307" s="100"/>
      <c r="Y307" s="357"/>
      <c r="Z307" s="100"/>
      <c r="AA307" s="100"/>
      <c r="AB307" s="100"/>
      <c r="AC307" s="357"/>
      <c r="AD307" s="367"/>
      <c r="AE307" s="368"/>
      <c r="AF307" s="98"/>
      <c r="AG307" s="357"/>
      <c r="AH307" s="156"/>
      <c r="AI307" s="305"/>
      <c r="AJ307" s="366"/>
      <c r="AK307" s="357"/>
      <c r="AL307" s="371"/>
      <c r="AM307" s="371"/>
      <c r="AN307" s="371"/>
      <c r="AO307" s="357"/>
      <c r="AP307" s="100"/>
      <c r="AQ307" s="100"/>
      <c r="AR307" s="100"/>
      <c r="AS307" s="357"/>
      <c r="AT307" s="100"/>
      <c r="AU307" s="100"/>
      <c r="AV307" s="100"/>
    </row>
    <row r="308">
      <c r="A308" s="357"/>
      <c r="B308" s="156"/>
      <c r="C308" s="154"/>
      <c r="D308" s="100"/>
      <c r="E308" s="357"/>
      <c r="F308" s="156"/>
      <c r="G308" s="154"/>
      <c r="H308" s="100"/>
      <c r="I308" s="357"/>
      <c r="J308" s="156"/>
      <c r="K308" s="154"/>
      <c r="L308" s="100"/>
      <c r="M308" s="357"/>
      <c r="N308" s="156"/>
      <c r="O308" s="154"/>
      <c r="P308" s="100"/>
      <c r="Q308" s="357"/>
      <c r="R308" s="156"/>
      <c r="S308" s="154"/>
      <c r="T308" s="100"/>
      <c r="U308" s="357"/>
      <c r="V308" s="156"/>
      <c r="W308" s="154"/>
      <c r="X308" s="100"/>
      <c r="Y308" s="357"/>
      <c r="Z308" s="100"/>
      <c r="AA308" s="100"/>
      <c r="AB308" s="100"/>
      <c r="AC308" s="357"/>
      <c r="AD308" s="367"/>
      <c r="AE308" s="368"/>
      <c r="AF308" s="98"/>
      <c r="AG308" s="357"/>
      <c r="AH308" s="156"/>
      <c r="AI308" s="305"/>
      <c r="AJ308" s="366"/>
      <c r="AK308" s="357"/>
      <c r="AL308" s="371"/>
      <c r="AM308" s="371"/>
      <c r="AN308" s="371"/>
      <c r="AO308" s="357"/>
      <c r="AP308" s="100"/>
      <c r="AQ308" s="100"/>
      <c r="AR308" s="100"/>
      <c r="AS308" s="357"/>
      <c r="AT308" s="100"/>
      <c r="AU308" s="100"/>
      <c r="AV308" s="100"/>
    </row>
    <row r="309">
      <c r="A309" s="357"/>
      <c r="B309" s="156"/>
      <c r="C309" s="154"/>
      <c r="D309" s="100"/>
      <c r="E309" s="357"/>
      <c r="F309" s="156"/>
      <c r="G309" s="154"/>
      <c r="H309" s="100"/>
      <c r="I309" s="357"/>
      <c r="J309" s="156"/>
      <c r="K309" s="154"/>
      <c r="L309" s="100"/>
      <c r="M309" s="357"/>
      <c r="N309" s="156"/>
      <c r="O309" s="154"/>
      <c r="P309" s="100"/>
      <c r="Q309" s="357"/>
      <c r="R309" s="156"/>
      <c r="S309" s="154"/>
      <c r="T309" s="100"/>
      <c r="U309" s="357"/>
      <c r="V309" s="156"/>
      <c r="W309" s="154"/>
      <c r="X309" s="100"/>
      <c r="Y309" s="357"/>
      <c r="Z309" s="100"/>
      <c r="AA309" s="100"/>
      <c r="AB309" s="100"/>
      <c r="AC309" s="357"/>
      <c r="AD309" s="367"/>
      <c r="AE309" s="368"/>
      <c r="AF309" s="98"/>
      <c r="AG309" s="357"/>
      <c r="AH309" s="156"/>
      <c r="AI309" s="305"/>
      <c r="AJ309" s="366"/>
      <c r="AK309" s="357"/>
      <c r="AL309" s="371"/>
      <c r="AM309" s="371"/>
      <c r="AN309" s="371"/>
      <c r="AO309" s="357"/>
      <c r="AP309" s="100"/>
      <c r="AQ309" s="100"/>
      <c r="AR309" s="100"/>
      <c r="AS309" s="357"/>
      <c r="AT309" s="100"/>
      <c r="AU309" s="100"/>
      <c r="AV309" s="100"/>
    </row>
    <row r="310">
      <c r="A310" s="357"/>
      <c r="B310" s="156"/>
      <c r="C310" s="154"/>
      <c r="D310" s="100"/>
      <c r="E310" s="357"/>
      <c r="F310" s="156"/>
      <c r="G310" s="154"/>
      <c r="H310" s="100"/>
      <c r="I310" s="357"/>
      <c r="J310" s="156"/>
      <c r="K310" s="154"/>
      <c r="L310" s="100"/>
      <c r="M310" s="357"/>
      <c r="N310" s="156"/>
      <c r="O310" s="154"/>
      <c r="P310" s="100"/>
      <c r="Q310" s="357"/>
      <c r="R310" s="156"/>
      <c r="S310" s="154"/>
      <c r="T310" s="100"/>
      <c r="U310" s="357"/>
      <c r="V310" s="156"/>
      <c r="W310" s="154"/>
      <c r="X310" s="100"/>
      <c r="Y310" s="357"/>
      <c r="Z310" s="100"/>
      <c r="AA310" s="100"/>
      <c r="AB310" s="100"/>
      <c r="AC310" s="357"/>
      <c r="AD310" s="367"/>
      <c r="AE310" s="368"/>
      <c r="AF310" s="98"/>
      <c r="AG310" s="357"/>
      <c r="AH310" s="156"/>
      <c r="AI310" s="305"/>
      <c r="AJ310" s="366"/>
      <c r="AK310" s="357"/>
      <c r="AL310" s="371"/>
      <c r="AM310" s="371"/>
      <c r="AN310" s="371"/>
      <c r="AO310" s="357"/>
      <c r="AP310" s="100"/>
      <c r="AQ310" s="100"/>
      <c r="AR310" s="100"/>
      <c r="AS310" s="357"/>
      <c r="AT310" s="100"/>
      <c r="AU310" s="100"/>
      <c r="AV310" s="100"/>
    </row>
    <row r="311">
      <c r="A311" s="357"/>
      <c r="B311" s="156"/>
      <c r="C311" s="154"/>
      <c r="D311" s="100"/>
      <c r="E311" s="357"/>
      <c r="F311" s="156"/>
      <c r="G311" s="154"/>
      <c r="H311" s="100"/>
      <c r="I311" s="357"/>
      <c r="J311" s="156"/>
      <c r="K311" s="154"/>
      <c r="L311" s="100"/>
      <c r="M311" s="357"/>
      <c r="N311" s="156"/>
      <c r="O311" s="154"/>
      <c r="P311" s="100"/>
      <c r="Q311" s="357"/>
      <c r="R311" s="156"/>
      <c r="S311" s="154"/>
      <c r="T311" s="100"/>
      <c r="U311" s="357"/>
      <c r="V311" s="156"/>
      <c r="W311" s="154"/>
      <c r="X311" s="100"/>
      <c r="Y311" s="357"/>
      <c r="Z311" s="100"/>
      <c r="AA311" s="100"/>
      <c r="AB311" s="100"/>
      <c r="AC311" s="357"/>
      <c r="AD311" s="367"/>
      <c r="AE311" s="368"/>
      <c r="AF311" s="98"/>
      <c r="AG311" s="357"/>
      <c r="AH311" s="156"/>
      <c r="AI311" s="305"/>
      <c r="AJ311" s="366"/>
      <c r="AK311" s="357"/>
      <c r="AL311" s="371"/>
      <c r="AM311" s="371"/>
      <c r="AN311" s="371"/>
      <c r="AO311" s="357"/>
      <c r="AP311" s="100"/>
      <c r="AQ311" s="100"/>
      <c r="AR311" s="100"/>
      <c r="AS311" s="357"/>
      <c r="AT311" s="100"/>
      <c r="AU311" s="100"/>
      <c r="AV311" s="100"/>
    </row>
    <row r="312">
      <c r="A312" s="357"/>
      <c r="B312" s="156"/>
      <c r="C312" s="154"/>
      <c r="D312" s="100"/>
      <c r="E312" s="357"/>
      <c r="F312" s="156"/>
      <c r="G312" s="154"/>
      <c r="H312" s="100"/>
      <c r="I312" s="357"/>
      <c r="J312" s="156"/>
      <c r="K312" s="154"/>
      <c r="L312" s="100"/>
      <c r="M312" s="357"/>
      <c r="N312" s="156"/>
      <c r="O312" s="154"/>
      <c r="P312" s="100"/>
      <c r="Q312" s="357"/>
      <c r="R312" s="156"/>
      <c r="S312" s="154"/>
      <c r="T312" s="100"/>
      <c r="U312" s="357"/>
      <c r="V312" s="156"/>
      <c r="W312" s="154"/>
      <c r="X312" s="100"/>
      <c r="Y312" s="357"/>
      <c r="Z312" s="100"/>
      <c r="AA312" s="100"/>
      <c r="AB312" s="100"/>
      <c r="AC312" s="357"/>
      <c r="AD312" s="367"/>
      <c r="AE312" s="368"/>
      <c r="AF312" s="98"/>
      <c r="AG312" s="357"/>
      <c r="AH312" s="156"/>
      <c r="AI312" s="305"/>
      <c r="AJ312" s="366"/>
      <c r="AK312" s="357"/>
      <c r="AL312" s="371"/>
      <c r="AM312" s="371"/>
      <c r="AN312" s="371"/>
      <c r="AO312" s="357"/>
      <c r="AP312" s="100"/>
      <c r="AQ312" s="100"/>
      <c r="AR312" s="100"/>
      <c r="AS312" s="357"/>
      <c r="AT312" s="100"/>
      <c r="AU312" s="100"/>
      <c r="AV312" s="100"/>
    </row>
    <row r="313">
      <c r="A313" s="357"/>
      <c r="B313" s="156"/>
      <c r="C313" s="154"/>
      <c r="D313" s="100"/>
      <c r="E313" s="357"/>
      <c r="F313" s="156"/>
      <c r="G313" s="154"/>
      <c r="H313" s="100"/>
      <c r="I313" s="357"/>
      <c r="J313" s="156"/>
      <c r="K313" s="154"/>
      <c r="L313" s="100"/>
      <c r="M313" s="357"/>
      <c r="N313" s="156"/>
      <c r="O313" s="154"/>
      <c r="P313" s="100"/>
      <c r="Q313" s="357"/>
      <c r="R313" s="156"/>
      <c r="S313" s="154"/>
      <c r="T313" s="100"/>
      <c r="U313" s="357"/>
      <c r="V313" s="156"/>
      <c r="W313" s="154"/>
      <c r="X313" s="100"/>
      <c r="Y313" s="357"/>
      <c r="Z313" s="100"/>
      <c r="AA313" s="100"/>
      <c r="AB313" s="100"/>
      <c r="AC313" s="357"/>
      <c r="AD313" s="367"/>
      <c r="AE313" s="368"/>
      <c r="AF313" s="98"/>
      <c r="AG313" s="357"/>
      <c r="AH313" s="156"/>
      <c r="AI313" s="305"/>
      <c r="AJ313" s="366"/>
      <c r="AK313" s="357"/>
      <c r="AL313" s="371"/>
      <c r="AM313" s="371"/>
      <c r="AN313" s="371"/>
      <c r="AO313" s="357"/>
      <c r="AP313" s="100"/>
      <c r="AQ313" s="100"/>
      <c r="AR313" s="100"/>
      <c r="AS313" s="357"/>
      <c r="AT313" s="100"/>
      <c r="AU313" s="100"/>
      <c r="AV313" s="100"/>
    </row>
    <row r="314">
      <c r="A314" s="357"/>
      <c r="B314" s="156"/>
      <c r="C314" s="154"/>
      <c r="D314" s="100"/>
      <c r="E314" s="357"/>
      <c r="F314" s="156"/>
      <c r="G314" s="154"/>
      <c r="H314" s="100"/>
      <c r="I314" s="357"/>
      <c r="J314" s="156"/>
      <c r="K314" s="154"/>
      <c r="L314" s="100"/>
      <c r="M314" s="357"/>
      <c r="N314" s="156"/>
      <c r="O314" s="154"/>
      <c r="P314" s="100"/>
      <c r="Q314" s="357"/>
      <c r="R314" s="156"/>
      <c r="S314" s="154"/>
      <c r="T314" s="100"/>
      <c r="U314" s="357"/>
      <c r="V314" s="156"/>
      <c r="W314" s="154"/>
      <c r="X314" s="100"/>
      <c r="Y314" s="357"/>
      <c r="Z314" s="100"/>
      <c r="AA314" s="100"/>
      <c r="AB314" s="100"/>
      <c r="AC314" s="357"/>
      <c r="AD314" s="367"/>
      <c r="AE314" s="368"/>
      <c r="AF314" s="98"/>
      <c r="AG314" s="357"/>
      <c r="AH314" s="156"/>
      <c r="AI314" s="305"/>
      <c r="AJ314" s="366"/>
      <c r="AK314" s="357"/>
      <c r="AL314" s="371"/>
      <c r="AM314" s="371"/>
      <c r="AN314" s="371"/>
      <c r="AO314" s="357"/>
      <c r="AP314" s="100"/>
      <c r="AQ314" s="100"/>
      <c r="AR314" s="100"/>
      <c r="AS314" s="357"/>
      <c r="AT314" s="100"/>
      <c r="AU314" s="100"/>
      <c r="AV314" s="100"/>
    </row>
    <row r="315">
      <c r="A315" s="357"/>
      <c r="B315" s="156"/>
      <c r="C315" s="154"/>
      <c r="D315" s="100"/>
      <c r="E315" s="357"/>
      <c r="F315" s="156"/>
      <c r="G315" s="154"/>
      <c r="H315" s="100"/>
      <c r="I315" s="357"/>
      <c r="J315" s="156"/>
      <c r="K315" s="154"/>
      <c r="L315" s="100"/>
      <c r="M315" s="357"/>
      <c r="N315" s="156"/>
      <c r="O315" s="154"/>
      <c r="P315" s="100"/>
      <c r="Q315" s="357"/>
      <c r="R315" s="156"/>
      <c r="S315" s="154"/>
      <c r="T315" s="100"/>
      <c r="U315" s="357"/>
      <c r="V315" s="156"/>
      <c r="W315" s="154"/>
      <c r="X315" s="100"/>
      <c r="Y315" s="357"/>
      <c r="Z315" s="100"/>
      <c r="AA315" s="100"/>
      <c r="AB315" s="100"/>
      <c r="AC315" s="357"/>
      <c r="AD315" s="367"/>
      <c r="AE315" s="368"/>
      <c r="AF315" s="98"/>
      <c r="AG315" s="357"/>
      <c r="AH315" s="156"/>
      <c r="AI315" s="305"/>
      <c r="AJ315" s="366"/>
      <c r="AK315" s="357"/>
      <c r="AL315" s="371"/>
      <c r="AM315" s="371"/>
      <c r="AN315" s="371"/>
      <c r="AO315" s="357"/>
      <c r="AP315" s="100"/>
      <c r="AQ315" s="100"/>
      <c r="AR315" s="100"/>
      <c r="AS315" s="357"/>
      <c r="AT315" s="100"/>
      <c r="AU315" s="100"/>
      <c r="AV315" s="100"/>
    </row>
    <row r="316">
      <c r="A316" s="357"/>
      <c r="B316" s="156"/>
      <c r="C316" s="154"/>
      <c r="D316" s="100"/>
      <c r="E316" s="357"/>
      <c r="F316" s="156"/>
      <c r="G316" s="154"/>
      <c r="H316" s="100"/>
      <c r="I316" s="357"/>
      <c r="J316" s="156"/>
      <c r="K316" s="154"/>
      <c r="L316" s="100"/>
      <c r="M316" s="357"/>
      <c r="N316" s="156"/>
      <c r="O316" s="154"/>
      <c r="P316" s="100"/>
      <c r="Q316" s="357"/>
      <c r="R316" s="156"/>
      <c r="S316" s="154"/>
      <c r="T316" s="100"/>
      <c r="U316" s="357"/>
      <c r="V316" s="156"/>
      <c r="W316" s="154"/>
      <c r="X316" s="100"/>
      <c r="Y316" s="357"/>
      <c r="Z316" s="100"/>
      <c r="AA316" s="100"/>
      <c r="AB316" s="100"/>
      <c r="AC316" s="357"/>
      <c r="AD316" s="367"/>
      <c r="AE316" s="368"/>
      <c r="AF316" s="98"/>
      <c r="AG316" s="357"/>
      <c r="AH316" s="156"/>
      <c r="AI316" s="305"/>
      <c r="AJ316" s="366"/>
      <c r="AK316" s="357"/>
      <c r="AL316" s="371"/>
      <c r="AM316" s="371"/>
      <c r="AN316" s="371"/>
      <c r="AO316" s="357"/>
      <c r="AP316" s="100"/>
      <c r="AQ316" s="100"/>
      <c r="AR316" s="100"/>
      <c r="AS316" s="357"/>
      <c r="AT316" s="100"/>
      <c r="AU316" s="100"/>
      <c r="AV316" s="100"/>
    </row>
    <row r="317">
      <c r="A317" s="357"/>
      <c r="B317" s="156"/>
      <c r="C317" s="154"/>
      <c r="D317" s="100"/>
      <c r="E317" s="357"/>
      <c r="F317" s="156"/>
      <c r="G317" s="154"/>
      <c r="H317" s="100"/>
      <c r="I317" s="357"/>
      <c r="J317" s="156"/>
      <c r="K317" s="154"/>
      <c r="L317" s="100"/>
      <c r="M317" s="357"/>
      <c r="N317" s="156"/>
      <c r="O317" s="154"/>
      <c r="P317" s="100"/>
      <c r="Q317" s="357"/>
      <c r="R317" s="156"/>
      <c r="S317" s="154"/>
      <c r="T317" s="100"/>
      <c r="U317" s="357"/>
      <c r="V317" s="156"/>
      <c r="W317" s="154"/>
      <c r="X317" s="100"/>
      <c r="Y317" s="357"/>
      <c r="Z317" s="100"/>
      <c r="AA317" s="100"/>
      <c r="AB317" s="100"/>
      <c r="AC317" s="357"/>
      <c r="AD317" s="367"/>
      <c r="AE317" s="368"/>
      <c r="AF317" s="98"/>
      <c r="AG317" s="357"/>
      <c r="AH317" s="156"/>
      <c r="AI317" s="305"/>
      <c r="AJ317" s="366"/>
      <c r="AK317" s="357"/>
      <c r="AL317" s="371"/>
      <c r="AM317" s="371"/>
      <c r="AN317" s="371"/>
      <c r="AO317" s="357"/>
      <c r="AP317" s="100"/>
      <c r="AQ317" s="100"/>
      <c r="AR317" s="100"/>
      <c r="AS317" s="357"/>
      <c r="AT317" s="100"/>
      <c r="AU317" s="100"/>
      <c r="AV317" s="100"/>
    </row>
    <row r="318">
      <c r="A318" s="357"/>
      <c r="B318" s="156"/>
      <c r="C318" s="154"/>
      <c r="D318" s="100"/>
      <c r="E318" s="357"/>
      <c r="F318" s="156"/>
      <c r="G318" s="154"/>
      <c r="H318" s="100"/>
      <c r="I318" s="357"/>
      <c r="J318" s="156"/>
      <c r="K318" s="154"/>
      <c r="L318" s="100"/>
      <c r="M318" s="357"/>
      <c r="N318" s="156"/>
      <c r="O318" s="154"/>
      <c r="P318" s="100"/>
      <c r="Q318" s="357"/>
      <c r="R318" s="156"/>
      <c r="S318" s="154"/>
      <c r="T318" s="100"/>
      <c r="U318" s="357"/>
      <c r="V318" s="156"/>
      <c r="W318" s="154"/>
      <c r="X318" s="100"/>
      <c r="Y318" s="357"/>
      <c r="Z318" s="100"/>
      <c r="AA318" s="100"/>
      <c r="AB318" s="100"/>
      <c r="AC318" s="357"/>
      <c r="AD318" s="367"/>
      <c r="AE318" s="368"/>
      <c r="AF318" s="98"/>
      <c r="AG318" s="357"/>
      <c r="AH318" s="156"/>
      <c r="AI318" s="305"/>
      <c r="AJ318" s="366"/>
      <c r="AK318" s="357"/>
      <c r="AL318" s="371"/>
      <c r="AM318" s="371"/>
      <c r="AN318" s="371"/>
      <c r="AO318" s="357"/>
      <c r="AP318" s="100"/>
      <c r="AQ318" s="100"/>
      <c r="AR318" s="100"/>
      <c r="AS318" s="357"/>
      <c r="AT318" s="100"/>
      <c r="AU318" s="100"/>
      <c r="AV318" s="100"/>
    </row>
    <row r="319">
      <c r="A319" s="357"/>
      <c r="B319" s="156"/>
      <c r="C319" s="154"/>
      <c r="D319" s="100"/>
      <c r="E319" s="357"/>
      <c r="F319" s="156"/>
      <c r="G319" s="154"/>
      <c r="H319" s="100"/>
      <c r="I319" s="357"/>
      <c r="J319" s="156"/>
      <c r="K319" s="154"/>
      <c r="L319" s="100"/>
      <c r="M319" s="357"/>
      <c r="N319" s="156"/>
      <c r="O319" s="154"/>
      <c r="P319" s="100"/>
      <c r="Q319" s="357"/>
      <c r="R319" s="156"/>
      <c r="S319" s="154"/>
      <c r="T319" s="100"/>
      <c r="U319" s="357"/>
      <c r="V319" s="156"/>
      <c r="W319" s="154"/>
      <c r="X319" s="100"/>
      <c r="Y319" s="357"/>
      <c r="Z319" s="100"/>
      <c r="AA319" s="100"/>
      <c r="AB319" s="100"/>
      <c r="AC319" s="357"/>
      <c r="AD319" s="367"/>
      <c r="AE319" s="368"/>
      <c r="AF319" s="98"/>
      <c r="AG319" s="357"/>
      <c r="AH319" s="156"/>
      <c r="AI319" s="305"/>
      <c r="AJ319" s="366"/>
      <c r="AK319" s="357"/>
      <c r="AL319" s="371"/>
      <c r="AM319" s="371"/>
      <c r="AN319" s="371"/>
      <c r="AO319" s="357"/>
      <c r="AP319" s="100"/>
      <c r="AQ319" s="100"/>
      <c r="AR319" s="100"/>
      <c r="AS319" s="357"/>
      <c r="AT319" s="100"/>
      <c r="AU319" s="100"/>
      <c r="AV319" s="100"/>
    </row>
    <row r="320">
      <c r="A320" s="357"/>
      <c r="B320" s="156"/>
      <c r="C320" s="154"/>
      <c r="D320" s="100"/>
      <c r="E320" s="357"/>
      <c r="F320" s="156"/>
      <c r="G320" s="154"/>
      <c r="H320" s="100"/>
      <c r="I320" s="357"/>
      <c r="J320" s="156"/>
      <c r="K320" s="154"/>
      <c r="L320" s="100"/>
      <c r="M320" s="357"/>
      <c r="N320" s="156"/>
      <c r="O320" s="154"/>
      <c r="P320" s="100"/>
      <c r="Q320" s="357"/>
      <c r="R320" s="156"/>
      <c r="S320" s="154"/>
      <c r="T320" s="100"/>
      <c r="U320" s="357"/>
      <c r="V320" s="156"/>
      <c r="W320" s="154"/>
      <c r="X320" s="100"/>
      <c r="Y320" s="357"/>
      <c r="Z320" s="100"/>
      <c r="AA320" s="100"/>
      <c r="AB320" s="100"/>
      <c r="AC320" s="357"/>
      <c r="AD320" s="367"/>
      <c r="AE320" s="368"/>
      <c r="AF320" s="98"/>
      <c r="AG320" s="357"/>
      <c r="AH320" s="156"/>
      <c r="AI320" s="305"/>
      <c r="AJ320" s="366"/>
      <c r="AK320" s="357"/>
      <c r="AL320" s="371"/>
      <c r="AM320" s="371"/>
      <c r="AN320" s="371"/>
      <c r="AO320" s="357"/>
      <c r="AP320" s="100"/>
      <c r="AQ320" s="100"/>
      <c r="AR320" s="100"/>
      <c r="AS320" s="357"/>
      <c r="AT320" s="100"/>
      <c r="AU320" s="100"/>
      <c r="AV320" s="100"/>
    </row>
    <row r="321">
      <c r="A321" s="357"/>
      <c r="B321" s="156"/>
      <c r="C321" s="154"/>
      <c r="D321" s="100"/>
      <c r="E321" s="357"/>
      <c r="F321" s="156"/>
      <c r="G321" s="154"/>
      <c r="H321" s="100"/>
      <c r="I321" s="357"/>
      <c r="J321" s="156"/>
      <c r="K321" s="154"/>
      <c r="L321" s="100"/>
      <c r="M321" s="357"/>
      <c r="N321" s="156"/>
      <c r="O321" s="154"/>
      <c r="P321" s="100"/>
      <c r="Q321" s="357"/>
      <c r="R321" s="156"/>
      <c r="S321" s="154"/>
      <c r="T321" s="100"/>
      <c r="U321" s="357"/>
      <c r="V321" s="156"/>
      <c r="W321" s="154"/>
      <c r="X321" s="100"/>
      <c r="Y321" s="357"/>
      <c r="Z321" s="100"/>
      <c r="AA321" s="100"/>
      <c r="AB321" s="100"/>
      <c r="AC321" s="357"/>
      <c r="AD321" s="367"/>
      <c r="AE321" s="368"/>
      <c r="AF321" s="98"/>
      <c r="AG321" s="357"/>
      <c r="AH321" s="156"/>
      <c r="AI321" s="305"/>
      <c r="AJ321" s="366"/>
      <c r="AK321" s="357"/>
      <c r="AL321" s="371"/>
      <c r="AM321" s="371"/>
      <c r="AN321" s="371"/>
      <c r="AO321" s="357"/>
      <c r="AP321" s="100"/>
      <c r="AQ321" s="100"/>
      <c r="AR321" s="100"/>
      <c r="AS321" s="357"/>
      <c r="AT321" s="100"/>
      <c r="AU321" s="100"/>
      <c r="AV321" s="100"/>
    </row>
    <row r="322">
      <c r="A322" s="357"/>
      <c r="B322" s="156"/>
      <c r="C322" s="154"/>
      <c r="D322" s="100"/>
      <c r="E322" s="357"/>
      <c r="F322" s="156"/>
      <c r="G322" s="154"/>
      <c r="H322" s="100"/>
      <c r="I322" s="357"/>
      <c r="J322" s="156"/>
      <c r="K322" s="154"/>
      <c r="L322" s="100"/>
      <c r="M322" s="357"/>
      <c r="N322" s="156"/>
      <c r="O322" s="154"/>
      <c r="P322" s="100"/>
      <c r="Q322" s="357"/>
      <c r="R322" s="156"/>
      <c r="S322" s="154"/>
      <c r="T322" s="100"/>
      <c r="U322" s="357"/>
      <c r="V322" s="156"/>
      <c r="W322" s="154"/>
      <c r="X322" s="100"/>
      <c r="Y322" s="357"/>
      <c r="Z322" s="100"/>
      <c r="AA322" s="100"/>
      <c r="AB322" s="100"/>
      <c r="AC322" s="357"/>
      <c r="AD322" s="367"/>
      <c r="AE322" s="368"/>
      <c r="AF322" s="98"/>
      <c r="AG322" s="357"/>
      <c r="AH322" s="156"/>
      <c r="AI322" s="305"/>
      <c r="AJ322" s="366"/>
      <c r="AK322" s="357"/>
      <c r="AL322" s="371"/>
      <c r="AM322" s="371"/>
      <c r="AN322" s="371"/>
      <c r="AO322" s="357"/>
      <c r="AP322" s="100"/>
      <c r="AQ322" s="100"/>
      <c r="AR322" s="100"/>
      <c r="AS322" s="357"/>
      <c r="AT322" s="100"/>
      <c r="AU322" s="100"/>
      <c r="AV322" s="100"/>
    </row>
    <row r="323">
      <c r="A323" s="357"/>
      <c r="B323" s="156"/>
      <c r="C323" s="154"/>
      <c r="D323" s="100"/>
      <c r="E323" s="357"/>
      <c r="F323" s="156"/>
      <c r="G323" s="154"/>
      <c r="H323" s="100"/>
      <c r="I323" s="357"/>
      <c r="J323" s="156"/>
      <c r="K323" s="154"/>
      <c r="L323" s="100"/>
      <c r="M323" s="357"/>
      <c r="N323" s="156"/>
      <c r="O323" s="154"/>
      <c r="P323" s="100"/>
      <c r="Q323" s="357"/>
      <c r="R323" s="156"/>
      <c r="S323" s="154"/>
      <c r="T323" s="100"/>
      <c r="U323" s="357"/>
      <c r="V323" s="156"/>
      <c r="W323" s="154"/>
      <c r="X323" s="100"/>
      <c r="Y323" s="357"/>
      <c r="Z323" s="100"/>
      <c r="AA323" s="100"/>
      <c r="AB323" s="100"/>
      <c r="AC323" s="357"/>
      <c r="AD323" s="367"/>
      <c r="AE323" s="368"/>
      <c r="AF323" s="98"/>
      <c r="AG323" s="357"/>
      <c r="AH323" s="156"/>
      <c r="AI323" s="305"/>
      <c r="AJ323" s="366"/>
      <c r="AK323" s="357"/>
      <c r="AL323" s="371"/>
      <c r="AM323" s="371"/>
      <c r="AN323" s="371"/>
      <c r="AO323" s="357"/>
      <c r="AP323" s="100"/>
      <c r="AQ323" s="100"/>
      <c r="AR323" s="100"/>
      <c r="AS323" s="357"/>
      <c r="AT323" s="100"/>
      <c r="AU323" s="100"/>
      <c r="AV323" s="100"/>
    </row>
    <row r="324">
      <c r="A324" s="357"/>
      <c r="B324" s="156"/>
      <c r="C324" s="154"/>
      <c r="D324" s="100"/>
      <c r="E324" s="357"/>
      <c r="F324" s="156"/>
      <c r="G324" s="154"/>
      <c r="H324" s="100"/>
      <c r="I324" s="357"/>
      <c r="J324" s="156"/>
      <c r="K324" s="154"/>
      <c r="L324" s="100"/>
      <c r="M324" s="357"/>
      <c r="N324" s="156"/>
      <c r="O324" s="154"/>
      <c r="P324" s="100"/>
      <c r="Q324" s="357"/>
      <c r="R324" s="156"/>
      <c r="S324" s="154"/>
      <c r="T324" s="100"/>
      <c r="U324" s="357"/>
      <c r="V324" s="156"/>
      <c r="W324" s="154"/>
      <c r="X324" s="100"/>
      <c r="Y324" s="357"/>
      <c r="Z324" s="100"/>
      <c r="AA324" s="100"/>
      <c r="AB324" s="100"/>
      <c r="AC324" s="357"/>
      <c r="AD324" s="367"/>
      <c r="AE324" s="368"/>
      <c r="AF324" s="98"/>
      <c r="AG324" s="357"/>
      <c r="AH324" s="156"/>
      <c r="AI324" s="305"/>
      <c r="AJ324" s="366"/>
      <c r="AK324" s="357"/>
      <c r="AL324" s="371"/>
      <c r="AM324" s="371"/>
      <c r="AN324" s="371"/>
      <c r="AO324" s="357"/>
      <c r="AP324" s="100"/>
      <c r="AQ324" s="100"/>
      <c r="AR324" s="100"/>
      <c r="AS324" s="357"/>
      <c r="AT324" s="100"/>
      <c r="AU324" s="100"/>
      <c r="AV324" s="100"/>
    </row>
    <row r="325">
      <c r="A325" s="357"/>
      <c r="B325" s="156"/>
      <c r="C325" s="154"/>
      <c r="D325" s="100"/>
      <c r="E325" s="357"/>
      <c r="F325" s="156"/>
      <c r="G325" s="154"/>
      <c r="H325" s="100"/>
      <c r="I325" s="357"/>
      <c r="J325" s="156"/>
      <c r="K325" s="154"/>
      <c r="L325" s="100"/>
      <c r="M325" s="357"/>
      <c r="N325" s="156"/>
      <c r="O325" s="154"/>
      <c r="P325" s="100"/>
      <c r="Q325" s="357"/>
      <c r="R325" s="156"/>
      <c r="S325" s="154"/>
      <c r="T325" s="100"/>
      <c r="U325" s="357"/>
      <c r="V325" s="156"/>
      <c r="W325" s="154"/>
      <c r="X325" s="100"/>
      <c r="Y325" s="357"/>
      <c r="Z325" s="100"/>
      <c r="AA325" s="100"/>
      <c r="AB325" s="100"/>
      <c r="AC325" s="357"/>
      <c r="AD325" s="367"/>
      <c r="AE325" s="368"/>
      <c r="AF325" s="98"/>
      <c r="AG325" s="357"/>
      <c r="AH325" s="156"/>
      <c r="AI325" s="305"/>
      <c r="AJ325" s="366"/>
      <c r="AK325" s="357"/>
      <c r="AL325" s="371"/>
      <c r="AM325" s="371"/>
      <c r="AN325" s="371"/>
      <c r="AO325" s="357"/>
      <c r="AP325" s="100"/>
      <c r="AQ325" s="100"/>
      <c r="AR325" s="100"/>
      <c r="AS325" s="357"/>
      <c r="AT325" s="100"/>
      <c r="AU325" s="100"/>
      <c r="AV325" s="100"/>
    </row>
    <row r="326">
      <c r="A326" s="357"/>
      <c r="B326" s="156"/>
      <c r="C326" s="154"/>
      <c r="D326" s="100"/>
      <c r="E326" s="357"/>
      <c r="F326" s="156"/>
      <c r="G326" s="154"/>
      <c r="H326" s="100"/>
      <c r="I326" s="357"/>
      <c r="J326" s="156"/>
      <c r="K326" s="154"/>
      <c r="L326" s="100"/>
      <c r="M326" s="357"/>
      <c r="N326" s="156"/>
      <c r="O326" s="154"/>
      <c r="P326" s="100"/>
      <c r="Q326" s="357"/>
      <c r="R326" s="156"/>
      <c r="S326" s="154"/>
      <c r="T326" s="100"/>
      <c r="U326" s="357"/>
      <c r="V326" s="156"/>
      <c r="W326" s="154"/>
      <c r="X326" s="100"/>
      <c r="Y326" s="357"/>
      <c r="Z326" s="100"/>
      <c r="AA326" s="100"/>
      <c r="AB326" s="100"/>
      <c r="AC326" s="357"/>
      <c r="AD326" s="367"/>
      <c r="AE326" s="368"/>
      <c r="AF326" s="98"/>
      <c r="AG326" s="357"/>
      <c r="AH326" s="156"/>
      <c r="AI326" s="305"/>
      <c r="AJ326" s="366"/>
      <c r="AK326" s="357"/>
      <c r="AL326" s="371"/>
      <c r="AM326" s="371"/>
      <c r="AN326" s="371"/>
      <c r="AO326" s="357"/>
      <c r="AP326" s="100"/>
      <c r="AQ326" s="100"/>
      <c r="AR326" s="100"/>
      <c r="AS326" s="357"/>
      <c r="AT326" s="100"/>
      <c r="AU326" s="100"/>
      <c r="AV326" s="100"/>
    </row>
    <row r="327">
      <c r="A327" s="357"/>
      <c r="B327" s="156"/>
      <c r="C327" s="154"/>
      <c r="D327" s="100"/>
      <c r="E327" s="357"/>
      <c r="F327" s="156"/>
      <c r="G327" s="154"/>
      <c r="H327" s="100"/>
      <c r="I327" s="357"/>
      <c r="J327" s="156"/>
      <c r="K327" s="154"/>
      <c r="L327" s="100"/>
      <c r="M327" s="357"/>
      <c r="N327" s="156"/>
      <c r="O327" s="154"/>
      <c r="P327" s="100"/>
      <c r="Q327" s="357"/>
      <c r="R327" s="156"/>
      <c r="S327" s="154"/>
      <c r="T327" s="100"/>
      <c r="U327" s="357"/>
      <c r="V327" s="156"/>
      <c r="W327" s="154"/>
      <c r="X327" s="100"/>
      <c r="Y327" s="357"/>
      <c r="Z327" s="100"/>
      <c r="AA327" s="100"/>
      <c r="AB327" s="100"/>
      <c r="AC327" s="357"/>
      <c r="AD327" s="367"/>
      <c r="AE327" s="368"/>
      <c r="AF327" s="98"/>
      <c r="AG327" s="357"/>
      <c r="AH327" s="156"/>
      <c r="AI327" s="305"/>
      <c r="AJ327" s="366"/>
      <c r="AK327" s="357"/>
      <c r="AL327" s="371"/>
      <c r="AM327" s="371"/>
      <c r="AN327" s="371"/>
      <c r="AO327" s="357"/>
      <c r="AP327" s="100"/>
      <c r="AQ327" s="100"/>
      <c r="AR327" s="100"/>
      <c r="AS327" s="357"/>
      <c r="AT327" s="100"/>
      <c r="AU327" s="100"/>
      <c r="AV327" s="100"/>
    </row>
    <row r="328">
      <c r="A328" s="357"/>
      <c r="B328" s="156"/>
      <c r="C328" s="154"/>
      <c r="D328" s="100"/>
      <c r="E328" s="357"/>
      <c r="F328" s="156"/>
      <c r="G328" s="154"/>
      <c r="H328" s="100"/>
      <c r="I328" s="357"/>
      <c r="J328" s="156"/>
      <c r="K328" s="154"/>
      <c r="L328" s="100"/>
      <c r="M328" s="357"/>
      <c r="N328" s="156"/>
      <c r="O328" s="154"/>
      <c r="P328" s="100"/>
      <c r="Q328" s="357"/>
      <c r="R328" s="156"/>
      <c r="S328" s="154"/>
      <c r="T328" s="100"/>
      <c r="U328" s="357"/>
      <c r="V328" s="156"/>
      <c r="W328" s="154"/>
      <c r="X328" s="100"/>
      <c r="Y328" s="357"/>
      <c r="Z328" s="100"/>
      <c r="AA328" s="100"/>
      <c r="AB328" s="100"/>
      <c r="AC328" s="357"/>
      <c r="AD328" s="367"/>
      <c r="AE328" s="368"/>
      <c r="AF328" s="98"/>
      <c r="AG328" s="357"/>
      <c r="AH328" s="156"/>
      <c r="AI328" s="305"/>
      <c r="AJ328" s="366"/>
      <c r="AK328" s="357"/>
      <c r="AL328" s="371"/>
      <c r="AM328" s="371"/>
      <c r="AN328" s="371"/>
      <c r="AO328" s="357"/>
      <c r="AP328" s="100"/>
      <c r="AQ328" s="100"/>
      <c r="AR328" s="100"/>
      <c r="AS328" s="357"/>
      <c r="AT328" s="100"/>
      <c r="AU328" s="100"/>
      <c r="AV328" s="100"/>
    </row>
    <row r="329">
      <c r="A329" s="357"/>
      <c r="B329" s="156"/>
      <c r="C329" s="154"/>
      <c r="D329" s="100"/>
      <c r="E329" s="357"/>
      <c r="F329" s="156"/>
      <c r="G329" s="154"/>
      <c r="H329" s="100"/>
      <c r="I329" s="357"/>
      <c r="J329" s="156"/>
      <c r="K329" s="154"/>
      <c r="L329" s="100"/>
      <c r="M329" s="357"/>
      <c r="N329" s="156"/>
      <c r="O329" s="154"/>
      <c r="P329" s="100"/>
      <c r="Q329" s="357"/>
      <c r="R329" s="156"/>
      <c r="S329" s="154"/>
      <c r="T329" s="100"/>
      <c r="U329" s="357"/>
      <c r="V329" s="156"/>
      <c r="W329" s="154"/>
      <c r="X329" s="100"/>
      <c r="Y329" s="357"/>
      <c r="Z329" s="100"/>
      <c r="AA329" s="100"/>
      <c r="AB329" s="100"/>
      <c r="AC329" s="357"/>
      <c r="AD329" s="367"/>
      <c r="AE329" s="368"/>
      <c r="AF329" s="98"/>
      <c r="AG329" s="357"/>
      <c r="AH329" s="156"/>
      <c r="AI329" s="305"/>
      <c r="AJ329" s="366"/>
      <c r="AK329" s="357"/>
      <c r="AL329" s="371"/>
      <c r="AM329" s="371"/>
      <c r="AN329" s="371"/>
      <c r="AO329" s="357"/>
      <c r="AP329" s="100"/>
      <c r="AQ329" s="100"/>
      <c r="AR329" s="100"/>
      <c r="AS329" s="357"/>
      <c r="AT329" s="100"/>
      <c r="AU329" s="100"/>
      <c r="AV329" s="100"/>
    </row>
    <row r="330">
      <c r="A330" s="357"/>
      <c r="B330" s="156"/>
      <c r="C330" s="154"/>
      <c r="D330" s="100"/>
      <c r="E330" s="357"/>
      <c r="F330" s="156"/>
      <c r="G330" s="154"/>
      <c r="H330" s="100"/>
      <c r="I330" s="357"/>
      <c r="J330" s="156"/>
      <c r="K330" s="154"/>
      <c r="L330" s="100"/>
      <c r="M330" s="357"/>
      <c r="N330" s="156"/>
      <c r="O330" s="154"/>
      <c r="P330" s="100"/>
      <c r="Q330" s="357"/>
      <c r="R330" s="156"/>
      <c r="S330" s="154"/>
      <c r="T330" s="100"/>
      <c r="U330" s="357"/>
      <c r="V330" s="156"/>
      <c r="W330" s="154"/>
      <c r="X330" s="100"/>
      <c r="Y330" s="357"/>
      <c r="Z330" s="100"/>
      <c r="AA330" s="100"/>
      <c r="AB330" s="100"/>
      <c r="AC330" s="357"/>
      <c r="AD330" s="367"/>
      <c r="AE330" s="368"/>
      <c r="AF330" s="98"/>
      <c r="AG330" s="357"/>
      <c r="AH330" s="156"/>
      <c r="AI330" s="305"/>
      <c r="AJ330" s="366"/>
      <c r="AK330" s="357"/>
      <c r="AL330" s="371"/>
      <c r="AM330" s="371"/>
      <c r="AN330" s="371"/>
      <c r="AO330" s="357"/>
      <c r="AP330" s="100"/>
      <c r="AQ330" s="100"/>
      <c r="AR330" s="100"/>
      <c r="AS330" s="357"/>
      <c r="AT330" s="100"/>
      <c r="AU330" s="100"/>
      <c r="AV330" s="100"/>
    </row>
    <row r="331">
      <c r="A331" s="357"/>
      <c r="B331" s="156"/>
      <c r="C331" s="154"/>
      <c r="D331" s="100"/>
      <c r="E331" s="357"/>
      <c r="F331" s="156"/>
      <c r="G331" s="154"/>
      <c r="H331" s="100"/>
      <c r="I331" s="357"/>
      <c r="J331" s="156"/>
      <c r="K331" s="154"/>
      <c r="L331" s="100"/>
      <c r="M331" s="357"/>
      <c r="N331" s="156"/>
      <c r="O331" s="154"/>
      <c r="P331" s="100"/>
      <c r="Q331" s="357"/>
      <c r="R331" s="156"/>
      <c r="S331" s="154"/>
      <c r="T331" s="100"/>
      <c r="U331" s="357"/>
      <c r="V331" s="156"/>
      <c r="W331" s="154"/>
      <c r="X331" s="100"/>
      <c r="Y331" s="357"/>
      <c r="Z331" s="100"/>
      <c r="AA331" s="100"/>
      <c r="AB331" s="100"/>
      <c r="AC331" s="357"/>
      <c r="AD331" s="367"/>
      <c r="AE331" s="368"/>
      <c r="AF331" s="98"/>
      <c r="AG331" s="357"/>
      <c r="AH331" s="156"/>
      <c r="AI331" s="305"/>
      <c r="AJ331" s="366"/>
      <c r="AK331" s="357"/>
      <c r="AL331" s="371"/>
      <c r="AM331" s="371"/>
      <c r="AN331" s="371"/>
      <c r="AO331" s="357"/>
      <c r="AP331" s="100"/>
      <c r="AQ331" s="100"/>
      <c r="AR331" s="100"/>
      <c r="AS331" s="357"/>
      <c r="AT331" s="100"/>
      <c r="AU331" s="100"/>
      <c r="AV331" s="100"/>
    </row>
    <row r="332">
      <c r="A332" s="357"/>
      <c r="B332" s="156"/>
      <c r="C332" s="154"/>
      <c r="D332" s="100"/>
      <c r="E332" s="357"/>
      <c r="F332" s="156"/>
      <c r="G332" s="154"/>
      <c r="H332" s="100"/>
      <c r="I332" s="357"/>
      <c r="J332" s="156"/>
      <c r="K332" s="154"/>
      <c r="L332" s="100"/>
      <c r="M332" s="357"/>
      <c r="N332" s="156"/>
      <c r="O332" s="154"/>
      <c r="P332" s="100"/>
      <c r="Q332" s="357"/>
      <c r="R332" s="156"/>
      <c r="S332" s="154"/>
      <c r="T332" s="100"/>
      <c r="U332" s="357"/>
      <c r="V332" s="156"/>
      <c r="W332" s="154"/>
      <c r="X332" s="100"/>
      <c r="Y332" s="357"/>
      <c r="Z332" s="100"/>
      <c r="AA332" s="100"/>
      <c r="AB332" s="100"/>
      <c r="AC332" s="357"/>
      <c r="AD332" s="367"/>
      <c r="AE332" s="368"/>
      <c r="AF332" s="98"/>
      <c r="AG332" s="357"/>
      <c r="AH332" s="156"/>
      <c r="AI332" s="305"/>
      <c r="AJ332" s="366"/>
      <c r="AK332" s="357"/>
      <c r="AL332" s="371"/>
      <c r="AM332" s="371"/>
      <c r="AN332" s="371"/>
      <c r="AO332" s="357"/>
      <c r="AP332" s="100"/>
      <c r="AQ332" s="100"/>
      <c r="AR332" s="100"/>
      <c r="AS332" s="357"/>
      <c r="AT332" s="100"/>
      <c r="AU332" s="100"/>
      <c r="AV332" s="100"/>
    </row>
    <row r="333">
      <c r="A333" s="357"/>
      <c r="B333" s="156"/>
      <c r="C333" s="154"/>
      <c r="D333" s="100"/>
      <c r="E333" s="357"/>
      <c r="F333" s="156"/>
      <c r="G333" s="154"/>
      <c r="H333" s="100"/>
      <c r="I333" s="357"/>
      <c r="J333" s="156"/>
      <c r="K333" s="154"/>
      <c r="L333" s="100"/>
      <c r="M333" s="357"/>
      <c r="N333" s="156"/>
      <c r="O333" s="154"/>
      <c r="P333" s="100"/>
      <c r="Q333" s="357"/>
      <c r="R333" s="156"/>
      <c r="S333" s="154"/>
      <c r="T333" s="100"/>
      <c r="U333" s="357"/>
      <c r="V333" s="156"/>
      <c r="W333" s="154"/>
      <c r="X333" s="100"/>
      <c r="Y333" s="357"/>
      <c r="Z333" s="100"/>
      <c r="AA333" s="100"/>
      <c r="AB333" s="100"/>
      <c r="AC333" s="357"/>
      <c r="AD333" s="367"/>
      <c r="AE333" s="368"/>
      <c r="AF333" s="98"/>
      <c r="AG333" s="357"/>
      <c r="AH333" s="156"/>
      <c r="AI333" s="305"/>
      <c r="AJ333" s="366"/>
      <c r="AK333" s="357"/>
      <c r="AL333" s="371"/>
      <c r="AM333" s="371"/>
      <c r="AN333" s="371"/>
      <c r="AO333" s="357"/>
      <c r="AP333" s="100"/>
      <c r="AQ333" s="100"/>
      <c r="AR333" s="100"/>
      <c r="AS333" s="357"/>
      <c r="AT333" s="100"/>
      <c r="AU333" s="100"/>
      <c r="AV333" s="100"/>
    </row>
    <row r="334">
      <c r="A334" s="357"/>
      <c r="B334" s="156"/>
      <c r="C334" s="154"/>
      <c r="D334" s="100"/>
      <c r="E334" s="357"/>
      <c r="F334" s="156"/>
      <c r="G334" s="154"/>
      <c r="H334" s="100"/>
      <c r="I334" s="357"/>
      <c r="J334" s="156"/>
      <c r="K334" s="154"/>
      <c r="L334" s="100"/>
      <c r="M334" s="357"/>
      <c r="N334" s="156"/>
      <c r="O334" s="154"/>
      <c r="P334" s="100"/>
      <c r="Q334" s="357"/>
      <c r="R334" s="156"/>
      <c r="S334" s="154"/>
      <c r="T334" s="100"/>
      <c r="U334" s="357"/>
      <c r="V334" s="156"/>
      <c r="W334" s="154"/>
      <c r="X334" s="100"/>
      <c r="Y334" s="357"/>
      <c r="Z334" s="100"/>
      <c r="AA334" s="100"/>
      <c r="AB334" s="100"/>
      <c r="AC334" s="357"/>
      <c r="AD334" s="367"/>
      <c r="AE334" s="368"/>
      <c r="AF334" s="98"/>
      <c r="AG334" s="357"/>
      <c r="AH334" s="156"/>
      <c r="AI334" s="305"/>
      <c r="AJ334" s="366"/>
      <c r="AK334" s="357"/>
      <c r="AL334" s="371"/>
      <c r="AM334" s="371"/>
      <c r="AN334" s="371"/>
      <c r="AO334" s="357"/>
      <c r="AP334" s="100"/>
      <c r="AQ334" s="100"/>
      <c r="AR334" s="100"/>
      <c r="AS334" s="357"/>
      <c r="AT334" s="100"/>
      <c r="AU334" s="100"/>
      <c r="AV334" s="100"/>
    </row>
    <row r="335">
      <c r="A335" s="357"/>
      <c r="B335" s="156"/>
      <c r="C335" s="154"/>
      <c r="D335" s="100"/>
      <c r="E335" s="357"/>
      <c r="F335" s="156"/>
      <c r="G335" s="154"/>
      <c r="H335" s="100"/>
      <c r="I335" s="357"/>
      <c r="J335" s="156"/>
      <c r="K335" s="154"/>
      <c r="L335" s="100"/>
      <c r="M335" s="357"/>
      <c r="N335" s="156"/>
      <c r="O335" s="154"/>
      <c r="P335" s="100"/>
      <c r="Q335" s="357"/>
      <c r="R335" s="156"/>
      <c r="S335" s="154"/>
      <c r="T335" s="100"/>
      <c r="U335" s="357"/>
      <c r="V335" s="156"/>
      <c r="W335" s="154"/>
      <c r="X335" s="100"/>
      <c r="Y335" s="357"/>
      <c r="Z335" s="100"/>
      <c r="AA335" s="100"/>
      <c r="AB335" s="100"/>
      <c r="AC335" s="357"/>
      <c r="AD335" s="367"/>
      <c r="AE335" s="368"/>
      <c r="AF335" s="98"/>
      <c r="AG335" s="357"/>
      <c r="AH335" s="156"/>
      <c r="AI335" s="305"/>
      <c r="AJ335" s="366"/>
      <c r="AK335" s="357"/>
      <c r="AL335" s="371"/>
      <c r="AM335" s="371"/>
      <c r="AN335" s="371"/>
      <c r="AO335" s="357"/>
      <c r="AP335" s="100"/>
      <c r="AQ335" s="100"/>
      <c r="AR335" s="100"/>
      <c r="AS335" s="357"/>
      <c r="AT335" s="100"/>
      <c r="AU335" s="100"/>
      <c r="AV335" s="100"/>
    </row>
    <row r="336">
      <c r="A336" s="357"/>
      <c r="B336" s="156"/>
      <c r="C336" s="154"/>
      <c r="D336" s="100"/>
      <c r="E336" s="357"/>
      <c r="F336" s="156"/>
      <c r="G336" s="154"/>
      <c r="H336" s="100"/>
      <c r="I336" s="357"/>
      <c r="J336" s="156"/>
      <c r="K336" s="154"/>
      <c r="L336" s="100"/>
      <c r="M336" s="357"/>
      <c r="N336" s="156"/>
      <c r="O336" s="154"/>
      <c r="P336" s="100"/>
      <c r="Q336" s="357"/>
      <c r="R336" s="156"/>
      <c r="S336" s="154"/>
      <c r="T336" s="100"/>
      <c r="U336" s="357"/>
      <c r="V336" s="156"/>
      <c r="W336" s="154"/>
      <c r="X336" s="100"/>
      <c r="Y336" s="357"/>
      <c r="Z336" s="100"/>
      <c r="AA336" s="100"/>
      <c r="AB336" s="100"/>
      <c r="AC336" s="357"/>
      <c r="AD336" s="367"/>
      <c r="AE336" s="368"/>
      <c r="AF336" s="98"/>
      <c r="AG336" s="357"/>
      <c r="AH336" s="156"/>
      <c r="AI336" s="305"/>
      <c r="AJ336" s="366"/>
      <c r="AK336" s="357"/>
      <c r="AL336" s="371"/>
      <c r="AM336" s="371"/>
      <c r="AN336" s="371"/>
      <c r="AO336" s="357"/>
      <c r="AP336" s="100"/>
      <c r="AQ336" s="100"/>
      <c r="AR336" s="100"/>
      <c r="AS336" s="357"/>
      <c r="AT336" s="100"/>
      <c r="AU336" s="100"/>
      <c r="AV336" s="100"/>
    </row>
    <row r="337">
      <c r="A337" s="357"/>
      <c r="B337" s="156"/>
      <c r="C337" s="154"/>
      <c r="D337" s="100"/>
      <c r="E337" s="357"/>
      <c r="F337" s="156"/>
      <c r="G337" s="154"/>
      <c r="H337" s="100"/>
      <c r="I337" s="357"/>
      <c r="J337" s="156"/>
      <c r="K337" s="154"/>
      <c r="L337" s="100"/>
      <c r="M337" s="357"/>
      <c r="N337" s="156"/>
      <c r="O337" s="154"/>
      <c r="P337" s="100"/>
      <c r="Q337" s="357"/>
      <c r="R337" s="156"/>
      <c r="S337" s="154"/>
      <c r="T337" s="100"/>
      <c r="U337" s="357"/>
      <c r="V337" s="156"/>
      <c r="W337" s="154"/>
      <c r="X337" s="100"/>
      <c r="Y337" s="357"/>
      <c r="Z337" s="100"/>
      <c r="AA337" s="100"/>
      <c r="AB337" s="100"/>
      <c r="AC337" s="357"/>
      <c r="AD337" s="367"/>
      <c r="AE337" s="368"/>
      <c r="AF337" s="98"/>
      <c r="AG337" s="357"/>
      <c r="AH337" s="156"/>
      <c r="AI337" s="305"/>
      <c r="AJ337" s="366"/>
      <c r="AK337" s="357"/>
      <c r="AL337" s="371"/>
      <c r="AM337" s="371"/>
      <c r="AN337" s="371"/>
      <c r="AO337" s="357"/>
      <c r="AP337" s="100"/>
      <c r="AQ337" s="100"/>
      <c r="AR337" s="100"/>
      <c r="AS337" s="357"/>
      <c r="AT337" s="100"/>
      <c r="AU337" s="100"/>
      <c r="AV337" s="100"/>
    </row>
    <row r="338">
      <c r="A338" s="357"/>
      <c r="B338" s="156"/>
      <c r="C338" s="154"/>
      <c r="D338" s="100"/>
      <c r="E338" s="357"/>
      <c r="F338" s="156"/>
      <c r="G338" s="154"/>
      <c r="H338" s="100"/>
      <c r="I338" s="357"/>
      <c r="J338" s="156"/>
      <c r="K338" s="154"/>
      <c r="L338" s="100"/>
      <c r="M338" s="357"/>
      <c r="N338" s="156"/>
      <c r="O338" s="154"/>
      <c r="P338" s="100"/>
      <c r="Q338" s="357"/>
      <c r="R338" s="156"/>
      <c r="S338" s="154"/>
      <c r="T338" s="100"/>
      <c r="U338" s="357"/>
      <c r="V338" s="156"/>
      <c r="W338" s="154"/>
      <c r="X338" s="100"/>
      <c r="Y338" s="357"/>
      <c r="Z338" s="100"/>
      <c r="AA338" s="100"/>
      <c r="AB338" s="100"/>
      <c r="AC338" s="357"/>
      <c r="AD338" s="367"/>
      <c r="AE338" s="368"/>
      <c r="AF338" s="98"/>
      <c r="AG338" s="357"/>
      <c r="AH338" s="156"/>
      <c r="AI338" s="305"/>
      <c r="AJ338" s="366"/>
      <c r="AK338" s="357"/>
      <c r="AL338" s="371"/>
      <c r="AM338" s="371"/>
      <c r="AN338" s="371"/>
      <c r="AO338" s="357"/>
      <c r="AP338" s="100"/>
      <c r="AQ338" s="100"/>
      <c r="AR338" s="100"/>
      <c r="AS338" s="357"/>
      <c r="AT338" s="100"/>
      <c r="AU338" s="100"/>
      <c r="AV338" s="100"/>
    </row>
    <row r="339">
      <c r="A339" s="357"/>
      <c r="B339" s="156"/>
      <c r="C339" s="154"/>
      <c r="D339" s="100"/>
      <c r="E339" s="357"/>
      <c r="F339" s="156"/>
      <c r="G339" s="154"/>
      <c r="H339" s="100"/>
      <c r="I339" s="357"/>
      <c r="J339" s="156"/>
      <c r="K339" s="154"/>
      <c r="L339" s="100"/>
      <c r="M339" s="357"/>
      <c r="N339" s="156"/>
      <c r="O339" s="154"/>
      <c r="P339" s="100"/>
      <c r="Q339" s="357"/>
      <c r="R339" s="156"/>
      <c r="S339" s="154"/>
      <c r="T339" s="100"/>
      <c r="U339" s="357"/>
      <c r="V339" s="156"/>
      <c r="W339" s="154"/>
      <c r="X339" s="100"/>
      <c r="Y339" s="357"/>
      <c r="Z339" s="100"/>
      <c r="AA339" s="100"/>
      <c r="AB339" s="100"/>
      <c r="AC339" s="357"/>
      <c r="AD339" s="367"/>
      <c r="AE339" s="368"/>
      <c r="AF339" s="98"/>
      <c r="AG339" s="357"/>
      <c r="AH339" s="156"/>
      <c r="AI339" s="305"/>
      <c r="AJ339" s="366"/>
      <c r="AK339" s="357"/>
      <c r="AL339" s="371"/>
      <c r="AM339" s="371"/>
      <c r="AN339" s="371"/>
      <c r="AO339" s="357"/>
      <c r="AP339" s="100"/>
      <c r="AQ339" s="100"/>
      <c r="AR339" s="100"/>
      <c r="AS339" s="357"/>
      <c r="AT339" s="100"/>
      <c r="AU339" s="100"/>
      <c r="AV339" s="100"/>
    </row>
    <row r="340">
      <c r="A340" s="357"/>
      <c r="B340" s="156"/>
      <c r="C340" s="154"/>
      <c r="D340" s="100"/>
      <c r="E340" s="357"/>
      <c r="F340" s="156"/>
      <c r="G340" s="154"/>
      <c r="H340" s="100"/>
      <c r="I340" s="357"/>
      <c r="J340" s="156"/>
      <c r="K340" s="154"/>
      <c r="L340" s="100"/>
      <c r="M340" s="357"/>
      <c r="N340" s="156"/>
      <c r="O340" s="154"/>
      <c r="P340" s="100"/>
      <c r="Q340" s="357"/>
      <c r="R340" s="156"/>
      <c r="S340" s="154"/>
      <c r="T340" s="100"/>
      <c r="U340" s="357"/>
      <c r="V340" s="156"/>
      <c r="W340" s="154"/>
      <c r="X340" s="100"/>
      <c r="Y340" s="357"/>
      <c r="Z340" s="100"/>
      <c r="AA340" s="100"/>
      <c r="AB340" s="100"/>
      <c r="AC340" s="357"/>
      <c r="AD340" s="367"/>
      <c r="AE340" s="368"/>
      <c r="AF340" s="98"/>
      <c r="AG340" s="357"/>
      <c r="AH340" s="156"/>
      <c r="AI340" s="305"/>
      <c r="AJ340" s="366"/>
      <c r="AK340" s="357"/>
      <c r="AL340" s="371"/>
      <c r="AM340" s="371"/>
      <c r="AN340" s="371"/>
      <c r="AO340" s="357"/>
      <c r="AP340" s="100"/>
      <c r="AQ340" s="100"/>
      <c r="AR340" s="100"/>
      <c r="AS340" s="357"/>
      <c r="AT340" s="100"/>
      <c r="AU340" s="100"/>
      <c r="AV340" s="100"/>
    </row>
    <row r="341">
      <c r="A341" s="357"/>
      <c r="B341" s="156"/>
      <c r="C341" s="154"/>
      <c r="D341" s="100"/>
      <c r="E341" s="357"/>
      <c r="F341" s="156"/>
      <c r="G341" s="154"/>
      <c r="H341" s="100"/>
      <c r="I341" s="357"/>
      <c r="J341" s="156"/>
      <c r="K341" s="154"/>
      <c r="L341" s="100"/>
      <c r="M341" s="357"/>
      <c r="N341" s="156"/>
      <c r="O341" s="154"/>
      <c r="P341" s="100"/>
      <c r="Q341" s="357"/>
      <c r="R341" s="156"/>
      <c r="S341" s="154"/>
      <c r="T341" s="100"/>
      <c r="U341" s="357"/>
      <c r="V341" s="156"/>
      <c r="W341" s="154"/>
      <c r="X341" s="100"/>
      <c r="Y341" s="357"/>
      <c r="Z341" s="100"/>
      <c r="AA341" s="100"/>
      <c r="AB341" s="100"/>
      <c r="AC341" s="357"/>
      <c r="AD341" s="367"/>
      <c r="AE341" s="368"/>
      <c r="AF341" s="98"/>
      <c r="AG341" s="357"/>
      <c r="AH341" s="156"/>
      <c r="AI341" s="305"/>
      <c r="AJ341" s="366"/>
      <c r="AK341" s="357"/>
      <c r="AL341" s="371"/>
      <c r="AM341" s="371"/>
      <c r="AN341" s="371"/>
      <c r="AO341" s="357"/>
      <c r="AP341" s="100"/>
      <c r="AQ341" s="100"/>
      <c r="AR341" s="100"/>
      <c r="AS341" s="357"/>
      <c r="AT341" s="100"/>
      <c r="AU341" s="100"/>
      <c r="AV341" s="100"/>
    </row>
    <row r="342">
      <c r="A342" s="357"/>
      <c r="B342" s="156"/>
      <c r="C342" s="154"/>
      <c r="D342" s="100"/>
      <c r="E342" s="357"/>
      <c r="F342" s="156"/>
      <c r="G342" s="154"/>
      <c r="H342" s="100"/>
      <c r="I342" s="357"/>
      <c r="J342" s="156"/>
      <c r="K342" s="154"/>
      <c r="L342" s="100"/>
      <c r="M342" s="357"/>
      <c r="N342" s="156"/>
      <c r="O342" s="154"/>
      <c r="P342" s="100"/>
      <c r="Q342" s="357"/>
      <c r="R342" s="156"/>
      <c r="S342" s="154"/>
      <c r="T342" s="100"/>
      <c r="U342" s="357"/>
      <c r="V342" s="156"/>
      <c r="W342" s="154"/>
      <c r="X342" s="100"/>
      <c r="Y342" s="357"/>
      <c r="Z342" s="100"/>
      <c r="AA342" s="100"/>
      <c r="AB342" s="100"/>
      <c r="AC342" s="357"/>
      <c r="AD342" s="367"/>
      <c r="AE342" s="368"/>
      <c r="AF342" s="98"/>
      <c r="AG342" s="357"/>
      <c r="AH342" s="156"/>
      <c r="AI342" s="305"/>
      <c r="AJ342" s="366"/>
      <c r="AK342" s="357"/>
      <c r="AL342" s="371"/>
      <c r="AM342" s="371"/>
      <c r="AN342" s="371"/>
      <c r="AO342" s="357"/>
      <c r="AP342" s="100"/>
      <c r="AQ342" s="100"/>
      <c r="AR342" s="100"/>
      <c r="AS342" s="357"/>
      <c r="AT342" s="100"/>
      <c r="AU342" s="100"/>
      <c r="AV342" s="100"/>
    </row>
    <row r="343">
      <c r="A343" s="357"/>
      <c r="B343" s="156"/>
      <c r="C343" s="154"/>
      <c r="D343" s="100"/>
      <c r="E343" s="357"/>
      <c r="F343" s="156"/>
      <c r="G343" s="154"/>
      <c r="H343" s="100"/>
      <c r="I343" s="357"/>
      <c r="J343" s="156"/>
      <c r="K343" s="154"/>
      <c r="L343" s="100"/>
      <c r="M343" s="357"/>
      <c r="N343" s="156"/>
      <c r="O343" s="154"/>
      <c r="P343" s="100"/>
      <c r="Q343" s="357"/>
      <c r="R343" s="156"/>
      <c r="S343" s="154"/>
      <c r="T343" s="100"/>
      <c r="U343" s="357"/>
      <c r="V343" s="156"/>
      <c r="W343" s="154"/>
      <c r="X343" s="100"/>
      <c r="Y343" s="357"/>
      <c r="Z343" s="100"/>
      <c r="AA343" s="100"/>
      <c r="AB343" s="100"/>
      <c r="AC343" s="357"/>
      <c r="AD343" s="367"/>
      <c r="AE343" s="368"/>
      <c r="AF343" s="98"/>
      <c r="AG343" s="357"/>
      <c r="AH343" s="156"/>
      <c r="AI343" s="305"/>
      <c r="AJ343" s="366"/>
      <c r="AK343" s="357"/>
      <c r="AL343" s="371"/>
      <c r="AM343" s="371"/>
      <c r="AN343" s="371"/>
      <c r="AO343" s="357"/>
      <c r="AP343" s="100"/>
      <c r="AQ343" s="100"/>
      <c r="AR343" s="100"/>
      <c r="AS343" s="357"/>
      <c r="AT343" s="100"/>
      <c r="AU343" s="100"/>
      <c r="AV343" s="100"/>
    </row>
    <row r="344">
      <c r="A344" s="357"/>
      <c r="B344" s="156"/>
      <c r="C344" s="154"/>
      <c r="D344" s="100"/>
      <c r="E344" s="357"/>
      <c r="F344" s="156"/>
      <c r="G344" s="154"/>
      <c r="H344" s="100"/>
      <c r="I344" s="357"/>
      <c r="J344" s="156"/>
      <c r="K344" s="154"/>
      <c r="L344" s="100"/>
      <c r="M344" s="357"/>
      <c r="N344" s="156"/>
      <c r="O344" s="154"/>
      <c r="P344" s="100"/>
      <c r="Q344" s="357"/>
      <c r="R344" s="156"/>
      <c r="S344" s="154"/>
      <c r="T344" s="100"/>
      <c r="U344" s="357"/>
      <c r="V344" s="156"/>
      <c r="W344" s="154"/>
      <c r="X344" s="100"/>
      <c r="Y344" s="357"/>
      <c r="Z344" s="100"/>
      <c r="AA344" s="100"/>
      <c r="AB344" s="100"/>
      <c r="AC344" s="357"/>
      <c r="AD344" s="367"/>
      <c r="AE344" s="368"/>
      <c r="AF344" s="98"/>
      <c r="AG344" s="357"/>
      <c r="AH344" s="156"/>
      <c r="AI344" s="305"/>
      <c r="AJ344" s="366"/>
      <c r="AK344" s="357"/>
      <c r="AL344" s="371"/>
      <c r="AM344" s="371"/>
      <c r="AN344" s="371"/>
      <c r="AO344" s="357"/>
      <c r="AP344" s="100"/>
      <c r="AQ344" s="100"/>
      <c r="AR344" s="100"/>
      <c r="AS344" s="357"/>
      <c r="AT344" s="100"/>
      <c r="AU344" s="100"/>
      <c r="AV344" s="100"/>
    </row>
    <row r="345">
      <c r="A345" s="357"/>
      <c r="B345" s="156"/>
      <c r="C345" s="154"/>
      <c r="D345" s="100"/>
      <c r="E345" s="357"/>
      <c r="F345" s="156"/>
      <c r="G345" s="154"/>
      <c r="H345" s="100"/>
      <c r="I345" s="357"/>
      <c r="J345" s="156"/>
      <c r="K345" s="154"/>
      <c r="L345" s="100"/>
      <c r="M345" s="357"/>
      <c r="N345" s="156"/>
      <c r="O345" s="154"/>
      <c r="P345" s="100"/>
      <c r="Q345" s="357"/>
      <c r="R345" s="156"/>
      <c r="S345" s="154"/>
      <c r="T345" s="100"/>
      <c r="U345" s="357"/>
      <c r="V345" s="156"/>
      <c r="W345" s="154"/>
      <c r="X345" s="100"/>
      <c r="Y345" s="357"/>
      <c r="Z345" s="100"/>
      <c r="AA345" s="100"/>
      <c r="AB345" s="100"/>
      <c r="AC345" s="357"/>
      <c r="AD345" s="367"/>
      <c r="AE345" s="368"/>
      <c r="AF345" s="98"/>
      <c r="AG345" s="357"/>
      <c r="AH345" s="156"/>
      <c r="AI345" s="305"/>
      <c r="AJ345" s="366"/>
      <c r="AK345" s="357"/>
      <c r="AL345" s="371"/>
      <c r="AM345" s="371"/>
      <c r="AN345" s="371"/>
      <c r="AO345" s="357"/>
      <c r="AP345" s="100"/>
      <c r="AQ345" s="100"/>
      <c r="AR345" s="100"/>
      <c r="AS345" s="357"/>
      <c r="AT345" s="100"/>
      <c r="AU345" s="100"/>
      <c r="AV345" s="100"/>
    </row>
    <row r="346">
      <c r="A346" s="357"/>
      <c r="B346" s="156"/>
      <c r="C346" s="154"/>
      <c r="D346" s="100"/>
      <c r="E346" s="357"/>
      <c r="F346" s="156"/>
      <c r="G346" s="154"/>
      <c r="H346" s="100"/>
      <c r="I346" s="357"/>
      <c r="J346" s="156"/>
      <c r="K346" s="154"/>
      <c r="L346" s="100"/>
      <c r="M346" s="357"/>
      <c r="N346" s="156"/>
      <c r="O346" s="154"/>
      <c r="P346" s="100"/>
      <c r="Q346" s="357"/>
      <c r="R346" s="156"/>
      <c r="S346" s="154"/>
      <c r="T346" s="100"/>
      <c r="U346" s="357"/>
      <c r="V346" s="156"/>
      <c r="W346" s="154"/>
      <c r="X346" s="100"/>
      <c r="Y346" s="357"/>
      <c r="Z346" s="100"/>
      <c r="AA346" s="100"/>
      <c r="AB346" s="100"/>
      <c r="AC346" s="357"/>
      <c r="AD346" s="367"/>
      <c r="AE346" s="368"/>
      <c r="AF346" s="98"/>
      <c r="AG346" s="357"/>
      <c r="AH346" s="156"/>
      <c r="AI346" s="305"/>
      <c r="AJ346" s="366"/>
      <c r="AK346" s="357"/>
      <c r="AL346" s="371"/>
      <c r="AM346" s="371"/>
      <c r="AN346" s="371"/>
      <c r="AO346" s="357"/>
      <c r="AP346" s="100"/>
      <c r="AQ346" s="100"/>
      <c r="AR346" s="100"/>
      <c r="AS346" s="357"/>
      <c r="AT346" s="100"/>
      <c r="AU346" s="100"/>
      <c r="AV346" s="100"/>
    </row>
    <row r="347">
      <c r="A347" s="357"/>
      <c r="B347" s="156"/>
      <c r="C347" s="154"/>
      <c r="D347" s="100"/>
      <c r="E347" s="357"/>
      <c r="F347" s="156"/>
      <c r="G347" s="154"/>
      <c r="H347" s="100"/>
      <c r="I347" s="357"/>
      <c r="J347" s="156"/>
      <c r="K347" s="154"/>
      <c r="L347" s="100"/>
      <c r="M347" s="357"/>
      <c r="N347" s="156"/>
      <c r="O347" s="154"/>
      <c r="P347" s="100"/>
      <c r="Q347" s="357"/>
      <c r="R347" s="156"/>
      <c r="S347" s="154"/>
      <c r="T347" s="100"/>
      <c r="U347" s="357"/>
      <c r="V347" s="156"/>
      <c r="W347" s="154"/>
      <c r="X347" s="100"/>
      <c r="Y347" s="357"/>
      <c r="Z347" s="100"/>
      <c r="AA347" s="100"/>
      <c r="AB347" s="100"/>
      <c r="AC347" s="357"/>
      <c r="AD347" s="367"/>
      <c r="AE347" s="368"/>
      <c r="AF347" s="98"/>
      <c r="AG347" s="357"/>
      <c r="AH347" s="156"/>
      <c r="AI347" s="305"/>
      <c r="AJ347" s="366"/>
      <c r="AK347" s="357"/>
      <c r="AL347" s="371"/>
      <c r="AM347" s="371"/>
      <c r="AN347" s="371"/>
      <c r="AO347" s="357"/>
      <c r="AP347" s="100"/>
      <c r="AQ347" s="100"/>
      <c r="AR347" s="100"/>
      <c r="AS347" s="357"/>
      <c r="AT347" s="100"/>
      <c r="AU347" s="100"/>
      <c r="AV347" s="100"/>
    </row>
    <row r="348">
      <c r="A348" s="357"/>
      <c r="B348" s="156"/>
      <c r="C348" s="154"/>
      <c r="D348" s="100"/>
      <c r="E348" s="357"/>
      <c r="F348" s="156"/>
      <c r="G348" s="154"/>
      <c r="H348" s="100"/>
      <c r="I348" s="357"/>
      <c r="J348" s="156"/>
      <c r="K348" s="154"/>
      <c r="L348" s="100"/>
      <c r="M348" s="357"/>
      <c r="N348" s="156"/>
      <c r="O348" s="154"/>
      <c r="P348" s="100"/>
      <c r="Q348" s="357"/>
      <c r="R348" s="156"/>
      <c r="S348" s="154"/>
      <c r="T348" s="100"/>
      <c r="U348" s="357"/>
      <c r="V348" s="156"/>
      <c r="W348" s="154"/>
      <c r="X348" s="100"/>
      <c r="Y348" s="357"/>
      <c r="Z348" s="100"/>
      <c r="AA348" s="100"/>
      <c r="AB348" s="100"/>
      <c r="AC348" s="357"/>
      <c r="AD348" s="367"/>
      <c r="AE348" s="368"/>
      <c r="AF348" s="98"/>
      <c r="AG348" s="357"/>
      <c r="AH348" s="156"/>
      <c r="AI348" s="305"/>
      <c r="AJ348" s="366"/>
      <c r="AK348" s="357"/>
      <c r="AL348" s="371"/>
      <c r="AM348" s="371"/>
      <c r="AN348" s="371"/>
      <c r="AO348" s="357"/>
      <c r="AP348" s="100"/>
      <c r="AQ348" s="100"/>
      <c r="AR348" s="100"/>
      <c r="AS348" s="357"/>
      <c r="AT348" s="100"/>
      <c r="AU348" s="100"/>
      <c r="AV348" s="100"/>
    </row>
    <row r="349">
      <c r="A349" s="357"/>
      <c r="B349" s="156"/>
      <c r="C349" s="154"/>
      <c r="D349" s="100"/>
      <c r="E349" s="357"/>
      <c r="F349" s="156"/>
      <c r="G349" s="154"/>
      <c r="H349" s="100"/>
      <c r="I349" s="357"/>
      <c r="J349" s="156"/>
      <c r="K349" s="154"/>
      <c r="L349" s="100"/>
      <c r="M349" s="357"/>
      <c r="N349" s="156"/>
      <c r="O349" s="154"/>
      <c r="P349" s="100"/>
      <c r="Q349" s="357"/>
      <c r="R349" s="156"/>
      <c r="S349" s="154"/>
      <c r="T349" s="100"/>
      <c r="U349" s="357"/>
      <c r="V349" s="156"/>
      <c r="W349" s="154"/>
      <c r="X349" s="100"/>
      <c r="Y349" s="357"/>
      <c r="Z349" s="100"/>
      <c r="AA349" s="100"/>
      <c r="AB349" s="100"/>
      <c r="AC349" s="357"/>
      <c r="AD349" s="367"/>
      <c r="AE349" s="368"/>
      <c r="AF349" s="98"/>
      <c r="AG349" s="357"/>
      <c r="AH349" s="156"/>
      <c r="AI349" s="305"/>
      <c r="AJ349" s="366"/>
      <c r="AK349" s="357"/>
      <c r="AL349" s="371"/>
      <c r="AM349" s="371"/>
      <c r="AN349" s="371"/>
      <c r="AO349" s="357"/>
      <c r="AP349" s="100"/>
      <c r="AQ349" s="100"/>
      <c r="AR349" s="100"/>
      <c r="AS349" s="357"/>
      <c r="AT349" s="100"/>
      <c r="AU349" s="100"/>
      <c r="AV349" s="100"/>
    </row>
    <row r="350">
      <c r="A350" s="357"/>
      <c r="B350" s="156"/>
      <c r="C350" s="154"/>
      <c r="D350" s="100"/>
      <c r="E350" s="357"/>
      <c r="F350" s="156"/>
      <c r="G350" s="154"/>
      <c r="H350" s="100"/>
      <c r="I350" s="357"/>
      <c r="J350" s="156"/>
      <c r="K350" s="154"/>
      <c r="L350" s="100"/>
      <c r="M350" s="357"/>
      <c r="N350" s="156"/>
      <c r="O350" s="154"/>
      <c r="P350" s="100"/>
      <c r="Q350" s="357"/>
      <c r="R350" s="156"/>
      <c r="S350" s="154"/>
      <c r="T350" s="100"/>
      <c r="U350" s="357"/>
      <c r="V350" s="156"/>
      <c r="W350" s="154"/>
      <c r="X350" s="100"/>
      <c r="Y350" s="357"/>
      <c r="Z350" s="100"/>
      <c r="AA350" s="100"/>
      <c r="AB350" s="100"/>
      <c r="AC350" s="357"/>
      <c r="AD350" s="367"/>
      <c r="AE350" s="368"/>
      <c r="AF350" s="98"/>
      <c r="AG350" s="357"/>
      <c r="AH350" s="156"/>
      <c r="AI350" s="305"/>
      <c r="AJ350" s="366"/>
      <c r="AK350" s="357"/>
      <c r="AL350" s="371"/>
      <c r="AM350" s="371"/>
      <c r="AN350" s="371"/>
      <c r="AO350" s="357"/>
      <c r="AP350" s="100"/>
      <c r="AQ350" s="100"/>
      <c r="AR350" s="100"/>
      <c r="AS350" s="357"/>
      <c r="AT350" s="100"/>
      <c r="AU350" s="100"/>
      <c r="AV350" s="100"/>
    </row>
    <row r="351">
      <c r="A351" s="357"/>
      <c r="B351" s="156"/>
      <c r="C351" s="154"/>
      <c r="D351" s="100"/>
      <c r="E351" s="357"/>
      <c r="F351" s="156"/>
      <c r="G351" s="154"/>
      <c r="H351" s="100"/>
      <c r="I351" s="357"/>
      <c r="J351" s="156"/>
      <c r="K351" s="154"/>
      <c r="L351" s="100"/>
      <c r="M351" s="357"/>
      <c r="N351" s="156"/>
      <c r="O351" s="154"/>
      <c r="P351" s="100"/>
      <c r="Q351" s="357"/>
      <c r="R351" s="156"/>
      <c r="S351" s="154"/>
      <c r="T351" s="100"/>
      <c r="U351" s="357"/>
      <c r="V351" s="156"/>
      <c r="W351" s="154"/>
      <c r="X351" s="100"/>
      <c r="Y351" s="357"/>
      <c r="Z351" s="100"/>
      <c r="AA351" s="100"/>
      <c r="AB351" s="100"/>
      <c r="AC351" s="357"/>
      <c r="AD351" s="367"/>
      <c r="AE351" s="368"/>
      <c r="AF351" s="98"/>
      <c r="AG351" s="357"/>
      <c r="AH351" s="156"/>
      <c r="AI351" s="305"/>
      <c r="AJ351" s="366"/>
      <c r="AK351" s="357"/>
      <c r="AL351" s="371"/>
      <c r="AM351" s="371"/>
      <c r="AN351" s="371"/>
      <c r="AO351" s="357"/>
      <c r="AP351" s="100"/>
      <c r="AQ351" s="100"/>
      <c r="AR351" s="100"/>
      <c r="AS351" s="357"/>
      <c r="AT351" s="100"/>
      <c r="AU351" s="100"/>
      <c r="AV351" s="100"/>
    </row>
    <row r="352">
      <c r="A352" s="357"/>
      <c r="B352" s="156"/>
      <c r="C352" s="154"/>
      <c r="D352" s="100"/>
      <c r="E352" s="357"/>
      <c r="F352" s="156"/>
      <c r="G352" s="154"/>
      <c r="H352" s="100"/>
      <c r="I352" s="357"/>
      <c r="J352" s="156"/>
      <c r="K352" s="154"/>
      <c r="L352" s="100"/>
      <c r="M352" s="357"/>
      <c r="N352" s="156"/>
      <c r="O352" s="154"/>
      <c r="P352" s="100"/>
      <c r="Q352" s="357"/>
      <c r="R352" s="156"/>
      <c r="S352" s="154"/>
      <c r="T352" s="100"/>
      <c r="U352" s="357"/>
      <c r="V352" s="156"/>
      <c r="W352" s="154"/>
      <c r="X352" s="100"/>
      <c r="Y352" s="357"/>
      <c r="Z352" s="100"/>
      <c r="AA352" s="100"/>
      <c r="AB352" s="100"/>
      <c r="AC352" s="357"/>
      <c r="AD352" s="367"/>
      <c r="AE352" s="368"/>
      <c r="AF352" s="98"/>
      <c r="AG352" s="357"/>
      <c r="AH352" s="156"/>
      <c r="AI352" s="305"/>
      <c r="AJ352" s="366"/>
      <c r="AK352" s="357"/>
      <c r="AL352" s="371"/>
      <c r="AM352" s="371"/>
      <c r="AN352" s="371"/>
      <c r="AO352" s="357"/>
      <c r="AP352" s="100"/>
      <c r="AQ352" s="100"/>
      <c r="AR352" s="100"/>
      <c r="AS352" s="357"/>
      <c r="AT352" s="100"/>
      <c r="AU352" s="100"/>
      <c r="AV352" s="100"/>
    </row>
    <row r="353">
      <c r="A353" s="357"/>
      <c r="B353" s="156"/>
      <c r="C353" s="154"/>
      <c r="D353" s="100"/>
      <c r="E353" s="357"/>
      <c r="F353" s="156"/>
      <c r="G353" s="154"/>
      <c r="H353" s="100"/>
      <c r="I353" s="357"/>
      <c r="J353" s="156"/>
      <c r="K353" s="154"/>
      <c r="L353" s="100"/>
      <c r="M353" s="357"/>
      <c r="N353" s="156"/>
      <c r="O353" s="154"/>
      <c r="P353" s="100"/>
      <c r="Q353" s="357"/>
      <c r="R353" s="156"/>
      <c r="S353" s="154"/>
      <c r="T353" s="100"/>
      <c r="U353" s="357"/>
      <c r="V353" s="156"/>
      <c r="W353" s="154"/>
      <c r="X353" s="100"/>
      <c r="Y353" s="357"/>
      <c r="Z353" s="100"/>
      <c r="AA353" s="100"/>
      <c r="AB353" s="100"/>
      <c r="AC353" s="357"/>
      <c r="AD353" s="367"/>
      <c r="AE353" s="368"/>
      <c r="AF353" s="98"/>
      <c r="AG353" s="357"/>
      <c r="AH353" s="156"/>
      <c r="AI353" s="305"/>
      <c r="AJ353" s="366"/>
      <c r="AK353" s="357"/>
      <c r="AL353" s="371"/>
      <c r="AM353" s="371"/>
      <c r="AN353" s="371"/>
      <c r="AO353" s="357"/>
      <c r="AP353" s="100"/>
      <c r="AQ353" s="100"/>
      <c r="AR353" s="100"/>
      <c r="AS353" s="357"/>
      <c r="AT353" s="100"/>
      <c r="AU353" s="100"/>
      <c r="AV353" s="100"/>
    </row>
    <row r="354">
      <c r="A354" s="357"/>
      <c r="B354" s="156"/>
      <c r="C354" s="154"/>
      <c r="D354" s="100"/>
      <c r="E354" s="357"/>
      <c r="F354" s="156"/>
      <c r="G354" s="154"/>
      <c r="H354" s="100"/>
      <c r="I354" s="357"/>
      <c r="J354" s="156"/>
      <c r="K354" s="154"/>
      <c r="L354" s="100"/>
      <c r="M354" s="357"/>
      <c r="N354" s="156"/>
      <c r="O354" s="154"/>
      <c r="P354" s="100"/>
      <c r="Q354" s="357"/>
      <c r="R354" s="156"/>
      <c r="S354" s="154"/>
      <c r="T354" s="100"/>
      <c r="U354" s="357"/>
      <c r="V354" s="156"/>
      <c r="W354" s="154"/>
      <c r="X354" s="100"/>
      <c r="Y354" s="357"/>
      <c r="Z354" s="100"/>
      <c r="AA354" s="100"/>
      <c r="AB354" s="100"/>
      <c r="AC354" s="357"/>
      <c r="AD354" s="367"/>
      <c r="AE354" s="368"/>
      <c r="AF354" s="98"/>
      <c r="AG354" s="357"/>
      <c r="AH354" s="156"/>
      <c r="AI354" s="305"/>
      <c r="AJ354" s="366"/>
      <c r="AK354" s="357"/>
      <c r="AL354" s="371"/>
      <c r="AM354" s="371"/>
      <c r="AN354" s="371"/>
      <c r="AO354" s="357"/>
      <c r="AP354" s="100"/>
      <c r="AQ354" s="100"/>
      <c r="AR354" s="100"/>
      <c r="AS354" s="357"/>
      <c r="AT354" s="100"/>
      <c r="AU354" s="100"/>
      <c r="AV354" s="100"/>
    </row>
    <row r="355">
      <c r="A355" s="357"/>
      <c r="B355" s="156"/>
      <c r="C355" s="154"/>
      <c r="D355" s="100"/>
      <c r="E355" s="357"/>
      <c r="F355" s="156"/>
      <c r="G355" s="154"/>
      <c r="H355" s="100"/>
      <c r="I355" s="357"/>
      <c r="J355" s="156"/>
      <c r="K355" s="154"/>
      <c r="L355" s="100"/>
      <c r="M355" s="357"/>
      <c r="N355" s="156"/>
      <c r="O355" s="154"/>
      <c r="P355" s="100"/>
      <c r="Q355" s="357"/>
      <c r="R355" s="156"/>
      <c r="S355" s="154"/>
      <c r="T355" s="100"/>
      <c r="U355" s="357"/>
      <c r="V355" s="156"/>
      <c r="W355" s="154"/>
      <c r="X355" s="100"/>
      <c r="Y355" s="357"/>
      <c r="Z355" s="100"/>
      <c r="AA355" s="100"/>
      <c r="AB355" s="100"/>
      <c r="AC355" s="357"/>
      <c r="AD355" s="367"/>
      <c r="AE355" s="368"/>
      <c r="AF355" s="98"/>
      <c r="AG355" s="357"/>
      <c r="AH355" s="156"/>
      <c r="AI355" s="305"/>
      <c r="AJ355" s="366"/>
      <c r="AK355" s="357"/>
      <c r="AL355" s="371"/>
      <c r="AM355" s="371"/>
      <c r="AN355" s="371"/>
      <c r="AO355" s="357"/>
      <c r="AP355" s="100"/>
      <c r="AQ355" s="100"/>
      <c r="AR355" s="100"/>
      <c r="AS355" s="357"/>
      <c r="AT355" s="100"/>
      <c r="AU355" s="100"/>
      <c r="AV355" s="100"/>
    </row>
    <row r="356">
      <c r="A356" s="357"/>
      <c r="B356" s="156"/>
      <c r="C356" s="154"/>
      <c r="D356" s="100"/>
      <c r="E356" s="357"/>
      <c r="F356" s="156"/>
      <c r="G356" s="154"/>
      <c r="H356" s="100"/>
      <c r="I356" s="357"/>
      <c r="J356" s="156"/>
      <c r="K356" s="154"/>
      <c r="L356" s="100"/>
      <c r="M356" s="357"/>
      <c r="N356" s="156"/>
      <c r="O356" s="154"/>
      <c r="P356" s="100"/>
      <c r="Q356" s="357"/>
      <c r="R356" s="156"/>
      <c r="S356" s="154"/>
      <c r="T356" s="100"/>
      <c r="U356" s="357"/>
      <c r="V356" s="156"/>
      <c r="W356" s="154"/>
      <c r="X356" s="100"/>
      <c r="Y356" s="357"/>
      <c r="Z356" s="100"/>
      <c r="AA356" s="100"/>
      <c r="AB356" s="100"/>
      <c r="AC356" s="357"/>
      <c r="AD356" s="367"/>
      <c r="AE356" s="368"/>
      <c r="AF356" s="98"/>
      <c r="AG356" s="357"/>
      <c r="AH356" s="156"/>
      <c r="AI356" s="305"/>
      <c r="AJ356" s="366"/>
      <c r="AK356" s="357"/>
      <c r="AL356" s="371"/>
      <c r="AM356" s="371"/>
      <c r="AN356" s="371"/>
      <c r="AO356" s="357"/>
      <c r="AP356" s="100"/>
      <c r="AQ356" s="100"/>
      <c r="AR356" s="100"/>
      <c r="AS356" s="357"/>
      <c r="AT356" s="100"/>
      <c r="AU356" s="100"/>
      <c r="AV356" s="100"/>
    </row>
    <row r="357">
      <c r="A357" s="357"/>
      <c r="B357" s="156"/>
      <c r="C357" s="154"/>
      <c r="D357" s="100"/>
      <c r="E357" s="357"/>
      <c r="F357" s="156"/>
      <c r="G357" s="154"/>
      <c r="H357" s="100"/>
      <c r="I357" s="357"/>
      <c r="J357" s="156"/>
      <c r="K357" s="154"/>
      <c r="L357" s="100"/>
      <c r="M357" s="357"/>
      <c r="N357" s="156"/>
      <c r="O357" s="154"/>
      <c r="P357" s="100"/>
      <c r="Q357" s="357"/>
      <c r="R357" s="156"/>
      <c r="S357" s="154"/>
      <c r="T357" s="100"/>
      <c r="U357" s="357"/>
      <c r="V357" s="156"/>
      <c r="W357" s="154"/>
      <c r="X357" s="100"/>
      <c r="Y357" s="357"/>
      <c r="Z357" s="100"/>
      <c r="AA357" s="100"/>
      <c r="AB357" s="100"/>
      <c r="AC357" s="357"/>
      <c r="AD357" s="367"/>
      <c r="AE357" s="368"/>
      <c r="AF357" s="98"/>
      <c r="AG357" s="357"/>
      <c r="AH357" s="156"/>
      <c r="AI357" s="305"/>
      <c r="AJ357" s="366"/>
      <c r="AK357" s="357"/>
      <c r="AL357" s="371"/>
      <c r="AM357" s="371"/>
      <c r="AN357" s="371"/>
      <c r="AO357" s="357"/>
      <c r="AP357" s="100"/>
      <c r="AQ357" s="100"/>
      <c r="AR357" s="100"/>
      <c r="AS357" s="357"/>
      <c r="AT357" s="100"/>
      <c r="AU357" s="100"/>
      <c r="AV357" s="100"/>
    </row>
    <row r="358">
      <c r="A358" s="357"/>
      <c r="B358" s="156"/>
      <c r="C358" s="154"/>
      <c r="D358" s="100"/>
      <c r="E358" s="357"/>
      <c r="F358" s="156"/>
      <c r="G358" s="154"/>
      <c r="H358" s="100"/>
      <c r="I358" s="357"/>
      <c r="J358" s="156"/>
      <c r="K358" s="154"/>
      <c r="L358" s="100"/>
      <c r="M358" s="357"/>
      <c r="N358" s="156"/>
      <c r="O358" s="154"/>
      <c r="P358" s="100"/>
      <c r="Q358" s="357"/>
      <c r="R358" s="156"/>
      <c r="S358" s="154"/>
      <c r="T358" s="100"/>
      <c r="U358" s="357"/>
      <c r="V358" s="156"/>
      <c r="W358" s="154"/>
      <c r="X358" s="100"/>
      <c r="Y358" s="357"/>
      <c r="Z358" s="100"/>
      <c r="AA358" s="100"/>
      <c r="AB358" s="100"/>
      <c r="AC358" s="357"/>
      <c r="AD358" s="367"/>
      <c r="AE358" s="368"/>
      <c r="AF358" s="98"/>
      <c r="AG358" s="357"/>
      <c r="AH358" s="156"/>
      <c r="AI358" s="305"/>
      <c r="AJ358" s="366"/>
      <c r="AK358" s="357"/>
      <c r="AL358" s="371"/>
      <c r="AM358" s="371"/>
      <c r="AN358" s="371"/>
      <c r="AO358" s="357"/>
      <c r="AP358" s="100"/>
      <c r="AQ358" s="100"/>
      <c r="AR358" s="100"/>
      <c r="AS358" s="357"/>
      <c r="AT358" s="100"/>
      <c r="AU358" s="100"/>
      <c r="AV358" s="100"/>
    </row>
    <row r="359">
      <c r="A359" s="357"/>
      <c r="B359" s="156"/>
      <c r="C359" s="154"/>
      <c r="D359" s="100"/>
      <c r="E359" s="357"/>
      <c r="F359" s="156"/>
      <c r="G359" s="154"/>
      <c r="H359" s="100"/>
      <c r="I359" s="357"/>
      <c r="J359" s="156"/>
      <c r="K359" s="154"/>
      <c r="L359" s="100"/>
      <c r="M359" s="357"/>
      <c r="N359" s="156"/>
      <c r="O359" s="154"/>
      <c r="P359" s="100"/>
      <c r="Q359" s="357"/>
      <c r="R359" s="156"/>
      <c r="S359" s="154"/>
      <c r="T359" s="100"/>
      <c r="U359" s="357"/>
      <c r="V359" s="156"/>
      <c r="W359" s="154"/>
      <c r="X359" s="100"/>
      <c r="Y359" s="357"/>
      <c r="Z359" s="100"/>
      <c r="AA359" s="100"/>
      <c r="AB359" s="100"/>
      <c r="AC359" s="357"/>
      <c r="AD359" s="367"/>
      <c r="AE359" s="368"/>
      <c r="AF359" s="98"/>
      <c r="AG359" s="357"/>
      <c r="AH359" s="156"/>
      <c r="AI359" s="305"/>
      <c r="AJ359" s="366"/>
      <c r="AK359" s="357"/>
      <c r="AL359" s="371"/>
      <c r="AM359" s="371"/>
      <c r="AN359" s="371"/>
      <c r="AO359" s="357"/>
      <c r="AP359" s="100"/>
      <c r="AQ359" s="100"/>
      <c r="AR359" s="100"/>
      <c r="AS359" s="357"/>
      <c r="AT359" s="100"/>
      <c r="AU359" s="100"/>
      <c r="AV359" s="100"/>
    </row>
    <row r="360">
      <c r="A360" s="357"/>
      <c r="B360" s="156"/>
      <c r="C360" s="154"/>
      <c r="D360" s="100"/>
      <c r="E360" s="357"/>
      <c r="F360" s="156"/>
      <c r="G360" s="154"/>
      <c r="H360" s="100"/>
      <c r="I360" s="357"/>
      <c r="J360" s="156"/>
      <c r="K360" s="154"/>
      <c r="L360" s="100"/>
      <c r="M360" s="357"/>
      <c r="N360" s="156"/>
      <c r="O360" s="154"/>
      <c r="P360" s="100"/>
      <c r="Q360" s="357"/>
      <c r="R360" s="156"/>
      <c r="S360" s="154"/>
      <c r="T360" s="100"/>
      <c r="U360" s="357"/>
      <c r="V360" s="156"/>
      <c r="W360" s="154"/>
      <c r="X360" s="100"/>
      <c r="Y360" s="357"/>
      <c r="Z360" s="100"/>
      <c r="AA360" s="100"/>
      <c r="AB360" s="100"/>
      <c r="AC360" s="357"/>
      <c r="AD360" s="367"/>
      <c r="AE360" s="368"/>
      <c r="AF360" s="98"/>
      <c r="AG360" s="357"/>
      <c r="AH360" s="156"/>
      <c r="AI360" s="305"/>
      <c r="AJ360" s="366"/>
      <c r="AK360" s="357"/>
      <c r="AL360" s="371"/>
      <c r="AM360" s="371"/>
      <c r="AN360" s="371"/>
      <c r="AO360" s="357"/>
      <c r="AP360" s="100"/>
      <c r="AQ360" s="100"/>
      <c r="AR360" s="100"/>
      <c r="AS360" s="357"/>
      <c r="AT360" s="100"/>
      <c r="AU360" s="100"/>
      <c r="AV360" s="100"/>
    </row>
    <row r="361">
      <c r="A361" s="357"/>
      <c r="B361" s="156"/>
      <c r="C361" s="154"/>
      <c r="D361" s="100"/>
      <c r="E361" s="357"/>
      <c r="F361" s="156"/>
      <c r="G361" s="154"/>
      <c r="H361" s="100"/>
      <c r="I361" s="357"/>
      <c r="J361" s="156"/>
      <c r="K361" s="154"/>
      <c r="L361" s="100"/>
      <c r="M361" s="357"/>
      <c r="N361" s="156"/>
      <c r="O361" s="154"/>
      <c r="P361" s="100"/>
      <c r="Q361" s="357"/>
      <c r="R361" s="156"/>
      <c r="S361" s="154"/>
      <c r="T361" s="100"/>
      <c r="U361" s="357"/>
      <c r="V361" s="156"/>
      <c r="W361" s="154"/>
      <c r="X361" s="100"/>
      <c r="Y361" s="357"/>
      <c r="Z361" s="100"/>
      <c r="AA361" s="100"/>
      <c r="AB361" s="100"/>
      <c r="AC361" s="357"/>
      <c r="AD361" s="367"/>
      <c r="AE361" s="368"/>
      <c r="AF361" s="98"/>
      <c r="AG361" s="357"/>
      <c r="AH361" s="156"/>
      <c r="AI361" s="305"/>
      <c r="AJ361" s="366"/>
      <c r="AK361" s="357"/>
      <c r="AL361" s="371"/>
      <c r="AM361" s="371"/>
      <c r="AN361" s="371"/>
      <c r="AO361" s="357"/>
      <c r="AP361" s="100"/>
      <c r="AQ361" s="100"/>
      <c r="AR361" s="100"/>
      <c r="AS361" s="357"/>
      <c r="AT361" s="100"/>
      <c r="AU361" s="100"/>
      <c r="AV361" s="100"/>
    </row>
    <row r="362">
      <c r="A362" s="357"/>
      <c r="B362" s="156"/>
      <c r="C362" s="154"/>
      <c r="D362" s="100"/>
      <c r="E362" s="357"/>
      <c r="F362" s="156"/>
      <c r="G362" s="154"/>
      <c r="H362" s="100"/>
      <c r="I362" s="357"/>
      <c r="J362" s="156"/>
      <c r="K362" s="154"/>
      <c r="L362" s="100"/>
      <c r="M362" s="357"/>
      <c r="N362" s="156"/>
      <c r="O362" s="154"/>
      <c r="P362" s="100"/>
      <c r="Q362" s="357"/>
      <c r="R362" s="156"/>
      <c r="S362" s="154"/>
      <c r="T362" s="100"/>
      <c r="U362" s="357"/>
      <c r="V362" s="156"/>
      <c r="W362" s="154"/>
      <c r="X362" s="100"/>
      <c r="Y362" s="357"/>
      <c r="Z362" s="100"/>
      <c r="AA362" s="100"/>
      <c r="AB362" s="100"/>
      <c r="AC362" s="357"/>
      <c r="AD362" s="367"/>
      <c r="AE362" s="368"/>
      <c r="AF362" s="98"/>
      <c r="AG362" s="357"/>
      <c r="AH362" s="156"/>
      <c r="AI362" s="305"/>
      <c r="AJ362" s="366"/>
      <c r="AK362" s="357"/>
      <c r="AL362" s="371"/>
      <c r="AM362" s="371"/>
      <c r="AN362" s="371"/>
      <c r="AO362" s="357"/>
      <c r="AP362" s="100"/>
      <c r="AQ362" s="100"/>
      <c r="AR362" s="100"/>
      <c r="AS362" s="357"/>
      <c r="AT362" s="100"/>
      <c r="AU362" s="100"/>
      <c r="AV362" s="100"/>
    </row>
    <row r="363">
      <c r="A363" s="357"/>
      <c r="B363" s="156"/>
      <c r="C363" s="154"/>
      <c r="D363" s="100"/>
      <c r="E363" s="357"/>
      <c r="F363" s="156"/>
      <c r="G363" s="154"/>
      <c r="H363" s="100"/>
      <c r="I363" s="357"/>
      <c r="J363" s="156"/>
      <c r="K363" s="154"/>
      <c r="L363" s="100"/>
      <c r="M363" s="357"/>
      <c r="N363" s="156"/>
      <c r="O363" s="154"/>
      <c r="P363" s="100"/>
      <c r="Q363" s="357"/>
      <c r="R363" s="156"/>
      <c r="S363" s="154"/>
      <c r="T363" s="100"/>
      <c r="U363" s="357"/>
      <c r="V363" s="156"/>
      <c r="W363" s="154"/>
      <c r="X363" s="100"/>
      <c r="Y363" s="357"/>
      <c r="Z363" s="100"/>
      <c r="AA363" s="100"/>
      <c r="AB363" s="100"/>
      <c r="AC363" s="357"/>
      <c r="AD363" s="367"/>
      <c r="AE363" s="368"/>
      <c r="AF363" s="98"/>
      <c r="AG363" s="357"/>
      <c r="AH363" s="156"/>
      <c r="AI363" s="305"/>
      <c r="AJ363" s="366"/>
      <c r="AK363" s="357"/>
      <c r="AL363" s="371"/>
      <c r="AM363" s="371"/>
      <c r="AN363" s="371"/>
      <c r="AO363" s="357"/>
      <c r="AP363" s="100"/>
      <c r="AQ363" s="100"/>
      <c r="AR363" s="100"/>
      <c r="AS363" s="357"/>
      <c r="AT363" s="100"/>
      <c r="AU363" s="100"/>
      <c r="AV363" s="100"/>
    </row>
    <row r="364">
      <c r="A364" s="357"/>
      <c r="B364" s="156"/>
      <c r="C364" s="154"/>
      <c r="D364" s="100"/>
      <c r="E364" s="357"/>
      <c r="F364" s="156"/>
      <c r="G364" s="154"/>
      <c r="H364" s="100"/>
      <c r="I364" s="357"/>
      <c r="J364" s="156"/>
      <c r="K364" s="154"/>
      <c r="L364" s="100"/>
      <c r="M364" s="357"/>
      <c r="N364" s="156"/>
      <c r="O364" s="154"/>
      <c r="P364" s="100"/>
      <c r="Q364" s="357"/>
      <c r="R364" s="156"/>
      <c r="S364" s="154"/>
      <c r="T364" s="100"/>
      <c r="U364" s="357"/>
      <c r="V364" s="156"/>
      <c r="W364" s="154"/>
      <c r="X364" s="100"/>
      <c r="Y364" s="357"/>
      <c r="Z364" s="100"/>
      <c r="AA364" s="100"/>
      <c r="AB364" s="100"/>
      <c r="AC364" s="357"/>
      <c r="AD364" s="367"/>
      <c r="AE364" s="368"/>
      <c r="AF364" s="98"/>
      <c r="AG364" s="357"/>
      <c r="AH364" s="156"/>
      <c r="AI364" s="305"/>
      <c r="AJ364" s="366"/>
      <c r="AK364" s="357"/>
      <c r="AL364" s="371"/>
      <c r="AM364" s="371"/>
      <c r="AN364" s="371"/>
      <c r="AO364" s="357"/>
      <c r="AP364" s="100"/>
      <c r="AQ364" s="100"/>
      <c r="AR364" s="100"/>
      <c r="AS364" s="357"/>
      <c r="AT364" s="100"/>
      <c r="AU364" s="100"/>
      <c r="AV364" s="100"/>
    </row>
    <row r="365">
      <c r="A365" s="357"/>
      <c r="B365" s="156"/>
      <c r="C365" s="154"/>
      <c r="D365" s="100"/>
      <c r="E365" s="357"/>
      <c r="F365" s="156"/>
      <c r="G365" s="154"/>
      <c r="H365" s="100"/>
      <c r="I365" s="357"/>
      <c r="J365" s="156"/>
      <c r="K365" s="154"/>
      <c r="L365" s="100"/>
      <c r="M365" s="357"/>
      <c r="N365" s="156"/>
      <c r="O365" s="154"/>
      <c r="P365" s="100"/>
      <c r="Q365" s="357"/>
      <c r="R365" s="156"/>
      <c r="S365" s="154"/>
      <c r="T365" s="100"/>
      <c r="U365" s="357"/>
      <c r="V365" s="156"/>
      <c r="W365" s="154"/>
      <c r="X365" s="100"/>
      <c r="Y365" s="357"/>
      <c r="Z365" s="100"/>
      <c r="AA365" s="100"/>
      <c r="AB365" s="100"/>
      <c r="AC365" s="357"/>
      <c r="AD365" s="367"/>
      <c r="AE365" s="368"/>
      <c r="AF365" s="98"/>
      <c r="AG365" s="357"/>
      <c r="AH365" s="156"/>
      <c r="AI365" s="305"/>
      <c r="AJ365" s="366"/>
      <c r="AK365" s="357"/>
      <c r="AL365" s="371"/>
      <c r="AM365" s="371"/>
      <c r="AN365" s="371"/>
      <c r="AO365" s="357"/>
      <c r="AP365" s="100"/>
      <c r="AQ365" s="100"/>
      <c r="AR365" s="100"/>
      <c r="AS365" s="357"/>
      <c r="AT365" s="100"/>
      <c r="AU365" s="100"/>
      <c r="AV365" s="100"/>
    </row>
    <row r="366">
      <c r="A366" s="357"/>
      <c r="B366" s="156"/>
      <c r="C366" s="154"/>
      <c r="D366" s="100"/>
      <c r="E366" s="357"/>
      <c r="F366" s="156"/>
      <c r="G366" s="154"/>
      <c r="H366" s="100"/>
      <c r="I366" s="357"/>
      <c r="J366" s="156"/>
      <c r="K366" s="154"/>
      <c r="L366" s="100"/>
      <c r="M366" s="357"/>
      <c r="N366" s="156"/>
      <c r="O366" s="154"/>
      <c r="P366" s="100"/>
      <c r="Q366" s="357"/>
      <c r="R366" s="156"/>
      <c r="S366" s="154"/>
      <c r="T366" s="100"/>
      <c r="U366" s="357"/>
      <c r="V366" s="156"/>
      <c r="W366" s="154"/>
      <c r="X366" s="100"/>
      <c r="Y366" s="357"/>
      <c r="Z366" s="100"/>
      <c r="AA366" s="100"/>
      <c r="AB366" s="100"/>
      <c r="AC366" s="357"/>
      <c r="AD366" s="367"/>
      <c r="AE366" s="368"/>
      <c r="AF366" s="98"/>
      <c r="AG366" s="357"/>
      <c r="AH366" s="156"/>
      <c r="AI366" s="305"/>
      <c r="AJ366" s="366"/>
      <c r="AK366" s="357"/>
      <c r="AL366" s="371"/>
      <c r="AM366" s="371"/>
      <c r="AN366" s="371"/>
      <c r="AO366" s="357"/>
      <c r="AP366" s="100"/>
      <c r="AQ366" s="100"/>
      <c r="AR366" s="100"/>
      <c r="AS366" s="357"/>
      <c r="AT366" s="100"/>
      <c r="AU366" s="100"/>
      <c r="AV366" s="100"/>
    </row>
    <row r="367">
      <c r="A367" s="357"/>
      <c r="B367" s="156"/>
      <c r="C367" s="154"/>
      <c r="D367" s="100"/>
      <c r="E367" s="357"/>
      <c r="F367" s="156"/>
      <c r="G367" s="154"/>
      <c r="H367" s="100"/>
      <c r="I367" s="357"/>
      <c r="J367" s="156"/>
      <c r="K367" s="154"/>
      <c r="L367" s="100"/>
      <c r="M367" s="357"/>
      <c r="N367" s="156"/>
      <c r="O367" s="154"/>
      <c r="P367" s="100"/>
      <c r="Q367" s="357"/>
      <c r="R367" s="156"/>
      <c r="S367" s="154"/>
      <c r="T367" s="100"/>
      <c r="U367" s="357"/>
      <c r="V367" s="156"/>
      <c r="W367" s="154"/>
      <c r="X367" s="100"/>
      <c r="Y367" s="357"/>
      <c r="Z367" s="100"/>
      <c r="AA367" s="100"/>
      <c r="AB367" s="100"/>
      <c r="AC367" s="357"/>
      <c r="AD367" s="367"/>
      <c r="AE367" s="368"/>
      <c r="AF367" s="98"/>
      <c r="AG367" s="357"/>
      <c r="AH367" s="156"/>
      <c r="AI367" s="305"/>
      <c r="AJ367" s="366"/>
      <c r="AK367" s="357"/>
      <c r="AL367" s="371"/>
      <c r="AM367" s="371"/>
      <c r="AN367" s="371"/>
      <c r="AO367" s="357"/>
      <c r="AP367" s="100"/>
      <c r="AQ367" s="100"/>
      <c r="AR367" s="100"/>
      <c r="AS367" s="357"/>
      <c r="AT367" s="100"/>
      <c r="AU367" s="100"/>
      <c r="AV367" s="100"/>
    </row>
    <row r="368">
      <c r="A368" s="357"/>
      <c r="B368" s="156"/>
      <c r="C368" s="154"/>
      <c r="D368" s="100"/>
      <c r="E368" s="357"/>
      <c r="F368" s="156"/>
      <c r="G368" s="154"/>
      <c r="H368" s="100"/>
      <c r="I368" s="357"/>
      <c r="J368" s="156"/>
      <c r="K368" s="154"/>
      <c r="L368" s="100"/>
      <c r="M368" s="357"/>
      <c r="N368" s="156"/>
      <c r="O368" s="154"/>
      <c r="P368" s="100"/>
      <c r="Q368" s="357"/>
      <c r="R368" s="156"/>
      <c r="S368" s="154"/>
      <c r="T368" s="100"/>
      <c r="U368" s="357"/>
      <c r="V368" s="156"/>
      <c r="W368" s="154"/>
      <c r="X368" s="100"/>
      <c r="Y368" s="357"/>
      <c r="Z368" s="100"/>
      <c r="AA368" s="100"/>
      <c r="AB368" s="100"/>
      <c r="AC368" s="357"/>
      <c r="AD368" s="367"/>
      <c r="AE368" s="368"/>
      <c r="AF368" s="98"/>
      <c r="AG368" s="357"/>
      <c r="AH368" s="156"/>
      <c r="AI368" s="305"/>
      <c r="AJ368" s="366"/>
      <c r="AK368" s="357"/>
      <c r="AL368" s="371"/>
      <c r="AM368" s="371"/>
      <c r="AN368" s="371"/>
      <c r="AO368" s="357"/>
      <c r="AP368" s="100"/>
      <c r="AQ368" s="100"/>
      <c r="AR368" s="100"/>
      <c r="AS368" s="357"/>
      <c r="AT368" s="100"/>
      <c r="AU368" s="100"/>
      <c r="AV368" s="100"/>
    </row>
    <row r="369">
      <c r="A369" s="357"/>
      <c r="B369" s="156"/>
      <c r="C369" s="154"/>
      <c r="D369" s="100"/>
      <c r="E369" s="357"/>
      <c r="F369" s="156"/>
      <c r="G369" s="154"/>
      <c r="H369" s="100"/>
      <c r="I369" s="357"/>
      <c r="J369" s="156"/>
      <c r="K369" s="154"/>
      <c r="L369" s="100"/>
      <c r="M369" s="357"/>
      <c r="N369" s="156"/>
      <c r="O369" s="154"/>
      <c r="P369" s="100"/>
      <c r="Q369" s="357"/>
      <c r="R369" s="156"/>
      <c r="S369" s="154"/>
      <c r="T369" s="100"/>
      <c r="U369" s="357"/>
      <c r="V369" s="156"/>
      <c r="W369" s="154"/>
      <c r="X369" s="100"/>
      <c r="Y369" s="357"/>
      <c r="Z369" s="100"/>
      <c r="AA369" s="100"/>
      <c r="AB369" s="100"/>
      <c r="AC369" s="357"/>
      <c r="AD369" s="367"/>
      <c r="AE369" s="368"/>
      <c r="AF369" s="98"/>
      <c r="AG369" s="357"/>
      <c r="AH369" s="156"/>
      <c r="AI369" s="305"/>
      <c r="AJ369" s="366"/>
      <c r="AK369" s="357"/>
      <c r="AL369" s="371"/>
      <c r="AM369" s="371"/>
      <c r="AN369" s="371"/>
      <c r="AO369" s="357"/>
      <c r="AP369" s="100"/>
      <c r="AQ369" s="100"/>
      <c r="AR369" s="100"/>
      <c r="AS369" s="357"/>
      <c r="AT369" s="100"/>
      <c r="AU369" s="100"/>
      <c r="AV369" s="100"/>
    </row>
    <row r="370">
      <c r="A370" s="357"/>
      <c r="B370" s="156"/>
      <c r="C370" s="154"/>
      <c r="D370" s="100"/>
      <c r="E370" s="357"/>
      <c r="F370" s="156"/>
      <c r="G370" s="154"/>
      <c r="H370" s="100"/>
      <c r="I370" s="357"/>
      <c r="J370" s="156"/>
      <c r="K370" s="154"/>
      <c r="L370" s="100"/>
      <c r="M370" s="357"/>
      <c r="N370" s="156"/>
      <c r="O370" s="154"/>
      <c r="P370" s="100"/>
      <c r="Q370" s="357"/>
      <c r="R370" s="156"/>
      <c r="S370" s="154"/>
      <c r="T370" s="100"/>
      <c r="U370" s="357"/>
      <c r="V370" s="156"/>
      <c r="W370" s="154"/>
      <c r="X370" s="100"/>
      <c r="Y370" s="357"/>
      <c r="Z370" s="100"/>
      <c r="AA370" s="100"/>
      <c r="AB370" s="100"/>
      <c r="AC370" s="357"/>
      <c r="AD370" s="367"/>
      <c r="AE370" s="368"/>
      <c r="AF370" s="98"/>
      <c r="AG370" s="357"/>
      <c r="AH370" s="156"/>
      <c r="AI370" s="305"/>
      <c r="AJ370" s="366"/>
      <c r="AK370" s="357"/>
      <c r="AL370" s="371"/>
      <c r="AM370" s="371"/>
      <c r="AN370" s="371"/>
      <c r="AO370" s="357"/>
      <c r="AP370" s="100"/>
      <c r="AQ370" s="100"/>
      <c r="AR370" s="100"/>
      <c r="AS370" s="357"/>
      <c r="AT370" s="100"/>
      <c r="AU370" s="100"/>
      <c r="AV370" s="100"/>
    </row>
    <row r="371">
      <c r="A371" s="357"/>
      <c r="B371" s="156"/>
      <c r="C371" s="154"/>
      <c r="D371" s="100"/>
      <c r="E371" s="357"/>
      <c r="F371" s="156"/>
      <c r="G371" s="154"/>
      <c r="H371" s="100"/>
      <c r="I371" s="357"/>
      <c r="J371" s="156"/>
      <c r="K371" s="154"/>
      <c r="L371" s="100"/>
      <c r="M371" s="357"/>
      <c r="N371" s="156"/>
      <c r="O371" s="154"/>
      <c r="P371" s="100"/>
      <c r="Q371" s="357"/>
      <c r="R371" s="156"/>
      <c r="S371" s="154"/>
      <c r="T371" s="100"/>
      <c r="U371" s="357"/>
      <c r="V371" s="156"/>
      <c r="W371" s="154"/>
      <c r="X371" s="100"/>
      <c r="Y371" s="357"/>
      <c r="Z371" s="100"/>
      <c r="AA371" s="100"/>
      <c r="AB371" s="100"/>
      <c r="AC371" s="357"/>
      <c r="AD371" s="367"/>
      <c r="AE371" s="368"/>
      <c r="AF371" s="98"/>
      <c r="AG371" s="357"/>
      <c r="AH371" s="156"/>
      <c r="AI371" s="305"/>
      <c r="AJ371" s="366"/>
      <c r="AK371" s="357"/>
      <c r="AL371" s="371"/>
      <c r="AM371" s="371"/>
      <c r="AN371" s="371"/>
      <c r="AO371" s="357"/>
      <c r="AP371" s="100"/>
      <c r="AQ371" s="100"/>
      <c r="AR371" s="100"/>
      <c r="AS371" s="357"/>
      <c r="AT371" s="100"/>
      <c r="AU371" s="100"/>
      <c r="AV371" s="100"/>
    </row>
    <row r="372">
      <c r="A372" s="357"/>
      <c r="B372" s="156"/>
      <c r="C372" s="154"/>
      <c r="D372" s="100"/>
      <c r="E372" s="357"/>
      <c r="F372" s="156"/>
      <c r="G372" s="154"/>
      <c r="H372" s="100"/>
      <c r="I372" s="357"/>
      <c r="J372" s="156"/>
      <c r="K372" s="154"/>
      <c r="L372" s="100"/>
      <c r="M372" s="357"/>
      <c r="N372" s="156"/>
      <c r="O372" s="154"/>
      <c r="P372" s="100"/>
      <c r="Q372" s="357"/>
      <c r="R372" s="156"/>
      <c r="S372" s="154"/>
      <c r="T372" s="100"/>
      <c r="U372" s="357"/>
      <c r="V372" s="156"/>
      <c r="W372" s="154"/>
      <c r="X372" s="100"/>
      <c r="Y372" s="357"/>
      <c r="Z372" s="100"/>
      <c r="AA372" s="100"/>
      <c r="AB372" s="100"/>
      <c r="AC372" s="357"/>
      <c r="AD372" s="367"/>
      <c r="AE372" s="368"/>
      <c r="AF372" s="98"/>
      <c r="AG372" s="357"/>
      <c r="AH372" s="156"/>
      <c r="AI372" s="305"/>
      <c r="AJ372" s="366"/>
      <c r="AK372" s="357"/>
      <c r="AL372" s="371"/>
      <c r="AM372" s="371"/>
      <c r="AN372" s="371"/>
      <c r="AO372" s="357"/>
      <c r="AP372" s="100"/>
      <c r="AQ372" s="100"/>
      <c r="AR372" s="100"/>
      <c r="AS372" s="357"/>
      <c r="AT372" s="100"/>
      <c r="AU372" s="100"/>
      <c r="AV372" s="100"/>
    </row>
    <row r="373">
      <c r="A373" s="357"/>
      <c r="B373" s="156"/>
      <c r="C373" s="154"/>
      <c r="D373" s="100"/>
      <c r="E373" s="357"/>
      <c r="F373" s="156"/>
      <c r="G373" s="154"/>
      <c r="H373" s="100"/>
      <c r="I373" s="357"/>
      <c r="J373" s="156"/>
      <c r="K373" s="154"/>
      <c r="L373" s="100"/>
      <c r="M373" s="357"/>
      <c r="N373" s="156"/>
      <c r="O373" s="154"/>
      <c r="P373" s="100"/>
      <c r="Q373" s="357"/>
      <c r="R373" s="156"/>
      <c r="S373" s="154"/>
      <c r="T373" s="100"/>
      <c r="U373" s="357"/>
      <c r="V373" s="156"/>
      <c r="W373" s="154"/>
      <c r="X373" s="100"/>
      <c r="Y373" s="357"/>
      <c r="Z373" s="100"/>
      <c r="AA373" s="100"/>
      <c r="AB373" s="100"/>
      <c r="AC373" s="357"/>
      <c r="AD373" s="367"/>
      <c r="AE373" s="368"/>
      <c r="AF373" s="98"/>
      <c r="AG373" s="357"/>
      <c r="AH373" s="156"/>
      <c r="AI373" s="305"/>
      <c r="AJ373" s="366"/>
      <c r="AK373" s="357"/>
      <c r="AL373" s="371"/>
      <c r="AM373" s="371"/>
      <c r="AN373" s="371"/>
      <c r="AO373" s="357"/>
      <c r="AP373" s="100"/>
      <c r="AQ373" s="100"/>
      <c r="AR373" s="100"/>
      <c r="AS373" s="357"/>
      <c r="AT373" s="100"/>
      <c r="AU373" s="100"/>
      <c r="AV373" s="100"/>
    </row>
    <row r="374">
      <c r="A374" s="357"/>
      <c r="B374" s="156"/>
      <c r="C374" s="154"/>
      <c r="D374" s="100"/>
      <c r="E374" s="357"/>
      <c r="F374" s="156"/>
      <c r="G374" s="154"/>
      <c r="H374" s="100"/>
      <c r="I374" s="357"/>
      <c r="J374" s="156"/>
      <c r="K374" s="154"/>
      <c r="L374" s="100"/>
      <c r="M374" s="357"/>
      <c r="N374" s="156"/>
      <c r="O374" s="154"/>
      <c r="P374" s="100"/>
      <c r="Q374" s="357"/>
      <c r="R374" s="156"/>
      <c r="S374" s="154"/>
      <c r="T374" s="100"/>
      <c r="U374" s="357"/>
      <c r="V374" s="156"/>
      <c r="W374" s="154"/>
      <c r="X374" s="100"/>
      <c r="Y374" s="357"/>
      <c r="Z374" s="100"/>
      <c r="AA374" s="100"/>
      <c r="AB374" s="100"/>
      <c r="AC374" s="357"/>
      <c r="AD374" s="367"/>
      <c r="AE374" s="368"/>
      <c r="AF374" s="98"/>
      <c r="AG374" s="357"/>
      <c r="AH374" s="156"/>
      <c r="AI374" s="305"/>
      <c r="AJ374" s="366"/>
      <c r="AK374" s="357"/>
      <c r="AL374" s="371"/>
      <c r="AM374" s="371"/>
      <c r="AN374" s="371"/>
      <c r="AO374" s="357"/>
      <c r="AP374" s="100"/>
      <c r="AQ374" s="100"/>
      <c r="AR374" s="100"/>
      <c r="AS374" s="357"/>
      <c r="AT374" s="100"/>
      <c r="AU374" s="100"/>
      <c r="AV374" s="100"/>
    </row>
    <row r="375">
      <c r="A375" s="357"/>
      <c r="B375" s="156"/>
      <c r="C375" s="154"/>
      <c r="D375" s="100"/>
      <c r="E375" s="357"/>
      <c r="F375" s="156"/>
      <c r="G375" s="154"/>
      <c r="H375" s="100"/>
      <c r="I375" s="357"/>
      <c r="J375" s="156"/>
      <c r="K375" s="154"/>
      <c r="L375" s="100"/>
      <c r="M375" s="357"/>
      <c r="N375" s="156"/>
      <c r="O375" s="154"/>
      <c r="P375" s="100"/>
      <c r="Q375" s="357"/>
      <c r="R375" s="156"/>
      <c r="S375" s="154"/>
      <c r="T375" s="100"/>
      <c r="U375" s="357"/>
      <c r="V375" s="156"/>
      <c r="W375" s="154"/>
      <c r="X375" s="100"/>
      <c r="Y375" s="357"/>
      <c r="Z375" s="100"/>
      <c r="AA375" s="100"/>
      <c r="AB375" s="100"/>
      <c r="AC375" s="357"/>
      <c r="AD375" s="367"/>
      <c r="AE375" s="368"/>
      <c r="AF375" s="98"/>
      <c r="AG375" s="357"/>
      <c r="AH375" s="156"/>
      <c r="AI375" s="305"/>
      <c r="AJ375" s="366"/>
      <c r="AK375" s="357"/>
      <c r="AL375" s="371"/>
      <c r="AM375" s="371"/>
      <c r="AN375" s="371"/>
      <c r="AO375" s="357"/>
      <c r="AP375" s="100"/>
      <c r="AQ375" s="100"/>
      <c r="AR375" s="100"/>
      <c r="AS375" s="357"/>
      <c r="AT375" s="100"/>
      <c r="AU375" s="100"/>
      <c r="AV375" s="100"/>
    </row>
    <row r="376">
      <c r="A376" s="357"/>
      <c r="B376" s="156"/>
      <c r="C376" s="154"/>
      <c r="D376" s="100"/>
      <c r="E376" s="357"/>
      <c r="F376" s="156"/>
      <c r="G376" s="154"/>
      <c r="H376" s="100"/>
      <c r="I376" s="357"/>
      <c r="J376" s="156"/>
      <c r="K376" s="154"/>
      <c r="L376" s="100"/>
      <c r="M376" s="357"/>
      <c r="N376" s="156"/>
      <c r="O376" s="154"/>
      <c r="P376" s="100"/>
      <c r="Q376" s="357"/>
      <c r="R376" s="156"/>
      <c r="S376" s="154"/>
      <c r="T376" s="100"/>
      <c r="U376" s="357"/>
      <c r="V376" s="156"/>
      <c r="W376" s="154"/>
      <c r="X376" s="100"/>
      <c r="Y376" s="357"/>
      <c r="Z376" s="100"/>
      <c r="AA376" s="100"/>
      <c r="AB376" s="100"/>
      <c r="AC376" s="357"/>
      <c r="AD376" s="367"/>
      <c r="AE376" s="368"/>
      <c r="AF376" s="98"/>
      <c r="AG376" s="357"/>
      <c r="AH376" s="156"/>
      <c r="AI376" s="305"/>
      <c r="AJ376" s="366"/>
      <c r="AK376" s="357"/>
      <c r="AL376" s="371"/>
      <c r="AM376" s="371"/>
      <c r="AN376" s="371"/>
      <c r="AO376" s="357"/>
      <c r="AP376" s="100"/>
      <c r="AQ376" s="100"/>
      <c r="AR376" s="100"/>
      <c r="AS376" s="357"/>
      <c r="AT376" s="100"/>
      <c r="AU376" s="100"/>
      <c r="AV376" s="100"/>
    </row>
    <row r="377">
      <c r="A377" s="357"/>
      <c r="B377" s="156"/>
      <c r="C377" s="154"/>
      <c r="D377" s="100"/>
      <c r="E377" s="357"/>
      <c r="F377" s="156"/>
      <c r="G377" s="154"/>
      <c r="H377" s="100"/>
      <c r="I377" s="357"/>
      <c r="J377" s="156"/>
      <c r="K377" s="154"/>
      <c r="L377" s="100"/>
      <c r="M377" s="357"/>
      <c r="N377" s="156"/>
      <c r="O377" s="154"/>
      <c r="P377" s="100"/>
      <c r="Q377" s="357"/>
      <c r="R377" s="156"/>
      <c r="S377" s="154"/>
      <c r="T377" s="100"/>
      <c r="U377" s="357"/>
      <c r="V377" s="156"/>
      <c r="W377" s="154"/>
      <c r="X377" s="100"/>
      <c r="Y377" s="357"/>
      <c r="Z377" s="100"/>
      <c r="AA377" s="100"/>
      <c r="AB377" s="100"/>
      <c r="AC377" s="357"/>
      <c r="AD377" s="367"/>
      <c r="AE377" s="368"/>
      <c r="AF377" s="98"/>
      <c r="AG377" s="357"/>
      <c r="AH377" s="156"/>
      <c r="AI377" s="305"/>
      <c r="AJ377" s="366"/>
      <c r="AK377" s="357"/>
      <c r="AL377" s="371"/>
      <c r="AM377" s="371"/>
      <c r="AN377" s="371"/>
      <c r="AO377" s="357"/>
      <c r="AP377" s="100"/>
      <c r="AQ377" s="100"/>
      <c r="AR377" s="100"/>
      <c r="AS377" s="357"/>
      <c r="AT377" s="100"/>
      <c r="AU377" s="100"/>
      <c r="AV377" s="100"/>
    </row>
    <row r="378">
      <c r="A378" s="357"/>
      <c r="B378" s="156"/>
      <c r="C378" s="154"/>
      <c r="D378" s="100"/>
      <c r="E378" s="357"/>
      <c r="F378" s="156"/>
      <c r="G378" s="154"/>
      <c r="H378" s="100"/>
      <c r="I378" s="357"/>
      <c r="J378" s="156"/>
      <c r="K378" s="154"/>
      <c r="L378" s="100"/>
      <c r="M378" s="357"/>
      <c r="N378" s="156"/>
      <c r="O378" s="154"/>
      <c r="P378" s="100"/>
      <c r="Q378" s="357"/>
      <c r="R378" s="156"/>
      <c r="S378" s="154"/>
      <c r="T378" s="100"/>
      <c r="U378" s="357"/>
      <c r="V378" s="156"/>
      <c r="W378" s="154"/>
      <c r="X378" s="100"/>
      <c r="Y378" s="357"/>
      <c r="Z378" s="100"/>
      <c r="AA378" s="100"/>
      <c r="AB378" s="100"/>
      <c r="AC378" s="357"/>
      <c r="AD378" s="367"/>
      <c r="AE378" s="368"/>
      <c r="AF378" s="98"/>
      <c r="AG378" s="357"/>
      <c r="AH378" s="156"/>
      <c r="AI378" s="305"/>
      <c r="AJ378" s="366"/>
      <c r="AK378" s="357"/>
      <c r="AL378" s="371"/>
      <c r="AM378" s="371"/>
      <c r="AN378" s="371"/>
      <c r="AO378" s="357"/>
      <c r="AP378" s="100"/>
      <c r="AQ378" s="100"/>
      <c r="AR378" s="100"/>
      <c r="AS378" s="357"/>
      <c r="AT378" s="100"/>
      <c r="AU378" s="100"/>
      <c r="AV378" s="100"/>
    </row>
    <row r="379">
      <c r="A379" s="357"/>
      <c r="B379" s="156"/>
      <c r="C379" s="154"/>
      <c r="D379" s="100"/>
      <c r="E379" s="357"/>
      <c r="F379" s="156"/>
      <c r="G379" s="154"/>
      <c r="H379" s="100"/>
      <c r="I379" s="357"/>
      <c r="J379" s="156"/>
      <c r="K379" s="154"/>
      <c r="L379" s="100"/>
      <c r="M379" s="357"/>
      <c r="N379" s="156"/>
      <c r="O379" s="154"/>
      <c r="P379" s="100"/>
      <c r="Q379" s="357"/>
      <c r="R379" s="156"/>
      <c r="S379" s="154"/>
      <c r="T379" s="100"/>
      <c r="U379" s="357"/>
      <c r="V379" s="156"/>
      <c r="W379" s="154"/>
      <c r="X379" s="100"/>
      <c r="Y379" s="357"/>
      <c r="Z379" s="100"/>
      <c r="AA379" s="100"/>
      <c r="AB379" s="100"/>
      <c r="AC379" s="357"/>
      <c r="AD379" s="367"/>
      <c r="AE379" s="368"/>
      <c r="AF379" s="98"/>
      <c r="AG379" s="357"/>
      <c r="AH379" s="156"/>
      <c r="AI379" s="305"/>
      <c r="AJ379" s="366"/>
      <c r="AK379" s="357"/>
      <c r="AL379" s="371"/>
      <c r="AM379" s="371"/>
      <c r="AN379" s="371"/>
      <c r="AO379" s="357"/>
      <c r="AP379" s="100"/>
      <c r="AQ379" s="100"/>
      <c r="AR379" s="100"/>
      <c r="AS379" s="357"/>
      <c r="AT379" s="100"/>
      <c r="AU379" s="100"/>
      <c r="AV379" s="100"/>
    </row>
    <row r="380">
      <c r="A380" s="357"/>
      <c r="B380" s="156"/>
      <c r="C380" s="154"/>
      <c r="D380" s="100"/>
      <c r="E380" s="357"/>
      <c r="F380" s="156"/>
      <c r="G380" s="154"/>
      <c r="H380" s="100"/>
      <c r="I380" s="357"/>
      <c r="J380" s="156"/>
      <c r="K380" s="154"/>
      <c r="L380" s="100"/>
      <c r="M380" s="357"/>
      <c r="N380" s="156"/>
      <c r="O380" s="154"/>
      <c r="P380" s="100"/>
      <c r="Q380" s="357"/>
      <c r="R380" s="156"/>
      <c r="S380" s="154"/>
      <c r="T380" s="100"/>
      <c r="U380" s="357"/>
      <c r="V380" s="156"/>
      <c r="W380" s="154"/>
      <c r="X380" s="100"/>
      <c r="Y380" s="357"/>
      <c r="Z380" s="100"/>
      <c r="AA380" s="100"/>
      <c r="AB380" s="100"/>
      <c r="AC380" s="357"/>
      <c r="AD380" s="367"/>
      <c r="AE380" s="368"/>
      <c r="AF380" s="98"/>
      <c r="AG380" s="357"/>
      <c r="AH380" s="156"/>
      <c r="AI380" s="305"/>
      <c r="AJ380" s="366"/>
      <c r="AK380" s="357"/>
      <c r="AL380" s="371"/>
      <c r="AM380" s="371"/>
      <c r="AN380" s="371"/>
      <c r="AO380" s="357"/>
      <c r="AP380" s="100"/>
      <c r="AQ380" s="100"/>
      <c r="AR380" s="100"/>
      <c r="AS380" s="357"/>
      <c r="AT380" s="100"/>
      <c r="AU380" s="100"/>
      <c r="AV380" s="100"/>
    </row>
    <row r="381">
      <c r="A381" s="357"/>
      <c r="B381" s="156"/>
      <c r="C381" s="154"/>
      <c r="D381" s="100"/>
      <c r="E381" s="357"/>
      <c r="F381" s="156"/>
      <c r="G381" s="154"/>
      <c r="H381" s="100"/>
      <c r="I381" s="357"/>
      <c r="J381" s="156"/>
      <c r="K381" s="154"/>
      <c r="L381" s="100"/>
      <c r="M381" s="357"/>
      <c r="N381" s="156"/>
      <c r="O381" s="154"/>
      <c r="P381" s="100"/>
      <c r="Q381" s="357"/>
      <c r="R381" s="156"/>
      <c r="S381" s="154"/>
      <c r="T381" s="100"/>
      <c r="U381" s="357"/>
      <c r="V381" s="156"/>
      <c r="W381" s="154"/>
      <c r="X381" s="100"/>
      <c r="Y381" s="357"/>
      <c r="Z381" s="100"/>
      <c r="AA381" s="100"/>
      <c r="AB381" s="100"/>
      <c r="AC381" s="357"/>
      <c r="AD381" s="367"/>
      <c r="AE381" s="368"/>
      <c r="AF381" s="98"/>
      <c r="AG381" s="357"/>
      <c r="AH381" s="156"/>
      <c r="AI381" s="305"/>
      <c r="AJ381" s="366"/>
      <c r="AK381" s="357"/>
      <c r="AL381" s="371"/>
      <c r="AM381" s="371"/>
      <c r="AN381" s="371"/>
      <c r="AO381" s="357"/>
      <c r="AP381" s="100"/>
      <c r="AQ381" s="100"/>
      <c r="AR381" s="100"/>
      <c r="AS381" s="357"/>
      <c r="AT381" s="100"/>
      <c r="AU381" s="100"/>
      <c r="AV381" s="100"/>
    </row>
    <row r="382">
      <c r="A382" s="357"/>
      <c r="B382" s="156"/>
      <c r="C382" s="154"/>
      <c r="D382" s="100"/>
      <c r="E382" s="357"/>
      <c r="F382" s="156"/>
      <c r="G382" s="154"/>
      <c r="H382" s="100"/>
      <c r="I382" s="357"/>
      <c r="J382" s="156"/>
      <c r="K382" s="154"/>
      <c r="L382" s="100"/>
      <c r="M382" s="357"/>
      <c r="N382" s="156"/>
      <c r="O382" s="154"/>
      <c r="P382" s="100"/>
      <c r="Q382" s="357"/>
      <c r="R382" s="156"/>
      <c r="S382" s="154"/>
      <c r="T382" s="100"/>
      <c r="U382" s="357"/>
      <c r="V382" s="156"/>
      <c r="W382" s="154"/>
      <c r="X382" s="100"/>
      <c r="Y382" s="357"/>
      <c r="Z382" s="100"/>
      <c r="AA382" s="100"/>
      <c r="AB382" s="100"/>
      <c r="AC382" s="357"/>
      <c r="AD382" s="367"/>
      <c r="AE382" s="368"/>
      <c r="AF382" s="98"/>
      <c r="AG382" s="357"/>
      <c r="AH382" s="156"/>
      <c r="AI382" s="305"/>
      <c r="AJ382" s="366"/>
      <c r="AK382" s="357"/>
      <c r="AL382" s="371"/>
      <c r="AM382" s="371"/>
      <c r="AN382" s="371"/>
      <c r="AO382" s="357"/>
      <c r="AP382" s="100"/>
      <c r="AQ382" s="100"/>
      <c r="AR382" s="100"/>
      <c r="AS382" s="357"/>
      <c r="AT382" s="100"/>
      <c r="AU382" s="100"/>
      <c r="AV382" s="100"/>
    </row>
    <row r="383">
      <c r="A383" s="357"/>
      <c r="B383" s="156"/>
      <c r="C383" s="154"/>
      <c r="D383" s="100"/>
      <c r="E383" s="357"/>
      <c r="F383" s="156"/>
      <c r="G383" s="154"/>
      <c r="H383" s="100"/>
      <c r="I383" s="357"/>
      <c r="J383" s="156"/>
      <c r="K383" s="154"/>
      <c r="L383" s="100"/>
      <c r="M383" s="357"/>
      <c r="N383" s="156"/>
      <c r="O383" s="154"/>
      <c r="P383" s="100"/>
      <c r="Q383" s="357"/>
      <c r="R383" s="156"/>
      <c r="S383" s="154"/>
      <c r="T383" s="100"/>
      <c r="U383" s="357"/>
      <c r="V383" s="156"/>
      <c r="W383" s="154"/>
      <c r="X383" s="100"/>
      <c r="Y383" s="357"/>
      <c r="Z383" s="100"/>
      <c r="AA383" s="100"/>
      <c r="AB383" s="100"/>
      <c r="AC383" s="357"/>
      <c r="AD383" s="367"/>
      <c r="AE383" s="368"/>
      <c r="AF383" s="98"/>
      <c r="AG383" s="357"/>
      <c r="AH383" s="156"/>
      <c r="AI383" s="305"/>
      <c r="AJ383" s="366"/>
      <c r="AK383" s="357"/>
      <c r="AL383" s="371"/>
      <c r="AM383" s="371"/>
      <c r="AN383" s="371"/>
      <c r="AO383" s="357"/>
      <c r="AP383" s="100"/>
      <c r="AQ383" s="100"/>
      <c r="AR383" s="100"/>
      <c r="AS383" s="357"/>
      <c r="AT383" s="100"/>
      <c r="AU383" s="100"/>
      <c r="AV383" s="100"/>
    </row>
    <row r="384">
      <c r="A384" s="357"/>
      <c r="B384" s="156"/>
      <c r="C384" s="154"/>
      <c r="D384" s="100"/>
      <c r="E384" s="357"/>
      <c r="F384" s="156"/>
      <c r="G384" s="154"/>
      <c r="H384" s="100"/>
      <c r="I384" s="357"/>
      <c r="J384" s="156"/>
      <c r="K384" s="154"/>
      <c r="L384" s="100"/>
      <c r="M384" s="357"/>
      <c r="N384" s="156"/>
      <c r="O384" s="154"/>
      <c r="P384" s="100"/>
      <c r="Q384" s="357"/>
      <c r="R384" s="156"/>
      <c r="S384" s="154"/>
      <c r="T384" s="100"/>
      <c r="U384" s="357"/>
      <c r="V384" s="156"/>
      <c r="W384" s="154"/>
      <c r="X384" s="100"/>
      <c r="Y384" s="357"/>
      <c r="Z384" s="100"/>
      <c r="AA384" s="100"/>
      <c r="AB384" s="100"/>
      <c r="AC384" s="357"/>
      <c r="AD384" s="367"/>
      <c r="AE384" s="368"/>
      <c r="AF384" s="98"/>
      <c r="AG384" s="357"/>
      <c r="AH384" s="156"/>
      <c r="AI384" s="305"/>
      <c r="AJ384" s="366"/>
      <c r="AK384" s="357"/>
      <c r="AL384" s="371"/>
      <c r="AM384" s="371"/>
      <c r="AN384" s="371"/>
      <c r="AO384" s="357"/>
      <c r="AP384" s="100"/>
      <c r="AQ384" s="100"/>
      <c r="AR384" s="100"/>
      <c r="AS384" s="357"/>
      <c r="AT384" s="100"/>
      <c r="AU384" s="100"/>
      <c r="AV384" s="100"/>
    </row>
    <row r="385">
      <c r="A385" s="357"/>
      <c r="B385" s="156"/>
      <c r="C385" s="154"/>
      <c r="D385" s="100"/>
      <c r="E385" s="357"/>
      <c r="F385" s="156"/>
      <c r="G385" s="154"/>
      <c r="H385" s="100"/>
      <c r="I385" s="357"/>
      <c r="J385" s="156"/>
      <c r="K385" s="154"/>
      <c r="L385" s="100"/>
      <c r="M385" s="357"/>
      <c r="N385" s="156"/>
      <c r="O385" s="154"/>
      <c r="P385" s="100"/>
      <c r="Q385" s="357"/>
      <c r="R385" s="156"/>
      <c r="S385" s="154"/>
      <c r="T385" s="100"/>
      <c r="U385" s="357"/>
      <c r="V385" s="156"/>
      <c r="W385" s="154"/>
      <c r="X385" s="100"/>
      <c r="Y385" s="357"/>
      <c r="Z385" s="100"/>
      <c r="AA385" s="100"/>
      <c r="AB385" s="100"/>
      <c r="AC385" s="357"/>
      <c r="AD385" s="367"/>
      <c r="AE385" s="368"/>
      <c r="AF385" s="98"/>
      <c r="AG385" s="357"/>
      <c r="AH385" s="156"/>
      <c r="AI385" s="305"/>
      <c r="AJ385" s="366"/>
      <c r="AK385" s="357"/>
      <c r="AL385" s="371"/>
      <c r="AM385" s="371"/>
      <c r="AN385" s="371"/>
      <c r="AO385" s="357"/>
      <c r="AP385" s="100"/>
      <c r="AQ385" s="100"/>
      <c r="AR385" s="100"/>
      <c r="AS385" s="357"/>
      <c r="AT385" s="100"/>
      <c r="AU385" s="100"/>
      <c r="AV385" s="100"/>
    </row>
    <row r="386">
      <c r="A386" s="357"/>
      <c r="B386" s="156"/>
      <c r="C386" s="154"/>
      <c r="D386" s="100"/>
      <c r="E386" s="357"/>
      <c r="F386" s="156"/>
      <c r="G386" s="154"/>
      <c r="H386" s="100"/>
      <c r="I386" s="357"/>
      <c r="J386" s="156"/>
      <c r="K386" s="154"/>
      <c r="L386" s="100"/>
      <c r="M386" s="357"/>
      <c r="N386" s="156"/>
      <c r="O386" s="154"/>
      <c r="P386" s="100"/>
      <c r="Q386" s="357"/>
      <c r="R386" s="156"/>
      <c r="S386" s="154"/>
      <c r="T386" s="100"/>
      <c r="U386" s="357"/>
      <c r="V386" s="156"/>
      <c r="W386" s="154"/>
      <c r="X386" s="100"/>
      <c r="Y386" s="357"/>
      <c r="Z386" s="100"/>
      <c r="AA386" s="100"/>
      <c r="AB386" s="100"/>
      <c r="AC386" s="357"/>
      <c r="AD386" s="367"/>
      <c r="AE386" s="368"/>
      <c r="AF386" s="98"/>
      <c r="AG386" s="357"/>
      <c r="AH386" s="156"/>
      <c r="AI386" s="305"/>
      <c r="AJ386" s="366"/>
      <c r="AK386" s="357"/>
      <c r="AL386" s="371"/>
      <c r="AM386" s="371"/>
      <c r="AN386" s="371"/>
      <c r="AO386" s="357"/>
      <c r="AP386" s="100"/>
      <c r="AQ386" s="100"/>
      <c r="AR386" s="100"/>
      <c r="AS386" s="357"/>
      <c r="AT386" s="100"/>
      <c r="AU386" s="100"/>
      <c r="AV386" s="100"/>
    </row>
    <row r="387">
      <c r="A387" s="357"/>
      <c r="B387" s="156"/>
      <c r="C387" s="154"/>
      <c r="D387" s="100"/>
      <c r="E387" s="357"/>
      <c r="F387" s="156"/>
      <c r="G387" s="154"/>
      <c r="H387" s="100"/>
      <c r="I387" s="357"/>
      <c r="J387" s="156"/>
      <c r="K387" s="154"/>
      <c r="L387" s="100"/>
      <c r="M387" s="357"/>
      <c r="N387" s="156"/>
      <c r="O387" s="154"/>
      <c r="P387" s="100"/>
      <c r="Q387" s="357"/>
      <c r="R387" s="156"/>
      <c r="S387" s="154"/>
      <c r="T387" s="100"/>
      <c r="U387" s="357"/>
      <c r="V387" s="156"/>
      <c r="W387" s="154"/>
      <c r="X387" s="100"/>
      <c r="Y387" s="357"/>
      <c r="Z387" s="100"/>
      <c r="AA387" s="100"/>
      <c r="AB387" s="100"/>
      <c r="AC387" s="357"/>
      <c r="AD387" s="367"/>
      <c r="AE387" s="368"/>
      <c r="AF387" s="98"/>
      <c r="AG387" s="357"/>
      <c r="AH387" s="156"/>
      <c r="AI387" s="305"/>
      <c r="AJ387" s="366"/>
      <c r="AK387" s="357"/>
      <c r="AL387" s="371"/>
      <c r="AM387" s="371"/>
      <c r="AN387" s="371"/>
      <c r="AO387" s="357"/>
      <c r="AP387" s="100"/>
      <c r="AQ387" s="100"/>
      <c r="AR387" s="100"/>
      <c r="AS387" s="357"/>
      <c r="AT387" s="100"/>
      <c r="AU387" s="100"/>
      <c r="AV387" s="100"/>
    </row>
    <row r="388">
      <c r="A388" s="357"/>
      <c r="B388" s="156"/>
      <c r="C388" s="154"/>
      <c r="D388" s="100"/>
      <c r="E388" s="357"/>
      <c r="F388" s="156"/>
      <c r="G388" s="154"/>
      <c r="H388" s="100"/>
      <c r="I388" s="357"/>
      <c r="J388" s="156"/>
      <c r="K388" s="154"/>
      <c r="L388" s="100"/>
      <c r="M388" s="357"/>
      <c r="N388" s="156"/>
      <c r="O388" s="154"/>
      <c r="P388" s="100"/>
      <c r="Q388" s="357"/>
      <c r="R388" s="156"/>
      <c r="S388" s="154"/>
      <c r="T388" s="100"/>
      <c r="U388" s="357"/>
      <c r="V388" s="156"/>
      <c r="W388" s="154"/>
      <c r="X388" s="100"/>
      <c r="Y388" s="357"/>
      <c r="Z388" s="100"/>
      <c r="AA388" s="100"/>
      <c r="AB388" s="100"/>
      <c r="AC388" s="357"/>
      <c r="AD388" s="367"/>
      <c r="AE388" s="368"/>
      <c r="AF388" s="98"/>
      <c r="AG388" s="357"/>
      <c r="AH388" s="156"/>
      <c r="AI388" s="305"/>
      <c r="AJ388" s="366"/>
      <c r="AK388" s="357"/>
      <c r="AL388" s="371"/>
      <c r="AM388" s="371"/>
      <c r="AN388" s="371"/>
      <c r="AO388" s="357"/>
      <c r="AP388" s="100"/>
      <c r="AQ388" s="100"/>
      <c r="AR388" s="100"/>
      <c r="AS388" s="357"/>
      <c r="AT388" s="100"/>
      <c r="AU388" s="100"/>
      <c r="AV388" s="100"/>
    </row>
    <row r="389">
      <c r="A389" s="357"/>
      <c r="B389" s="156"/>
      <c r="C389" s="154"/>
      <c r="D389" s="100"/>
      <c r="E389" s="357"/>
      <c r="F389" s="156"/>
      <c r="G389" s="154"/>
      <c r="H389" s="100"/>
      <c r="I389" s="357"/>
      <c r="J389" s="156"/>
      <c r="K389" s="154"/>
      <c r="L389" s="100"/>
      <c r="M389" s="357"/>
      <c r="N389" s="156"/>
      <c r="O389" s="154"/>
      <c r="P389" s="100"/>
      <c r="Q389" s="357"/>
      <c r="R389" s="156"/>
      <c r="S389" s="154"/>
      <c r="T389" s="100"/>
      <c r="U389" s="357"/>
      <c r="V389" s="156"/>
      <c r="W389" s="154"/>
      <c r="X389" s="100"/>
      <c r="Y389" s="357"/>
      <c r="Z389" s="100"/>
      <c r="AA389" s="100"/>
      <c r="AB389" s="100"/>
      <c r="AC389" s="357"/>
      <c r="AD389" s="367"/>
      <c r="AE389" s="368"/>
      <c r="AF389" s="98"/>
      <c r="AG389" s="357"/>
      <c r="AH389" s="156"/>
      <c r="AI389" s="305"/>
      <c r="AJ389" s="366"/>
      <c r="AK389" s="357"/>
      <c r="AL389" s="371"/>
      <c r="AM389" s="371"/>
      <c r="AN389" s="371"/>
      <c r="AO389" s="357"/>
      <c r="AP389" s="100"/>
      <c r="AQ389" s="100"/>
      <c r="AR389" s="100"/>
      <c r="AS389" s="357"/>
      <c r="AT389" s="100"/>
      <c r="AU389" s="100"/>
      <c r="AV389" s="100"/>
    </row>
    <row r="390">
      <c r="A390" s="357"/>
      <c r="B390" s="156"/>
      <c r="C390" s="154"/>
      <c r="D390" s="100"/>
      <c r="E390" s="357"/>
      <c r="F390" s="156"/>
      <c r="G390" s="154"/>
      <c r="H390" s="100"/>
      <c r="I390" s="357"/>
      <c r="J390" s="156"/>
      <c r="K390" s="154"/>
      <c r="L390" s="100"/>
      <c r="M390" s="357"/>
      <c r="N390" s="156"/>
      <c r="O390" s="154"/>
      <c r="P390" s="100"/>
      <c r="Q390" s="357"/>
      <c r="R390" s="156"/>
      <c r="S390" s="154"/>
      <c r="T390" s="100"/>
      <c r="U390" s="357"/>
      <c r="V390" s="156"/>
      <c r="W390" s="154"/>
      <c r="X390" s="100"/>
      <c r="Y390" s="357"/>
      <c r="Z390" s="100"/>
      <c r="AA390" s="100"/>
      <c r="AB390" s="100"/>
      <c r="AC390" s="357"/>
      <c r="AD390" s="367"/>
      <c r="AE390" s="368"/>
      <c r="AF390" s="98"/>
      <c r="AG390" s="357"/>
      <c r="AH390" s="156"/>
      <c r="AI390" s="305"/>
      <c r="AJ390" s="366"/>
      <c r="AK390" s="357"/>
      <c r="AL390" s="371"/>
      <c r="AM390" s="371"/>
      <c r="AN390" s="371"/>
      <c r="AO390" s="357"/>
      <c r="AP390" s="100"/>
      <c r="AQ390" s="100"/>
      <c r="AR390" s="100"/>
      <c r="AS390" s="357"/>
      <c r="AT390" s="100"/>
      <c r="AU390" s="100"/>
      <c r="AV390" s="100"/>
    </row>
    <row r="391">
      <c r="A391" s="357"/>
      <c r="B391" s="156"/>
      <c r="C391" s="154"/>
      <c r="D391" s="100"/>
      <c r="E391" s="357"/>
      <c r="F391" s="156"/>
      <c r="G391" s="154"/>
      <c r="H391" s="100"/>
      <c r="I391" s="357"/>
      <c r="J391" s="156"/>
      <c r="K391" s="154"/>
      <c r="L391" s="100"/>
      <c r="M391" s="357"/>
      <c r="N391" s="156"/>
      <c r="O391" s="154"/>
      <c r="P391" s="100"/>
      <c r="Q391" s="357"/>
      <c r="R391" s="156"/>
      <c r="S391" s="154"/>
      <c r="T391" s="100"/>
      <c r="U391" s="357"/>
      <c r="V391" s="156"/>
      <c r="W391" s="154"/>
      <c r="X391" s="100"/>
      <c r="Y391" s="357"/>
      <c r="Z391" s="100"/>
      <c r="AA391" s="100"/>
      <c r="AB391" s="100"/>
      <c r="AC391" s="357"/>
      <c r="AD391" s="367"/>
      <c r="AE391" s="368"/>
      <c r="AF391" s="98"/>
      <c r="AG391" s="357"/>
      <c r="AH391" s="156"/>
      <c r="AI391" s="305"/>
      <c r="AJ391" s="366"/>
      <c r="AK391" s="357"/>
      <c r="AL391" s="371"/>
      <c r="AM391" s="371"/>
      <c r="AN391" s="371"/>
      <c r="AO391" s="357"/>
      <c r="AP391" s="100"/>
      <c r="AQ391" s="100"/>
      <c r="AR391" s="100"/>
      <c r="AS391" s="357"/>
      <c r="AT391" s="100"/>
      <c r="AU391" s="100"/>
      <c r="AV391" s="100"/>
    </row>
    <row r="392">
      <c r="A392" s="357"/>
      <c r="B392" s="156"/>
      <c r="C392" s="154"/>
      <c r="D392" s="100"/>
      <c r="E392" s="357"/>
      <c r="F392" s="156"/>
      <c r="G392" s="154"/>
      <c r="H392" s="100"/>
      <c r="I392" s="357"/>
      <c r="J392" s="156"/>
      <c r="K392" s="154"/>
      <c r="L392" s="100"/>
      <c r="M392" s="357"/>
      <c r="N392" s="156"/>
      <c r="O392" s="154"/>
      <c r="P392" s="100"/>
      <c r="Q392" s="357"/>
      <c r="R392" s="156"/>
      <c r="S392" s="154"/>
      <c r="T392" s="100"/>
      <c r="U392" s="357"/>
      <c r="V392" s="156"/>
      <c r="W392" s="154"/>
      <c r="X392" s="100"/>
      <c r="Y392" s="357"/>
      <c r="Z392" s="100"/>
      <c r="AA392" s="100"/>
      <c r="AB392" s="100"/>
      <c r="AC392" s="357"/>
      <c r="AD392" s="367"/>
      <c r="AE392" s="368"/>
      <c r="AF392" s="98"/>
      <c r="AG392" s="357"/>
      <c r="AH392" s="156"/>
      <c r="AI392" s="305"/>
      <c r="AJ392" s="366"/>
      <c r="AK392" s="357"/>
      <c r="AL392" s="371"/>
      <c r="AM392" s="371"/>
      <c r="AN392" s="371"/>
      <c r="AO392" s="357"/>
      <c r="AP392" s="100"/>
      <c r="AQ392" s="100"/>
      <c r="AR392" s="100"/>
      <c r="AS392" s="357"/>
      <c r="AT392" s="100"/>
      <c r="AU392" s="100"/>
      <c r="AV392" s="100"/>
    </row>
    <row r="393">
      <c r="A393" s="357"/>
      <c r="B393" s="156"/>
      <c r="C393" s="154"/>
      <c r="D393" s="100"/>
      <c r="E393" s="357"/>
      <c r="F393" s="156"/>
      <c r="G393" s="154"/>
      <c r="H393" s="100"/>
      <c r="I393" s="357"/>
      <c r="J393" s="156"/>
      <c r="K393" s="154"/>
      <c r="L393" s="100"/>
      <c r="M393" s="357"/>
      <c r="N393" s="156"/>
      <c r="O393" s="154"/>
      <c r="P393" s="100"/>
      <c r="Q393" s="357"/>
      <c r="R393" s="156"/>
      <c r="S393" s="154"/>
      <c r="T393" s="100"/>
      <c r="U393" s="357"/>
      <c r="V393" s="156"/>
      <c r="W393" s="154"/>
      <c r="X393" s="100"/>
      <c r="Y393" s="357"/>
      <c r="Z393" s="100"/>
      <c r="AA393" s="100"/>
      <c r="AB393" s="100"/>
      <c r="AC393" s="357"/>
      <c r="AD393" s="367"/>
      <c r="AE393" s="368"/>
      <c r="AF393" s="98"/>
      <c r="AG393" s="357"/>
      <c r="AH393" s="156"/>
      <c r="AI393" s="305"/>
      <c r="AJ393" s="366"/>
      <c r="AK393" s="357"/>
      <c r="AL393" s="371"/>
      <c r="AM393" s="371"/>
      <c r="AN393" s="371"/>
      <c r="AO393" s="357"/>
      <c r="AP393" s="100"/>
      <c r="AQ393" s="100"/>
      <c r="AR393" s="100"/>
      <c r="AS393" s="357"/>
      <c r="AT393" s="100"/>
      <c r="AU393" s="100"/>
      <c r="AV393" s="100"/>
    </row>
    <row r="394">
      <c r="A394" s="357"/>
      <c r="B394" s="156"/>
      <c r="C394" s="154"/>
      <c r="D394" s="100"/>
      <c r="E394" s="357"/>
      <c r="F394" s="156"/>
      <c r="G394" s="154"/>
      <c r="H394" s="100"/>
      <c r="I394" s="357"/>
      <c r="J394" s="156"/>
      <c r="K394" s="154"/>
      <c r="L394" s="100"/>
      <c r="M394" s="357"/>
      <c r="N394" s="156"/>
      <c r="O394" s="154"/>
      <c r="P394" s="100"/>
      <c r="Q394" s="357"/>
      <c r="R394" s="156"/>
      <c r="S394" s="154"/>
      <c r="T394" s="100"/>
      <c r="U394" s="357"/>
      <c r="V394" s="156"/>
      <c r="W394" s="154"/>
      <c r="X394" s="100"/>
      <c r="Y394" s="357"/>
      <c r="Z394" s="100"/>
      <c r="AA394" s="100"/>
      <c r="AB394" s="100"/>
      <c r="AC394" s="357"/>
      <c r="AD394" s="367"/>
      <c r="AE394" s="368"/>
      <c r="AF394" s="98"/>
      <c r="AG394" s="357"/>
      <c r="AH394" s="156"/>
      <c r="AI394" s="305"/>
      <c r="AJ394" s="366"/>
      <c r="AK394" s="357"/>
      <c r="AL394" s="371"/>
      <c r="AM394" s="371"/>
      <c r="AN394" s="371"/>
      <c r="AO394" s="357"/>
      <c r="AP394" s="100"/>
      <c r="AQ394" s="100"/>
      <c r="AR394" s="100"/>
      <c r="AS394" s="357"/>
      <c r="AT394" s="100"/>
      <c r="AU394" s="100"/>
      <c r="AV394" s="100"/>
    </row>
    <row r="395">
      <c r="A395" s="357"/>
      <c r="B395" s="156"/>
      <c r="C395" s="154"/>
      <c r="D395" s="100"/>
      <c r="E395" s="357"/>
      <c r="F395" s="156"/>
      <c r="G395" s="154"/>
      <c r="H395" s="100"/>
      <c r="I395" s="357"/>
      <c r="J395" s="156"/>
      <c r="K395" s="154"/>
      <c r="L395" s="100"/>
      <c r="M395" s="357"/>
      <c r="N395" s="156"/>
      <c r="O395" s="154"/>
      <c r="P395" s="100"/>
      <c r="Q395" s="357"/>
      <c r="R395" s="156"/>
      <c r="S395" s="154"/>
      <c r="T395" s="100"/>
      <c r="U395" s="357"/>
      <c r="V395" s="156"/>
      <c r="W395" s="154"/>
      <c r="X395" s="100"/>
      <c r="Y395" s="357"/>
      <c r="Z395" s="100"/>
      <c r="AA395" s="100"/>
      <c r="AB395" s="100"/>
      <c r="AC395" s="357"/>
      <c r="AD395" s="367"/>
      <c r="AE395" s="368"/>
      <c r="AF395" s="98"/>
      <c r="AG395" s="357"/>
      <c r="AH395" s="156"/>
      <c r="AI395" s="305"/>
      <c r="AJ395" s="366"/>
      <c r="AK395" s="357"/>
      <c r="AL395" s="371"/>
      <c r="AM395" s="371"/>
      <c r="AN395" s="371"/>
      <c r="AO395" s="357"/>
      <c r="AP395" s="100"/>
      <c r="AQ395" s="100"/>
      <c r="AR395" s="100"/>
      <c r="AS395" s="357"/>
      <c r="AT395" s="100"/>
      <c r="AU395" s="100"/>
      <c r="AV395" s="100"/>
    </row>
    <row r="396">
      <c r="A396" s="357"/>
      <c r="B396" s="156"/>
      <c r="C396" s="154"/>
      <c r="D396" s="100"/>
      <c r="E396" s="357"/>
      <c r="F396" s="156"/>
      <c r="G396" s="154"/>
      <c r="H396" s="100"/>
      <c r="I396" s="357"/>
      <c r="J396" s="156"/>
      <c r="K396" s="154"/>
      <c r="L396" s="100"/>
      <c r="M396" s="357"/>
      <c r="N396" s="156"/>
      <c r="O396" s="154"/>
      <c r="P396" s="100"/>
      <c r="Q396" s="357"/>
      <c r="R396" s="156"/>
      <c r="S396" s="154"/>
      <c r="T396" s="100"/>
      <c r="U396" s="357"/>
      <c r="V396" s="156"/>
      <c r="W396" s="154"/>
      <c r="X396" s="100"/>
      <c r="Y396" s="357"/>
      <c r="Z396" s="100"/>
      <c r="AA396" s="100"/>
      <c r="AB396" s="100"/>
      <c r="AC396" s="357"/>
      <c r="AD396" s="367"/>
      <c r="AE396" s="368"/>
      <c r="AF396" s="98"/>
      <c r="AG396" s="357"/>
      <c r="AH396" s="156"/>
      <c r="AI396" s="305"/>
      <c r="AJ396" s="366"/>
      <c r="AK396" s="357"/>
      <c r="AL396" s="371"/>
      <c r="AM396" s="371"/>
      <c r="AN396" s="371"/>
      <c r="AO396" s="357"/>
      <c r="AP396" s="100"/>
      <c r="AQ396" s="100"/>
      <c r="AR396" s="100"/>
      <c r="AS396" s="357"/>
      <c r="AT396" s="100"/>
      <c r="AU396" s="100"/>
      <c r="AV396" s="100"/>
    </row>
    <row r="397">
      <c r="A397" s="357"/>
      <c r="B397" s="156"/>
      <c r="C397" s="154"/>
      <c r="D397" s="100"/>
      <c r="E397" s="357"/>
      <c r="F397" s="156"/>
      <c r="G397" s="154"/>
      <c r="H397" s="100"/>
      <c r="I397" s="357"/>
      <c r="J397" s="156"/>
      <c r="K397" s="154"/>
      <c r="L397" s="100"/>
      <c r="M397" s="357"/>
      <c r="N397" s="156"/>
      <c r="O397" s="154"/>
      <c r="P397" s="100"/>
      <c r="Q397" s="357"/>
      <c r="R397" s="156"/>
      <c r="S397" s="154"/>
      <c r="T397" s="100"/>
      <c r="U397" s="357"/>
      <c r="V397" s="156"/>
      <c r="W397" s="154"/>
      <c r="X397" s="100"/>
      <c r="Y397" s="357"/>
      <c r="Z397" s="100"/>
      <c r="AA397" s="100"/>
      <c r="AB397" s="100"/>
      <c r="AC397" s="357"/>
      <c r="AD397" s="367"/>
      <c r="AE397" s="368"/>
      <c r="AF397" s="98"/>
      <c r="AG397" s="357"/>
      <c r="AH397" s="156"/>
      <c r="AI397" s="305"/>
      <c r="AJ397" s="366"/>
      <c r="AK397" s="357"/>
      <c r="AL397" s="371"/>
      <c r="AM397" s="371"/>
      <c r="AN397" s="371"/>
      <c r="AO397" s="357"/>
      <c r="AP397" s="100"/>
      <c r="AQ397" s="100"/>
      <c r="AR397" s="100"/>
      <c r="AS397" s="357"/>
      <c r="AT397" s="100"/>
      <c r="AU397" s="100"/>
      <c r="AV397" s="100"/>
    </row>
    <row r="398">
      <c r="A398" s="357"/>
      <c r="B398" s="156"/>
      <c r="C398" s="154"/>
      <c r="D398" s="100"/>
      <c r="E398" s="357"/>
      <c r="F398" s="156"/>
      <c r="G398" s="154"/>
      <c r="H398" s="100"/>
      <c r="I398" s="357"/>
      <c r="J398" s="156"/>
      <c r="K398" s="154"/>
      <c r="L398" s="100"/>
      <c r="M398" s="357"/>
      <c r="N398" s="156"/>
      <c r="O398" s="154"/>
      <c r="P398" s="100"/>
      <c r="Q398" s="357"/>
      <c r="R398" s="156"/>
      <c r="S398" s="154"/>
      <c r="T398" s="100"/>
      <c r="U398" s="357"/>
      <c r="V398" s="156"/>
      <c r="W398" s="154"/>
      <c r="X398" s="100"/>
      <c r="Y398" s="357"/>
      <c r="Z398" s="100"/>
      <c r="AA398" s="100"/>
      <c r="AB398" s="100"/>
      <c r="AC398" s="357"/>
      <c r="AD398" s="367"/>
      <c r="AE398" s="368"/>
      <c r="AF398" s="98"/>
      <c r="AG398" s="357"/>
      <c r="AH398" s="156"/>
      <c r="AI398" s="305"/>
      <c r="AJ398" s="366"/>
      <c r="AK398" s="357"/>
      <c r="AL398" s="371"/>
      <c r="AM398" s="371"/>
      <c r="AN398" s="371"/>
      <c r="AO398" s="357"/>
      <c r="AP398" s="100"/>
      <c r="AQ398" s="100"/>
      <c r="AR398" s="100"/>
      <c r="AS398" s="357"/>
      <c r="AT398" s="100"/>
      <c r="AU398" s="100"/>
      <c r="AV398" s="100"/>
    </row>
    <row r="399">
      <c r="A399" s="357"/>
      <c r="B399" s="156"/>
      <c r="C399" s="154"/>
      <c r="D399" s="100"/>
      <c r="E399" s="357"/>
      <c r="F399" s="156"/>
      <c r="G399" s="154"/>
      <c r="H399" s="100"/>
      <c r="I399" s="357"/>
      <c r="J399" s="156"/>
      <c r="K399" s="154"/>
      <c r="L399" s="100"/>
      <c r="M399" s="357"/>
      <c r="N399" s="156"/>
      <c r="O399" s="154"/>
      <c r="P399" s="100"/>
      <c r="Q399" s="357"/>
      <c r="R399" s="156"/>
      <c r="S399" s="154"/>
      <c r="T399" s="100"/>
      <c r="U399" s="357"/>
      <c r="V399" s="156"/>
      <c r="W399" s="154"/>
      <c r="X399" s="100"/>
      <c r="Y399" s="357"/>
      <c r="Z399" s="100"/>
      <c r="AA399" s="100"/>
      <c r="AB399" s="100"/>
      <c r="AC399" s="357"/>
      <c r="AD399" s="367"/>
      <c r="AE399" s="368"/>
      <c r="AF399" s="98"/>
      <c r="AG399" s="357"/>
      <c r="AH399" s="156"/>
      <c r="AI399" s="305"/>
      <c r="AJ399" s="366"/>
      <c r="AK399" s="357"/>
      <c r="AL399" s="371"/>
      <c r="AM399" s="371"/>
      <c r="AN399" s="371"/>
      <c r="AO399" s="357"/>
      <c r="AP399" s="100"/>
      <c r="AQ399" s="100"/>
      <c r="AR399" s="100"/>
      <c r="AS399" s="357"/>
      <c r="AT399" s="100"/>
      <c r="AU399" s="100"/>
      <c r="AV399" s="100"/>
    </row>
    <row r="400">
      <c r="A400" s="357"/>
      <c r="B400" s="156"/>
      <c r="C400" s="154"/>
      <c r="D400" s="100"/>
      <c r="E400" s="357"/>
      <c r="F400" s="156"/>
      <c r="G400" s="154"/>
      <c r="H400" s="100"/>
      <c r="I400" s="357"/>
      <c r="J400" s="156"/>
      <c r="K400" s="154"/>
      <c r="L400" s="100"/>
      <c r="M400" s="357"/>
      <c r="N400" s="156"/>
      <c r="O400" s="154"/>
      <c r="P400" s="100"/>
      <c r="Q400" s="357"/>
      <c r="R400" s="156"/>
      <c r="S400" s="154"/>
      <c r="T400" s="100"/>
      <c r="U400" s="357"/>
      <c r="V400" s="156"/>
      <c r="W400" s="154"/>
      <c r="X400" s="100"/>
      <c r="Y400" s="357"/>
      <c r="Z400" s="100"/>
      <c r="AA400" s="100"/>
      <c r="AB400" s="100"/>
      <c r="AC400" s="357"/>
      <c r="AD400" s="367"/>
      <c r="AE400" s="368"/>
      <c r="AF400" s="98"/>
      <c r="AG400" s="357"/>
      <c r="AH400" s="156"/>
      <c r="AI400" s="305"/>
      <c r="AJ400" s="366"/>
      <c r="AK400" s="357"/>
      <c r="AL400" s="371"/>
      <c r="AM400" s="371"/>
      <c r="AN400" s="371"/>
      <c r="AO400" s="357"/>
      <c r="AP400" s="100"/>
      <c r="AQ400" s="100"/>
      <c r="AR400" s="100"/>
      <c r="AS400" s="357"/>
      <c r="AT400" s="100"/>
      <c r="AU400" s="100"/>
      <c r="AV400" s="100"/>
    </row>
    <row r="401">
      <c r="A401" s="357"/>
      <c r="B401" s="156"/>
      <c r="C401" s="154"/>
      <c r="D401" s="100"/>
      <c r="E401" s="357"/>
      <c r="F401" s="156"/>
      <c r="G401" s="154"/>
      <c r="H401" s="100"/>
      <c r="I401" s="357"/>
      <c r="J401" s="156"/>
      <c r="K401" s="154"/>
      <c r="L401" s="100"/>
      <c r="M401" s="357"/>
      <c r="N401" s="156"/>
      <c r="O401" s="154"/>
      <c r="P401" s="100"/>
      <c r="Q401" s="357"/>
      <c r="R401" s="156"/>
      <c r="S401" s="154"/>
      <c r="T401" s="100"/>
      <c r="U401" s="357"/>
      <c r="V401" s="156"/>
      <c r="W401" s="154"/>
      <c r="X401" s="100"/>
      <c r="Y401" s="357"/>
      <c r="Z401" s="100"/>
      <c r="AA401" s="100"/>
      <c r="AB401" s="100"/>
      <c r="AC401" s="357"/>
      <c r="AD401" s="367"/>
      <c r="AE401" s="368"/>
      <c r="AF401" s="98"/>
      <c r="AG401" s="357"/>
      <c r="AH401" s="156"/>
      <c r="AI401" s="305"/>
      <c r="AJ401" s="366"/>
      <c r="AK401" s="357"/>
      <c r="AL401" s="371"/>
      <c r="AM401" s="371"/>
      <c r="AN401" s="371"/>
      <c r="AO401" s="357"/>
      <c r="AP401" s="100"/>
      <c r="AQ401" s="100"/>
      <c r="AR401" s="100"/>
      <c r="AS401" s="357"/>
      <c r="AT401" s="100"/>
      <c r="AU401" s="100"/>
      <c r="AV401" s="100"/>
    </row>
    <row r="402">
      <c r="A402" s="357"/>
      <c r="B402" s="156"/>
      <c r="C402" s="154"/>
      <c r="D402" s="100"/>
      <c r="E402" s="357"/>
      <c r="F402" s="156"/>
      <c r="G402" s="154"/>
      <c r="H402" s="100"/>
      <c r="I402" s="357"/>
      <c r="J402" s="156"/>
      <c r="K402" s="154"/>
      <c r="L402" s="100"/>
      <c r="M402" s="357"/>
      <c r="N402" s="156"/>
      <c r="O402" s="154"/>
      <c r="P402" s="100"/>
      <c r="Q402" s="357"/>
      <c r="R402" s="156"/>
      <c r="S402" s="154"/>
      <c r="T402" s="100"/>
      <c r="U402" s="357"/>
      <c r="V402" s="156"/>
      <c r="W402" s="154"/>
      <c r="X402" s="100"/>
      <c r="Y402" s="357"/>
      <c r="Z402" s="100"/>
      <c r="AA402" s="100"/>
      <c r="AB402" s="100"/>
      <c r="AC402" s="357"/>
      <c r="AD402" s="367"/>
      <c r="AE402" s="368"/>
      <c r="AF402" s="98"/>
      <c r="AG402" s="357"/>
      <c r="AH402" s="156"/>
      <c r="AI402" s="305"/>
      <c r="AJ402" s="366"/>
      <c r="AK402" s="357"/>
      <c r="AL402" s="371"/>
      <c r="AM402" s="371"/>
      <c r="AN402" s="371"/>
      <c r="AO402" s="357"/>
      <c r="AP402" s="100"/>
      <c r="AQ402" s="100"/>
      <c r="AR402" s="100"/>
      <c r="AS402" s="357"/>
      <c r="AT402" s="100"/>
      <c r="AU402" s="100"/>
      <c r="AV402" s="100"/>
    </row>
    <row r="403">
      <c r="A403" s="357"/>
      <c r="B403" s="156"/>
      <c r="C403" s="154"/>
      <c r="D403" s="100"/>
      <c r="E403" s="357"/>
      <c r="F403" s="156"/>
      <c r="G403" s="154"/>
      <c r="H403" s="100"/>
      <c r="I403" s="357"/>
      <c r="J403" s="156"/>
      <c r="K403" s="154"/>
      <c r="L403" s="100"/>
      <c r="M403" s="357"/>
      <c r="N403" s="156"/>
      <c r="O403" s="154"/>
      <c r="P403" s="100"/>
      <c r="Q403" s="357"/>
      <c r="R403" s="156"/>
      <c r="S403" s="154"/>
      <c r="T403" s="100"/>
      <c r="U403" s="357"/>
      <c r="V403" s="156"/>
      <c r="W403" s="154"/>
      <c r="X403" s="100"/>
      <c r="Y403" s="357"/>
      <c r="Z403" s="100"/>
      <c r="AA403" s="100"/>
      <c r="AB403" s="100"/>
      <c r="AC403" s="357"/>
      <c r="AD403" s="367"/>
      <c r="AE403" s="368"/>
      <c r="AF403" s="98"/>
      <c r="AG403" s="357"/>
      <c r="AH403" s="156"/>
      <c r="AI403" s="305"/>
      <c r="AJ403" s="366"/>
      <c r="AK403" s="357"/>
      <c r="AL403" s="371"/>
      <c r="AM403" s="371"/>
      <c r="AN403" s="371"/>
      <c r="AO403" s="357"/>
      <c r="AP403" s="100"/>
      <c r="AQ403" s="100"/>
      <c r="AR403" s="100"/>
      <c r="AS403" s="357"/>
      <c r="AT403" s="100"/>
      <c r="AU403" s="100"/>
      <c r="AV403" s="100"/>
    </row>
    <row r="404">
      <c r="A404" s="357"/>
      <c r="B404" s="156"/>
      <c r="C404" s="154"/>
      <c r="D404" s="100"/>
      <c r="E404" s="357"/>
      <c r="F404" s="156"/>
      <c r="G404" s="154"/>
      <c r="H404" s="100"/>
      <c r="I404" s="357"/>
      <c r="J404" s="156"/>
      <c r="K404" s="154"/>
      <c r="L404" s="100"/>
      <c r="M404" s="357"/>
      <c r="N404" s="156"/>
      <c r="O404" s="154"/>
      <c r="P404" s="100"/>
      <c r="Q404" s="357"/>
      <c r="R404" s="156"/>
      <c r="S404" s="154"/>
      <c r="T404" s="100"/>
      <c r="U404" s="357"/>
      <c r="V404" s="156"/>
      <c r="W404" s="154"/>
      <c r="X404" s="100"/>
      <c r="Y404" s="357"/>
      <c r="Z404" s="100"/>
      <c r="AA404" s="100"/>
      <c r="AB404" s="100"/>
      <c r="AC404" s="357"/>
      <c r="AD404" s="367"/>
      <c r="AE404" s="368"/>
      <c r="AF404" s="98"/>
      <c r="AG404" s="357"/>
      <c r="AH404" s="156"/>
      <c r="AI404" s="305"/>
      <c r="AJ404" s="366"/>
      <c r="AK404" s="357"/>
      <c r="AL404" s="371"/>
      <c r="AM404" s="371"/>
      <c r="AN404" s="371"/>
      <c r="AO404" s="357"/>
      <c r="AP404" s="100"/>
      <c r="AQ404" s="100"/>
      <c r="AR404" s="100"/>
      <c r="AS404" s="357"/>
      <c r="AT404" s="100"/>
      <c r="AU404" s="100"/>
      <c r="AV404" s="100"/>
    </row>
    <row r="405">
      <c r="A405" s="357"/>
      <c r="B405" s="156"/>
      <c r="C405" s="154"/>
      <c r="D405" s="100"/>
      <c r="E405" s="357"/>
      <c r="F405" s="156"/>
      <c r="G405" s="154"/>
      <c r="H405" s="100"/>
      <c r="I405" s="357"/>
      <c r="J405" s="156"/>
      <c r="K405" s="154"/>
      <c r="L405" s="100"/>
      <c r="M405" s="357"/>
      <c r="N405" s="156"/>
      <c r="O405" s="154"/>
      <c r="P405" s="100"/>
      <c r="Q405" s="357"/>
      <c r="R405" s="156"/>
      <c r="S405" s="154"/>
      <c r="T405" s="100"/>
      <c r="U405" s="357"/>
      <c r="V405" s="156"/>
      <c r="W405" s="154"/>
      <c r="X405" s="100"/>
      <c r="Y405" s="357"/>
      <c r="Z405" s="100"/>
      <c r="AA405" s="100"/>
      <c r="AB405" s="100"/>
      <c r="AC405" s="357"/>
      <c r="AD405" s="367"/>
      <c r="AE405" s="368"/>
      <c r="AF405" s="98"/>
      <c r="AG405" s="357"/>
      <c r="AH405" s="156"/>
      <c r="AI405" s="305"/>
      <c r="AJ405" s="366"/>
      <c r="AK405" s="357"/>
      <c r="AL405" s="371"/>
      <c r="AM405" s="371"/>
      <c r="AN405" s="371"/>
      <c r="AO405" s="357"/>
      <c r="AP405" s="100"/>
      <c r="AQ405" s="100"/>
      <c r="AR405" s="100"/>
      <c r="AS405" s="357"/>
      <c r="AT405" s="100"/>
      <c r="AU405" s="100"/>
      <c r="AV405" s="100"/>
    </row>
    <row r="406">
      <c r="A406" s="357"/>
      <c r="B406" s="156"/>
      <c r="C406" s="154"/>
      <c r="D406" s="100"/>
      <c r="E406" s="357"/>
      <c r="F406" s="156"/>
      <c r="G406" s="154"/>
      <c r="H406" s="100"/>
      <c r="I406" s="357"/>
      <c r="J406" s="156"/>
      <c r="K406" s="154"/>
      <c r="L406" s="100"/>
      <c r="M406" s="357"/>
      <c r="N406" s="156"/>
      <c r="O406" s="154"/>
      <c r="P406" s="100"/>
      <c r="Q406" s="357"/>
      <c r="R406" s="156"/>
      <c r="S406" s="154"/>
      <c r="T406" s="100"/>
      <c r="U406" s="357"/>
      <c r="V406" s="156"/>
      <c r="W406" s="154"/>
      <c r="X406" s="100"/>
      <c r="Y406" s="357"/>
      <c r="Z406" s="100"/>
      <c r="AA406" s="100"/>
      <c r="AB406" s="100"/>
      <c r="AC406" s="357"/>
      <c r="AD406" s="367"/>
      <c r="AE406" s="368"/>
      <c r="AF406" s="98"/>
      <c r="AG406" s="357"/>
      <c r="AH406" s="156"/>
      <c r="AI406" s="305"/>
      <c r="AJ406" s="366"/>
      <c r="AK406" s="357"/>
      <c r="AL406" s="371"/>
      <c r="AM406" s="371"/>
      <c r="AN406" s="371"/>
      <c r="AO406" s="357"/>
      <c r="AP406" s="100"/>
      <c r="AQ406" s="100"/>
      <c r="AR406" s="100"/>
      <c r="AS406" s="357"/>
      <c r="AT406" s="100"/>
      <c r="AU406" s="100"/>
      <c r="AV406" s="100"/>
    </row>
    <row r="407">
      <c r="A407" s="357"/>
      <c r="B407" s="156"/>
      <c r="C407" s="154"/>
      <c r="D407" s="100"/>
      <c r="E407" s="357"/>
      <c r="F407" s="156"/>
      <c r="G407" s="154"/>
      <c r="H407" s="100"/>
      <c r="I407" s="357"/>
      <c r="J407" s="156"/>
      <c r="K407" s="154"/>
      <c r="L407" s="100"/>
      <c r="M407" s="357"/>
      <c r="N407" s="156"/>
      <c r="O407" s="154"/>
      <c r="P407" s="100"/>
      <c r="Q407" s="357"/>
      <c r="R407" s="156"/>
      <c r="S407" s="154"/>
      <c r="T407" s="100"/>
      <c r="U407" s="357"/>
      <c r="V407" s="156"/>
      <c r="W407" s="154"/>
      <c r="X407" s="100"/>
      <c r="Y407" s="357"/>
      <c r="Z407" s="100"/>
      <c r="AA407" s="100"/>
      <c r="AB407" s="100"/>
      <c r="AC407" s="357"/>
      <c r="AD407" s="367"/>
      <c r="AE407" s="368"/>
      <c r="AF407" s="98"/>
      <c r="AG407" s="357"/>
      <c r="AH407" s="156"/>
      <c r="AI407" s="305"/>
      <c r="AJ407" s="366"/>
      <c r="AK407" s="357"/>
      <c r="AL407" s="371"/>
      <c r="AM407" s="371"/>
      <c r="AN407" s="371"/>
      <c r="AO407" s="357"/>
      <c r="AP407" s="100"/>
      <c r="AQ407" s="100"/>
      <c r="AR407" s="100"/>
      <c r="AS407" s="357"/>
      <c r="AT407" s="100"/>
      <c r="AU407" s="100"/>
      <c r="AV407" s="100"/>
    </row>
    <row r="408">
      <c r="A408" s="357"/>
      <c r="B408" s="156"/>
      <c r="C408" s="154"/>
      <c r="D408" s="100"/>
      <c r="E408" s="357"/>
      <c r="F408" s="156"/>
      <c r="G408" s="154"/>
      <c r="H408" s="100"/>
      <c r="I408" s="357"/>
      <c r="J408" s="156"/>
      <c r="K408" s="154"/>
      <c r="L408" s="100"/>
      <c r="M408" s="357"/>
      <c r="N408" s="156"/>
      <c r="O408" s="154"/>
      <c r="P408" s="100"/>
      <c r="Q408" s="357"/>
      <c r="R408" s="156"/>
      <c r="S408" s="154"/>
      <c r="T408" s="100"/>
      <c r="U408" s="357"/>
      <c r="V408" s="156"/>
      <c r="W408" s="154"/>
      <c r="X408" s="100"/>
      <c r="Y408" s="357"/>
      <c r="Z408" s="100"/>
      <c r="AA408" s="100"/>
      <c r="AB408" s="100"/>
      <c r="AC408" s="357"/>
      <c r="AD408" s="367"/>
      <c r="AE408" s="368"/>
      <c r="AF408" s="98"/>
      <c r="AG408" s="357"/>
      <c r="AH408" s="156"/>
      <c r="AI408" s="305"/>
      <c r="AJ408" s="366"/>
      <c r="AK408" s="357"/>
      <c r="AL408" s="371"/>
      <c r="AM408" s="371"/>
      <c r="AN408" s="371"/>
      <c r="AO408" s="357"/>
      <c r="AP408" s="100"/>
      <c r="AQ408" s="100"/>
      <c r="AR408" s="100"/>
      <c r="AS408" s="357"/>
      <c r="AT408" s="100"/>
      <c r="AU408" s="100"/>
      <c r="AV408" s="100"/>
    </row>
    <row r="409">
      <c r="A409" s="357"/>
      <c r="B409" s="156"/>
      <c r="C409" s="154"/>
      <c r="D409" s="100"/>
      <c r="E409" s="357"/>
      <c r="F409" s="156"/>
      <c r="G409" s="154"/>
      <c r="H409" s="100"/>
      <c r="I409" s="357"/>
      <c r="J409" s="156"/>
      <c r="K409" s="154"/>
      <c r="L409" s="100"/>
      <c r="M409" s="357"/>
      <c r="N409" s="156"/>
      <c r="O409" s="154"/>
      <c r="P409" s="100"/>
      <c r="Q409" s="357"/>
      <c r="R409" s="156"/>
      <c r="S409" s="154"/>
      <c r="T409" s="100"/>
      <c r="U409" s="357"/>
      <c r="V409" s="156"/>
      <c r="W409" s="154"/>
      <c r="X409" s="100"/>
      <c r="Y409" s="357"/>
      <c r="Z409" s="100"/>
      <c r="AA409" s="100"/>
      <c r="AB409" s="100"/>
      <c r="AC409" s="357"/>
      <c r="AD409" s="367"/>
      <c r="AE409" s="368"/>
      <c r="AF409" s="98"/>
      <c r="AG409" s="357"/>
      <c r="AH409" s="156"/>
      <c r="AI409" s="305"/>
      <c r="AJ409" s="366"/>
      <c r="AK409" s="357"/>
      <c r="AL409" s="371"/>
      <c r="AM409" s="371"/>
      <c r="AN409" s="371"/>
      <c r="AO409" s="357"/>
      <c r="AP409" s="100"/>
      <c r="AQ409" s="100"/>
      <c r="AR409" s="100"/>
      <c r="AS409" s="357"/>
      <c r="AT409" s="100"/>
      <c r="AU409" s="100"/>
      <c r="AV409" s="100"/>
    </row>
    <row r="410">
      <c r="A410" s="357"/>
      <c r="B410" s="156"/>
      <c r="C410" s="154"/>
      <c r="D410" s="100"/>
      <c r="E410" s="357"/>
      <c r="F410" s="156"/>
      <c r="G410" s="154"/>
      <c r="H410" s="100"/>
      <c r="I410" s="357"/>
      <c r="J410" s="156"/>
      <c r="K410" s="154"/>
      <c r="L410" s="100"/>
      <c r="M410" s="357"/>
      <c r="N410" s="156"/>
      <c r="O410" s="154"/>
      <c r="P410" s="100"/>
      <c r="Q410" s="357"/>
      <c r="R410" s="156"/>
      <c r="S410" s="154"/>
      <c r="T410" s="100"/>
      <c r="U410" s="357"/>
      <c r="V410" s="156"/>
      <c r="W410" s="154"/>
      <c r="X410" s="100"/>
      <c r="Y410" s="357"/>
      <c r="Z410" s="100"/>
      <c r="AA410" s="100"/>
      <c r="AB410" s="100"/>
      <c r="AC410" s="357"/>
      <c r="AD410" s="367"/>
      <c r="AE410" s="368"/>
      <c r="AF410" s="98"/>
      <c r="AG410" s="357"/>
      <c r="AH410" s="156"/>
      <c r="AI410" s="305"/>
      <c r="AJ410" s="366"/>
      <c r="AK410" s="357"/>
      <c r="AL410" s="371"/>
      <c r="AM410" s="371"/>
      <c r="AN410" s="371"/>
      <c r="AO410" s="357"/>
      <c r="AP410" s="100"/>
      <c r="AQ410" s="100"/>
      <c r="AR410" s="100"/>
      <c r="AS410" s="357"/>
      <c r="AT410" s="100"/>
      <c r="AU410" s="100"/>
      <c r="AV410" s="100"/>
    </row>
    <row r="411">
      <c r="A411" s="357"/>
      <c r="B411" s="156"/>
      <c r="C411" s="154"/>
      <c r="D411" s="100"/>
      <c r="E411" s="357"/>
      <c r="F411" s="156"/>
      <c r="G411" s="154"/>
      <c r="H411" s="100"/>
      <c r="I411" s="357"/>
      <c r="J411" s="156"/>
      <c r="K411" s="154"/>
      <c r="L411" s="100"/>
      <c r="M411" s="357"/>
      <c r="N411" s="156"/>
      <c r="O411" s="154"/>
      <c r="P411" s="100"/>
      <c r="Q411" s="357"/>
      <c r="R411" s="156"/>
      <c r="S411" s="154"/>
      <c r="T411" s="100"/>
      <c r="U411" s="357"/>
      <c r="V411" s="156"/>
      <c r="W411" s="154"/>
      <c r="X411" s="100"/>
      <c r="Y411" s="357"/>
      <c r="Z411" s="100"/>
      <c r="AA411" s="100"/>
      <c r="AB411" s="100"/>
      <c r="AC411" s="357"/>
      <c r="AD411" s="367"/>
      <c r="AE411" s="368"/>
      <c r="AF411" s="98"/>
      <c r="AG411" s="357"/>
      <c r="AH411" s="156"/>
      <c r="AI411" s="305"/>
      <c r="AJ411" s="366"/>
      <c r="AK411" s="357"/>
      <c r="AL411" s="371"/>
      <c r="AM411" s="371"/>
      <c r="AN411" s="371"/>
      <c r="AO411" s="357"/>
      <c r="AP411" s="100"/>
      <c r="AQ411" s="100"/>
      <c r="AR411" s="100"/>
      <c r="AS411" s="357"/>
      <c r="AT411" s="100"/>
      <c r="AU411" s="100"/>
      <c r="AV411" s="100"/>
    </row>
    <row r="412">
      <c r="A412" s="357"/>
      <c r="B412" s="156"/>
      <c r="C412" s="154"/>
      <c r="D412" s="100"/>
      <c r="E412" s="357"/>
      <c r="F412" s="156"/>
      <c r="G412" s="154"/>
      <c r="H412" s="100"/>
      <c r="I412" s="357"/>
      <c r="J412" s="156"/>
      <c r="K412" s="154"/>
      <c r="L412" s="100"/>
      <c r="M412" s="357"/>
      <c r="N412" s="156"/>
      <c r="O412" s="154"/>
      <c r="P412" s="100"/>
      <c r="Q412" s="357"/>
      <c r="R412" s="156"/>
      <c r="S412" s="154"/>
      <c r="T412" s="100"/>
      <c r="U412" s="357"/>
      <c r="V412" s="156"/>
      <c r="W412" s="154"/>
      <c r="X412" s="100"/>
      <c r="Y412" s="357"/>
      <c r="Z412" s="100"/>
      <c r="AA412" s="100"/>
      <c r="AB412" s="100"/>
      <c r="AC412" s="357"/>
      <c r="AD412" s="367"/>
      <c r="AE412" s="368"/>
      <c r="AF412" s="98"/>
      <c r="AG412" s="357"/>
      <c r="AH412" s="156"/>
      <c r="AI412" s="305"/>
      <c r="AJ412" s="366"/>
      <c r="AK412" s="357"/>
      <c r="AL412" s="371"/>
      <c r="AM412" s="371"/>
      <c r="AN412" s="371"/>
      <c r="AO412" s="357"/>
      <c r="AP412" s="100"/>
      <c r="AQ412" s="100"/>
      <c r="AR412" s="100"/>
      <c r="AS412" s="357"/>
      <c r="AT412" s="100"/>
      <c r="AU412" s="100"/>
      <c r="AV412" s="100"/>
    </row>
    <row r="413">
      <c r="A413" s="357"/>
      <c r="B413" s="156"/>
      <c r="C413" s="154"/>
      <c r="D413" s="100"/>
      <c r="E413" s="357"/>
      <c r="F413" s="156"/>
      <c r="G413" s="154"/>
      <c r="H413" s="100"/>
      <c r="I413" s="357"/>
      <c r="J413" s="156"/>
      <c r="K413" s="154"/>
      <c r="L413" s="100"/>
      <c r="M413" s="357"/>
      <c r="N413" s="156"/>
      <c r="O413" s="154"/>
      <c r="P413" s="100"/>
      <c r="Q413" s="357"/>
      <c r="R413" s="156"/>
      <c r="S413" s="154"/>
      <c r="T413" s="100"/>
      <c r="U413" s="357"/>
      <c r="V413" s="156"/>
      <c r="W413" s="154"/>
      <c r="X413" s="100"/>
      <c r="Y413" s="357"/>
      <c r="Z413" s="100"/>
      <c r="AA413" s="100"/>
      <c r="AB413" s="100"/>
      <c r="AC413" s="357"/>
      <c r="AD413" s="367"/>
      <c r="AE413" s="368"/>
      <c r="AF413" s="98"/>
      <c r="AG413" s="357"/>
      <c r="AH413" s="156"/>
      <c r="AI413" s="305"/>
      <c r="AJ413" s="366"/>
      <c r="AK413" s="357"/>
      <c r="AL413" s="371"/>
      <c r="AM413" s="371"/>
      <c r="AN413" s="371"/>
      <c r="AO413" s="357"/>
      <c r="AP413" s="100"/>
      <c r="AQ413" s="100"/>
      <c r="AR413" s="100"/>
      <c r="AS413" s="357"/>
      <c r="AT413" s="100"/>
      <c r="AU413" s="100"/>
      <c r="AV413" s="100"/>
    </row>
    <row r="414">
      <c r="A414" s="357"/>
      <c r="B414" s="156"/>
      <c r="C414" s="154"/>
      <c r="D414" s="100"/>
      <c r="E414" s="357"/>
      <c r="F414" s="156"/>
      <c r="G414" s="154"/>
      <c r="H414" s="100"/>
      <c r="I414" s="357"/>
      <c r="J414" s="156"/>
      <c r="K414" s="154"/>
      <c r="L414" s="100"/>
      <c r="M414" s="357"/>
      <c r="N414" s="156"/>
      <c r="O414" s="154"/>
      <c r="P414" s="100"/>
      <c r="Q414" s="357"/>
      <c r="R414" s="156"/>
      <c r="S414" s="154"/>
      <c r="T414" s="100"/>
      <c r="U414" s="357"/>
      <c r="V414" s="156"/>
      <c r="W414" s="154"/>
      <c r="X414" s="100"/>
      <c r="Y414" s="357"/>
      <c r="Z414" s="100"/>
      <c r="AA414" s="100"/>
      <c r="AB414" s="100"/>
      <c r="AC414" s="357"/>
      <c r="AD414" s="367"/>
      <c r="AE414" s="368"/>
      <c r="AF414" s="98"/>
      <c r="AG414" s="357"/>
      <c r="AH414" s="156"/>
      <c r="AI414" s="305"/>
      <c r="AJ414" s="366"/>
      <c r="AK414" s="357"/>
      <c r="AL414" s="371"/>
      <c r="AM414" s="371"/>
      <c r="AN414" s="371"/>
      <c r="AO414" s="357"/>
      <c r="AP414" s="100"/>
      <c r="AQ414" s="100"/>
      <c r="AR414" s="100"/>
      <c r="AS414" s="357"/>
      <c r="AT414" s="100"/>
      <c r="AU414" s="100"/>
      <c r="AV414" s="100"/>
    </row>
    <row r="415">
      <c r="A415" s="357"/>
      <c r="B415" s="156"/>
      <c r="C415" s="154"/>
      <c r="D415" s="100"/>
      <c r="E415" s="357"/>
      <c r="F415" s="156"/>
      <c r="G415" s="154"/>
      <c r="H415" s="100"/>
      <c r="I415" s="357"/>
      <c r="J415" s="156"/>
      <c r="K415" s="154"/>
      <c r="L415" s="100"/>
      <c r="M415" s="357"/>
      <c r="N415" s="156"/>
      <c r="O415" s="154"/>
      <c r="P415" s="100"/>
      <c r="Q415" s="357"/>
      <c r="R415" s="156"/>
      <c r="S415" s="154"/>
      <c r="T415" s="100"/>
      <c r="U415" s="357"/>
      <c r="V415" s="156"/>
      <c r="W415" s="154"/>
      <c r="X415" s="100"/>
      <c r="Y415" s="357"/>
      <c r="Z415" s="100"/>
      <c r="AA415" s="100"/>
      <c r="AB415" s="100"/>
      <c r="AC415" s="357"/>
      <c r="AD415" s="367"/>
      <c r="AE415" s="368"/>
      <c r="AF415" s="98"/>
      <c r="AG415" s="357"/>
      <c r="AH415" s="156"/>
      <c r="AI415" s="305"/>
      <c r="AJ415" s="366"/>
      <c r="AK415" s="357"/>
      <c r="AL415" s="371"/>
      <c r="AM415" s="371"/>
      <c r="AN415" s="371"/>
      <c r="AO415" s="357"/>
      <c r="AP415" s="100"/>
      <c r="AQ415" s="100"/>
      <c r="AR415" s="100"/>
      <c r="AS415" s="357"/>
      <c r="AT415" s="100"/>
      <c r="AU415" s="100"/>
      <c r="AV415" s="100"/>
    </row>
    <row r="416">
      <c r="A416" s="357"/>
      <c r="B416" s="156"/>
      <c r="C416" s="154"/>
      <c r="D416" s="100"/>
      <c r="E416" s="357"/>
      <c r="F416" s="156"/>
      <c r="G416" s="154"/>
      <c r="H416" s="100"/>
      <c r="I416" s="357"/>
      <c r="J416" s="156"/>
      <c r="K416" s="154"/>
      <c r="L416" s="100"/>
      <c r="M416" s="357"/>
      <c r="N416" s="156"/>
      <c r="O416" s="154"/>
      <c r="P416" s="100"/>
      <c r="Q416" s="357"/>
      <c r="R416" s="156"/>
      <c r="S416" s="154"/>
      <c r="T416" s="100"/>
      <c r="U416" s="357"/>
      <c r="V416" s="156"/>
      <c r="W416" s="154"/>
      <c r="X416" s="100"/>
      <c r="Y416" s="357"/>
      <c r="Z416" s="100"/>
      <c r="AA416" s="100"/>
      <c r="AB416" s="100"/>
      <c r="AC416" s="357"/>
      <c r="AD416" s="367"/>
      <c r="AE416" s="368"/>
      <c r="AF416" s="98"/>
      <c r="AG416" s="357"/>
      <c r="AH416" s="156"/>
      <c r="AI416" s="305"/>
      <c r="AJ416" s="366"/>
      <c r="AK416" s="357"/>
      <c r="AL416" s="371"/>
      <c r="AM416" s="371"/>
      <c r="AN416" s="371"/>
      <c r="AO416" s="357"/>
      <c r="AP416" s="100"/>
      <c r="AQ416" s="100"/>
      <c r="AR416" s="100"/>
      <c r="AS416" s="357"/>
      <c r="AT416" s="100"/>
      <c r="AU416" s="100"/>
      <c r="AV416" s="100"/>
    </row>
    <row r="417">
      <c r="A417" s="357"/>
      <c r="B417" s="156"/>
      <c r="C417" s="154"/>
      <c r="D417" s="100"/>
      <c r="E417" s="357"/>
      <c r="F417" s="156"/>
      <c r="G417" s="154"/>
      <c r="H417" s="100"/>
      <c r="I417" s="357"/>
      <c r="J417" s="156"/>
      <c r="K417" s="154"/>
      <c r="L417" s="100"/>
      <c r="M417" s="357"/>
      <c r="N417" s="156"/>
      <c r="O417" s="154"/>
      <c r="P417" s="100"/>
      <c r="Q417" s="357"/>
      <c r="R417" s="156"/>
      <c r="S417" s="154"/>
      <c r="T417" s="100"/>
      <c r="U417" s="357"/>
      <c r="V417" s="156"/>
      <c r="W417" s="154"/>
      <c r="X417" s="100"/>
      <c r="Y417" s="357"/>
      <c r="Z417" s="100"/>
      <c r="AA417" s="100"/>
      <c r="AB417" s="100"/>
      <c r="AC417" s="357"/>
      <c r="AD417" s="367"/>
      <c r="AE417" s="368"/>
      <c r="AF417" s="98"/>
      <c r="AG417" s="357"/>
      <c r="AH417" s="156"/>
      <c r="AI417" s="305"/>
      <c r="AJ417" s="366"/>
      <c r="AK417" s="357"/>
      <c r="AL417" s="371"/>
      <c r="AM417" s="371"/>
      <c r="AN417" s="371"/>
      <c r="AO417" s="357"/>
      <c r="AP417" s="100"/>
      <c r="AQ417" s="100"/>
      <c r="AR417" s="100"/>
      <c r="AS417" s="357"/>
      <c r="AT417" s="100"/>
      <c r="AU417" s="100"/>
      <c r="AV417" s="100"/>
    </row>
    <row r="418">
      <c r="A418" s="357"/>
      <c r="B418" s="156"/>
      <c r="C418" s="154"/>
      <c r="D418" s="100"/>
      <c r="E418" s="357"/>
      <c r="F418" s="156"/>
      <c r="G418" s="154"/>
      <c r="H418" s="100"/>
      <c r="I418" s="357"/>
      <c r="J418" s="156"/>
      <c r="K418" s="154"/>
      <c r="L418" s="100"/>
      <c r="M418" s="357"/>
      <c r="N418" s="156"/>
      <c r="O418" s="154"/>
      <c r="P418" s="100"/>
      <c r="Q418" s="357"/>
      <c r="R418" s="156"/>
      <c r="S418" s="154"/>
      <c r="T418" s="100"/>
      <c r="U418" s="357"/>
      <c r="V418" s="156"/>
      <c r="W418" s="154"/>
      <c r="X418" s="100"/>
      <c r="Y418" s="357"/>
      <c r="Z418" s="100"/>
      <c r="AA418" s="100"/>
      <c r="AB418" s="100"/>
      <c r="AC418" s="357"/>
      <c r="AD418" s="367"/>
      <c r="AE418" s="368"/>
      <c r="AF418" s="98"/>
      <c r="AG418" s="357"/>
      <c r="AH418" s="156"/>
      <c r="AI418" s="305"/>
      <c r="AJ418" s="366"/>
      <c r="AK418" s="357"/>
      <c r="AL418" s="371"/>
      <c r="AM418" s="371"/>
      <c r="AN418" s="371"/>
      <c r="AO418" s="357"/>
      <c r="AP418" s="100"/>
      <c r="AQ418" s="100"/>
      <c r="AR418" s="100"/>
      <c r="AS418" s="357"/>
      <c r="AT418" s="100"/>
      <c r="AU418" s="100"/>
      <c r="AV418" s="100"/>
    </row>
    <row r="419">
      <c r="A419" s="357"/>
      <c r="B419" s="156"/>
      <c r="C419" s="154"/>
      <c r="D419" s="100"/>
      <c r="E419" s="357"/>
      <c r="F419" s="156"/>
      <c r="G419" s="154"/>
      <c r="H419" s="100"/>
      <c r="I419" s="357"/>
      <c r="J419" s="156"/>
      <c r="K419" s="154"/>
      <c r="L419" s="100"/>
      <c r="M419" s="357"/>
      <c r="N419" s="156"/>
      <c r="O419" s="154"/>
      <c r="P419" s="100"/>
      <c r="Q419" s="357"/>
      <c r="R419" s="156"/>
      <c r="S419" s="154"/>
      <c r="T419" s="100"/>
      <c r="U419" s="357"/>
      <c r="V419" s="156"/>
      <c r="W419" s="154"/>
      <c r="X419" s="100"/>
      <c r="Y419" s="357"/>
      <c r="Z419" s="100"/>
      <c r="AA419" s="100"/>
      <c r="AB419" s="100"/>
      <c r="AC419" s="357"/>
      <c r="AD419" s="367"/>
      <c r="AE419" s="368"/>
      <c r="AF419" s="98"/>
      <c r="AG419" s="357"/>
      <c r="AH419" s="156"/>
      <c r="AI419" s="305"/>
      <c r="AJ419" s="366"/>
      <c r="AK419" s="357"/>
      <c r="AL419" s="371"/>
      <c r="AM419" s="371"/>
      <c r="AN419" s="371"/>
      <c r="AO419" s="357"/>
      <c r="AP419" s="100"/>
      <c r="AQ419" s="100"/>
      <c r="AR419" s="100"/>
      <c r="AS419" s="357"/>
      <c r="AT419" s="100"/>
      <c r="AU419" s="100"/>
      <c r="AV419" s="100"/>
    </row>
    <row r="420">
      <c r="A420" s="357"/>
      <c r="B420" s="156"/>
      <c r="C420" s="154"/>
      <c r="D420" s="100"/>
      <c r="E420" s="357"/>
      <c r="F420" s="156"/>
      <c r="G420" s="154"/>
      <c r="H420" s="100"/>
      <c r="I420" s="357"/>
      <c r="J420" s="156"/>
      <c r="K420" s="154"/>
      <c r="L420" s="100"/>
      <c r="M420" s="357"/>
      <c r="N420" s="156"/>
      <c r="O420" s="154"/>
      <c r="P420" s="100"/>
      <c r="Q420" s="357"/>
      <c r="R420" s="156"/>
      <c r="S420" s="154"/>
      <c r="T420" s="100"/>
      <c r="U420" s="357"/>
      <c r="V420" s="156"/>
      <c r="W420" s="154"/>
      <c r="X420" s="100"/>
      <c r="Y420" s="357"/>
      <c r="Z420" s="100"/>
      <c r="AA420" s="100"/>
      <c r="AB420" s="100"/>
      <c r="AC420" s="357"/>
      <c r="AD420" s="367"/>
      <c r="AE420" s="368"/>
      <c r="AF420" s="98"/>
      <c r="AG420" s="357"/>
      <c r="AH420" s="156"/>
      <c r="AI420" s="305"/>
      <c r="AJ420" s="366"/>
      <c r="AK420" s="357"/>
      <c r="AL420" s="371"/>
      <c r="AM420" s="371"/>
      <c r="AN420" s="371"/>
      <c r="AO420" s="357"/>
      <c r="AP420" s="100"/>
      <c r="AQ420" s="100"/>
      <c r="AR420" s="100"/>
      <c r="AS420" s="357"/>
      <c r="AT420" s="100"/>
      <c r="AU420" s="100"/>
      <c r="AV420" s="100"/>
    </row>
    <row r="421">
      <c r="A421" s="357"/>
      <c r="B421" s="156"/>
      <c r="C421" s="154"/>
      <c r="D421" s="100"/>
      <c r="E421" s="357"/>
      <c r="F421" s="156"/>
      <c r="G421" s="154"/>
      <c r="H421" s="100"/>
      <c r="I421" s="357"/>
      <c r="J421" s="156"/>
      <c r="K421" s="154"/>
      <c r="L421" s="100"/>
      <c r="M421" s="357"/>
      <c r="N421" s="156"/>
      <c r="O421" s="154"/>
      <c r="P421" s="100"/>
      <c r="Q421" s="357"/>
      <c r="R421" s="156"/>
      <c r="S421" s="154"/>
      <c r="T421" s="100"/>
      <c r="U421" s="357"/>
      <c r="V421" s="156"/>
      <c r="W421" s="154"/>
      <c r="X421" s="100"/>
      <c r="Y421" s="357"/>
      <c r="Z421" s="100"/>
      <c r="AA421" s="100"/>
      <c r="AB421" s="100"/>
      <c r="AC421" s="357"/>
      <c r="AD421" s="367"/>
      <c r="AE421" s="368"/>
      <c r="AF421" s="98"/>
      <c r="AG421" s="357"/>
      <c r="AH421" s="156"/>
      <c r="AI421" s="305"/>
      <c r="AJ421" s="366"/>
      <c r="AK421" s="357"/>
      <c r="AL421" s="371"/>
      <c r="AM421" s="371"/>
      <c r="AN421" s="371"/>
      <c r="AO421" s="357"/>
      <c r="AP421" s="100"/>
      <c r="AQ421" s="100"/>
      <c r="AR421" s="100"/>
      <c r="AS421" s="357"/>
      <c r="AT421" s="100"/>
      <c r="AU421" s="100"/>
      <c r="AV421" s="100"/>
    </row>
    <row r="422">
      <c r="A422" s="357"/>
      <c r="B422" s="156"/>
      <c r="C422" s="154"/>
      <c r="D422" s="100"/>
      <c r="E422" s="357"/>
      <c r="F422" s="156"/>
      <c r="G422" s="154"/>
      <c r="H422" s="100"/>
      <c r="I422" s="357"/>
      <c r="J422" s="156"/>
      <c r="K422" s="154"/>
      <c r="L422" s="100"/>
      <c r="M422" s="357"/>
      <c r="N422" s="156"/>
      <c r="O422" s="154"/>
      <c r="P422" s="100"/>
      <c r="Q422" s="357"/>
      <c r="R422" s="156"/>
      <c r="S422" s="154"/>
      <c r="T422" s="100"/>
      <c r="U422" s="357"/>
      <c r="V422" s="156"/>
      <c r="W422" s="154"/>
      <c r="X422" s="100"/>
      <c r="Y422" s="357"/>
      <c r="Z422" s="100"/>
      <c r="AA422" s="100"/>
      <c r="AB422" s="100"/>
      <c r="AC422" s="357"/>
      <c r="AD422" s="367"/>
      <c r="AE422" s="368"/>
      <c r="AF422" s="98"/>
      <c r="AG422" s="357"/>
      <c r="AH422" s="156"/>
      <c r="AI422" s="305"/>
      <c r="AJ422" s="366"/>
      <c r="AK422" s="357"/>
      <c r="AL422" s="371"/>
      <c r="AM422" s="371"/>
      <c r="AN422" s="371"/>
      <c r="AO422" s="357"/>
      <c r="AP422" s="100"/>
      <c r="AQ422" s="100"/>
      <c r="AR422" s="100"/>
      <c r="AS422" s="357"/>
      <c r="AT422" s="100"/>
      <c r="AU422" s="100"/>
      <c r="AV422" s="100"/>
    </row>
    <row r="423">
      <c r="A423" s="357"/>
      <c r="B423" s="156"/>
      <c r="C423" s="154"/>
      <c r="D423" s="100"/>
      <c r="E423" s="357"/>
      <c r="F423" s="156"/>
      <c r="G423" s="154"/>
      <c r="H423" s="100"/>
      <c r="I423" s="357"/>
      <c r="J423" s="156"/>
      <c r="K423" s="154"/>
      <c r="L423" s="100"/>
      <c r="M423" s="357"/>
      <c r="N423" s="156"/>
      <c r="O423" s="154"/>
      <c r="P423" s="100"/>
      <c r="Q423" s="357"/>
      <c r="R423" s="156"/>
      <c r="S423" s="154"/>
      <c r="T423" s="100"/>
      <c r="U423" s="357"/>
      <c r="V423" s="156"/>
      <c r="W423" s="154"/>
      <c r="X423" s="100"/>
      <c r="Y423" s="357"/>
      <c r="Z423" s="100"/>
      <c r="AA423" s="100"/>
      <c r="AB423" s="100"/>
      <c r="AC423" s="357"/>
      <c r="AD423" s="367"/>
      <c r="AE423" s="368"/>
      <c r="AF423" s="98"/>
      <c r="AG423" s="357"/>
      <c r="AH423" s="156"/>
      <c r="AI423" s="305"/>
      <c r="AJ423" s="366"/>
      <c r="AK423" s="357"/>
      <c r="AL423" s="371"/>
      <c r="AM423" s="371"/>
      <c r="AN423" s="371"/>
      <c r="AO423" s="357"/>
      <c r="AP423" s="100"/>
      <c r="AQ423" s="100"/>
      <c r="AR423" s="100"/>
      <c r="AS423" s="357"/>
      <c r="AT423" s="100"/>
      <c r="AU423" s="100"/>
      <c r="AV423" s="100"/>
    </row>
    <row r="424">
      <c r="A424" s="357"/>
      <c r="B424" s="156"/>
      <c r="C424" s="154"/>
      <c r="D424" s="100"/>
      <c r="E424" s="357"/>
      <c r="F424" s="156"/>
      <c r="G424" s="154"/>
      <c r="H424" s="100"/>
      <c r="I424" s="357"/>
      <c r="J424" s="156"/>
      <c r="K424" s="154"/>
      <c r="L424" s="100"/>
      <c r="M424" s="357"/>
      <c r="N424" s="156"/>
      <c r="O424" s="154"/>
      <c r="P424" s="100"/>
      <c r="Q424" s="357"/>
      <c r="R424" s="156"/>
      <c r="S424" s="154"/>
      <c r="T424" s="100"/>
      <c r="U424" s="357"/>
      <c r="V424" s="156"/>
      <c r="W424" s="154"/>
      <c r="X424" s="100"/>
      <c r="Y424" s="357"/>
      <c r="Z424" s="100"/>
      <c r="AA424" s="100"/>
      <c r="AB424" s="100"/>
      <c r="AC424" s="357"/>
      <c r="AD424" s="367"/>
      <c r="AE424" s="368"/>
      <c r="AF424" s="98"/>
      <c r="AG424" s="357"/>
      <c r="AH424" s="156"/>
      <c r="AI424" s="305"/>
      <c r="AJ424" s="366"/>
      <c r="AK424" s="357"/>
      <c r="AL424" s="371"/>
      <c r="AM424" s="371"/>
      <c r="AN424" s="371"/>
      <c r="AO424" s="357"/>
      <c r="AP424" s="100"/>
      <c r="AQ424" s="100"/>
      <c r="AR424" s="100"/>
      <c r="AS424" s="357"/>
      <c r="AT424" s="100"/>
      <c r="AU424" s="100"/>
      <c r="AV424" s="100"/>
    </row>
    <row r="425">
      <c r="A425" s="357"/>
      <c r="B425" s="156"/>
      <c r="C425" s="154"/>
      <c r="D425" s="100"/>
      <c r="E425" s="357"/>
      <c r="F425" s="156"/>
      <c r="G425" s="154"/>
      <c r="H425" s="100"/>
      <c r="I425" s="357"/>
      <c r="J425" s="156"/>
      <c r="K425" s="154"/>
      <c r="L425" s="100"/>
      <c r="M425" s="357"/>
      <c r="N425" s="156"/>
      <c r="O425" s="154"/>
      <c r="P425" s="100"/>
      <c r="Q425" s="357"/>
      <c r="R425" s="156"/>
      <c r="S425" s="154"/>
      <c r="T425" s="100"/>
      <c r="U425" s="357"/>
      <c r="V425" s="156"/>
      <c r="W425" s="154"/>
      <c r="X425" s="100"/>
      <c r="Y425" s="357"/>
      <c r="Z425" s="100"/>
      <c r="AA425" s="100"/>
      <c r="AB425" s="100"/>
      <c r="AC425" s="357"/>
      <c r="AD425" s="367"/>
      <c r="AE425" s="368"/>
      <c r="AF425" s="98"/>
      <c r="AG425" s="357"/>
      <c r="AH425" s="156"/>
      <c r="AI425" s="305"/>
      <c r="AJ425" s="366"/>
      <c r="AK425" s="357"/>
      <c r="AL425" s="371"/>
      <c r="AM425" s="371"/>
      <c r="AN425" s="371"/>
      <c r="AO425" s="357"/>
      <c r="AP425" s="100"/>
      <c r="AQ425" s="100"/>
      <c r="AR425" s="100"/>
      <c r="AS425" s="357"/>
      <c r="AT425" s="100"/>
      <c r="AU425" s="100"/>
      <c r="AV425" s="100"/>
    </row>
    <row r="426">
      <c r="A426" s="357"/>
      <c r="B426" s="156"/>
      <c r="C426" s="154"/>
      <c r="D426" s="100"/>
      <c r="E426" s="357"/>
      <c r="F426" s="156"/>
      <c r="G426" s="154"/>
      <c r="H426" s="100"/>
      <c r="I426" s="357"/>
      <c r="J426" s="156"/>
      <c r="K426" s="154"/>
      <c r="L426" s="100"/>
      <c r="M426" s="357"/>
      <c r="N426" s="156"/>
      <c r="O426" s="154"/>
      <c r="P426" s="100"/>
      <c r="Q426" s="357"/>
      <c r="R426" s="156"/>
      <c r="S426" s="154"/>
      <c r="T426" s="100"/>
      <c r="U426" s="357"/>
      <c r="V426" s="156"/>
      <c r="W426" s="154"/>
      <c r="X426" s="100"/>
      <c r="Y426" s="357"/>
      <c r="Z426" s="100"/>
      <c r="AA426" s="100"/>
      <c r="AB426" s="100"/>
      <c r="AC426" s="357"/>
      <c r="AD426" s="367"/>
      <c r="AE426" s="368"/>
      <c r="AF426" s="98"/>
      <c r="AG426" s="357"/>
      <c r="AH426" s="156"/>
      <c r="AI426" s="305"/>
      <c r="AJ426" s="366"/>
      <c r="AK426" s="357"/>
      <c r="AL426" s="371"/>
      <c r="AM426" s="371"/>
      <c r="AN426" s="371"/>
      <c r="AO426" s="357"/>
      <c r="AP426" s="100"/>
      <c r="AQ426" s="100"/>
      <c r="AR426" s="100"/>
      <c r="AS426" s="357"/>
      <c r="AT426" s="100"/>
      <c r="AU426" s="100"/>
      <c r="AV426" s="100"/>
    </row>
    <row r="427">
      <c r="A427" s="357"/>
      <c r="B427" s="156"/>
      <c r="C427" s="154"/>
      <c r="D427" s="100"/>
      <c r="E427" s="357"/>
      <c r="F427" s="156"/>
      <c r="G427" s="154"/>
      <c r="H427" s="100"/>
      <c r="I427" s="357"/>
      <c r="J427" s="156"/>
      <c r="K427" s="154"/>
      <c r="L427" s="100"/>
      <c r="M427" s="357"/>
      <c r="N427" s="156"/>
      <c r="O427" s="154"/>
      <c r="P427" s="100"/>
      <c r="Q427" s="357"/>
      <c r="R427" s="156"/>
      <c r="S427" s="154"/>
      <c r="T427" s="100"/>
      <c r="U427" s="357"/>
      <c r="V427" s="156"/>
      <c r="W427" s="154"/>
      <c r="X427" s="100"/>
      <c r="Y427" s="357"/>
      <c r="Z427" s="100"/>
      <c r="AA427" s="100"/>
      <c r="AB427" s="100"/>
      <c r="AC427" s="357"/>
      <c r="AD427" s="367"/>
      <c r="AE427" s="368"/>
      <c r="AF427" s="98"/>
      <c r="AG427" s="357"/>
      <c r="AH427" s="156"/>
      <c r="AI427" s="305"/>
      <c r="AJ427" s="366"/>
      <c r="AK427" s="357"/>
      <c r="AL427" s="371"/>
      <c r="AM427" s="371"/>
      <c r="AN427" s="371"/>
      <c r="AO427" s="357"/>
      <c r="AP427" s="100"/>
      <c r="AQ427" s="100"/>
      <c r="AR427" s="100"/>
      <c r="AS427" s="357"/>
      <c r="AT427" s="100"/>
      <c r="AU427" s="100"/>
      <c r="AV427" s="100"/>
    </row>
    <row r="428">
      <c r="A428" s="357"/>
      <c r="B428" s="156"/>
      <c r="C428" s="154"/>
      <c r="D428" s="100"/>
      <c r="E428" s="357"/>
      <c r="F428" s="156"/>
      <c r="G428" s="154"/>
      <c r="H428" s="100"/>
      <c r="I428" s="357"/>
      <c r="J428" s="156"/>
      <c r="K428" s="154"/>
      <c r="L428" s="100"/>
      <c r="M428" s="357"/>
      <c r="N428" s="156"/>
      <c r="O428" s="154"/>
      <c r="P428" s="100"/>
      <c r="Q428" s="357"/>
      <c r="R428" s="156"/>
      <c r="S428" s="154"/>
      <c r="T428" s="100"/>
      <c r="U428" s="357"/>
      <c r="V428" s="156"/>
      <c r="W428" s="154"/>
      <c r="X428" s="100"/>
      <c r="Y428" s="357"/>
      <c r="Z428" s="100"/>
      <c r="AA428" s="100"/>
      <c r="AB428" s="100"/>
      <c r="AC428" s="357"/>
      <c r="AD428" s="367"/>
      <c r="AE428" s="368"/>
      <c r="AF428" s="98"/>
      <c r="AG428" s="357"/>
      <c r="AH428" s="156"/>
      <c r="AI428" s="305"/>
      <c r="AJ428" s="366"/>
      <c r="AK428" s="357"/>
      <c r="AL428" s="371"/>
      <c r="AM428" s="371"/>
      <c r="AN428" s="371"/>
      <c r="AO428" s="357"/>
      <c r="AP428" s="100"/>
      <c r="AQ428" s="100"/>
      <c r="AR428" s="100"/>
      <c r="AS428" s="357"/>
      <c r="AT428" s="100"/>
      <c r="AU428" s="100"/>
      <c r="AV428" s="100"/>
    </row>
    <row r="429">
      <c r="A429" s="357"/>
      <c r="B429" s="156"/>
      <c r="C429" s="154"/>
      <c r="D429" s="100"/>
      <c r="E429" s="357"/>
      <c r="F429" s="156"/>
      <c r="G429" s="154"/>
      <c r="H429" s="100"/>
      <c r="I429" s="357"/>
      <c r="J429" s="156"/>
      <c r="K429" s="154"/>
      <c r="L429" s="100"/>
      <c r="M429" s="357"/>
      <c r="N429" s="156"/>
      <c r="O429" s="154"/>
      <c r="P429" s="100"/>
      <c r="Q429" s="357"/>
      <c r="R429" s="156"/>
      <c r="S429" s="154"/>
      <c r="T429" s="100"/>
      <c r="U429" s="357"/>
      <c r="V429" s="156"/>
      <c r="W429" s="154"/>
      <c r="X429" s="100"/>
      <c r="Y429" s="357"/>
      <c r="Z429" s="100"/>
      <c r="AA429" s="100"/>
      <c r="AB429" s="100"/>
      <c r="AC429" s="357"/>
      <c r="AD429" s="367"/>
      <c r="AE429" s="368"/>
      <c r="AF429" s="98"/>
      <c r="AG429" s="357"/>
      <c r="AH429" s="156"/>
      <c r="AI429" s="305"/>
      <c r="AJ429" s="366"/>
      <c r="AK429" s="357"/>
      <c r="AL429" s="371"/>
      <c r="AM429" s="371"/>
      <c r="AN429" s="371"/>
      <c r="AO429" s="357"/>
      <c r="AP429" s="100"/>
      <c r="AQ429" s="100"/>
      <c r="AR429" s="100"/>
      <c r="AS429" s="357"/>
      <c r="AT429" s="100"/>
      <c r="AU429" s="100"/>
      <c r="AV429" s="100"/>
    </row>
    <row r="430">
      <c r="A430" s="357"/>
      <c r="B430" s="156"/>
      <c r="C430" s="154"/>
      <c r="D430" s="100"/>
      <c r="E430" s="357"/>
      <c r="F430" s="156"/>
      <c r="G430" s="154"/>
      <c r="H430" s="100"/>
      <c r="I430" s="357"/>
      <c r="J430" s="156"/>
      <c r="K430" s="154"/>
      <c r="L430" s="100"/>
      <c r="M430" s="357"/>
      <c r="N430" s="156"/>
      <c r="O430" s="154"/>
      <c r="P430" s="100"/>
      <c r="Q430" s="357"/>
      <c r="R430" s="156"/>
      <c r="S430" s="154"/>
      <c r="T430" s="100"/>
      <c r="U430" s="357"/>
      <c r="V430" s="156"/>
      <c r="W430" s="154"/>
      <c r="X430" s="100"/>
      <c r="Y430" s="357"/>
      <c r="Z430" s="100"/>
      <c r="AA430" s="100"/>
      <c r="AB430" s="100"/>
      <c r="AC430" s="357"/>
      <c r="AD430" s="367"/>
      <c r="AE430" s="368"/>
      <c r="AF430" s="98"/>
      <c r="AG430" s="357"/>
      <c r="AH430" s="156"/>
      <c r="AI430" s="305"/>
      <c r="AJ430" s="366"/>
      <c r="AK430" s="357"/>
      <c r="AL430" s="371"/>
      <c r="AM430" s="371"/>
      <c r="AN430" s="371"/>
      <c r="AO430" s="357"/>
      <c r="AP430" s="100"/>
      <c r="AQ430" s="100"/>
      <c r="AR430" s="100"/>
      <c r="AS430" s="357"/>
      <c r="AT430" s="100"/>
      <c r="AU430" s="100"/>
      <c r="AV430" s="100"/>
    </row>
    <row r="431">
      <c r="A431" s="357"/>
      <c r="B431" s="156"/>
      <c r="C431" s="154"/>
      <c r="D431" s="100"/>
      <c r="E431" s="357"/>
      <c r="F431" s="156"/>
      <c r="G431" s="154"/>
      <c r="H431" s="100"/>
      <c r="I431" s="357"/>
      <c r="J431" s="156"/>
      <c r="K431" s="154"/>
      <c r="L431" s="100"/>
      <c r="M431" s="357"/>
      <c r="N431" s="156"/>
      <c r="O431" s="154"/>
      <c r="P431" s="100"/>
      <c r="Q431" s="357"/>
      <c r="R431" s="156"/>
      <c r="S431" s="154"/>
      <c r="T431" s="100"/>
      <c r="U431" s="357"/>
      <c r="V431" s="156"/>
      <c r="W431" s="154"/>
      <c r="X431" s="100"/>
      <c r="Y431" s="357"/>
      <c r="Z431" s="100"/>
      <c r="AA431" s="100"/>
      <c r="AB431" s="100"/>
      <c r="AC431" s="357"/>
      <c r="AD431" s="367"/>
      <c r="AE431" s="368"/>
      <c r="AF431" s="98"/>
      <c r="AG431" s="357"/>
      <c r="AH431" s="156"/>
      <c r="AI431" s="305"/>
      <c r="AJ431" s="366"/>
      <c r="AK431" s="357"/>
      <c r="AL431" s="371"/>
      <c r="AM431" s="371"/>
      <c r="AN431" s="371"/>
      <c r="AO431" s="357"/>
      <c r="AP431" s="100"/>
      <c r="AQ431" s="100"/>
      <c r="AR431" s="100"/>
      <c r="AS431" s="357"/>
      <c r="AT431" s="100"/>
      <c r="AU431" s="100"/>
      <c r="AV431" s="100"/>
    </row>
    <row r="432">
      <c r="A432" s="357"/>
      <c r="B432" s="156"/>
      <c r="C432" s="154"/>
      <c r="D432" s="100"/>
      <c r="E432" s="357"/>
      <c r="F432" s="156"/>
      <c r="G432" s="154"/>
      <c r="H432" s="100"/>
      <c r="I432" s="357"/>
      <c r="J432" s="156"/>
      <c r="K432" s="154"/>
      <c r="L432" s="100"/>
      <c r="M432" s="357"/>
      <c r="N432" s="156"/>
      <c r="O432" s="154"/>
      <c r="P432" s="100"/>
      <c r="Q432" s="357"/>
      <c r="R432" s="156"/>
      <c r="S432" s="154"/>
      <c r="T432" s="100"/>
      <c r="U432" s="357"/>
      <c r="V432" s="156"/>
      <c r="W432" s="154"/>
      <c r="X432" s="100"/>
      <c r="Y432" s="357"/>
      <c r="Z432" s="100"/>
      <c r="AA432" s="100"/>
      <c r="AB432" s="100"/>
      <c r="AC432" s="357"/>
      <c r="AD432" s="367"/>
      <c r="AE432" s="368"/>
      <c r="AF432" s="98"/>
      <c r="AG432" s="357"/>
      <c r="AH432" s="156"/>
      <c r="AI432" s="305"/>
      <c r="AJ432" s="366"/>
      <c r="AK432" s="357"/>
      <c r="AL432" s="371"/>
      <c r="AM432" s="371"/>
      <c r="AN432" s="371"/>
      <c r="AO432" s="357"/>
      <c r="AP432" s="100"/>
      <c r="AQ432" s="100"/>
      <c r="AR432" s="100"/>
      <c r="AS432" s="357"/>
      <c r="AT432" s="100"/>
      <c r="AU432" s="100"/>
      <c r="AV432" s="100"/>
    </row>
    <row r="433">
      <c r="A433" s="357"/>
      <c r="B433" s="156"/>
      <c r="C433" s="154"/>
      <c r="D433" s="100"/>
      <c r="E433" s="357"/>
      <c r="F433" s="156"/>
      <c r="G433" s="154"/>
      <c r="H433" s="100"/>
      <c r="I433" s="357"/>
      <c r="J433" s="156"/>
      <c r="K433" s="154"/>
      <c r="L433" s="100"/>
      <c r="M433" s="357"/>
      <c r="N433" s="156"/>
      <c r="O433" s="154"/>
      <c r="P433" s="100"/>
      <c r="Q433" s="357"/>
      <c r="R433" s="156"/>
      <c r="S433" s="154"/>
      <c r="T433" s="100"/>
      <c r="U433" s="357"/>
      <c r="V433" s="156"/>
      <c r="W433" s="154"/>
      <c r="X433" s="100"/>
      <c r="Y433" s="357"/>
      <c r="Z433" s="100"/>
      <c r="AA433" s="100"/>
      <c r="AB433" s="100"/>
      <c r="AC433" s="357"/>
      <c r="AD433" s="367"/>
      <c r="AE433" s="368"/>
      <c r="AF433" s="98"/>
      <c r="AG433" s="357"/>
      <c r="AH433" s="156"/>
      <c r="AI433" s="305"/>
      <c r="AJ433" s="366"/>
      <c r="AK433" s="357"/>
      <c r="AL433" s="371"/>
      <c r="AM433" s="371"/>
      <c r="AN433" s="371"/>
      <c r="AO433" s="357"/>
      <c r="AP433" s="100"/>
      <c r="AQ433" s="100"/>
      <c r="AR433" s="100"/>
      <c r="AS433" s="357"/>
      <c r="AT433" s="100"/>
      <c r="AU433" s="100"/>
      <c r="AV433" s="100"/>
    </row>
    <row r="434">
      <c r="A434" s="357"/>
      <c r="B434" s="156"/>
      <c r="C434" s="154"/>
      <c r="D434" s="100"/>
      <c r="E434" s="357"/>
      <c r="F434" s="156"/>
      <c r="G434" s="154"/>
      <c r="H434" s="100"/>
      <c r="I434" s="357"/>
      <c r="J434" s="156"/>
      <c r="K434" s="154"/>
      <c r="L434" s="100"/>
      <c r="M434" s="357"/>
      <c r="N434" s="156"/>
      <c r="O434" s="154"/>
      <c r="P434" s="100"/>
      <c r="Q434" s="357"/>
      <c r="R434" s="156"/>
      <c r="S434" s="154"/>
      <c r="T434" s="100"/>
      <c r="U434" s="357"/>
      <c r="V434" s="156"/>
      <c r="W434" s="154"/>
      <c r="X434" s="100"/>
      <c r="Y434" s="357"/>
      <c r="Z434" s="100"/>
      <c r="AA434" s="100"/>
      <c r="AB434" s="100"/>
      <c r="AC434" s="357"/>
      <c r="AD434" s="367"/>
      <c r="AE434" s="368"/>
      <c r="AF434" s="98"/>
      <c r="AG434" s="357"/>
      <c r="AH434" s="156"/>
      <c r="AI434" s="305"/>
      <c r="AJ434" s="366"/>
      <c r="AK434" s="357"/>
      <c r="AL434" s="371"/>
      <c r="AM434" s="371"/>
      <c r="AN434" s="371"/>
      <c r="AO434" s="357"/>
      <c r="AP434" s="100"/>
      <c r="AQ434" s="100"/>
      <c r="AR434" s="100"/>
      <c r="AS434" s="357"/>
      <c r="AT434" s="100"/>
      <c r="AU434" s="100"/>
      <c r="AV434" s="100"/>
    </row>
    <row r="435">
      <c r="A435" s="357"/>
      <c r="B435" s="156"/>
      <c r="C435" s="154"/>
      <c r="D435" s="100"/>
      <c r="E435" s="357"/>
      <c r="F435" s="156"/>
      <c r="G435" s="154"/>
      <c r="H435" s="100"/>
      <c r="I435" s="357"/>
      <c r="J435" s="156"/>
      <c r="K435" s="154"/>
      <c r="L435" s="100"/>
      <c r="M435" s="357"/>
      <c r="N435" s="156"/>
      <c r="O435" s="154"/>
      <c r="P435" s="100"/>
      <c r="Q435" s="357"/>
      <c r="R435" s="156"/>
      <c r="S435" s="154"/>
      <c r="T435" s="100"/>
      <c r="U435" s="357"/>
      <c r="V435" s="156"/>
      <c r="W435" s="154"/>
      <c r="X435" s="100"/>
      <c r="Y435" s="357"/>
      <c r="Z435" s="100"/>
      <c r="AA435" s="100"/>
      <c r="AB435" s="100"/>
      <c r="AC435" s="357"/>
      <c r="AD435" s="367"/>
      <c r="AE435" s="368"/>
      <c r="AF435" s="98"/>
      <c r="AG435" s="357"/>
      <c r="AH435" s="156"/>
      <c r="AI435" s="305"/>
      <c r="AJ435" s="366"/>
      <c r="AK435" s="357"/>
      <c r="AL435" s="371"/>
      <c r="AM435" s="371"/>
      <c r="AN435" s="371"/>
      <c r="AO435" s="357"/>
      <c r="AP435" s="100"/>
      <c r="AQ435" s="100"/>
      <c r="AR435" s="100"/>
      <c r="AS435" s="357"/>
      <c r="AT435" s="100"/>
      <c r="AU435" s="100"/>
      <c r="AV435" s="100"/>
    </row>
    <row r="436">
      <c r="A436" s="357"/>
      <c r="B436" s="156"/>
      <c r="C436" s="154"/>
      <c r="D436" s="100"/>
      <c r="E436" s="357"/>
      <c r="F436" s="156"/>
      <c r="G436" s="154"/>
      <c r="H436" s="100"/>
      <c r="I436" s="357"/>
      <c r="J436" s="156"/>
      <c r="K436" s="154"/>
      <c r="L436" s="100"/>
      <c r="M436" s="357"/>
      <c r="N436" s="156"/>
      <c r="O436" s="154"/>
      <c r="P436" s="100"/>
      <c r="Q436" s="357"/>
      <c r="R436" s="156"/>
      <c r="S436" s="154"/>
      <c r="T436" s="100"/>
      <c r="U436" s="357"/>
      <c r="V436" s="156"/>
      <c r="W436" s="154"/>
      <c r="X436" s="100"/>
      <c r="Y436" s="357"/>
      <c r="Z436" s="100"/>
      <c r="AA436" s="100"/>
      <c r="AB436" s="100"/>
      <c r="AC436" s="357"/>
      <c r="AD436" s="367"/>
      <c r="AE436" s="368"/>
      <c r="AF436" s="98"/>
      <c r="AG436" s="357"/>
      <c r="AH436" s="156"/>
      <c r="AI436" s="305"/>
      <c r="AJ436" s="366"/>
      <c r="AK436" s="357"/>
      <c r="AL436" s="371"/>
      <c r="AM436" s="371"/>
      <c r="AN436" s="371"/>
      <c r="AO436" s="357"/>
      <c r="AP436" s="100"/>
      <c r="AQ436" s="100"/>
      <c r="AR436" s="100"/>
      <c r="AS436" s="357"/>
      <c r="AT436" s="100"/>
      <c r="AU436" s="100"/>
      <c r="AV436" s="100"/>
    </row>
    <row r="437">
      <c r="A437" s="357"/>
      <c r="B437" s="156"/>
      <c r="C437" s="154"/>
      <c r="D437" s="100"/>
      <c r="E437" s="357"/>
      <c r="F437" s="156"/>
      <c r="G437" s="154"/>
      <c r="H437" s="100"/>
      <c r="I437" s="357"/>
      <c r="J437" s="156"/>
      <c r="K437" s="154"/>
      <c r="L437" s="100"/>
      <c r="M437" s="357"/>
      <c r="N437" s="156"/>
      <c r="O437" s="154"/>
      <c r="P437" s="100"/>
      <c r="Q437" s="357"/>
      <c r="R437" s="156"/>
      <c r="S437" s="154"/>
      <c r="T437" s="100"/>
      <c r="U437" s="357"/>
      <c r="V437" s="156"/>
      <c r="W437" s="154"/>
      <c r="X437" s="100"/>
      <c r="Y437" s="357"/>
      <c r="Z437" s="100"/>
      <c r="AA437" s="100"/>
      <c r="AB437" s="100"/>
      <c r="AC437" s="357"/>
      <c r="AD437" s="367"/>
      <c r="AE437" s="368"/>
      <c r="AF437" s="98"/>
      <c r="AG437" s="357"/>
      <c r="AH437" s="156"/>
      <c r="AI437" s="305"/>
      <c r="AJ437" s="366"/>
      <c r="AK437" s="357"/>
      <c r="AL437" s="371"/>
      <c r="AM437" s="371"/>
      <c r="AN437" s="371"/>
      <c r="AO437" s="357"/>
      <c r="AP437" s="100"/>
      <c r="AQ437" s="100"/>
      <c r="AR437" s="100"/>
      <c r="AS437" s="357"/>
      <c r="AT437" s="100"/>
      <c r="AU437" s="100"/>
      <c r="AV437" s="100"/>
    </row>
    <row r="438">
      <c r="A438" s="357"/>
      <c r="B438" s="156"/>
      <c r="C438" s="154"/>
      <c r="D438" s="100"/>
      <c r="E438" s="357"/>
      <c r="F438" s="156"/>
      <c r="G438" s="154"/>
      <c r="H438" s="100"/>
      <c r="I438" s="357"/>
      <c r="J438" s="156"/>
      <c r="K438" s="154"/>
      <c r="L438" s="100"/>
      <c r="M438" s="357"/>
      <c r="N438" s="156"/>
      <c r="O438" s="154"/>
      <c r="P438" s="100"/>
      <c r="Q438" s="357"/>
      <c r="R438" s="156"/>
      <c r="S438" s="154"/>
      <c r="T438" s="100"/>
      <c r="U438" s="357"/>
      <c r="V438" s="156"/>
      <c r="W438" s="154"/>
      <c r="X438" s="100"/>
      <c r="Y438" s="357"/>
      <c r="Z438" s="100"/>
      <c r="AA438" s="100"/>
      <c r="AB438" s="100"/>
      <c r="AC438" s="357"/>
      <c r="AD438" s="367"/>
      <c r="AE438" s="368"/>
      <c r="AF438" s="98"/>
      <c r="AG438" s="357"/>
      <c r="AH438" s="156"/>
      <c r="AI438" s="305"/>
      <c r="AJ438" s="366"/>
      <c r="AK438" s="357"/>
      <c r="AL438" s="371"/>
      <c r="AM438" s="371"/>
      <c r="AN438" s="371"/>
      <c r="AO438" s="357"/>
      <c r="AP438" s="100"/>
      <c r="AQ438" s="100"/>
      <c r="AR438" s="100"/>
      <c r="AS438" s="357"/>
      <c r="AT438" s="100"/>
      <c r="AU438" s="100"/>
      <c r="AV438" s="100"/>
    </row>
    <row r="439">
      <c r="A439" s="357"/>
      <c r="B439" s="156"/>
      <c r="C439" s="154"/>
      <c r="D439" s="100"/>
      <c r="E439" s="357"/>
      <c r="F439" s="156"/>
      <c r="G439" s="154"/>
      <c r="H439" s="100"/>
      <c r="I439" s="357"/>
      <c r="J439" s="156"/>
      <c r="K439" s="154"/>
      <c r="L439" s="100"/>
      <c r="M439" s="357"/>
      <c r="N439" s="156"/>
      <c r="O439" s="154"/>
      <c r="P439" s="100"/>
      <c r="Q439" s="357"/>
      <c r="R439" s="156"/>
      <c r="S439" s="154"/>
      <c r="T439" s="100"/>
      <c r="U439" s="357"/>
      <c r="V439" s="156"/>
      <c r="W439" s="154"/>
      <c r="X439" s="100"/>
      <c r="Y439" s="357"/>
      <c r="Z439" s="100"/>
      <c r="AA439" s="100"/>
      <c r="AB439" s="100"/>
      <c r="AC439" s="357"/>
      <c r="AD439" s="367"/>
      <c r="AE439" s="368"/>
      <c r="AF439" s="98"/>
      <c r="AG439" s="357"/>
      <c r="AH439" s="156"/>
      <c r="AI439" s="305"/>
      <c r="AJ439" s="366"/>
      <c r="AK439" s="357"/>
      <c r="AL439" s="371"/>
      <c r="AM439" s="371"/>
      <c r="AN439" s="371"/>
      <c r="AO439" s="357"/>
      <c r="AP439" s="100"/>
      <c r="AQ439" s="100"/>
      <c r="AR439" s="100"/>
      <c r="AS439" s="357"/>
      <c r="AT439" s="100"/>
      <c r="AU439" s="100"/>
      <c r="AV439" s="100"/>
    </row>
    <row r="440">
      <c r="A440" s="357"/>
      <c r="B440" s="156"/>
      <c r="C440" s="154"/>
      <c r="D440" s="100"/>
      <c r="E440" s="357"/>
      <c r="F440" s="156"/>
      <c r="G440" s="154"/>
      <c r="H440" s="100"/>
      <c r="I440" s="357"/>
      <c r="J440" s="156"/>
      <c r="K440" s="154"/>
      <c r="L440" s="100"/>
      <c r="M440" s="357"/>
      <c r="N440" s="156"/>
      <c r="O440" s="154"/>
      <c r="P440" s="100"/>
      <c r="Q440" s="357"/>
      <c r="R440" s="156"/>
      <c r="S440" s="154"/>
      <c r="T440" s="100"/>
      <c r="U440" s="357"/>
      <c r="V440" s="156"/>
      <c r="W440" s="154"/>
      <c r="X440" s="100"/>
      <c r="Y440" s="357"/>
      <c r="Z440" s="100"/>
      <c r="AA440" s="100"/>
      <c r="AB440" s="100"/>
      <c r="AC440" s="357"/>
      <c r="AD440" s="367"/>
      <c r="AE440" s="368"/>
      <c r="AF440" s="98"/>
      <c r="AG440" s="357"/>
      <c r="AH440" s="156"/>
      <c r="AI440" s="305"/>
      <c r="AJ440" s="366"/>
      <c r="AK440" s="357"/>
      <c r="AL440" s="371"/>
      <c r="AM440" s="371"/>
      <c r="AN440" s="371"/>
      <c r="AO440" s="357"/>
      <c r="AP440" s="100"/>
      <c r="AQ440" s="100"/>
      <c r="AR440" s="100"/>
      <c r="AS440" s="357"/>
      <c r="AT440" s="100"/>
      <c r="AU440" s="100"/>
      <c r="AV440" s="100"/>
    </row>
    <row r="441">
      <c r="A441" s="357"/>
      <c r="B441" s="156"/>
      <c r="C441" s="154"/>
      <c r="D441" s="100"/>
      <c r="E441" s="357"/>
      <c r="F441" s="156"/>
      <c r="G441" s="154"/>
      <c r="H441" s="100"/>
      <c r="I441" s="357"/>
      <c r="J441" s="156"/>
      <c r="K441" s="154"/>
      <c r="L441" s="100"/>
      <c r="M441" s="357"/>
      <c r="N441" s="156"/>
      <c r="O441" s="154"/>
      <c r="P441" s="100"/>
      <c r="Q441" s="357"/>
      <c r="R441" s="156"/>
      <c r="S441" s="154"/>
      <c r="T441" s="100"/>
      <c r="U441" s="357"/>
      <c r="V441" s="156"/>
      <c r="W441" s="154"/>
      <c r="X441" s="100"/>
      <c r="Y441" s="357"/>
      <c r="Z441" s="100"/>
      <c r="AA441" s="100"/>
      <c r="AB441" s="100"/>
      <c r="AC441" s="357"/>
      <c r="AD441" s="367"/>
      <c r="AE441" s="368"/>
      <c r="AF441" s="98"/>
      <c r="AG441" s="357"/>
      <c r="AH441" s="156"/>
      <c r="AI441" s="305"/>
      <c r="AJ441" s="366"/>
      <c r="AK441" s="357"/>
      <c r="AL441" s="371"/>
      <c r="AM441" s="371"/>
      <c r="AN441" s="371"/>
      <c r="AO441" s="357"/>
      <c r="AP441" s="100"/>
      <c r="AQ441" s="100"/>
      <c r="AR441" s="100"/>
      <c r="AS441" s="357"/>
      <c r="AT441" s="100"/>
      <c r="AU441" s="100"/>
      <c r="AV441" s="100"/>
    </row>
    <row r="442">
      <c r="A442" s="357"/>
      <c r="B442" s="156"/>
      <c r="C442" s="154"/>
      <c r="D442" s="100"/>
      <c r="E442" s="357"/>
      <c r="F442" s="156"/>
      <c r="G442" s="154"/>
      <c r="H442" s="100"/>
      <c r="I442" s="357"/>
      <c r="J442" s="156"/>
      <c r="K442" s="154"/>
      <c r="L442" s="100"/>
      <c r="M442" s="357"/>
      <c r="N442" s="156"/>
      <c r="O442" s="154"/>
      <c r="P442" s="100"/>
      <c r="Q442" s="357"/>
      <c r="R442" s="156"/>
      <c r="S442" s="154"/>
      <c r="T442" s="100"/>
      <c r="U442" s="357"/>
      <c r="V442" s="156"/>
      <c r="W442" s="154"/>
      <c r="X442" s="100"/>
      <c r="Y442" s="357"/>
      <c r="Z442" s="100"/>
      <c r="AA442" s="100"/>
      <c r="AB442" s="100"/>
      <c r="AC442" s="357"/>
      <c r="AD442" s="367"/>
      <c r="AE442" s="368"/>
      <c r="AF442" s="98"/>
      <c r="AG442" s="357"/>
      <c r="AH442" s="156"/>
      <c r="AI442" s="305"/>
      <c r="AJ442" s="366"/>
      <c r="AK442" s="357"/>
      <c r="AL442" s="371"/>
      <c r="AM442" s="371"/>
      <c r="AN442" s="371"/>
      <c r="AO442" s="357"/>
      <c r="AP442" s="100"/>
      <c r="AQ442" s="100"/>
      <c r="AR442" s="100"/>
      <c r="AS442" s="357"/>
      <c r="AT442" s="100"/>
      <c r="AU442" s="100"/>
      <c r="AV442" s="100"/>
    </row>
    <row r="443">
      <c r="A443" s="357"/>
      <c r="B443" s="156"/>
      <c r="C443" s="154"/>
      <c r="D443" s="100"/>
      <c r="E443" s="357"/>
      <c r="F443" s="156"/>
      <c r="G443" s="154"/>
      <c r="H443" s="100"/>
      <c r="I443" s="357"/>
      <c r="J443" s="156"/>
      <c r="K443" s="154"/>
      <c r="L443" s="100"/>
      <c r="M443" s="357"/>
      <c r="N443" s="156"/>
      <c r="O443" s="154"/>
      <c r="P443" s="100"/>
      <c r="Q443" s="357"/>
      <c r="R443" s="156"/>
      <c r="S443" s="154"/>
      <c r="T443" s="100"/>
      <c r="U443" s="357"/>
      <c r="V443" s="156"/>
      <c r="W443" s="154"/>
      <c r="X443" s="100"/>
      <c r="Y443" s="357"/>
      <c r="Z443" s="100"/>
      <c r="AA443" s="100"/>
      <c r="AB443" s="100"/>
      <c r="AC443" s="357"/>
      <c r="AD443" s="367"/>
      <c r="AE443" s="368"/>
      <c r="AF443" s="98"/>
      <c r="AG443" s="357"/>
      <c r="AH443" s="156"/>
      <c r="AI443" s="305"/>
      <c r="AJ443" s="366"/>
      <c r="AK443" s="357"/>
      <c r="AL443" s="371"/>
      <c r="AM443" s="371"/>
      <c r="AN443" s="371"/>
      <c r="AO443" s="357"/>
      <c r="AP443" s="100"/>
      <c r="AQ443" s="100"/>
      <c r="AR443" s="100"/>
      <c r="AS443" s="357"/>
      <c r="AT443" s="100"/>
      <c r="AU443" s="100"/>
      <c r="AV443" s="100"/>
    </row>
    <row r="444">
      <c r="A444" s="357"/>
      <c r="B444" s="156"/>
      <c r="C444" s="154"/>
      <c r="D444" s="100"/>
      <c r="E444" s="357"/>
      <c r="F444" s="156"/>
      <c r="G444" s="154"/>
      <c r="H444" s="100"/>
      <c r="I444" s="357"/>
      <c r="J444" s="156"/>
      <c r="K444" s="154"/>
      <c r="L444" s="100"/>
      <c r="M444" s="357"/>
      <c r="N444" s="156"/>
      <c r="O444" s="154"/>
      <c r="P444" s="100"/>
      <c r="Q444" s="357"/>
      <c r="R444" s="156"/>
      <c r="S444" s="154"/>
      <c r="T444" s="100"/>
      <c r="U444" s="357"/>
      <c r="V444" s="156"/>
      <c r="W444" s="154"/>
      <c r="X444" s="100"/>
      <c r="Y444" s="357"/>
      <c r="Z444" s="100"/>
      <c r="AA444" s="100"/>
      <c r="AB444" s="100"/>
      <c r="AC444" s="357"/>
      <c r="AD444" s="367"/>
      <c r="AE444" s="368"/>
      <c r="AF444" s="98"/>
      <c r="AG444" s="357"/>
      <c r="AH444" s="156"/>
      <c r="AI444" s="305"/>
      <c r="AJ444" s="366"/>
      <c r="AK444" s="357"/>
      <c r="AL444" s="371"/>
      <c r="AM444" s="371"/>
      <c r="AN444" s="371"/>
      <c r="AO444" s="357"/>
      <c r="AP444" s="100"/>
      <c r="AQ444" s="100"/>
      <c r="AR444" s="100"/>
      <c r="AS444" s="357"/>
      <c r="AT444" s="100"/>
      <c r="AU444" s="100"/>
      <c r="AV444" s="100"/>
    </row>
    <row r="445">
      <c r="A445" s="357"/>
      <c r="B445" s="156"/>
      <c r="C445" s="154"/>
      <c r="D445" s="100"/>
      <c r="E445" s="357"/>
      <c r="F445" s="156"/>
      <c r="G445" s="154"/>
      <c r="H445" s="100"/>
      <c r="I445" s="357"/>
      <c r="J445" s="156"/>
      <c r="K445" s="154"/>
      <c r="L445" s="100"/>
      <c r="M445" s="357"/>
      <c r="N445" s="156"/>
      <c r="O445" s="154"/>
      <c r="P445" s="100"/>
      <c r="Q445" s="357"/>
      <c r="R445" s="156"/>
      <c r="S445" s="154"/>
      <c r="T445" s="100"/>
      <c r="U445" s="357"/>
      <c r="V445" s="156"/>
      <c r="W445" s="154"/>
      <c r="X445" s="100"/>
      <c r="Y445" s="357"/>
      <c r="Z445" s="100"/>
      <c r="AA445" s="100"/>
      <c r="AB445" s="100"/>
      <c r="AC445" s="357"/>
      <c r="AD445" s="367"/>
      <c r="AE445" s="368"/>
      <c r="AF445" s="98"/>
      <c r="AG445" s="357"/>
      <c r="AH445" s="156"/>
      <c r="AI445" s="305"/>
      <c r="AJ445" s="366"/>
      <c r="AK445" s="357"/>
      <c r="AL445" s="371"/>
      <c r="AM445" s="371"/>
      <c r="AN445" s="371"/>
      <c r="AO445" s="357"/>
      <c r="AP445" s="100"/>
      <c r="AQ445" s="100"/>
      <c r="AR445" s="100"/>
      <c r="AS445" s="357"/>
      <c r="AT445" s="100"/>
      <c r="AU445" s="100"/>
      <c r="AV445" s="100"/>
    </row>
    <row r="446">
      <c r="A446" s="357"/>
      <c r="B446" s="156"/>
      <c r="C446" s="154"/>
      <c r="D446" s="100"/>
      <c r="E446" s="357"/>
      <c r="F446" s="156"/>
      <c r="G446" s="154"/>
      <c r="H446" s="100"/>
      <c r="I446" s="357"/>
      <c r="J446" s="156"/>
      <c r="K446" s="154"/>
      <c r="L446" s="100"/>
      <c r="M446" s="357"/>
      <c r="N446" s="156"/>
      <c r="O446" s="154"/>
      <c r="P446" s="100"/>
      <c r="Q446" s="357"/>
      <c r="R446" s="156"/>
      <c r="S446" s="154"/>
      <c r="T446" s="100"/>
      <c r="U446" s="357"/>
      <c r="V446" s="156"/>
      <c r="W446" s="154"/>
      <c r="X446" s="100"/>
      <c r="Y446" s="357"/>
      <c r="Z446" s="100"/>
      <c r="AA446" s="100"/>
      <c r="AB446" s="100"/>
      <c r="AC446" s="357"/>
      <c r="AD446" s="367"/>
      <c r="AE446" s="368"/>
      <c r="AF446" s="98"/>
      <c r="AG446" s="357"/>
      <c r="AH446" s="156"/>
      <c r="AI446" s="305"/>
      <c r="AJ446" s="366"/>
      <c r="AK446" s="357"/>
      <c r="AL446" s="371"/>
      <c r="AM446" s="371"/>
      <c r="AN446" s="371"/>
      <c r="AO446" s="357"/>
      <c r="AP446" s="100"/>
      <c r="AQ446" s="100"/>
      <c r="AR446" s="100"/>
      <c r="AS446" s="357"/>
      <c r="AT446" s="100"/>
      <c r="AU446" s="100"/>
      <c r="AV446" s="100"/>
    </row>
    <row r="447">
      <c r="A447" s="357"/>
      <c r="B447" s="156"/>
      <c r="C447" s="154"/>
      <c r="D447" s="100"/>
      <c r="E447" s="357"/>
      <c r="F447" s="156"/>
      <c r="G447" s="154"/>
      <c r="H447" s="100"/>
      <c r="I447" s="357"/>
      <c r="J447" s="156"/>
      <c r="K447" s="154"/>
      <c r="L447" s="100"/>
      <c r="M447" s="357"/>
      <c r="N447" s="156"/>
      <c r="O447" s="154"/>
      <c r="P447" s="100"/>
      <c r="Q447" s="357"/>
      <c r="R447" s="156"/>
      <c r="S447" s="154"/>
      <c r="T447" s="100"/>
      <c r="U447" s="357"/>
      <c r="V447" s="156"/>
      <c r="W447" s="154"/>
      <c r="X447" s="100"/>
      <c r="Y447" s="357"/>
      <c r="Z447" s="100"/>
      <c r="AA447" s="100"/>
      <c r="AB447" s="100"/>
      <c r="AC447" s="357"/>
      <c r="AD447" s="367"/>
      <c r="AE447" s="368"/>
      <c r="AF447" s="98"/>
      <c r="AG447" s="357"/>
      <c r="AH447" s="156"/>
      <c r="AI447" s="305"/>
      <c r="AJ447" s="366"/>
      <c r="AK447" s="357"/>
      <c r="AL447" s="371"/>
      <c r="AM447" s="371"/>
      <c r="AN447" s="371"/>
      <c r="AO447" s="357"/>
      <c r="AP447" s="100"/>
      <c r="AQ447" s="100"/>
      <c r="AR447" s="100"/>
      <c r="AS447" s="357"/>
      <c r="AT447" s="100"/>
      <c r="AU447" s="100"/>
      <c r="AV447" s="100"/>
    </row>
    <row r="448">
      <c r="A448" s="357"/>
      <c r="B448" s="156"/>
      <c r="C448" s="154"/>
      <c r="D448" s="100"/>
      <c r="E448" s="357"/>
      <c r="F448" s="156"/>
      <c r="G448" s="154"/>
      <c r="H448" s="100"/>
      <c r="I448" s="357"/>
      <c r="J448" s="156"/>
      <c r="K448" s="154"/>
      <c r="L448" s="100"/>
      <c r="M448" s="357"/>
      <c r="N448" s="156"/>
      <c r="O448" s="154"/>
      <c r="P448" s="100"/>
      <c r="Q448" s="357"/>
      <c r="R448" s="156"/>
      <c r="S448" s="154"/>
      <c r="T448" s="100"/>
      <c r="U448" s="357"/>
      <c r="V448" s="156"/>
      <c r="W448" s="154"/>
      <c r="X448" s="100"/>
      <c r="Y448" s="357"/>
      <c r="Z448" s="100"/>
      <c r="AA448" s="100"/>
      <c r="AB448" s="100"/>
      <c r="AC448" s="357"/>
      <c r="AD448" s="367"/>
      <c r="AE448" s="368"/>
      <c r="AF448" s="98"/>
      <c r="AG448" s="357"/>
      <c r="AH448" s="156"/>
      <c r="AI448" s="305"/>
      <c r="AJ448" s="366"/>
      <c r="AK448" s="357"/>
      <c r="AL448" s="371"/>
      <c r="AM448" s="371"/>
      <c r="AN448" s="371"/>
      <c r="AO448" s="357"/>
      <c r="AP448" s="100"/>
      <c r="AQ448" s="100"/>
      <c r="AR448" s="100"/>
      <c r="AS448" s="357"/>
      <c r="AT448" s="100"/>
      <c r="AU448" s="100"/>
      <c r="AV448" s="100"/>
    </row>
    <row r="449">
      <c r="A449" s="357"/>
      <c r="B449" s="156"/>
      <c r="C449" s="154"/>
      <c r="D449" s="100"/>
      <c r="E449" s="357"/>
      <c r="F449" s="156"/>
      <c r="G449" s="154"/>
      <c r="H449" s="100"/>
      <c r="I449" s="357"/>
      <c r="J449" s="156"/>
      <c r="K449" s="154"/>
      <c r="L449" s="100"/>
      <c r="M449" s="357"/>
      <c r="N449" s="156"/>
      <c r="O449" s="154"/>
      <c r="P449" s="100"/>
      <c r="Q449" s="357"/>
      <c r="R449" s="156"/>
      <c r="S449" s="154"/>
      <c r="T449" s="100"/>
      <c r="U449" s="357"/>
      <c r="V449" s="156"/>
      <c r="W449" s="154"/>
      <c r="X449" s="100"/>
      <c r="Y449" s="357"/>
      <c r="Z449" s="100"/>
      <c r="AA449" s="100"/>
      <c r="AB449" s="100"/>
      <c r="AC449" s="357"/>
      <c r="AD449" s="367"/>
      <c r="AE449" s="368"/>
      <c r="AF449" s="98"/>
      <c r="AG449" s="357"/>
      <c r="AH449" s="156"/>
      <c r="AI449" s="305"/>
      <c r="AJ449" s="366"/>
      <c r="AK449" s="357"/>
      <c r="AL449" s="371"/>
      <c r="AM449" s="371"/>
      <c r="AN449" s="371"/>
      <c r="AO449" s="357"/>
      <c r="AP449" s="100"/>
      <c r="AQ449" s="100"/>
      <c r="AR449" s="100"/>
      <c r="AS449" s="357"/>
      <c r="AT449" s="100"/>
      <c r="AU449" s="100"/>
      <c r="AV449" s="100"/>
    </row>
    <row r="450">
      <c r="A450" s="357"/>
      <c r="B450" s="156"/>
      <c r="C450" s="154"/>
      <c r="D450" s="100"/>
      <c r="E450" s="357"/>
      <c r="F450" s="156"/>
      <c r="G450" s="154"/>
      <c r="H450" s="100"/>
      <c r="I450" s="357"/>
      <c r="J450" s="156"/>
      <c r="K450" s="154"/>
      <c r="L450" s="100"/>
      <c r="M450" s="357"/>
      <c r="N450" s="156"/>
      <c r="O450" s="154"/>
      <c r="P450" s="100"/>
      <c r="Q450" s="357"/>
      <c r="R450" s="156"/>
      <c r="S450" s="154"/>
      <c r="T450" s="100"/>
      <c r="U450" s="357"/>
      <c r="V450" s="156"/>
      <c r="W450" s="154"/>
      <c r="X450" s="100"/>
      <c r="Y450" s="357"/>
      <c r="Z450" s="100"/>
      <c r="AA450" s="100"/>
      <c r="AB450" s="100"/>
      <c r="AC450" s="357"/>
      <c r="AD450" s="367"/>
      <c r="AE450" s="368"/>
      <c r="AF450" s="98"/>
      <c r="AG450" s="357"/>
      <c r="AH450" s="156"/>
      <c r="AI450" s="305"/>
      <c r="AJ450" s="366"/>
      <c r="AK450" s="357"/>
      <c r="AL450" s="371"/>
      <c r="AM450" s="371"/>
      <c r="AN450" s="371"/>
      <c r="AO450" s="357"/>
      <c r="AP450" s="100"/>
      <c r="AQ450" s="100"/>
      <c r="AR450" s="100"/>
      <c r="AS450" s="357"/>
      <c r="AT450" s="100"/>
      <c r="AU450" s="100"/>
      <c r="AV450" s="100"/>
    </row>
    <row r="451">
      <c r="A451" s="357"/>
      <c r="B451" s="156"/>
      <c r="C451" s="154"/>
      <c r="D451" s="100"/>
      <c r="E451" s="357"/>
      <c r="F451" s="156"/>
      <c r="G451" s="154"/>
      <c r="H451" s="100"/>
      <c r="I451" s="357"/>
      <c r="J451" s="156"/>
      <c r="K451" s="154"/>
      <c r="L451" s="100"/>
      <c r="M451" s="357"/>
      <c r="N451" s="156"/>
      <c r="O451" s="154"/>
      <c r="P451" s="100"/>
      <c r="Q451" s="357"/>
      <c r="R451" s="156"/>
      <c r="S451" s="154"/>
      <c r="T451" s="100"/>
      <c r="U451" s="357"/>
      <c r="V451" s="156"/>
      <c r="W451" s="154"/>
      <c r="X451" s="100"/>
      <c r="Y451" s="357"/>
      <c r="Z451" s="100"/>
      <c r="AA451" s="100"/>
      <c r="AB451" s="100"/>
      <c r="AC451" s="357"/>
      <c r="AD451" s="367"/>
      <c r="AE451" s="368"/>
      <c r="AF451" s="98"/>
      <c r="AG451" s="357"/>
      <c r="AH451" s="156"/>
      <c r="AI451" s="305"/>
      <c r="AJ451" s="366"/>
      <c r="AK451" s="357"/>
      <c r="AL451" s="371"/>
      <c r="AM451" s="371"/>
      <c r="AN451" s="371"/>
      <c r="AO451" s="357"/>
      <c r="AP451" s="100"/>
      <c r="AQ451" s="100"/>
      <c r="AR451" s="100"/>
      <c r="AS451" s="357"/>
      <c r="AT451" s="100"/>
      <c r="AU451" s="100"/>
      <c r="AV451" s="100"/>
    </row>
    <row r="452">
      <c r="A452" s="357"/>
      <c r="B452" s="156"/>
      <c r="C452" s="154"/>
      <c r="D452" s="100"/>
      <c r="E452" s="357"/>
      <c r="F452" s="156"/>
      <c r="G452" s="154"/>
      <c r="H452" s="100"/>
      <c r="I452" s="357"/>
      <c r="J452" s="156"/>
      <c r="K452" s="154"/>
      <c r="L452" s="100"/>
      <c r="M452" s="357"/>
      <c r="N452" s="156"/>
      <c r="O452" s="154"/>
      <c r="P452" s="100"/>
      <c r="Q452" s="357"/>
      <c r="R452" s="156"/>
      <c r="S452" s="154"/>
      <c r="T452" s="100"/>
      <c r="U452" s="357"/>
      <c r="V452" s="156"/>
      <c r="W452" s="154"/>
      <c r="X452" s="100"/>
      <c r="Y452" s="357"/>
      <c r="Z452" s="100"/>
      <c r="AA452" s="100"/>
      <c r="AB452" s="100"/>
      <c r="AC452" s="357"/>
      <c r="AD452" s="367"/>
      <c r="AE452" s="368"/>
      <c r="AF452" s="98"/>
      <c r="AG452" s="357"/>
      <c r="AH452" s="156"/>
      <c r="AI452" s="305"/>
      <c r="AJ452" s="366"/>
      <c r="AK452" s="357"/>
      <c r="AL452" s="371"/>
      <c r="AM452" s="371"/>
      <c r="AN452" s="371"/>
      <c r="AO452" s="357"/>
      <c r="AP452" s="100"/>
      <c r="AQ452" s="100"/>
      <c r="AR452" s="100"/>
      <c r="AS452" s="357"/>
      <c r="AT452" s="100"/>
      <c r="AU452" s="100"/>
      <c r="AV452" s="100"/>
    </row>
    <row r="453">
      <c r="A453" s="357"/>
      <c r="B453" s="156"/>
      <c r="C453" s="154"/>
      <c r="D453" s="100"/>
      <c r="E453" s="357"/>
      <c r="F453" s="156"/>
      <c r="G453" s="154"/>
      <c r="H453" s="100"/>
      <c r="I453" s="357"/>
      <c r="J453" s="156"/>
      <c r="K453" s="154"/>
      <c r="L453" s="100"/>
      <c r="M453" s="357"/>
      <c r="N453" s="156"/>
      <c r="O453" s="154"/>
      <c r="P453" s="100"/>
      <c r="Q453" s="357"/>
      <c r="R453" s="156"/>
      <c r="S453" s="154"/>
      <c r="T453" s="100"/>
      <c r="U453" s="357"/>
      <c r="V453" s="156"/>
      <c r="W453" s="154"/>
      <c r="X453" s="100"/>
      <c r="Y453" s="357"/>
      <c r="Z453" s="100"/>
      <c r="AA453" s="100"/>
      <c r="AB453" s="100"/>
      <c r="AC453" s="357"/>
      <c r="AD453" s="367"/>
      <c r="AE453" s="368"/>
      <c r="AF453" s="98"/>
      <c r="AG453" s="357"/>
      <c r="AH453" s="156"/>
      <c r="AI453" s="305"/>
      <c r="AJ453" s="366"/>
      <c r="AK453" s="357"/>
      <c r="AL453" s="371"/>
      <c r="AM453" s="371"/>
      <c r="AN453" s="371"/>
      <c r="AO453" s="357"/>
      <c r="AP453" s="100"/>
      <c r="AQ453" s="100"/>
      <c r="AR453" s="100"/>
      <c r="AS453" s="357"/>
      <c r="AT453" s="100"/>
      <c r="AU453" s="100"/>
      <c r="AV453" s="100"/>
    </row>
    <row r="454">
      <c r="A454" s="357"/>
      <c r="B454" s="156"/>
      <c r="C454" s="154"/>
      <c r="D454" s="100"/>
      <c r="E454" s="357"/>
      <c r="F454" s="156"/>
      <c r="G454" s="154"/>
      <c r="H454" s="100"/>
      <c r="I454" s="357"/>
      <c r="J454" s="156"/>
      <c r="K454" s="154"/>
      <c r="L454" s="100"/>
      <c r="M454" s="357"/>
      <c r="N454" s="156"/>
      <c r="O454" s="154"/>
      <c r="P454" s="100"/>
      <c r="Q454" s="357"/>
      <c r="R454" s="156"/>
      <c r="S454" s="154"/>
      <c r="T454" s="100"/>
      <c r="U454" s="357"/>
      <c r="V454" s="156"/>
      <c r="W454" s="154"/>
      <c r="X454" s="100"/>
      <c r="Y454" s="357"/>
      <c r="Z454" s="100"/>
      <c r="AA454" s="100"/>
      <c r="AB454" s="100"/>
      <c r="AC454" s="357"/>
      <c r="AD454" s="367"/>
      <c r="AE454" s="368"/>
      <c r="AF454" s="98"/>
      <c r="AG454" s="357"/>
      <c r="AH454" s="156"/>
      <c r="AI454" s="305"/>
      <c r="AJ454" s="366"/>
      <c r="AK454" s="357"/>
      <c r="AL454" s="371"/>
      <c r="AM454" s="371"/>
      <c r="AN454" s="371"/>
      <c r="AO454" s="357"/>
      <c r="AP454" s="100"/>
      <c r="AQ454" s="100"/>
      <c r="AR454" s="100"/>
      <c r="AS454" s="357"/>
      <c r="AT454" s="100"/>
      <c r="AU454" s="100"/>
      <c r="AV454" s="100"/>
    </row>
    <row r="455">
      <c r="A455" s="357"/>
      <c r="B455" s="156"/>
      <c r="C455" s="154"/>
      <c r="D455" s="100"/>
      <c r="E455" s="357"/>
      <c r="F455" s="156"/>
      <c r="G455" s="154"/>
      <c r="H455" s="100"/>
      <c r="I455" s="357"/>
      <c r="J455" s="156"/>
      <c r="K455" s="154"/>
      <c r="L455" s="100"/>
      <c r="M455" s="357"/>
      <c r="N455" s="156"/>
      <c r="O455" s="154"/>
      <c r="P455" s="100"/>
      <c r="Q455" s="357"/>
      <c r="R455" s="156"/>
      <c r="S455" s="154"/>
      <c r="T455" s="100"/>
      <c r="U455" s="357"/>
      <c r="V455" s="156"/>
      <c r="W455" s="154"/>
      <c r="X455" s="100"/>
      <c r="Y455" s="357"/>
      <c r="Z455" s="100"/>
      <c r="AA455" s="100"/>
      <c r="AB455" s="100"/>
      <c r="AC455" s="357"/>
      <c r="AD455" s="367"/>
      <c r="AE455" s="368"/>
      <c r="AF455" s="98"/>
      <c r="AG455" s="357"/>
      <c r="AH455" s="156"/>
      <c r="AI455" s="305"/>
      <c r="AJ455" s="366"/>
      <c r="AK455" s="357"/>
      <c r="AL455" s="371"/>
      <c r="AM455" s="371"/>
      <c r="AN455" s="371"/>
      <c r="AO455" s="357"/>
      <c r="AP455" s="100"/>
      <c r="AQ455" s="100"/>
      <c r="AR455" s="100"/>
      <c r="AS455" s="357"/>
      <c r="AT455" s="100"/>
      <c r="AU455" s="100"/>
      <c r="AV455" s="100"/>
    </row>
    <row r="456">
      <c r="A456" s="357"/>
      <c r="B456" s="156"/>
      <c r="C456" s="154"/>
      <c r="D456" s="100"/>
      <c r="E456" s="357"/>
      <c r="F456" s="156"/>
      <c r="G456" s="154"/>
      <c r="H456" s="100"/>
      <c r="I456" s="357"/>
      <c r="J456" s="156"/>
      <c r="K456" s="154"/>
      <c r="L456" s="100"/>
      <c r="M456" s="357"/>
      <c r="N456" s="156"/>
      <c r="O456" s="154"/>
      <c r="P456" s="100"/>
      <c r="Q456" s="357"/>
      <c r="R456" s="156"/>
      <c r="S456" s="154"/>
      <c r="T456" s="100"/>
      <c r="U456" s="357"/>
      <c r="V456" s="156"/>
      <c r="W456" s="154"/>
      <c r="X456" s="100"/>
      <c r="Y456" s="357"/>
      <c r="Z456" s="100"/>
      <c r="AA456" s="100"/>
      <c r="AB456" s="100"/>
      <c r="AC456" s="357"/>
      <c r="AD456" s="367"/>
      <c r="AE456" s="368"/>
      <c r="AF456" s="98"/>
      <c r="AG456" s="357"/>
      <c r="AH456" s="156"/>
      <c r="AI456" s="305"/>
      <c r="AJ456" s="366"/>
      <c r="AK456" s="357"/>
      <c r="AL456" s="371"/>
      <c r="AM456" s="371"/>
      <c r="AN456" s="371"/>
      <c r="AO456" s="357"/>
      <c r="AP456" s="100"/>
      <c r="AQ456" s="100"/>
      <c r="AR456" s="100"/>
      <c r="AS456" s="357"/>
      <c r="AT456" s="100"/>
      <c r="AU456" s="100"/>
      <c r="AV456" s="100"/>
    </row>
    <row r="457">
      <c r="A457" s="357"/>
      <c r="B457" s="156"/>
      <c r="C457" s="154"/>
      <c r="D457" s="100"/>
      <c r="E457" s="357"/>
      <c r="F457" s="156"/>
      <c r="G457" s="154"/>
      <c r="H457" s="100"/>
      <c r="I457" s="357"/>
      <c r="J457" s="156"/>
      <c r="K457" s="154"/>
      <c r="L457" s="100"/>
      <c r="M457" s="357"/>
      <c r="N457" s="156"/>
      <c r="O457" s="154"/>
      <c r="P457" s="100"/>
      <c r="Q457" s="357"/>
      <c r="R457" s="156"/>
      <c r="S457" s="154"/>
      <c r="T457" s="100"/>
      <c r="U457" s="357"/>
      <c r="V457" s="156"/>
      <c r="W457" s="154"/>
      <c r="X457" s="100"/>
      <c r="Y457" s="357"/>
      <c r="Z457" s="100"/>
      <c r="AA457" s="100"/>
      <c r="AB457" s="100"/>
      <c r="AC457" s="357"/>
      <c r="AD457" s="367"/>
      <c r="AE457" s="368"/>
      <c r="AF457" s="98"/>
      <c r="AG457" s="357"/>
      <c r="AH457" s="156"/>
      <c r="AI457" s="305"/>
      <c r="AJ457" s="366"/>
      <c r="AK457" s="357"/>
      <c r="AL457" s="371"/>
      <c r="AM457" s="371"/>
      <c r="AN457" s="371"/>
      <c r="AO457" s="357"/>
      <c r="AP457" s="100"/>
      <c r="AQ457" s="100"/>
      <c r="AR457" s="100"/>
      <c r="AS457" s="357"/>
      <c r="AT457" s="100"/>
      <c r="AU457" s="100"/>
      <c r="AV457" s="100"/>
    </row>
    <row r="458">
      <c r="A458" s="357"/>
      <c r="B458" s="156"/>
      <c r="C458" s="154"/>
      <c r="D458" s="100"/>
      <c r="E458" s="357"/>
      <c r="F458" s="156"/>
      <c r="G458" s="154"/>
      <c r="H458" s="100"/>
      <c r="I458" s="357"/>
      <c r="J458" s="156"/>
      <c r="K458" s="154"/>
      <c r="L458" s="100"/>
      <c r="M458" s="357"/>
      <c r="N458" s="156"/>
      <c r="O458" s="154"/>
      <c r="P458" s="100"/>
      <c r="Q458" s="357"/>
      <c r="R458" s="156"/>
      <c r="S458" s="154"/>
      <c r="T458" s="100"/>
      <c r="U458" s="357"/>
      <c r="V458" s="156"/>
      <c r="W458" s="154"/>
      <c r="X458" s="100"/>
      <c r="Y458" s="357"/>
      <c r="Z458" s="100"/>
      <c r="AA458" s="100"/>
      <c r="AB458" s="100"/>
      <c r="AC458" s="357"/>
      <c r="AD458" s="367"/>
      <c r="AE458" s="368"/>
      <c r="AF458" s="98"/>
      <c r="AG458" s="357"/>
      <c r="AH458" s="156"/>
      <c r="AI458" s="305"/>
      <c r="AJ458" s="366"/>
      <c r="AK458" s="357"/>
      <c r="AL458" s="371"/>
      <c r="AM458" s="371"/>
      <c r="AN458" s="371"/>
      <c r="AO458" s="357"/>
      <c r="AP458" s="100"/>
      <c r="AQ458" s="100"/>
      <c r="AR458" s="100"/>
      <c r="AS458" s="357"/>
      <c r="AT458" s="100"/>
      <c r="AU458" s="100"/>
      <c r="AV458" s="100"/>
    </row>
    <row r="459">
      <c r="A459" s="357"/>
      <c r="B459" s="156"/>
      <c r="C459" s="154"/>
      <c r="D459" s="100"/>
      <c r="E459" s="357"/>
      <c r="F459" s="156"/>
      <c r="G459" s="154"/>
      <c r="H459" s="100"/>
      <c r="I459" s="357"/>
      <c r="J459" s="156"/>
      <c r="K459" s="154"/>
      <c r="L459" s="100"/>
      <c r="M459" s="357"/>
      <c r="N459" s="156"/>
      <c r="O459" s="154"/>
      <c r="P459" s="100"/>
      <c r="Q459" s="357"/>
      <c r="R459" s="156"/>
      <c r="S459" s="154"/>
      <c r="T459" s="100"/>
      <c r="U459" s="357"/>
      <c r="V459" s="156"/>
      <c r="W459" s="154"/>
      <c r="X459" s="100"/>
      <c r="Y459" s="357"/>
      <c r="Z459" s="100"/>
      <c r="AA459" s="100"/>
      <c r="AB459" s="100"/>
      <c r="AC459" s="357"/>
      <c r="AD459" s="367"/>
      <c r="AE459" s="368"/>
      <c r="AF459" s="98"/>
      <c r="AG459" s="357"/>
      <c r="AH459" s="156"/>
      <c r="AI459" s="305"/>
      <c r="AJ459" s="366"/>
      <c r="AK459" s="357"/>
      <c r="AL459" s="371"/>
      <c r="AM459" s="371"/>
      <c r="AN459" s="371"/>
      <c r="AO459" s="357"/>
      <c r="AP459" s="100"/>
      <c r="AQ459" s="100"/>
      <c r="AR459" s="100"/>
      <c r="AS459" s="357"/>
      <c r="AT459" s="100"/>
      <c r="AU459" s="100"/>
      <c r="AV459" s="100"/>
    </row>
    <row r="460">
      <c r="A460" s="357"/>
      <c r="B460" s="156"/>
      <c r="C460" s="154"/>
      <c r="D460" s="100"/>
      <c r="E460" s="357"/>
      <c r="F460" s="156"/>
      <c r="G460" s="154"/>
      <c r="H460" s="100"/>
      <c r="I460" s="357"/>
      <c r="J460" s="156"/>
      <c r="K460" s="154"/>
      <c r="L460" s="100"/>
      <c r="M460" s="357"/>
      <c r="N460" s="156"/>
      <c r="O460" s="154"/>
      <c r="P460" s="100"/>
      <c r="Q460" s="357"/>
      <c r="R460" s="156"/>
      <c r="S460" s="154"/>
      <c r="T460" s="100"/>
      <c r="U460" s="357"/>
      <c r="V460" s="156"/>
      <c r="W460" s="154"/>
      <c r="X460" s="100"/>
      <c r="Y460" s="357"/>
      <c r="Z460" s="100"/>
      <c r="AA460" s="100"/>
      <c r="AB460" s="100"/>
      <c r="AC460" s="357"/>
      <c r="AD460" s="367"/>
      <c r="AE460" s="368"/>
      <c r="AF460" s="98"/>
      <c r="AG460" s="357"/>
      <c r="AH460" s="156"/>
      <c r="AI460" s="305"/>
      <c r="AJ460" s="366"/>
      <c r="AK460" s="357"/>
      <c r="AL460" s="371"/>
      <c r="AM460" s="371"/>
      <c r="AN460" s="371"/>
      <c r="AO460" s="357"/>
      <c r="AP460" s="100"/>
      <c r="AQ460" s="100"/>
      <c r="AR460" s="100"/>
      <c r="AS460" s="357"/>
      <c r="AT460" s="100"/>
      <c r="AU460" s="100"/>
      <c r="AV460" s="100"/>
    </row>
    <row r="461">
      <c r="A461" s="357"/>
      <c r="B461" s="156"/>
      <c r="C461" s="154"/>
      <c r="D461" s="100"/>
      <c r="E461" s="357"/>
      <c r="F461" s="156"/>
      <c r="G461" s="154"/>
      <c r="H461" s="100"/>
      <c r="I461" s="357"/>
      <c r="J461" s="156"/>
      <c r="K461" s="154"/>
      <c r="L461" s="100"/>
      <c r="M461" s="357"/>
      <c r="N461" s="156"/>
      <c r="O461" s="154"/>
      <c r="P461" s="100"/>
      <c r="Q461" s="357"/>
      <c r="R461" s="156"/>
      <c r="S461" s="154"/>
      <c r="T461" s="100"/>
      <c r="U461" s="357"/>
      <c r="V461" s="156"/>
      <c r="W461" s="154"/>
      <c r="X461" s="100"/>
      <c r="Y461" s="357"/>
      <c r="Z461" s="100"/>
      <c r="AA461" s="100"/>
      <c r="AB461" s="100"/>
      <c r="AC461" s="357"/>
      <c r="AD461" s="367"/>
      <c r="AE461" s="368"/>
      <c r="AF461" s="98"/>
      <c r="AG461" s="357"/>
      <c r="AH461" s="156"/>
      <c r="AI461" s="305"/>
      <c r="AJ461" s="366"/>
      <c r="AK461" s="357"/>
      <c r="AL461" s="371"/>
      <c r="AM461" s="371"/>
      <c r="AN461" s="371"/>
      <c r="AO461" s="357"/>
      <c r="AP461" s="100"/>
      <c r="AQ461" s="100"/>
      <c r="AR461" s="100"/>
      <c r="AS461" s="357"/>
      <c r="AT461" s="100"/>
      <c r="AU461" s="100"/>
      <c r="AV461" s="100"/>
    </row>
    <row r="462">
      <c r="A462" s="357"/>
      <c r="B462" s="156"/>
      <c r="C462" s="154"/>
      <c r="D462" s="100"/>
      <c r="E462" s="357"/>
      <c r="F462" s="156"/>
      <c r="G462" s="154"/>
      <c r="H462" s="100"/>
      <c r="I462" s="357"/>
      <c r="J462" s="156"/>
      <c r="K462" s="154"/>
      <c r="L462" s="100"/>
      <c r="M462" s="357"/>
      <c r="N462" s="156"/>
      <c r="O462" s="154"/>
      <c r="P462" s="100"/>
      <c r="Q462" s="357"/>
      <c r="R462" s="156"/>
      <c r="S462" s="154"/>
      <c r="T462" s="100"/>
      <c r="U462" s="357"/>
      <c r="V462" s="156"/>
      <c r="W462" s="154"/>
      <c r="X462" s="100"/>
      <c r="Y462" s="357"/>
      <c r="Z462" s="100"/>
      <c r="AA462" s="100"/>
      <c r="AB462" s="100"/>
      <c r="AC462" s="357"/>
      <c r="AD462" s="367"/>
      <c r="AE462" s="368"/>
      <c r="AF462" s="98"/>
      <c r="AG462" s="357"/>
      <c r="AH462" s="156"/>
      <c r="AI462" s="305"/>
      <c r="AJ462" s="366"/>
      <c r="AK462" s="357"/>
      <c r="AL462" s="371"/>
      <c r="AM462" s="371"/>
      <c r="AN462" s="371"/>
      <c r="AO462" s="357"/>
      <c r="AP462" s="100"/>
      <c r="AQ462" s="100"/>
      <c r="AR462" s="100"/>
      <c r="AS462" s="357"/>
      <c r="AT462" s="100"/>
      <c r="AU462" s="100"/>
      <c r="AV462" s="100"/>
    </row>
    <row r="463">
      <c r="A463" s="357"/>
      <c r="B463" s="156"/>
      <c r="C463" s="154"/>
      <c r="D463" s="100"/>
      <c r="E463" s="357"/>
      <c r="F463" s="156"/>
      <c r="G463" s="154"/>
      <c r="H463" s="100"/>
      <c r="I463" s="357"/>
      <c r="J463" s="156"/>
      <c r="K463" s="154"/>
      <c r="L463" s="100"/>
      <c r="M463" s="357"/>
      <c r="N463" s="156"/>
      <c r="O463" s="154"/>
      <c r="P463" s="100"/>
      <c r="Q463" s="357"/>
      <c r="R463" s="156"/>
      <c r="S463" s="154"/>
      <c r="T463" s="100"/>
      <c r="U463" s="357"/>
      <c r="V463" s="156"/>
      <c r="W463" s="154"/>
      <c r="X463" s="100"/>
      <c r="Y463" s="357"/>
      <c r="Z463" s="100"/>
      <c r="AA463" s="100"/>
      <c r="AB463" s="100"/>
      <c r="AC463" s="357"/>
      <c r="AD463" s="367"/>
      <c r="AE463" s="368"/>
      <c r="AF463" s="98"/>
      <c r="AG463" s="357"/>
      <c r="AH463" s="156"/>
      <c r="AI463" s="305"/>
      <c r="AJ463" s="366"/>
      <c r="AK463" s="357"/>
      <c r="AL463" s="371"/>
      <c r="AM463" s="371"/>
      <c r="AN463" s="371"/>
      <c r="AO463" s="357"/>
      <c r="AP463" s="100"/>
      <c r="AQ463" s="100"/>
      <c r="AR463" s="100"/>
      <c r="AS463" s="357"/>
      <c r="AT463" s="100"/>
      <c r="AU463" s="100"/>
      <c r="AV463" s="100"/>
    </row>
    <row r="464">
      <c r="A464" s="357"/>
      <c r="B464" s="156"/>
      <c r="C464" s="154"/>
      <c r="D464" s="100"/>
      <c r="E464" s="357"/>
      <c r="F464" s="156"/>
      <c r="G464" s="154"/>
      <c r="H464" s="100"/>
      <c r="I464" s="357"/>
      <c r="J464" s="156"/>
      <c r="K464" s="154"/>
      <c r="L464" s="100"/>
      <c r="M464" s="357"/>
      <c r="N464" s="156"/>
      <c r="O464" s="154"/>
      <c r="P464" s="100"/>
      <c r="Q464" s="357"/>
      <c r="R464" s="156"/>
      <c r="S464" s="154"/>
      <c r="T464" s="100"/>
      <c r="U464" s="357"/>
      <c r="V464" s="156"/>
      <c r="W464" s="154"/>
      <c r="X464" s="100"/>
      <c r="Y464" s="357"/>
      <c r="Z464" s="100"/>
      <c r="AA464" s="100"/>
      <c r="AB464" s="100"/>
      <c r="AC464" s="357"/>
      <c r="AD464" s="367"/>
      <c r="AE464" s="368"/>
      <c r="AF464" s="98"/>
      <c r="AG464" s="357"/>
      <c r="AH464" s="156"/>
      <c r="AI464" s="305"/>
      <c r="AJ464" s="366"/>
      <c r="AK464" s="357"/>
      <c r="AL464" s="371"/>
      <c r="AM464" s="371"/>
      <c r="AN464" s="371"/>
      <c r="AO464" s="357"/>
      <c r="AP464" s="100"/>
      <c r="AQ464" s="100"/>
      <c r="AR464" s="100"/>
      <c r="AS464" s="357"/>
      <c r="AT464" s="100"/>
      <c r="AU464" s="100"/>
      <c r="AV464" s="100"/>
    </row>
    <row r="465">
      <c r="A465" s="357"/>
      <c r="B465" s="156"/>
      <c r="C465" s="154"/>
      <c r="D465" s="100"/>
      <c r="E465" s="357"/>
      <c r="F465" s="156"/>
      <c r="G465" s="154"/>
      <c r="H465" s="100"/>
      <c r="I465" s="357"/>
      <c r="J465" s="156"/>
      <c r="K465" s="154"/>
      <c r="L465" s="100"/>
      <c r="M465" s="357"/>
      <c r="N465" s="156"/>
      <c r="O465" s="154"/>
      <c r="P465" s="100"/>
      <c r="Q465" s="357"/>
      <c r="R465" s="156"/>
      <c r="S465" s="154"/>
      <c r="T465" s="100"/>
      <c r="U465" s="357"/>
      <c r="V465" s="156"/>
      <c r="W465" s="154"/>
      <c r="X465" s="100"/>
      <c r="Y465" s="357"/>
      <c r="Z465" s="100"/>
      <c r="AA465" s="100"/>
      <c r="AB465" s="100"/>
      <c r="AC465" s="357"/>
      <c r="AD465" s="367"/>
      <c r="AE465" s="368"/>
      <c r="AF465" s="98"/>
      <c r="AG465" s="357"/>
      <c r="AH465" s="156"/>
      <c r="AI465" s="305"/>
      <c r="AJ465" s="366"/>
      <c r="AK465" s="357"/>
      <c r="AL465" s="371"/>
      <c r="AM465" s="371"/>
      <c r="AN465" s="371"/>
      <c r="AO465" s="357"/>
      <c r="AP465" s="100"/>
      <c r="AQ465" s="100"/>
      <c r="AR465" s="100"/>
      <c r="AS465" s="357"/>
      <c r="AT465" s="100"/>
      <c r="AU465" s="100"/>
      <c r="AV465" s="100"/>
    </row>
    <row r="466">
      <c r="A466" s="357"/>
      <c r="B466" s="156"/>
      <c r="C466" s="154"/>
      <c r="D466" s="100"/>
      <c r="E466" s="357"/>
      <c r="F466" s="156"/>
      <c r="G466" s="154"/>
      <c r="H466" s="100"/>
      <c r="I466" s="357"/>
      <c r="J466" s="156"/>
      <c r="K466" s="154"/>
      <c r="L466" s="100"/>
      <c r="M466" s="357"/>
      <c r="N466" s="156"/>
      <c r="O466" s="154"/>
      <c r="P466" s="100"/>
      <c r="Q466" s="357"/>
      <c r="R466" s="156"/>
      <c r="S466" s="154"/>
      <c r="T466" s="100"/>
      <c r="U466" s="357"/>
      <c r="V466" s="156"/>
      <c r="W466" s="154"/>
      <c r="X466" s="100"/>
      <c r="Y466" s="357"/>
      <c r="Z466" s="100"/>
      <c r="AA466" s="100"/>
      <c r="AB466" s="100"/>
      <c r="AC466" s="357"/>
      <c r="AD466" s="367"/>
      <c r="AE466" s="368"/>
      <c r="AF466" s="98"/>
      <c r="AG466" s="357"/>
      <c r="AH466" s="156"/>
      <c r="AI466" s="305"/>
      <c r="AJ466" s="366"/>
      <c r="AK466" s="357"/>
      <c r="AL466" s="371"/>
      <c r="AM466" s="371"/>
      <c r="AN466" s="371"/>
      <c r="AO466" s="357"/>
      <c r="AP466" s="100"/>
      <c r="AQ466" s="100"/>
      <c r="AR466" s="100"/>
      <c r="AS466" s="357"/>
      <c r="AT466" s="100"/>
      <c r="AU466" s="100"/>
      <c r="AV466" s="100"/>
    </row>
    <row r="467">
      <c r="A467" s="357"/>
      <c r="B467" s="156"/>
      <c r="C467" s="154"/>
      <c r="D467" s="100"/>
      <c r="E467" s="357"/>
      <c r="F467" s="156"/>
      <c r="G467" s="154"/>
      <c r="H467" s="100"/>
      <c r="I467" s="357"/>
      <c r="J467" s="156"/>
      <c r="K467" s="154"/>
      <c r="L467" s="100"/>
      <c r="M467" s="357"/>
      <c r="N467" s="156"/>
      <c r="O467" s="154"/>
      <c r="P467" s="100"/>
      <c r="Q467" s="357"/>
      <c r="R467" s="156"/>
      <c r="S467" s="154"/>
      <c r="T467" s="100"/>
      <c r="U467" s="357"/>
      <c r="V467" s="156"/>
      <c r="W467" s="154"/>
      <c r="X467" s="100"/>
      <c r="Y467" s="357"/>
      <c r="Z467" s="100"/>
      <c r="AA467" s="100"/>
      <c r="AB467" s="100"/>
      <c r="AC467" s="357"/>
      <c r="AD467" s="367"/>
      <c r="AE467" s="368"/>
      <c r="AF467" s="98"/>
      <c r="AG467" s="357"/>
      <c r="AH467" s="156"/>
      <c r="AI467" s="305"/>
      <c r="AJ467" s="366"/>
      <c r="AK467" s="357"/>
      <c r="AL467" s="371"/>
      <c r="AM467" s="371"/>
      <c r="AN467" s="371"/>
      <c r="AO467" s="357"/>
      <c r="AP467" s="100"/>
      <c r="AQ467" s="100"/>
      <c r="AR467" s="100"/>
      <c r="AS467" s="357"/>
      <c r="AT467" s="100"/>
      <c r="AU467" s="100"/>
      <c r="AV467" s="100"/>
    </row>
    <row r="468">
      <c r="A468" s="357"/>
      <c r="B468" s="156"/>
      <c r="C468" s="154"/>
      <c r="D468" s="100"/>
      <c r="E468" s="357"/>
      <c r="F468" s="156"/>
      <c r="G468" s="154"/>
      <c r="H468" s="100"/>
      <c r="I468" s="357"/>
      <c r="J468" s="156"/>
      <c r="K468" s="154"/>
      <c r="L468" s="100"/>
      <c r="M468" s="357"/>
      <c r="N468" s="156"/>
      <c r="O468" s="154"/>
      <c r="P468" s="100"/>
      <c r="Q468" s="357"/>
      <c r="R468" s="156"/>
      <c r="S468" s="154"/>
      <c r="T468" s="100"/>
      <c r="U468" s="357"/>
      <c r="V468" s="156"/>
      <c r="W468" s="154"/>
      <c r="X468" s="100"/>
      <c r="Y468" s="357"/>
      <c r="Z468" s="100"/>
      <c r="AA468" s="100"/>
      <c r="AB468" s="100"/>
      <c r="AC468" s="357"/>
      <c r="AD468" s="367"/>
      <c r="AE468" s="368"/>
      <c r="AF468" s="98"/>
      <c r="AG468" s="357"/>
      <c r="AH468" s="156"/>
      <c r="AI468" s="305"/>
      <c r="AJ468" s="366"/>
      <c r="AK468" s="357"/>
      <c r="AL468" s="371"/>
      <c r="AM468" s="371"/>
      <c r="AN468" s="371"/>
      <c r="AO468" s="357"/>
      <c r="AP468" s="100"/>
      <c r="AQ468" s="100"/>
      <c r="AR468" s="100"/>
      <c r="AS468" s="357"/>
      <c r="AT468" s="100"/>
      <c r="AU468" s="100"/>
      <c r="AV468" s="100"/>
    </row>
    <row r="469">
      <c r="A469" s="357"/>
      <c r="B469" s="156"/>
      <c r="C469" s="154"/>
      <c r="D469" s="100"/>
      <c r="E469" s="357"/>
      <c r="F469" s="156"/>
      <c r="G469" s="154"/>
      <c r="H469" s="100"/>
      <c r="I469" s="357"/>
      <c r="J469" s="156"/>
      <c r="K469" s="154"/>
      <c r="L469" s="100"/>
      <c r="M469" s="357"/>
      <c r="N469" s="156"/>
      <c r="O469" s="154"/>
      <c r="P469" s="100"/>
      <c r="Q469" s="357"/>
      <c r="R469" s="156"/>
      <c r="S469" s="154"/>
      <c r="T469" s="100"/>
      <c r="U469" s="357"/>
      <c r="V469" s="156"/>
      <c r="W469" s="154"/>
      <c r="X469" s="100"/>
      <c r="Y469" s="357"/>
      <c r="Z469" s="100"/>
      <c r="AA469" s="100"/>
      <c r="AB469" s="100"/>
      <c r="AC469" s="357"/>
      <c r="AD469" s="367"/>
      <c r="AE469" s="368"/>
      <c r="AF469" s="98"/>
      <c r="AG469" s="357"/>
      <c r="AH469" s="156"/>
      <c r="AI469" s="305"/>
      <c r="AJ469" s="366"/>
      <c r="AK469" s="357"/>
      <c r="AL469" s="371"/>
      <c r="AM469" s="371"/>
      <c r="AN469" s="371"/>
      <c r="AO469" s="357"/>
      <c r="AP469" s="100"/>
      <c r="AQ469" s="100"/>
      <c r="AR469" s="100"/>
      <c r="AS469" s="357"/>
      <c r="AT469" s="100"/>
      <c r="AU469" s="100"/>
      <c r="AV469" s="100"/>
    </row>
    <row r="470">
      <c r="A470" s="357"/>
      <c r="B470" s="156"/>
      <c r="C470" s="154"/>
      <c r="D470" s="100"/>
      <c r="E470" s="357"/>
      <c r="F470" s="156"/>
      <c r="G470" s="154"/>
      <c r="H470" s="100"/>
      <c r="I470" s="357"/>
      <c r="J470" s="156"/>
      <c r="K470" s="154"/>
      <c r="L470" s="100"/>
      <c r="M470" s="357"/>
      <c r="N470" s="156"/>
      <c r="O470" s="154"/>
      <c r="P470" s="100"/>
      <c r="Q470" s="357"/>
      <c r="R470" s="156"/>
      <c r="S470" s="154"/>
      <c r="T470" s="100"/>
      <c r="U470" s="357"/>
      <c r="V470" s="156"/>
      <c r="W470" s="154"/>
      <c r="X470" s="100"/>
      <c r="Y470" s="357"/>
      <c r="Z470" s="100"/>
      <c r="AA470" s="100"/>
      <c r="AB470" s="100"/>
      <c r="AC470" s="357"/>
      <c r="AD470" s="367"/>
      <c r="AE470" s="368"/>
      <c r="AF470" s="98"/>
      <c r="AG470" s="357"/>
      <c r="AH470" s="156"/>
      <c r="AI470" s="305"/>
      <c r="AJ470" s="366"/>
      <c r="AK470" s="357"/>
      <c r="AL470" s="371"/>
      <c r="AM470" s="371"/>
      <c r="AN470" s="371"/>
      <c r="AO470" s="357"/>
      <c r="AP470" s="100"/>
      <c r="AQ470" s="100"/>
      <c r="AR470" s="100"/>
      <c r="AS470" s="357"/>
      <c r="AT470" s="100"/>
      <c r="AU470" s="100"/>
      <c r="AV470" s="100"/>
    </row>
    <row r="471">
      <c r="A471" s="357"/>
      <c r="B471" s="156"/>
      <c r="C471" s="154"/>
      <c r="D471" s="100"/>
      <c r="E471" s="357"/>
      <c r="F471" s="156"/>
      <c r="G471" s="154"/>
      <c r="H471" s="100"/>
      <c r="I471" s="357"/>
      <c r="J471" s="156"/>
      <c r="K471" s="154"/>
      <c r="L471" s="100"/>
      <c r="M471" s="357"/>
      <c r="N471" s="156"/>
      <c r="O471" s="154"/>
      <c r="P471" s="100"/>
      <c r="Q471" s="357"/>
      <c r="R471" s="156"/>
      <c r="S471" s="154"/>
      <c r="T471" s="100"/>
      <c r="U471" s="357"/>
      <c r="V471" s="156"/>
      <c r="W471" s="154"/>
      <c r="X471" s="100"/>
      <c r="Y471" s="357"/>
      <c r="Z471" s="100"/>
      <c r="AA471" s="100"/>
      <c r="AB471" s="100"/>
      <c r="AC471" s="357"/>
      <c r="AD471" s="367"/>
      <c r="AE471" s="368"/>
      <c r="AF471" s="98"/>
      <c r="AG471" s="357"/>
      <c r="AH471" s="156"/>
      <c r="AI471" s="305"/>
      <c r="AJ471" s="366"/>
      <c r="AK471" s="357"/>
      <c r="AL471" s="371"/>
      <c r="AM471" s="371"/>
      <c r="AN471" s="371"/>
      <c r="AO471" s="357"/>
      <c r="AP471" s="100"/>
      <c r="AQ471" s="100"/>
      <c r="AR471" s="100"/>
      <c r="AS471" s="357"/>
      <c r="AT471" s="100"/>
      <c r="AU471" s="100"/>
      <c r="AV471" s="100"/>
    </row>
    <row r="472">
      <c r="A472" s="357"/>
      <c r="B472" s="156"/>
      <c r="C472" s="154"/>
      <c r="D472" s="100"/>
      <c r="E472" s="357"/>
      <c r="F472" s="156"/>
      <c r="G472" s="154"/>
      <c r="H472" s="100"/>
      <c r="I472" s="357"/>
      <c r="J472" s="156"/>
      <c r="K472" s="154"/>
      <c r="L472" s="100"/>
      <c r="M472" s="357"/>
      <c r="N472" s="156"/>
      <c r="O472" s="154"/>
      <c r="P472" s="100"/>
      <c r="Q472" s="357"/>
      <c r="R472" s="156"/>
      <c r="S472" s="154"/>
      <c r="T472" s="100"/>
      <c r="U472" s="357"/>
      <c r="V472" s="156"/>
      <c r="W472" s="154"/>
      <c r="X472" s="100"/>
      <c r="Y472" s="357"/>
      <c r="Z472" s="100"/>
      <c r="AA472" s="100"/>
      <c r="AB472" s="100"/>
      <c r="AC472" s="357"/>
      <c r="AD472" s="367"/>
      <c r="AE472" s="368"/>
      <c r="AF472" s="98"/>
      <c r="AG472" s="357"/>
      <c r="AH472" s="156"/>
      <c r="AI472" s="305"/>
      <c r="AJ472" s="366"/>
      <c r="AK472" s="357"/>
      <c r="AL472" s="371"/>
      <c r="AM472" s="371"/>
      <c r="AN472" s="371"/>
      <c r="AO472" s="357"/>
      <c r="AP472" s="100"/>
      <c r="AQ472" s="100"/>
      <c r="AR472" s="100"/>
      <c r="AS472" s="357"/>
      <c r="AT472" s="100"/>
      <c r="AU472" s="100"/>
      <c r="AV472" s="100"/>
    </row>
    <row r="473">
      <c r="A473" s="357"/>
      <c r="B473" s="156"/>
      <c r="C473" s="154"/>
      <c r="D473" s="100"/>
      <c r="E473" s="357"/>
      <c r="F473" s="156"/>
      <c r="G473" s="154"/>
      <c r="H473" s="100"/>
      <c r="I473" s="357"/>
      <c r="J473" s="156"/>
      <c r="K473" s="154"/>
      <c r="L473" s="100"/>
      <c r="M473" s="357"/>
      <c r="N473" s="156"/>
      <c r="O473" s="154"/>
      <c r="P473" s="100"/>
      <c r="Q473" s="357"/>
      <c r="R473" s="156"/>
      <c r="S473" s="154"/>
      <c r="T473" s="100"/>
      <c r="U473" s="357"/>
      <c r="V473" s="156"/>
      <c r="W473" s="154"/>
      <c r="X473" s="100"/>
      <c r="Y473" s="357"/>
      <c r="Z473" s="100"/>
      <c r="AA473" s="100"/>
      <c r="AB473" s="100"/>
      <c r="AC473" s="357"/>
      <c r="AD473" s="367"/>
      <c r="AE473" s="368"/>
      <c r="AF473" s="98"/>
      <c r="AG473" s="357"/>
      <c r="AH473" s="156"/>
      <c r="AI473" s="305"/>
      <c r="AJ473" s="366"/>
      <c r="AK473" s="357"/>
      <c r="AL473" s="371"/>
      <c r="AM473" s="371"/>
      <c r="AN473" s="371"/>
      <c r="AO473" s="357"/>
      <c r="AP473" s="100"/>
      <c r="AQ473" s="100"/>
      <c r="AR473" s="100"/>
      <c r="AS473" s="357"/>
      <c r="AT473" s="100"/>
      <c r="AU473" s="100"/>
      <c r="AV473" s="100"/>
    </row>
    <row r="474">
      <c r="A474" s="357"/>
      <c r="B474" s="156"/>
      <c r="C474" s="154"/>
      <c r="D474" s="100"/>
      <c r="E474" s="357"/>
      <c r="F474" s="156"/>
      <c r="G474" s="154"/>
      <c r="H474" s="100"/>
      <c r="I474" s="357"/>
      <c r="J474" s="156"/>
      <c r="K474" s="154"/>
      <c r="L474" s="100"/>
      <c r="M474" s="357"/>
      <c r="N474" s="156"/>
      <c r="O474" s="154"/>
      <c r="P474" s="100"/>
      <c r="Q474" s="357"/>
      <c r="R474" s="156"/>
      <c r="S474" s="154"/>
      <c r="T474" s="100"/>
      <c r="U474" s="357"/>
      <c r="V474" s="156"/>
      <c r="W474" s="154"/>
      <c r="X474" s="100"/>
      <c r="Y474" s="357"/>
      <c r="Z474" s="100"/>
      <c r="AA474" s="100"/>
      <c r="AB474" s="100"/>
      <c r="AC474" s="357"/>
      <c r="AD474" s="367"/>
      <c r="AE474" s="368"/>
      <c r="AF474" s="98"/>
      <c r="AG474" s="357"/>
      <c r="AH474" s="156"/>
      <c r="AI474" s="305"/>
      <c r="AJ474" s="366"/>
      <c r="AK474" s="357"/>
      <c r="AL474" s="371"/>
      <c r="AM474" s="371"/>
      <c r="AN474" s="371"/>
      <c r="AO474" s="357"/>
      <c r="AP474" s="100"/>
      <c r="AQ474" s="100"/>
      <c r="AR474" s="100"/>
      <c r="AS474" s="357"/>
      <c r="AT474" s="100"/>
      <c r="AU474" s="100"/>
      <c r="AV474" s="100"/>
    </row>
    <row r="475">
      <c r="A475" s="357"/>
      <c r="B475" s="156"/>
      <c r="C475" s="154"/>
      <c r="D475" s="100"/>
      <c r="E475" s="357"/>
      <c r="F475" s="156"/>
      <c r="G475" s="154"/>
      <c r="H475" s="100"/>
      <c r="I475" s="357"/>
      <c r="J475" s="156"/>
      <c r="K475" s="154"/>
      <c r="L475" s="100"/>
      <c r="M475" s="357"/>
      <c r="N475" s="156"/>
      <c r="O475" s="154"/>
      <c r="P475" s="100"/>
      <c r="Q475" s="357"/>
      <c r="R475" s="156"/>
      <c r="S475" s="154"/>
      <c r="T475" s="100"/>
      <c r="U475" s="357"/>
      <c r="V475" s="156"/>
      <c r="W475" s="154"/>
      <c r="X475" s="100"/>
      <c r="Y475" s="357"/>
      <c r="Z475" s="100"/>
      <c r="AA475" s="100"/>
      <c r="AB475" s="100"/>
      <c r="AC475" s="357"/>
      <c r="AD475" s="367"/>
      <c r="AE475" s="368"/>
      <c r="AF475" s="98"/>
      <c r="AG475" s="357"/>
      <c r="AH475" s="156"/>
      <c r="AI475" s="305"/>
      <c r="AJ475" s="366"/>
      <c r="AK475" s="357"/>
      <c r="AL475" s="371"/>
      <c r="AM475" s="371"/>
      <c r="AN475" s="371"/>
      <c r="AO475" s="357"/>
      <c r="AP475" s="100"/>
      <c r="AQ475" s="100"/>
      <c r="AR475" s="100"/>
      <c r="AS475" s="357"/>
      <c r="AT475" s="100"/>
      <c r="AU475" s="100"/>
      <c r="AV475" s="100"/>
    </row>
    <row r="476">
      <c r="A476" s="357"/>
      <c r="B476" s="156"/>
      <c r="C476" s="154"/>
      <c r="D476" s="100"/>
      <c r="E476" s="357"/>
      <c r="F476" s="156"/>
      <c r="G476" s="154"/>
      <c r="H476" s="100"/>
      <c r="I476" s="357"/>
      <c r="J476" s="156"/>
      <c r="K476" s="154"/>
      <c r="L476" s="100"/>
      <c r="M476" s="357"/>
      <c r="N476" s="156"/>
      <c r="O476" s="154"/>
      <c r="P476" s="100"/>
      <c r="Q476" s="357"/>
      <c r="R476" s="156"/>
      <c r="S476" s="154"/>
      <c r="T476" s="100"/>
      <c r="U476" s="357"/>
      <c r="V476" s="156"/>
      <c r="W476" s="154"/>
      <c r="X476" s="100"/>
      <c r="Y476" s="357"/>
      <c r="Z476" s="100"/>
      <c r="AA476" s="100"/>
      <c r="AB476" s="100"/>
      <c r="AC476" s="357"/>
      <c r="AD476" s="367"/>
      <c r="AE476" s="368"/>
      <c r="AF476" s="98"/>
      <c r="AG476" s="357"/>
      <c r="AH476" s="156"/>
      <c r="AI476" s="305"/>
      <c r="AJ476" s="366"/>
      <c r="AK476" s="357"/>
      <c r="AL476" s="371"/>
      <c r="AM476" s="371"/>
      <c r="AN476" s="371"/>
      <c r="AO476" s="357"/>
      <c r="AP476" s="100"/>
      <c r="AQ476" s="100"/>
      <c r="AR476" s="100"/>
      <c r="AS476" s="357"/>
      <c r="AT476" s="100"/>
      <c r="AU476" s="100"/>
      <c r="AV476" s="100"/>
    </row>
    <row r="477">
      <c r="A477" s="357"/>
      <c r="B477" s="156"/>
      <c r="C477" s="154"/>
      <c r="D477" s="100"/>
      <c r="E477" s="357"/>
      <c r="F477" s="156"/>
      <c r="G477" s="154"/>
      <c r="H477" s="100"/>
      <c r="I477" s="357"/>
      <c r="J477" s="156"/>
      <c r="K477" s="154"/>
      <c r="L477" s="100"/>
      <c r="M477" s="357"/>
      <c r="N477" s="156"/>
      <c r="O477" s="154"/>
      <c r="P477" s="100"/>
      <c r="Q477" s="357"/>
      <c r="R477" s="156"/>
      <c r="S477" s="154"/>
      <c r="T477" s="100"/>
      <c r="U477" s="357"/>
      <c r="V477" s="156"/>
      <c r="W477" s="154"/>
      <c r="X477" s="100"/>
      <c r="Y477" s="357"/>
      <c r="Z477" s="100"/>
      <c r="AA477" s="100"/>
      <c r="AB477" s="100"/>
      <c r="AC477" s="357"/>
      <c r="AD477" s="367"/>
      <c r="AE477" s="368"/>
      <c r="AF477" s="98"/>
      <c r="AG477" s="357"/>
      <c r="AH477" s="156"/>
      <c r="AI477" s="305"/>
      <c r="AJ477" s="366"/>
      <c r="AK477" s="357"/>
      <c r="AL477" s="371"/>
      <c r="AM477" s="371"/>
      <c r="AN477" s="371"/>
      <c r="AO477" s="357"/>
      <c r="AP477" s="100"/>
      <c r="AQ477" s="100"/>
      <c r="AR477" s="100"/>
      <c r="AS477" s="357"/>
      <c r="AT477" s="100"/>
      <c r="AU477" s="100"/>
      <c r="AV477" s="100"/>
    </row>
    <row r="478">
      <c r="A478" s="357"/>
      <c r="B478" s="156"/>
      <c r="C478" s="154"/>
      <c r="D478" s="100"/>
      <c r="E478" s="357"/>
      <c r="F478" s="156"/>
      <c r="G478" s="154"/>
      <c r="H478" s="100"/>
      <c r="I478" s="357"/>
      <c r="J478" s="156"/>
      <c r="K478" s="154"/>
      <c r="L478" s="100"/>
      <c r="M478" s="357"/>
      <c r="N478" s="156"/>
      <c r="O478" s="154"/>
      <c r="P478" s="100"/>
      <c r="Q478" s="357"/>
      <c r="R478" s="156"/>
      <c r="S478" s="154"/>
      <c r="T478" s="100"/>
      <c r="U478" s="357"/>
      <c r="V478" s="156"/>
      <c r="W478" s="154"/>
      <c r="X478" s="100"/>
      <c r="Y478" s="357"/>
      <c r="Z478" s="100"/>
      <c r="AA478" s="100"/>
      <c r="AB478" s="100"/>
      <c r="AC478" s="357"/>
      <c r="AD478" s="367"/>
      <c r="AE478" s="368"/>
      <c r="AF478" s="98"/>
      <c r="AG478" s="357"/>
      <c r="AH478" s="156"/>
      <c r="AI478" s="305"/>
      <c r="AJ478" s="366"/>
      <c r="AK478" s="357"/>
      <c r="AL478" s="371"/>
      <c r="AM478" s="371"/>
      <c r="AN478" s="371"/>
      <c r="AO478" s="357"/>
      <c r="AP478" s="100"/>
      <c r="AQ478" s="100"/>
      <c r="AR478" s="100"/>
      <c r="AS478" s="357"/>
      <c r="AT478" s="100"/>
      <c r="AU478" s="100"/>
      <c r="AV478" s="100"/>
    </row>
    <row r="479">
      <c r="A479" s="357"/>
      <c r="B479" s="156"/>
      <c r="C479" s="154"/>
      <c r="D479" s="100"/>
      <c r="E479" s="357"/>
      <c r="F479" s="156"/>
      <c r="G479" s="154"/>
      <c r="H479" s="100"/>
      <c r="I479" s="357"/>
      <c r="J479" s="156"/>
      <c r="K479" s="154"/>
      <c r="L479" s="100"/>
      <c r="M479" s="357"/>
      <c r="N479" s="156"/>
      <c r="O479" s="154"/>
      <c r="P479" s="100"/>
      <c r="Q479" s="357"/>
      <c r="R479" s="156"/>
      <c r="S479" s="154"/>
      <c r="T479" s="100"/>
      <c r="U479" s="357"/>
      <c r="V479" s="156"/>
      <c r="W479" s="154"/>
      <c r="X479" s="100"/>
      <c r="Y479" s="357"/>
      <c r="Z479" s="100"/>
      <c r="AA479" s="100"/>
      <c r="AB479" s="100"/>
      <c r="AC479" s="357"/>
      <c r="AD479" s="367"/>
      <c r="AE479" s="368"/>
      <c r="AF479" s="98"/>
      <c r="AG479" s="357"/>
      <c r="AH479" s="156"/>
      <c r="AI479" s="305"/>
      <c r="AJ479" s="366"/>
      <c r="AK479" s="357"/>
      <c r="AL479" s="371"/>
      <c r="AM479" s="371"/>
      <c r="AN479" s="371"/>
      <c r="AO479" s="357"/>
      <c r="AP479" s="100"/>
      <c r="AQ479" s="100"/>
      <c r="AR479" s="100"/>
      <c r="AS479" s="357"/>
      <c r="AT479" s="100"/>
      <c r="AU479" s="100"/>
      <c r="AV479" s="100"/>
    </row>
    <row r="480">
      <c r="A480" s="357"/>
      <c r="B480" s="156"/>
      <c r="C480" s="154"/>
      <c r="D480" s="100"/>
      <c r="E480" s="357"/>
      <c r="F480" s="156"/>
      <c r="G480" s="154"/>
      <c r="H480" s="100"/>
      <c r="I480" s="357"/>
      <c r="J480" s="156"/>
      <c r="K480" s="154"/>
      <c r="L480" s="100"/>
      <c r="M480" s="357"/>
      <c r="N480" s="156"/>
      <c r="O480" s="154"/>
      <c r="P480" s="100"/>
      <c r="Q480" s="357"/>
      <c r="R480" s="156"/>
      <c r="S480" s="154"/>
      <c r="T480" s="100"/>
      <c r="U480" s="357"/>
      <c r="V480" s="156"/>
      <c r="W480" s="154"/>
      <c r="X480" s="100"/>
      <c r="Y480" s="357"/>
      <c r="Z480" s="100"/>
      <c r="AA480" s="100"/>
      <c r="AB480" s="100"/>
      <c r="AC480" s="357"/>
      <c r="AD480" s="367"/>
      <c r="AE480" s="368"/>
      <c r="AF480" s="98"/>
      <c r="AG480" s="357"/>
      <c r="AH480" s="156"/>
      <c r="AI480" s="305"/>
      <c r="AJ480" s="366"/>
      <c r="AK480" s="357"/>
      <c r="AL480" s="371"/>
      <c r="AM480" s="371"/>
      <c r="AN480" s="371"/>
      <c r="AO480" s="357"/>
      <c r="AP480" s="100"/>
      <c r="AQ480" s="100"/>
      <c r="AR480" s="100"/>
      <c r="AS480" s="357"/>
      <c r="AT480" s="100"/>
      <c r="AU480" s="100"/>
      <c r="AV480" s="100"/>
    </row>
    <row r="481">
      <c r="A481" s="357"/>
      <c r="B481" s="156"/>
      <c r="C481" s="154"/>
      <c r="D481" s="100"/>
      <c r="E481" s="357"/>
      <c r="F481" s="156"/>
      <c r="G481" s="154"/>
      <c r="H481" s="100"/>
      <c r="I481" s="357"/>
      <c r="J481" s="156"/>
      <c r="K481" s="154"/>
      <c r="L481" s="100"/>
      <c r="M481" s="357"/>
      <c r="N481" s="156"/>
      <c r="O481" s="154"/>
      <c r="P481" s="100"/>
      <c r="Q481" s="357"/>
      <c r="R481" s="156"/>
      <c r="S481" s="154"/>
      <c r="T481" s="100"/>
      <c r="U481" s="357"/>
      <c r="V481" s="156"/>
      <c r="W481" s="154"/>
      <c r="X481" s="100"/>
      <c r="Y481" s="357"/>
      <c r="Z481" s="100"/>
      <c r="AA481" s="100"/>
      <c r="AB481" s="100"/>
      <c r="AC481" s="357"/>
      <c r="AD481" s="367"/>
      <c r="AE481" s="368"/>
      <c r="AF481" s="98"/>
      <c r="AG481" s="357"/>
      <c r="AH481" s="156"/>
      <c r="AI481" s="305"/>
      <c r="AJ481" s="366"/>
      <c r="AK481" s="357"/>
      <c r="AL481" s="371"/>
      <c r="AM481" s="371"/>
      <c r="AN481" s="371"/>
      <c r="AO481" s="357"/>
      <c r="AP481" s="100"/>
      <c r="AQ481" s="100"/>
      <c r="AR481" s="100"/>
      <c r="AS481" s="357"/>
      <c r="AT481" s="100"/>
      <c r="AU481" s="100"/>
      <c r="AV481" s="100"/>
    </row>
    <row r="482">
      <c r="A482" s="357"/>
      <c r="B482" s="156"/>
      <c r="C482" s="154"/>
      <c r="D482" s="100"/>
      <c r="E482" s="357"/>
      <c r="F482" s="156"/>
      <c r="G482" s="154"/>
      <c r="H482" s="100"/>
      <c r="I482" s="357"/>
      <c r="J482" s="156"/>
      <c r="K482" s="154"/>
      <c r="L482" s="100"/>
      <c r="M482" s="357"/>
      <c r="N482" s="156"/>
      <c r="O482" s="154"/>
      <c r="P482" s="100"/>
      <c r="Q482" s="357"/>
      <c r="R482" s="156"/>
      <c r="S482" s="154"/>
      <c r="T482" s="100"/>
      <c r="U482" s="357"/>
      <c r="V482" s="156"/>
      <c r="W482" s="154"/>
      <c r="X482" s="100"/>
      <c r="Y482" s="357"/>
      <c r="Z482" s="100"/>
      <c r="AA482" s="100"/>
      <c r="AB482" s="100"/>
      <c r="AC482" s="357"/>
      <c r="AD482" s="367"/>
      <c r="AE482" s="368"/>
      <c r="AF482" s="98"/>
      <c r="AG482" s="357"/>
      <c r="AH482" s="156"/>
      <c r="AI482" s="305"/>
      <c r="AJ482" s="366"/>
      <c r="AK482" s="357"/>
      <c r="AL482" s="371"/>
      <c r="AM482" s="371"/>
      <c r="AN482" s="371"/>
      <c r="AO482" s="357"/>
      <c r="AP482" s="100"/>
      <c r="AQ482" s="100"/>
      <c r="AR482" s="100"/>
      <c r="AS482" s="357"/>
      <c r="AT482" s="100"/>
      <c r="AU482" s="100"/>
      <c r="AV482" s="100"/>
    </row>
    <row r="483">
      <c r="A483" s="357"/>
      <c r="B483" s="156"/>
      <c r="C483" s="154"/>
      <c r="D483" s="100"/>
      <c r="E483" s="357"/>
      <c r="F483" s="156"/>
      <c r="G483" s="154"/>
      <c r="H483" s="100"/>
      <c r="I483" s="357"/>
      <c r="J483" s="156"/>
      <c r="K483" s="154"/>
      <c r="L483" s="100"/>
      <c r="M483" s="357"/>
      <c r="N483" s="156"/>
      <c r="O483" s="154"/>
      <c r="P483" s="100"/>
      <c r="Q483" s="357"/>
      <c r="R483" s="156"/>
      <c r="S483" s="154"/>
      <c r="T483" s="100"/>
      <c r="U483" s="357"/>
      <c r="V483" s="156"/>
      <c r="W483" s="154"/>
      <c r="X483" s="100"/>
      <c r="Y483" s="357"/>
      <c r="Z483" s="100"/>
      <c r="AA483" s="100"/>
      <c r="AB483" s="100"/>
      <c r="AC483" s="357"/>
      <c r="AD483" s="367"/>
      <c r="AE483" s="368"/>
      <c r="AF483" s="98"/>
      <c r="AG483" s="357"/>
      <c r="AH483" s="156"/>
      <c r="AI483" s="305"/>
      <c r="AJ483" s="366"/>
      <c r="AK483" s="357"/>
      <c r="AL483" s="371"/>
      <c r="AM483" s="371"/>
      <c r="AN483" s="371"/>
      <c r="AO483" s="357"/>
      <c r="AP483" s="100"/>
      <c r="AQ483" s="100"/>
      <c r="AR483" s="100"/>
      <c r="AS483" s="357"/>
      <c r="AT483" s="100"/>
      <c r="AU483" s="100"/>
      <c r="AV483" s="100"/>
    </row>
    <row r="484">
      <c r="A484" s="357"/>
      <c r="B484" s="156"/>
      <c r="C484" s="154"/>
      <c r="D484" s="100"/>
      <c r="E484" s="357"/>
      <c r="F484" s="156"/>
      <c r="G484" s="154"/>
      <c r="H484" s="100"/>
      <c r="I484" s="357"/>
      <c r="J484" s="156"/>
      <c r="K484" s="154"/>
      <c r="L484" s="100"/>
      <c r="M484" s="357"/>
      <c r="N484" s="156"/>
      <c r="O484" s="154"/>
      <c r="P484" s="100"/>
      <c r="Q484" s="357"/>
      <c r="R484" s="156"/>
      <c r="S484" s="154"/>
      <c r="T484" s="100"/>
      <c r="U484" s="357"/>
      <c r="V484" s="156"/>
      <c r="W484" s="154"/>
      <c r="X484" s="100"/>
      <c r="Y484" s="357"/>
      <c r="Z484" s="100"/>
      <c r="AA484" s="100"/>
      <c r="AB484" s="100"/>
      <c r="AC484" s="357"/>
      <c r="AD484" s="367"/>
      <c r="AE484" s="368"/>
      <c r="AF484" s="98"/>
      <c r="AG484" s="357"/>
      <c r="AH484" s="156"/>
      <c r="AI484" s="305"/>
      <c r="AJ484" s="366"/>
      <c r="AK484" s="357"/>
      <c r="AL484" s="371"/>
      <c r="AM484" s="371"/>
      <c r="AN484" s="371"/>
      <c r="AO484" s="357"/>
      <c r="AP484" s="100"/>
      <c r="AQ484" s="100"/>
      <c r="AR484" s="100"/>
      <c r="AS484" s="357"/>
      <c r="AT484" s="100"/>
      <c r="AU484" s="100"/>
      <c r="AV484" s="100"/>
    </row>
    <row r="485">
      <c r="A485" s="357"/>
      <c r="B485" s="156"/>
      <c r="C485" s="154"/>
      <c r="D485" s="100"/>
      <c r="E485" s="357"/>
      <c r="F485" s="156"/>
      <c r="G485" s="154"/>
      <c r="H485" s="100"/>
      <c r="I485" s="357"/>
      <c r="J485" s="156"/>
      <c r="K485" s="154"/>
      <c r="L485" s="100"/>
      <c r="M485" s="357"/>
      <c r="N485" s="156"/>
      <c r="O485" s="154"/>
      <c r="P485" s="100"/>
      <c r="Q485" s="357"/>
      <c r="R485" s="156"/>
      <c r="S485" s="154"/>
      <c r="T485" s="100"/>
      <c r="U485" s="357"/>
      <c r="V485" s="156"/>
      <c r="W485" s="154"/>
      <c r="X485" s="100"/>
      <c r="Y485" s="357"/>
      <c r="Z485" s="100"/>
      <c r="AA485" s="100"/>
      <c r="AB485" s="100"/>
      <c r="AC485" s="357"/>
      <c r="AD485" s="367"/>
      <c r="AE485" s="368"/>
      <c r="AF485" s="98"/>
      <c r="AG485" s="357"/>
      <c r="AH485" s="156"/>
      <c r="AI485" s="305"/>
      <c r="AJ485" s="366"/>
      <c r="AK485" s="357"/>
      <c r="AL485" s="371"/>
      <c r="AM485" s="371"/>
      <c r="AN485" s="371"/>
      <c r="AO485" s="357"/>
      <c r="AP485" s="100"/>
      <c r="AQ485" s="100"/>
      <c r="AR485" s="100"/>
      <c r="AS485" s="357"/>
      <c r="AT485" s="100"/>
      <c r="AU485" s="100"/>
      <c r="AV485" s="100"/>
    </row>
    <row r="486">
      <c r="A486" s="357"/>
      <c r="B486" s="156"/>
      <c r="C486" s="154"/>
      <c r="D486" s="100"/>
      <c r="E486" s="357"/>
      <c r="F486" s="156"/>
      <c r="G486" s="154"/>
      <c r="H486" s="100"/>
      <c r="I486" s="357"/>
      <c r="J486" s="156"/>
      <c r="K486" s="154"/>
      <c r="L486" s="100"/>
      <c r="M486" s="357"/>
      <c r="N486" s="156"/>
      <c r="O486" s="154"/>
      <c r="P486" s="100"/>
      <c r="Q486" s="357"/>
      <c r="R486" s="156"/>
      <c r="S486" s="154"/>
      <c r="T486" s="100"/>
      <c r="U486" s="357"/>
      <c r="V486" s="156"/>
      <c r="W486" s="154"/>
      <c r="X486" s="100"/>
      <c r="Y486" s="357"/>
      <c r="Z486" s="100"/>
      <c r="AA486" s="100"/>
      <c r="AB486" s="100"/>
      <c r="AC486" s="357"/>
      <c r="AD486" s="367"/>
      <c r="AE486" s="368"/>
      <c r="AF486" s="98"/>
      <c r="AG486" s="357"/>
      <c r="AH486" s="156"/>
      <c r="AI486" s="305"/>
      <c r="AJ486" s="366"/>
      <c r="AK486" s="357"/>
      <c r="AL486" s="371"/>
      <c r="AM486" s="371"/>
      <c r="AN486" s="371"/>
      <c r="AO486" s="357"/>
      <c r="AP486" s="100"/>
      <c r="AQ486" s="100"/>
      <c r="AR486" s="100"/>
      <c r="AS486" s="357"/>
      <c r="AT486" s="100"/>
      <c r="AU486" s="100"/>
      <c r="AV486" s="100"/>
    </row>
    <row r="487">
      <c r="A487" s="357"/>
      <c r="B487" s="156"/>
      <c r="C487" s="154"/>
      <c r="D487" s="100"/>
      <c r="E487" s="357"/>
      <c r="F487" s="156"/>
      <c r="G487" s="154"/>
      <c r="H487" s="100"/>
      <c r="I487" s="357"/>
      <c r="J487" s="156"/>
      <c r="K487" s="154"/>
      <c r="L487" s="100"/>
      <c r="M487" s="357"/>
      <c r="N487" s="156"/>
      <c r="O487" s="154"/>
      <c r="P487" s="100"/>
      <c r="Q487" s="357"/>
      <c r="R487" s="156"/>
      <c r="S487" s="154"/>
      <c r="T487" s="100"/>
      <c r="U487" s="357"/>
      <c r="V487" s="156"/>
      <c r="W487" s="154"/>
      <c r="X487" s="100"/>
      <c r="Y487" s="357"/>
      <c r="Z487" s="100"/>
      <c r="AA487" s="100"/>
      <c r="AB487" s="100"/>
      <c r="AC487" s="357"/>
      <c r="AD487" s="367"/>
      <c r="AE487" s="368"/>
      <c r="AF487" s="98"/>
      <c r="AG487" s="357"/>
      <c r="AH487" s="156"/>
      <c r="AI487" s="305"/>
      <c r="AJ487" s="366"/>
      <c r="AK487" s="357"/>
      <c r="AL487" s="371"/>
      <c r="AM487" s="371"/>
      <c r="AN487" s="371"/>
      <c r="AO487" s="357"/>
      <c r="AP487" s="100"/>
      <c r="AQ487" s="100"/>
      <c r="AR487" s="100"/>
      <c r="AS487" s="357"/>
      <c r="AT487" s="100"/>
      <c r="AU487" s="100"/>
      <c r="AV487" s="100"/>
    </row>
    <row r="488">
      <c r="A488" s="357"/>
      <c r="B488" s="156"/>
      <c r="C488" s="154"/>
      <c r="D488" s="100"/>
      <c r="E488" s="357"/>
      <c r="F488" s="156"/>
      <c r="G488" s="154"/>
      <c r="H488" s="100"/>
      <c r="I488" s="357"/>
      <c r="J488" s="156"/>
      <c r="K488" s="154"/>
      <c r="L488" s="100"/>
      <c r="M488" s="357"/>
      <c r="N488" s="156"/>
      <c r="O488" s="154"/>
      <c r="P488" s="100"/>
      <c r="Q488" s="357"/>
      <c r="R488" s="156"/>
      <c r="S488" s="154"/>
      <c r="T488" s="100"/>
      <c r="U488" s="357"/>
      <c r="V488" s="156"/>
      <c r="W488" s="154"/>
      <c r="X488" s="100"/>
      <c r="Y488" s="357"/>
      <c r="Z488" s="100"/>
      <c r="AA488" s="100"/>
      <c r="AB488" s="100"/>
      <c r="AC488" s="357"/>
      <c r="AD488" s="367"/>
      <c r="AE488" s="368"/>
      <c r="AF488" s="98"/>
      <c r="AG488" s="357"/>
      <c r="AH488" s="156"/>
      <c r="AI488" s="305"/>
      <c r="AJ488" s="366"/>
      <c r="AK488" s="357"/>
      <c r="AL488" s="371"/>
      <c r="AM488" s="371"/>
      <c r="AN488" s="371"/>
      <c r="AO488" s="357"/>
      <c r="AP488" s="100"/>
      <c r="AQ488" s="100"/>
      <c r="AR488" s="100"/>
      <c r="AS488" s="357"/>
      <c r="AT488" s="100"/>
      <c r="AU488" s="100"/>
      <c r="AV488" s="100"/>
    </row>
    <row r="489">
      <c r="A489" s="357"/>
      <c r="B489" s="156"/>
      <c r="C489" s="154"/>
      <c r="D489" s="100"/>
      <c r="E489" s="357"/>
      <c r="F489" s="156"/>
      <c r="G489" s="154"/>
      <c r="H489" s="100"/>
      <c r="I489" s="357"/>
      <c r="J489" s="156"/>
      <c r="K489" s="154"/>
      <c r="L489" s="100"/>
      <c r="M489" s="357"/>
      <c r="N489" s="156"/>
      <c r="O489" s="154"/>
      <c r="P489" s="100"/>
      <c r="Q489" s="357"/>
      <c r="R489" s="156"/>
      <c r="S489" s="154"/>
      <c r="T489" s="100"/>
      <c r="U489" s="357"/>
      <c r="V489" s="156"/>
      <c r="W489" s="154"/>
      <c r="X489" s="100"/>
      <c r="Y489" s="357"/>
      <c r="Z489" s="100"/>
      <c r="AA489" s="100"/>
      <c r="AB489" s="100"/>
      <c r="AC489" s="357"/>
      <c r="AD489" s="367"/>
      <c r="AE489" s="368"/>
      <c r="AF489" s="98"/>
      <c r="AG489" s="357"/>
      <c r="AH489" s="156"/>
      <c r="AI489" s="305"/>
      <c r="AJ489" s="366"/>
      <c r="AK489" s="357"/>
      <c r="AL489" s="371"/>
      <c r="AM489" s="371"/>
      <c r="AN489" s="371"/>
      <c r="AO489" s="357"/>
      <c r="AP489" s="100"/>
      <c r="AQ489" s="100"/>
      <c r="AR489" s="100"/>
      <c r="AS489" s="357"/>
      <c r="AT489" s="100"/>
      <c r="AU489" s="100"/>
      <c r="AV489" s="100"/>
    </row>
    <row r="490">
      <c r="A490" s="357"/>
      <c r="B490" s="156"/>
      <c r="C490" s="154"/>
      <c r="D490" s="100"/>
      <c r="E490" s="357"/>
      <c r="F490" s="156"/>
      <c r="G490" s="154"/>
      <c r="H490" s="100"/>
      <c r="I490" s="357"/>
      <c r="J490" s="156"/>
      <c r="K490" s="154"/>
      <c r="L490" s="100"/>
      <c r="M490" s="357"/>
      <c r="N490" s="156"/>
      <c r="O490" s="154"/>
      <c r="P490" s="100"/>
      <c r="Q490" s="357"/>
      <c r="R490" s="156"/>
      <c r="S490" s="154"/>
      <c r="T490" s="100"/>
      <c r="U490" s="357"/>
      <c r="V490" s="156"/>
      <c r="W490" s="154"/>
      <c r="X490" s="100"/>
      <c r="Y490" s="357"/>
      <c r="Z490" s="100"/>
      <c r="AA490" s="100"/>
      <c r="AB490" s="100"/>
      <c r="AC490" s="357"/>
      <c r="AD490" s="367"/>
      <c r="AE490" s="368"/>
      <c r="AF490" s="98"/>
      <c r="AG490" s="357"/>
      <c r="AH490" s="156"/>
      <c r="AI490" s="305"/>
      <c r="AJ490" s="366"/>
      <c r="AK490" s="357"/>
      <c r="AL490" s="371"/>
      <c r="AM490" s="371"/>
      <c r="AN490" s="371"/>
      <c r="AO490" s="357"/>
      <c r="AP490" s="100"/>
      <c r="AQ490" s="100"/>
      <c r="AR490" s="100"/>
      <c r="AS490" s="357"/>
      <c r="AT490" s="100"/>
      <c r="AU490" s="100"/>
      <c r="AV490" s="100"/>
    </row>
    <row r="491">
      <c r="A491" s="357"/>
      <c r="B491" s="156"/>
      <c r="C491" s="154"/>
      <c r="D491" s="100"/>
      <c r="E491" s="357"/>
      <c r="F491" s="156"/>
      <c r="G491" s="154"/>
      <c r="H491" s="100"/>
      <c r="I491" s="357"/>
      <c r="J491" s="156"/>
      <c r="K491" s="154"/>
      <c r="L491" s="100"/>
      <c r="M491" s="357"/>
      <c r="N491" s="156"/>
      <c r="O491" s="154"/>
      <c r="P491" s="100"/>
      <c r="Q491" s="357"/>
      <c r="R491" s="156"/>
      <c r="S491" s="154"/>
      <c r="T491" s="100"/>
      <c r="U491" s="357"/>
      <c r="V491" s="156"/>
      <c r="W491" s="154"/>
      <c r="X491" s="100"/>
      <c r="Y491" s="357"/>
      <c r="Z491" s="100"/>
      <c r="AA491" s="100"/>
      <c r="AB491" s="100"/>
      <c r="AC491" s="357"/>
      <c r="AD491" s="367"/>
      <c r="AE491" s="368"/>
      <c r="AF491" s="98"/>
      <c r="AG491" s="357"/>
      <c r="AH491" s="156"/>
      <c r="AI491" s="305"/>
      <c r="AJ491" s="366"/>
      <c r="AK491" s="357"/>
      <c r="AL491" s="371"/>
      <c r="AM491" s="371"/>
      <c r="AN491" s="371"/>
      <c r="AO491" s="357"/>
      <c r="AP491" s="100"/>
      <c r="AQ491" s="100"/>
      <c r="AR491" s="100"/>
      <c r="AS491" s="357"/>
      <c r="AT491" s="100"/>
      <c r="AU491" s="100"/>
      <c r="AV491" s="100"/>
    </row>
    <row r="492">
      <c r="A492" s="357"/>
      <c r="B492" s="156"/>
      <c r="C492" s="154"/>
      <c r="D492" s="100"/>
      <c r="E492" s="357"/>
      <c r="F492" s="156"/>
      <c r="G492" s="154"/>
      <c r="H492" s="100"/>
      <c r="I492" s="357"/>
      <c r="J492" s="156"/>
      <c r="K492" s="154"/>
      <c r="L492" s="100"/>
      <c r="M492" s="357"/>
      <c r="N492" s="156"/>
      <c r="O492" s="154"/>
      <c r="P492" s="100"/>
      <c r="Q492" s="357"/>
      <c r="R492" s="156"/>
      <c r="S492" s="154"/>
      <c r="T492" s="100"/>
      <c r="U492" s="357"/>
      <c r="V492" s="156"/>
      <c r="W492" s="154"/>
      <c r="X492" s="100"/>
      <c r="Y492" s="357"/>
      <c r="Z492" s="100"/>
      <c r="AA492" s="100"/>
      <c r="AB492" s="100"/>
      <c r="AC492" s="357"/>
      <c r="AD492" s="367"/>
      <c r="AE492" s="368"/>
      <c r="AF492" s="98"/>
      <c r="AG492" s="357"/>
      <c r="AH492" s="156"/>
      <c r="AI492" s="305"/>
      <c r="AJ492" s="366"/>
      <c r="AK492" s="357"/>
      <c r="AL492" s="371"/>
      <c r="AM492" s="371"/>
      <c r="AN492" s="371"/>
      <c r="AO492" s="357"/>
      <c r="AP492" s="100"/>
      <c r="AQ492" s="100"/>
      <c r="AR492" s="100"/>
      <c r="AS492" s="357"/>
      <c r="AT492" s="100"/>
      <c r="AU492" s="100"/>
      <c r="AV492" s="100"/>
    </row>
    <row r="493">
      <c r="A493" s="357"/>
      <c r="B493" s="156"/>
      <c r="C493" s="154"/>
      <c r="D493" s="100"/>
      <c r="E493" s="357"/>
      <c r="F493" s="156"/>
      <c r="G493" s="154"/>
      <c r="H493" s="100"/>
      <c r="I493" s="357"/>
      <c r="J493" s="156"/>
      <c r="K493" s="154"/>
      <c r="L493" s="100"/>
      <c r="M493" s="357"/>
      <c r="N493" s="156"/>
      <c r="O493" s="154"/>
      <c r="P493" s="100"/>
      <c r="Q493" s="357"/>
      <c r="R493" s="156"/>
      <c r="S493" s="154"/>
      <c r="T493" s="100"/>
      <c r="U493" s="357"/>
      <c r="V493" s="156"/>
      <c r="W493" s="154"/>
      <c r="X493" s="100"/>
      <c r="Y493" s="357"/>
      <c r="Z493" s="100"/>
      <c r="AA493" s="100"/>
      <c r="AB493" s="100"/>
      <c r="AC493" s="357"/>
      <c r="AD493" s="367"/>
      <c r="AE493" s="368"/>
      <c r="AF493" s="98"/>
      <c r="AG493" s="357"/>
      <c r="AH493" s="156"/>
      <c r="AI493" s="305"/>
      <c r="AJ493" s="366"/>
      <c r="AK493" s="357"/>
      <c r="AL493" s="371"/>
      <c r="AM493" s="371"/>
      <c r="AN493" s="371"/>
      <c r="AO493" s="357"/>
      <c r="AP493" s="100"/>
      <c r="AQ493" s="100"/>
      <c r="AR493" s="100"/>
      <c r="AS493" s="357"/>
      <c r="AT493" s="100"/>
      <c r="AU493" s="100"/>
      <c r="AV493" s="100"/>
    </row>
    <row r="494">
      <c r="A494" s="357"/>
      <c r="B494" s="156"/>
      <c r="C494" s="154"/>
      <c r="D494" s="100"/>
      <c r="E494" s="357"/>
      <c r="F494" s="156"/>
      <c r="G494" s="154"/>
      <c r="H494" s="100"/>
      <c r="I494" s="357"/>
      <c r="J494" s="156"/>
      <c r="K494" s="154"/>
      <c r="L494" s="100"/>
      <c r="M494" s="357"/>
      <c r="N494" s="156"/>
      <c r="O494" s="154"/>
      <c r="P494" s="100"/>
      <c r="Q494" s="357"/>
      <c r="R494" s="156"/>
      <c r="S494" s="154"/>
      <c r="T494" s="100"/>
      <c r="U494" s="357"/>
      <c r="V494" s="156"/>
      <c r="W494" s="154"/>
      <c r="X494" s="100"/>
      <c r="Y494" s="357"/>
      <c r="Z494" s="100"/>
      <c r="AA494" s="100"/>
      <c r="AB494" s="100"/>
      <c r="AC494" s="357"/>
      <c r="AD494" s="367"/>
      <c r="AE494" s="368"/>
      <c r="AF494" s="98"/>
      <c r="AG494" s="357"/>
      <c r="AH494" s="156"/>
      <c r="AI494" s="305"/>
      <c r="AJ494" s="366"/>
      <c r="AK494" s="357"/>
      <c r="AL494" s="371"/>
      <c r="AM494" s="371"/>
      <c r="AN494" s="371"/>
      <c r="AO494" s="357"/>
      <c r="AP494" s="100"/>
      <c r="AQ494" s="100"/>
      <c r="AR494" s="100"/>
      <c r="AS494" s="357"/>
      <c r="AT494" s="100"/>
      <c r="AU494" s="100"/>
      <c r="AV494" s="100"/>
    </row>
    <row r="495">
      <c r="A495" s="357"/>
      <c r="B495" s="156"/>
      <c r="C495" s="154"/>
      <c r="D495" s="100"/>
      <c r="E495" s="357"/>
      <c r="F495" s="156"/>
      <c r="G495" s="154"/>
      <c r="H495" s="100"/>
      <c r="I495" s="357"/>
      <c r="J495" s="156"/>
      <c r="K495" s="154"/>
      <c r="L495" s="100"/>
      <c r="M495" s="357"/>
      <c r="N495" s="156"/>
      <c r="O495" s="154"/>
      <c r="P495" s="100"/>
      <c r="Q495" s="357"/>
      <c r="R495" s="156"/>
      <c r="S495" s="154"/>
      <c r="T495" s="100"/>
      <c r="U495" s="357"/>
      <c r="V495" s="156"/>
      <c r="W495" s="154"/>
      <c r="X495" s="100"/>
      <c r="Y495" s="357"/>
      <c r="Z495" s="100"/>
      <c r="AA495" s="100"/>
      <c r="AB495" s="100"/>
      <c r="AC495" s="357"/>
      <c r="AD495" s="367"/>
      <c r="AE495" s="368"/>
      <c r="AF495" s="98"/>
      <c r="AG495" s="357"/>
      <c r="AH495" s="156"/>
      <c r="AI495" s="305"/>
      <c r="AJ495" s="366"/>
      <c r="AK495" s="357"/>
      <c r="AL495" s="371"/>
      <c r="AM495" s="371"/>
      <c r="AN495" s="371"/>
      <c r="AO495" s="357"/>
      <c r="AP495" s="100"/>
      <c r="AQ495" s="100"/>
      <c r="AR495" s="100"/>
      <c r="AS495" s="357"/>
      <c r="AT495" s="100"/>
      <c r="AU495" s="100"/>
      <c r="AV495" s="100"/>
    </row>
    <row r="496">
      <c r="A496" s="357"/>
      <c r="B496" s="156"/>
      <c r="C496" s="154"/>
      <c r="D496" s="100"/>
      <c r="E496" s="357"/>
      <c r="F496" s="156"/>
      <c r="G496" s="154"/>
      <c r="H496" s="100"/>
      <c r="I496" s="357"/>
      <c r="J496" s="156"/>
      <c r="K496" s="154"/>
      <c r="L496" s="100"/>
      <c r="M496" s="357"/>
      <c r="N496" s="156"/>
      <c r="O496" s="154"/>
      <c r="P496" s="100"/>
      <c r="Q496" s="357"/>
      <c r="R496" s="156"/>
      <c r="S496" s="154"/>
      <c r="T496" s="100"/>
      <c r="U496" s="357"/>
      <c r="V496" s="156"/>
      <c r="W496" s="154"/>
      <c r="X496" s="100"/>
      <c r="Y496" s="357"/>
      <c r="Z496" s="100"/>
      <c r="AA496" s="100"/>
      <c r="AB496" s="100"/>
      <c r="AC496" s="357"/>
      <c r="AD496" s="367"/>
      <c r="AE496" s="368"/>
      <c r="AF496" s="98"/>
      <c r="AG496" s="357"/>
      <c r="AH496" s="156"/>
      <c r="AI496" s="305"/>
      <c r="AJ496" s="366"/>
      <c r="AK496" s="357"/>
      <c r="AL496" s="371"/>
      <c r="AM496" s="371"/>
      <c r="AN496" s="371"/>
      <c r="AO496" s="357"/>
      <c r="AP496" s="100"/>
      <c r="AQ496" s="100"/>
      <c r="AR496" s="100"/>
      <c r="AS496" s="357"/>
      <c r="AT496" s="100"/>
      <c r="AU496" s="100"/>
      <c r="AV496" s="100"/>
    </row>
    <row r="497">
      <c r="A497" s="357"/>
      <c r="B497" s="156"/>
      <c r="C497" s="154"/>
      <c r="D497" s="100"/>
      <c r="E497" s="357"/>
      <c r="F497" s="156"/>
      <c r="G497" s="154"/>
      <c r="H497" s="100"/>
      <c r="I497" s="357"/>
      <c r="J497" s="156"/>
      <c r="K497" s="154"/>
      <c r="L497" s="100"/>
      <c r="M497" s="357"/>
      <c r="N497" s="156"/>
      <c r="O497" s="154"/>
      <c r="P497" s="100"/>
      <c r="Q497" s="357"/>
      <c r="R497" s="156"/>
      <c r="S497" s="154"/>
      <c r="T497" s="100"/>
      <c r="U497" s="357"/>
      <c r="V497" s="156"/>
      <c r="W497" s="154"/>
      <c r="X497" s="100"/>
      <c r="Y497" s="357"/>
      <c r="Z497" s="100"/>
      <c r="AA497" s="100"/>
      <c r="AB497" s="100"/>
      <c r="AC497" s="357"/>
      <c r="AD497" s="367"/>
      <c r="AE497" s="368"/>
      <c r="AF497" s="98"/>
      <c r="AG497" s="357"/>
      <c r="AH497" s="156"/>
      <c r="AI497" s="305"/>
      <c r="AJ497" s="366"/>
      <c r="AK497" s="357"/>
      <c r="AL497" s="371"/>
      <c r="AM497" s="371"/>
      <c r="AN497" s="371"/>
      <c r="AO497" s="357"/>
      <c r="AP497" s="100"/>
      <c r="AQ497" s="100"/>
      <c r="AR497" s="100"/>
      <c r="AS497" s="357"/>
      <c r="AT497" s="100"/>
      <c r="AU497" s="100"/>
      <c r="AV497" s="100"/>
    </row>
    <row r="498">
      <c r="A498" s="357"/>
      <c r="B498" s="156"/>
      <c r="C498" s="154"/>
      <c r="D498" s="100"/>
      <c r="E498" s="357"/>
      <c r="F498" s="156"/>
      <c r="G498" s="154"/>
      <c r="H498" s="100"/>
      <c r="I498" s="357"/>
      <c r="J498" s="156"/>
      <c r="K498" s="154"/>
      <c r="L498" s="100"/>
      <c r="M498" s="357"/>
      <c r="N498" s="156"/>
      <c r="O498" s="154"/>
      <c r="P498" s="100"/>
      <c r="Q498" s="357"/>
      <c r="R498" s="156"/>
      <c r="S498" s="154"/>
      <c r="T498" s="100"/>
      <c r="U498" s="357"/>
      <c r="V498" s="156"/>
      <c r="W498" s="154"/>
      <c r="X498" s="100"/>
      <c r="Y498" s="357"/>
      <c r="Z498" s="100"/>
      <c r="AA498" s="100"/>
      <c r="AB498" s="100"/>
      <c r="AC498" s="357"/>
      <c r="AD498" s="367"/>
      <c r="AE498" s="368"/>
      <c r="AF498" s="98"/>
      <c r="AG498" s="357"/>
      <c r="AH498" s="156"/>
      <c r="AI498" s="305"/>
      <c r="AJ498" s="366"/>
      <c r="AK498" s="357"/>
      <c r="AL498" s="371"/>
      <c r="AM498" s="371"/>
      <c r="AN498" s="371"/>
      <c r="AO498" s="357"/>
      <c r="AP498" s="100"/>
      <c r="AQ498" s="100"/>
      <c r="AR498" s="100"/>
      <c r="AS498" s="357"/>
      <c r="AT498" s="100"/>
      <c r="AU498" s="100"/>
      <c r="AV498" s="100"/>
    </row>
    <row r="499">
      <c r="A499" s="357"/>
      <c r="B499" s="156"/>
      <c r="C499" s="154"/>
      <c r="D499" s="100"/>
      <c r="E499" s="357"/>
      <c r="F499" s="156"/>
      <c r="G499" s="154"/>
      <c r="H499" s="100"/>
      <c r="I499" s="357"/>
      <c r="J499" s="156"/>
      <c r="K499" s="154"/>
      <c r="L499" s="100"/>
      <c r="M499" s="357"/>
      <c r="N499" s="156"/>
      <c r="O499" s="154"/>
      <c r="P499" s="100"/>
      <c r="Q499" s="357"/>
      <c r="R499" s="156"/>
      <c r="S499" s="154"/>
      <c r="T499" s="100"/>
      <c r="U499" s="357"/>
      <c r="V499" s="156"/>
      <c r="W499" s="154"/>
      <c r="X499" s="100"/>
      <c r="Y499" s="357"/>
      <c r="Z499" s="100"/>
      <c r="AA499" s="100"/>
      <c r="AB499" s="100"/>
      <c r="AC499" s="357"/>
      <c r="AD499" s="367"/>
      <c r="AE499" s="368"/>
      <c r="AF499" s="98"/>
      <c r="AG499" s="357"/>
      <c r="AH499" s="156"/>
      <c r="AI499" s="305"/>
      <c r="AJ499" s="366"/>
      <c r="AK499" s="357"/>
      <c r="AL499" s="371"/>
      <c r="AM499" s="371"/>
      <c r="AN499" s="371"/>
      <c r="AO499" s="357"/>
      <c r="AP499" s="100"/>
      <c r="AQ499" s="100"/>
      <c r="AR499" s="100"/>
      <c r="AS499" s="357"/>
      <c r="AT499" s="100"/>
      <c r="AU499" s="100"/>
      <c r="AV499" s="100"/>
    </row>
    <row r="500">
      <c r="A500" s="357"/>
      <c r="B500" s="156"/>
      <c r="C500" s="154"/>
      <c r="D500" s="100"/>
      <c r="E500" s="357"/>
      <c r="F500" s="156"/>
      <c r="G500" s="154"/>
      <c r="H500" s="100"/>
      <c r="I500" s="357"/>
      <c r="J500" s="156"/>
      <c r="K500" s="154"/>
      <c r="L500" s="100"/>
      <c r="M500" s="357"/>
      <c r="N500" s="156"/>
      <c r="O500" s="154"/>
      <c r="P500" s="100"/>
      <c r="Q500" s="357"/>
      <c r="R500" s="156"/>
      <c r="S500" s="154"/>
      <c r="T500" s="100"/>
      <c r="U500" s="357"/>
      <c r="V500" s="156"/>
      <c r="W500" s="154"/>
      <c r="X500" s="100"/>
      <c r="Y500" s="357"/>
      <c r="Z500" s="100"/>
      <c r="AA500" s="100"/>
      <c r="AB500" s="100"/>
      <c r="AC500" s="357"/>
      <c r="AD500" s="367"/>
      <c r="AE500" s="368"/>
      <c r="AF500" s="98"/>
      <c r="AG500" s="357"/>
      <c r="AH500" s="156"/>
      <c r="AI500" s="305"/>
      <c r="AJ500" s="366"/>
      <c r="AK500" s="357"/>
      <c r="AL500" s="371"/>
      <c r="AM500" s="371"/>
      <c r="AN500" s="371"/>
      <c r="AO500" s="357"/>
      <c r="AP500" s="100"/>
      <c r="AQ500" s="100"/>
      <c r="AR500" s="100"/>
      <c r="AS500" s="357"/>
      <c r="AT500" s="100"/>
      <c r="AU500" s="100"/>
      <c r="AV500" s="100"/>
    </row>
    <row r="501">
      <c r="A501" s="357"/>
      <c r="B501" s="156"/>
      <c r="C501" s="154"/>
      <c r="D501" s="100"/>
      <c r="E501" s="357"/>
      <c r="F501" s="156"/>
      <c r="G501" s="154"/>
      <c r="H501" s="100"/>
      <c r="I501" s="357"/>
      <c r="J501" s="156"/>
      <c r="K501" s="154"/>
      <c r="L501" s="100"/>
      <c r="M501" s="357"/>
      <c r="N501" s="156"/>
      <c r="O501" s="154"/>
      <c r="P501" s="100"/>
      <c r="Q501" s="357"/>
      <c r="R501" s="156"/>
      <c r="S501" s="154"/>
      <c r="T501" s="100"/>
      <c r="U501" s="357"/>
      <c r="V501" s="156"/>
      <c r="W501" s="154"/>
      <c r="X501" s="100"/>
      <c r="Y501" s="357"/>
      <c r="Z501" s="100"/>
      <c r="AA501" s="100"/>
      <c r="AB501" s="100"/>
      <c r="AC501" s="357"/>
      <c r="AD501" s="367"/>
      <c r="AE501" s="368"/>
      <c r="AF501" s="98"/>
      <c r="AG501" s="357"/>
      <c r="AH501" s="156"/>
      <c r="AI501" s="305"/>
      <c r="AJ501" s="366"/>
      <c r="AK501" s="357"/>
      <c r="AL501" s="371"/>
      <c r="AM501" s="371"/>
      <c r="AN501" s="371"/>
      <c r="AO501" s="357"/>
      <c r="AP501" s="100"/>
      <c r="AQ501" s="100"/>
      <c r="AR501" s="100"/>
      <c r="AS501" s="357"/>
      <c r="AT501" s="100"/>
      <c r="AU501" s="100"/>
      <c r="AV501" s="100"/>
    </row>
    <row r="502">
      <c r="A502" s="357"/>
      <c r="B502" s="156"/>
      <c r="C502" s="154"/>
      <c r="D502" s="100"/>
      <c r="E502" s="357"/>
      <c r="F502" s="156"/>
      <c r="G502" s="154"/>
      <c r="H502" s="100"/>
      <c r="I502" s="357"/>
      <c r="J502" s="156"/>
      <c r="K502" s="154"/>
      <c r="L502" s="100"/>
      <c r="M502" s="357"/>
      <c r="N502" s="156"/>
      <c r="O502" s="154"/>
      <c r="P502" s="100"/>
      <c r="Q502" s="357"/>
      <c r="R502" s="156"/>
      <c r="S502" s="154"/>
      <c r="T502" s="100"/>
      <c r="U502" s="357"/>
      <c r="V502" s="156"/>
      <c r="W502" s="154"/>
      <c r="X502" s="100"/>
      <c r="Y502" s="357"/>
      <c r="Z502" s="100"/>
      <c r="AA502" s="100"/>
      <c r="AB502" s="100"/>
      <c r="AC502" s="357"/>
      <c r="AD502" s="367"/>
      <c r="AE502" s="368"/>
      <c r="AF502" s="98"/>
      <c r="AG502" s="357"/>
      <c r="AH502" s="156"/>
      <c r="AI502" s="305"/>
      <c r="AJ502" s="366"/>
      <c r="AK502" s="357"/>
      <c r="AL502" s="371"/>
      <c r="AM502" s="371"/>
      <c r="AN502" s="371"/>
      <c r="AO502" s="357"/>
      <c r="AP502" s="100"/>
      <c r="AQ502" s="100"/>
      <c r="AR502" s="100"/>
      <c r="AS502" s="357"/>
      <c r="AT502" s="100"/>
      <c r="AU502" s="100"/>
      <c r="AV502" s="100"/>
    </row>
    <row r="503">
      <c r="A503" s="357"/>
      <c r="B503" s="156"/>
      <c r="C503" s="154"/>
      <c r="D503" s="100"/>
      <c r="E503" s="357"/>
      <c r="F503" s="156"/>
      <c r="G503" s="154"/>
      <c r="H503" s="100"/>
      <c r="I503" s="357"/>
      <c r="J503" s="156"/>
      <c r="K503" s="154"/>
      <c r="L503" s="100"/>
      <c r="M503" s="357"/>
      <c r="N503" s="156"/>
      <c r="O503" s="154"/>
      <c r="P503" s="100"/>
      <c r="Q503" s="357"/>
      <c r="R503" s="156"/>
      <c r="S503" s="154"/>
      <c r="T503" s="100"/>
      <c r="U503" s="357"/>
      <c r="V503" s="156"/>
      <c r="W503" s="154"/>
      <c r="X503" s="100"/>
      <c r="Y503" s="357"/>
      <c r="Z503" s="100"/>
      <c r="AA503" s="100"/>
      <c r="AB503" s="100"/>
      <c r="AC503" s="357"/>
      <c r="AD503" s="367"/>
      <c r="AE503" s="368"/>
      <c r="AF503" s="98"/>
      <c r="AG503" s="357"/>
      <c r="AH503" s="156"/>
      <c r="AI503" s="305"/>
      <c r="AJ503" s="366"/>
      <c r="AK503" s="357"/>
      <c r="AL503" s="371"/>
      <c r="AM503" s="371"/>
      <c r="AN503" s="371"/>
      <c r="AO503" s="357"/>
      <c r="AP503" s="100"/>
      <c r="AQ503" s="100"/>
      <c r="AR503" s="100"/>
      <c r="AS503" s="357"/>
      <c r="AT503" s="100"/>
      <c r="AU503" s="100"/>
      <c r="AV503" s="100"/>
    </row>
    <row r="504">
      <c r="A504" s="357"/>
      <c r="B504" s="156"/>
      <c r="C504" s="154"/>
      <c r="D504" s="100"/>
      <c r="E504" s="357"/>
      <c r="F504" s="156"/>
      <c r="G504" s="154"/>
      <c r="H504" s="100"/>
      <c r="I504" s="357"/>
      <c r="J504" s="156"/>
      <c r="K504" s="154"/>
      <c r="L504" s="100"/>
      <c r="M504" s="357"/>
      <c r="N504" s="156"/>
      <c r="O504" s="154"/>
      <c r="P504" s="100"/>
      <c r="Q504" s="357"/>
      <c r="R504" s="156"/>
      <c r="S504" s="154"/>
      <c r="T504" s="100"/>
      <c r="U504" s="357"/>
      <c r="V504" s="156"/>
      <c r="W504" s="154"/>
      <c r="X504" s="100"/>
      <c r="Y504" s="357"/>
      <c r="Z504" s="100"/>
      <c r="AA504" s="100"/>
      <c r="AB504" s="100"/>
      <c r="AC504" s="357"/>
      <c r="AD504" s="367"/>
      <c r="AE504" s="368"/>
      <c r="AF504" s="98"/>
      <c r="AG504" s="357"/>
      <c r="AH504" s="156"/>
      <c r="AI504" s="305"/>
      <c r="AJ504" s="366"/>
      <c r="AK504" s="357"/>
      <c r="AL504" s="371"/>
      <c r="AM504" s="371"/>
      <c r="AN504" s="371"/>
      <c r="AO504" s="357"/>
      <c r="AP504" s="100"/>
      <c r="AQ504" s="100"/>
      <c r="AR504" s="100"/>
      <c r="AS504" s="357"/>
      <c r="AT504" s="100"/>
      <c r="AU504" s="100"/>
      <c r="AV504" s="100"/>
    </row>
    <row r="505">
      <c r="A505" s="357"/>
      <c r="B505" s="156"/>
      <c r="C505" s="154"/>
      <c r="D505" s="100"/>
      <c r="E505" s="357"/>
      <c r="F505" s="156"/>
      <c r="G505" s="154"/>
      <c r="H505" s="100"/>
      <c r="I505" s="357"/>
      <c r="J505" s="156"/>
      <c r="K505" s="154"/>
      <c r="L505" s="100"/>
      <c r="M505" s="357"/>
      <c r="N505" s="156"/>
      <c r="O505" s="154"/>
      <c r="P505" s="100"/>
      <c r="Q505" s="357"/>
      <c r="R505" s="156"/>
      <c r="S505" s="154"/>
      <c r="T505" s="100"/>
      <c r="U505" s="357"/>
      <c r="V505" s="156"/>
      <c r="W505" s="154"/>
      <c r="X505" s="100"/>
      <c r="Y505" s="357"/>
      <c r="Z505" s="100"/>
      <c r="AA505" s="100"/>
      <c r="AB505" s="100"/>
      <c r="AC505" s="357"/>
      <c r="AD505" s="367"/>
      <c r="AE505" s="368"/>
      <c r="AF505" s="98"/>
      <c r="AG505" s="357"/>
      <c r="AH505" s="156"/>
      <c r="AI505" s="305"/>
      <c r="AJ505" s="366"/>
      <c r="AK505" s="357"/>
      <c r="AL505" s="371"/>
      <c r="AM505" s="371"/>
      <c r="AN505" s="371"/>
      <c r="AO505" s="357"/>
      <c r="AP505" s="100"/>
      <c r="AQ505" s="100"/>
      <c r="AR505" s="100"/>
      <c r="AS505" s="357"/>
      <c r="AT505" s="100"/>
      <c r="AU505" s="100"/>
      <c r="AV505" s="100"/>
    </row>
    <row r="506">
      <c r="A506" s="357"/>
      <c r="B506" s="156"/>
      <c r="C506" s="154"/>
      <c r="D506" s="100"/>
      <c r="E506" s="357"/>
      <c r="F506" s="156"/>
      <c r="G506" s="154"/>
      <c r="H506" s="100"/>
      <c r="I506" s="357"/>
      <c r="J506" s="156"/>
      <c r="K506" s="154"/>
      <c r="L506" s="100"/>
      <c r="M506" s="357"/>
      <c r="N506" s="156"/>
      <c r="O506" s="154"/>
      <c r="P506" s="100"/>
      <c r="Q506" s="357"/>
      <c r="R506" s="156"/>
      <c r="S506" s="154"/>
      <c r="T506" s="100"/>
      <c r="U506" s="357"/>
      <c r="V506" s="156"/>
      <c r="W506" s="154"/>
      <c r="X506" s="100"/>
      <c r="Y506" s="357"/>
      <c r="Z506" s="100"/>
      <c r="AA506" s="100"/>
      <c r="AB506" s="100"/>
      <c r="AC506" s="357"/>
      <c r="AD506" s="367"/>
      <c r="AE506" s="368"/>
      <c r="AF506" s="98"/>
      <c r="AG506" s="357"/>
      <c r="AH506" s="156"/>
      <c r="AI506" s="305"/>
      <c r="AJ506" s="366"/>
      <c r="AK506" s="357"/>
      <c r="AL506" s="371"/>
      <c r="AM506" s="371"/>
      <c r="AN506" s="371"/>
      <c r="AO506" s="357"/>
      <c r="AP506" s="100"/>
      <c r="AQ506" s="100"/>
      <c r="AR506" s="100"/>
      <c r="AS506" s="357"/>
      <c r="AT506" s="100"/>
      <c r="AU506" s="100"/>
      <c r="AV506" s="100"/>
    </row>
    <row r="507">
      <c r="A507" s="357"/>
      <c r="B507" s="156"/>
      <c r="C507" s="154"/>
      <c r="D507" s="100"/>
      <c r="E507" s="357"/>
      <c r="F507" s="156"/>
      <c r="G507" s="154"/>
      <c r="H507" s="100"/>
      <c r="I507" s="357"/>
      <c r="J507" s="156"/>
      <c r="K507" s="154"/>
      <c r="L507" s="100"/>
      <c r="M507" s="357"/>
      <c r="N507" s="156"/>
      <c r="O507" s="154"/>
      <c r="P507" s="100"/>
      <c r="Q507" s="357"/>
      <c r="R507" s="156"/>
      <c r="S507" s="154"/>
      <c r="T507" s="100"/>
      <c r="U507" s="357"/>
      <c r="V507" s="156"/>
      <c r="W507" s="154"/>
      <c r="X507" s="100"/>
      <c r="Y507" s="357"/>
      <c r="Z507" s="100"/>
      <c r="AA507" s="100"/>
      <c r="AB507" s="100"/>
      <c r="AC507" s="357"/>
      <c r="AD507" s="367"/>
      <c r="AE507" s="368"/>
      <c r="AF507" s="98"/>
      <c r="AG507" s="357"/>
      <c r="AH507" s="156"/>
      <c r="AI507" s="305"/>
      <c r="AJ507" s="366"/>
      <c r="AK507" s="357"/>
      <c r="AL507" s="371"/>
      <c r="AM507" s="371"/>
      <c r="AN507" s="371"/>
      <c r="AO507" s="357"/>
      <c r="AP507" s="100"/>
      <c r="AQ507" s="100"/>
      <c r="AR507" s="100"/>
      <c r="AS507" s="357"/>
      <c r="AT507" s="100"/>
      <c r="AU507" s="100"/>
      <c r="AV507" s="100"/>
    </row>
    <row r="508">
      <c r="A508" s="357"/>
      <c r="B508" s="156"/>
      <c r="C508" s="154"/>
      <c r="D508" s="100"/>
      <c r="E508" s="357"/>
      <c r="F508" s="156"/>
      <c r="G508" s="154"/>
      <c r="H508" s="100"/>
      <c r="I508" s="357"/>
      <c r="J508" s="156"/>
      <c r="K508" s="154"/>
      <c r="L508" s="100"/>
      <c r="M508" s="357"/>
      <c r="N508" s="156"/>
      <c r="O508" s="154"/>
      <c r="P508" s="100"/>
      <c r="Q508" s="357"/>
      <c r="R508" s="156"/>
      <c r="S508" s="154"/>
      <c r="T508" s="100"/>
      <c r="U508" s="357"/>
      <c r="V508" s="156"/>
      <c r="W508" s="154"/>
      <c r="X508" s="100"/>
      <c r="Y508" s="357"/>
      <c r="Z508" s="100"/>
      <c r="AA508" s="100"/>
      <c r="AB508" s="100"/>
      <c r="AC508" s="357"/>
      <c r="AD508" s="367"/>
      <c r="AE508" s="368"/>
      <c r="AF508" s="98"/>
      <c r="AG508" s="357"/>
      <c r="AH508" s="156"/>
      <c r="AI508" s="305"/>
      <c r="AJ508" s="366"/>
      <c r="AK508" s="357"/>
      <c r="AL508" s="371"/>
      <c r="AM508" s="371"/>
      <c r="AN508" s="371"/>
      <c r="AO508" s="357"/>
      <c r="AP508" s="100"/>
      <c r="AQ508" s="100"/>
      <c r="AR508" s="100"/>
      <c r="AS508" s="357"/>
      <c r="AT508" s="100"/>
      <c r="AU508" s="100"/>
      <c r="AV508" s="100"/>
    </row>
    <row r="509">
      <c r="A509" s="357"/>
      <c r="B509" s="156"/>
      <c r="C509" s="154"/>
      <c r="D509" s="100"/>
      <c r="E509" s="357"/>
      <c r="F509" s="156"/>
      <c r="G509" s="154"/>
      <c r="H509" s="100"/>
      <c r="I509" s="357"/>
      <c r="J509" s="156"/>
      <c r="K509" s="154"/>
      <c r="L509" s="100"/>
      <c r="M509" s="357"/>
      <c r="N509" s="156"/>
      <c r="O509" s="154"/>
      <c r="P509" s="100"/>
      <c r="Q509" s="357"/>
      <c r="R509" s="156"/>
      <c r="S509" s="154"/>
      <c r="T509" s="100"/>
      <c r="U509" s="357"/>
      <c r="V509" s="156"/>
      <c r="W509" s="154"/>
      <c r="X509" s="100"/>
      <c r="Y509" s="357"/>
      <c r="Z509" s="100"/>
      <c r="AA509" s="100"/>
      <c r="AB509" s="100"/>
      <c r="AC509" s="357"/>
      <c r="AD509" s="367"/>
      <c r="AE509" s="368"/>
      <c r="AF509" s="98"/>
      <c r="AG509" s="357"/>
      <c r="AH509" s="156"/>
      <c r="AI509" s="305"/>
      <c r="AJ509" s="366"/>
      <c r="AK509" s="357"/>
      <c r="AL509" s="371"/>
      <c r="AM509" s="371"/>
      <c r="AN509" s="371"/>
      <c r="AO509" s="357"/>
      <c r="AP509" s="100"/>
      <c r="AQ509" s="100"/>
      <c r="AR509" s="100"/>
      <c r="AS509" s="357"/>
      <c r="AT509" s="100"/>
      <c r="AU509" s="100"/>
      <c r="AV509" s="100"/>
    </row>
    <row r="510">
      <c r="A510" s="357"/>
      <c r="B510" s="156"/>
      <c r="C510" s="154"/>
      <c r="D510" s="100"/>
      <c r="E510" s="357"/>
      <c r="F510" s="156"/>
      <c r="G510" s="154"/>
      <c r="H510" s="100"/>
      <c r="I510" s="357"/>
      <c r="J510" s="156"/>
      <c r="K510" s="154"/>
      <c r="L510" s="100"/>
      <c r="M510" s="357"/>
      <c r="N510" s="156"/>
      <c r="O510" s="154"/>
      <c r="P510" s="100"/>
      <c r="Q510" s="357"/>
      <c r="R510" s="156"/>
      <c r="S510" s="154"/>
      <c r="T510" s="100"/>
      <c r="U510" s="357"/>
      <c r="V510" s="156"/>
      <c r="W510" s="154"/>
      <c r="X510" s="100"/>
      <c r="Y510" s="357"/>
      <c r="Z510" s="100"/>
      <c r="AA510" s="100"/>
      <c r="AB510" s="100"/>
      <c r="AC510" s="357"/>
      <c r="AD510" s="367"/>
      <c r="AE510" s="368"/>
      <c r="AF510" s="98"/>
      <c r="AG510" s="357"/>
      <c r="AH510" s="156"/>
      <c r="AI510" s="305"/>
      <c r="AJ510" s="366"/>
      <c r="AK510" s="357"/>
      <c r="AL510" s="371"/>
      <c r="AM510" s="371"/>
      <c r="AN510" s="371"/>
      <c r="AO510" s="357"/>
      <c r="AP510" s="100"/>
      <c r="AQ510" s="100"/>
      <c r="AR510" s="100"/>
      <c r="AS510" s="357"/>
      <c r="AT510" s="100"/>
      <c r="AU510" s="100"/>
      <c r="AV510" s="100"/>
    </row>
    <row r="511">
      <c r="A511" s="357"/>
      <c r="B511" s="156"/>
      <c r="C511" s="154"/>
      <c r="D511" s="100"/>
      <c r="E511" s="357"/>
      <c r="F511" s="156"/>
      <c r="G511" s="154"/>
      <c r="H511" s="100"/>
      <c r="I511" s="357"/>
      <c r="J511" s="156"/>
      <c r="K511" s="154"/>
      <c r="L511" s="100"/>
      <c r="M511" s="357"/>
      <c r="N511" s="156"/>
      <c r="O511" s="154"/>
      <c r="P511" s="100"/>
      <c r="Q511" s="357"/>
      <c r="R511" s="156"/>
      <c r="S511" s="154"/>
      <c r="T511" s="100"/>
      <c r="U511" s="357"/>
      <c r="V511" s="156"/>
      <c r="W511" s="154"/>
      <c r="X511" s="100"/>
      <c r="Y511" s="357"/>
      <c r="Z511" s="100"/>
      <c r="AA511" s="100"/>
      <c r="AB511" s="100"/>
      <c r="AC511" s="357"/>
      <c r="AD511" s="367"/>
      <c r="AE511" s="368"/>
      <c r="AF511" s="98"/>
      <c r="AG511" s="357"/>
      <c r="AH511" s="156"/>
      <c r="AI511" s="305"/>
      <c r="AJ511" s="366"/>
      <c r="AK511" s="357"/>
      <c r="AL511" s="371"/>
      <c r="AM511" s="371"/>
      <c r="AN511" s="371"/>
      <c r="AO511" s="357"/>
      <c r="AP511" s="100"/>
      <c r="AQ511" s="100"/>
      <c r="AR511" s="100"/>
      <c r="AS511" s="357"/>
      <c r="AT511" s="100"/>
      <c r="AU511" s="100"/>
      <c r="AV511" s="100"/>
    </row>
    <row r="512">
      <c r="A512" s="357"/>
      <c r="B512" s="156"/>
      <c r="C512" s="154"/>
      <c r="D512" s="100"/>
      <c r="E512" s="357"/>
      <c r="F512" s="156"/>
      <c r="G512" s="154"/>
      <c r="H512" s="100"/>
      <c r="I512" s="357"/>
      <c r="J512" s="156"/>
      <c r="K512" s="154"/>
      <c r="L512" s="100"/>
      <c r="M512" s="357"/>
      <c r="N512" s="156"/>
      <c r="O512" s="154"/>
      <c r="P512" s="100"/>
      <c r="Q512" s="357"/>
      <c r="R512" s="156"/>
      <c r="S512" s="154"/>
      <c r="T512" s="100"/>
      <c r="U512" s="357"/>
      <c r="V512" s="156"/>
      <c r="W512" s="154"/>
      <c r="X512" s="100"/>
      <c r="Y512" s="357"/>
      <c r="Z512" s="100"/>
      <c r="AA512" s="100"/>
      <c r="AB512" s="100"/>
      <c r="AC512" s="357"/>
      <c r="AD512" s="367"/>
      <c r="AE512" s="368"/>
      <c r="AF512" s="98"/>
      <c r="AG512" s="357"/>
      <c r="AH512" s="156"/>
      <c r="AI512" s="305"/>
      <c r="AJ512" s="366"/>
      <c r="AK512" s="357"/>
      <c r="AL512" s="371"/>
      <c r="AM512" s="371"/>
      <c r="AN512" s="371"/>
      <c r="AO512" s="357"/>
      <c r="AP512" s="100"/>
      <c r="AQ512" s="100"/>
      <c r="AR512" s="100"/>
      <c r="AS512" s="357"/>
      <c r="AT512" s="100"/>
      <c r="AU512" s="100"/>
      <c r="AV512" s="100"/>
    </row>
    <row r="513">
      <c r="A513" s="357"/>
      <c r="B513" s="156"/>
      <c r="C513" s="154"/>
      <c r="D513" s="100"/>
      <c r="E513" s="357"/>
      <c r="F513" s="156"/>
      <c r="G513" s="154"/>
      <c r="H513" s="100"/>
      <c r="I513" s="357"/>
      <c r="J513" s="156"/>
      <c r="K513" s="154"/>
      <c r="L513" s="100"/>
      <c r="M513" s="357"/>
      <c r="N513" s="156"/>
      <c r="O513" s="154"/>
      <c r="P513" s="100"/>
      <c r="Q513" s="357"/>
      <c r="R513" s="156"/>
      <c r="S513" s="154"/>
      <c r="T513" s="100"/>
      <c r="U513" s="357"/>
      <c r="V513" s="156"/>
      <c r="W513" s="154"/>
      <c r="X513" s="100"/>
      <c r="Y513" s="357"/>
      <c r="Z513" s="100"/>
      <c r="AA513" s="100"/>
      <c r="AB513" s="100"/>
      <c r="AC513" s="357"/>
      <c r="AD513" s="367"/>
      <c r="AE513" s="368"/>
      <c r="AF513" s="98"/>
      <c r="AG513" s="357"/>
      <c r="AH513" s="156"/>
      <c r="AI513" s="305"/>
      <c r="AJ513" s="366"/>
      <c r="AK513" s="357"/>
      <c r="AL513" s="371"/>
      <c r="AM513" s="371"/>
      <c r="AN513" s="371"/>
      <c r="AO513" s="357"/>
      <c r="AP513" s="100"/>
      <c r="AQ513" s="100"/>
      <c r="AR513" s="100"/>
      <c r="AS513" s="357"/>
      <c r="AT513" s="100"/>
      <c r="AU513" s="100"/>
      <c r="AV513" s="100"/>
    </row>
    <row r="514">
      <c r="A514" s="357"/>
      <c r="B514" s="156"/>
      <c r="C514" s="154"/>
      <c r="D514" s="100"/>
      <c r="E514" s="357"/>
      <c r="F514" s="156"/>
      <c r="G514" s="154"/>
      <c r="H514" s="100"/>
      <c r="I514" s="357"/>
      <c r="J514" s="156"/>
      <c r="K514" s="154"/>
      <c r="L514" s="100"/>
      <c r="M514" s="357"/>
      <c r="N514" s="156"/>
      <c r="O514" s="154"/>
      <c r="P514" s="100"/>
      <c r="Q514" s="357"/>
      <c r="R514" s="156"/>
      <c r="S514" s="154"/>
      <c r="T514" s="100"/>
      <c r="U514" s="357"/>
      <c r="V514" s="156"/>
      <c r="W514" s="154"/>
      <c r="X514" s="100"/>
      <c r="Y514" s="357"/>
      <c r="Z514" s="100"/>
      <c r="AA514" s="100"/>
      <c r="AB514" s="100"/>
      <c r="AC514" s="357"/>
      <c r="AD514" s="367"/>
      <c r="AE514" s="368"/>
      <c r="AF514" s="98"/>
      <c r="AG514" s="357"/>
      <c r="AH514" s="156"/>
      <c r="AI514" s="305"/>
      <c r="AJ514" s="366"/>
      <c r="AK514" s="357"/>
      <c r="AL514" s="371"/>
      <c r="AM514" s="371"/>
      <c r="AN514" s="371"/>
      <c r="AO514" s="357"/>
      <c r="AP514" s="100"/>
      <c r="AQ514" s="100"/>
      <c r="AR514" s="100"/>
      <c r="AS514" s="357"/>
      <c r="AT514" s="100"/>
      <c r="AU514" s="100"/>
      <c r="AV514" s="100"/>
    </row>
    <row r="515">
      <c r="A515" s="357"/>
      <c r="B515" s="156"/>
      <c r="C515" s="154"/>
      <c r="D515" s="100"/>
      <c r="E515" s="357"/>
      <c r="F515" s="156"/>
      <c r="G515" s="154"/>
      <c r="H515" s="100"/>
      <c r="I515" s="357"/>
      <c r="J515" s="156"/>
      <c r="K515" s="154"/>
      <c r="L515" s="100"/>
      <c r="M515" s="357"/>
      <c r="N515" s="156"/>
      <c r="O515" s="154"/>
      <c r="P515" s="100"/>
      <c r="Q515" s="357"/>
      <c r="R515" s="156"/>
      <c r="S515" s="154"/>
      <c r="T515" s="100"/>
      <c r="U515" s="357"/>
      <c r="V515" s="156"/>
      <c r="W515" s="154"/>
      <c r="X515" s="100"/>
      <c r="Y515" s="357"/>
      <c r="Z515" s="100"/>
      <c r="AA515" s="100"/>
      <c r="AB515" s="100"/>
      <c r="AC515" s="357"/>
      <c r="AD515" s="367"/>
      <c r="AE515" s="368"/>
      <c r="AF515" s="98"/>
      <c r="AG515" s="357"/>
      <c r="AH515" s="156"/>
      <c r="AI515" s="305"/>
      <c r="AJ515" s="366"/>
      <c r="AK515" s="357"/>
      <c r="AL515" s="371"/>
      <c r="AM515" s="371"/>
      <c r="AN515" s="371"/>
      <c r="AO515" s="357"/>
      <c r="AP515" s="100"/>
      <c r="AQ515" s="100"/>
      <c r="AR515" s="100"/>
      <c r="AS515" s="357"/>
      <c r="AT515" s="100"/>
      <c r="AU515" s="100"/>
      <c r="AV515" s="100"/>
    </row>
    <row r="516">
      <c r="A516" s="357"/>
      <c r="B516" s="156"/>
      <c r="C516" s="154"/>
      <c r="D516" s="100"/>
      <c r="E516" s="357"/>
      <c r="F516" s="156"/>
      <c r="G516" s="154"/>
      <c r="H516" s="100"/>
      <c r="I516" s="357"/>
      <c r="J516" s="156"/>
      <c r="K516" s="154"/>
      <c r="L516" s="100"/>
      <c r="M516" s="357"/>
      <c r="N516" s="156"/>
      <c r="O516" s="154"/>
      <c r="P516" s="100"/>
      <c r="Q516" s="357"/>
      <c r="R516" s="156"/>
      <c r="S516" s="154"/>
      <c r="T516" s="100"/>
      <c r="U516" s="357"/>
      <c r="V516" s="156"/>
      <c r="W516" s="154"/>
      <c r="X516" s="100"/>
      <c r="Y516" s="357"/>
      <c r="Z516" s="100"/>
      <c r="AA516" s="100"/>
      <c r="AB516" s="100"/>
      <c r="AC516" s="357"/>
      <c r="AD516" s="367"/>
      <c r="AE516" s="368"/>
      <c r="AF516" s="98"/>
      <c r="AG516" s="357"/>
      <c r="AH516" s="156"/>
      <c r="AI516" s="305"/>
      <c r="AJ516" s="366"/>
      <c r="AK516" s="357"/>
      <c r="AL516" s="371"/>
      <c r="AM516" s="371"/>
      <c r="AN516" s="371"/>
      <c r="AO516" s="357"/>
      <c r="AP516" s="100"/>
      <c r="AQ516" s="100"/>
      <c r="AR516" s="100"/>
      <c r="AS516" s="357"/>
      <c r="AT516" s="100"/>
      <c r="AU516" s="100"/>
      <c r="AV516" s="100"/>
    </row>
    <row r="517">
      <c r="A517" s="357"/>
      <c r="B517" s="156"/>
      <c r="C517" s="154"/>
      <c r="D517" s="100"/>
      <c r="E517" s="357"/>
      <c r="F517" s="156"/>
      <c r="G517" s="154"/>
      <c r="H517" s="100"/>
      <c r="I517" s="357"/>
      <c r="J517" s="156"/>
      <c r="K517" s="154"/>
      <c r="L517" s="100"/>
      <c r="M517" s="357"/>
      <c r="N517" s="156"/>
      <c r="O517" s="154"/>
      <c r="P517" s="100"/>
      <c r="Q517" s="357"/>
      <c r="R517" s="156"/>
      <c r="S517" s="154"/>
      <c r="T517" s="100"/>
      <c r="U517" s="357"/>
      <c r="V517" s="156"/>
      <c r="W517" s="154"/>
      <c r="X517" s="100"/>
      <c r="Y517" s="357"/>
      <c r="Z517" s="100"/>
      <c r="AA517" s="100"/>
      <c r="AB517" s="100"/>
      <c r="AC517" s="357"/>
      <c r="AD517" s="367"/>
      <c r="AE517" s="368"/>
      <c r="AF517" s="98"/>
      <c r="AG517" s="357"/>
      <c r="AH517" s="156"/>
      <c r="AI517" s="305"/>
      <c r="AJ517" s="366"/>
      <c r="AK517" s="357"/>
      <c r="AL517" s="371"/>
      <c r="AM517" s="371"/>
      <c r="AN517" s="371"/>
      <c r="AO517" s="357"/>
      <c r="AP517" s="100"/>
      <c r="AQ517" s="100"/>
      <c r="AR517" s="100"/>
      <c r="AS517" s="357"/>
      <c r="AT517" s="100"/>
      <c r="AU517" s="100"/>
      <c r="AV517" s="100"/>
    </row>
    <row r="518">
      <c r="A518" s="357"/>
      <c r="B518" s="156"/>
      <c r="C518" s="154"/>
      <c r="D518" s="100"/>
      <c r="E518" s="357"/>
      <c r="F518" s="156"/>
      <c r="G518" s="154"/>
      <c r="H518" s="100"/>
      <c r="I518" s="357"/>
      <c r="J518" s="156"/>
      <c r="K518" s="154"/>
      <c r="L518" s="100"/>
      <c r="M518" s="357"/>
      <c r="N518" s="156"/>
      <c r="O518" s="154"/>
      <c r="P518" s="100"/>
      <c r="Q518" s="357"/>
      <c r="R518" s="156"/>
      <c r="S518" s="154"/>
      <c r="T518" s="100"/>
      <c r="U518" s="357"/>
      <c r="V518" s="156"/>
      <c r="W518" s="154"/>
      <c r="X518" s="100"/>
      <c r="Y518" s="357"/>
      <c r="Z518" s="100"/>
      <c r="AA518" s="100"/>
      <c r="AB518" s="100"/>
      <c r="AC518" s="357"/>
      <c r="AD518" s="367"/>
      <c r="AE518" s="368"/>
      <c r="AF518" s="98"/>
      <c r="AG518" s="357"/>
      <c r="AH518" s="156"/>
      <c r="AI518" s="305"/>
      <c r="AJ518" s="366"/>
      <c r="AK518" s="357"/>
      <c r="AL518" s="371"/>
      <c r="AM518" s="371"/>
      <c r="AN518" s="371"/>
      <c r="AO518" s="357"/>
      <c r="AP518" s="100"/>
      <c r="AQ518" s="100"/>
      <c r="AR518" s="100"/>
      <c r="AS518" s="357"/>
      <c r="AT518" s="100"/>
      <c r="AU518" s="100"/>
      <c r="AV518" s="100"/>
    </row>
    <row r="519">
      <c r="A519" s="357"/>
      <c r="B519" s="156"/>
      <c r="C519" s="154"/>
      <c r="D519" s="100"/>
      <c r="E519" s="357"/>
      <c r="F519" s="156"/>
      <c r="G519" s="154"/>
      <c r="H519" s="100"/>
      <c r="I519" s="357"/>
      <c r="J519" s="156"/>
      <c r="K519" s="154"/>
      <c r="L519" s="100"/>
      <c r="M519" s="357"/>
      <c r="N519" s="156"/>
      <c r="O519" s="154"/>
      <c r="P519" s="100"/>
      <c r="Q519" s="357"/>
      <c r="R519" s="156"/>
      <c r="S519" s="154"/>
      <c r="T519" s="100"/>
      <c r="U519" s="357"/>
      <c r="V519" s="156"/>
      <c r="W519" s="154"/>
      <c r="X519" s="100"/>
      <c r="Y519" s="357"/>
      <c r="Z519" s="100"/>
      <c r="AA519" s="100"/>
      <c r="AB519" s="100"/>
      <c r="AC519" s="357"/>
      <c r="AD519" s="367"/>
      <c r="AE519" s="368"/>
      <c r="AF519" s="98"/>
      <c r="AG519" s="357"/>
      <c r="AH519" s="156"/>
      <c r="AI519" s="305"/>
      <c r="AJ519" s="366"/>
      <c r="AK519" s="357"/>
      <c r="AL519" s="371"/>
      <c r="AM519" s="371"/>
      <c r="AN519" s="371"/>
      <c r="AO519" s="357"/>
      <c r="AP519" s="100"/>
      <c r="AQ519" s="100"/>
      <c r="AR519" s="100"/>
      <c r="AS519" s="357"/>
      <c r="AT519" s="100"/>
      <c r="AU519" s="100"/>
      <c r="AV519" s="100"/>
    </row>
    <row r="520">
      <c r="A520" s="357"/>
      <c r="B520" s="156"/>
      <c r="C520" s="154"/>
      <c r="D520" s="100"/>
      <c r="E520" s="357"/>
      <c r="F520" s="156"/>
      <c r="G520" s="154"/>
      <c r="H520" s="100"/>
      <c r="I520" s="357"/>
      <c r="J520" s="156"/>
      <c r="K520" s="154"/>
      <c r="L520" s="100"/>
      <c r="M520" s="357"/>
      <c r="N520" s="156"/>
      <c r="O520" s="154"/>
      <c r="P520" s="100"/>
      <c r="Q520" s="357"/>
      <c r="R520" s="156"/>
      <c r="S520" s="154"/>
      <c r="T520" s="100"/>
      <c r="U520" s="357"/>
      <c r="V520" s="156"/>
      <c r="W520" s="154"/>
      <c r="X520" s="100"/>
      <c r="Y520" s="357"/>
      <c r="Z520" s="100"/>
      <c r="AA520" s="100"/>
      <c r="AB520" s="100"/>
      <c r="AC520" s="357"/>
      <c r="AD520" s="367"/>
      <c r="AE520" s="368"/>
      <c r="AF520" s="98"/>
      <c r="AG520" s="357"/>
      <c r="AH520" s="156"/>
      <c r="AI520" s="305"/>
      <c r="AJ520" s="366"/>
      <c r="AK520" s="357"/>
      <c r="AL520" s="371"/>
      <c r="AM520" s="371"/>
      <c r="AN520" s="371"/>
      <c r="AO520" s="357"/>
      <c r="AP520" s="100"/>
      <c r="AQ520" s="100"/>
      <c r="AR520" s="100"/>
      <c r="AS520" s="357"/>
      <c r="AT520" s="100"/>
      <c r="AU520" s="100"/>
      <c r="AV520" s="100"/>
    </row>
    <row r="521">
      <c r="A521" s="357"/>
      <c r="B521" s="156"/>
      <c r="C521" s="154"/>
      <c r="D521" s="100"/>
      <c r="E521" s="357"/>
      <c r="F521" s="156"/>
      <c r="G521" s="154"/>
      <c r="H521" s="100"/>
      <c r="I521" s="357"/>
      <c r="J521" s="156"/>
      <c r="K521" s="154"/>
      <c r="L521" s="100"/>
      <c r="M521" s="357"/>
      <c r="N521" s="156"/>
      <c r="O521" s="154"/>
      <c r="P521" s="100"/>
      <c r="Q521" s="357"/>
      <c r="R521" s="156"/>
      <c r="S521" s="154"/>
      <c r="T521" s="100"/>
      <c r="U521" s="357"/>
      <c r="V521" s="156"/>
      <c r="W521" s="154"/>
      <c r="X521" s="100"/>
      <c r="Y521" s="357"/>
      <c r="Z521" s="100"/>
      <c r="AA521" s="100"/>
      <c r="AB521" s="100"/>
      <c r="AC521" s="357"/>
      <c r="AD521" s="367"/>
      <c r="AE521" s="368"/>
      <c r="AF521" s="98"/>
      <c r="AG521" s="357"/>
      <c r="AH521" s="156"/>
      <c r="AI521" s="305"/>
      <c r="AJ521" s="366"/>
      <c r="AK521" s="357"/>
      <c r="AL521" s="371"/>
      <c r="AM521" s="371"/>
      <c r="AN521" s="371"/>
      <c r="AO521" s="357"/>
      <c r="AP521" s="100"/>
      <c r="AQ521" s="100"/>
      <c r="AR521" s="100"/>
      <c r="AS521" s="357"/>
      <c r="AT521" s="100"/>
      <c r="AU521" s="100"/>
      <c r="AV521" s="100"/>
    </row>
    <row r="522">
      <c r="A522" s="357"/>
      <c r="B522" s="156"/>
      <c r="C522" s="154"/>
      <c r="D522" s="100"/>
      <c r="E522" s="357"/>
      <c r="F522" s="156"/>
      <c r="G522" s="154"/>
      <c r="H522" s="100"/>
      <c r="I522" s="357"/>
      <c r="J522" s="156"/>
      <c r="K522" s="154"/>
      <c r="L522" s="100"/>
      <c r="M522" s="357"/>
      <c r="N522" s="156"/>
      <c r="O522" s="154"/>
      <c r="P522" s="100"/>
      <c r="Q522" s="357"/>
      <c r="R522" s="156"/>
      <c r="S522" s="154"/>
      <c r="T522" s="100"/>
      <c r="U522" s="357"/>
      <c r="V522" s="156"/>
      <c r="W522" s="154"/>
      <c r="X522" s="100"/>
      <c r="Y522" s="357"/>
      <c r="Z522" s="100"/>
      <c r="AA522" s="100"/>
      <c r="AB522" s="100"/>
      <c r="AC522" s="357"/>
      <c r="AD522" s="367"/>
      <c r="AE522" s="368"/>
      <c r="AF522" s="98"/>
      <c r="AG522" s="357"/>
      <c r="AH522" s="156"/>
      <c r="AI522" s="305"/>
      <c r="AJ522" s="366"/>
      <c r="AK522" s="357"/>
      <c r="AL522" s="371"/>
      <c r="AM522" s="371"/>
      <c r="AN522" s="371"/>
      <c r="AO522" s="357"/>
      <c r="AP522" s="100"/>
      <c r="AQ522" s="100"/>
      <c r="AR522" s="100"/>
      <c r="AS522" s="357"/>
      <c r="AT522" s="100"/>
      <c r="AU522" s="100"/>
      <c r="AV522" s="100"/>
    </row>
    <row r="523">
      <c r="A523" s="357"/>
      <c r="B523" s="156"/>
      <c r="C523" s="154"/>
      <c r="D523" s="100"/>
      <c r="E523" s="357"/>
      <c r="F523" s="156"/>
      <c r="G523" s="154"/>
      <c r="H523" s="100"/>
      <c r="I523" s="357"/>
      <c r="J523" s="156"/>
      <c r="K523" s="154"/>
      <c r="L523" s="100"/>
      <c r="M523" s="357"/>
      <c r="N523" s="156"/>
      <c r="O523" s="154"/>
      <c r="P523" s="100"/>
      <c r="Q523" s="357"/>
      <c r="R523" s="156"/>
      <c r="S523" s="154"/>
      <c r="T523" s="100"/>
      <c r="U523" s="357"/>
      <c r="V523" s="156"/>
      <c r="W523" s="154"/>
      <c r="X523" s="100"/>
      <c r="Y523" s="357"/>
      <c r="Z523" s="100"/>
      <c r="AA523" s="100"/>
      <c r="AB523" s="100"/>
      <c r="AC523" s="357"/>
      <c r="AD523" s="367"/>
      <c r="AE523" s="368"/>
      <c r="AF523" s="98"/>
      <c r="AG523" s="357"/>
      <c r="AH523" s="156"/>
      <c r="AI523" s="305"/>
      <c r="AJ523" s="366"/>
      <c r="AK523" s="357"/>
      <c r="AL523" s="371"/>
      <c r="AM523" s="371"/>
      <c r="AN523" s="371"/>
      <c r="AO523" s="357"/>
      <c r="AP523" s="100"/>
      <c r="AQ523" s="100"/>
      <c r="AR523" s="100"/>
      <c r="AS523" s="357"/>
      <c r="AT523" s="100"/>
      <c r="AU523" s="100"/>
      <c r="AV523" s="100"/>
    </row>
    <row r="524">
      <c r="A524" s="357"/>
      <c r="B524" s="156"/>
      <c r="C524" s="154"/>
      <c r="D524" s="100"/>
      <c r="E524" s="357"/>
      <c r="F524" s="156"/>
      <c r="G524" s="154"/>
      <c r="H524" s="100"/>
      <c r="I524" s="357"/>
      <c r="J524" s="156"/>
      <c r="K524" s="154"/>
      <c r="L524" s="100"/>
      <c r="M524" s="357"/>
      <c r="N524" s="156"/>
      <c r="O524" s="154"/>
      <c r="P524" s="100"/>
      <c r="Q524" s="357"/>
      <c r="R524" s="156"/>
      <c r="S524" s="154"/>
      <c r="T524" s="100"/>
      <c r="U524" s="357"/>
      <c r="V524" s="156"/>
      <c r="W524" s="154"/>
      <c r="X524" s="100"/>
      <c r="Y524" s="357"/>
      <c r="Z524" s="100"/>
      <c r="AA524" s="100"/>
      <c r="AB524" s="100"/>
      <c r="AC524" s="357"/>
      <c r="AD524" s="367"/>
      <c r="AE524" s="368"/>
      <c r="AF524" s="98"/>
      <c r="AG524" s="357"/>
      <c r="AH524" s="156"/>
      <c r="AI524" s="305"/>
      <c r="AJ524" s="366"/>
      <c r="AK524" s="357"/>
      <c r="AL524" s="371"/>
      <c r="AM524" s="371"/>
      <c r="AN524" s="371"/>
      <c r="AO524" s="357"/>
      <c r="AP524" s="100"/>
      <c r="AQ524" s="100"/>
      <c r="AR524" s="100"/>
      <c r="AS524" s="357"/>
      <c r="AT524" s="100"/>
      <c r="AU524" s="100"/>
      <c r="AV524" s="100"/>
    </row>
    <row r="525">
      <c r="A525" s="357"/>
      <c r="B525" s="156"/>
      <c r="C525" s="154"/>
      <c r="D525" s="100"/>
      <c r="E525" s="357"/>
      <c r="F525" s="156"/>
      <c r="G525" s="154"/>
      <c r="H525" s="100"/>
      <c r="I525" s="357"/>
      <c r="J525" s="156"/>
      <c r="K525" s="154"/>
      <c r="L525" s="100"/>
      <c r="M525" s="357"/>
      <c r="N525" s="156"/>
      <c r="O525" s="154"/>
      <c r="P525" s="100"/>
      <c r="Q525" s="357"/>
      <c r="R525" s="156"/>
      <c r="S525" s="154"/>
      <c r="T525" s="100"/>
      <c r="U525" s="357"/>
      <c r="V525" s="156"/>
      <c r="W525" s="154"/>
      <c r="X525" s="100"/>
      <c r="Y525" s="357"/>
      <c r="Z525" s="100"/>
      <c r="AA525" s="100"/>
      <c r="AB525" s="100"/>
      <c r="AC525" s="357"/>
      <c r="AD525" s="367"/>
      <c r="AE525" s="368"/>
      <c r="AF525" s="98"/>
      <c r="AG525" s="357"/>
      <c r="AH525" s="156"/>
      <c r="AI525" s="305"/>
      <c r="AJ525" s="366"/>
      <c r="AK525" s="357"/>
      <c r="AL525" s="371"/>
      <c r="AM525" s="371"/>
      <c r="AN525" s="371"/>
      <c r="AO525" s="357"/>
      <c r="AP525" s="100"/>
      <c r="AQ525" s="100"/>
      <c r="AR525" s="100"/>
      <c r="AS525" s="357"/>
      <c r="AT525" s="100"/>
      <c r="AU525" s="100"/>
      <c r="AV525" s="100"/>
    </row>
    <row r="526">
      <c r="A526" s="357"/>
      <c r="B526" s="156"/>
      <c r="C526" s="154"/>
      <c r="D526" s="100"/>
      <c r="E526" s="357"/>
      <c r="F526" s="156"/>
      <c r="G526" s="154"/>
      <c r="H526" s="100"/>
      <c r="I526" s="357"/>
      <c r="J526" s="156"/>
      <c r="K526" s="154"/>
      <c r="L526" s="100"/>
      <c r="M526" s="357"/>
      <c r="N526" s="156"/>
      <c r="O526" s="154"/>
      <c r="P526" s="100"/>
      <c r="Q526" s="357"/>
      <c r="R526" s="156"/>
      <c r="S526" s="154"/>
      <c r="T526" s="100"/>
      <c r="U526" s="357"/>
      <c r="V526" s="156"/>
      <c r="W526" s="154"/>
      <c r="X526" s="100"/>
      <c r="Y526" s="357"/>
      <c r="Z526" s="100"/>
      <c r="AA526" s="100"/>
      <c r="AB526" s="100"/>
      <c r="AC526" s="357"/>
      <c r="AD526" s="367"/>
      <c r="AE526" s="368"/>
      <c r="AF526" s="98"/>
      <c r="AG526" s="357"/>
      <c r="AH526" s="156"/>
      <c r="AI526" s="305"/>
      <c r="AJ526" s="366"/>
      <c r="AK526" s="357"/>
      <c r="AL526" s="371"/>
      <c r="AM526" s="371"/>
      <c r="AN526" s="371"/>
      <c r="AO526" s="357"/>
      <c r="AP526" s="100"/>
      <c r="AQ526" s="100"/>
      <c r="AR526" s="100"/>
      <c r="AS526" s="357"/>
      <c r="AT526" s="100"/>
      <c r="AU526" s="100"/>
      <c r="AV526" s="100"/>
    </row>
    <row r="527">
      <c r="A527" s="357"/>
      <c r="B527" s="156"/>
      <c r="C527" s="154"/>
      <c r="D527" s="100"/>
      <c r="E527" s="357"/>
      <c r="F527" s="156"/>
      <c r="G527" s="154"/>
      <c r="H527" s="100"/>
      <c r="I527" s="357"/>
      <c r="J527" s="156"/>
      <c r="K527" s="154"/>
      <c r="L527" s="100"/>
      <c r="M527" s="357"/>
      <c r="N527" s="156"/>
      <c r="O527" s="154"/>
      <c r="P527" s="100"/>
      <c r="Q527" s="357"/>
      <c r="R527" s="156"/>
      <c r="S527" s="154"/>
      <c r="T527" s="100"/>
      <c r="U527" s="357"/>
      <c r="V527" s="156"/>
      <c r="W527" s="154"/>
      <c r="X527" s="100"/>
      <c r="Y527" s="357"/>
      <c r="Z527" s="100"/>
      <c r="AA527" s="100"/>
      <c r="AB527" s="100"/>
      <c r="AC527" s="357"/>
      <c r="AD527" s="367"/>
      <c r="AE527" s="368"/>
      <c r="AF527" s="98"/>
      <c r="AG527" s="357"/>
      <c r="AH527" s="156"/>
      <c r="AI527" s="305"/>
      <c r="AJ527" s="366"/>
      <c r="AK527" s="357"/>
      <c r="AL527" s="371"/>
      <c r="AM527" s="371"/>
      <c r="AN527" s="371"/>
      <c r="AO527" s="357"/>
      <c r="AP527" s="100"/>
      <c r="AQ527" s="100"/>
      <c r="AR527" s="100"/>
      <c r="AS527" s="357"/>
      <c r="AT527" s="100"/>
      <c r="AU527" s="100"/>
      <c r="AV527" s="100"/>
    </row>
    <row r="528">
      <c r="A528" s="357"/>
      <c r="B528" s="156"/>
      <c r="C528" s="154"/>
      <c r="D528" s="100"/>
      <c r="E528" s="357"/>
      <c r="F528" s="156"/>
      <c r="G528" s="154"/>
      <c r="H528" s="100"/>
      <c r="I528" s="357"/>
      <c r="J528" s="156"/>
      <c r="K528" s="154"/>
      <c r="L528" s="100"/>
      <c r="M528" s="357"/>
      <c r="N528" s="156"/>
      <c r="O528" s="154"/>
      <c r="P528" s="100"/>
      <c r="Q528" s="357"/>
      <c r="R528" s="156"/>
      <c r="S528" s="154"/>
      <c r="T528" s="100"/>
      <c r="U528" s="357"/>
      <c r="V528" s="156"/>
      <c r="W528" s="154"/>
      <c r="X528" s="100"/>
      <c r="Y528" s="357"/>
      <c r="Z528" s="100"/>
      <c r="AA528" s="100"/>
      <c r="AB528" s="100"/>
      <c r="AC528" s="357"/>
      <c r="AD528" s="367"/>
      <c r="AE528" s="368"/>
      <c r="AF528" s="98"/>
      <c r="AG528" s="357"/>
      <c r="AH528" s="156"/>
      <c r="AI528" s="305"/>
      <c r="AJ528" s="366"/>
      <c r="AK528" s="357"/>
      <c r="AL528" s="371"/>
      <c r="AM528" s="371"/>
      <c r="AN528" s="371"/>
      <c r="AO528" s="357"/>
      <c r="AP528" s="100"/>
      <c r="AQ528" s="100"/>
      <c r="AR528" s="100"/>
      <c r="AS528" s="357"/>
      <c r="AT528" s="100"/>
      <c r="AU528" s="100"/>
      <c r="AV528" s="100"/>
    </row>
    <row r="529">
      <c r="A529" s="357"/>
      <c r="B529" s="156"/>
      <c r="C529" s="154"/>
      <c r="D529" s="100"/>
      <c r="E529" s="357"/>
      <c r="F529" s="156"/>
      <c r="G529" s="154"/>
      <c r="H529" s="100"/>
      <c r="I529" s="357"/>
      <c r="J529" s="156"/>
      <c r="K529" s="154"/>
      <c r="L529" s="100"/>
      <c r="M529" s="357"/>
      <c r="N529" s="156"/>
      <c r="O529" s="154"/>
      <c r="P529" s="100"/>
      <c r="Q529" s="357"/>
      <c r="R529" s="156"/>
      <c r="S529" s="154"/>
      <c r="T529" s="100"/>
      <c r="U529" s="357"/>
      <c r="V529" s="156"/>
      <c r="W529" s="154"/>
      <c r="X529" s="100"/>
      <c r="Y529" s="357"/>
      <c r="Z529" s="100"/>
      <c r="AA529" s="100"/>
      <c r="AB529" s="100"/>
      <c r="AC529" s="357"/>
      <c r="AD529" s="367"/>
      <c r="AE529" s="368"/>
      <c r="AF529" s="98"/>
      <c r="AG529" s="357"/>
      <c r="AH529" s="156"/>
      <c r="AI529" s="305"/>
      <c r="AJ529" s="366"/>
      <c r="AK529" s="357"/>
      <c r="AL529" s="371"/>
      <c r="AM529" s="371"/>
      <c r="AN529" s="371"/>
      <c r="AO529" s="357"/>
      <c r="AP529" s="100"/>
      <c r="AQ529" s="100"/>
      <c r="AR529" s="100"/>
      <c r="AS529" s="357"/>
      <c r="AT529" s="100"/>
      <c r="AU529" s="100"/>
      <c r="AV529" s="100"/>
    </row>
    <row r="530">
      <c r="A530" s="357"/>
      <c r="B530" s="156"/>
      <c r="C530" s="154"/>
      <c r="D530" s="100"/>
      <c r="E530" s="357"/>
      <c r="F530" s="156"/>
      <c r="G530" s="154"/>
      <c r="H530" s="100"/>
      <c r="I530" s="357"/>
      <c r="J530" s="156"/>
      <c r="K530" s="154"/>
      <c r="L530" s="100"/>
      <c r="M530" s="357"/>
      <c r="N530" s="156"/>
      <c r="O530" s="154"/>
      <c r="P530" s="100"/>
      <c r="Q530" s="357"/>
      <c r="R530" s="156"/>
      <c r="S530" s="154"/>
      <c r="T530" s="100"/>
      <c r="U530" s="357"/>
      <c r="V530" s="156"/>
      <c r="W530" s="154"/>
      <c r="X530" s="100"/>
      <c r="Y530" s="357"/>
      <c r="Z530" s="100"/>
      <c r="AA530" s="100"/>
      <c r="AB530" s="100"/>
      <c r="AC530" s="357"/>
      <c r="AD530" s="367"/>
      <c r="AE530" s="368"/>
      <c r="AF530" s="98"/>
      <c r="AG530" s="357"/>
      <c r="AH530" s="156"/>
      <c r="AI530" s="305"/>
      <c r="AJ530" s="366"/>
      <c r="AK530" s="357"/>
      <c r="AL530" s="371"/>
      <c r="AM530" s="371"/>
      <c r="AN530" s="371"/>
      <c r="AO530" s="357"/>
      <c r="AP530" s="100"/>
      <c r="AQ530" s="100"/>
      <c r="AR530" s="100"/>
      <c r="AS530" s="357"/>
      <c r="AT530" s="100"/>
      <c r="AU530" s="100"/>
      <c r="AV530" s="100"/>
    </row>
    <row r="531">
      <c r="A531" s="357"/>
      <c r="B531" s="156"/>
      <c r="C531" s="154"/>
      <c r="D531" s="100"/>
      <c r="E531" s="357"/>
      <c r="F531" s="156"/>
      <c r="G531" s="154"/>
      <c r="H531" s="100"/>
      <c r="I531" s="357"/>
      <c r="J531" s="156"/>
      <c r="K531" s="154"/>
      <c r="L531" s="100"/>
      <c r="M531" s="357"/>
      <c r="N531" s="156"/>
      <c r="O531" s="154"/>
      <c r="P531" s="100"/>
      <c r="Q531" s="357"/>
      <c r="R531" s="156"/>
      <c r="S531" s="154"/>
      <c r="T531" s="100"/>
      <c r="U531" s="357"/>
      <c r="V531" s="156"/>
      <c r="W531" s="154"/>
      <c r="X531" s="100"/>
      <c r="Y531" s="357"/>
      <c r="Z531" s="100"/>
      <c r="AA531" s="100"/>
      <c r="AB531" s="100"/>
      <c r="AC531" s="357"/>
      <c r="AD531" s="367"/>
      <c r="AE531" s="368"/>
      <c r="AF531" s="98"/>
      <c r="AG531" s="357"/>
      <c r="AH531" s="156"/>
      <c r="AI531" s="305"/>
      <c r="AJ531" s="366"/>
      <c r="AK531" s="357"/>
      <c r="AL531" s="371"/>
      <c r="AM531" s="371"/>
      <c r="AN531" s="371"/>
      <c r="AO531" s="357"/>
      <c r="AP531" s="100"/>
      <c r="AQ531" s="100"/>
      <c r="AR531" s="100"/>
      <c r="AS531" s="357"/>
      <c r="AT531" s="100"/>
      <c r="AU531" s="100"/>
      <c r="AV531" s="100"/>
    </row>
    <row r="532">
      <c r="A532" s="357"/>
      <c r="B532" s="156"/>
      <c r="C532" s="154"/>
      <c r="D532" s="100"/>
      <c r="E532" s="357"/>
      <c r="F532" s="156"/>
      <c r="G532" s="154"/>
      <c r="H532" s="100"/>
      <c r="I532" s="357"/>
      <c r="J532" s="156"/>
      <c r="K532" s="154"/>
      <c r="L532" s="100"/>
      <c r="M532" s="357"/>
      <c r="N532" s="156"/>
      <c r="O532" s="154"/>
      <c r="P532" s="100"/>
      <c r="Q532" s="357"/>
      <c r="R532" s="156"/>
      <c r="S532" s="154"/>
      <c r="T532" s="100"/>
      <c r="U532" s="357"/>
      <c r="V532" s="156"/>
      <c r="W532" s="154"/>
      <c r="X532" s="100"/>
      <c r="Y532" s="357"/>
      <c r="Z532" s="100"/>
      <c r="AA532" s="100"/>
      <c r="AB532" s="100"/>
      <c r="AC532" s="357"/>
      <c r="AD532" s="367"/>
      <c r="AE532" s="368"/>
      <c r="AF532" s="98"/>
      <c r="AG532" s="357"/>
      <c r="AH532" s="156"/>
      <c r="AI532" s="305"/>
      <c r="AJ532" s="366"/>
      <c r="AK532" s="357"/>
      <c r="AL532" s="371"/>
      <c r="AM532" s="371"/>
      <c r="AN532" s="371"/>
      <c r="AO532" s="357"/>
      <c r="AP532" s="100"/>
      <c r="AQ532" s="100"/>
      <c r="AR532" s="100"/>
      <c r="AS532" s="357"/>
      <c r="AT532" s="100"/>
      <c r="AU532" s="100"/>
      <c r="AV532" s="100"/>
    </row>
    <row r="533">
      <c r="A533" s="357"/>
      <c r="B533" s="156"/>
      <c r="C533" s="154"/>
      <c r="D533" s="100"/>
      <c r="E533" s="357"/>
      <c r="F533" s="156"/>
      <c r="G533" s="154"/>
      <c r="H533" s="100"/>
      <c r="I533" s="357"/>
      <c r="J533" s="156"/>
      <c r="K533" s="154"/>
      <c r="L533" s="100"/>
      <c r="M533" s="357"/>
      <c r="N533" s="156"/>
      <c r="O533" s="154"/>
      <c r="P533" s="100"/>
      <c r="Q533" s="357"/>
      <c r="R533" s="156"/>
      <c r="S533" s="154"/>
      <c r="T533" s="100"/>
      <c r="U533" s="357"/>
      <c r="V533" s="156"/>
      <c r="W533" s="154"/>
      <c r="X533" s="100"/>
      <c r="Y533" s="357"/>
      <c r="Z533" s="100"/>
      <c r="AA533" s="100"/>
      <c r="AB533" s="100"/>
      <c r="AC533" s="357"/>
      <c r="AD533" s="367"/>
      <c r="AE533" s="368"/>
      <c r="AF533" s="98"/>
      <c r="AG533" s="357"/>
      <c r="AH533" s="156"/>
      <c r="AI533" s="305"/>
      <c r="AJ533" s="366"/>
      <c r="AK533" s="357"/>
      <c r="AL533" s="371"/>
      <c r="AM533" s="371"/>
      <c r="AN533" s="371"/>
      <c r="AO533" s="357"/>
      <c r="AP533" s="100"/>
      <c r="AQ533" s="100"/>
      <c r="AR533" s="100"/>
      <c r="AS533" s="357"/>
      <c r="AT533" s="100"/>
      <c r="AU533" s="100"/>
      <c r="AV533" s="100"/>
    </row>
    <row r="534">
      <c r="A534" s="357"/>
      <c r="B534" s="156"/>
      <c r="C534" s="154"/>
      <c r="D534" s="100"/>
      <c r="E534" s="357"/>
      <c r="F534" s="156"/>
      <c r="G534" s="154"/>
      <c r="H534" s="100"/>
      <c r="I534" s="357"/>
      <c r="J534" s="156"/>
      <c r="K534" s="154"/>
      <c r="L534" s="100"/>
      <c r="M534" s="357"/>
      <c r="N534" s="156"/>
      <c r="O534" s="154"/>
      <c r="P534" s="100"/>
      <c r="Q534" s="357"/>
      <c r="R534" s="156"/>
      <c r="S534" s="154"/>
      <c r="T534" s="100"/>
      <c r="U534" s="357"/>
      <c r="V534" s="156"/>
      <c r="W534" s="154"/>
      <c r="X534" s="100"/>
      <c r="Y534" s="357"/>
      <c r="Z534" s="100"/>
      <c r="AA534" s="100"/>
      <c r="AB534" s="100"/>
      <c r="AC534" s="357"/>
      <c r="AD534" s="367"/>
      <c r="AE534" s="368"/>
      <c r="AF534" s="98"/>
      <c r="AG534" s="357"/>
      <c r="AH534" s="156"/>
      <c r="AI534" s="305"/>
      <c r="AJ534" s="366"/>
      <c r="AK534" s="357"/>
      <c r="AL534" s="371"/>
      <c r="AM534" s="371"/>
      <c r="AN534" s="371"/>
      <c r="AO534" s="357"/>
      <c r="AP534" s="100"/>
      <c r="AQ534" s="100"/>
      <c r="AR534" s="100"/>
      <c r="AS534" s="357"/>
      <c r="AT534" s="100"/>
      <c r="AU534" s="100"/>
      <c r="AV534" s="100"/>
    </row>
    <row r="535">
      <c r="A535" s="357"/>
      <c r="B535" s="156"/>
      <c r="C535" s="154"/>
      <c r="D535" s="100"/>
      <c r="E535" s="357"/>
      <c r="F535" s="156"/>
      <c r="G535" s="154"/>
      <c r="H535" s="100"/>
      <c r="I535" s="357"/>
      <c r="J535" s="156"/>
      <c r="K535" s="154"/>
      <c r="L535" s="100"/>
      <c r="M535" s="357"/>
      <c r="N535" s="156"/>
      <c r="O535" s="154"/>
      <c r="P535" s="100"/>
      <c r="Q535" s="357"/>
      <c r="R535" s="156"/>
      <c r="S535" s="154"/>
      <c r="T535" s="100"/>
      <c r="U535" s="357"/>
      <c r="V535" s="156"/>
      <c r="W535" s="154"/>
      <c r="X535" s="100"/>
      <c r="Y535" s="357"/>
      <c r="Z535" s="100"/>
      <c r="AA535" s="100"/>
      <c r="AB535" s="100"/>
      <c r="AC535" s="357"/>
      <c r="AD535" s="367"/>
      <c r="AE535" s="368"/>
      <c r="AF535" s="98"/>
      <c r="AG535" s="357"/>
      <c r="AH535" s="156"/>
      <c r="AI535" s="305"/>
      <c r="AJ535" s="366"/>
      <c r="AK535" s="357"/>
      <c r="AL535" s="371"/>
      <c r="AM535" s="371"/>
      <c r="AN535" s="371"/>
      <c r="AO535" s="357"/>
      <c r="AP535" s="100"/>
      <c r="AQ535" s="100"/>
      <c r="AR535" s="100"/>
      <c r="AS535" s="357"/>
      <c r="AT535" s="100"/>
      <c r="AU535" s="100"/>
      <c r="AV535" s="100"/>
    </row>
    <row r="536">
      <c r="A536" s="357"/>
      <c r="B536" s="156"/>
      <c r="C536" s="154"/>
      <c r="D536" s="100"/>
      <c r="E536" s="357"/>
      <c r="F536" s="156"/>
      <c r="G536" s="154"/>
      <c r="H536" s="100"/>
      <c r="I536" s="357"/>
      <c r="J536" s="156"/>
      <c r="K536" s="154"/>
      <c r="L536" s="100"/>
      <c r="M536" s="357"/>
      <c r="N536" s="156"/>
      <c r="O536" s="154"/>
      <c r="P536" s="100"/>
      <c r="Q536" s="357"/>
      <c r="R536" s="156"/>
      <c r="S536" s="154"/>
      <c r="T536" s="100"/>
      <c r="U536" s="357"/>
      <c r="V536" s="156"/>
      <c r="W536" s="154"/>
      <c r="X536" s="100"/>
      <c r="Y536" s="357"/>
      <c r="Z536" s="100"/>
      <c r="AA536" s="100"/>
      <c r="AB536" s="100"/>
      <c r="AC536" s="357"/>
      <c r="AD536" s="367"/>
      <c r="AE536" s="368"/>
      <c r="AF536" s="98"/>
      <c r="AG536" s="357"/>
      <c r="AH536" s="156"/>
      <c r="AI536" s="305"/>
      <c r="AJ536" s="366"/>
      <c r="AK536" s="357"/>
      <c r="AL536" s="371"/>
      <c r="AM536" s="371"/>
      <c r="AN536" s="371"/>
      <c r="AO536" s="357"/>
      <c r="AP536" s="100"/>
      <c r="AQ536" s="100"/>
      <c r="AR536" s="100"/>
      <c r="AS536" s="357"/>
      <c r="AT536" s="100"/>
      <c r="AU536" s="100"/>
      <c r="AV536" s="100"/>
    </row>
    <row r="537">
      <c r="A537" s="357"/>
      <c r="B537" s="156"/>
      <c r="C537" s="154"/>
      <c r="D537" s="100"/>
      <c r="E537" s="357"/>
      <c r="F537" s="156"/>
      <c r="G537" s="154"/>
      <c r="H537" s="100"/>
      <c r="I537" s="357"/>
      <c r="J537" s="156"/>
      <c r="K537" s="154"/>
      <c r="L537" s="100"/>
      <c r="M537" s="357"/>
      <c r="N537" s="156"/>
      <c r="O537" s="154"/>
      <c r="P537" s="100"/>
      <c r="Q537" s="357"/>
      <c r="R537" s="156"/>
      <c r="S537" s="154"/>
      <c r="T537" s="100"/>
      <c r="U537" s="357"/>
      <c r="V537" s="156"/>
      <c r="W537" s="154"/>
      <c r="X537" s="100"/>
      <c r="Y537" s="357"/>
      <c r="Z537" s="100"/>
      <c r="AA537" s="100"/>
      <c r="AB537" s="100"/>
      <c r="AC537" s="357"/>
      <c r="AD537" s="367"/>
      <c r="AE537" s="368"/>
      <c r="AF537" s="98"/>
      <c r="AG537" s="357"/>
      <c r="AH537" s="156"/>
      <c r="AI537" s="305"/>
      <c r="AJ537" s="366"/>
      <c r="AK537" s="357"/>
      <c r="AL537" s="371"/>
      <c r="AM537" s="371"/>
      <c r="AN537" s="371"/>
      <c r="AO537" s="357"/>
      <c r="AP537" s="100"/>
      <c r="AQ537" s="100"/>
      <c r="AR537" s="100"/>
      <c r="AS537" s="357"/>
      <c r="AT537" s="100"/>
      <c r="AU537" s="100"/>
      <c r="AV537" s="100"/>
    </row>
    <row r="538">
      <c r="A538" s="357"/>
      <c r="B538" s="156"/>
      <c r="C538" s="154"/>
      <c r="D538" s="100"/>
      <c r="E538" s="357"/>
      <c r="F538" s="156"/>
      <c r="G538" s="154"/>
      <c r="H538" s="100"/>
      <c r="I538" s="357"/>
      <c r="J538" s="156"/>
      <c r="K538" s="154"/>
      <c r="L538" s="100"/>
      <c r="M538" s="357"/>
      <c r="N538" s="156"/>
      <c r="O538" s="154"/>
      <c r="P538" s="100"/>
      <c r="Q538" s="357"/>
      <c r="R538" s="156"/>
      <c r="S538" s="154"/>
      <c r="T538" s="100"/>
      <c r="U538" s="357"/>
      <c r="V538" s="156"/>
      <c r="W538" s="154"/>
      <c r="X538" s="100"/>
      <c r="Y538" s="357"/>
      <c r="Z538" s="100"/>
      <c r="AA538" s="100"/>
      <c r="AB538" s="100"/>
      <c r="AC538" s="357"/>
      <c r="AD538" s="367"/>
      <c r="AE538" s="368"/>
      <c r="AF538" s="98"/>
      <c r="AG538" s="357"/>
      <c r="AH538" s="156"/>
      <c r="AI538" s="305"/>
      <c r="AJ538" s="366"/>
      <c r="AK538" s="357"/>
      <c r="AL538" s="371"/>
      <c r="AM538" s="371"/>
      <c r="AN538" s="371"/>
      <c r="AO538" s="357"/>
      <c r="AP538" s="100"/>
      <c r="AQ538" s="100"/>
      <c r="AR538" s="100"/>
      <c r="AS538" s="357"/>
      <c r="AT538" s="100"/>
      <c r="AU538" s="100"/>
      <c r="AV538" s="100"/>
    </row>
    <row r="539">
      <c r="A539" s="357"/>
      <c r="B539" s="156"/>
      <c r="C539" s="154"/>
      <c r="D539" s="100"/>
      <c r="E539" s="357"/>
      <c r="F539" s="156"/>
      <c r="G539" s="154"/>
      <c r="H539" s="100"/>
      <c r="I539" s="357"/>
      <c r="J539" s="156"/>
      <c r="K539" s="154"/>
      <c r="L539" s="100"/>
      <c r="M539" s="357"/>
      <c r="N539" s="156"/>
      <c r="O539" s="154"/>
      <c r="P539" s="100"/>
      <c r="Q539" s="357"/>
      <c r="R539" s="156"/>
      <c r="S539" s="154"/>
      <c r="T539" s="100"/>
      <c r="U539" s="357"/>
      <c r="V539" s="156"/>
      <c r="W539" s="154"/>
      <c r="X539" s="100"/>
      <c r="Y539" s="357"/>
      <c r="Z539" s="100"/>
      <c r="AA539" s="100"/>
      <c r="AB539" s="100"/>
      <c r="AC539" s="357"/>
      <c r="AD539" s="367"/>
      <c r="AE539" s="368"/>
      <c r="AF539" s="98"/>
      <c r="AG539" s="357"/>
      <c r="AH539" s="156"/>
      <c r="AI539" s="305"/>
      <c r="AJ539" s="366"/>
      <c r="AK539" s="357"/>
      <c r="AL539" s="371"/>
      <c r="AM539" s="371"/>
      <c r="AN539" s="371"/>
      <c r="AO539" s="357"/>
      <c r="AP539" s="100"/>
      <c r="AQ539" s="100"/>
      <c r="AR539" s="100"/>
      <c r="AS539" s="357"/>
      <c r="AT539" s="100"/>
      <c r="AU539" s="100"/>
      <c r="AV539" s="100"/>
    </row>
    <row r="540">
      <c r="A540" s="357"/>
      <c r="B540" s="156"/>
      <c r="C540" s="154"/>
      <c r="D540" s="100"/>
      <c r="E540" s="357"/>
      <c r="F540" s="156"/>
      <c r="G540" s="154"/>
      <c r="H540" s="100"/>
      <c r="I540" s="357"/>
      <c r="J540" s="156"/>
      <c r="K540" s="154"/>
      <c r="L540" s="100"/>
      <c r="M540" s="357"/>
      <c r="N540" s="156"/>
      <c r="O540" s="154"/>
      <c r="P540" s="100"/>
      <c r="Q540" s="357"/>
      <c r="R540" s="156"/>
      <c r="S540" s="154"/>
      <c r="T540" s="100"/>
      <c r="U540" s="357"/>
      <c r="V540" s="156"/>
      <c r="W540" s="154"/>
      <c r="X540" s="100"/>
      <c r="Y540" s="357"/>
      <c r="Z540" s="100"/>
      <c r="AA540" s="100"/>
      <c r="AB540" s="100"/>
      <c r="AC540" s="357"/>
      <c r="AD540" s="367"/>
      <c r="AE540" s="368"/>
      <c r="AF540" s="98"/>
      <c r="AG540" s="357"/>
      <c r="AH540" s="156"/>
      <c r="AI540" s="305"/>
      <c r="AJ540" s="366"/>
      <c r="AK540" s="357"/>
      <c r="AL540" s="371"/>
      <c r="AM540" s="371"/>
      <c r="AN540" s="371"/>
      <c r="AO540" s="357"/>
      <c r="AP540" s="100"/>
      <c r="AQ540" s="100"/>
      <c r="AR540" s="100"/>
      <c r="AS540" s="357"/>
      <c r="AT540" s="100"/>
      <c r="AU540" s="100"/>
      <c r="AV540" s="100"/>
    </row>
    <row r="541">
      <c r="A541" s="357"/>
      <c r="B541" s="156"/>
      <c r="C541" s="154"/>
      <c r="D541" s="100"/>
      <c r="E541" s="357"/>
      <c r="F541" s="156"/>
      <c r="G541" s="154"/>
      <c r="H541" s="100"/>
      <c r="I541" s="357"/>
      <c r="J541" s="156"/>
      <c r="K541" s="154"/>
      <c r="L541" s="100"/>
      <c r="M541" s="357"/>
      <c r="N541" s="156"/>
      <c r="O541" s="154"/>
      <c r="P541" s="100"/>
      <c r="Q541" s="357"/>
      <c r="R541" s="156"/>
      <c r="S541" s="154"/>
      <c r="T541" s="100"/>
      <c r="U541" s="357"/>
      <c r="V541" s="156"/>
      <c r="W541" s="154"/>
      <c r="X541" s="100"/>
      <c r="Y541" s="357"/>
      <c r="Z541" s="100"/>
      <c r="AA541" s="100"/>
      <c r="AB541" s="100"/>
      <c r="AC541" s="357"/>
      <c r="AD541" s="367"/>
      <c r="AE541" s="368"/>
      <c r="AF541" s="98"/>
      <c r="AG541" s="357"/>
      <c r="AH541" s="156"/>
      <c r="AI541" s="305"/>
      <c r="AJ541" s="366"/>
      <c r="AK541" s="357"/>
      <c r="AL541" s="371"/>
      <c r="AM541" s="371"/>
      <c r="AN541" s="371"/>
      <c r="AO541" s="357"/>
      <c r="AP541" s="100"/>
      <c r="AQ541" s="100"/>
      <c r="AR541" s="100"/>
      <c r="AS541" s="357"/>
      <c r="AT541" s="100"/>
      <c r="AU541" s="100"/>
      <c r="AV541" s="100"/>
    </row>
    <row r="542">
      <c r="A542" s="357"/>
      <c r="B542" s="156"/>
      <c r="C542" s="154"/>
      <c r="D542" s="100"/>
      <c r="E542" s="357"/>
      <c r="F542" s="156"/>
      <c r="G542" s="154"/>
      <c r="H542" s="100"/>
      <c r="I542" s="357"/>
      <c r="J542" s="156"/>
      <c r="K542" s="154"/>
      <c r="L542" s="100"/>
      <c r="M542" s="357"/>
      <c r="N542" s="156"/>
      <c r="O542" s="154"/>
      <c r="P542" s="100"/>
      <c r="Q542" s="357"/>
      <c r="R542" s="156"/>
      <c r="S542" s="154"/>
      <c r="T542" s="100"/>
      <c r="U542" s="357"/>
      <c r="V542" s="156"/>
      <c r="W542" s="154"/>
      <c r="X542" s="100"/>
      <c r="Y542" s="357"/>
      <c r="Z542" s="100"/>
      <c r="AA542" s="100"/>
      <c r="AB542" s="100"/>
      <c r="AC542" s="357"/>
      <c r="AD542" s="367"/>
      <c r="AE542" s="368"/>
      <c r="AF542" s="98"/>
      <c r="AG542" s="357"/>
      <c r="AH542" s="156"/>
      <c r="AI542" s="305"/>
      <c r="AJ542" s="366"/>
      <c r="AK542" s="357"/>
      <c r="AL542" s="371"/>
      <c r="AM542" s="371"/>
      <c r="AN542" s="371"/>
      <c r="AO542" s="357"/>
      <c r="AP542" s="100"/>
      <c r="AQ542" s="100"/>
      <c r="AR542" s="100"/>
      <c r="AS542" s="357"/>
      <c r="AT542" s="100"/>
      <c r="AU542" s="100"/>
      <c r="AV542" s="100"/>
    </row>
    <row r="543">
      <c r="A543" s="357"/>
      <c r="B543" s="156"/>
      <c r="C543" s="154"/>
      <c r="D543" s="100"/>
      <c r="E543" s="357"/>
      <c r="F543" s="156"/>
      <c r="G543" s="154"/>
      <c r="H543" s="100"/>
      <c r="I543" s="357"/>
      <c r="J543" s="156"/>
      <c r="K543" s="154"/>
      <c r="L543" s="100"/>
      <c r="M543" s="357"/>
      <c r="N543" s="156"/>
      <c r="O543" s="154"/>
      <c r="P543" s="100"/>
      <c r="Q543" s="357"/>
      <c r="R543" s="156"/>
      <c r="S543" s="154"/>
      <c r="T543" s="100"/>
      <c r="U543" s="357"/>
      <c r="V543" s="156"/>
      <c r="W543" s="154"/>
      <c r="X543" s="100"/>
      <c r="Y543" s="357"/>
      <c r="Z543" s="100"/>
      <c r="AA543" s="100"/>
      <c r="AB543" s="100"/>
      <c r="AC543" s="357"/>
      <c r="AD543" s="367"/>
      <c r="AE543" s="368"/>
      <c r="AF543" s="98"/>
      <c r="AG543" s="357"/>
      <c r="AH543" s="156"/>
      <c r="AI543" s="305"/>
      <c r="AJ543" s="366"/>
      <c r="AK543" s="357"/>
      <c r="AL543" s="371"/>
      <c r="AM543" s="371"/>
      <c r="AN543" s="371"/>
      <c r="AO543" s="357"/>
      <c r="AP543" s="100"/>
      <c r="AQ543" s="100"/>
      <c r="AR543" s="100"/>
      <c r="AS543" s="357"/>
      <c r="AT543" s="100"/>
      <c r="AU543" s="100"/>
      <c r="AV543" s="100"/>
    </row>
    <row r="544">
      <c r="A544" s="357"/>
      <c r="B544" s="156"/>
      <c r="C544" s="154"/>
      <c r="D544" s="100"/>
      <c r="E544" s="357"/>
      <c r="F544" s="156"/>
      <c r="G544" s="154"/>
      <c r="H544" s="100"/>
      <c r="I544" s="357"/>
      <c r="J544" s="156"/>
      <c r="K544" s="154"/>
      <c r="L544" s="100"/>
      <c r="M544" s="357"/>
      <c r="N544" s="156"/>
      <c r="O544" s="154"/>
      <c r="P544" s="100"/>
      <c r="Q544" s="357"/>
      <c r="R544" s="156"/>
      <c r="S544" s="154"/>
      <c r="T544" s="100"/>
      <c r="U544" s="357"/>
      <c r="V544" s="156"/>
      <c r="W544" s="154"/>
      <c r="X544" s="100"/>
      <c r="Y544" s="357"/>
      <c r="Z544" s="100"/>
      <c r="AA544" s="100"/>
      <c r="AB544" s="100"/>
      <c r="AC544" s="357"/>
      <c r="AD544" s="367"/>
      <c r="AE544" s="368"/>
      <c r="AF544" s="98"/>
      <c r="AG544" s="357"/>
      <c r="AH544" s="156"/>
      <c r="AI544" s="305"/>
      <c r="AJ544" s="366"/>
      <c r="AK544" s="357"/>
      <c r="AL544" s="371"/>
      <c r="AM544" s="371"/>
      <c r="AN544" s="371"/>
      <c r="AO544" s="357"/>
      <c r="AP544" s="100"/>
      <c r="AQ544" s="100"/>
      <c r="AR544" s="100"/>
      <c r="AS544" s="357"/>
      <c r="AT544" s="100"/>
      <c r="AU544" s="100"/>
      <c r="AV544" s="100"/>
    </row>
    <row r="545">
      <c r="A545" s="357"/>
      <c r="B545" s="156"/>
      <c r="C545" s="154"/>
      <c r="D545" s="100"/>
      <c r="E545" s="357"/>
      <c r="F545" s="156"/>
      <c r="G545" s="154"/>
      <c r="H545" s="100"/>
      <c r="I545" s="357"/>
      <c r="J545" s="156"/>
      <c r="K545" s="154"/>
      <c r="L545" s="100"/>
      <c r="M545" s="357"/>
      <c r="N545" s="156"/>
      <c r="O545" s="154"/>
      <c r="P545" s="100"/>
      <c r="Q545" s="357"/>
      <c r="R545" s="156"/>
      <c r="S545" s="154"/>
      <c r="T545" s="100"/>
      <c r="U545" s="357"/>
      <c r="V545" s="156"/>
      <c r="W545" s="154"/>
      <c r="X545" s="100"/>
      <c r="Y545" s="357"/>
      <c r="Z545" s="100"/>
      <c r="AA545" s="100"/>
      <c r="AB545" s="100"/>
      <c r="AC545" s="357"/>
      <c r="AD545" s="367"/>
      <c r="AE545" s="368"/>
      <c r="AF545" s="98"/>
      <c r="AG545" s="357"/>
      <c r="AH545" s="156"/>
      <c r="AI545" s="305"/>
      <c r="AJ545" s="366"/>
      <c r="AK545" s="357"/>
      <c r="AL545" s="371"/>
      <c r="AM545" s="371"/>
      <c r="AN545" s="371"/>
      <c r="AO545" s="357"/>
      <c r="AP545" s="100"/>
      <c r="AQ545" s="100"/>
      <c r="AR545" s="100"/>
      <c r="AS545" s="357"/>
      <c r="AT545" s="100"/>
      <c r="AU545" s="100"/>
      <c r="AV545" s="100"/>
    </row>
    <row r="546">
      <c r="A546" s="357"/>
      <c r="B546" s="156"/>
      <c r="C546" s="154"/>
      <c r="D546" s="100"/>
      <c r="E546" s="357"/>
      <c r="F546" s="156"/>
      <c r="G546" s="154"/>
      <c r="H546" s="100"/>
      <c r="I546" s="357"/>
      <c r="J546" s="156"/>
      <c r="K546" s="154"/>
      <c r="L546" s="100"/>
      <c r="M546" s="357"/>
      <c r="N546" s="156"/>
      <c r="O546" s="154"/>
      <c r="P546" s="100"/>
      <c r="Q546" s="357"/>
      <c r="R546" s="156"/>
      <c r="S546" s="154"/>
      <c r="T546" s="100"/>
      <c r="U546" s="357"/>
      <c r="V546" s="156"/>
      <c r="W546" s="154"/>
      <c r="X546" s="100"/>
      <c r="Y546" s="357"/>
      <c r="Z546" s="100"/>
      <c r="AA546" s="100"/>
      <c r="AB546" s="100"/>
      <c r="AC546" s="357"/>
      <c r="AD546" s="367"/>
      <c r="AE546" s="368"/>
      <c r="AF546" s="98"/>
      <c r="AG546" s="357"/>
      <c r="AH546" s="156"/>
      <c r="AI546" s="305"/>
      <c r="AJ546" s="366"/>
      <c r="AK546" s="357"/>
      <c r="AL546" s="371"/>
      <c r="AM546" s="371"/>
      <c r="AN546" s="371"/>
      <c r="AO546" s="357"/>
      <c r="AP546" s="100"/>
      <c r="AQ546" s="100"/>
      <c r="AR546" s="100"/>
      <c r="AS546" s="357"/>
      <c r="AT546" s="100"/>
      <c r="AU546" s="100"/>
      <c r="AV546" s="100"/>
    </row>
    <row r="547">
      <c r="A547" s="357"/>
      <c r="B547" s="156"/>
      <c r="C547" s="154"/>
      <c r="D547" s="100"/>
      <c r="E547" s="357"/>
      <c r="F547" s="156"/>
      <c r="G547" s="154"/>
      <c r="H547" s="100"/>
      <c r="I547" s="357"/>
      <c r="J547" s="156"/>
      <c r="K547" s="154"/>
      <c r="L547" s="100"/>
      <c r="M547" s="357"/>
      <c r="N547" s="156"/>
      <c r="O547" s="154"/>
      <c r="P547" s="100"/>
      <c r="Q547" s="357"/>
      <c r="R547" s="156"/>
      <c r="S547" s="154"/>
      <c r="T547" s="100"/>
      <c r="U547" s="357"/>
      <c r="V547" s="156"/>
      <c r="W547" s="154"/>
      <c r="X547" s="100"/>
      <c r="Y547" s="357"/>
      <c r="Z547" s="100"/>
      <c r="AA547" s="100"/>
      <c r="AB547" s="100"/>
      <c r="AC547" s="357"/>
      <c r="AD547" s="367"/>
      <c r="AE547" s="368"/>
      <c r="AF547" s="98"/>
      <c r="AG547" s="357"/>
      <c r="AH547" s="156"/>
      <c r="AI547" s="305"/>
      <c r="AJ547" s="366"/>
      <c r="AK547" s="357"/>
      <c r="AL547" s="371"/>
      <c r="AM547" s="371"/>
      <c r="AN547" s="371"/>
      <c r="AO547" s="357"/>
      <c r="AP547" s="100"/>
      <c r="AQ547" s="100"/>
      <c r="AR547" s="100"/>
      <c r="AS547" s="357"/>
      <c r="AT547" s="100"/>
      <c r="AU547" s="100"/>
      <c r="AV547" s="100"/>
    </row>
    <row r="548">
      <c r="A548" s="357"/>
      <c r="B548" s="156"/>
      <c r="C548" s="154"/>
      <c r="D548" s="100"/>
      <c r="E548" s="357"/>
      <c r="F548" s="156"/>
      <c r="G548" s="154"/>
      <c r="H548" s="100"/>
      <c r="I548" s="357"/>
      <c r="J548" s="156"/>
      <c r="K548" s="154"/>
      <c r="L548" s="100"/>
      <c r="M548" s="357"/>
      <c r="N548" s="156"/>
      <c r="O548" s="154"/>
      <c r="P548" s="100"/>
      <c r="Q548" s="357"/>
      <c r="R548" s="156"/>
      <c r="S548" s="154"/>
      <c r="T548" s="100"/>
      <c r="U548" s="357"/>
      <c r="V548" s="156"/>
      <c r="W548" s="154"/>
      <c r="X548" s="100"/>
      <c r="Y548" s="357"/>
      <c r="Z548" s="100"/>
      <c r="AA548" s="100"/>
      <c r="AB548" s="100"/>
      <c r="AC548" s="357"/>
      <c r="AD548" s="367"/>
      <c r="AE548" s="368"/>
      <c r="AF548" s="98"/>
      <c r="AG548" s="357"/>
      <c r="AH548" s="156"/>
      <c r="AI548" s="305"/>
      <c r="AJ548" s="366"/>
      <c r="AK548" s="357"/>
      <c r="AL548" s="371"/>
      <c r="AM548" s="371"/>
      <c r="AN548" s="371"/>
      <c r="AO548" s="357"/>
      <c r="AP548" s="100"/>
      <c r="AQ548" s="100"/>
      <c r="AR548" s="100"/>
      <c r="AS548" s="357"/>
      <c r="AT548" s="100"/>
      <c r="AU548" s="100"/>
      <c r="AV548" s="100"/>
    </row>
    <row r="549">
      <c r="A549" s="357"/>
      <c r="B549" s="156"/>
      <c r="C549" s="154"/>
      <c r="D549" s="100"/>
      <c r="E549" s="357"/>
      <c r="F549" s="156"/>
      <c r="G549" s="154"/>
      <c r="H549" s="100"/>
      <c r="I549" s="357"/>
      <c r="J549" s="156"/>
      <c r="K549" s="154"/>
      <c r="L549" s="100"/>
      <c r="M549" s="357"/>
      <c r="N549" s="156"/>
      <c r="O549" s="154"/>
      <c r="P549" s="100"/>
      <c r="Q549" s="357"/>
      <c r="R549" s="156"/>
      <c r="S549" s="154"/>
      <c r="T549" s="100"/>
      <c r="U549" s="357"/>
      <c r="V549" s="156"/>
      <c r="W549" s="154"/>
      <c r="X549" s="100"/>
      <c r="Y549" s="357"/>
      <c r="Z549" s="100"/>
      <c r="AA549" s="100"/>
      <c r="AB549" s="100"/>
      <c r="AC549" s="357"/>
      <c r="AD549" s="367"/>
      <c r="AE549" s="368"/>
      <c r="AF549" s="98"/>
      <c r="AG549" s="357"/>
      <c r="AH549" s="156"/>
      <c r="AI549" s="305"/>
      <c r="AJ549" s="366"/>
      <c r="AK549" s="357"/>
      <c r="AL549" s="371"/>
      <c r="AM549" s="371"/>
      <c r="AN549" s="371"/>
      <c r="AO549" s="357"/>
      <c r="AP549" s="100"/>
      <c r="AQ549" s="100"/>
      <c r="AR549" s="100"/>
      <c r="AS549" s="357"/>
      <c r="AT549" s="100"/>
      <c r="AU549" s="100"/>
      <c r="AV549" s="100"/>
    </row>
    <row r="550">
      <c r="A550" s="357"/>
      <c r="B550" s="156"/>
      <c r="C550" s="154"/>
      <c r="D550" s="100"/>
      <c r="E550" s="357"/>
      <c r="F550" s="156"/>
      <c r="G550" s="154"/>
      <c r="H550" s="100"/>
      <c r="I550" s="357"/>
      <c r="J550" s="156"/>
      <c r="K550" s="154"/>
      <c r="L550" s="100"/>
      <c r="M550" s="357"/>
      <c r="N550" s="156"/>
      <c r="O550" s="154"/>
      <c r="P550" s="100"/>
      <c r="Q550" s="357"/>
      <c r="R550" s="156"/>
      <c r="S550" s="154"/>
      <c r="T550" s="100"/>
      <c r="U550" s="357"/>
      <c r="V550" s="156"/>
      <c r="W550" s="154"/>
      <c r="X550" s="100"/>
      <c r="Y550" s="357"/>
      <c r="Z550" s="100"/>
      <c r="AA550" s="100"/>
      <c r="AB550" s="100"/>
      <c r="AC550" s="357"/>
      <c r="AD550" s="367"/>
      <c r="AE550" s="368"/>
      <c r="AF550" s="98"/>
      <c r="AG550" s="357"/>
      <c r="AH550" s="156"/>
      <c r="AI550" s="305"/>
      <c r="AJ550" s="366"/>
      <c r="AK550" s="357"/>
      <c r="AL550" s="371"/>
      <c r="AM550" s="371"/>
      <c r="AN550" s="371"/>
      <c r="AO550" s="357"/>
      <c r="AP550" s="100"/>
      <c r="AQ550" s="100"/>
      <c r="AR550" s="100"/>
      <c r="AS550" s="357"/>
      <c r="AT550" s="100"/>
      <c r="AU550" s="100"/>
      <c r="AV550" s="100"/>
    </row>
    <row r="551">
      <c r="A551" s="357"/>
      <c r="B551" s="156"/>
      <c r="C551" s="154"/>
      <c r="D551" s="100"/>
      <c r="E551" s="357"/>
      <c r="F551" s="156"/>
      <c r="G551" s="154"/>
      <c r="H551" s="100"/>
      <c r="I551" s="357"/>
      <c r="J551" s="156"/>
      <c r="K551" s="154"/>
      <c r="L551" s="100"/>
      <c r="M551" s="357"/>
      <c r="N551" s="156"/>
      <c r="O551" s="154"/>
      <c r="P551" s="100"/>
      <c r="Q551" s="357"/>
      <c r="R551" s="156"/>
      <c r="S551" s="154"/>
      <c r="T551" s="100"/>
      <c r="U551" s="357"/>
      <c r="V551" s="156"/>
      <c r="W551" s="154"/>
      <c r="X551" s="100"/>
      <c r="Y551" s="357"/>
      <c r="Z551" s="100"/>
      <c r="AA551" s="100"/>
      <c r="AB551" s="100"/>
      <c r="AC551" s="357"/>
      <c r="AD551" s="367"/>
      <c r="AE551" s="368"/>
      <c r="AF551" s="98"/>
      <c r="AG551" s="357"/>
      <c r="AH551" s="156"/>
      <c r="AI551" s="305"/>
      <c r="AJ551" s="366"/>
      <c r="AK551" s="357"/>
      <c r="AL551" s="371"/>
      <c r="AM551" s="371"/>
      <c r="AN551" s="371"/>
      <c r="AO551" s="357"/>
      <c r="AP551" s="100"/>
      <c r="AQ551" s="100"/>
      <c r="AR551" s="100"/>
      <c r="AS551" s="357"/>
      <c r="AT551" s="100"/>
      <c r="AU551" s="100"/>
      <c r="AV551" s="100"/>
    </row>
    <row r="552">
      <c r="A552" s="357"/>
      <c r="B552" s="156"/>
      <c r="C552" s="154"/>
      <c r="D552" s="100"/>
      <c r="E552" s="357"/>
      <c r="F552" s="156"/>
      <c r="G552" s="154"/>
      <c r="H552" s="100"/>
      <c r="I552" s="357"/>
      <c r="J552" s="156"/>
      <c r="K552" s="154"/>
      <c r="L552" s="100"/>
      <c r="M552" s="357"/>
      <c r="N552" s="156"/>
      <c r="O552" s="154"/>
      <c r="P552" s="100"/>
      <c r="Q552" s="357"/>
      <c r="R552" s="156"/>
      <c r="S552" s="154"/>
      <c r="T552" s="100"/>
      <c r="U552" s="357"/>
      <c r="V552" s="156"/>
      <c r="W552" s="154"/>
      <c r="X552" s="100"/>
      <c r="Y552" s="357"/>
      <c r="Z552" s="100"/>
      <c r="AA552" s="100"/>
      <c r="AB552" s="100"/>
      <c r="AC552" s="357"/>
      <c r="AD552" s="367"/>
      <c r="AE552" s="368"/>
      <c r="AF552" s="98"/>
      <c r="AG552" s="357"/>
      <c r="AH552" s="156"/>
      <c r="AI552" s="305"/>
      <c r="AJ552" s="366"/>
      <c r="AK552" s="357"/>
      <c r="AL552" s="371"/>
      <c r="AM552" s="371"/>
      <c r="AN552" s="371"/>
      <c r="AO552" s="357"/>
      <c r="AP552" s="100"/>
      <c r="AQ552" s="100"/>
      <c r="AR552" s="100"/>
      <c r="AS552" s="357"/>
      <c r="AT552" s="100"/>
      <c r="AU552" s="100"/>
      <c r="AV552" s="100"/>
    </row>
    <row r="553">
      <c r="A553" s="357"/>
      <c r="B553" s="156"/>
      <c r="C553" s="154"/>
      <c r="D553" s="100"/>
      <c r="E553" s="357"/>
      <c r="F553" s="156"/>
      <c r="G553" s="154"/>
      <c r="H553" s="100"/>
      <c r="I553" s="357"/>
      <c r="J553" s="156"/>
      <c r="K553" s="154"/>
      <c r="L553" s="100"/>
      <c r="M553" s="357"/>
      <c r="N553" s="156"/>
      <c r="O553" s="154"/>
      <c r="P553" s="100"/>
      <c r="Q553" s="357"/>
      <c r="R553" s="156"/>
      <c r="S553" s="154"/>
      <c r="T553" s="100"/>
      <c r="U553" s="357"/>
      <c r="V553" s="156"/>
      <c r="W553" s="154"/>
      <c r="X553" s="100"/>
      <c r="Y553" s="357"/>
      <c r="Z553" s="100"/>
      <c r="AA553" s="100"/>
      <c r="AB553" s="100"/>
      <c r="AC553" s="357"/>
      <c r="AD553" s="367"/>
      <c r="AE553" s="368"/>
      <c r="AF553" s="98"/>
      <c r="AG553" s="357"/>
      <c r="AH553" s="156"/>
      <c r="AI553" s="305"/>
      <c r="AJ553" s="366"/>
      <c r="AK553" s="357"/>
      <c r="AL553" s="371"/>
      <c r="AM553" s="371"/>
      <c r="AN553" s="371"/>
      <c r="AO553" s="357"/>
      <c r="AP553" s="100"/>
      <c r="AQ553" s="100"/>
      <c r="AR553" s="100"/>
      <c r="AS553" s="357"/>
      <c r="AT553" s="100"/>
      <c r="AU553" s="100"/>
      <c r="AV553" s="100"/>
    </row>
    <row r="554">
      <c r="A554" s="357"/>
      <c r="B554" s="156"/>
      <c r="C554" s="154"/>
      <c r="D554" s="100"/>
      <c r="E554" s="357"/>
      <c r="F554" s="156"/>
      <c r="G554" s="154"/>
      <c r="H554" s="100"/>
      <c r="I554" s="357"/>
      <c r="J554" s="156"/>
      <c r="K554" s="154"/>
      <c r="L554" s="100"/>
      <c r="M554" s="357"/>
      <c r="N554" s="156"/>
      <c r="O554" s="154"/>
      <c r="P554" s="100"/>
      <c r="Q554" s="357"/>
      <c r="R554" s="156"/>
      <c r="S554" s="154"/>
      <c r="T554" s="100"/>
      <c r="U554" s="357"/>
      <c r="V554" s="156"/>
      <c r="W554" s="154"/>
      <c r="X554" s="100"/>
      <c r="Y554" s="357"/>
      <c r="Z554" s="100"/>
      <c r="AA554" s="100"/>
      <c r="AB554" s="100"/>
      <c r="AC554" s="357"/>
      <c r="AD554" s="367"/>
      <c r="AE554" s="368"/>
      <c r="AF554" s="98"/>
      <c r="AG554" s="357"/>
      <c r="AH554" s="156"/>
      <c r="AI554" s="305"/>
      <c r="AJ554" s="366"/>
      <c r="AK554" s="357"/>
      <c r="AL554" s="371"/>
      <c r="AM554" s="371"/>
      <c r="AN554" s="371"/>
      <c r="AO554" s="357"/>
      <c r="AP554" s="100"/>
      <c r="AQ554" s="100"/>
      <c r="AR554" s="100"/>
      <c r="AS554" s="357"/>
      <c r="AT554" s="100"/>
      <c r="AU554" s="100"/>
      <c r="AV554" s="100"/>
    </row>
    <row r="555">
      <c r="A555" s="357"/>
      <c r="B555" s="156"/>
      <c r="C555" s="154"/>
      <c r="D555" s="100"/>
      <c r="E555" s="357"/>
      <c r="F555" s="156"/>
      <c r="G555" s="154"/>
      <c r="H555" s="100"/>
      <c r="I555" s="357"/>
      <c r="J555" s="156"/>
      <c r="K555" s="154"/>
      <c r="L555" s="100"/>
      <c r="M555" s="357"/>
      <c r="N555" s="156"/>
      <c r="O555" s="154"/>
      <c r="P555" s="100"/>
      <c r="Q555" s="357"/>
      <c r="R555" s="156"/>
      <c r="S555" s="154"/>
      <c r="T555" s="100"/>
      <c r="U555" s="357"/>
      <c r="V555" s="156"/>
      <c r="W555" s="154"/>
      <c r="X555" s="100"/>
      <c r="Y555" s="357"/>
      <c r="Z555" s="100"/>
      <c r="AA555" s="100"/>
      <c r="AB555" s="100"/>
      <c r="AC555" s="357"/>
      <c r="AD555" s="367"/>
      <c r="AE555" s="368"/>
      <c r="AF555" s="98"/>
      <c r="AG555" s="357"/>
      <c r="AH555" s="156"/>
      <c r="AI555" s="305"/>
      <c r="AJ555" s="366"/>
      <c r="AK555" s="357"/>
      <c r="AL555" s="371"/>
      <c r="AM555" s="371"/>
      <c r="AN555" s="371"/>
      <c r="AO555" s="357"/>
      <c r="AP555" s="100"/>
      <c r="AQ555" s="100"/>
      <c r="AR555" s="100"/>
      <c r="AS555" s="357"/>
      <c r="AT555" s="100"/>
      <c r="AU555" s="100"/>
      <c r="AV555" s="100"/>
    </row>
    <row r="556">
      <c r="A556" s="357"/>
      <c r="B556" s="156"/>
      <c r="C556" s="154"/>
      <c r="D556" s="100"/>
      <c r="E556" s="357"/>
      <c r="F556" s="156"/>
      <c r="G556" s="154"/>
      <c r="H556" s="100"/>
      <c r="I556" s="357"/>
      <c r="J556" s="156"/>
      <c r="K556" s="154"/>
      <c r="L556" s="100"/>
      <c r="M556" s="357"/>
      <c r="N556" s="156"/>
      <c r="O556" s="154"/>
      <c r="P556" s="100"/>
      <c r="Q556" s="357"/>
      <c r="R556" s="156"/>
      <c r="S556" s="154"/>
      <c r="T556" s="100"/>
      <c r="U556" s="357"/>
      <c r="V556" s="156"/>
      <c r="W556" s="154"/>
      <c r="X556" s="100"/>
      <c r="Y556" s="357"/>
      <c r="Z556" s="100"/>
      <c r="AA556" s="100"/>
      <c r="AB556" s="100"/>
      <c r="AC556" s="357"/>
      <c r="AD556" s="367"/>
      <c r="AE556" s="368"/>
      <c r="AF556" s="98"/>
      <c r="AG556" s="357"/>
      <c r="AH556" s="156"/>
      <c r="AI556" s="305"/>
      <c r="AJ556" s="366"/>
      <c r="AK556" s="357"/>
      <c r="AL556" s="371"/>
      <c r="AM556" s="371"/>
      <c r="AN556" s="371"/>
      <c r="AO556" s="357"/>
      <c r="AP556" s="100"/>
      <c r="AQ556" s="100"/>
      <c r="AR556" s="100"/>
      <c r="AS556" s="357"/>
      <c r="AT556" s="100"/>
      <c r="AU556" s="100"/>
      <c r="AV556" s="100"/>
    </row>
    <row r="557">
      <c r="A557" s="357"/>
      <c r="B557" s="156"/>
      <c r="C557" s="154"/>
      <c r="D557" s="100"/>
      <c r="E557" s="357"/>
      <c r="F557" s="156"/>
      <c r="G557" s="154"/>
      <c r="H557" s="100"/>
      <c r="I557" s="357"/>
      <c r="J557" s="156"/>
      <c r="K557" s="154"/>
      <c r="L557" s="100"/>
      <c r="M557" s="357"/>
      <c r="N557" s="156"/>
      <c r="O557" s="154"/>
      <c r="P557" s="100"/>
      <c r="Q557" s="357"/>
      <c r="R557" s="156"/>
      <c r="S557" s="154"/>
      <c r="T557" s="100"/>
      <c r="U557" s="357"/>
      <c r="V557" s="156"/>
      <c r="W557" s="154"/>
      <c r="X557" s="100"/>
      <c r="Y557" s="357"/>
      <c r="Z557" s="100"/>
      <c r="AA557" s="100"/>
      <c r="AB557" s="100"/>
      <c r="AC557" s="357"/>
      <c r="AD557" s="367"/>
      <c r="AE557" s="368"/>
      <c r="AF557" s="98"/>
      <c r="AG557" s="357"/>
      <c r="AH557" s="156"/>
      <c r="AI557" s="305"/>
      <c r="AJ557" s="366"/>
      <c r="AK557" s="357"/>
      <c r="AL557" s="371"/>
      <c r="AM557" s="371"/>
      <c r="AN557" s="371"/>
      <c r="AO557" s="357"/>
      <c r="AP557" s="100"/>
      <c r="AQ557" s="100"/>
      <c r="AR557" s="100"/>
      <c r="AS557" s="357"/>
      <c r="AT557" s="100"/>
      <c r="AU557" s="100"/>
      <c r="AV557" s="100"/>
    </row>
    <row r="558">
      <c r="A558" s="357"/>
      <c r="B558" s="156"/>
      <c r="C558" s="154"/>
      <c r="D558" s="100"/>
      <c r="E558" s="357"/>
      <c r="F558" s="156"/>
      <c r="G558" s="154"/>
      <c r="H558" s="100"/>
      <c r="I558" s="357"/>
      <c r="J558" s="156"/>
      <c r="K558" s="154"/>
      <c r="L558" s="100"/>
      <c r="M558" s="357"/>
      <c r="N558" s="156"/>
      <c r="O558" s="154"/>
      <c r="P558" s="100"/>
      <c r="Q558" s="357"/>
      <c r="R558" s="156"/>
      <c r="S558" s="154"/>
      <c r="T558" s="100"/>
      <c r="U558" s="357"/>
      <c r="V558" s="156"/>
      <c r="W558" s="154"/>
      <c r="X558" s="100"/>
      <c r="Y558" s="357"/>
      <c r="Z558" s="100"/>
      <c r="AA558" s="100"/>
      <c r="AB558" s="100"/>
      <c r="AC558" s="357"/>
      <c r="AD558" s="367"/>
      <c r="AE558" s="368"/>
      <c r="AF558" s="98"/>
      <c r="AG558" s="357"/>
      <c r="AH558" s="156"/>
      <c r="AI558" s="305"/>
      <c r="AJ558" s="366"/>
      <c r="AK558" s="357"/>
      <c r="AL558" s="371"/>
      <c r="AM558" s="371"/>
      <c r="AN558" s="371"/>
      <c r="AO558" s="357"/>
      <c r="AP558" s="100"/>
      <c r="AQ558" s="100"/>
      <c r="AR558" s="100"/>
      <c r="AS558" s="357"/>
      <c r="AT558" s="100"/>
      <c r="AU558" s="100"/>
      <c r="AV558" s="100"/>
    </row>
    <row r="559">
      <c r="A559" s="357"/>
      <c r="B559" s="156"/>
      <c r="C559" s="154"/>
      <c r="D559" s="100"/>
      <c r="E559" s="357"/>
      <c r="F559" s="156"/>
      <c r="G559" s="154"/>
      <c r="H559" s="100"/>
      <c r="I559" s="357"/>
      <c r="J559" s="156"/>
      <c r="K559" s="154"/>
      <c r="L559" s="100"/>
      <c r="M559" s="357"/>
      <c r="N559" s="156"/>
      <c r="O559" s="154"/>
      <c r="P559" s="100"/>
      <c r="Q559" s="357"/>
      <c r="R559" s="156"/>
      <c r="S559" s="154"/>
      <c r="T559" s="100"/>
      <c r="U559" s="357"/>
      <c r="V559" s="156"/>
      <c r="W559" s="154"/>
      <c r="X559" s="100"/>
      <c r="Y559" s="357"/>
      <c r="Z559" s="100"/>
      <c r="AA559" s="100"/>
      <c r="AB559" s="100"/>
      <c r="AC559" s="357"/>
      <c r="AD559" s="367"/>
      <c r="AE559" s="368"/>
      <c r="AF559" s="98"/>
      <c r="AG559" s="357"/>
      <c r="AH559" s="156"/>
      <c r="AI559" s="305"/>
      <c r="AJ559" s="366"/>
      <c r="AK559" s="357"/>
      <c r="AL559" s="371"/>
      <c r="AM559" s="371"/>
      <c r="AN559" s="371"/>
      <c r="AO559" s="357"/>
      <c r="AP559" s="100"/>
      <c r="AQ559" s="100"/>
      <c r="AR559" s="100"/>
      <c r="AS559" s="357"/>
      <c r="AT559" s="100"/>
      <c r="AU559" s="100"/>
      <c r="AV559" s="100"/>
    </row>
    <row r="560">
      <c r="A560" s="357"/>
      <c r="B560" s="156"/>
      <c r="C560" s="154"/>
      <c r="D560" s="100"/>
      <c r="E560" s="357"/>
      <c r="F560" s="156"/>
      <c r="G560" s="154"/>
      <c r="H560" s="100"/>
      <c r="I560" s="357"/>
      <c r="J560" s="156"/>
      <c r="K560" s="154"/>
      <c r="L560" s="100"/>
      <c r="M560" s="357"/>
      <c r="N560" s="156"/>
      <c r="O560" s="154"/>
      <c r="P560" s="100"/>
      <c r="Q560" s="357"/>
      <c r="R560" s="156"/>
      <c r="S560" s="154"/>
      <c r="T560" s="100"/>
      <c r="U560" s="357"/>
      <c r="V560" s="156"/>
      <c r="W560" s="154"/>
      <c r="X560" s="100"/>
      <c r="Y560" s="357"/>
      <c r="Z560" s="100"/>
      <c r="AA560" s="100"/>
      <c r="AB560" s="100"/>
      <c r="AC560" s="357"/>
      <c r="AD560" s="367"/>
      <c r="AE560" s="368"/>
      <c r="AF560" s="98"/>
      <c r="AG560" s="357"/>
      <c r="AH560" s="156"/>
      <c r="AI560" s="305"/>
      <c r="AJ560" s="366"/>
      <c r="AK560" s="357"/>
      <c r="AL560" s="371"/>
      <c r="AM560" s="371"/>
      <c r="AN560" s="371"/>
      <c r="AO560" s="357"/>
      <c r="AP560" s="100"/>
      <c r="AQ560" s="100"/>
      <c r="AR560" s="100"/>
      <c r="AS560" s="357"/>
      <c r="AT560" s="100"/>
      <c r="AU560" s="100"/>
      <c r="AV560" s="100"/>
    </row>
    <row r="561">
      <c r="A561" s="357"/>
      <c r="B561" s="156"/>
      <c r="C561" s="154"/>
      <c r="D561" s="100"/>
      <c r="E561" s="357"/>
      <c r="F561" s="156"/>
      <c r="G561" s="154"/>
      <c r="H561" s="100"/>
      <c r="I561" s="357"/>
      <c r="J561" s="156"/>
      <c r="K561" s="154"/>
      <c r="L561" s="100"/>
      <c r="M561" s="357"/>
      <c r="N561" s="156"/>
      <c r="O561" s="154"/>
      <c r="P561" s="100"/>
      <c r="Q561" s="357"/>
      <c r="R561" s="156"/>
      <c r="S561" s="154"/>
      <c r="T561" s="100"/>
      <c r="U561" s="357"/>
      <c r="V561" s="156"/>
      <c r="W561" s="154"/>
      <c r="X561" s="100"/>
      <c r="Y561" s="357"/>
      <c r="Z561" s="100"/>
      <c r="AA561" s="100"/>
      <c r="AB561" s="100"/>
      <c r="AC561" s="357"/>
      <c r="AD561" s="367"/>
      <c r="AE561" s="368"/>
      <c r="AF561" s="98"/>
      <c r="AG561" s="357"/>
      <c r="AH561" s="156"/>
      <c r="AI561" s="305"/>
      <c r="AJ561" s="366"/>
      <c r="AK561" s="357"/>
      <c r="AL561" s="371"/>
      <c r="AM561" s="371"/>
      <c r="AN561" s="371"/>
      <c r="AO561" s="357"/>
      <c r="AP561" s="100"/>
      <c r="AQ561" s="100"/>
      <c r="AR561" s="100"/>
      <c r="AS561" s="357"/>
      <c r="AT561" s="100"/>
      <c r="AU561" s="100"/>
      <c r="AV561" s="100"/>
    </row>
    <row r="562">
      <c r="A562" s="357"/>
      <c r="B562" s="156"/>
      <c r="C562" s="154"/>
      <c r="D562" s="100"/>
      <c r="E562" s="357"/>
      <c r="F562" s="156"/>
      <c r="G562" s="154"/>
      <c r="H562" s="100"/>
      <c r="I562" s="357"/>
      <c r="J562" s="156"/>
      <c r="K562" s="154"/>
      <c r="L562" s="100"/>
      <c r="M562" s="357"/>
      <c r="N562" s="156"/>
      <c r="O562" s="154"/>
      <c r="P562" s="100"/>
      <c r="Q562" s="357"/>
      <c r="R562" s="156"/>
      <c r="S562" s="154"/>
      <c r="T562" s="100"/>
      <c r="U562" s="357"/>
      <c r="V562" s="156"/>
      <c r="W562" s="154"/>
      <c r="X562" s="100"/>
      <c r="Y562" s="357"/>
      <c r="Z562" s="100"/>
      <c r="AA562" s="100"/>
      <c r="AB562" s="100"/>
      <c r="AC562" s="357"/>
      <c r="AD562" s="367"/>
      <c r="AE562" s="368"/>
      <c r="AF562" s="98"/>
      <c r="AG562" s="357"/>
      <c r="AH562" s="156"/>
      <c r="AI562" s="305"/>
      <c r="AJ562" s="366"/>
      <c r="AK562" s="357"/>
      <c r="AL562" s="371"/>
      <c r="AM562" s="371"/>
      <c r="AN562" s="371"/>
      <c r="AO562" s="357"/>
      <c r="AP562" s="100"/>
      <c r="AQ562" s="100"/>
      <c r="AR562" s="100"/>
      <c r="AS562" s="357"/>
      <c r="AT562" s="100"/>
      <c r="AU562" s="100"/>
      <c r="AV562" s="100"/>
    </row>
    <row r="563">
      <c r="A563" s="357"/>
      <c r="B563" s="156"/>
      <c r="C563" s="154"/>
      <c r="D563" s="100"/>
      <c r="E563" s="357"/>
      <c r="F563" s="156"/>
      <c r="G563" s="154"/>
      <c r="H563" s="100"/>
      <c r="I563" s="357"/>
      <c r="J563" s="156"/>
      <c r="K563" s="154"/>
      <c r="L563" s="100"/>
      <c r="M563" s="357"/>
      <c r="N563" s="156"/>
      <c r="O563" s="154"/>
      <c r="P563" s="100"/>
      <c r="Q563" s="357"/>
      <c r="R563" s="156"/>
      <c r="S563" s="154"/>
      <c r="T563" s="100"/>
      <c r="U563" s="357"/>
      <c r="V563" s="156"/>
      <c r="W563" s="154"/>
      <c r="X563" s="100"/>
      <c r="Y563" s="357"/>
      <c r="Z563" s="100"/>
      <c r="AA563" s="100"/>
      <c r="AB563" s="100"/>
      <c r="AC563" s="357"/>
      <c r="AD563" s="367"/>
      <c r="AE563" s="368"/>
      <c r="AF563" s="98"/>
      <c r="AG563" s="357"/>
      <c r="AH563" s="156"/>
      <c r="AI563" s="305"/>
      <c r="AJ563" s="366"/>
      <c r="AK563" s="357"/>
      <c r="AL563" s="371"/>
      <c r="AM563" s="371"/>
      <c r="AN563" s="371"/>
      <c r="AO563" s="357"/>
      <c r="AP563" s="100"/>
      <c r="AQ563" s="100"/>
      <c r="AR563" s="100"/>
      <c r="AS563" s="357"/>
      <c r="AT563" s="100"/>
      <c r="AU563" s="100"/>
      <c r="AV563" s="100"/>
    </row>
    <row r="564">
      <c r="A564" s="357"/>
      <c r="B564" s="156"/>
      <c r="C564" s="154"/>
      <c r="D564" s="100"/>
      <c r="E564" s="357"/>
      <c r="F564" s="156"/>
      <c r="G564" s="154"/>
      <c r="H564" s="100"/>
      <c r="I564" s="357"/>
      <c r="J564" s="156"/>
      <c r="K564" s="154"/>
      <c r="L564" s="100"/>
      <c r="M564" s="357"/>
      <c r="N564" s="156"/>
      <c r="O564" s="154"/>
      <c r="P564" s="100"/>
      <c r="Q564" s="357"/>
      <c r="R564" s="156"/>
      <c r="S564" s="154"/>
      <c r="T564" s="100"/>
      <c r="U564" s="357"/>
      <c r="V564" s="156"/>
      <c r="W564" s="154"/>
      <c r="X564" s="100"/>
      <c r="Y564" s="357"/>
      <c r="Z564" s="100"/>
      <c r="AA564" s="100"/>
      <c r="AB564" s="100"/>
      <c r="AC564" s="357"/>
      <c r="AD564" s="367"/>
      <c r="AE564" s="368"/>
      <c r="AF564" s="98"/>
      <c r="AG564" s="357"/>
      <c r="AH564" s="156"/>
      <c r="AI564" s="305"/>
      <c r="AJ564" s="366"/>
      <c r="AK564" s="357"/>
      <c r="AL564" s="371"/>
      <c r="AM564" s="371"/>
      <c r="AN564" s="371"/>
      <c r="AO564" s="357"/>
      <c r="AP564" s="100"/>
      <c r="AQ564" s="100"/>
      <c r="AR564" s="100"/>
      <c r="AS564" s="357"/>
      <c r="AT564" s="100"/>
      <c r="AU564" s="100"/>
      <c r="AV564" s="100"/>
    </row>
    <row r="565">
      <c r="A565" s="357"/>
      <c r="B565" s="156"/>
      <c r="C565" s="154"/>
      <c r="D565" s="100"/>
      <c r="E565" s="357"/>
      <c r="F565" s="156"/>
      <c r="G565" s="154"/>
      <c r="H565" s="100"/>
      <c r="I565" s="357"/>
      <c r="J565" s="156"/>
      <c r="K565" s="154"/>
      <c r="L565" s="100"/>
      <c r="M565" s="357"/>
      <c r="N565" s="156"/>
      <c r="O565" s="154"/>
      <c r="P565" s="100"/>
      <c r="Q565" s="357"/>
      <c r="R565" s="156"/>
      <c r="S565" s="154"/>
      <c r="T565" s="100"/>
      <c r="U565" s="357"/>
      <c r="V565" s="156"/>
      <c r="W565" s="154"/>
      <c r="X565" s="100"/>
      <c r="Y565" s="357"/>
      <c r="Z565" s="100"/>
      <c r="AA565" s="100"/>
      <c r="AB565" s="100"/>
      <c r="AC565" s="357"/>
      <c r="AD565" s="367"/>
      <c r="AE565" s="368"/>
      <c r="AF565" s="98"/>
      <c r="AG565" s="357"/>
      <c r="AH565" s="156"/>
      <c r="AI565" s="305"/>
      <c r="AJ565" s="366"/>
      <c r="AK565" s="357"/>
      <c r="AL565" s="371"/>
      <c r="AM565" s="371"/>
      <c r="AN565" s="371"/>
      <c r="AO565" s="357"/>
      <c r="AP565" s="100"/>
      <c r="AQ565" s="100"/>
      <c r="AR565" s="100"/>
      <c r="AS565" s="357"/>
      <c r="AT565" s="100"/>
      <c r="AU565" s="100"/>
      <c r="AV565" s="100"/>
    </row>
    <row r="566">
      <c r="A566" s="357"/>
      <c r="B566" s="156"/>
      <c r="C566" s="154"/>
      <c r="D566" s="100"/>
      <c r="E566" s="357"/>
      <c r="F566" s="156"/>
      <c r="G566" s="154"/>
      <c r="H566" s="100"/>
      <c r="I566" s="357"/>
      <c r="J566" s="156"/>
      <c r="K566" s="154"/>
      <c r="L566" s="100"/>
      <c r="M566" s="357"/>
      <c r="N566" s="156"/>
      <c r="O566" s="154"/>
      <c r="P566" s="100"/>
      <c r="Q566" s="357"/>
      <c r="R566" s="156"/>
      <c r="S566" s="154"/>
      <c r="T566" s="100"/>
      <c r="U566" s="357"/>
      <c r="V566" s="156"/>
      <c r="W566" s="154"/>
      <c r="X566" s="100"/>
      <c r="Y566" s="357"/>
      <c r="Z566" s="100"/>
      <c r="AA566" s="100"/>
      <c r="AB566" s="100"/>
      <c r="AC566" s="357"/>
      <c r="AD566" s="367"/>
      <c r="AE566" s="368"/>
      <c r="AF566" s="98"/>
      <c r="AG566" s="357"/>
      <c r="AH566" s="156"/>
      <c r="AI566" s="305"/>
      <c r="AJ566" s="366"/>
      <c r="AK566" s="357"/>
      <c r="AL566" s="371"/>
      <c r="AM566" s="371"/>
      <c r="AN566" s="371"/>
      <c r="AO566" s="357"/>
      <c r="AP566" s="100"/>
      <c r="AQ566" s="100"/>
      <c r="AR566" s="100"/>
      <c r="AS566" s="357"/>
      <c r="AT566" s="100"/>
      <c r="AU566" s="100"/>
      <c r="AV566" s="100"/>
    </row>
    <row r="567">
      <c r="A567" s="357"/>
      <c r="B567" s="156"/>
      <c r="C567" s="154"/>
      <c r="D567" s="100"/>
      <c r="E567" s="357"/>
      <c r="F567" s="156"/>
      <c r="G567" s="154"/>
      <c r="H567" s="100"/>
      <c r="I567" s="357"/>
      <c r="J567" s="156"/>
      <c r="K567" s="154"/>
      <c r="L567" s="100"/>
      <c r="M567" s="357"/>
      <c r="N567" s="156"/>
      <c r="O567" s="154"/>
      <c r="P567" s="100"/>
      <c r="Q567" s="357"/>
      <c r="R567" s="156"/>
      <c r="S567" s="154"/>
      <c r="T567" s="100"/>
      <c r="U567" s="357"/>
      <c r="V567" s="156"/>
      <c r="W567" s="154"/>
      <c r="X567" s="100"/>
      <c r="Y567" s="357"/>
      <c r="Z567" s="100"/>
      <c r="AA567" s="100"/>
      <c r="AB567" s="100"/>
      <c r="AC567" s="357"/>
      <c r="AD567" s="367"/>
      <c r="AE567" s="368"/>
      <c r="AF567" s="98"/>
      <c r="AG567" s="357"/>
      <c r="AH567" s="156"/>
      <c r="AI567" s="305"/>
      <c r="AJ567" s="366"/>
      <c r="AK567" s="357"/>
      <c r="AL567" s="371"/>
      <c r="AM567" s="371"/>
      <c r="AN567" s="371"/>
      <c r="AO567" s="357"/>
      <c r="AP567" s="100"/>
      <c r="AQ567" s="100"/>
      <c r="AR567" s="100"/>
      <c r="AS567" s="357"/>
      <c r="AT567" s="100"/>
      <c r="AU567" s="100"/>
      <c r="AV567" s="100"/>
    </row>
    <row r="568">
      <c r="A568" s="357"/>
      <c r="B568" s="156"/>
      <c r="C568" s="154"/>
      <c r="D568" s="100"/>
      <c r="E568" s="357"/>
      <c r="F568" s="156"/>
      <c r="G568" s="154"/>
      <c r="H568" s="100"/>
      <c r="I568" s="357"/>
      <c r="J568" s="156"/>
      <c r="K568" s="154"/>
      <c r="L568" s="100"/>
      <c r="M568" s="357"/>
      <c r="N568" s="156"/>
      <c r="O568" s="154"/>
      <c r="P568" s="100"/>
      <c r="Q568" s="357"/>
      <c r="R568" s="156"/>
      <c r="S568" s="154"/>
      <c r="T568" s="100"/>
      <c r="U568" s="357"/>
      <c r="V568" s="156"/>
      <c r="W568" s="154"/>
      <c r="X568" s="100"/>
      <c r="Y568" s="357"/>
      <c r="Z568" s="100"/>
      <c r="AA568" s="100"/>
      <c r="AB568" s="100"/>
      <c r="AC568" s="357"/>
      <c r="AD568" s="367"/>
      <c r="AE568" s="368"/>
      <c r="AF568" s="98"/>
      <c r="AG568" s="357"/>
      <c r="AH568" s="156"/>
      <c r="AI568" s="305"/>
      <c r="AJ568" s="366"/>
      <c r="AK568" s="357"/>
      <c r="AL568" s="371"/>
      <c r="AM568" s="371"/>
      <c r="AN568" s="371"/>
      <c r="AO568" s="357"/>
      <c r="AP568" s="100"/>
      <c r="AQ568" s="100"/>
      <c r="AR568" s="100"/>
      <c r="AS568" s="357"/>
      <c r="AT568" s="100"/>
      <c r="AU568" s="100"/>
      <c r="AV568" s="100"/>
    </row>
    <row r="569">
      <c r="A569" s="357"/>
      <c r="B569" s="156"/>
      <c r="C569" s="154"/>
      <c r="D569" s="100"/>
      <c r="E569" s="357"/>
      <c r="F569" s="156"/>
      <c r="G569" s="154"/>
      <c r="H569" s="100"/>
      <c r="I569" s="357"/>
      <c r="J569" s="156"/>
      <c r="K569" s="154"/>
      <c r="L569" s="100"/>
      <c r="M569" s="357"/>
      <c r="N569" s="156"/>
      <c r="O569" s="154"/>
      <c r="P569" s="100"/>
      <c r="Q569" s="357"/>
      <c r="R569" s="156"/>
      <c r="S569" s="154"/>
      <c r="T569" s="100"/>
      <c r="U569" s="357"/>
      <c r="V569" s="156"/>
      <c r="W569" s="154"/>
      <c r="X569" s="100"/>
      <c r="Y569" s="357"/>
      <c r="Z569" s="100"/>
      <c r="AA569" s="100"/>
      <c r="AB569" s="100"/>
      <c r="AC569" s="357"/>
      <c r="AD569" s="367"/>
      <c r="AE569" s="368"/>
      <c r="AF569" s="98"/>
      <c r="AG569" s="357"/>
      <c r="AH569" s="156"/>
      <c r="AI569" s="305"/>
      <c r="AJ569" s="366"/>
      <c r="AK569" s="357"/>
      <c r="AL569" s="371"/>
      <c r="AM569" s="371"/>
      <c r="AN569" s="371"/>
      <c r="AO569" s="357"/>
      <c r="AP569" s="100"/>
      <c r="AQ569" s="100"/>
      <c r="AR569" s="100"/>
      <c r="AS569" s="357"/>
      <c r="AT569" s="100"/>
      <c r="AU569" s="100"/>
      <c r="AV569" s="100"/>
    </row>
    <row r="570">
      <c r="A570" s="357"/>
      <c r="B570" s="156"/>
      <c r="C570" s="154"/>
      <c r="D570" s="100"/>
      <c r="E570" s="357"/>
      <c r="F570" s="156"/>
      <c r="G570" s="154"/>
      <c r="H570" s="100"/>
      <c r="I570" s="357"/>
      <c r="J570" s="156"/>
      <c r="K570" s="154"/>
      <c r="L570" s="100"/>
      <c r="M570" s="357"/>
      <c r="N570" s="156"/>
      <c r="O570" s="154"/>
      <c r="P570" s="100"/>
      <c r="Q570" s="357"/>
      <c r="R570" s="156"/>
      <c r="S570" s="154"/>
      <c r="T570" s="100"/>
      <c r="U570" s="357"/>
      <c r="V570" s="156"/>
      <c r="W570" s="154"/>
      <c r="X570" s="100"/>
      <c r="Y570" s="357"/>
      <c r="Z570" s="100"/>
      <c r="AA570" s="100"/>
      <c r="AB570" s="100"/>
      <c r="AC570" s="357"/>
      <c r="AD570" s="367"/>
      <c r="AE570" s="368"/>
      <c r="AF570" s="98"/>
      <c r="AG570" s="357"/>
      <c r="AH570" s="156"/>
      <c r="AI570" s="305"/>
      <c r="AJ570" s="366"/>
      <c r="AK570" s="357"/>
      <c r="AL570" s="371"/>
      <c r="AM570" s="371"/>
      <c r="AN570" s="371"/>
      <c r="AO570" s="357"/>
      <c r="AP570" s="100"/>
      <c r="AQ570" s="100"/>
      <c r="AR570" s="100"/>
      <c r="AS570" s="357"/>
      <c r="AT570" s="100"/>
      <c r="AU570" s="100"/>
      <c r="AV570" s="100"/>
    </row>
    <row r="571">
      <c r="A571" s="357"/>
      <c r="B571" s="156"/>
      <c r="C571" s="154"/>
      <c r="D571" s="100"/>
      <c r="E571" s="357"/>
      <c r="F571" s="156"/>
      <c r="G571" s="154"/>
      <c r="H571" s="100"/>
      <c r="I571" s="357"/>
      <c r="J571" s="156"/>
      <c r="K571" s="154"/>
      <c r="L571" s="100"/>
      <c r="M571" s="357"/>
      <c r="N571" s="156"/>
      <c r="O571" s="154"/>
      <c r="P571" s="100"/>
      <c r="Q571" s="357"/>
      <c r="R571" s="156"/>
      <c r="S571" s="154"/>
      <c r="T571" s="100"/>
      <c r="U571" s="357"/>
      <c r="V571" s="156"/>
      <c r="W571" s="154"/>
      <c r="X571" s="100"/>
      <c r="Y571" s="357"/>
      <c r="Z571" s="100"/>
      <c r="AA571" s="100"/>
      <c r="AB571" s="100"/>
      <c r="AC571" s="357"/>
      <c r="AD571" s="367"/>
      <c r="AE571" s="368"/>
      <c r="AF571" s="98"/>
      <c r="AG571" s="357"/>
      <c r="AH571" s="156"/>
      <c r="AI571" s="305"/>
      <c r="AJ571" s="366"/>
      <c r="AK571" s="357"/>
      <c r="AL571" s="371"/>
      <c r="AM571" s="371"/>
      <c r="AN571" s="371"/>
      <c r="AO571" s="357"/>
      <c r="AP571" s="100"/>
      <c r="AQ571" s="100"/>
      <c r="AR571" s="100"/>
      <c r="AS571" s="357"/>
      <c r="AT571" s="100"/>
      <c r="AU571" s="100"/>
      <c r="AV571" s="100"/>
    </row>
    <row r="572">
      <c r="A572" s="357"/>
      <c r="B572" s="156"/>
      <c r="C572" s="154"/>
      <c r="D572" s="100"/>
      <c r="E572" s="357"/>
      <c r="F572" s="156"/>
      <c r="G572" s="154"/>
      <c r="H572" s="100"/>
      <c r="I572" s="357"/>
      <c r="J572" s="156"/>
      <c r="K572" s="154"/>
      <c r="L572" s="100"/>
      <c r="M572" s="357"/>
      <c r="N572" s="156"/>
      <c r="O572" s="154"/>
      <c r="P572" s="100"/>
      <c r="Q572" s="357"/>
      <c r="R572" s="156"/>
      <c r="S572" s="154"/>
      <c r="T572" s="100"/>
      <c r="U572" s="357"/>
      <c r="V572" s="156"/>
      <c r="W572" s="154"/>
      <c r="X572" s="100"/>
      <c r="Y572" s="357"/>
      <c r="Z572" s="100"/>
      <c r="AA572" s="100"/>
      <c r="AB572" s="100"/>
      <c r="AC572" s="357"/>
      <c r="AD572" s="367"/>
      <c r="AE572" s="368"/>
      <c r="AF572" s="98"/>
      <c r="AG572" s="357"/>
      <c r="AH572" s="156"/>
      <c r="AI572" s="305"/>
      <c r="AJ572" s="366"/>
      <c r="AK572" s="357"/>
      <c r="AL572" s="371"/>
      <c r="AM572" s="371"/>
      <c r="AN572" s="371"/>
      <c r="AO572" s="357"/>
      <c r="AP572" s="100"/>
      <c r="AQ572" s="100"/>
      <c r="AR572" s="100"/>
      <c r="AS572" s="357"/>
      <c r="AT572" s="100"/>
      <c r="AU572" s="100"/>
      <c r="AV572" s="100"/>
    </row>
    <row r="573">
      <c r="A573" s="357"/>
      <c r="B573" s="156"/>
      <c r="C573" s="154"/>
      <c r="D573" s="100"/>
      <c r="E573" s="357"/>
      <c r="F573" s="156"/>
      <c r="G573" s="154"/>
      <c r="H573" s="100"/>
      <c r="I573" s="357"/>
      <c r="J573" s="156"/>
      <c r="K573" s="154"/>
      <c r="L573" s="100"/>
      <c r="M573" s="357"/>
      <c r="N573" s="156"/>
      <c r="O573" s="154"/>
      <c r="P573" s="100"/>
      <c r="Q573" s="357"/>
      <c r="R573" s="156"/>
      <c r="S573" s="154"/>
      <c r="T573" s="100"/>
      <c r="U573" s="357"/>
      <c r="V573" s="156"/>
      <c r="W573" s="154"/>
      <c r="X573" s="100"/>
      <c r="Y573" s="357"/>
      <c r="Z573" s="100"/>
      <c r="AA573" s="100"/>
      <c r="AB573" s="100"/>
      <c r="AC573" s="357"/>
      <c r="AD573" s="367"/>
      <c r="AE573" s="368"/>
      <c r="AF573" s="98"/>
      <c r="AG573" s="357"/>
      <c r="AH573" s="156"/>
      <c r="AI573" s="305"/>
      <c r="AJ573" s="366"/>
      <c r="AK573" s="357"/>
      <c r="AL573" s="371"/>
      <c r="AM573" s="371"/>
      <c r="AN573" s="371"/>
      <c r="AO573" s="357"/>
      <c r="AP573" s="100"/>
      <c r="AQ573" s="100"/>
      <c r="AR573" s="100"/>
      <c r="AS573" s="357"/>
      <c r="AT573" s="100"/>
      <c r="AU573" s="100"/>
      <c r="AV573" s="100"/>
    </row>
    <row r="574">
      <c r="A574" s="357"/>
      <c r="B574" s="156"/>
      <c r="C574" s="154"/>
      <c r="D574" s="100"/>
      <c r="E574" s="357"/>
      <c r="F574" s="156"/>
      <c r="G574" s="154"/>
      <c r="H574" s="100"/>
      <c r="I574" s="357"/>
      <c r="J574" s="156"/>
      <c r="K574" s="154"/>
      <c r="L574" s="100"/>
      <c r="M574" s="357"/>
      <c r="N574" s="156"/>
      <c r="O574" s="154"/>
      <c r="P574" s="100"/>
      <c r="Q574" s="357"/>
      <c r="R574" s="156"/>
      <c r="S574" s="154"/>
      <c r="T574" s="100"/>
      <c r="U574" s="357"/>
      <c r="V574" s="156"/>
      <c r="W574" s="154"/>
      <c r="X574" s="100"/>
      <c r="Y574" s="357"/>
      <c r="Z574" s="100"/>
      <c r="AA574" s="100"/>
      <c r="AB574" s="100"/>
      <c r="AC574" s="357"/>
      <c r="AD574" s="367"/>
      <c r="AE574" s="368"/>
      <c r="AF574" s="98"/>
      <c r="AG574" s="357"/>
      <c r="AH574" s="156"/>
      <c r="AI574" s="305"/>
      <c r="AJ574" s="366"/>
      <c r="AK574" s="357"/>
      <c r="AL574" s="371"/>
      <c r="AM574" s="371"/>
      <c r="AN574" s="371"/>
      <c r="AO574" s="357"/>
      <c r="AP574" s="100"/>
      <c r="AQ574" s="100"/>
      <c r="AR574" s="100"/>
      <c r="AS574" s="357"/>
      <c r="AT574" s="100"/>
      <c r="AU574" s="100"/>
      <c r="AV574" s="100"/>
    </row>
    <row r="575">
      <c r="A575" s="357"/>
      <c r="B575" s="156"/>
      <c r="C575" s="154"/>
      <c r="D575" s="100"/>
      <c r="E575" s="357"/>
      <c r="F575" s="156"/>
      <c r="G575" s="154"/>
      <c r="H575" s="100"/>
      <c r="I575" s="357"/>
      <c r="J575" s="156"/>
      <c r="K575" s="154"/>
      <c r="L575" s="100"/>
      <c r="M575" s="357"/>
      <c r="N575" s="156"/>
      <c r="O575" s="154"/>
      <c r="P575" s="100"/>
      <c r="Q575" s="357"/>
      <c r="R575" s="156"/>
      <c r="S575" s="154"/>
      <c r="T575" s="100"/>
      <c r="U575" s="357"/>
      <c r="V575" s="156"/>
      <c r="W575" s="154"/>
      <c r="X575" s="100"/>
      <c r="Y575" s="357"/>
      <c r="Z575" s="100"/>
      <c r="AA575" s="100"/>
      <c r="AB575" s="100"/>
      <c r="AC575" s="357"/>
      <c r="AD575" s="367"/>
      <c r="AE575" s="368"/>
      <c r="AF575" s="98"/>
      <c r="AG575" s="357"/>
      <c r="AH575" s="156"/>
      <c r="AI575" s="305"/>
      <c r="AJ575" s="366"/>
      <c r="AK575" s="357"/>
      <c r="AL575" s="371"/>
      <c r="AM575" s="371"/>
      <c r="AN575" s="371"/>
      <c r="AO575" s="357"/>
      <c r="AP575" s="100"/>
      <c r="AQ575" s="100"/>
      <c r="AR575" s="100"/>
      <c r="AS575" s="357"/>
      <c r="AT575" s="100"/>
      <c r="AU575" s="100"/>
      <c r="AV575" s="100"/>
    </row>
    <row r="576">
      <c r="A576" s="357"/>
      <c r="B576" s="156"/>
      <c r="C576" s="154"/>
      <c r="D576" s="100"/>
      <c r="E576" s="357"/>
      <c r="F576" s="156"/>
      <c r="G576" s="154"/>
      <c r="H576" s="100"/>
      <c r="I576" s="357"/>
      <c r="J576" s="156"/>
      <c r="K576" s="154"/>
      <c r="L576" s="100"/>
      <c r="M576" s="357"/>
      <c r="N576" s="156"/>
      <c r="O576" s="154"/>
      <c r="P576" s="100"/>
      <c r="Q576" s="357"/>
      <c r="R576" s="156"/>
      <c r="S576" s="154"/>
      <c r="T576" s="100"/>
      <c r="U576" s="357"/>
      <c r="V576" s="156"/>
      <c r="W576" s="154"/>
      <c r="X576" s="100"/>
      <c r="Y576" s="357"/>
      <c r="Z576" s="100"/>
      <c r="AA576" s="100"/>
      <c r="AB576" s="100"/>
      <c r="AC576" s="357"/>
      <c r="AD576" s="367"/>
      <c r="AE576" s="368"/>
      <c r="AF576" s="98"/>
      <c r="AG576" s="357"/>
      <c r="AH576" s="156"/>
      <c r="AI576" s="305"/>
      <c r="AJ576" s="366"/>
      <c r="AK576" s="357"/>
      <c r="AL576" s="371"/>
      <c r="AM576" s="371"/>
      <c r="AN576" s="371"/>
      <c r="AO576" s="357"/>
      <c r="AP576" s="100"/>
      <c r="AQ576" s="100"/>
      <c r="AR576" s="100"/>
      <c r="AS576" s="357"/>
      <c r="AT576" s="100"/>
      <c r="AU576" s="100"/>
      <c r="AV576" s="100"/>
    </row>
    <row r="577">
      <c r="A577" s="357"/>
      <c r="B577" s="156"/>
      <c r="C577" s="154"/>
      <c r="D577" s="100"/>
      <c r="E577" s="357"/>
      <c r="F577" s="156"/>
      <c r="G577" s="154"/>
      <c r="H577" s="100"/>
      <c r="I577" s="357"/>
      <c r="J577" s="156"/>
      <c r="K577" s="154"/>
      <c r="L577" s="100"/>
      <c r="M577" s="357"/>
      <c r="N577" s="156"/>
      <c r="O577" s="154"/>
      <c r="P577" s="100"/>
      <c r="Q577" s="357"/>
      <c r="R577" s="156"/>
      <c r="S577" s="154"/>
      <c r="T577" s="100"/>
      <c r="U577" s="357"/>
      <c r="V577" s="156"/>
      <c r="W577" s="154"/>
      <c r="X577" s="100"/>
      <c r="Y577" s="357"/>
      <c r="Z577" s="100"/>
      <c r="AA577" s="100"/>
      <c r="AB577" s="100"/>
      <c r="AC577" s="357"/>
      <c r="AD577" s="367"/>
      <c r="AE577" s="368"/>
      <c r="AF577" s="98"/>
      <c r="AG577" s="357"/>
      <c r="AH577" s="156"/>
      <c r="AI577" s="305"/>
      <c r="AJ577" s="366"/>
      <c r="AK577" s="357"/>
      <c r="AL577" s="371"/>
      <c r="AM577" s="371"/>
      <c r="AN577" s="371"/>
      <c r="AO577" s="357"/>
      <c r="AP577" s="100"/>
      <c r="AQ577" s="100"/>
      <c r="AR577" s="100"/>
      <c r="AS577" s="357"/>
      <c r="AT577" s="100"/>
      <c r="AU577" s="100"/>
      <c r="AV577" s="100"/>
    </row>
    <row r="578">
      <c r="A578" s="357"/>
      <c r="B578" s="156"/>
      <c r="C578" s="154"/>
      <c r="D578" s="100"/>
      <c r="E578" s="357"/>
      <c r="F578" s="156"/>
      <c r="G578" s="154"/>
      <c r="H578" s="100"/>
      <c r="I578" s="357"/>
      <c r="J578" s="156"/>
      <c r="K578" s="154"/>
      <c r="L578" s="100"/>
      <c r="M578" s="357"/>
      <c r="N578" s="156"/>
      <c r="O578" s="154"/>
      <c r="P578" s="100"/>
      <c r="Q578" s="357"/>
      <c r="R578" s="156"/>
      <c r="S578" s="154"/>
      <c r="T578" s="100"/>
      <c r="U578" s="357"/>
      <c r="V578" s="156"/>
      <c r="W578" s="154"/>
      <c r="X578" s="100"/>
      <c r="Y578" s="357"/>
      <c r="Z578" s="100"/>
      <c r="AA578" s="100"/>
      <c r="AB578" s="100"/>
      <c r="AC578" s="357"/>
      <c r="AD578" s="367"/>
      <c r="AE578" s="368"/>
      <c r="AF578" s="98"/>
      <c r="AG578" s="357"/>
      <c r="AH578" s="156"/>
      <c r="AI578" s="305"/>
      <c r="AJ578" s="366"/>
      <c r="AK578" s="357"/>
      <c r="AL578" s="371"/>
      <c r="AM578" s="371"/>
      <c r="AN578" s="371"/>
      <c r="AO578" s="357"/>
      <c r="AP578" s="100"/>
      <c r="AQ578" s="100"/>
      <c r="AR578" s="100"/>
      <c r="AS578" s="357"/>
      <c r="AT578" s="100"/>
      <c r="AU578" s="100"/>
      <c r="AV578" s="100"/>
    </row>
    <row r="579">
      <c r="A579" s="357"/>
      <c r="B579" s="156"/>
      <c r="C579" s="154"/>
      <c r="D579" s="100"/>
      <c r="E579" s="357"/>
      <c r="F579" s="156"/>
      <c r="G579" s="154"/>
      <c r="H579" s="100"/>
      <c r="I579" s="357"/>
      <c r="J579" s="156"/>
      <c r="K579" s="154"/>
      <c r="L579" s="100"/>
      <c r="M579" s="357"/>
      <c r="N579" s="156"/>
      <c r="O579" s="154"/>
      <c r="P579" s="100"/>
      <c r="Q579" s="357"/>
      <c r="R579" s="156"/>
      <c r="S579" s="154"/>
      <c r="T579" s="100"/>
      <c r="U579" s="357"/>
      <c r="V579" s="156"/>
      <c r="W579" s="154"/>
      <c r="X579" s="100"/>
      <c r="Y579" s="357"/>
      <c r="Z579" s="100"/>
      <c r="AA579" s="100"/>
      <c r="AB579" s="100"/>
      <c r="AC579" s="357"/>
      <c r="AD579" s="367"/>
      <c r="AE579" s="368"/>
      <c r="AF579" s="98"/>
      <c r="AG579" s="357"/>
      <c r="AH579" s="156"/>
      <c r="AI579" s="305"/>
      <c r="AJ579" s="366"/>
      <c r="AK579" s="357"/>
      <c r="AL579" s="371"/>
      <c r="AM579" s="371"/>
      <c r="AN579" s="371"/>
      <c r="AO579" s="357"/>
      <c r="AP579" s="100"/>
      <c r="AQ579" s="100"/>
      <c r="AR579" s="100"/>
      <c r="AS579" s="357"/>
      <c r="AT579" s="100"/>
      <c r="AU579" s="100"/>
      <c r="AV579" s="100"/>
    </row>
    <row r="580">
      <c r="A580" s="357"/>
      <c r="B580" s="156"/>
      <c r="C580" s="154"/>
      <c r="D580" s="100"/>
      <c r="E580" s="357"/>
      <c r="F580" s="156"/>
      <c r="G580" s="154"/>
      <c r="H580" s="100"/>
      <c r="I580" s="357"/>
      <c r="J580" s="156"/>
      <c r="K580" s="154"/>
      <c r="L580" s="100"/>
      <c r="M580" s="357"/>
      <c r="N580" s="156"/>
      <c r="O580" s="154"/>
      <c r="P580" s="100"/>
      <c r="Q580" s="357"/>
      <c r="R580" s="156"/>
      <c r="S580" s="154"/>
      <c r="T580" s="100"/>
      <c r="U580" s="357"/>
      <c r="V580" s="156"/>
      <c r="W580" s="154"/>
      <c r="X580" s="100"/>
      <c r="Y580" s="357"/>
      <c r="Z580" s="100"/>
      <c r="AA580" s="100"/>
      <c r="AB580" s="100"/>
      <c r="AC580" s="357"/>
      <c r="AD580" s="367"/>
      <c r="AE580" s="368"/>
      <c r="AF580" s="98"/>
      <c r="AG580" s="357"/>
      <c r="AH580" s="156"/>
      <c r="AI580" s="305"/>
      <c r="AJ580" s="366"/>
      <c r="AK580" s="357"/>
      <c r="AL580" s="371"/>
      <c r="AM580" s="371"/>
      <c r="AN580" s="371"/>
      <c r="AO580" s="357"/>
      <c r="AP580" s="100"/>
      <c r="AQ580" s="100"/>
      <c r="AR580" s="100"/>
      <c r="AS580" s="357"/>
      <c r="AT580" s="100"/>
      <c r="AU580" s="100"/>
      <c r="AV580" s="100"/>
    </row>
    <row r="581">
      <c r="A581" s="357"/>
      <c r="B581" s="156"/>
      <c r="C581" s="154"/>
      <c r="D581" s="100"/>
      <c r="E581" s="357"/>
      <c r="F581" s="156"/>
      <c r="G581" s="154"/>
      <c r="H581" s="100"/>
      <c r="I581" s="357"/>
      <c r="J581" s="156"/>
      <c r="K581" s="154"/>
      <c r="L581" s="100"/>
      <c r="M581" s="357"/>
      <c r="N581" s="156"/>
      <c r="O581" s="154"/>
      <c r="P581" s="100"/>
      <c r="Q581" s="357"/>
      <c r="R581" s="156"/>
      <c r="S581" s="154"/>
      <c r="T581" s="100"/>
      <c r="U581" s="357"/>
      <c r="V581" s="156"/>
      <c r="W581" s="154"/>
      <c r="X581" s="100"/>
      <c r="Y581" s="357"/>
      <c r="Z581" s="100"/>
      <c r="AA581" s="100"/>
      <c r="AB581" s="100"/>
      <c r="AC581" s="357"/>
      <c r="AD581" s="367"/>
      <c r="AE581" s="368"/>
      <c r="AF581" s="98"/>
      <c r="AG581" s="357"/>
      <c r="AH581" s="156"/>
      <c r="AI581" s="305"/>
      <c r="AJ581" s="366"/>
      <c r="AK581" s="357"/>
      <c r="AL581" s="371"/>
      <c r="AM581" s="371"/>
      <c r="AN581" s="371"/>
      <c r="AO581" s="357"/>
      <c r="AP581" s="100"/>
      <c r="AQ581" s="100"/>
      <c r="AR581" s="100"/>
      <c r="AS581" s="357"/>
      <c r="AT581" s="100"/>
      <c r="AU581" s="100"/>
      <c r="AV581" s="100"/>
    </row>
    <row r="582">
      <c r="A582" s="357"/>
      <c r="B582" s="156"/>
      <c r="C582" s="154"/>
      <c r="D582" s="100"/>
      <c r="E582" s="357"/>
      <c r="F582" s="156"/>
      <c r="G582" s="154"/>
      <c r="H582" s="100"/>
      <c r="I582" s="357"/>
      <c r="J582" s="156"/>
      <c r="K582" s="154"/>
      <c r="L582" s="100"/>
      <c r="M582" s="357"/>
      <c r="N582" s="156"/>
      <c r="O582" s="154"/>
      <c r="P582" s="100"/>
      <c r="Q582" s="357"/>
      <c r="R582" s="156"/>
      <c r="S582" s="154"/>
      <c r="T582" s="100"/>
      <c r="U582" s="357"/>
      <c r="V582" s="156"/>
      <c r="W582" s="154"/>
      <c r="X582" s="100"/>
      <c r="Y582" s="357"/>
      <c r="Z582" s="100"/>
      <c r="AA582" s="100"/>
      <c r="AB582" s="100"/>
      <c r="AC582" s="357"/>
      <c r="AD582" s="367"/>
      <c r="AE582" s="368"/>
      <c r="AF582" s="98"/>
      <c r="AG582" s="357"/>
      <c r="AH582" s="156"/>
      <c r="AI582" s="305"/>
      <c r="AJ582" s="366"/>
      <c r="AK582" s="357"/>
      <c r="AL582" s="371"/>
      <c r="AM582" s="371"/>
      <c r="AN582" s="371"/>
      <c r="AO582" s="357"/>
      <c r="AP582" s="100"/>
      <c r="AQ582" s="100"/>
      <c r="AR582" s="100"/>
      <c r="AS582" s="357"/>
      <c r="AT582" s="100"/>
      <c r="AU582" s="100"/>
      <c r="AV582" s="100"/>
    </row>
    <row r="583">
      <c r="A583" s="357"/>
      <c r="B583" s="156"/>
      <c r="C583" s="154"/>
      <c r="D583" s="100"/>
      <c r="E583" s="357"/>
      <c r="F583" s="156"/>
      <c r="G583" s="154"/>
      <c r="H583" s="100"/>
      <c r="I583" s="357"/>
      <c r="J583" s="156"/>
      <c r="K583" s="154"/>
      <c r="L583" s="100"/>
      <c r="M583" s="357"/>
      <c r="N583" s="156"/>
      <c r="O583" s="154"/>
      <c r="P583" s="100"/>
      <c r="Q583" s="357"/>
      <c r="R583" s="156"/>
      <c r="S583" s="154"/>
      <c r="T583" s="100"/>
      <c r="U583" s="357"/>
      <c r="V583" s="156"/>
      <c r="W583" s="154"/>
      <c r="X583" s="100"/>
      <c r="Y583" s="357"/>
      <c r="Z583" s="100"/>
      <c r="AA583" s="100"/>
      <c r="AB583" s="100"/>
      <c r="AC583" s="357"/>
      <c r="AD583" s="367"/>
      <c r="AE583" s="368"/>
      <c r="AF583" s="98"/>
      <c r="AG583" s="357"/>
      <c r="AH583" s="156"/>
      <c r="AI583" s="305"/>
      <c r="AJ583" s="366"/>
      <c r="AK583" s="357"/>
      <c r="AL583" s="371"/>
      <c r="AM583" s="371"/>
      <c r="AN583" s="371"/>
      <c r="AO583" s="357"/>
      <c r="AP583" s="100"/>
      <c r="AQ583" s="100"/>
      <c r="AR583" s="100"/>
      <c r="AS583" s="357"/>
      <c r="AT583" s="100"/>
      <c r="AU583" s="100"/>
      <c r="AV583" s="100"/>
    </row>
    <row r="584">
      <c r="A584" s="357"/>
      <c r="B584" s="156"/>
      <c r="C584" s="154"/>
      <c r="D584" s="100"/>
      <c r="E584" s="357"/>
      <c r="F584" s="156"/>
      <c r="G584" s="154"/>
      <c r="H584" s="100"/>
      <c r="I584" s="357"/>
      <c r="J584" s="156"/>
      <c r="K584" s="154"/>
      <c r="L584" s="100"/>
      <c r="M584" s="357"/>
      <c r="N584" s="156"/>
      <c r="O584" s="154"/>
      <c r="P584" s="100"/>
      <c r="Q584" s="357"/>
      <c r="R584" s="156"/>
      <c r="S584" s="154"/>
      <c r="T584" s="100"/>
      <c r="U584" s="357"/>
      <c r="V584" s="156"/>
      <c r="W584" s="154"/>
      <c r="X584" s="100"/>
      <c r="Y584" s="357"/>
      <c r="Z584" s="100"/>
      <c r="AA584" s="100"/>
      <c r="AB584" s="100"/>
      <c r="AC584" s="357"/>
      <c r="AD584" s="367"/>
      <c r="AE584" s="368"/>
      <c r="AF584" s="98"/>
      <c r="AG584" s="357"/>
      <c r="AH584" s="156"/>
      <c r="AI584" s="305"/>
      <c r="AJ584" s="366"/>
      <c r="AK584" s="357"/>
      <c r="AL584" s="371"/>
      <c r="AM584" s="371"/>
      <c r="AN584" s="371"/>
      <c r="AO584" s="357"/>
      <c r="AP584" s="100"/>
      <c r="AQ584" s="100"/>
      <c r="AR584" s="100"/>
      <c r="AS584" s="357"/>
      <c r="AT584" s="100"/>
      <c r="AU584" s="100"/>
      <c r="AV584" s="100"/>
    </row>
    <row r="585">
      <c r="A585" s="357"/>
      <c r="B585" s="156"/>
      <c r="C585" s="154"/>
      <c r="D585" s="100"/>
      <c r="E585" s="357"/>
      <c r="F585" s="156"/>
      <c r="G585" s="154"/>
      <c r="H585" s="100"/>
      <c r="I585" s="357"/>
      <c r="J585" s="156"/>
      <c r="K585" s="154"/>
      <c r="L585" s="100"/>
      <c r="M585" s="357"/>
      <c r="N585" s="156"/>
      <c r="O585" s="154"/>
      <c r="P585" s="100"/>
      <c r="Q585" s="357"/>
      <c r="R585" s="156"/>
      <c r="S585" s="154"/>
      <c r="T585" s="100"/>
      <c r="U585" s="357"/>
      <c r="V585" s="156"/>
      <c r="W585" s="154"/>
      <c r="X585" s="100"/>
      <c r="Y585" s="357"/>
      <c r="Z585" s="100"/>
      <c r="AA585" s="100"/>
      <c r="AB585" s="100"/>
      <c r="AC585" s="357"/>
      <c r="AD585" s="367"/>
      <c r="AE585" s="368"/>
      <c r="AF585" s="98"/>
      <c r="AG585" s="357"/>
      <c r="AH585" s="156"/>
      <c r="AI585" s="305"/>
      <c r="AJ585" s="366"/>
      <c r="AK585" s="357"/>
      <c r="AL585" s="371"/>
      <c r="AM585" s="371"/>
      <c r="AN585" s="371"/>
      <c r="AO585" s="357"/>
      <c r="AP585" s="100"/>
      <c r="AQ585" s="100"/>
      <c r="AR585" s="100"/>
      <c r="AS585" s="357"/>
      <c r="AT585" s="100"/>
      <c r="AU585" s="100"/>
      <c r="AV585" s="100"/>
    </row>
    <row r="586">
      <c r="A586" s="357"/>
      <c r="B586" s="156"/>
      <c r="C586" s="154"/>
      <c r="D586" s="100"/>
      <c r="E586" s="357"/>
      <c r="F586" s="156"/>
      <c r="G586" s="154"/>
      <c r="H586" s="100"/>
      <c r="I586" s="357"/>
      <c r="J586" s="156"/>
      <c r="K586" s="154"/>
      <c r="L586" s="100"/>
      <c r="M586" s="357"/>
      <c r="N586" s="156"/>
      <c r="O586" s="154"/>
      <c r="P586" s="100"/>
      <c r="Q586" s="357"/>
      <c r="R586" s="156"/>
      <c r="S586" s="154"/>
      <c r="T586" s="100"/>
      <c r="U586" s="357"/>
      <c r="V586" s="156"/>
      <c r="W586" s="154"/>
      <c r="X586" s="100"/>
      <c r="Y586" s="357"/>
      <c r="Z586" s="100"/>
      <c r="AA586" s="100"/>
      <c r="AB586" s="100"/>
      <c r="AC586" s="357"/>
      <c r="AD586" s="367"/>
      <c r="AE586" s="368"/>
      <c r="AF586" s="98"/>
      <c r="AG586" s="357"/>
      <c r="AH586" s="156"/>
      <c r="AI586" s="305"/>
      <c r="AJ586" s="366"/>
      <c r="AK586" s="357"/>
      <c r="AL586" s="371"/>
      <c r="AM586" s="371"/>
      <c r="AN586" s="371"/>
      <c r="AO586" s="357"/>
      <c r="AP586" s="100"/>
      <c r="AQ586" s="100"/>
      <c r="AR586" s="100"/>
      <c r="AS586" s="357"/>
      <c r="AT586" s="100"/>
      <c r="AU586" s="100"/>
      <c r="AV586" s="100"/>
    </row>
    <row r="587">
      <c r="A587" s="357"/>
      <c r="B587" s="156"/>
      <c r="C587" s="154"/>
      <c r="D587" s="100"/>
      <c r="E587" s="357"/>
      <c r="F587" s="156"/>
      <c r="G587" s="154"/>
      <c r="H587" s="100"/>
      <c r="I587" s="357"/>
      <c r="J587" s="156"/>
      <c r="K587" s="154"/>
      <c r="L587" s="100"/>
      <c r="M587" s="357"/>
      <c r="N587" s="156"/>
      <c r="O587" s="154"/>
      <c r="P587" s="100"/>
      <c r="Q587" s="357"/>
      <c r="R587" s="156"/>
      <c r="S587" s="154"/>
      <c r="T587" s="100"/>
      <c r="U587" s="357"/>
      <c r="V587" s="156"/>
      <c r="W587" s="154"/>
      <c r="X587" s="100"/>
      <c r="Y587" s="357"/>
      <c r="Z587" s="100"/>
      <c r="AA587" s="100"/>
      <c r="AB587" s="100"/>
      <c r="AC587" s="357"/>
      <c r="AD587" s="367"/>
      <c r="AE587" s="368"/>
      <c r="AF587" s="98"/>
      <c r="AG587" s="357"/>
      <c r="AH587" s="156"/>
      <c r="AI587" s="305"/>
      <c r="AJ587" s="366"/>
      <c r="AK587" s="357"/>
      <c r="AL587" s="371"/>
      <c r="AM587" s="371"/>
      <c r="AN587" s="371"/>
      <c r="AO587" s="357"/>
      <c r="AP587" s="100"/>
      <c r="AQ587" s="100"/>
      <c r="AR587" s="100"/>
      <c r="AS587" s="357"/>
      <c r="AT587" s="100"/>
      <c r="AU587" s="100"/>
      <c r="AV587" s="100"/>
    </row>
    <row r="588">
      <c r="A588" s="357"/>
      <c r="B588" s="156"/>
      <c r="C588" s="154"/>
      <c r="D588" s="100"/>
      <c r="E588" s="357"/>
      <c r="F588" s="156"/>
      <c r="G588" s="154"/>
      <c r="H588" s="100"/>
      <c r="I588" s="357"/>
      <c r="J588" s="156"/>
      <c r="K588" s="154"/>
      <c r="L588" s="100"/>
      <c r="M588" s="357"/>
      <c r="N588" s="156"/>
      <c r="O588" s="154"/>
      <c r="P588" s="100"/>
      <c r="Q588" s="357"/>
      <c r="R588" s="156"/>
      <c r="S588" s="154"/>
      <c r="T588" s="100"/>
      <c r="U588" s="357"/>
      <c r="V588" s="156"/>
      <c r="W588" s="154"/>
      <c r="X588" s="100"/>
      <c r="Y588" s="357"/>
      <c r="Z588" s="100"/>
      <c r="AA588" s="100"/>
      <c r="AB588" s="100"/>
      <c r="AC588" s="357"/>
      <c r="AD588" s="367"/>
      <c r="AE588" s="368"/>
      <c r="AF588" s="98"/>
      <c r="AG588" s="357"/>
      <c r="AH588" s="156"/>
      <c r="AI588" s="305"/>
      <c r="AJ588" s="366"/>
      <c r="AK588" s="357"/>
      <c r="AL588" s="371"/>
      <c r="AM588" s="371"/>
      <c r="AN588" s="371"/>
      <c r="AO588" s="357"/>
      <c r="AP588" s="100"/>
      <c r="AQ588" s="100"/>
      <c r="AR588" s="100"/>
      <c r="AS588" s="357"/>
      <c r="AT588" s="100"/>
      <c r="AU588" s="100"/>
      <c r="AV588" s="100"/>
    </row>
    <row r="589">
      <c r="A589" s="357"/>
      <c r="B589" s="156"/>
      <c r="C589" s="154"/>
      <c r="D589" s="100"/>
      <c r="E589" s="357"/>
      <c r="F589" s="156"/>
      <c r="G589" s="154"/>
      <c r="H589" s="100"/>
      <c r="I589" s="357"/>
      <c r="J589" s="156"/>
      <c r="K589" s="154"/>
      <c r="L589" s="100"/>
      <c r="M589" s="357"/>
      <c r="N589" s="156"/>
      <c r="O589" s="154"/>
      <c r="P589" s="100"/>
      <c r="Q589" s="357"/>
      <c r="R589" s="156"/>
      <c r="S589" s="154"/>
      <c r="T589" s="100"/>
      <c r="U589" s="357"/>
      <c r="V589" s="156"/>
      <c r="W589" s="154"/>
      <c r="X589" s="100"/>
      <c r="Y589" s="357"/>
      <c r="Z589" s="100"/>
      <c r="AA589" s="100"/>
      <c r="AB589" s="100"/>
      <c r="AC589" s="357"/>
      <c r="AD589" s="367"/>
      <c r="AE589" s="368"/>
      <c r="AF589" s="98"/>
      <c r="AG589" s="357"/>
      <c r="AH589" s="156"/>
      <c r="AI589" s="305"/>
      <c r="AJ589" s="366"/>
      <c r="AK589" s="357"/>
      <c r="AL589" s="371"/>
      <c r="AM589" s="371"/>
      <c r="AN589" s="371"/>
      <c r="AO589" s="357"/>
      <c r="AP589" s="100"/>
      <c r="AQ589" s="100"/>
      <c r="AR589" s="100"/>
      <c r="AS589" s="357"/>
      <c r="AT589" s="100"/>
      <c r="AU589" s="100"/>
      <c r="AV589" s="100"/>
    </row>
    <row r="590">
      <c r="A590" s="357"/>
      <c r="B590" s="156"/>
      <c r="C590" s="154"/>
      <c r="D590" s="100"/>
      <c r="E590" s="357"/>
      <c r="F590" s="156"/>
      <c r="G590" s="154"/>
      <c r="H590" s="100"/>
      <c r="I590" s="357"/>
      <c r="J590" s="156"/>
      <c r="K590" s="154"/>
      <c r="L590" s="100"/>
      <c r="M590" s="357"/>
      <c r="N590" s="156"/>
      <c r="O590" s="154"/>
      <c r="P590" s="100"/>
      <c r="Q590" s="357"/>
      <c r="R590" s="156"/>
      <c r="S590" s="154"/>
      <c r="T590" s="100"/>
      <c r="U590" s="357"/>
      <c r="V590" s="156"/>
      <c r="W590" s="154"/>
      <c r="X590" s="100"/>
      <c r="Y590" s="357"/>
      <c r="Z590" s="100"/>
      <c r="AA590" s="100"/>
      <c r="AB590" s="100"/>
      <c r="AC590" s="357"/>
      <c r="AD590" s="367"/>
      <c r="AE590" s="368"/>
      <c r="AF590" s="98"/>
      <c r="AG590" s="357"/>
      <c r="AH590" s="156"/>
      <c r="AI590" s="305"/>
      <c r="AJ590" s="366"/>
      <c r="AK590" s="357"/>
      <c r="AL590" s="371"/>
      <c r="AM590" s="371"/>
      <c r="AN590" s="371"/>
      <c r="AO590" s="357"/>
      <c r="AP590" s="100"/>
      <c r="AQ590" s="100"/>
      <c r="AR590" s="100"/>
      <c r="AS590" s="357"/>
      <c r="AT590" s="100"/>
      <c r="AU590" s="100"/>
      <c r="AV590" s="100"/>
    </row>
    <row r="591">
      <c r="A591" s="357"/>
      <c r="B591" s="156"/>
      <c r="C591" s="154"/>
      <c r="D591" s="100"/>
      <c r="E591" s="357"/>
      <c r="F591" s="156"/>
      <c r="G591" s="154"/>
      <c r="H591" s="100"/>
      <c r="I591" s="357"/>
      <c r="J591" s="156"/>
      <c r="K591" s="154"/>
      <c r="L591" s="100"/>
      <c r="M591" s="357"/>
      <c r="N591" s="156"/>
      <c r="O591" s="154"/>
      <c r="P591" s="100"/>
      <c r="Q591" s="357"/>
      <c r="R591" s="156"/>
      <c r="S591" s="154"/>
      <c r="T591" s="100"/>
      <c r="U591" s="357"/>
      <c r="V591" s="156"/>
      <c r="W591" s="154"/>
      <c r="X591" s="100"/>
      <c r="Y591" s="357"/>
      <c r="Z591" s="100"/>
      <c r="AA591" s="100"/>
      <c r="AB591" s="100"/>
      <c r="AC591" s="357"/>
      <c r="AD591" s="367"/>
      <c r="AE591" s="368"/>
      <c r="AF591" s="98"/>
      <c r="AG591" s="357"/>
      <c r="AH591" s="156"/>
      <c r="AI591" s="305"/>
      <c r="AJ591" s="366"/>
      <c r="AK591" s="357"/>
      <c r="AL591" s="371"/>
      <c r="AM591" s="371"/>
      <c r="AN591" s="371"/>
      <c r="AO591" s="357"/>
      <c r="AP591" s="100"/>
      <c r="AQ591" s="100"/>
      <c r="AR591" s="100"/>
      <c r="AS591" s="357"/>
      <c r="AT591" s="100"/>
      <c r="AU591" s="100"/>
      <c r="AV591" s="100"/>
    </row>
    <row r="592">
      <c r="A592" s="357"/>
      <c r="B592" s="156"/>
      <c r="C592" s="154"/>
      <c r="D592" s="100"/>
      <c r="E592" s="357"/>
      <c r="F592" s="156"/>
      <c r="G592" s="154"/>
      <c r="H592" s="100"/>
      <c r="I592" s="357"/>
      <c r="J592" s="156"/>
      <c r="K592" s="154"/>
      <c r="L592" s="100"/>
      <c r="M592" s="357"/>
      <c r="N592" s="156"/>
      <c r="O592" s="154"/>
      <c r="P592" s="100"/>
      <c r="Q592" s="357"/>
      <c r="R592" s="156"/>
      <c r="S592" s="154"/>
      <c r="T592" s="100"/>
      <c r="U592" s="357"/>
      <c r="V592" s="156"/>
      <c r="W592" s="154"/>
      <c r="X592" s="100"/>
      <c r="Y592" s="357"/>
      <c r="Z592" s="100"/>
      <c r="AA592" s="100"/>
      <c r="AB592" s="100"/>
      <c r="AC592" s="357"/>
      <c r="AD592" s="367"/>
      <c r="AE592" s="368"/>
      <c r="AF592" s="98"/>
      <c r="AG592" s="357"/>
      <c r="AH592" s="156"/>
      <c r="AI592" s="305"/>
      <c r="AJ592" s="366"/>
      <c r="AK592" s="357"/>
      <c r="AL592" s="371"/>
      <c r="AM592" s="371"/>
      <c r="AN592" s="371"/>
      <c r="AO592" s="357"/>
      <c r="AP592" s="100"/>
      <c r="AQ592" s="100"/>
      <c r="AR592" s="100"/>
      <c r="AS592" s="357"/>
      <c r="AT592" s="100"/>
      <c r="AU592" s="100"/>
      <c r="AV592" s="100"/>
    </row>
    <row r="593">
      <c r="A593" s="357"/>
      <c r="B593" s="156"/>
      <c r="C593" s="154"/>
      <c r="D593" s="100"/>
      <c r="E593" s="357"/>
      <c r="F593" s="156"/>
      <c r="G593" s="154"/>
      <c r="H593" s="100"/>
      <c r="I593" s="357"/>
      <c r="J593" s="156"/>
      <c r="K593" s="154"/>
      <c r="L593" s="100"/>
      <c r="M593" s="357"/>
      <c r="N593" s="156"/>
      <c r="O593" s="154"/>
      <c r="P593" s="100"/>
      <c r="Q593" s="357"/>
      <c r="R593" s="156"/>
      <c r="S593" s="154"/>
      <c r="T593" s="100"/>
      <c r="U593" s="357"/>
      <c r="V593" s="156"/>
      <c r="W593" s="154"/>
      <c r="X593" s="100"/>
      <c r="Y593" s="357"/>
      <c r="Z593" s="100"/>
      <c r="AA593" s="100"/>
      <c r="AB593" s="100"/>
      <c r="AC593" s="357"/>
      <c r="AD593" s="367"/>
      <c r="AE593" s="368"/>
      <c r="AF593" s="98"/>
      <c r="AG593" s="357"/>
      <c r="AH593" s="156"/>
      <c r="AI593" s="305"/>
      <c r="AJ593" s="366"/>
      <c r="AK593" s="357"/>
      <c r="AL593" s="371"/>
      <c r="AM593" s="371"/>
      <c r="AN593" s="371"/>
      <c r="AO593" s="357"/>
      <c r="AP593" s="100"/>
      <c r="AQ593" s="100"/>
      <c r="AR593" s="100"/>
      <c r="AS593" s="357"/>
      <c r="AT593" s="100"/>
      <c r="AU593" s="100"/>
      <c r="AV593" s="100"/>
    </row>
    <row r="594">
      <c r="A594" s="357"/>
      <c r="B594" s="156"/>
      <c r="C594" s="154"/>
      <c r="D594" s="100"/>
      <c r="E594" s="357"/>
      <c r="F594" s="156"/>
      <c r="G594" s="154"/>
      <c r="H594" s="100"/>
      <c r="I594" s="357"/>
      <c r="J594" s="156"/>
      <c r="K594" s="154"/>
      <c r="L594" s="100"/>
      <c r="M594" s="357"/>
      <c r="N594" s="156"/>
      <c r="O594" s="154"/>
      <c r="P594" s="100"/>
      <c r="Q594" s="357"/>
      <c r="R594" s="156"/>
      <c r="S594" s="154"/>
      <c r="T594" s="100"/>
      <c r="U594" s="357"/>
      <c r="V594" s="156"/>
      <c r="W594" s="154"/>
      <c r="X594" s="100"/>
      <c r="Y594" s="357"/>
      <c r="Z594" s="100"/>
      <c r="AA594" s="100"/>
      <c r="AB594" s="100"/>
      <c r="AC594" s="357"/>
      <c r="AD594" s="367"/>
      <c r="AE594" s="368"/>
      <c r="AF594" s="98"/>
      <c r="AG594" s="357"/>
      <c r="AH594" s="156"/>
      <c r="AI594" s="305"/>
      <c r="AJ594" s="366"/>
      <c r="AK594" s="357"/>
      <c r="AL594" s="371"/>
      <c r="AM594" s="371"/>
      <c r="AN594" s="371"/>
      <c r="AO594" s="357"/>
      <c r="AP594" s="100"/>
      <c r="AQ594" s="100"/>
      <c r="AR594" s="100"/>
      <c r="AS594" s="357"/>
      <c r="AT594" s="100"/>
      <c r="AU594" s="100"/>
      <c r="AV594" s="100"/>
    </row>
    <row r="595">
      <c r="A595" s="357"/>
      <c r="B595" s="156"/>
      <c r="C595" s="154"/>
      <c r="D595" s="100"/>
      <c r="E595" s="357"/>
      <c r="F595" s="156"/>
      <c r="G595" s="154"/>
      <c r="H595" s="100"/>
      <c r="I595" s="357"/>
      <c r="J595" s="156"/>
      <c r="K595" s="154"/>
      <c r="L595" s="100"/>
      <c r="M595" s="357"/>
      <c r="N595" s="156"/>
      <c r="O595" s="154"/>
      <c r="P595" s="100"/>
      <c r="Q595" s="357"/>
      <c r="R595" s="156"/>
      <c r="S595" s="154"/>
      <c r="T595" s="100"/>
      <c r="U595" s="357"/>
      <c r="V595" s="156"/>
      <c r="W595" s="154"/>
      <c r="X595" s="100"/>
      <c r="Y595" s="357"/>
      <c r="Z595" s="100"/>
      <c r="AA595" s="100"/>
      <c r="AB595" s="100"/>
      <c r="AC595" s="357"/>
      <c r="AD595" s="367"/>
      <c r="AE595" s="368"/>
      <c r="AF595" s="98"/>
      <c r="AG595" s="357"/>
      <c r="AH595" s="156"/>
      <c r="AI595" s="305"/>
      <c r="AJ595" s="366"/>
      <c r="AK595" s="357"/>
      <c r="AL595" s="371"/>
      <c r="AM595" s="371"/>
      <c r="AN595" s="371"/>
      <c r="AO595" s="357"/>
      <c r="AP595" s="100"/>
      <c r="AQ595" s="100"/>
      <c r="AR595" s="100"/>
      <c r="AS595" s="357"/>
      <c r="AT595" s="100"/>
      <c r="AU595" s="100"/>
      <c r="AV595" s="100"/>
    </row>
    <row r="596">
      <c r="A596" s="357"/>
      <c r="B596" s="156"/>
      <c r="C596" s="154"/>
      <c r="D596" s="100"/>
      <c r="E596" s="357"/>
      <c r="F596" s="156"/>
      <c r="G596" s="154"/>
      <c r="H596" s="100"/>
      <c r="I596" s="357"/>
      <c r="J596" s="156"/>
      <c r="K596" s="154"/>
      <c r="L596" s="100"/>
      <c r="M596" s="357"/>
      <c r="N596" s="156"/>
      <c r="O596" s="154"/>
      <c r="P596" s="100"/>
      <c r="Q596" s="357"/>
      <c r="R596" s="156"/>
      <c r="S596" s="154"/>
      <c r="T596" s="100"/>
      <c r="U596" s="357"/>
      <c r="V596" s="156"/>
      <c r="W596" s="154"/>
      <c r="X596" s="100"/>
      <c r="Y596" s="357"/>
      <c r="Z596" s="100"/>
      <c r="AA596" s="100"/>
      <c r="AB596" s="100"/>
      <c r="AC596" s="357"/>
      <c r="AD596" s="367"/>
      <c r="AE596" s="368"/>
      <c r="AF596" s="98"/>
      <c r="AG596" s="357"/>
      <c r="AH596" s="156"/>
      <c r="AI596" s="305"/>
      <c r="AJ596" s="366"/>
      <c r="AK596" s="357"/>
      <c r="AL596" s="371"/>
      <c r="AM596" s="371"/>
      <c r="AN596" s="371"/>
      <c r="AO596" s="357"/>
      <c r="AP596" s="100"/>
      <c r="AQ596" s="100"/>
      <c r="AR596" s="100"/>
      <c r="AS596" s="357"/>
      <c r="AT596" s="100"/>
      <c r="AU596" s="100"/>
      <c r="AV596" s="100"/>
    </row>
    <row r="597">
      <c r="A597" s="357"/>
      <c r="B597" s="156"/>
      <c r="C597" s="154"/>
      <c r="D597" s="100"/>
      <c r="E597" s="357"/>
      <c r="F597" s="156"/>
      <c r="G597" s="154"/>
      <c r="H597" s="100"/>
      <c r="I597" s="357"/>
      <c r="J597" s="156"/>
      <c r="K597" s="154"/>
      <c r="L597" s="100"/>
      <c r="M597" s="357"/>
      <c r="N597" s="156"/>
      <c r="O597" s="154"/>
      <c r="P597" s="100"/>
      <c r="Q597" s="357"/>
      <c r="R597" s="156"/>
      <c r="S597" s="154"/>
      <c r="T597" s="100"/>
      <c r="U597" s="357"/>
      <c r="V597" s="156"/>
      <c r="W597" s="154"/>
      <c r="X597" s="100"/>
      <c r="Y597" s="357"/>
      <c r="Z597" s="100"/>
      <c r="AA597" s="100"/>
      <c r="AB597" s="100"/>
      <c r="AC597" s="357"/>
      <c r="AD597" s="367"/>
      <c r="AE597" s="368"/>
      <c r="AF597" s="98"/>
      <c r="AG597" s="357"/>
      <c r="AH597" s="156"/>
      <c r="AI597" s="305"/>
      <c r="AJ597" s="366"/>
      <c r="AK597" s="357"/>
      <c r="AL597" s="371"/>
      <c r="AM597" s="371"/>
      <c r="AN597" s="371"/>
      <c r="AO597" s="357"/>
      <c r="AP597" s="100"/>
      <c r="AQ597" s="100"/>
      <c r="AR597" s="100"/>
      <c r="AS597" s="357"/>
      <c r="AT597" s="100"/>
      <c r="AU597" s="100"/>
      <c r="AV597" s="100"/>
    </row>
    <row r="598">
      <c r="A598" s="357"/>
      <c r="B598" s="156"/>
      <c r="C598" s="154"/>
      <c r="D598" s="100"/>
      <c r="E598" s="357"/>
      <c r="F598" s="156"/>
      <c r="G598" s="154"/>
      <c r="H598" s="100"/>
      <c r="I598" s="357"/>
      <c r="J598" s="156"/>
      <c r="K598" s="154"/>
      <c r="L598" s="100"/>
      <c r="M598" s="357"/>
      <c r="N598" s="156"/>
      <c r="O598" s="154"/>
      <c r="P598" s="100"/>
      <c r="Q598" s="357"/>
      <c r="R598" s="156"/>
      <c r="S598" s="154"/>
      <c r="T598" s="100"/>
      <c r="U598" s="357"/>
      <c r="V598" s="156"/>
      <c r="W598" s="154"/>
      <c r="X598" s="100"/>
      <c r="Y598" s="357"/>
      <c r="Z598" s="100"/>
      <c r="AA598" s="100"/>
      <c r="AB598" s="100"/>
      <c r="AC598" s="357"/>
      <c r="AD598" s="367"/>
      <c r="AE598" s="368"/>
      <c r="AF598" s="98"/>
      <c r="AG598" s="357"/>
      <c r="AH598" s="156"/>
      <c r="AI598" s="305"/>
      <c r="AJ598" s="366"/>
      <c r="AK598" s="357"/>
      <c r="AL598" s="371"/>
      <c r="AM598" s="371"/>
      <c r="AN598" s="371"/>
      <c r="AO598" s="357"/>
      <c r="AP598" s="100"/>
      <c r="AQ598" s="100"/>
      <c r="AR598" s="100"/>
      <c r="AS598" s="357"/>
      <c r="AT598" s="100"/>
      <c r="AU598" s="100"/>
      <c r="AV598" s="100"/>
    </row>
    <row r="599">
      <c r="A599" s="357"/>
      <c r="B599" s="156"/>
      <c r="C599" s="154"/>
      <c r="D599" s="100"/>
      <c r="E599" s="357"/>
      <c r="F599" s="156"/>
      <c r="G599" s="154"/>
      <c r="H599" s="100"/>
      <c r="I599" s="357"/>
      <c r="J599" s="156"/>
      <c r="K599" s="154"/>
      <c r="L599" s="100"/>
      <c r="M599" s="357"/>
      <c r="N599" s="156"/>
      <c r="O599" s="154"/>
      <c r="P599" s="100"/>
      <c r="Q599" s="357"/>
      <c r="R599" s="156"/>
      <c r="S599" s="154"/>
      <c r="T599" s="100"/>
      <c r="U599" s="357"/>
      <c r="V599" s="156"/>
      <c r="W599" s="154"/>
      <c r="X599" s="100"/>
      <c r="Y599" s="357"/>
      <c r="Z599" s="100"/>
      <c r="AA599" s="100"/>
      <c r="AB599" s="100"/>
      <c r="AC599" s="357"/>
      <c r="AD599" s="367"/>
      <c r="AE599" s="368"/>
      <c r="AF599" s="98"/>
      <c r="AG599" s="357"/>
      <c r="AH599" s="156"/>
      <c r="AI599" s="305"/>
      <c r="AJ599" s="366"/>
      <c r="AK599" s="357"/>
      <c r="AL599" s="371"/>
      <c r="AM599" s="371"/>
      <c r="AN599" s="371"/>
      <c r="AO599" s="357"/>
      <c r="AP599" s="100"/>
      <c r="AQ599" s="100"/>
      <c r="AR599" s="100"/>
      <c r="AS599" s="357"/>
      <c r="AT599" s="100"/>
      <c r="AU599" s="100"/>
      <c r="AV599" s="100"/>
    </row>
    <row r="600">
      <c r="A600" s="357"/>
      <c r="B600" s="156"/>
      <c r="C600" s="154"/>
      <c r="D600" s="100"/>
      <c r="E600" s="357"/>
      <c r="F600" s="156"/>
      <c r="G600" s="154"/>
      <c r="H600" s="100"/>
      <c r="I600" s="357"/>
      <c r="J600" s="156"/>
      <c r="K600" s="154"/>
      <c r="L600" s="100"/>
      <c r="M600" s="357"/>
      <c r="N600" s="156"/>
      <c r="O600" s="154"/>
      <c r="P600" s="100"/>
      <c r="Q600" s="357"/>
      <c r="R600" s="156"/>
      <c r="S600" s="154"/>
      <c r="T600" s="100"/>
      <c r="U600" s="357"/>
      <c r="V600" s="156"/>
      <c r="W600" s="154"/>
      <c r="X600" s="100"/>
      <c r="Y600" s="357"/>
      <c r="Z600" s="100"/>
      <c r="AA600" s="100"/>
      <c r="AB600" s="100"/>
      <c r="AC600" s="357"/>
      <c r="AD600" s="367"/>
      <c r="AE600" s="368"/>
      <c r="AF600" s="98"/>
      <c r="AG600" s="357"/>
      <c r="AH600" s="156"/>
      <c r="AI600" s="305"/>
      <c r="AJ600" s="366"/>
      <c r="AK600" s="357"/>
      <c r="AL600" s="371"/>
      <c r="AM600" s="371"/>
      <c r="AN600" s="371"/>
      <c r="AO600" s="357"/>
      <c r="AP600" s="100"/>
      <c r="AQ600" s="100"/>
      <c r="AR600" s="100"/>
      <c r="AS600" s="357"/>
      <c r="AT600" s="100"/>
      <c r="AU600" s="100"/>
      <c r="AV600" s="100"/>
    </row>
    <row r="601">
      <c r="A601" s="357"/>
      <c r="B601" s="156"/>
      <c r="C601" s="154"/>
      <c r="D601" s="100"/>
      <c r="E601" s="357"/>
      <c r="F601" s="156"/>
      <c r="G601" s="154"/>
      <c r="H601" s="100"/>
      <c r="I601" s="357"/>
      <c r="J601" s="156"/>
      <c r="K601" s="154"/>
      <c r="L601" s="100"/>
      <c r="M601" s="357"/>
      <c r="N601" s="156"/>
      <c r="O601" s="154"/>
      <c r="P601" s="100"/>
      <c r="Q601" s="357"/>
      <c r="R601" s="156"/>
      <c r="S601" s="154"/>
      <c r="T601" s="100"/>
      <c r="U601" s="357"/>
      <c r="V601" s="156"/>
      <c r="W601" s="154"/>
      <c r="X601" s="100"/>
      <c r="Y601" s="357"/>
      <c r="Z601" s="100"/>
      <c r="AA601" s="100"/>
      <c r="AB601" s="100"/>
      <c r="AC601" s="357"/>
      <c r="AD601" s="367"/>
      <c r="AE601" s="368"/>
      <c r="AF601" s="98"/>
      <c r="AG601" s="357"/>
      <c r="AH601" s="156"/>
      <c r="AI601" s="305"/>
      <c r="AJ601" s="366"/>
      <c r="AK601" s="357"/>
      <c r="AL601" s="371"/>
      <c r="AM601" s="371"/>
      <c r="AN601" s="371"/>
      <c r="AO601" s="357"/>
      <c r="AP601" s="100"/>
      <c r="AQ601" s="100"/>
      <c r="AR601" s="100"/>
      <c r="AS601" s="357"/>
      <c r="AT601" s="100"/>
      <c r="AU601" s="100"/>
      <c r="AV601" s="100"/>
    </row>
    <row r="602">
      <c r="A602" s="357"/>
      <c r="B602" s="156"/>
      <c r="C602" s="154"/>
      <c r="D602" s="100"/>
      <c r="E602" s="357"/>
      <c r="F602" s="156"/>
      <c r="G602" s="154"/>
      <c r="H602" s="100"/>
      <c r="I602" s="357"/>
      <c r="J602" s="156"/>
      <c r="K602" s="154"/>
      <c r="L602" s="100"/>
      <c r="M602" s="357"/>
      <c r="N602" s="156"/>
      <c r="O602" s="154"/>
      <c r="P602" s="100"/>
      <c r="Q602" s="357"/>
      <c r="R602" s="156"/>
      <c r="S602" s="154"/>
      <c r="T602" s="100"/>
      <c r="U602" s="357"/>
      <c r="V602" s="156"/>
      <c r="W602" s="154"/>
      <c r="X602" s="100"/>
      <c r="Y602" s="357"/>
      <c r="Z602" s="100"/>
      <c r="AA602" s="100"/>
      <c r="AB602" s="100"/>
      <c r="AC602" s="357"/>
      <c r="AD602" s="367"/>
      <c r="AE602" s="368"/>
      <c r="AF602" s="98"/>
      <c r="AG602" s="357"/>
      <c r="AH602" s="156"/>
      <c r="AI602" s="305"/>
      <c r="AJ602" s="366"/>
      <c r="AK602" s="357"/>
      <c r="AL602" s="371"/>
      <c r="AM602" s="371"/>
      <c r="AN602" s="371"/>
      <c r="AO602" s="357"/>
      <c r="AP602" s="100"/>
      <c r="AQ602" s="100"/>
      <c r="AR602" s="100"/>
      <c r="AS602" s="357"/>
      <c r="AT602" s="100"/>
      <c r="AU602" s="100"/>
      <c r="AV602" s="100"/>
    </row>
    <row r="603">
      <c r="A603" s="357"/>
      <c r="B603" s="156"/>
      <c r="C603" s="154"/>
      <c r="D603" s="100"/>
      <c r="E603" s="357"/>
      <c r="F603" s="156"/>
      <c r="G603" s="154"/>
      <c r="H603" s="100"/>
      <c r="I603" s="357"/>
      <c r="J603" s="156"/>
      <c r="K603" s="154"/>
      <c r="L603" s="100"/>
      <c r="M603" s="357"/>
      <c r="N603" s="156"/>
      <c r="O603" s="154"/>
      <c r="P603" s="100"/>
      <c r="Q603" s="357"/>
      <c r="R603" s="156"/>
      <c r="S603" s="154"/>
      <c r="T603" s="100"/>
      <c r="U603" s="357"/>
      <c r="V603" s="156"/>
      <c r="W603" s="154"/>
      <c r="X603" s="100"/>
      <c r="Y603" s="357"/>
      <c r="Z603" s="100"/>
      <c r="AA603" s="100"/>
      <c r="AB603" s="100"/>
      <c r="AC603" s="357"/>
      <c r="AD603" s="367"/>
      <c r="AE603" s="368"/>
      <c r="AF603" s="98"/>
      <c r="AG603" s="357"/>
      <c r="AH603" s="156"/>
      <c r="AI603" s="305"/>
      <c r="AJ603" s="366"/>
      <c r="AK603" s="357"/>
      <c r="AL603" s="371"/>
      <c r="AM603" s="371"/>
      <c r="AN603" s="371"/>
      <c r="AO603" s="357"/>
      <c r="AP603" s="100"/>
      <c r="AQ603" s="100"/>
      <c r="AR603" s="100"/>
      <c r="AS603" s="357"/>
      <c r="AT603" s="100"/>
      <c r="AU603" s="100"/>
      <c r="AV603" s="100"/>
    </row>
    <row r="604">
      <c r="A604" s="357"/>
      <c r="B604" s="156"/>
      <c r="C604" s="154"/>
      <c r="D604" s="100"/>
      <c r="E604" s="357"/>
      <c r="F604" s="156"/>
      <c r="G604" s="154"/>
      <c r="H604" s="100"/>
      <c r="I604" s="357"/>
      <c r="J604" s="156"/>
      <c r="K604" s="154"/>
      <c r="L604" s="100"/>
      <c r="M604" s="357"/>
      <c r="N604" s="156"/>
      <c r="O604" s="154"/>
      <c r="P604" s="100"/>
      <c r="Q604" s="357"/>
      <c r="R604" s="156"/>
      <c r="S604" s="154"/>
      <c r="T604" s="100"/>
      <c r="U604" s="357"/>
      <c r="V604" s="156"/>
      <c r="W604" s="154"/>
      <c r="X604" s="100"/>
      <c r="Y604" s="357"/>
      <c r="Z604" s="100"/>
      <c r="AA604" s="100"/>
      <c r="AB604" s="100"/>
      <c r="AC604" s="357"/>
      <c r="AD604" s="367"/>
      <c r="AE604" s="368"/>
      <c r="AF604" s="98"/>
      <c r="AG604" s="357"/>
      <c r="AH604" s="156"/>
      <c r="AI604" s="305"/>
      <c r="AJ604" s="366"/>
      <c r="AK604" s="357"/>
      <c r="AL604" s="371"/>
      <c r="AM604" s="371"/>
      <c r="AN604" s="371"/>
      <c r="AO604" s="357"/>
      <c r="AP604" s="100"/>
      <c r="AQ604" s="100"/>
      <c r="AR604" s="100"/>
      <c r="AS604" s="357"/>
      <c r="AT604" s="100"/>
      <c r="AU604" s="100"/>
      <c r="AV604" s="100"/>
    </row>
    <row r="605">
      <c r="A605" s="357"/>
      <c r="B605" s="156"/>
      <c r="C605" s="154"/>
      <c r="D605" s="100"/>
      <c r="E605" s="357"/>
      <c r="F605" s="156"/>
      <c r="G605" s="154"/>
      <c r="H605" s="100"/>
      <c r="I605" s="357"/>
      <c r="J605" s="156"/>
      <c r="K605" s="154"/>
      <c r="L605" s="100"/>
      <c r="M605" s="357"/>
      <c r="N605" s="156"/>
      <c r="O605" s="154"/>
      <c r="P605" s="100"/>
      <c r="Q605" s="357"/>
      <c r="R605" s="156"/>
      <c r="S605" s="154"/>
      <c r="T605" s="100"/>
      <c r="U605" s="357"/>
      <c r="V605" s="156"/>
      <c r="W605" s="154"/>
      <c r="X605" s="100"/>
      <c r="Y605" s="357"/>
      <c r="Z605" s="100"/>
      <c r="AA605" s="100"/>
      <c r="AB605" s="100"/>
      <c r="AC605" s="357"/>
      <c r="AD605" s="367"/>
      <c r="AE605" s="368"/>
      <c r="AF605" s="98"/>
      <c r="AG605" s="357"/>
      <c r="AH605" s="156"/>
      <c r="AI605" s="305"/>
      <c r="AJ605" s="366"/>
      <c r="AK605" s="357"/>
      <c r="AL605" s="371"/>
      <c r="AM605" s="371"/>
      <c r="AN605" s="371"/>
      <c r="AO605" s="357"/>
      <c r="AP605" s="100"/>
      <c r="AQ605" s="100"/>
      <c r="AR605" s="100"/>
      <c r="AS605" s="357"/>
      <c r="AT605" s="100"/>
      <c r="AU605" s="100"/>
      <c r="AV605" s="100"/>
    </row>
    <row r="606">
      <c r="A606" s="357"/>
      <c r="B606" s="156"/>
      <c r="C606" s="154"/>
      <c r="D606" s="100"/>
      <c r="E606" s="357"/>
      <c r="F606" s="156"/>
      <c r="G606" s="154"/>
      <c r="H606" s="100"/>
      <c r="I606" s="357"/>
      <c r="J606" s="156"/>
      <c r="K606" s="154"/>
      <c r="L606" s="100"/>
      <c r="M606" s="357"/>
      <c r="N606" s="156"/>
      <c r="O606" s="154"/>
      <c r="P606" s="100"/>
      <c r="Q606" s="357"/>
      <c r="R606" s="156"/>
      <c r="S606" s="154"/>
      <c r="T606" s="100"/>
      <c r="U606" s="357"/>
      <c r="V606" s="156"/>
      <c r="W606" s="154"/>
      <c r="X606" s="100"/>
      <c r="Y606" s="357"/>
      <c r="Z606" s="100"/>
      <c r="AA606" s="100"/>
      <c r="AB606" s="100"/>
      <c r="AC606" s="357"/>
      <c r="AD606" s="367"/>
      <c r="AE606" s="368"/>
      <c r="AF606" s="98"/>
      <c r="AG606" s="357"/>
      <c r="AH606" s="156"/>
      <c r="AI606" s="305"/>
      <c r="AJ606" s="366"/>
      <c r="AK606" s="357"/>
      <c r="AL606" s="371"/>
      <c r="AM606" s="371"/>
      <c r="AN606" s="371"/>
      <c r="AO606" s="357"/>
      <c r="AP606" s="100"/>
      <c r="AQ606" s="100"/>
      <c r="AR606" s="100"/>
      <c r="AS606" s="357"/>
      <c r="AT606" s="100"/>
      <c r="AU606" s="100"/>
      <c r="AV606" s="100"/>
    </row>
    <row r="607">
      <c r="A607" s="357"/>
      <c r="B607" s="156"/>
      <c r="C607" s="154"/>
      <c r="D607" s="100"/>
      <c r="E607" s="357"/>
      <c r="F607" s="156"/>
      <c r="G607" s="154"/>
      <c r="H607" s="100"/>
      <c r="I607" s="357"/>
      <c r="J607" s="156"/>
      <c r="K607" s="154"/>
      <c r="L607" s="100"/>
      <c r="M607" s="357"/>
      <c r="N607" s="156"/>
      <c r="O607" s="154"/>
      <c r="P607" s="100"/>
      <c r="Q607" s="357"/>
      <c r="R607" s="156"/>
      <c r="S607" s="154"/>
      <c r="T607" s="100"/>
      <c r="U607" s="357"/>
      <c r="V607" s="156"/>
      <c r="W607" s="154"/>
      <c r="X607" s="100"/>
      <c r="Y607" s="357"/>
      <c r="Z607" s="100"/>
      <c r="AA607" s="100"/>
      <c r="AB607" s="100"/>
      <c r="AC607" s="357"/>
      <c r="AD607" s="367"/>
      <c r="AE607" s="368"/>
      <c r="AF607" s="98"/>
      <c r="AG607" s="357"/>
      <c r="AH607" s="156"/>
      <c r="AI607" s="305"/>
      <c r="AJ607" s="366"/>
      <c r="AK607" s="357"/>
      <c r="AL607" s="371"/>
      <c r="AM607" s="371"/>
      <c r="AN607" s="371"/>
      <c r="AO607" s="357"/>
      <c r="AP607" s="100"/>
      <c r="AQ607" s="100"/>
      <c r="AR607" s="100"/>
      <c r="AS607" s="357"/>
      <c r="AT607" s="100"/>
      <c r="AU607" s="100"/>
      <c r="AV607" s="100"/>
    </row>
    <row r="608">
      <c r="A608" s="357"/>
      <c r="B608" s="156"/>
      <c r="C608" s="154"/>
      <c r="D608" s="100"/>
      <c r="E608" s="357"/>
      <c r="F608" s="156"/>
      <c r="G608" s="154"/>
      <c r="H608" s="100"/>
      <c r="I608" s="357"/>
      <c r="J608" s="156"/>
      <c r="K608" s="154"/>
      <c r="L608" s="100"/>
      <c r="M608" s="357"/>
      <c r="N608" s="156"/>
      <c r="O608" s="154"/>
      <c r="P608" s="100"/>
      <c r="Q608" s="357"/>
      <c r="R608" s="156"/>
      <c r="S608" s="154"/>
      <c r="T608" s="100"/>
      <c r="U608" s="357"/>
      <c r="V608" s="156"/>
      <c r="W608" s="154"/>
      <c r="X608" s="100"/>
      <c r="Y608" s="357"/>
      <c r="Z608" s="100"/>
      <c r="AA608" s="100"/>
      <c r="AB608" s="100"/>
      <c r="AC608" s="357"/>
      <c r="AD608" s="367"/>
      <c r="AE608" s="368"/>
      <c r="AF608" s="98"/>
      <c r="AG608" s="357"/>
      <c r="AH608" s="156"/>
      <c r="AI608" s="305"/>
      <c r="AJ608" s="366"/>
      <c r="AK608" s="357"/>
      <c r="AL608" s="371"/>
      <c r="AM608" s="371"/>
      <c r="AN608" s="371"/>
      <c r="AO608" s="357"/>
      <c r="AP608" s="100"/>
      <c r="AQ608" s="100"/>
      <c r="AR608" s="100"/>
      <c r="AS608" s="357"/>
      <c r="AT608" s="100"/>
      <c r="AU608" s="100"/>
      <c r="AV608" s="100"/>
    </row>
    <row r="609">
      <c r="A609" s="357"/>
      <c r="B609" s="156"/>
      <c r="C609" s="154"/>
      <c r="D609" s="100"/>
      <c r="E609" s="357"/>
      <c r="F609" s="156"/>
      <c r="G609" s="154"/>
      <c r="H609" s="100"/>
      <c r="I609" s="357"/>
      <c r="J609" s="156"/>
      <c r="K609" s="154"/>
      <c r="L609" s="100"/>
      <c r="M609" s="357"/>
      <c r="N609" s="156"/>
      <c r="O609" s="154"/>
      <c r="P609" s="100"/>
      <c r="Q609" s="357"/>
      <c r="R609" s="156"/>
      <c r="S609" s="154"/>
      <c r="T609" s="100"/>
      <c r="U609" s="357"/>
      <c r="V609" s="156"/>
      <c r="W609" s="154"/>
      <c r="X609" s="100"/>
      <c r="Y609" s="357"/>
      <c r="Z609" s="100"/>
      <c r="AA609" s="100"/>
      <c r="AB609" s="100"/>
      <c r="AC609" s="357"/>
      <c r="AD609" s="367"/>
      <c r="AE609" s="368"/>
      <c r="AF609" s="98"/>
      <c r="AG609" s="357"/>
      <c r="AH609" s="156"/>
      <c r="AI609" s="305"/>
      <c r="AJ609" s="366"/>
      <c r="AK609" s="357"/>
      <c r="AL609" s="371"/>
      <c r="AM609" s="371"/>
      <c r="AN609" s="371"/>
      <c r="AO609" s="357"/>
      <c r="AP609" s="100"/>
      <c r="AQ609" s="100"/>
      <c r="AR609" s="100"/>
      <c r="AS609" s="357"/>
      <c r="AT609" s="100"/>
      <c r="AU609" s="100"/>
      <c r="AV609" s="100"/>
    </row>
    <row r="610">
      <c r="A610" s="357"/>
      <c r="B610" s="156"/>
      <c r="C610" s="154"/>
      <c r="D610" s="100"/>
      <c r="E610" s="357"/>
      <c r="F610" s="156"/>
      <c r="G610" s="154"/>
      <c r="H610" s="100"/>
      <c r="I610" s="357"/>
      <c r="J610" s="156"/>
      <c r="K610" s="154"/>
      <c r="L610" s="100"/>
      <c r="M610" s="357"/>
      <c r="N610" s="156"/>
      <c r="O610" s="154"/>
      <c r="P610" s="100"/>
      <c r="Q610" s="357"/>
      <c r="R610" s="156"/>
      <c r="S610" s="154"/>
      <c r="T610" s="100"/>
      <c r="U610" s="357"/>
      <c r="V610" s="156"/>
      <c r="W610" s="154"/>
      <c r="X610" s="100"/>
      <c r="Y610" s="357"/>
      <c r="Z610" s="100"/>
      <c r="AA610" s="100"/>
      <c r="AB610" s="100"/>
      <c r="AC610" s="357"/>
      <c r="AD610" s="367"/>
      <c r="AE610" s="368"/>
      <c r="AF610" s="98"/>
      <c r="AG610" s="357"/>
      <c r="AH610" s="156"/>
      <c r="AI610" s="305"/>
      <c r="AJ610" s="366"/>
      <c r="AK610" s="357"/>
      <c r="AL610" s="371"/>
      <c r="AM610" s="371"/>
      <c r="AN610" s="371"/>
      <c r="AO610" s="357"/>
      <c r="AP610" s="100"/>
      <c r="AQ610" s="100"/>
      <c r="AR610" s="100"/>
      <c r="AS610" s="357"/>
      <c r="AT610" s="100"/>
      <c r="AU610" s="100"/>
      <c r="AV610" s="100"/>
    </row>
    <row r="611">
      <c r="A611" s="357"/>
      <c r="B611" s="156"/>
      <c r="C611" s="154"/>
      <c r="D611" s="100"/>
      <c r="E611" s="357"/>
      <c r="F611" s="156"/>
      <c r="G611" s="154"/>
      <c r="H611" s="100"/>
      <c r="I611" s="357"/>
      <c r="J611" s="156"/>
      <c r="K611" s="154"/>
      <c r="L611" s="100"/>
      <c r="M611" s="357"/>
      <c r="N611" s="156"/>
      <c r="O611" s="154"/>
      <c r="P611" s="100"/>
      <c r="Q611" s="357"/>
      <c r="R611" s="156"/>
      <c r="S611" s="154"/>
      <c r="T611" s="100"/>
      <c r="U611" s="357"/>
      <c r="V611" s="156"/>
      <c r="W611" s="154"/>
      <c r="X611" s="100"/>
      <c r="Y611" s="357"/>
      <c r="Z611" s="100"/>
      <c r="AA611" s="100"/>
      <c r="AB611" s="100"/>
      <c r="AC611" s="357"/>
      <c r="AD611" s="367"/>
      <c r="AE611" s="368"/>
      <c r="AF611" s="98"/>
      <c r="AG611" s="357"/>
      <c r="AH611" s="156"/>
      <c r="AI611" s="305"/>
      <c r="AJ611" s="366"/>
      <c r="AK611" s="357"/>
      <c r="AL611" s="371"/>
      <c r="AM611" s="371"/>
      <c r="AN611" s="371"/>
      <c r="AO611" s="357"/>
      <c r="AP611" s="100"/>
      <c r="AQ611" s="100"/>
      <c r="AR611" s="100"/>
      <c r="AS611" s="357"/>
      <c r="AT611" s="100"/>
      <c r="AU611" s="100"/>
      <c r="AV611" s="100"/>
    </row>
    <row r="612">
      <c r="A612" s="357"/>
      <c r="B612" s="156"/>
      <c r="C612" s="154"/>
      <c r="D612" s="100"/>
      <c r="E612" s="357"/>
      <c r="F612" s="156"/>
      <c r="G612" s="154"/>
      <c r="H612" s="100"/>
      <c r="I612" s="357"/>
      <c r="J612" s="156"/>
      <c r="K612" s="154"/>
      <c r="L612" s="100"/>
      <c r="M612" s="357"/>
      <c r="N612" s="156"/>
      <c r="O612" s="154"/>
      <c r="P612" s="100"/>
      <c r="Q612" s="357"/>
      <c r="R612" s="156"/>
      <c r="S612" s="154"/>
      <c r="T612" s="100"/>
      <c r="U612" s="357"/>
      <c r="V612" s="156"/>
      <c r="W612" s="154"/>
      <c r="X612" s="100"/>
      <c r="Y612" s="357"/>
      <c r="Z612" s="100"/>
      <c r="AA612" s="100"/>
      <c r="AB612" s="100"/>
      <c r="AC612" s="357"/>
      <c r="AD612" s="367"/>
      <c r="AE612" s="368"/>
      <c r="AF612" s="98"/>
      <c r="AG612" s="357"/>
      <c r="AH612" s="156"/>
      <c r="AI612" s="305"/>
      <c r="AJ612" s="366"/>
      <c r="AK612" s="357"/>
      <c r="AL612" s="371"/>
      <c r="AM612" s="371"/>
      <c r="AN612" s="371"/>
      <c r="AO612" s="357"/>
      <c r="AP612" s="100"/>
      <c r="AQ612" s="100"/>
      <c r="AR612" s="100"/>
      <c r="AS612" s="357"/>
      <c r="AT612" s="100"/>
      <c r="AU612" s="100"/>
      <c r="AV612" s="100"/>
    </row>
    <row r="613">
      <c r="A613" s="357"/>
      <c r="B613" s="156"/>
      <c r="C613" s="154"/>
      <c r="D613" s="100"/>
      <c r="E613" s="357"/>
      <c r="F613" s="156"/>
      <c r="G613" s="154"/>
      <c r="H613" s="100"/>
      <c r="I613" s="357"/>
      <c r="J613" s="156"/>
      <c r="K613" s="154"/>
      <c r="L613" s="100"/>
      <c r="M613" s="357"/>
      <c r="N613" s="156"/>
      <c r="O613" s="154"/>
      <c r="P613" s="100"/>
      <c r="Q613" s="357"/>
      <c r="R613" s="156"/>
      <c r="S613" s="154"/>
      <c r="T613" s="100"/>
      <c r="U613" s="357"/>
      <c r="V613" s="156"/>
      <c r="W613" s="154"/>
      <c r="X613" s="100"/>
      <c r="Y613" s="357"/>
      <c r="Z613" s="100"/>
      <c r="AA613" s="100"/>
      <c r="AB613" s="100"/>
      <c r="AC613" s="357"/>
      <c r="AD613" s="367"/>
      <c r="AE613" s="368"/>
      <c r="AF613" s="98"/>
      <c r="AG613" s="357"/>
      <c r="AH613" s="156"/>
      <c r="AI613" s="305"/>
      <c r="AJ613" s="366"/>
      <c r="AK613" s="357"/>
      <c r="AL613" s="371"/>
      <c r="AM613" s="371"/>
      <c r="AN613" s="371"/>
      <c r="AO613" s="357"/>
      <c r="AP613" s="100"/>
      <c r="AQ613" s="100"/>
      <c r="AR613" s="100"/>
      <c r="AS613" s="357"/>
      <c r="AT613" s="100"/>
      <c r="AU613" s="100"/>
      <c r="AV613" s="100"/>
    </row>
    <row r="614">
      <c r="A614" s="357"/>
      <c r="B614" s="156"/>
      <c r="C614" s="154"/>
      <c r="D614" s="100"/>
      <c r="E614" s="357"/>
      <c r="F614" s="156"/>
      <c r="G614" s="154"/>
      <c r="H614" s="100"/>
      <c r="I614" s="357"/>
      <c r="J614" s="156"/>
      <c r="K614" s="154"/>
      <c r="L614" s="100"/>
      <c r="M614" s="357"/>
      <c r="N614" s="156"/>
      <c r="O614" s="154"/>
      <c r="P614" s="100"/>
      <c r="Q614" s="357"/>
      <c r="R614" s="156"/>
      <c r="S614" s="154"/>
      <c r="T614" s="100"/>
      <c r="U614" s="357"/>
      <c r="V614" s="156"/>
      <c r="W614" s="154"/>
      <c r="X614" s="100"/>
      <c r="Y614" s="357"/>
      <c r="Z614" s="100"/>
      <c r="AA614" s="100"/>
      <c r="AB614" s="100"/>
      <c r="AC614" s="357"/>
      <c r="AD614" s="367"/>
      <c r="AE614" s="368"/>
      <c r="AF614" s="98"/>
      <c r="AG614" s="357"/>
      <c r="AH614" s="156"/>
      <c r="AI614" s="305"/>
      <c r="AJ614" s="366"/>
      <c r="AK614" s="357"/>
      <c r="AL614" s="371"/>
      <c r="AM614" s="371"/>
      <c r="AN614" s="371"/>
      <c r="AO614" s="357"/>
      <c r="AP614" s="100"/>
      <c r="AQ614" s="100"/>
      <c r="AR614" s="100"/>
      <c r="AS614" s="357"/>
      <c r="AT614" s="100"/>
      <c r="AU614" s="100"/>
      <c r="AV614" s="100"/>
    </row>
    <row r="615">
      <c r="A615" s="357"/>
      <c r="B615" s="156"/>
      <c r="C615" s="154"/>
      <c r="D615" s="100"/>
      <c r="E615" s="357"/>
      <c r="F615" s="156"/>
      <c r="G615" s="154"/>
      <c r="H615" s="100"/>
      <c r="I615" s="357"/>
      <c r="J615" s="156"/>
      <c r="K615" s="154"/>
      <c r="L615" s="100"/>
      <c r="M615" s="357"/>
      <c r="N615" s="156"/>
      <c r="O615" s="154"/>
      <c r="P615" s="100"/>
      <c r="Q615" s="357"/>
      <c r="R615" s="156"/>
      <c r="S615" s="154"/>
      <c r="T615" s="100"/>
      <c r="U615" s="357"/>
      <c r="V615" s="156"/>
      <c r="W615" s="154"/>
      <c r="X615" s="100"/>
      <c r="Y615" s="357"/>
      <c r="Z615" s="100"/>
      <c r="AA615" s="100"/>
      <c r="AB615" s="100"/>
      <c r="AC615" s="357"/>
      <c r="AD615" s="367"/>
      <c r="AE615" s="368"/>
      <c r="AF615" s="98"/>
      <c r="AG615" s="357"/>
      <c r="AH615" s="156"/>
      <c r="AI615" s="305"/>
      <c r="AJ615" s="366"/>
      <c r="AK615" s="357"/>
      <c r="AL615" s="371"/>
      <c r="AM615" s="371"/>
      <c r="AN615" s="371"/>
      <c r="AO615" s="357"/>
      <c r="AP615" s="100"/>
      <c r="AQ615" s="100"/>
      <c r="AR615" s="100"/>
      <c r="AS615" s="357"/>
      <c r="AT615" s="100"/>
      <c r="AU615" s="100"/>
      <c r="AV615" s="100"/>
    </row>
    <row r="616">
      <c r="A616" s="357"/>
      <c r="B616" s="156"/>
      <c r="C616" s="154"/>
      <c r="D616" s="100"/>
      <c r="E616" s="357"/>
      <c r="F616" s="156"/>
      <c r="G616" s="154"/>
      <c r="H616" s="100"/>
      <c r="I616" s="357"/>
      <c r="J616" s="156"/>
      <c r="K616" s="154"/>
      <c r="L616" s="100"/>
      <c r="M616" s="357"/>
      <c r="N616" s="156"/>
      <c r="O616" s="154"/>
      <c r="P616" s="100"/>
      <c r="Q616" s="357"/>
      <c r="R616" s="156"/>
      <c r="S616" s="154"/>
      <c r="T616" s="100"/>
      <c r="U616" s="357"/>
      <c r="V616" s="156"/>
      <c r="W616" s="154"/>
      <c r="X616" s="100"/>
      <c r="Y616" s="357"/>
      <c r="Z616" s="100"/>
      <c r="AA616" s="100"/>
      <c r="AB616" s="100"/>
      <c r="AC616" s="357"/>
      <c r="AD616" s="367"/>
      <c r="AE616" s="368"/>
      <c r="AF616" s="98"/>
      <c r="AG616" s="357"/>
      <c r="AH616" s="156"/>
      <c r="AI616" s="305"/>
      <c r="AJ616" s="366"/>
      <c r="AK616" s="357"/>
      <c r="AL616" s="371"/>
      <c r="AM616" s="371"/>
      <c r="AN616" s="371"/>
      <c r="AO616" s="357"/>
      <c r="AP616" s="100"/>
      <c r="AQ616" s="100"/>
      <c r="AR616" s="100"/>
      <c r="AS616" s="357"/>
      <c r="AT616" s="100"/>
      <c r="AU616" s="100"/>
      <c r="AV616" s="100"/>
    </row>
    <row r="617">
      <c r="A617" s="357"/>
      <c r="B617" s="156"/>
      <c r="C617" s="154"/>
      <c r="D617" s="100"/>
      <c r="E617" s="357"/>
      <c r="F617" s="156"/>
      <c r="G617" s="154"/>
      <c r="H617" s="100"/>
      <c r="I617" s="357"/>
      <c r="J617" s="156"/>
      <c r="K617" s="154"/>
      <c r="L617" s="100"/>
      <c r="M617" s="357"/>
      <c r="N617" s="156"/>
      <c r="O617" s="154"/>
      <c r="P617" s="100"/>
      <c r="Q617" s="357"/>
      <c r="R617" s="156"/>
      <c r="S617" s="154"/>
      <c r="T617" s="100"/>
      <c r="U617" s="357"/>
      <c r="V617" s="156"/>
      <c r="W617" s="154"/>
      <c r="X617" s="100"/>
      <c r="Y617" s="357"/>
      <c r="Z617" s="100"/>
      <c r="AA617" s="100"/>
      <c r="AB617" s="100"/>
      <c r="AC617" s="357"/>
      <c r="AD617" s="367"/>
      <c r="AE617" s="368"/>
      <c r="AF617" s="98"/>
      <c r="AG617" s="357"/>
      <c r="AH617" s="156"/>
      <c r="AI617" s="305"/>
      <c r="AJ617" s="366"/>
      <c r="AK617" s="357"/>
      <c r="AL617" s="371"/>
      <c r="AM617" s="371"/>
      <c r="AN617" s="371"/>
      <c r="AO617" s="357"/>
      <c r="AP617" s="100"/>
      <c r="AQ617" s="100"/>
      <c r="AR617" s="100"/>
      <c r="AS617" s="357"/>
      <c r="AT617" s="100"/>
      <c r="AU617" s="100"/>
      <c r="AV617" s="100"/>
    </row>
    <row r="618">
      <c r="A618" s="357"/>
      <c r="B618" s="156"/>
      <c r="C618" s="154"/>
      <c r="D618" s="100"/>
      <c r="E618" s="357"/>
      <c r="F618" s="156"/>
      <c r="G618" s="154"/>
      <c r="H618" s="100"/>
      <c r="I618" s="357"/>
      <c r="J618" s="156"/>
      <c r="K618" s="154"/>
      <c r="L618" s="100"/>
      <c r="M618" s="357"/>
      <c r="N618" s="156"/>
      <c r="O618" s="154"/>
      <c r="P618" s="100"/>
      <c r="Q618" s="357"/>
      <c r="R618" s="156"/>
      <c r="S618" s="154"/>
      <c r="T618" s="100"/>
      <c r="U618" s="357"/>
      <c r="V618" s="156"/>
      <c r="W618" s="154"/>
      <c r="X618" s="100"/>
      <c r="Y618" s="357"/>
      <c r="Z618" s="100"/>
      <c r="AA618" s="100"/>
      <c r="AB618" s="100"/>
      <c r="AC618" s="357"/>
      <c r="AD618" s="367"/>
      <c r="AE618" s="368"/>
      <c r="AF618" s="98"/>
      <c r="AG618" s="357"/>
      <c r="AH618" s="156"/>
      <c r="AI618" s="305"/>
      <c r="AJ618" s="366"/>
      <c r="AK618" s="357"/>
      <c r="AL618" s="371"/>
      <c r="AM618" s="371"/>
      <c r="AN618" s="371"/>
      <c r="AO618" s="357"/>
      <c r="AP618" s="100"/>
      <c r="AQ618" s="100"/>
      <c r="AR618" s="100"/>
      <c r="AS618" s="357"/>
      <c r="AT618" s="100"/>
      <c r="AU618" s="100"/>
      <c r="AV618" s="100"/>
    </row>
    <row r="619">
      <c r="A619" s="357"/>
      <c r="B619" s="156"/>
      <c r="C619" s="154"/>
      <c r="D619" s="100"/>
      <c r="E619" s="357"/>
      <c r="F619" s="156"/>
      <c r="G619" s="154"/>
      <c r="H619" s="100"/>
      <c r="I619" s="357"/>
      <c r="J619" s="156"/>
      <c r="K619" s="154"/>
      <c r="L619" s="100"/>
      <c r="M619" s="357"/>
      <c r="N619" s="156"/>
      <c r="O619" s="154"/>
      <c r="P619" s="100"/>
      <c r="Q619" s="357"/>
      <c r="R619" s="156"/>
      <c r="S619" s="154"/>
      <c r="T619" s="100"/>
      <c r="U619" s="357"/>
      <c r="V619" s="156"/>
      <c r="W619" s="154"/>
      <c r="X619" s="100"/>
      <c r="Y619" s="357"/>
      <c r="Z619" s="100"/>
      <c r="AA619" s="100"/>
      <c r="AB619" s="100"/>
      <c r="AC619" s="357"/>
      <c r="AD619" s="367"/>
      <c r="AE619" s="368"/>
      <c r="AF619" s="98"/>
      <c r="AG619" s="357"/>
      <c r="AH619" s="156"/>
      <c r="AI619" s="305"/>
      <c r="AJ619" s="366"/>
      <c r="AK619" s="357"/>
      <c r="AL619" s="371"/>
      <c r="AM619" s="371"/>
      <c r="AN619" s="371"/>
      <c r="AO619" s="357"/>
      <c r="AP619" s="100"/>
      <c r="AQ619" s="100"/>
      <c r="AR619" s="100"/>
      <c r="AS619" s="357"/>
      <c r="AT619" s="100"/>
      <c r="AU619" s="100"/>
      <c r="AV619" s="100"/>
    </row>
    <row r="620">
      <c r="A620" s="357"/>
      <c r="B620" s="156"/>
      <c r="C620" s="154"/>
      <c r="D620" s="100"/>
      <c r="E620" s="357"/>
      <c r="F620" s="156"/>
      <c r="G620" s="154"/>
      <c r="H620" s="100"/>
      <c r="I620" s="357"/>
      <c r="J620" s="156"/>
      <c r="K620" s="154"/>
      <c r="L620" s="100"/>
      <c r="M620" s="357"/>
      <c r="N620" s="156"/>
      <c r="O620" s="154"/>
      <c r="P620" s="100"/>
      <c r="Q620" s="357"/>
      <c r="R620" s="156"/>
      <c r="S620" s="154"/>
      <c r="T620" s="100"/>
      <c r="U620" s="357"/>
      <c r="V620" s="156"/>
      <c r="W620" s="154"/>
      <c r="X620" s="100"/>
      <c r="Y620" s="357"/>
      <c r="Z620" s="100"/>
      <c r="AA620" s="100"/>
      <c r="AB620" s="100"/>
      <c r="AC620" s="357"/>
      <c r="AD620" s="367"/>
      <c r="AE620" s="368"/>
      <c r="AF620" s="98"/>
      <c r="AG620" s="357"/>
      <c r="AH620" s="156"/>
      <c r="AI620" s="305"/>
      <c r="AJ620" s="366"/>
      <c r="AK620" s="357"/>
      <c r="AL620" s="371"/>
      <c r="AM620" s="371"/>
      <c r="AN620" s="371"/>
      <c r="AO620" s="357"/>
      <c r="AP620" s="100"/>
      <c r="AQ620" s="100"/>
      <c r="AR620" s="100"/>
      <c r="AS620" s="357"/>
      <c r="AT620" s="100"/>
      <c r="AU620" s="100"/>
      <c r="AV620" s="100"/>
    </row>
    <row r="621">
      <c r="A621" s="357"/>
      <c r="B621" s="156"/>
      <c r="C621" s="154"/>
      <c r="D621" s="100"/>
      <c r="E621" s="357"/>
      <c r="F621" s="156"/>
      <c r="G621" s="154"/>
      <c r="H621" s="100"/>
      <c r="I621" s="357"/>
      <c r="J621" s="156"/>
      <c r="K621" s="154"/>
      <c r="L621" s="100"/>
      <c r="M621" s="357"/>
      <c r="N621" s="156"/>
      <c r="O621" s="154"/>
      <c r="P621" s="100"/>
      <c r="Q621" s="357"/>
      <c r="R621" s="156"/>
      <c r="S621" s="154"/>
      <c r="T621" s="100"/>
      <c r="U621" s="357"/>
      <c r="V621" s="156"/>
      <c r="W621" s="154"/>
      <c r="X621" s="100"/>
      <c r="Y621" s="357"/>
      <c r="Z621" s="100"/>
      <c r="AA621" s="100"/>
      <c r="AB621" s="100"/>
      <c r="AC621" s="357"/>
      <c r="AD621" s="367"/>
      <c r="AE621" s="368"/>
      <c r="AF621" s="98"/>
      <c r="AG621" s="357"/>
      <c r="AH621" s="156"/>
      <c r="AI621" s="305"/>
      <c r="AJ621" s="366"/>
      <c r="AK621" s="357"/>
      <c r="AL621" s="371"/>
      <c r="AM621" s="371"/>
      <c r="AN621" s="371"/>
      <c r="AO621" s="357"/>
      <c r="AP621" s="100"/>
      <c r="AQ621" s="100"/>
      <c r="AR621" s="100"/>
      <c r="AS621" s="357"/>
      <c r="AT621" s="100"/>
      <c r="AU621" s="100"/>
      <c r="AV621" s="100"/>
    </row>
    <row r="622">
      <c r="A622" s="357"/>
      <c r="B622" s="156"/>
      <c r="C622" s="154"/>
      <c r="D622" s="100"/>
      <c r="E622" s="357"/>
      <c r="F622" s="156"/>
      <c r="G622" s="154"/>
      <c r="H622" s="100"/>
      <c r="I622" s="357"/>
      <c r="J622" s="156"/>
      <c r="K622" s="154"/>
      <c r="L622" s="100"/>
      <c r="M622" s="357"/>
      <c r="N622" s="156"/>
      <c r="O622" s="154"/>
      <c r="P622" s="100"/>
      <c r="Q622" s="357"/>
      <c r="R622" s="156"/>
      <c r="S622" s="154"/>
      <c r="T622" s="100"/>
      <c r="U622" s="357"/>
      <c r="V622" s="156"/>
      <c r="W622" s="154"/>
      <c r="X622" s="100"/>
      <c r="Y622" s="357"/>
      <c r="Z622" s="100"/>
      <c r="AA622" s="100"/>
      <c r="AB622" s="100"/>
      <c r="AC622" s="357"/>
      <c r="AD622" s="367"/>
      <c r="AE622" s="368"/>
      <c r="AF622" s="98"/>
      <c r="AG622" s="357"/>
      <c r="AH622" s="156"/>
      <c r="AI622" s="305"/>
      <c r="AJ622" s="366"/>
      <c r="AK622" s="357"/>
      <c r="AL622" s="371"/>
      <c r="AM622" s="371"/>
      <c r="AN622" s="371"/>
      <c r="AO622" s="357"/>
      <c r="AP622" s="100"/>
      <c r="AQ622" s="100"/>
      <c r="AR622" s="100"/>
      <c r="AS622" s="357"/>
      <c r="AT622" s="100"/>
      <c r="AU622" s="100"/>
      <c r="AV622" s="100"/>
    </row>
    <row r="623">
      <c r="A623" s="357"/>
      <c r="B623" s="156"/>
      <c r="C623" s="154"/>
      <c r="D623" s="100"/>
      <c r="E623" s="357"/>
      <c r="F623" s="156"/>
      <c r="G623" s="154"/>
      <c r="H623" s="100"/>
      <c r="I623" s="357"/>
      <c r="J623" s="156"/>
      <c r="K623" s="154"/>
      <c r="L623" s="100"/>
      <c r="M623" s="357"/>
      <c r="N623" s="156"/>
      <c r="O623" s="154"/>
      <c r="P623" s="100"/>
      <c r="Q623" s="357"/>
      <c r="R623" s="156"/>
      <c r="S623" s="154"/>
      <c r="T623" s="100"/>
      <c r="U623" s="357"/>
      <c r="V623" s="156"/>
      <c r="W623" s="154"/>
      <c r="X623" s="100"/>
      <c r="Y623" s="357"/>
      <c r="Z623" s="100"/>
      <c r="AA623" s="100"/>
      <c r="AB623" s="100"/>
      <c r="AC623" s="357"/>
      <c r="AD623" s="367"/>
      <c r="AE623" s="368"/>
      <c r="AF623" s="98"/>
      <c r="AG623" s="357"/>
      <c r="AH623" s="156"/>
      <c r="AI623" s="305"/>
      <c r="AJ623" s="366"/>
      <c r="AK623" s="357"/>
      <c r="AL623" s="371"/>
      <c r="AM623" s="371"/>
      <c r="AN623" s="371"/>
      <c r="AO623" s="357"/>
      <c r="AP623" s="100"/>
      <c r="AQ623" s="100"/>
      <c r="AR623" s="100"/>
      <c r="AS623" s="357"/>
      <c r="AT623" s="100"/>
      <c r="AU623" s="100"/>
      <c r="AV623" s="100"/>
    </row>
    <row r="624">
      <c r="A624" s="357"/>
      <c r="B624" s="156"/>
      <c r="C624" s="154"/>
      <c r="D624" s="100"/>
      <c r="E624" s="357"/>
      <c r="F624" s="156"/>
      <c r="G624" s="154"/>
      <c r="H624" s="100"/>
      <c r="I624" s="357"/>
      <c r="J624" s="156"/>
      <c r="K624" s="154"/>
      <c r="L624" s="100"/>
      <c r="M624" s="357"/>
      <c r="N624" s="156"/>
      <c r="O624" s="154"/>
      <c r="P624" s="100"/>
      <c r="Q624" s="357"/>
      <c r="R624" s="156"/>
      <c r="S624" s="154"/>
      <c r="T624" s="100"/>
      <c r="U624" s="357"/>
      <c r="V624" s="156"/>
      <c r="W624" s="154"/>
      <c r="X624" s="100"/>
      <c r="Y624" s="357"/>
      <c r="Z624" s="100"/>
      <c r="AA624" s="100"/>
      <c r="AB624" s="100"/>
      <c r="AC624" s="357"/>
      <c r="AD624" s="367"/>
      <c r="AE624" s="368"/>
      <c r="AF624" s="98"/>
      <c r="AG624" s="357"/>
      <c r="AH624" s="156"/>
      <c r="AI624" s="305"/>
      <c r="AJ624" s="366"/>
      <c r="AK624" s="357"/>
      <c r="AL624" s="371"/>
      <c r="AM624" s="371"/>
      <c r="AN624" s="371"/>
      <c r="AO624" s="357"/>
      <c r="AP624" s="100"/>
      <c r="AQ624" s="100"/>
      <c r="AR624" s="100"/>
      <c r="AS624" s="357"/>
      <c r="AT624" s="100"/>
      <c r="AU624" s="100"/>
      <c r="AV624" s="100"/>
    </row>
    <row r="625">
      <c r="A625" s="357"/>
      <c r="B625" s="156"/>
      <c r="C625" s="154"/>
      <c r="D625" s="100"/>
      <c r="E625" s="357"/>
      <c r="F625" s="156"/>
      <c r="G625" s="154"/>
      <c r="H625" s="100"/>
      <c r="I625" s="357"/>
      <c r="J625" s="156"/>
      <c r="K625" s="154"/>
      <c r="L625" s="100"/>
      <c r="M625" s="357"/>
      <c r="N625" s="156"/>
      <c r="O625" s="154"/>
      <c r="P625" s="100"/>
      <c r="Q625" s="357"/>
      <c r="R625" s="156"/>
      <c r="S625" s="154"/>
      <c r="T625" s="100"/>
      <c r="U625" s="357"/>
      <c r="V625" s="156"/>
      <c r="W625" s="154"/>
      <c r="X625" s="100"/>
      <c r="Y625" s="357"/>
      <c r="Z625" s="100"/>
      <c r="AA625" s="100"/>
      <c r="AB625" s="100"/>
      <c r="AC625" s="357"/>
      <c r="AD625" s="367"/>
      <c r="AE625" s="368"/>
      <c r="AF625" s="98"/>
      <c r="AG625" s="357"/>
      <c r="AH625" s="156"/>
      <c r="AI625" s="305"/>
      <c r="AJ625" s="366"/>
      <c r="AK625" s="357"/>
      <c r="AL625" s="371"/>
      <c r="AM625" s="371"/>
      <c r="AN625" s="371"/>
      <c r="AO625" s="357"/>
      <c r="AP625" s="100"/>
      <c r="AQ625" s="100"/>
      <c r="AR625" s="100"/>
      <c r="AS625" s="357"/>
      <c r="AT625" s="100"/>
      <c r="AU625" s="100"/>
      <c r="AV625" s="100"/>
    </row>
    <row r="626">
      <c r="A626" s="357"/>
      <c r="B626" s="156"/>
      <c r="C626" s="154"/>
      <c r="D626" s="100"/>
      <c r="E626" s="357"/>
      <c r="F626" s="156"/>
      <c r="G626" s="154"/>
      <c r="H626" s="100"/>
      <c r="I626" s="357"/>
      <c r="J626" s="156"/>
      <c r="K626" s="154"/>
      <c r="L626" s="100"/>
      <c r="M626" s="357"/>
      <c r="N626" s="156"/>
      <c r="O626" s="154"/>
      <c r="P626" s="100"/>
      <c r="Q626" s="357"/>
      <c r="R626" s="156"/>
      <c r="S626" s="154"/>
      <c r="T626" s="100"/>
      <c r="U626" s="357"/>
      <c r="V626" s="156"/>
      <c r="W626" s="154"/>
      <c r="X626" s="100"/>
      <c r="Y626" s="357"/>
      <c r="Z626" s="100"/>
      <c r="AA626" s="100"/>
      <c r="AB626" s="100"/>
      <c r="AC626" s="357"/>
      <c r="AD626" s="367"/>
      <c r="AE626" s="368"/>
      <c r="AF626" s="98"/>
      <c r="AG626" s="357"/>
      <c r="AH626" s="156"/>
      <c r="AI626" s="305"/>
      <c r="AJ626" s="366"/>
      <c r="AK626" s="357"/>
      <c r="AL626" s="371"/>
      <c r="AM626" s="371"/>
      <c r="AN626" s="371"/>
      <c r="AO626" s="357"/>
      <c r="AP626" s="100"/>
      <c r="AQ626" s="100"/>
      <c r="AR626" s="100"/>
      <c r="AS626" s="357"/>
      <c r="AT626" s="100"/>
      <c r="AU626" s="100"/>
      <c r="AV626" s="100"/>
    </row>
    <row r="627">
      <c r="A627" s="357"/>
      <c r="B627" s="156"/>
      <c r="C627" s="154"/>
      <c r="D627" s="100"/>
      <c r="E627" s="357"/>
      <c r="F627" s="156"/>
      <c r="G627" s="154"/>
      <c r="H627" s="100"/>
      <c r="I627" s="357"/>
      <c r="J627" s="156"/>
      <c r="K627" s="154"/>
      <c r="L627" s="100"/>
      <c r="M627" s="357"/>
      <c r="N627" s="156"/>
      <c r="O627" s="154"/>
      <c r="P627" s="100"/>
      <c r="Q627" s="357"/>
      <c r="R627" s="156"/>
      <c r="S627" s="154"/>
      <c r="T627" s="100"/>
      <c r="U627" s="357"/>
      <c r="V627" s="156"/>
      <c r="W627" s="154"/>
      <c r="X627" s="100"/>
      <c r="Y627" s="357"/>
      <c r="Z627" s="100"/>
      <c r="AA627" s="100"/>
      <c r="AB627" s="100"/>
      <c r="AC627" s="357"/>
      <c r="AD627" s="367"/>
      <c r="AE627" s="368"/>
      <c r="AF627" s="98"/>
      <c r="AG627" s="357"/>
      <c r="AH627" s="156"/>
      <c r="AI627" s="305"/>
      <c r="AJ627" s="366"/>
      <c r="AK627" s="357"/>
      <c r="AL627" s="371"/>
      <c r="AM627" s="371"/>
      <c r="AN627" s="371"/>
      <c r="AO627" s="357"/>
      <c r="AP627" s="100"/>
      <c r="AQ627" s="100"/>
      <c r="AR627" s="100"/>
      <c r="AS627" s="357"/>
      <c r="AT627" s="100"/>
      <c r="AU627" s="100"/>
      <c r="AV627" s="100"/>
    </row>
    <row r="628">
      <c r="A628" s="357"/>
      <c r="B628" s="156"/>
      <c r="C628" s="154"/>
      <c r="D628" s="100"/>
      <c r="E628" s="357"/>
      <c r="F628" s="156"/>
      <c r="G628" s="154"/>
      <c r="H628" s="100"/>
      <c r="I628" s="357"/>
      <c r="J628" s="156"/>
      <c r="K628" s="154"/>
      <c r="L628" s="100"/>
      <c r="M628" s="357"/>
      <c r="N628" s="156"/>
      <c r="O628" s="154"/>
      <c r="P628" s="100"/>
      <c r="Q628" s="357"/>
      <c r="R628" s="156"/>
      <c r="S628" s="154"/>
      <c r="T628" s="100"/>
      <c r="U628" s="357"/>
      <c r="V628" s="156"/>
      <c r="W628" s="154"/>
      <c r="X628" s="100"/>
      <c r="Y628" s="357"/>
      <c r="Z628" s="100"/>
      <c r="AA628" s="100"/>
      <c r="AB628" s="100"/>
      <c r="AC628" s="357"/>
      <c r="AD628" s="367"/>
      <c r="AE628" s="368"/>
      <c r="AF628" s="98"/>
      <c r="AG628" s="357"/>
      <c r="AH628" s="156"/>
      <c r="AI628" s="305"/>
      <c r="AJ628" s="366"/>
      <c r="AK628" s="357"/>
      <c r="AL628" s="371"/>
      <c r="AM628" s="371"/>
      <c r="AN628" s="371"/>
      <c r="AO628" s="357"/>
      <c r="AP628" s="100"/>
      <c r="AQ628" s="100"/>
      <c r="AR628" s="100"/>
      <c r="AS628" s="357"/>
      <c r="AT628" s="100"/>
      <c r="AU628" s="100"/>
      <c r="AV628" s="100"/>
    </row>
    <row r="629">
      <c r="A629" s="357"/>
      <c r="B629" s="156"/>
      <c r="C629" s="154"/>
      <c r="D629" s="100"/>
      <c r="E629" s="357"/>
      <c r="F629" s="156"/>
      <c r="G629" s="154"/>
      <c r="H629" s="100"/>
      <c r="I629" s="357"/>
      <c r="J629" s="156"/>
      <c r="K629" s="154"/>
      <c r="L629" s="100"/>
      <c r="M629" s="357"/>
      <c r="N629" s="156"/>
      <c r="O629" s="154"/>
      <c r="P629" s="100"/>
      <c r="Q629" s="357"/>
      <c r="R629" s="156"/>
      <c r="S629" s="154"/>
      <c r="T629" s="100"/>
      <c r="U629" s="357"/>
      <c r="V629" s="156"/>
      <c r="W629" s="154"/>
      <c r="X629" s="100"/>
      <c r="Y629" s="357"/>
      <c r="Z629" s="100"/>
      <c r="AA629" s="100"/>
      <c r="AB629" s="100"/>
      <c r="AC629" s="357"/>
      <c r="AD629" s="367"/>
      <c r="AE629" s="368"/>
      <c r="AF629" s="98"/>
      <c r="AG629" s="357"/>
      <c r="AH629" s="156"/>
      <c r="AI629" s="305"/>
      <c r="AJ629" s="366"/>
      <c r="AK629" s="357"/>
      <c r="AL629" s="371"/>
      <c r="AM629" s="371"/>
      <c r="AN629" s="371"/>
      <c r="AO629" s="357"/>
      <c r="AP629" s="100"/>
      <c r="AQ629" s="100"/>
      <c r="AR629" s="100"/>
      <c r="AS629" s="357"/>
      <c r="AT629" s="100"/>
      <c r="AU629" s="100"/>
      <c r="AV629" s="100"/>
    </row>
    <row r="630">
      <c r="A630" s="357"/>
      <c r="B630" s="156"/>
      <c r="C630" s="154"/>
      <c r="D630" s="100"/>
      <c r="E630" s="357"/>
      <c r="F630" s="156"/>
      <c r="G630" s="154"/>
      <c r="H630" s="100"/>
      <c r="I630" s="357"/>
      <c r="J630" s="156"/>
      <c r="K630" s="154"/>
      <c r="L630" s="100"/>
      <c r="M630" s="357"/>
      <c r="N630" s="156"/>
      <c r="O630" s="154"/>
      <c r="P630" s="100"/>
      <c r="Q630" s="357"/>
      <c r="R630" s="156"/>
      <c r="S630" s="154"/>
      <c r="T630" s="100"/>
      <c r="U630" s="357"/>
      <c r="V630" s="156"/>
      <c r="W630" s="154"/>
      <c r="X630" s="100"/>
      <c r="Y630" s="357"/>
      <c r="Z630" s="100"/>
      <c r="AA630" s="100"/>
      <c r="AB630" s="100"/>
      <c r="AC630" s="357"/>
      <c r="AD630" s="367"/>
      <c r="AE630" s="368"/>
      <c r="AF630" s="98"/>
      <c r="AG630" s="357"/>
      <c r="AH630" s="156"/>
      <c r="AI630" s="305"/>
      <c r="AJ630" s="366"/>
      <c r="AK630" s="357"/>
      <c r="AL630" s="371"/>
      <c r="AM630" s="371"/>
      <c r="AN630" s="371"/>
      <c r="AO630" s="357"/>
      <c r="AP630" s="100"/>
      <c r="AQ630" s="100"/>
      <c r="AR630" s="100"/>
      <c r="AS630" s="357"/>
      <c r="AT630" s="100"/>
      <c r="AU630" s="100"/>
      <c r="AV630" s="100"/>
    </row>
    <row r="631">
      <c r="A631" s="357"/>
      <c r="B631" s="156"/>
      <c r="C631" s="154"/>
      <c r="D631" s="100"/>
      <c r="E631" s="357"/>
      <c r="F631" s="156"/>
      <c r="G631" s="154"/>
      <c r="H631" s="100"/>
      <c r="I631" s="357"/>
      <c r="J631" s="156"/>
      <c r="K631" s="154"/>
      <c r="L631" s="100"/>
      <c r="M631" s="357"/>
      <c r="N631" s="156"/>
      <c r="O631" s="154"/>
      <c r="P631" s="100"/>
      <c r="Q631" s="357"/>
      <c r="R631" s="156"/>
      <c r="S631" s="154"/>
      <c r="T631" s="100"/>
      <c r="U631" s="357"/>
      <c r="V631" s="156"/>
      <c r="W631" s="154"/>
      <c r="X631" s="100"/>
      <c r="Y631" s="357"/>
      <c r="Z631" s="100"/>
      <c r="AA631" s="100"/>
      <c r="AB631" s="100"/>
      <c r="AC631" s="357"/>
      <c r="AD631" s="367"/>
      <c r="AE631" s="368"/>
      <c r="AF631" s="98"/>
      <c r="AG631" s="357"/>
      <c r="AH631" s="156"/>
      <c r="AI631" s="305"/>
      <c r="AJ631" s="366"/>
      <c r="AK631" s="357"/>
      <c r="AL631" s="371"/>
      <c r="AM631" s="371"/>
      <c r="AN631" s="371"/>
      <c r="AO631" s="357"/>
      <c r="AP631" s="100"/>
      <c r="AQ631" s="100"/>
      <c r="AR631" s="100"/>
      <c r="AS631" s="357"/>
      <c r="AT631" s="100"/>
      <c r="AU631" s="100"/>
      <c r="AV631" s="100"/>
    </row>
    <row r="632">
      <c r="A632" s="357"/>
      <c r="B632" s="156"/>
      <c r="C632" s="154"/>
      <c r="D632" s="100"/>
      <c r="E632" s="357"/>
      <c r="F632" s="156"/>
      <c r="G632" s="154"/>
      <c r="H632" s="100"/>
      <c r="I632" s="357"/>
      <c r="J632" s="156"/>
      <c r="K632" s="154"/>
      <c r="L632" s="100"/>
      <c r="M632" s="357"/>
      <c r="N632" s="156"/>
      <c r="O632" s="154"/>
      <c r="P632" s="100"/>
      <c r="Q632" s="357"/>
      <c r="R632" s="156"/>
      <c r="S632" s="154"/>
      <c r="T632" s="100"/>
      <c r="U632" s="357"/>
      <c r="V632" s="156"/>
      <c r="W632" s="154"/>
      <c r="X632" s="100"/>
      <c r="Y632" s="357"/>
      <c r="Z632" s="100"/>
      <c r="AA632" s="100"/>
      <c r="AB632" s="100"/>
      <c r="AC632" s="357"/>
      <c r="AD632" s="367"/>
      <c r="AE632" s="368"/>
      <c r="AF632" s="98"/>
      <c r="AG632" s="357"/>
      <c r="AH632" s="156"/>
      <c r="AI632" s="305"/>
      <c r="AJ632" s="366"/>
      <c r="AK632" s="357"/>
      <c r="AL632" s="371"/>
      <c r="AM632" s="371"/>
      <c r="AN632" s="371"/>
      <c r="AO632" s="357"/>
      <c r="AP632" s="100"/>
      <c r="AQ632" s="100"/>
      <c r="AR632" s="100"/>
      <c r="AS632" s="357"/>
      <c r="AT632" s="100"/>
      <c r="AU632" s="100"/>
      <c r="AV632" s="100"/>
    </row>
    <row r="633">
      <c r="A633" s="357"/>
      <c r="B633" s="156"/>
      <c r="C633" s="154"/>
      <c r="D633" s="100"/>
      <c r="E633" s="357"/>
      <c r="F633" s="156"/>
      <c r="G633" s="154"/>
      <c r="H633" s="100"/>
      <c r="I633" s="357"/>
      <c r="J633" s="156"/>
      <c r="K633" s="154"/>
      <c r="L633" s="100"/>
      <c r="M633" s="357"/>
      <c r="N633" s="156"/>
      <c r="O633" s="154"/>
      <c r="P633" s="100"/>
      <c r="Q633" s="357"/>
      <c r="R633" s="156"/>
      <c r="S633" s="154"/>
      <c r="T633" s="100"/>
      <c r="U633" s="357"/>
      <c r="V633" s="156"/>
      <c r="W633" s="154"/>
      <c r="X633" s="100"/>
      <c r="Y633" s="357"/>
      <c r="Z633" s="100"/>
      <c r="AA633" s="100"/>
      <c r="AB633" s="100"/>
      <c r="AC633" s="357"/>
      <c r="AD633" s="367"/>
      <c r="AE633" s="368"/>
      <c r="AF633" s="98"/>
      <c r="AG633" s="357"/>
      <c r="AH633" s="156"/>
      <c r="AI633" s="305"/>
      <c r="AJ633" s="366"/>
      <c r="AK633" s="357"/>
      <c r="AL633" s="371"/>
      <c r="AM633" s="371"/>
      <c r="AN633" s="371"/>
      <c r="AO633" s="357"/>
      <c r="AP633" s="100"/>
      <c r="AQ633" s="100"/>
      <c r="AR633" s="100"/>
      <c r="AS633" s="357"/>
      <c r="AT633" s="100"/>
      <c r="AU633" s="100"/>
      <c r="AV633" s="100"/>
    </row>
    <row r="634">
      <c r="A634" s="357"/>
      <c r="B634" s="156"/>
      <c r="C634" s="154"/>
      <c r="D634" s="100"/>
      <c r="E634" s="357"/>
      <c r="F634" s="156"/>
      <c r="G634" s="154"/>
      <c r="H634" s="100"/>
      <c r="I634" s="357"/>
      <c r="J634" s="156"/>
      <c r="K634" s="154"/>
      <c r="L634" s="100"/>
      <c r="M634" s="357"/>
      <c r="N634" s="156"/>
      <c r="O634" s="154"/>
      <c r="P634" s="100"/>
      <c r="Q634" s="357"/>
      <c r="R634" s="156"/>
      <c r="S634" s="154"/>
      <c r="T634" s="100"/>
      <c r="U634" s="357"/>
      <c r="V634" s="156"/>
      <c r="W634" s="154"/>
      <c r="X634" s="100"/>
      <c r="Y634" s="357"/>
      <c r="Z634" s="100"/>
      <c r="AA634" s="100"/>
      <c r="AB634" s="100"/>
      <c r="AC634" s="357"/>
      <c r="AD634" s="367"/>
      <c r="AE634" s="368"/>
      <c r="AF634" s="98"/>
      <c r="AG634" s="357"/>
      <c r="AH634" s="156"/>
      <c r="AI634" s="305"/>
      <c r="AJ634" s="366"/>
      <c r="AK634" s="357"/>
      <c r="AL634" s="371"/>
      <c r="AM634" s="371"/>
      <c r="AN634" s="371"/>
      <c r="AO634" s="357"/>
      <c r="AP634" s="100"/>
      <c r="AQ634" s="100"/>
      <c r="AR634" s="100"/>
      <c r="AS634" s="357"/>
      <c r="AT634" s="100"/>
      <c r="AU634" s="100"/>
      <c r="AV634" s="100"/>
    </row>
    <row r="635">
      <c r="A635" s="357"/>
      <c r="B635" s="156"/>
      <c r="C635" s="154"/>
      <c r="D635" s="100"/>
      <c r="E635" s="357"/>
      <c r="F635" s="156"/>
      <c r="G635" s="154"/>
      <c r="H635" s="100"/>
      <c r="I635" s="357"/>
      <c r="J635" s="156"/>
      <c r="K635" s="154"/>
      <c r="L635" s="100"/>
      <c r="M635" s="357"/>
      <c r="N635" s="156"/>
      <c r="O635" s="154"/>
      <c r="P635" s="100"/>
      <c r="Q635" s="357"/>
      <c r="R635" s="156"/>
      <c r="S635" s="154"/>
      <c r="T635" s="100"/>
      <c r="U635" s="357"/>
      <c r="V635" s="156"/>
      <c r="W635" s="154"/>
      <c r="X635" s="100"/>
      <c r="Y635" s="357"/>
      <c r="Z635" s="100"/>
      <c r="AA635" s="100"/>
      <c r="AB635" s="100"/>
      <c r="AC635" s="357"/>
      <c r="AD635" s="367"/>
      <c r="AE635" s="368"/>
      <c r="AF635" s="98"/>
      <c r="AG635" s="357"/>
      <c r="AH635" s="156"/>
      <c r="AI635" s="305"/>
      <c r="AJ635" s="366"/>
      <c r="AK635" s="357"/>
      <c r="AL635" s="371"/>
      <c r="AM635" s="371"/>
      <c r="AN635" s="371"/>
      <c r="AO635" s="357"/>
      <c r="AP635" s="100"/>
      <c r="AQ635" s="100"/>
      <c r="AR635" s="100"/>
      <c r="AS635" s="357"/>
      <c r="AT635" s="100"/>
      <c r="AU635" s="100"/>
      <c r="AV635" s="100"/>
    </row>
    <row r="636">
      <c r="A636" s="357"/>
      <c r="B636" s="156"/>
      <c r="C636" s="154"/>
      <c r="D636" s="100"/>
      <c r="E636" s="357"/>
      <c r="F636" s="156"/>
      <c r="G636" s="154"/>
      <c r="H636" s="100"/>
      <c r="I636" s="357"/>
      <c r="J636" s="156"/>
      <c r="K636" s="154"/>
      <c r="L636" s="100"/>
      <c r="M636" s="357"/>
      <c r="N636" s="156"/>
      <c r="O636" s="154"/>
      <c r="P636" s="100"/>
      <c r="Q636" s="357"/>
      <c r="R636" s="156"/>
      <c r="S636" s="154"/>
      <c r="T636" s="100"/>
      <c r="U636" s="357"/>
      <c r="V636" s="156"/>
      <c r="W636" s="154"/>
      <c r="X636" s="100"/>
      <c r="Y636" s="357"/>
      <c r="Z636" s="100"/>
      <c r="AA636" s="100"/>
      <c r="AB636" s="100"/>
      <c r="AC636" s="357"/>
      <c r="AD636" s="367"/>
      <c r="AE636" s="368"/>
      <c r="AF636" s="98"/>
      <c r="AG636" s="357"/>
      <c r="AH636" s="156"/>
      <c r="AI636" s="305"/>
      <c r="AJ636" s="366"/>
      <c r="AK636" s="357"/>
      <c r="AL636" s="371"/>
      <c r="AM636" s="371"/>
      <c r="AN636" s="371"/>
      <c r="AO636" s="357"/>
      <c r="AP636" s="100"/>
      <c r="AQ636" s="100"/>
      <c r="AR636" s="100"/>
      <c r="AS636" s="357"/>
      <c r="AT636" s="100"/>
      <c r="AU636" s="100"/>
      <c r="AV636" s="100"/>
    </row>
    <row r="637">
      <c r="A637" s="357"/>
      <c r="B637" s="156"/>
      <c r="C637" s="154"/>
      <c r="D637" s="100"/>
      <c r="E637" s="357"/>
      <c r="F637" s="156"/>
      <c r="G637" s="154"/>
      <c r="H637" s="100"/>
      <c r="I637" s="357"/>
      <c r="J637" s="156"/>
      <c r="K637" s="154"/>
      <c r="L637" s="100"/>
      <c r="M637" s="357"/>
      <c r="N637" s="156"/>
      <c r="O637" s="154"/>
      <c r="P637" s="100"/>
      <c r="Q637" s="357"/>
      <c r="R637" s="156"/>
      <c r="S637" s="154"/>
      <c r="T637" s="100"/>
      <c r="U637" s="357"/>
      <c r="V637" s="156"/>
      <c r="W637" s="154"/>
      <c r="X637" s="100"/>
      <c r="Y637" s="357"/>
      <c r="Z637" s="100"/>
      <c r="AA637" s="100"/>
      <c r="AB637" s="100"/>
      <c r="AC637" s="357"/>
      <c r="AD637" s="367"/>
      <c r="AE637" s="368"/>
      <c r="AF637" s="98"/>
      <c r="AG637" s="357"/>
      <c r="AH637" s="156"/>
      <c r="AI637" s="305"/>
      <c r="AJ637" s="366"/>
      <c r="AK637" s="357"/>
      <c r="AL637" s="371"/>
      <c r="AM637" s="371"/>
      <c r="AN637" s="371"/>
      <c r="AO637" s="357"/>
      <c r="AP637" s="100"/>
      <c r="AQ637" s="100"/>
      <c r="AR637" s="100"/>
      <c r="AS637" s="357"/>
      <c r="AT637" s="100"/>
      <c r="AU637" s="100"/>
      <c r="AV637" s="100"/>
    </row>
    <row r="638">
      <c r="A638" s="357"/>
      <c r="B638" s="156"/>
      <c r="C638" s="154"/>
      <c r="D638" s="100"/>
      <c r="E638" s="357"/>
      <c r="F638" s="156"/>
      <c r="G638" s="154"/>
      <c r="H638" s="100"/>
      <c r="I638" s="357"/>
      <c r="J638" s="156"/>
      <c r="K638" s="154"/>
      <c r="L638" s="100"/>
      <c r="M638" s="357"/>
      <c r="N638" s="156"/>
      <c r="O638" s="154"/>
      <c r="P638" s="100"/>
      <c r="Q638" s="357"/>
      <c r="R638" s="156"/>
      <c r="S638" s="154"/>
      <c r="T638" s="100"/>
      <c r="U638" s="357"/>
      <c r="V638" s="156"/>
      <c r="W638" s="154"/>
      <c r="X638" s="100"/>
      <c r="Y638" s="357"/>
      <c r="Z638" s="100"/>
      <c r="AA638" s="100"/>
      <c r="AB638" s="100"/>
      <c r="AC638" s="357"/>
      <c r="AD638" s="367"/>
      <c r="AE638" s="368"/>
      <c r="AF638" s="98"/>
      <c r="AG638" s="357"/>
      <c r="AH638" s="156"/>
      <c r="AI638" s="305"/>
      <c r="AJ638" s="366"/>
      <c r="AK638" s="357"/>
      <c r="AL638" s="371"/>
      <c r="AM638" s="371"/>
      <c r="AN638" s="371"/>
      <c r="AO638" s="357"/>
      <c r="AP638" s="100"/>
      <c r="AQ638" s="100"/>
      <c r="AR638" s="100"/>
      <c r="AS638" s="357"/>
      <c r="AT638" s="100"/>
      <c r="AU638" s="100"/>
      <c r="AV638" s="100"/>
    </row>
    <row r="639">
      <c r="A639" s="357"/>
      <c r="B639" s="156"/>
      <c r="C639" s="154"/>
      <c r="D639" s="100"/>
      <c r="E639" s="357"/>
      <c r="F639" s="156"/>
      <c r="G639" s="154"/>
      <c r="H639" s="100"/>
      <c r="I639" s="357"/>
      <c r="J639" s="156"/>
      <c r="K639" s="154"/>
      <c r="L639" s="100"/>
      <c r="M639" s="357"/>
      <c r="N639" s="156"/>
      <c r="O639" s="154"/>
      <c r="P639" s="100"/>
      <c r="Q639" s="357"/>
      <c r="R639" s="156"/>
      <c r="S639" s="154"/>
      <c r="T639" s="100"/>
      <c r="U639" s="357"/>
      <c r="V639" s="156"/>
      <c r="W639" s="154"/>
      <c r="X639" s="100"/>
      <c r="Y639" s="357"/>
      <c r="Z639" s="100"/>
      <c r="AA639" s="100"/>
      <c r="AB639" s="100"/>
      <c r="AC639" s="357"/>
      <c r="AD639" s="367"/>
      <c r="AE639" s="368"/>
      <c r="AF639" s="98"/>
      <c r="AG639" s="357"/>
      <c r="AH639" s="156"/>
      <c r="AI639" s="305"/>
      <c r="AJ639" s="366"/>
      <c r="AK639" s="357"/>
      <c r="AL639" s="371"/>
      <c r="AM639" s="371"/>
      <c r="AN639" s="371"/>
      <c r="AO639" s="357"/>
      <c r="AP639" s="100"/>
      <c r="AQ639" s="100"/>
      <c r="AR639" s="100"/>
      <c r="AS639" s="357"/>
      <c r="AT639" s="100"/>
      <c r="AU639" s="100"/>
      <c r="AV639" s="100"/>
    </row>
    <row r="640">
      <c r="A640" s="357"/>
      <c r="B640" s="156"/>
      <c r="C640" s="154"/>
      <c r="D640" s="100"/>
      <c r="E640" s="357"/>
      <c r="F640" s="156"/>
      <c r="G640" s="154"/>
      <c r="H640" s="100"/>
      <c r="I640" s="357"/>
      <c r="J640" s="156"/>
      <c r="K640" s="154"/>
      <c r="L640" s="100"/>
      <c r="M640" s="357"/>
      <c r="N640" s="156"/>
      <c r="O640" s="154"/>
      <c r="P640" s="100"/>
      <c r="Q640" s="357"/>
      <c r="R640" s="156"/>
      <c r="S640" s="154"/>
      <c r="T640" s="100"/>
      <c r="U640" s="357"/>
      <c r="V640" s="156"/>
      <c r="W640" s="154"/>
      <c r="X640" s="100"/>
      <c r="Y640" s="357"/>
      <c r="Z640" s="100"/>
      <c r="AA640" s="100"/>
      <c r="AB640" s="100"/>
      <c r="AC640" s="357"/>
      <c r="AD640" s="367"/>
      <c r="AE640" s="368"/>
      <c r="AF640" s="98"/>
      <c r="AG640" s="357"/>
      <c r="AH640" s="156"/>
      <c r="AI640" s="305"/>
      <c r="AJ640" s="366"/>
      <c r="AK640" s="357"/>
      <c r="AL640" s="371"/>
      <c r="AM640" s="371"/>
      <c r="AN640" s="371"/>
      <c r="AO640" s="357"/>
      <c r="AP640" s="100"/>
      <c r="AQ640" s="100"/>
      <c r="AR640" s="100"/>
      <c r="AS640" s="357"/>
      <c r="AT640" s="100"/>
      <c r="AU640" s="100"/>
      <c r="AV640" s="100"/>
    </row>
    <row r="641">
      <c r="A641" s="357"/>
      <c r="B641" s="156"/>
      <c r="C641" s="154"/>
      <c r="D641" s="100"/>
      <c r="E641" s="357"/>
      <c r="F641" s="156"/>
      <c r="G641" s="154"/>
      <c r="H641" s="100"/>
      <c r="I641" s="357"/>
      <c r="J641" s="156"/>
      <c r="K641" s="154"/>
      <c r="L641" s="100"/>
      <c r="M641" s="357"/>
      <c r="N641" s="156"/>
      <c r="O641" s="154"/>
      <c r="P641" s="100"/>
      <c r="Q641" s="357"/>
      <c r="R641" s="156"/>
      <c r="S641" s="154"/>
      <c r="T641" s="100"/>
      <c r="U641" s="357"/>
      <c r="V641" s="156"/>
      <c r="W641" s="154"/>
      <c r="X641" s="100"/>
      <c r="Y641" s="357"/>
      <c r="Z641" s="100"/>
      <c r="AA641" s="100"/>
      <c r="AB641" s="100"/>
      <c r="AC641" s="357"/>
      <c r="AD641" s="367"/>
      <c r="AE641" s="368"/>
      <c r="AF641" s="98"/>
      <c r="AG641" s="357"/>
      <c r="AH641" s="156"/>
      <c r="AI641" s="305"/>
      <c r="AJ641" s="366"/>
      <c r="AK641" s="357"/>
      <c r="AL641" s="371"/>
      <c r="AM641" s="371"/>
      <c r="AN641" s="371"/>
      <c r="AO641" s="357"/>
      <c r="AP641" s="100"/>
      <c r="AQ641" s="100"/>
      <c r="AR641" s="100"/>
      <c r="AS641" s="357"/>
      <c r="AT641" s="100"/>
      <c r="AU641" s="100"/>
      <c r="AV641" s="100"/>
    </row>
    <row r="642">
      <c r="A642" s="357"/>
      <c r="B642" s="156"/>
      <c r="C642" s="154"/>
      <c r="D642" s="100"/>
      <c r="E642" s="357"/>
      <c r="F642" s="156"/>
      <c r="G642" s="154"/>
      <c r="H642" s="100"/>
      <c r="I642" s="357"/>
      <c r="J642" s="156"/>
      <c r="K642" s="154"/>
      <c r="L642" s="100"/>
      <c r="M642" s="357"/>
      <c r="N642" s="156"/>
      <c r="O642" s="154"/>
      <c r="P642" s="100"/>
      <c r="Q642" s="357"/>
      <c r="R642" s="156"/>
      <c r="S642" s="154"/>
      <c r="T642" s="100"/>
      <c r="U642" s="357"/>
      <c r="V642" s="156"/>
      <c r="W642" s="154"/>
      <c r="X642" s="100"/>
      <c r="Y642" s="357"/>
      <c r="Z642" s="100"/>
      <c r="AA642" s="100"/>
      <c r="AB642" s="100"/>
      <c r="AC642" s="357"/>
      <c r="AD642" s="367"/>
      <c r="AE642" s="368"/>
      <c r="AF642" s="98"/>
      <c r="AG642" s="357"/>
      <c r="AH642" s="156"/>
      <c r="AI642" s="305"/>
      <c r="AJ642" s="366"/>
      <c r="AK642" s="357"/>
      <c r="AL642" s="371"/>
      <c r="AM642" s="371"/>
      <c r="AN642" s="371"/>
      <c r="AO642" s="357"/>
      <c r="AP642" s="100"/>
      <c r="AQ642" s="100"/>
      <c r="AR642" s="100"/>
      <c r="AS642" s="357"/>
      <c r="AT642" s="100"/>
      <c r="AU642" s="100"/>
      <c r="AV642" s="100"/>
    </row>
    <row r="643">
      <c r="A643" s="357"/>
      <c r="B643" s="156"/>
      <c r="C643" s="154"/>
      <c r="D643" s="100"/>
      <c r="E643" s="357"/>
      <c r="F643" s="156"/>
      <c r="G643" s="154"/>
      <c r="H643" s="100"/>
      <c r="I643" s="357"/>
      <c r="J643" s="156"/>
      <c r="K643" s="154"/>
      <c r="L643" s="100"/>
      <c r="M643" s="357"/>
      <c r="N643" s="156"/>
      <c r="O643" s="154"/>
      <c r="P643" s="100"/>
      <c r="Q643" s="357"/>
      <c r="R643" s="156"/>
      <c r="S643" s="154"/>
      <c r="T643" s="100"/>
      <c r="U643" s="357"/>
      <c r="V643" s="156"/>
      <c r="W643" s="154"/>
      <c r="X643" s="100"/>
      <c r="Y643" s="357"/>
      <c r="Z643" s="100"/>
      <c r="AA643" s="100"/>
      <c r="AB643" s="100"/>
      <c r="AC643" s="357"/>
      <c r="AD643" s="367"/>
      <c r="AE643" s="368"/>
      <c r="AF643" s="98"/>
      <c r="AG643" s="357"/>
      <c r="AH643" s="156"/>
      <c r="AI643" s="305"/>
      <c r="AJ643" s="366"/>
      <c r="AK643" s="357"/>
      <c r="AL643" s="371"/>
      <c r="AM643" s="371"/>
      <c r="AN643" s="371"/>
      <c r="AO643" s="357"/>
      <c r="AP643" s="100"/>
      <c r="AQ643" s="100"/>
      <c r="AR643" s="100"/>
      <c r="AS643" s="357"/>
      <c r="AT643" s="100"/>
      <c r="AU643" s="100"/>
      <c r="AV643" s="100"/>
    </row>
    <row r="644">
      <c r="A644" s="357"/>
      <c r="B644" s="156"/>
      <c r="C644" s="154"/>
      <c r="D644" s="100"/>
      <c r="E644" s="357"/>
      <c r="F644" s="156"/>
      <c r="G644" s="154"/>
      <c r="H644" s="100"/>
      <c r="I644" s="357"/>
      <c r="J644" s="156"/>
      <c r="K644" s="154"/>
      <c r="L644" s="100"/>
      <c r="M644" s="357"/>
      <c r="N644" s="156"/>
      <c r="O644" s="154"/>
      <c r="P644" s="100"/>
      <c r="Q644" s="357"/>
      <c r="R644" s="156"/>
      <c r="S644" s="154"/>
      <c r="T644" s="100"/>
      <c r="U644" s="357"/>
      <c r="V644" s="156"/>
      <c r="W644" s="154"/>
      <c r="X644" s="100"/>
      <c r="Y644" s="357"/>
      <c r="Z644" s="100"/>
      <c r="AA644" s="100"/>
      <c r="AB644" s="100"/>
      <c r="AC644" s="357"/>
      <c r="AD644" s="367"/>
      <c r="AE644" s="368"/>
      <c r="AF644" s="98"/>
      <c r="AG644" s="357"/>
      <c r="AH644" s="156"/>
      <c r="AI644" s="305"/>
      <c r="AJ644" s="366"/>
      <c r="AK644" s="357"/>
      <c r="AL644" s="371"/>
      <c r="AM644" s="371"/>
      <c r="AN644" s="371"/>
      <c r="AO644" s="357"/>
      <c r="AP644" s="100"/>
      <c r="AQ644" s="100"/>
      <c r="AR644" s="100"/>
      <c r="AS644" s="357"/>
      <c r="AT644" s="100"/>
      <c r="AU644" s="100"/>
      <c r="AV644" s="100"/>
    </row>
    <row r="645">
      <c r="A645" s="357"/>
      <c r="B645" s="156"/>
      <c r="C645" s="154"/>
      <c r="D645" s="100"/>
      <c r="E645" s="357"/>
      <c r="F645" s="156"/>
      <c r="G645" s="154"/>
      <c r="H645" s="100"/>
      <c r="I645" s="357"/>
      <c r="J645" s="156"/>
      <c r="K645" s="154"/>
      <c r="L645" s="100"/>
      <c r="M645" s="357"/>
      <c r="N645" s="156"/>
      <c r="O645" s="154"/>
      <c r="P645" s="100"/>
      <c r="Q645" s="357"/>
      <c r="R645" s="156"/>
      <c r="S645" s="154"/>
      <c r="T645" s="100"/>
      <c r="U645" s="357"/>
      <c r="V645" s="156"/>
      <c r="W645" s="154"/>
      <c r="X645" s="100"/>
      <c r="Y645" s="357"/>
      <c r="Z645" s="100"/>
      <c r="AA645" s="100"/>
      <c r="AB645" s="100"/>
      <c r="AC645" s="357"/>
      <c r="AD645" s="367"/>
      <c r="AE645" s="368"/>
      <c r="AF645" s="98"/>
      <c r="AG645" s="357"/>
      <c r="AH645" s="156"/>
      <c r="AI645" s="305"/>
      <c r="AJ645" s="366"/>
      <c r="AK645" s="357"/>
      <c r="AL645" s="371"/>
      <c r="AM645" s="371"/>
      <c r="AN645" s="371"/>
      <c r="AO645" s="357"/>
      <c r="AP645" s="100"/>
      <c r="AQ645" s="100"/>
      <c r="AR645" s="100"/>
      <c r="AS645" s="357"/>
      <c r="AT645" s="100"/>
      <c r="AU645" s="100"/>
      <c r="AV645" s="100"/>
    </row>
    <row r="646">
      <c r="A646" s="357"/>
      <c r="B646" s="156"/>
      <c r="C646" s="154"/>
      <c r="D646" s="100"/>
      <c r="E646" s="357"/>
      <c r="F646" s="156"/>
      <c r="G646" s="154"/>
      <c r="H646" s="100"/>
      <c r="I646" s="357"/>
      <c r="J646" s="156"/>
      <c r="K646" s="154"/>
      <c r="L646" s="100"/>
      <c r="M646" s="357"/>
      <c r="N646" s="156"/>
      <c r="O646" s="154"/>
      <c r="P646" s="100"/>
      <c r="Q646" s="357"/>
      <c r="R646" s="156"/>
      <c r="S646" s="154"/>
      <c r="T646" s="100"/>
      <c r="U646" s="357"/>
      <c r="V646" s="156"/>
      <c r="W646" s="154"/>
      <c r="X646" s="100"/>
      <c r="Y646" s="357"/>
      <c r="Z646" s="100"/>
      <c r="AA646" s="100"/>
      <c r="AB646" s="100"/>
      <c r="AC646" s="357"/>
      <c r="AD646" s="367"/>
      <c r="AE646" s="368"/>
      <c r="AF646" s="98"/>
      <c r="AG646" s="357"/>
      <c r="AH646" s="156"/>
      <c r="AI646" s="305"/>
      <c r="AJ646" s="366"/>
      <c r="AK646" s="357"/>
      <c r="AL646" s="371"/>
      <c r="AM646" s="371"/>
      <c r="AN646" s="371"/>
      <c r="AO646" s="357"/>
      <c r="AP646" s="100"/>
      <c r="AQ646" s="100"/>
      <c r="AR646" s="100"/>
      <c r="AS646" s="357"/>
      <c r="AT646" s="100"/>
      <c r="AU646" s="100"/>
      <c r="AV646" s="100"/>
    </row>
    <row r="647">
      <c r="A647" s="357"/>
      <c r="B647" s="156"/>
      <c r="C647" s="154"/>
      <c r="D647" s="100"/>
      <c r="E647" s="357"/>
      <c r="F647" s="156"/>
      <c r="G647" s="154"/>
      <c r="H647" s="100"/>
      <c r="I647" s="357"/>
      <c r="J647" s="156"/>
      <c r="K647" s="154"/>
      <c r="L647" s="100"/>
      <c r="M647" s="357"/>
      <c r="N647" s="156"/>
      <c r="O647" s="154"/>
      <c r="P647" s="100"/>
      <c r="Q647" s="357"/>
      <c r="R647" s="156"/>
      <c r="S647" s="154"/>
      <c r="T647" s="100"/>
      <c r="U647" s="357"/>
      <c r="V647" s="156"/>
      <c r="W647" s="154"/>
      <c r="X647" s="100"/>
      <c r="Y647" s="357"/>
      <c r="Z647" s="100"/>
      <c r="AA647" s="100"/>
      <c r="AB647" s="100"/>
      <c r="AC647" s="357"/>
      <c r="AD647" s="367"/>
      <c r="AE647" s="368"/>
      <c r="AF647" s="98"/>
      <c r="AG647" s="357"/>
      <c r="AH647" s="156"/>
      <c r="AI647" s="305"/>
      <c r="AJ647" s="366"/>
      <c r="AK647" s="357"/>
      <c r="AL647" s="371"/>
      <c r="AM647" s="371"/>
      <c r="AN647" s="371"/>
      <c r="AO647" s="357"/>
      <c r="AP647" s="100"/>
      <c r="AQ647" s="100"/>
      <c r="AR647" s="100"/>
      <c r="AS647" s="357"/>
      <c r="AT647" s="100"/>
      <c r="AU647" s="100"/>
      <c r="AV647" s="100"/>
    </row>
    <row r="648">
      <c r="A648" s="357"/>
      <c r="B648" s="156"/>
      <c r="C648" s="154"/>
      <c r="D648" s="100"/>
      <c r="E648" s="357"/>
      <c r="F648" s="156"/>
      <c r="G648" s="154"/>
      <c r="H648" s="100"/>
      <c r="I648" s="357"/>
      <c r="J648" s="156"/>
      <c r="K648" s="154"/>
      <c r="L648" s="100"/>
      <c r="M648" s="357"/>
      <c r="N648" s="156"/>
      <c r="O648" s="154"/>
      <c r="P648" s="100"/>
      <c r="Q648" s="357"/>
      <c r="R648" s="156"/>
      <c r="S648" s="154"/>
      <c r="T648" s="100"/>
      <c r="U648" s="357"/>
      <c r="V648" s="156"/>
      <c r="W648" s="154"/>
      <c r="X648" s="100"/>
      <c r="Y648" s="357"/>
      <c r="Z648" s="100"/>
      <c r="AA648" s="100"/>
      <c r="AB648" s="100"/>
      <c r="AC648" s="357"/>
      <c r="AD648" s="367"/>
      <c r="AE648" s="368"/>
      <c r="AF648" s="98"/>
      <c r="AG648" s="357"/>
      <c r="AH648" s="156"/>
      <c r="AI648" s="305"/>
      <c r="AJ648" s="366"/>
      <c r="AK648" s="357"/>
      <c r="AL648" s="371"/>
      <c r="AM648" s="371"/>
      <c r="AN648" s="371"/>
      <c r="AO648" s="357"/>
      <c r="AP648" s="100"/>
      <c r="AQ648" s="100"/>
      <c r="AR648" s="100"/>
      <c r="AS648" s="357"/>
      <c r="AT648" s="100"/>
      <c r="AU648" s="100"/>
      <c r="AV648" s="100"/>
    </row>
    <row r="649">
      <c r="A649" s="357"/>
      <c r="B649" s="156"/>
      <c r="C649" s="154"/>
      <c r="D649" s="100"/>
      <c r="E649" s="357"/>
      <c r="F649" s="156"/>
      <c r="G649" s="154"/>
      <c r="H649" s="100"/>
      <c r="I649" s="357"/>
      <c r="J649" s="156"/>
      <c r="K649" s="154"/>
      <c r="L649" s="100"/>
      <c r="M649" s="357"/>
      <c r="N649" s="156"/>
      <c r="O649" s="154"/>
      <c r="P649" s="100"/>
      <c r="Q649" s="357"/>
      <c r="R649" s="156"/>
      <c r="S649" s="154"/>
      <c r="T649" s="100"/>
      <c r="U649" s="357"/>
      <c r="V649" s="156"/>
      <c r="W649" s="154"/>
      <c r="X649" s="100"/>
      <c r="Y649" s="357"/>
      <c r="Z649" s="100"/>
      <c r="AA649" s="100"/>
      <c r="AB649" s="100"/>
      <c r="AC649" s="357"/>
      <c r="AD649" s="367"/>
      <c r="AE649" s="368"/>
      <c r="AF649" s="98"/>
      <c r="AG649" s="357"/>
      <c r="AH649" s="156"/>
      <c r="AI649" s="305"/>
      <c r="AJ649" s="366"/>
      <c r="AK649" s="357"/>
      <c r="AL649" s="371"/>
      <c r="AM649" s="371"/>
      <c r="AN649" s="371"/>
      <c r="AO649" s="357"/>
      <c r="AP649" s="100"/>
      <c r="AQ649" s="100"/>
      <c r="AR649" s="100"/>
      <c r="AS649" s="357"/>
      <c r="AT649" s="100"/>
      <c r="AU649" s="100"/>
      <c r="AV649" s="100"/>
    </row>
    <row r="650">
      <c r="A650" s="357"/>
      <c r="B650" s="156"/>
      <c r="C650" s="154"/>
      <c r="D650" s="100"/>
      <c r="E650" s="357"/>
      <c r="F650" s="156"/>
      <c r="G650" s="154"/>
      <c r="H650" s="100"/>
      <c r="I650" s="357"/>
      <c r="J650" s="156"/>
      <c r="K650" s="154"/>
      <c r="L650" s="100"/>
      <c r="M650" s="357"/>
      <c r="N650" s="156"/>
      <c r="O650" s="154"/>
      <c r="P650" s="100"/>
      <c r="Q650" s="357"/>
      <c r="R650" s="156"/>
      <c r="S650" s="154"/>
      <c r="T650" s="100"/>
      <c r="U650" s="357"/>
      <c r="V650" s="156"/>
      <c r="W650" s="154"/>
      <c r="X650" s="100"/>
      <c r="Y650" s="357"/>
      <c r="Z650" s="100"/>
      <c r="AA650" s="100"/>
      <c r="AB650" s="100"/>
      <c r="AC650" s="357"/>
      <c r="AD650" s="367"/>
      <c r="AE650" s="368"/>
      <c r="AF650" s="98"/>
      <c r="AG650" s="357"/>
      <c r="AH650" s="156"/>
      <c r="AI650" s="305"/>
      <c r="AJ650" s="366"/>
      <c r="AK650" s="357"/>
      <c r="AL650" s="371"/>
      <c r="AM650" s="371"/>
      <c r="AN650" s="371"/>
      <c r="AO650" s="357"/>
      <c r="AP650" s="100"/>
      <c r="AQ650" s="100"/>
      <c r="AR650" s="100"/>
      <c r="AS650" s="357"/>
      <c r="AT650" s="100"/>
      <c r="AU650" s="100"/>
      <c r="AV650" s="100"/>
    </row>
    <row r="651">
      <c r="A651" s="357"/>
      <c r="B651" s="156"/>
      <c r="C651" s="154"/>
      <c r="D651" s="100"/>
      <c r="E651" s="357"/>
      <c r="F651" s="156"/>
      <c r="G651" s="154"/>
      <c r="H651" s="100"/>
      <c r="I651" s="357"/>
      <c r="J651" s="156"/>
      <c r="K651" s="154"/>
      <c r="L651" s="100"/>
      <c r="M651" s="357"/>
      <c r="N651" s="156"/>
      <c r="O651" s="154"/>
      <c r="P651" s="100"/>
      <c r="Q651" s="357"/>
      <c r="R651" s="156"/>
      <c r="S651" s="154"/>
      <c r="T651" s="100"/>
      <c r="U651" s="357"/>
      <c r="V651" s="156"/>
      <c r="W651" s="154"/>
      <c r="X651" s="100"/>
      <c r="Y651" s="357"/>
      <c r="Z651" s="100"/>
      <c r="AA651" s="100"/>
      <c r="AB651" s="100"/>
      <c r="AC651" s="357"/>
      <c r="AD651" s="367"/>
      <c r="AE651" s="368"/>
      <c r="AF651" s="98"/>
      <c r="AG651" s="357"/>
      <c r="AH651" s="156"/>
      <c r="AI651" s="305"/>
      <c r="AJ651" s="366"/>
      <c r="AK651" s="357"/>
      <c r="AL651" s="371"/>
      <c r="AM651" s="371"/>
      <c r="AN651" s="371"/>
      <c r="AO651" s="357"/>
      <c r="AP651" s="100"/>
      <c r="AQ651" s="100"/>
      <c r="AR651" s="100"/>
      <c r="AS651" s="357"/>
      <c r="AT651" s="100"/>
      <c r="AU651" s="100"/>
      <c r="AV651" s="100"/>
    </row>
    <row r="652">
      <c r="A652" s="357"/>
      <c r="B652" s="156"/>
      <c r="C652" s="154"/>
      <c r="D652" s="100"/>
      <c r="E652" s="357"/>
      <c r="F652" s="156"/>
      <c r="G652" s="154"/>
      <c r="H652" s="100"/>
      <c r="I652" s="357"/>
      <c r="J652" s="156"/>
      <c r="K652" s="154"/>
      <c r="L652" s="100"/>
      <c r="M652" s="357"/>
      <c r="N652" s="156"/>
      <c r="O652" s="154"/>
      <c r="P652" s="100"/>
      <c r="Q652" s="357"/>
      <c r="R652" s="156"/>
      <c r="S652" s="154"/>
      <c r="T652" s="100"/>
      <c r="U652" s="357"/>
      <c r="V652" s="156"/>
      <c r="W652" s="154"/>
      <c r="X652" s="100"/>
      <c r="Y652" s="357"/>
      <c r="Z652" s="100"/>
      <c r="AA652" s="100"/>
      <c r="AB652" s="100"/>
      <c r="AC652" s="357"/>
      <c r="AD652" s="367"/>
      <c r="AE652" s="368"/>
      <c r="AF652" s="98"/>
      <c r="AG652" s="357"/>
      <c r="AH652" s="156"/>
      <c r="AI652" s="305"/>
      <c r="AJ652" s="366"/>
      <c r="AK652" s="357"/>
      <c r="AL652" s="371"/>
      <c r="AM652" s="371"/>
      <c r="AN652" s="371"/>
      <c r="AO652" s="357"/>
      <c r="AP652" s="100"/>
      <c r="AQ652" s="100"/>
      <c r="AR652" s="100"/>
      <c r="AS652" s="357"/>
      <c r="AT652" s="100"/>
      <c r="AU652" s="100"/>
      <c r="AV652" s="100"/>
    </row>
    <row r="653">
      <c r="A653" s="357"/>
      <c r="B653" s="156"/>
      <c r="C653" s="154"/>
      <c r="D653" s="100"/>
      <c r="E653" s="357"/>
      <c r="F653" s="156"/>
      <c r="G653" s="154"/>
      <c r="H653" s="100"/>
      <c r="I653" s="357"/>
      <c r="J653" s="156"/>
      <c r="K653" s="154"/>
      <c r="L653" s="100"/>
      <c r="M653" s="357"/>
      <c r="N653" s="156"/>
      <c r="O653" s="154"/>
      <c r="P653" s="100"/>
      <c r="Q653" s="357"/>
      <c r="R653" s="156"/>
      <c r="S653" s="154"/>
      <c r="T653" s="100"/>
      <c r="U653" s="357"/>
      <c r="V653" s="156"/>
      <c r="W653" s="154"/>
      <c r="X653" s="100"/>
      <c r="Y653" s="357"/>
      <c r="Z653" s="100"/>
      <c r="AA653" s="100"/>
      <c r="AB653" s="100"/>
      <c r="AC653" s="357"/>
      <c r="AD653" s="367"/>
      <c r="AE653" s="368"/>
      <c r="AF653" s="98"/>
      <c r="AG653" s="357"/>
      <c r="AH653" s="156"/>
      <c r="AI653" s="305"/>
      <c r="AJ653" s="366"/>
      <c r="AK653" s="357"/>
      <c r="AL653" s="371"/>
      <c r="AM653" s="371"/>
      <c r="AN653" s="371"/>
      <c r="AO653" s="357"/>
      <c r="AP653" s="100"/>
      <c r="AQ653" s="100"/>
      <c r="AR653" s="100"/>
      <c r="AS653" s="357"/>
      <c r="AT653" s="100"/>
      <c r="AU653" s="100"/>
      <c r="AV653" s="100"/>
    </row>
    <row r="654">
      <c r="A654" s="357"/>
      <c r="B654" s="156"/>
      <c r="C654" s="154"/>
      <c r="D654" s="100"/>
      <c r="E654" s="357"/>
      <c r="F654" s="156"/>
      <c r="G654" s="154"/>
      <c r="H654" s="100"/>
      <c r="I654" s="357"/>
      <c r="J654" s="156"/>
      <c r="K654" s="154"/>
      <c r="L654" s="100"/>
      <c r="M654" s="357"/>
      <c r="N654" s="156"/>
      <c r="O654" s="154"/>
      <c r="P654" s="100"/>
      <c r="Q654" s="357"/>
      <c r="R654" s="156"/>
      <c r="S654" s="154"/>
      <c r="T654" s="100"/>
      <c r="U654" s="357"/>
      <c r="V654" s="156"/>
      <c r="W654" s="154"/>
      <c r="X654" s="100"/>
      <c r="Y654" s="357"/>
      <c r="Z654" s="100"/>
      <c r="AA654" s="100"/>
      <c r="AB654" s="100"/>
      <c r="AC654" s="357"/>
      <c r="AD654" s="367"/>
      <c r="AE654" s="368"/>
      <c r="AF654" s="98"/>
      <c r="AG654" s="357"/>
      <c r="AH654" s="156"/>
      <c r="AI654" s="305"/>
      <c r="AJ654" s="366"/>
      <c r="AK654" s="357"/>
      <c r="AL654" s="371"/>
      <c r="AM654" s="371"/>
      <c r="AN654" s="371"/>
      <c r="AO654" s="357"/>
      <c r="AP654" s="100"/>
      <c r="AQ654" s="100"/>
      <c r="AR654" s="100"/>
      <c r="AS654" s="357"/>
      <c r="AT654" s="100"/>
      <c r="AU654" s="100"/>
      <c r="AV654" s="100"/>
    </row>
    <row r="655">
      <c r="A655" s="357"/>
      <c r="B655" s="156"/>
      <c r="C655" s="154"/>
      <c r="D655" s="100"/>
      <c r="E655" s="357"/>
      <c r="F655" s="156"/>
      <c r="G655" s="154"/>
      <c r="H655" s="100"/>
      <c r="I655" s="357"/>
      <c r="J655" s="156"/>
      <c r="K655" s="154"/>
      <c r="L655" s="100"/>
      <c r="M655" s="357"/>
      <c r="N655" s="156"/>
      <c r="O655" s="154"/>
      <c r="P655" s="100"/>
      <c r="Q655" s="357"/>
      <c r="R655" s="156"/>
      <c r="S655" s="154"/>
      <c r="T655" s="100"/>
      <c r="U655" s="357"/>
      <c r="V655" s="156"/>
      <c r="W655" s="154"/>
      <c r="X655" s="100"/>
      <c r="Y655" s="357"/>
      <c r="Z655" s="100"/>
      <c r="AA655" s="100"/>
      <c r="AB655" s="100"/>
      <c r="AC655" s="357"/>
      <c r="AD655" s="367"/>
      <c r="AE655" s="368"/>
      <c r="AF655" s="98"/>
      <c r="AG655" s="357"/>
      <c r="AH655" s="156"/>
      <c r="AI655" s="305"/>
      <c r="AJ655" s="366"/>
      <c r="AK655" s="357"/>
      <c r="AL655" s="371"/>
      <c r="AM655" s="371"/>
      <c r="AN655" s="371"/>
      <c r="AO655" s="357"/>
      <c r="AP655" s="100"/>
      <c r="AQ655" s="100"/>
      <c r="AR655" s="100"/>
      <c r="AS655" s="357"/>
      <c r="AT655" s="100"/>
      <c r="AU655" s="100"/>
      <c r="AV655" s="100"/>
    </row>
    <row r="656">
      <c r="A656" s="357"/>
      <c r="B656" s="156"/>
      <c r="C656" s="154"/>
      <c r="D656" s="100"/>
      <c r="E656" s="357"/>
      <c r="F656" s="156"/>
      <c r="G656" s="154"/>
      <c r="H656" s="100"/>
      <c r="I656" s="357"/>
      <c r="J656" s="156"/>
      <c r="K656" s="154"/>
      <c r="L656" s="100"/>
      <c r="M656" s="357"/>
      <c r="N656" s="156"/>
      <c r="O656" s="154"/>
      <c r="P656" s="100"/>
      <c r="Q656" s="357"/>
      <c r="R656" s="156"/>
      <c r="S656" s="154"/>
      <c r="T656" s="100"/>
      <c r="U656" s="357"/>
      <c r="V656" s="156"/>
      <c r="W656" s="154"/>
      <c r="X656" s="100"/>
      <c r="Y656" s="357"/>
      <c r="Z656" s="100"/>
      <c r="AA656" s="100"/>
      <c r="AB656" s="100"/>
      <c r="AC656" s="357"/>
      <c r="AD656" s="367"/>
      <c r="AE656" s="368"/>
      <c r="AF656" s="98"/>
      <c r="AG656" s="357"/>
      <c r="AH656" s="156"/>
      <c r="AI656" s="305"/>
      <c r="AJ656" s="366"/>
      <c r="AK656" s="357"/>
      <c r="AL656" s="371"/>
      <c r="AM656" s="371"/>
      <c r="AN656" s="371"/>
      <c r="AO656" s="357"/>
      <c r="AP656" s="100"/>
      <c r="AQ656" s="100"/>
      <c r="AR656" s="100"/>
      <c r="AS656" s="357"/>
      <c r="AT656" s="100"/>
      <c r="AU656" s="100"/>
      <c r="AV656" s="100"/>
    </row>
    <row r="657">
      <c r="A657" s="357"/>
      <c r="B657" s="156"/>
      <c r="C657" s="154"/>
      <c r="D657" s="100"/>
      <c r="E657" s="357"/>
      <c r="F657" s="156"/>
      <c r="G657" s="154"/>
      <c r="H657" s="100"/>
      <c r="I657" s="357"/>
      <c r="J657" s="156"/>
      <c r="K657" s="154"/>
      <c r="L657" s="100"/>
      <c r="M657" s="357"/>
      <c r="N657" s="156"/>
      <c r="O657" s="154"/>
      <c r="P657" s="100"/>
      <c r="Q657" s="357"/>
      <c r="R657" s="156"/>
      <c r="S657" s="154"/>
      <c r="T657" s="100"/>
      <c r="U657" s="357"/>
      <c r="V657" s="156"/>
      <c r="W657" s="154"/>
      <c r="X657" s="100"/>
      <c r="Y657" s="357"/>
      <c r="Z657" s="100"/>
      <c r="AA657" s="100"/>
      <c r="AB657" s="100"/>
      <c r="AC657" s="357"/>
      <c r="AD657" s="367"/>
      <c r="AE657" s="368"/>
      <c r="AF657" s="98"/>
      <c r="AG657" s="357"/>
      <c r="AH657" s="156"/>
      <c r="AI657" s="305"/>
      <c r="AJ657" s="366"/>
      <c r="AK657" s="357"/>
      <c r="AL657" s="371"/>
      <c r="AM657" s="371"/>
      <c r="AN657" s="371"/>
      <c r="AO657" s="357"/>
      <c r="AP657" s="100"/>
      <c r="AQ657" s="100"/>
      <c r="AR657" s="100"/>
      <c r="AS657" s="357"/>
      <c r="AT657" s="100"/>
      <c r="AU657" s="100"/>
      <c r="AV657" s="100"/>
    </row>
    <row r="658">
      <c r="A658" s="357"/>
      <c r="B658" s="156"/>
      <c r="C658" s="154"/>
      <c r="D658" s="100"/>
      <c r="E658" s="357"/>
      <c r="F658" s="156"/>
      <c r="G658" s="154"/>
      <c r="H658" s="100"/>
      <c r="I658" s="357"/>
      <c r="J658" s="156"/>
      <c r="K658" s="154"/>
      <c r="L658" s="100"/>
      <c r="M658" s="357"/>
      <c r="N658" s="156"/>
      <c r="O658" s="154"/>
      <c r="P658" s="100"/>
      <c r="Q658" s="357"/>
      <c r="R658" s="156"/>
      <c r="S658" s="154"/>
      <c r="T658" s="100"/>
      <c r="U658" s="357"/>
      <c r="V658" s="156"/>
      <c r="W658" s="154"/>
      <c r="X658" s="100"/>
      <c r="Y658" s="357"/>
      <c r="Z658" s="100"/>
      <c r="AA658" s="100"/>
      <c r="AB658" s="100"/>
      <c r="AC658" s="357"/>
      <c r="AD658" s="367"/>
      <c r="AE658" s="368"/>
      <c r="AF658" s="98"/>
      <c r="AG658" s="357"/>
      <c r="AH658" s="156"/>
      <c r="AI658" s="305"/>
      <c r="AJ658" s="366"/>
      <c r="AK658" s="357"/>
      <c r="AL658" s="371"/>
      <c r="AM658" s="371"/>
      <c r="AN658" s="371"/>
      <c r="AO658" s="357"/>
      <c r="AP658" s="100"/>
      <c r="AQ658" s="100"/>
      <c r="AR658" s="100"/>
      <c r="AS658" s="357"/>
      <c r="AT658" s="100"/>
      <c r="AU658" s="100"/>
      <c r="AV658" s="100"/>
    </row>
    <row r="659">
      <c r="A659" s="357"/>
      <c r="B659" s="156"/>
      <c r="C659" s="154"/>
      <c r="D659" s="100"/>
      <c r="E659" s="357"/>
      <c r="F659" s="156"/>
      <c r="G659" s="154"/>
      <c r="H659" s="100"/>
      <c r="I659" s="357"/>
      <c r="J659" s="156"/>
      <c r="K659" s="154"/>
      <c r="L659" s="100"/>
      <c r="M659" s="357"/>
      <c r="N659" s="156"/>
      <c r="O659" s="154"/>
      <c r="P659" s="100"/>
      <c r="Q659" s="357"/>
      <c r="R659" s="156"/>
      <c r="S659" s="154"/>
      <c r="T659" s="100"/>
      <c r="U659" s="357"/>
      <c r="V659" s="156"/>
      <c r="W659" s="154"/>
      <c r="X659" s="100"/>
      <c r="Y659" s="357"/>
      <c r="Z659" s="100"/>
      <c r="AA659" s="100"/>
      <c r="AB659" s="100"/>
      <c r="AC659" s="357"/>
      <c r="AD659" s="367"/>
      <c r="AE659" s="368"/>
      <c r="AF659" s="98"/>
      <c r="AG659" s="357"/>
      <c r="AH659" s="156"/>
      <c r="AI659" s="305"/>
      <c r="AJ659" s="366"/>
      <c r="AK659" s="357"/>
      <c r="AL659" s="371"/>
      <c r="AM659" s="371"/>
      <c r="AN659" s="371"/>
      <c r="AO659" s="357"/>
      <c r="AP659" s="100"/>
      <c r="AQ659" s="100"/>
      <c r="AR659" s="100"/>
      <c r="AS659" s="357"/>
      <c r="AT659" s="100"/>
      <c r="AU659" s="100"/>
      <c r="AV659" s="100"/>
    </row>
    <row r="660">
      <c r="A660" s="357"/>
      <c r="B660" s="156"/>
      <c r="C660" s="154"/>
      <c r="D660" s="100"/>
      <c r="E660" s="357"/>
      <c r="F660" s="156"/>
      <c r="G660" s="154"/>
      <c r="H660" s="100"/>
      <c r="I660" s="357"/>
      <c r="J660" s="156"/>
      <c r="K660" s="154"/>
      <c r="L660" s="100"/>
      <c r="M660" s="357"/>
      <c r="N660" s="156"/>
      <c r="O660" s="154"/>
      <c r="P660" s="100"/>
      <c r="Q660" s="357"/>
      <c r="R660" s="156"/>
      <c r="S660" s="154"/>
      <c r="T660" s="100"/>
      <c r="U660" s="357"/>
      <c r="V660" s="156"/>
      <c r="W660" s="154"/>
      <c r="X660" s="100"/>
      <c r="Y660" s="357"/>
      <c r="Z660" s="100"/>
      <c r="AA660" s="100"/>
      <c r="AB660" s="100"/>
      <c r="AC660" s="357"/>
      <c r="AD660" s="367"/>
      <c r="AE660" s="368"/>
      <c r="AF660" s="98"/>
      <c r="AG660" s="357"/>
      <c r="AH660" s="156"/>
      <c r="AI660" s="305"/>
      <c r="AJ660" s="366"/>
      <c r="AK660" s="357"/>
      <c r="AL660" s="371"/>
      <c r="AM660" s="371"/>
      <c r="AN660" s="371"/>
      <c r="AO660" s="357"/>
      <c r="AP660" s="100"/>
      <c r="AQ660" s="100"/>
      <c r="AR660" s="100"/>
      <c r="AS660" s="357"/>
      <c r="AT660" s="100"/>
      <c r="AU660" s="100"/>
      <c r="AV660" s="100"/>
    </row>
    <row r="661">
      <c r="A661" s="357"/>
      <c r="B661" s="156"/>
      <c r="C661" s="154"/>
      <c r="D661" s="100"/>
      <c r="E661" s="357"/>
      <c r="F661" s="156"/>
      <c r="G661" s="154"/>
      <c r="H661" s="100"/>
      <c r="I661" s="357"/>
      <c r="J661" s="156"/>
      <c r="K661" s="154"/>
      <c r="L661" s="100"/>
      <c r="M661" s="357"/>
      <c r="N661" s="156"/>
      <c r="O661" s="154"/>
      <c r="P661" s="100"/>
      <c r="Q661" s="357"/>
      <c r="R661" s="156"/>
      <c r="S661" s="154"/>
      <c r="T661" s="100"/>
      <c r="U661" s="357"/>
      <c r="V661" s="156"/>
      <c r="W661" s="154"/>
      <c r="X661" s="100"/>
      <c r="Y661" s="357"/>
      <c r="Z661" s="100"/>
      <c r="AA661" s="100"/>
      <c r="AB661" s="100"/>
      <c r="AC661" s="357"/>
      <c r="AD661" s="367"/>
      <c r="AE661" s="368"/>
      <c r="AF661" s="98"/>
      <c r="AG661" s="357"/>
      <c r="AH661" s="156"/>
      <c r="AI661" s="305"/>
      <c r="AJ661" s="366"/>
      <c r="AK661" s="357"/>
      <c r="AL661" s="371"/>
      <c r="AM661" s="371"/>
      <c r="AN661" s="371"/>
      <c r="AO661" s="357"/>
      <c r="AP661" s="100"/>
      <c r="AQ661" s="100"/>
      <c r="AR661" s="100"/>
      <c r="AS661" s="357"/>
      <c r="AT661" s="100"/>
      <c r="AU661" s="100"/>
      <c r="AV661" s="100"/>
    </row>
    <row r="662">
      <c r="A662" s="357"/>
      <c r="B662" s="156"/>
      <c r="C662" s="154"/>
      <c r="D662" s="100"/>
      <c r="E662" s="357"/>
      <c r="F662" s="156"/>
      <c r="G662" s="154"/>
      <c r="H662" s="100"/>
      <c r="I662" s="357"/>
      <c r="J662" s="156"/>
      <c r="K662" s="154"/>
      <c r="L662" s="100"/>
      <c r="M662" s="357"/>
      <c r="N662" s="156"/>
      <c r="O662" s="154"/>
      <c r="P662" s="100"/>
      <c r="Q662" s="357"/>
      <c r="R662" s="156"/>
      <c r="S662" s="154"/>
      <c r="T662" s="100"/>
      <c r="U662" s="357"/>
      <c r="V662" s="156"/>
      <c r="W662" s="154"/>
      <c r="X662" s="100"/>
      <c r="Y662" s="357"/>
      <c r="Z662" s="100"/>
      <c r="AA662" s="100"/>
      <c r="AB662" s="100"/>
      <c r="AC662" s="357"/>
      <c r="AD662" s="367"/>
      <c r="AE662" s="368"/>
      <c r="AF662" s="98"/>
      <c r="AG662" s="357"/>
      <c r="AH662" s="156"/>
      <c r="AI662" s="305"/>
      <c r="AJ662" s="366"/>
      <c r="AK662" s="357"/>
      <c r="AL662" s="371"/>
      <c r="AM662" s="371"/>
      <c r="AN662" s="371"/>
      <c r="AO662" s="357"/>
      <c r="AP662" s="100"/>
      <c r="AQ662" s="100"/>
      <c r="AR662" s="100"/>
      <c r="AS662" s="357"/>
      <c r="AT662" s="100"/>
      <c r="AU662" s="100"/>
      <c r="AV662" s="100"/>
    </row>
    <row r="663">
      <c r="A663" s="357"/>
      <c r="B663" s="156"/>
      <c r="C663" s="154"/>
      <c r="D663" s="100"/>
      <c r="E663" s="357"/>
      <c r="F663" s="156"/>
      <c r="G663" s="154"/>
      <c r="H663" s="100"/>
      <c r="I663" s="357"/>
      <c r="J663" s="156"/>
      <c r="K663" s="154"/>
      <c r="L663" s="100"/>
      <c r="M663" s="357"/>
      <c r="N663" s="156"/>
      <c r="O663" s="154"/>
      <c r="P663" s="100"/>
      <c r="Q663" s="357"/>
      <c r="R663" s="156"/>
      <c r="S663" s="154"/>
      <c r="T663" s="100"/>
      <c r="U663" s="357"/>
      <c r="V663" s="156"/>
      <c r="W663" s="154"/>
      <c r="X663" s="100"/>
      <c r="Y663" s="357"/>
      <c r="Z663" s="100"/>
      <c r="AA663" s="100"/>
      <c r="AB663" s="100"/>
      <c r="AC663" s="357"/>
      <c r="AD663" s="367"/>
      <c r="AE663" s="368"/>
      <c r="AF663" s="98"/>
      <c r="AG663" s="357"/>
      <c r="AH663" s="156"/>
      <c r="AI663" s="305"/>
      <c r="AJ663" s="366"/>
      <c r="AK663" s="357"/>
      <c r="AL663" s="371"/>
      <c r="AM663" s="371"/>
      <c r="AN663" s="371"/>
      <c r="AO663" s="357"/>
      <c r="AP663" s="100"/>
      <c r="AQ663" s="100"/>
      <c r="AR663" s="100"/>
      <c r="AS663" s="357"/>
      <c r="AT663" s="100"/>
      <c r="AU663" s="100"/>
      <c r="AV663" s="100"/>
    </row>
    <row r="664">
      <c r="A664" s="357"/>
      <c r="B664" s="156"/>
      <c r="C664" s="154"/>
      <c r="D664" s="100"/>
      <c r="E664" s="357"/>
      <c r="F664" s="156"/>
      <c r="G664" s="154"/>
      <c r="H664" s="100"/>
      <c r="I664" s="357"/>
      <c r="J664" s="156"/>
      <c r="K664" s="154"/>
      <c r="L664" s="100"/>
      <c r="M664" s="357"/>
      <c r="N664" s="156"/>
      <c r="O664" s="154"/>
      <c r="P664" s="100"/>
      <c r="Q664" s="357"/>
      <c r="R664" s="156"/>
      <c r="S664" s="154"/>
      <c r="T664" s="100"/>
      <c r="U664" s="357"/>
      <c r="V664" s="156"/>
      <c r="W664" s="154"/>
      <c r="X664" s="100"/>
      <c r="Y664" s="357"/>
      <c r="Z664" s="100"/>
      <c r="AA664" s="100"/>
      <c r="AB664" s="100"/>
      <c r="AC664" s="357"/>
      <c r="AD664" s="367"/>
      <c r="AE664" s="368"/>
      <c r="AF664" s="98"/>
      <c r="AG664" s="357"/>
      <c r="AH664" s="156"/>
      <c r="AI664" s="305"/>
      <c r="AJ664" s="366"/>
      <c r="AK664" s="357"/>
      <c r="AL664" s="371"/>
      <c r="AM664" s="371"/>
      <c r="AN664" s="371"/>
      <c r="AO664" s="357"/>
      <c r="AP664" s="100"/>
      <c r="AQ664" s="100"/>
      <c r="AR664" s="100"/>
      <c r="AS664" s="357"/>
      <c r="AT664" s="100"/>
      <c r="AU664" s="100"/>
      <c r="AV664" s="100"/>
    </row>
    <row r="665">
      <c r="A665" s="357"/>
      <c r="B665" s="156"/>
      <c r="C665" s="154"/>
      <c r="D665" s="100"/>
      <c r="E665" s="357"/>
      <c r="F665" s="156"/>
      <c r="G665" s="154"/>
      <c r="H665" s="100"/>
      <c r="I665" s="357"/>
      <c r="J665" s="156"/>
      <c r="K665" s="154"/>
      <c r="L665" s="100"/>
      <c r="M665" s="357"/>
      <c r="N665" s="156"/>
      <c r="O665" s="154"/>
      <c r="P665" s="100"/>
      <c r="Q665" s="357"/>
      <c r="R665" s="156"/>
      <c r="S665" s="154"/>
      <c r="T665" s="100"/>
      <c r="U665" s="357"/>
      <c r="V665" s="156"/>
      <c r="W665" s="154"/>
      <c r="X665" s="100"/>
      <c r="Y665" s="357"/>
      <c r="Z665" s="100"/>
      <c r="AA665" s="100"/>
      <c r="AB665" s="100"/>
      <c r="AC665" s="357"/>
      <c r="AD665" s="367"/>
      <c r="AE665" s="368"/>
      <c r="AF665" s="98"/>
      <c r="AG665" s="357"/>
      <c r="AH665" s="156"/>
      <c r="AI665" s="305"/>
      <c r="AJ665" s="366"/>
      <c r="AK665" s="357"/>
      <c r="AL665" s="371"/>
      <c r="AM665" s="371"/>
      <c r="AN665" s="371"/>
      <c r="AO665" s="357"/>
      <c r="AP665" s="100"/>
      <c r="AQ665" s="100"/>
      <c r="AR665" s="100"/>
      <c r="AS665" s="357"/>
      <c r="AT665" s="100"/>
      <c r="AU665" s="100"/>
      <c r="AV665" s="100"/>
    </row>
    <row r="666">
      <c r="A666" s="357"/>
      <c r="B666" s="156"/>
      <c r="C666" s="154"/>
      <c r="D666" s="100"/>
      <c r="E666" s="357"/>
      <c r="F666" s="156"/>
      <c r="G666" s="154"/>
      <c r="H666" s="100"/>
      <c r="I666" s="357"/>
      <c r="J666" s="156"/>
      <c r="K666" s="154"/>
      <c r="L666" s="100"/>
      <c r="M666" s="357"/>
      <c r="N666" s="156"/>
      <c r="O666" s="154"/>
      <c r="P666" s="100"/>
      <c r="Q666" s="357"/>
      <c r="R666" s="156"/>
      <c r="S666" s="154"/>
      <c r="T666" s="100"/>
      <c r="U666" s="357"/>
      <c r="V666" s="156"/>
      <c r="W666" s="154"/>
      <c r="X666" s="100"/>
      <c r="Y666" s="357"/>
      <c r="Z666" s="100"/>
      <c r="AA666" s="100"/>
      <c r="AB666" s="100"/>
      <c r="AC666" s="357"/>
      <c r="AD666" s="367"/>
      <c r="AE666" s="368"/>
      <c r="AF666" s="98"/>
      <c r="AG666" s="357"/>
      <c r="AH666" s="156"/>
      <c r="AI666" s="305"/>
      <c r="AJ666" s="366"/>
      <c r="AK666" s="357"/>
      <c r="AL666" s="371"/>
      <c r="AM666" s="371"/>
      <c r="AN666" s="371"/>
      <c r="AO666" s="357"/>
      <c r="AP666" s="100"/>
      <c r="AQ666" s="100"/>
      <c r="AR666" s="100"/>
      <c r="AS666" s="357"/>
      <c r="AT666" s="100"/>
      <c r="AU666" s="100"/>
      <c r="AV666" s="100"/>
    </row>
    <row r="667">
      <c r="A667" s="357"/>
      <c r="B667" s="156"/>
      <c r="C667" s="154"/>
      <c r="D667" s="100"/>
      <c r="E667" s="357"/>
      <c r="F667" s="156"/>
      <c r="G667" s="154"/>
      <c r="H667" s="100"/>
      <c r="I667" s="357"/>
      <c r="J667" s="156"/>
      <c r="K667" s="154"/>
      <c r="L667" s="100"/>
      <c r="M667" s="357"/>
      <c r="N667" s="156"/>
      <c r="O667" s="154"/>
      <c r="P667" s="100"/>
      <c r="Q667" s="357"/>
      <c r="R667" s="156"/>
      <c r="S667" s="154"/>
      <c r="T667" s="100"/>
      <c r="U667" s="357"/>
      <c r="V667" s="156"/>
      <c r="W667" s="154"/>
      <c r="X667" s="100"/>
      <c r="Y667" s="357"/>
      <c r="Z667" s="100"/>
      <c r="AA667" s="100"/>
      <c r="AB667" s="100"/>
      <c r="AC667" s="357"/>
      <c r="AD667" s="367"/>
      <c r="AE667" s="368"/>
      <c r="AF667" s="98"/>
      <c r="AG667" s="357"/>
      <c r="AH667" s="156"/>
      <c r="AI667" s="305"/>
      <c r="AJ667" s="366"/>
      <c r="AK667" s="357"/>
      <c r="AL667" s="371"/>
      <c r="AM667" s="371"/>
      <c r="AN667" s="371"/>
      <c r="AO667" s="357"/>
      <c r="AP667" s="100"/>
      <c r="AQ667" s="100"/>
      <c r="AR667" s="100"/>
      <c r="AS667" s="357"/>
      <c r="AT667" s="100"/>
      <c r="AU667" s="100"/>
      <c r="AV667" s="100"/>
    </row>
    <row r="668">
      <c r="A668" s="357"/>
      <c r="B668" s="156"/>
      <c r="C668" s="154"/>
      <c r="D668" s="100"/>
      <c r="E668" s="357"/>
      <c r="F668" s="156"/>
      <c r="G668" s="154"/>
      <c r="H668" s="100"/>
      <c r="I668" s="357"/>
      <c r="J668" s="156"/>
      <c r="K668" s="154"/>
      <c r="L668" s="100"/>
      <c r="M668" s="357"/>
      <c r="N668" s="156"/>
      <c r="O668" s="154"/>
      <c r="P668" s="100"/>
      <c r="Q668" s="357"/>
      <c r="R668" s="156"/>
      <c r="S668" s="154"/>
      <c r="T668" s="100"/>
      <c r="U668" s="357"/>
      <c r="V668" s="156"/>
      <c r="W668" s="154"/>
      <c r="X668" s="100"/>
      <c r="Y668" s="357"/>
      <c r="Z668" s="100"/>
      <c r="AA668" s="100"/>
      <c r="AB668" s="100"/>
      <c r="AC668" s="357"/>
      <c r="AD668" s="367"/>
      <c r="AE668" s="368"/>
      <c r="AF668" s="98"/>
      <c r="AG668" s="357"/>
      <c r="AH668" s="156"/>
      <c r="AI668" s="305"/>
      <c r="AJ668" s="366"/>
      <c r="AK668" s="357"/>
      <c r="AL668" s="371"/>
      <c r="AM668" s="371"/>
      <c r="AN668" s="371"/>
      <c r="AO668" s="357"/>
      <c r="AP668" s="100"/>
      <c r="AQ668" s="100"/>
      <c r="AR668" s="100"/>
      <c r="AS668" s="357"/>
      <c r="AT668" s="100"/>
      <c r="AU668" s="100"/>
      <c r="AV668" s="100"/>
    </row>
    <row r="669">
      <c r="A669" s="357"/>
      <c r="B669" s="156"/>
      <c r="C669" s="154"/>
      <c r="D669" s="100"/>
      <c r="E669" s="357"/>
      <c r="F669" s="156"/>
      <c r="G669" s="154"/>
      <c r="H669" s="100"/>
      <c r="I669" s="357"/>
      <c r="J669" s="156"/>
      <c r="K669" s="154"/>
      <c r="L669" s="100"/>
      <c r="M669" s="357"/>
      <c r="N669" s="156"/>
      <c r="O669" s="154"/>
      <c r="P669" s="100"/>
      <c r="Q669" s="357"/>
      <c r="R669" s="156"/>
      <c r="S669" s="154"/>
      <c r="T669" s="100"/>
      <c r="U669" s="357"/>
      <c r="V669" s="156"/>
      <c r="W669" s="154"/>
      <c r="X669" s="100"/>
      <c r="Y669" s="357"/>
      <c r="Z669" s="100"/>
      <c r="AA669" s="100"/>
      <c r="AB669" s="100"/>
      <c r="AC669" s="357"/>
      <c r="AD669" s="367"/>
      <c r="AE669" s="368"/>
      <c r="AF669" s="98"/>
      <c r="AG669" s="357"/>
      <c r="AH669" s="156"/>
      <c r="AI669" s="305"/>
      <c r="AJ669" s="366"/>
      <c r="AK669" s="357"/>
      <c r="AL669" s="371"/>
      <c r="AM669" s="371"/>
      <c r="AN669" s="371"/>
      <c r="AO669" s="357"/>
      <c r="AP669" s="100"/>
      <c r="AQ669" s="100"/>
      <c r="AR669" s="100"/>
      <c r="AS669" s="357"/>
      <c r="AT669" s="100"/>
      <c r="AU669" s="100"/>
      <c r="AV669" s="100"/>
    </row>
    <row r="670">
      <c r="A670" s="357"/>
      <c r="B670" s="156"/>
      <c r="C670" s="154"/>
      <c r="D670" s="100"/>
      <c r="E670" s="357"/>
      <c r="F670" s="156"/>
      <c r="G670" s="154"/>
      <c r="H670" s="100"/>
      <c r="I670" s="357"/>
      <c r="J670" s="156"/>
      <c r="K670" s="154"/>
      <c r="L670" s="100"/>
      <c r="M670" s="357"/>
      <c r="N670" s="156"/>
      <c r="O670" s="154"/>
      <c r="P670" s="100"/>
      <c r="Q670" s="357"/>
      <c r="R670" s="156"/>
      <c r="S670" s="154"/>
      <c r="T670" s="100"/>
      <c r="U670" s="357"/>
      <c r="V670" s="156"/>
      <c r="W670" s="154"/>
      <c r="X670" s="100"/>
      <c r="Y670" s="357"/>
      <c r="Z670" s="100"/>
      <c r="AA670" s="100"/>
      <c r="AB670" s="100"/>
      <c r="AC670" s="357"/>
      <c r="AD670" s="367"/>
      <c r="AE670" s="368"/>
      <c r="AF670" s="98"/>
      <c r="AG670" s="357"/>
      <c r="AH670" s="156"/>
      <c r="AI670" s="305"/>
      <c r="AJ670" s="366"/>
      <c r="AK670" s="357"/>
      <c r="AL670" s="371"/>
      <c r="AM670" s="371"/>
      <c r="AN670" s="371"/>
      <c r="AO670" s="357"/>
      <c r="AP670" s="100"/>
      <c r="AQ670" s="100"/>
      <c r="AR670" s="100"/>
      <c r="AS670" s="357"/>
      <c r="AT670" s="100"/>
      <c r="AU670" s="100"/>
      <c r="AV670" s="100"/>
    </row>
    <row r="671">
      <c r="A671" s="357"/>
      <c r="B671" s="156"/>
      <c r="C671" s="154"/>
      <c r="D671" s="100"/>
      <c r="E671" s="357"/>
      <c r="F671" s="156"/>
      <c r="G671" s="154"/>
      <c r="H671" s="100"/>
      <c r="I671" s="357"/>
      <c r="J671" s="156"/>
      <c r="K671" s="154"/>
      <c r="L671" s="100"/>
      <c r="M671" s="357"/>
      <c r="N671" s="156"/>
      <c r="O671" s="154"/>
      <c r="P671" s="100"/>
      <c r="Q671" s="357"/>
      <c r="R671" s="156"/>
      <c r="S671" s="154"/>
      <c r="T671" s="100"/>
      <c r="U671" s="357"/>
      <c r="V671" s="156"/>
      <c r="W671" s="154"/>
      <c r="X671" s="100"/>
      <c r="Y671" s="357"/>
      <c r="Z671" s="100"/>
      <c r="AA671" s="100"/>
      <c r="AB671" s="100"/>
      <c r="AC671" s="357"/>
      <c r="AD671" s="367"/>
      <c r="AE671" s="368"/>
      <c r="AF671" s="98"/>
      <c r="AG671" s="357"/>
      <c r="AH671" s="156"/>
      <c r="AI671" s="305"/>
      <c r="AJ671" s="366"/>
      <c r="AK671" s="357"/>
      <c r="AL671" s="371"/>
      <c r="AM671" s="371"/>
      <c r="AN671" s="371"/>
      <c r="AO671" s="357"/>
      <c r="AP671" s="100"/>
      <c r="AQ671" s="100"/>
      <c r="AR671" s="100"/>
      <c r="AS671" s="357"/>
      <c r="AT671" s="100"/>
      <c r="AU671" s="100"/>
      <c r="AV671" s="100"/>
    </row>
    <row r="672">
      <c r="A672" s="357"/>
      <c r="B672" s="156"/>
      <c r="C672" s="154"/>
      <c r="D672" s="100"/>
      <c r="E672" s="357"/>
      <c r="F672" s="156"/>
      <c r="G672" s="154"/>
      <c r="H672" s="100"/>
      <c r="I672" s="357"/>
      <c r="J672" s="156"/>
      <c r="K672" s="154"/>
      <c r="L672" s="100"/>
      <c r="M672" s="357"/>
      <c r="N672" s="156"/>
      <c r="O672" s="154"/>
      <c r="P672" s="100"/>
      <c r="Q672" s="357"/>
      <c r="R672" s="156"/>
      <c r="S672" s="154"/>
      <c r="T672" s="100"/>
      <c r="U672" s="357"/>
      <c r="V672" s="156"/>
      <c r="W672" s="154"/>
      <c r="X672" s="100"/>
      <c r="Y672" s="357"/>
      <c r="Z672" s="100"/>
      <c r="AA672" s="100"/>
      <c r="AB672" s="100"/>
      <c r="AC672" s="357"/>
      <c r="AD672" s="367"/>
      <c r="AE672" s="368"/>
      <c r="AF672" s="98"/>
      <c r="AG672" s="357"/>
      <c r="AH672" s="156"/>
      <c r="AI672" s="305"/>
      <c r="AJ672" s="366"/>
      <c r="AK672" s="357"/>
      <c r="AL672" s="371"/>
      <c r="AM672" s="371"/>
      <c r="AN672" s="371"/>
      <c r="AO672" s="357"/>
      <c r="AP672" s="100"/>
      <c r="AQ672" s="100"/>
      <c r="AR672" s="100"/>
      <c r="AS672" s="357"/>
      <c r="AT672" s="100"/>
      <c r="AU672" s="100"/>
      <c r="AV672" s="100"/>
    </row>
    <row r="673">
      <c r="A673" s="357"/>
      <c r="B673" s="156"/>
      <c r="C673" s="154"/>
      <c r="D673" s="100"/>
      <c r="E673" s="357"/>
      <c r="F673" s="156"/>
      <c r="G673" s="154"/>
      <c r="H673" s="100"/>
      <c r="I673" s="357"/>
      <c r="J673" s="156"/>
      <c r="K673" s="154"/>
      <c r="L673" s="100"/>
      <c r="M673" s="357"/>
      <c r="N673" s="156"/>
      <c r="O673" s="154"/>
      <c r="P673" s="100"/>
      <c r="Q673" s="357"/>
      <c r="R673" s="156"/>
      <c r="S673" s="154"/>
      <c r="T673" s="100"/>
      <c r="U673" s="357"/>
      <c r="V673" s="156"/>
      <c r="W673" s="154"/>
      <c r="X673" s="100"/>
      <c r="Y673" s="357"/>
      <c r="Z673" s="100"/>
      <c r="AA673" s="100"/>
      <c r="AB673" s="100"/>
      <c r="AC673" s="357"/>
      <c r="AD673" s="367"/>
      <c r="AE673" s="368"/>
      <c r="AF673" s="98"/>
      <c r="AG673" s="357"/>
      <c r="AH673" s="156"/>
      <c r="AI673" s="305"/>
      <c r="AJ673" s="366"/>
      <c r="AK673" s="357"/>
      <c r="AL673" s="371"/>
      <c r="AM673" s="371"/>
      <c r="AN673" s="371"/>
      <c r="AO673" s="357"/>
      <c r="AP673" s="100"/>
      <c r="AQ673" s="100"/>
      <c r="AR673" s="100"/>
      <c r="AS673" s="357"/>
      <c r="AT673" s="100"/>
      <c r="AU673" s="100"/>
      <c r="AV673" s="100"/>
    </row>
    <row r="674">
      <c r="A674" s="357"/>
      <c r="B674" s="156"/>
      <c r="C674" s="154"/>
      <c r="D674" s="100"/>
      <c r="E674" s="357"/>
      <c r="F674" s="156"/>
      <c r="G674" s="154"/>
      <c r="H674" s="100"/>
      <c r="I674" s="357"/>
      <c r="J674" s="156"/>
      <c r="K674" s="154"/>
      <c r="L674" s="100"/>
      <c r="M674" s="357"/>
      <c r="N674" s="156"/>
      <c r="O674" s="154"/>
      <c r="P674" s="100"/>
      <c r="Q674" s="357"/>
      <c r="R674" s="156"/>
      <c r="S674" s="154"/>
      <c r="T674" s="100"/>
      <c r="U674" s="357"/>
      <c r="V674" s="156"/>
      <c r="W674" s="154"/>
      <c r="X674" s="100"/>
      <c r="Y674" s="357"/>
      <c r="Z674" s="100"/>
      <c r="AA674" s="100"/>
      <c r="AB674" s="100"/>
      <c r="AC674" s="357"/>
      <c r="AD674" s="367"/>
      <c r="AE674" s="368"/>
      <c r="AF674" s="98"/>
      <c r="AG674" s="357"/>
      <c r="AH674" s="156"/>
      <c r="AI674" s="305"/>
      <c r="AJ674" s="366"/>
      <c r="AK674" s="357"/>
      <c r="AL674" s="371"/>
      <c r="AM674" s="371"/>
      <c r="AN674" s="371"/>
      <c r="AO674" s="357"/>
      <c r="AP674" s="100"/>
      <c r="AQ674" s="100"/>
      <c r="AR674" s="100"/>
      <c r="AS674" s="357"/>
      <c r="AT674" s="100"/>
      <c r="AU674" s="100"/>
      <c r="AV674" s="100"/>
    </row>
    <row r="675">
      <c r="A675" s="357"/>
      <c r="B675" s="156"/>
      <c r="C675" s="154"/>
      <c r="D675" s="100"/>
      <c r="E675" s="357"/>
      <c r="F675" s="156"/>
      <c r="G675" s="154"/>
      <c r="H675" s="100"/>
      <c r="I675" s="357"/>
      <c r="J675" s="156"/>
      <c r="K675" s="154"/>
      <c r="L675" s="100"/>
      <c r="M675" s="357"/>
      <c r="N675" s="156"/>
      <c r="O675" s="154"/>
      <c r="P675" s="100"/>
      <c r="Q675" s="357"/>
      <c r="R675" s="156"/>
      <c r="S675" s="154"/>
      <c r="T675" s="100"/>
      <c r="U675" s="357"/>
      <c r="V675" s="156"/>
      <c r="W675" s="154"/>
      <c r="X675" s="100"/>
      <c r="Y675" s="357"/>
      <c r="Z675" s="100"/>
      <c r="AA675" s="100"/>
      <c r="AB675" s="100"/>
      <c r="AC675" s="357"/>
      <c r="AD675" s="367"/>
      <c r="AE675" s="368"/>
      <c r="AF675" s="98"/>
      <c r="AG675" s="357"/>
      <c r="AH675" s="156"/>
      <c r="AI675" s="305"/>
      <c r="AJ675" s="366"/>
      <c r="AK675" s="357"/>
      <c r="AL675" s="371"/>
      <c r="AM675" s="371"/>
      <c r="AN675" s="371"/>
      <c r="AO675" s="357"/>
      <c r="AP675" s="100"/>
      <c r="AQ675" s="100"/>
      <c r="AR675" s="100"/>
      <c r="AS675" s="357"/>
      <c r="AT675" s="100"/>
      <c r="AU675" s="100"/>
      <c r="AV675" s="100"/>
    </row>
    <row r="676">
      <c r="A676" s="357"/>
      <c r="B676" s="156"/>
      <c r="C676" s="154"/>
      <c r="D676" s="100"/>
      <c r="E676" s="357"/>
      <c r="F676" s="156"/>
      <c r="G676" s="154"/>
      <c r="H676" s="100"/>
      <c r="I676" s="357"/>
      <c r="J676" s="156"/>
      <c r="K676" s="154"/>
      <c r="L676" s="100"/>
      <c r="M676" s="357"/>
      <c r="N676" s="156"/>
      <c r="O676" s="154"/>
      <c r="P676" s="100"/>
      <c r="Q676" s="357"/>
      <c r="R676" s="156"/>
      <c r="S676" s="154"/>
      <c r="T676" s="100"/>
      <c r="U676" s="357"/>
      <c r="V676" s="156"/>
      <c r="W676" s="154"/>
      <c r="X676" s="100"/>
      <c r="Y676" s="357"/>
      <c r="Z676" s="100"/>
      <c r="AA676" s="100"/>
      <c r="AB676" s="100"/>
      <c r="AC676" s="357"/>
      <c r="AD676" s="367"/>
      <c r="AE676" s="368"/>
      <c r="AF676" s="98"/>
      <c r="AG676" s="357"/>
      <c r="AH676" s="156"/>
      <c r="AI676" s="305"/>
      <c r="AJ676" s="366"/>
      <c r="AK676" s="357"/>
      <c r="AL676" s="371"/>
      <c r="AM676" s="371"/>
      <c r="AN676" s="371"/>
      <c r="AO676" s="357"/>
      <c r="AP676" s="100"/>
      <c r="AQ676" s="100"/>
      <c r="AR676" s="100"/>
      <c r="AS676" s="357"/>
      <c r="AT676" s="100"/>
      <c r="AU676" s="100"/>
      <c r="AV676" s="100"/>
    </row>
    <row r="677">
      <c r="A677" s="357"/>
      <c r="B677" s="156"/>
      <c r="C677" s="154"/>
      <c r="D677" s="100"/>
      <c r="E677" s="357"/>
      <c r="F677" s="156"/>
      <c r="G677" s="154"/>
      <c r="H677" s="100"/>
      <c r="I677" s="357"/>
      <c r="J677" s="156"/>
      <c r="K677" s="154"/>
      <c r="L677" s="100"/>
      <c r="M677" s="357"/>
      <c r="N677" s="156"/>
      <c r="O677" s="154"/>
      <c r="P677" s="100"/>
      <c r="Q677" s="357"/>
      <c r="R677" s="156"/>
      <c r="S677" s="154"/>
      <c r="T677" s="100"/>
      <c r="U677" s="357"/>
      <c r="V677" s="156"/>
      <c r="W677" s="154"/>
      <c r="X677" s="100"/>
      <c r="Y677" s="357"/>
      <c r="Z677" s="100"/>
      <c r="AA677" s="100"/>
      <c r="AB677" s="100"/>
      <c r="AC677" s="357"/>
      <c r="AD677" s="367"/>
      <c r="AE677" s="368"/>
      <c r="AF677" s="98"/>
      <c r="AG677" s="357"/>
      <c r="AH677" s="156"/>
      <c r="AI677" s="305"/>
      <c r="AJ677" s="366"/>
      <c r="AK677" s="357"/>
      <c r="AL677" s="371"/>
      <c r="AM677" s="371"/>
      <c r="AN677" s="371"/>
      <c r="AO677" s="357"/>
      <c r="AP677" s="100"/>
      <c r="AQ677" s="100"/>
      <c r="AR677" s="100"/>
      <c r="AS677" s="357"/>
      <c r="AT677" s="100"/>
      <c r="AU677" s="100"/>
      <c r="AV677" s="100"/>
    </row>
    <row r="678">
      <c r="A678" s="357"/>
      <c r="B678" s="156"/>
      <c r="C678" s="154"/>
      <c r="D678" s="100"/>
      <c r="E678" s="357"/>
      <c r="F678" s="156"/>
      <c r="G678" s="154"/>
      <c r="H678" s="100"/>
      <c r="I678" s="357"/>
      <c r="J678" s="156"/>
      <c r="K678" s="154"/>
      <c r="L678" s="100"/>
      <c r="M678" s="357"/>
      <c r="N678" s="156"/>
      <c r="O678" s="154"/>
      <c r="P678" s="100"/>
      <c r="Q678" s="357"/>
      <c r="R678" s="156"/>
      <c r="S678" s="154"/>
      <c r="T678" s="100"/>
      <c r="U678" s="357"/>
      <c r="V678" s="156"/>
      <c r="W678" s="154"/>
      <c r="X678" s="100"/>
      <c r="Y678" s="357"/>
      <c r="Z678" s="100"/>
      <c r="AA678" s="100"/>
      <c r="AB678" s="100"/>
      <c r="AC678" s="357"/>
      <c r="AD678" s="367"/>
      <c r="AE678" s="368"/>
      <c r="AF678" s="98"/>
      <c r="AG678" s="357"/>
      <c r="AH678" s="156"/>
      <c r="AI678" s="305"/>
      <c r="AJ678" s="366"/>
      <c r="AK678" s="357"/>
      <c r="AL678" s="371"/>
      <c r="AM678" s="371"/>
      <c r="AN678" s="371"/>
      <c r="AO678" s="357"/>
      <c r="AP678" s="100"/>
      <c r="AQ678" s="100"/>
      <c r="AR678" s="100"/>
      <c r="AS678" s="357"/>
      <c r="AT678" s="100"/>
      <c r="AU678" s="100"/>
      <c r="AV678" s="100"/>
    </row>
    <row r="679">
      <c r="A679" s="357"/>
      <c r="B679" s="156"/>
      <c r="C679" s="154"/>
      <c r="D679" s="100"/>
      <c r="E679" s="357"/>
      <c r="F679" s="156"/>
      <c r="G679" s="154"/>
      <c r="H679" s="100"/>
      <c r="I679" s="357"/>
      <c r="J679" s="156"/>
      <c r="K679" s="154"/>
      <c r="L679" s="100"/>
      <c r="M679" s="357"/>
      <c r="N679" s="156"/>
      <c r="O679" s="154"/>
      <c r="P679" s="100"/>
      <c r="Q679" s="357"/>
      <c r="R679" s="156"/>
      <c r="S679" s="154"/>
      <c r="T679" s="100"/>
      <c r="U679" s="357"/>
      <c r="V679" s="156"/>
      <c r="W679" s="154"/>
      <c r="X679" s="100"/>
      <c r="Y679" s="357"/>
      <c r="Z679" s="100"/>
      <c r="AA679" s="100"/>
      <c r="AB679" s="100"/>
      <c r="AC679" s="357"/>
      <c r="AD679" s="367"/>
      <c r="AE679" s="368"/>
      <c r="AF679" s="98"/>
      <c r="AG679" s="357"/>
      <c r="AH679" s="156"/>
      <c r="AI679" s="305"/>
      <c r="AJ679" s="366"/>
      <c r="AK679" s="357"/>
      <c r="AL679" s="371"/>
      <c r="AM679" s="371"/>
      <c r="AN679" s="371"/>
      <c r="AO679" s="357"/>
      <c r="AP679" s="100"/>
      <c r="AQ679" s="100"/>
      <c r="AR679" s="100"/>
      <c r="AS679" s="357"/>
      <c r="AT679" s="100"/>
      <c r="AU679" s="100"/>
      <c r="AV679" s="100"/>
    </row>
    <row r="680">
      <c r="A680" s="357"/>
      <c r="B680" s="156"/>
      <c r="C680" s="154"/>
      <c r="D680" s="100"/>
      <c r="E680" s="357"/>
      <c r="F680" s="156"/>
      <c r="G680" s="154"/>
      <c r="H680" s="100"/>
      <c r="I680" s="357"/>
      <c r="J680" s="156"/>
      <c r="K680" s="154"/>
      <c r="L680" s="100"/>
      <c r="M680" s="357"/>
      <c r="N680" s="156"/>
      <c r="O680" s="154"/>
      <c r="P680" s="100"/>
      <c r="Q680" s="357"/>
      <c r="R680" s="156"/>
      <c r="S680" s="154"/>
      <c r="T680" s="100"/>
      <c r="U680" s="357"/>
      <c r="V680" s="156"/>
      <c r="W680" s="154"/>
      <c r="X680" s="100"/>
      <c r="Y680" s="357"/>
      <c r="Z680" s="100"/>
      <c r="AA680" s="100"/>
      <c r="AB680" s="100"/>
      <c r="AC680" s="357"/>
      <c r="AD680" s="367"/>
      <c r="AE680" s="368"/>
      <c r="AF680" s="98"/>
      <c r="AG680" s="357"/>
      <c r="AH680" s="156"/>
      <c r="AI680" s="305"/>
      <c r="AJ680" s="366"/>
      <c r="AK680" s="357"/>
      <c r="AL680" s="371"/>
      <c r="AM680" s="371"/>
      <c r="AN680" s="371"/>
      <c r="AO680" s="357"/>
      <c r="AP680" s="100"/>
      <c r="AQ680" s="100"/>
      <c r="AR680" s="100"/>
      <c r="AS680" s="357"/>
      <c r="AT680" s="100"/>
      <c r="AU680" s="100"/>
      <c r="AV680" s="100"/>
    </row>
    <row r="681">
      <c r="A681" s="357"/>
      <c r="B681" s="156"/>
      <c r="C681" s="154"/>
      <c r="D681" s="100"/>
      <c r="E681" s="357"/>
      <c r="F681" s="156"/>
      <c r="G681" s="154"/>
      <c r="H681" s="100"/>
      <c r="I681" s="357"/>
      <c r="J681" s="156"/>
      <c r="K681" s="154"/>
      <c r="L681" s="100"/>
      <c r="M681" s="357"/>
      <c r="N681" s="156"/>
      <c r="O681" s="154"/>
      <c r="P681" s="100"/>
      <c r="Q681" s="357"/>
      <c r="R681" s="156"/>
      <c r="S681" s="154"/>
      <c r="T681" s="100"/>
      <c r="U681" s="357"/>
      <c r="V681" s="156"/>
      <c r="W681" s="154"/>
      <c r="X681" s="100"/>
      <c r="Y681" s="357"/>
      <c r="Z681" s="100"/>
      <c r="AA681" s="100"/>
      <c r="AB681" s="100"/>
      <c r="AC681" s="357"/>
      <c r="AD681" s="367"/>
      <c r="AE681" s="368"/>
      <c r="AF681" s="98"/>
      <c r="AG681" s="357"/>
      <c r="AH681" s="156"/>
      <c r="AI681" s="305"/>
      <c r="AJ681" s="366"/>
      <c r="AK681" s="357"/>
      <c r="AL681" s="371"/>
      <c r="AM681" s="371"/>
      <c r="AN681" s="371"/>
      <c r="AO681" s="357"/>
      <c r="AP681" s="100"/>
      <c r="AQ681" s="100"/>
      <c r="AR681" s="100"/>
      <c r="AS681" s="357"/>
      <c r="AT681" s="100"/>
      <c r="AU681" s="100"/>
      <c r="AV681" s="100"/>
    </row>
    <row r="682">
      <c r="A682" s="357"/>
      <c r="B682" s="156"/>
      <c r="C682" s="154"/>
      <c r="D682" s="100"/>
      <c r="E682" s="357"/>
      <c r="F682" s="156"/>
      <c r="G682" s="154"/>
      <c r="H682" s="100"/>
      <c r="I682" s="357"/>
      <c r="J682" s="156"/>
      <c r="K682" s="154"/>
      <c r="L682" s="100"/>
      <c r="M682" s="357"/>
      <c r="N682" s="156"/>
      <c r="O682" s="154"/>
      <c r="P682" s="100"/>
      <c r="Q682" s="357"/>
      <c r="R682" s="156"/>
      <c r="S682" s="154"/>
      <c r="T682" s="100"/>
      <c r="U682" s="357"/>
      <c r="V682" s="156"/>
      <c r="W682" s="154"/>
      <c r="X682" s="100"/>
      <c r="Y682" s="357"/>
      <c r="Z682" s="100"/>
      <c r="AA682" s="100"/>
      <c r="AB682" s="100"/>
      <c r="AC682" s="357"/>
      <c r="AD682" s="367"/>
      <c r="AE682" s="368"/>
      <c r="AF682" s="98"/>
      <c r="AG682" s="357"/>
      <c r="AH682" s="156"/>
      <c r="AI682" s="305"/>
      <c r="AJ682" s="366"/>
      <c r="AK682" s="357"/>
      <c r="AL682" s="371"/>
      <c r="AM682" s="371"/>
      <c r="AN682" s="371"/>
      <c r="AO682" s="357"/>
      <c r="AP682" s="100"/>
      <c r="AQ682" s="100"/>
      <c r="AR682" s="100"/>
      <c r="AS682" s="357"/>
      <c r="AT682" s="100"/>
      <c r="AU682" s="100"/>
      <c r="AV682" s="100"/>
    </row>
    <row r="683">
      <c r="A683" s="357"/>
      <c r="B683" s="156"/>
      <c r="C683" s="154"/>
      <c r="D683" s="100"/>
      <c r="E683" s="357"/>
      <c r="F683" s="156"/>
      <c r="G683" s="154"/>
      <c r="H683" s="100"/>
      <c r="I683" s="357"/>
      <c r="J683" s="156"/>
      <c r="K683" s="154"/>
      <c r="L683" s="100"/>
      <c r="M683" s="357"/>
      <c r="N683" s="156"/>
      <c r="O683" s="154"/>
      <c r="P683" s="100"/>
      <c r="Q683" s="357"/>
      <c r="R683" s="156"/>
      <c r="S683" s="154"/>
      <c r="T683" s="100"/>
      <c r="U683" s="357"/>
      <c r="V683" s="156"/>
      <c r="W683" s="154"/>
      <c r="X683" s="100"/>
      <c r="Y683" s="357"/>
      <c r="Z683" s="100"/>
      <c r="AA683" s="100"/>
      <c r="AB683" s="100"/>
      <c r="AC683" s="357"/>
      <c r="AD683" s="367"/>
      <c r="AE683" s="368"/>
      <c r="AF683" s="98"/>
      <c r="AG683" s="357"/>
      <c r="AH683" s="156"/>
      <c r="AI683" s="305"/>
      <c r="AJ683" s="366"/>
      <c r="AK683" s="357"/>
      <c r="AL683" s="371"/>
      <c r="AM683" s="371"/>
      <c r="AN683" s="371"/>
      <c r="AO683" s="357"/>
      <c r="AP683" s="100"/>
      <c r="AQ683" s="100"/>
      <c r="AR683" s="100"/>
      <c r="AS683" s="357"/>
      <c r="AT683" s="100"/>
      <c r="AU683" s="100"/>
      <c r="AV683" s="100"/>
    </row>
    <row r="684">
      <c r="A684" s="357"/>
      <c r="B684" s="156"/>
      <c r="C684" s="154"/>
      <c r="D684" s="100"/>
      <c r="E684" s="357"/>
      <c r="F684" s="156"/>
      <c r="G684" s="154"/>
      <c r="H684" s="100"/>
      <c r="I684" s="357"/>
      <c r="J684" s="156"/>
      <c r="K684" s="154"/>
      <c r="L684" s="100"/>
      <c r="M684" s="357"/>
      <c r="N684" s="156"/>
      <c r="O684" s="154"/>
      <c r="P684" s="100"/>
      <c r="Q684" s="357"/>
      <c r="R684" s="156"/>
      <c r="S684" s="154"/>
      <c r="T684" s="100"/>
      <c r="U684" s="357"/>
      <c r="V684" s="156"/>
      <c r="W684" s="154"/>
      <c r="X684" s="100"/>
      <c r="Y684" s="357"/>
      <c r="Z684" s="100"/>
      <c r="AA684" s="100"/>
      <c r="AB684" s="100"/>
      <c r="AC684" s="357"/>
      <c r="AD684" s="367"/>
      <c r="AE684" s="368"/>
      <c r="AF684" s="98"/>
      <c r="AG684" s="357"/>
      <c r="AH684" s="156"/>
      <c r="AI684" s="305"/>
      <c r="AJ684" s="366"/>
      <c r="AK684" s="357"/>
      <c r="AL684" s="371"/>
      <c r="AM684" s="371"/>
      <c r="AN684" s="371"/>
      <c r="AO684" s="357"/>
      <c r="AP684" s="100"/>
      <c r="AQ684" s="100"/>
      <c r="AR684" s="100"/>
      <c r="AS684" s="357"/>
      <c r="AT684" s="100"/>
      <c r="AU684" s="100"/>
      <c r="AV684" s="100"/>
    </row>
    <row r="685">
      <c r="A685" s="357"/>
      <c r="B685" s="156"/>
      <c r="C685" s="154"/>
      <c r="D685" s="100"/>
      <c r="E685" s="357"/>
      <c r="F685" s="156"/>
      <c r="G685" s="154"/>
      <c r="H685" s="100"/>
      <c r="I685" s="357"/>
      <c r="J685" s="156"/>
      <c r="K685" s="154"/>
      <c r="L685" s="100"/>
      <c r="M685" s="357"/>
      <c r="N685" s="156"/>
      <c r="O685" s="154"/>
      <c r="P685" s="100"/>
      <c r="Q685" s="357"/>
      <c r="R685" s="156"/>
      <c r="S685" s="154"/>
      <c r="T685" s="100"/>
      <c r="U685" s="357"/>
      <c r="V685" s="156"/>
      <c r="W685" s="154"/>
      <c r="X685" s="100"/>
      <c r="Y685" s="357"/>
      <c r="Z685" s="100"/>
      <c r="AA685" s="100"/>
      <c r="AB685" s="100"/>
      <c r="AC685" s="357"/>
      <c r="AD685" s="367"/>
      <c r="AE685" s="368"/>
      <c r="AF685" s="98"/>
      <c r="AG685" s="357"/>
      <c r="AH685" s="156"/>
      <c r="AI685" s="305"/>
      <c r="AJ685" s="366"/>
      <c r="AK685" s="357"/>
      <c r="AL685" s="371"/>
      <c r="AM685" s="371"/>
      <c r="AN685" s="371"/>
      <c r="AO685" s="357"/>
      <c r="AP685" s="100"/>
      <c r="AQ685" s="100"/>
      <c r="AR685" s="100"/>
      <c r="AS685" s="357"/>
      <c r="AT685" s="100"/>
      <c r="AU685" s="100"/>
      <c r="AV685" s="100"/>
    </row>
    <row r="686">
      <c r="A686" s="357"/>
      <c r="B686" s="156"/>
      <c r="C686" s="154"/>
      <c r="D686" s="100"/>
      <c r="E686" s="357"/>
      <c r="F686" s="156"/>
      <c r="G686" s="154"/>
      <c r="H686" s="100"/>
      <c r="I686" s="357"/>
      <c r="J686" s="156"/>
      <c r="K686" s="154"/>
      <c r="L686" s="100"/>
      <c r="M686" s="357"/>
      <c r="N686" s="156"/>
      <c r="O686" s="154"/>
      <c r="P686" s="100"/>
      <c r="Q686" s="357"/>
      <c r="R686" s="156"/>
      <c r="S686" s="154"/>
      <c r="T686" s="100"/>
      <c r="U686" s="357"/>
      <c r="V686" s="156"/>
      <c r="W686" s="154"/>
      <c r="X686" s="100"/>
      <c r="Y686" s="357"/>
      <c r="Z686" s="100"/>
      <c r="AA686" s="100"/>
      <c r="AB686" s="100"/>
      <c r="AC686" s="357"/>
      <c r="AD686" s="367"/>
      <c r="AE686" s="368"/>
      <c r="AF686" s="98"/>
      <c r="AG686" s="357"/>
      <c r="AH686" s="156"/>
      <c r="AI686" s="305"/>
      <c r="AJ686" s="366"/>
      <c r="AK686" s="357"/>
      <c r="AL686" s="371"/>
      <c r="AM686" s="371"/>
      <c r="AN686" s="371"/>
      <c r="AO686" s="357"/>
      <c r="AP686" s="100"/>
      <c r="AQ686" s="100"/>
      <c r="AR686" s="100"/>
      <c r="AS686" s="357"/>
      <c r="AT686" s="100"/>
      <c r="AU686" s="100"/>
      <c r="AV686" s="100"/>
    </row>
    <row r="687">
      <c r="A687" s="357"/>
      <c r="B687" s="156"/>
      <c r="C687" s="154"/>
      <c r="D687" s="100"/>
      <c r="E687" s="357"/>
      <c r="F687" s="156"/>
      <c r="G687" s="154"/>
      <c r="H687" s="100"/>
      <c r="I687" s="357"/>
      <c r="J687" s="156"/>
      <c r="K687" s="154"/>
      <c r="L687" s="100"/>
      <c r="M687" s="357"/>
      <c r="N687" s="156"/>
      <c r="O687" s="154"/>
      <c r="P687" s="100"/>
      <c r="Q687" s="357"/>
      <c r="R687" s="156"/>
      <c r="S687" s="154"/>
      <c r="T687" s="100"/>
      <c r="U687" s="357"/>
      <c r="V687" s="156"/>
      <c r="W687" s="154"/>
      <c r="X687" s="100"/>
      <c r="Y687" s="357"/>
      <c r="Z687" s="100"/>
      <c r="AA687" s="100"/>
      <c r="AB687" s="100"/>
      <c r="AC687" s="357"/>
      <c r="AD687" s="367"/>
      <c r="AE687" s="368"/>
      <c r="AF687" s="98"/>
      <c r="AG687" s="357"/>
      <c r="AH687" s="156"/>
      <c r="AI687" s="305"/>
      <c r="AJ687" s="366"/>
      <c r="AK687" s="357"/>
      <c r="AL687" s="371"/>
      <c r="AM687" s="371"/>
      <c r="AN687" s="371"/>
      <c r="AO687" s="357"/>
      <c r="AP687" s="100"/>
      <c r="AQ687" s="100"/>
      <c r="AR687" s="100"/>
      <c r="AS687" s="357"/>
      <c r="AT687" s="100"/>
      <c r="AU687" s="100"/>
      <c r="AV687" s="100"/>
    </row>
    <row r="688">
      <c r="A688" s="357"/>
      <c r="B688" s="156"/>
      <c r="C688" s="154"/>
      <c r="D688" s="100"/>
      <c r="E688" s="357"/>
      <c r="F688" s="156"/>
      <c r="G688" s="154"/>
      <c r="H688" s="100"/>
      <c r="I688" s="357"/>
      <c r="J688" s="156"/>
      <c r="K688" s="154"/>
      <c r="L688" s="100"/>
      <c r="M688" s="357"/>
      <c r="N688" s="156"/>
      <c r="O688" s="154"/>
      <c r="P688" s="100"/>
      <c r="Q688" s="357"/>
      <c r="R688" s="156"/>
      <c r="S688" s="154"/>
      <c r="T688" s="100"/>
      <c r="U688" s="357"/>
      <c r="V688" s="156"/>
      <c r="W688" s="154"/>
      <c r="X688" s="100"/>
      <c r="Y688" s="357"/>
      <c r="Z688" s="100"/>
      <c r="AA688" s="100"/>
      <c r="AB688" s="100"/>
      <c r="AC688" s="357"/>
      <c r="AD688" s="367"/>
      <c r="AE688" s="368"/>
      <c r="AF688" s="98"/>
      <c r="AG688" s="357"/>
      <c r="AH688" s="156"/>
      <c r="AI688" s="305"/>
      <c r="AJ688" s="366"/>
      <c r="AK688" s="357"/>
      <c r="AL688" s="371"/>
      <c r="AM688" s="371"/>
      <c r="AN688" s="371"/>
      <c r="AO688" s="357"/>
      <c r="AP688" s="100"/>
      <c r="AQ688" s="100"/>
      <c r="AR688" s="100"/>
      <c r="AS688" s="357"/>
      <c r="AT688" s="100"/>
      <c r="AU688" s="100"/>
      <c r="AV688" s="100"/>
    </row>
    <row r="689">
      <c r="A689" s="357"/>
      <c r="B689" s="156"/>
      <c r="C689" s="154"/>
      <c r="D689" s="100"/>
      <c r="E689" s="357"/>
      <c r="F689" s="156"/>
      <c r="G689" s="154"/>
      <c r="H689" s="100"/>
      <c r="I689" s="357"/>
      <c r="J689" s="156"/>
      <c r="K689" s="154"/>
      <c r="L689" s="100"/>
      <c r="M689" s="357"/>
      <c r="N689" s="156"/>
      <c r="O689" s="154"/>
      <c r="P689" s="100"/>
      <c r="Q689" s="357"/>
      <c r="R689" s="156"/>
      <c r="S689" s="154"/>
      <c r="T689" s="100"/>
      <c r="U689" s="357"/>
      <c r="V689" s="156"/>
      <c r="W689" s="154"/>
      <c r="X689" s="100"/>
      <c r="Y689" s="357"/>
      <c r="Z689" s="100"/>
      <c r="AA689" s="100"/>
      <c r="AB689" s="100"/>
      <c r="AC689" s="357"/>
      <c r="AD689" s="367"/>
      <c r="AE689" s="368"/>
      <c r="AF689" s="98"/>
      <c r="AG689" s="357"/>
      <c r="AH689" s="156"/>
      <c r="AI689" s="305"/>
      <c r="AJ689" s="366"/>
      <c r="AK689" s="357"/>
      <c r="AL689" s="371"/>
      <c r="AM689" s="371"/>
      <c r="AN689" s="371"/>
      <c r="AO689" s="357"/>
      <c r="AP689" s="100"/>
      <c r="AQ689" s="100"/>
      <c r="AR689" s="100"/>
      <c r="AS689" s="357"/>
      <c r="AT689" s="100"/>
      <c r="AU689" s="100"/>
      <c r="AV689" s="100"/>
    </row>
    <row r="690">
      <c r="A690" s="357"/>
      <c r="B690" s="156"/>
      <c r="C690" s="154"/>
      <c r="D690" s="100"/>
      <c r="E690" s="357"/>
      <c r="F690" s="156"/>
      <c r="G690" s="154"/>
      <c r="H690" s="100"/>
      <c r="I690" s="357"/>
      <c r="J690" s="156"/>
      <c r="K690" s="154"/>
      <c r="L690" s="100"/>
      <c r="M690" s="357"/>
      <c r="N690" s="156"/>
      <c r="O690" s="154"/>
      <c r="P690" s="100"/>
      <c r="Q690" s="357"/>
      <c r="R690" s="156"/>
      <c r="S690" s="154"/>
      <c r="T690" s="100"/>
      <c r="U690" s="357"/>
      <c r="V690" s="156"/>
      <c r="W690" s="154"/>
      <c r="X690" s="100"/>
      <c r="Y690" s="357"/>
      <c r="Z690" s="100"/>
      <c r="AA690" s="100"/>
      <c r="AB690" s="100"/>
      <c r="AC690" s="357"/>
      <c r="AD690" s="367"/>
      <c r="AE690" s="368"/>
      <c r="AF690" s="98"/>
      <c r="AG690" s="357"/>
      <c r="AH690" s="156"/>
      <c r="AI690" s="305"/>
      <c r="AJ690" s="366"/>
      <c r="AK690" s="357"/>
      <c r="AL690" s="371"/>
      <c r="AM690" s="371"/>
      <c r="AN690" s="371"/>
      <c r="AO690" s="357"/>
      <c r="AP690" s="100"/>
      <c r="AQ690" s="100"/>
      <c r="AR690" s="100"/>
      <c r="AS690" s="357"/>
      <c r="AT690" s="100"/>
      <c r="AU690" s="100"/>
      <c r="AV690" s="100"/>
    </row>
    <row r="691">
      <c r="A691" s="357"/>
      <c r="B691" s="156"/>
      <c r="C691" s="154"/>
      <c r="D691" s="100"/>
      <c r="E691" s="357"/>
      <c r="F691" s="156"/>
      <c r="G691" s="154"/>
      <c r="H691" s="100"/>
      <c r="I691" s="357"/>
      <c r="J691" s="156"/>
      <c r="K691" s="154"/>
      <c r="L691" s="100"/>
      <c r="M691" s="357"/>
      <c r="N691" s="156"/>
      <c r="O691" s="154"/>
      <c r="P691" s="100"/>
      <c r="Q691" s="357"/>
      <c r="R691" s="156"/>
      <c r="S691" s="154"/>
      <c r="T691" s="100"/>
      <c r="U691" s="357"/>
      <c r="V691" s="156"/>
      <c r="W691" s="154"/>
      <c r="X691" s="100"/>
      <c r="Y691" s="357"/>
      <c r="Z691" s="100"/>
      <c r="AA691" s="100"/>
      <c r="AB691" s="100"/>
      <c r="AC691" s="357"/>
      <c r="AD691" s="367"/>
      <c r="AE691" s="368"/>
      <c r="AF691" s="98"/>
      <c r="AG691" s="357"/>
      <c r="AH691" s="156"/>
      <c r="AI691" s="305"/>
      <c r="AJ691" s="366"/>
      <c r="AK691" s="357"/>
      <c r="AL691" s="371"/>
      <c r="AM691" s="371"/>
      <c r="AN691" s="371"/>
      <c r="AO691" s="357"/>
      <c r="AP691" s="100"/>
      <c r="AQ691" s="100"/>
      <c r="AR691" s="100"/>
      <c r="AS691" s="357"/>
      <c r="AT691" s="100"/>
      <c r="AU691" s="100"/>
      <c r="AV691" s="100"/>
    </row>
    <row r="692">
      <c r="A692" s="357"/>
      <c r="B692" s="156"/>
      <c r="C692" s="154"/>
      <c r="D692" s="100"/>
      <c r="E692" s="357"/>
      <c r="F692" s="156"/>
      <c r="G692" s="154"/>
      <c r="H692" s="100"/>
      <c r="I692" s="357"/>
      <c r="J692" s="156"/>
      <c r="K692" s="154"/>
      <c r="L692" s="100"/>
      <c r="M692" s="357"/>
      <c r="N692" s="156"/>
      <c r="O692" s="154"/>
      <c r="P692" s="100"/>
      <c r="Q692" s="357"/>
      <c r="R692" s="156"/>
      <c r="S692" s="154"/>
      <c r="T692" s="100"/>
      <c r="U692" s="357"/>
      <c r="V692" s="156"/>
      <c r="W692" s="154"/>
      <c r="X692" s="100"/>
      <c r="Y692" s="357"/>
      <c r="Z692" s="100"/>
      <c r="AA692" s="100"/>
      <c r="AB692" s="100"/>
      <c r="AC692" s="357"/>
      <c r="AD692" s="367"/>
      <c r="AE692" s="368"/>
      <c r="AF692" s="98"/>
      <c r="AG692" s="357"/>
      <c r="AH692" s="156"/>
      <c r="AI692" s="305"/>
      <c r="AJ692" s="366"/>
      <c r="AK692" s="357"/>
      <c r="AL692" s="371"/>
      <c r="AM692" s="371"/>
      <c r="AN692" s="371"/>
      <c r="AO692" s="357"/>
      <c r="AP692" s="100"/>
      <c r="AQ692" s="100"/>
      <c r="AR692" s="100"/>
      <c r="AS692" s="357"/>
      <c r="AT692" s="100"/>
      <c r="AU692" s="100"/>
      <c r="AV692" s="100"/>
    </row>
    <row r="693">
      <c r="A693" s="357"/>
      <c r="B693" s="156"/>
      <c r="C693" s="154"/>
      <c r="D693" s="100"/>
      <c r="E693" s="357"/>
      <c r="F693" s="156"/>
      <c r="G693" s="154"/>
      <c r="H693" s="100"/>
      <c r="I693" s="357"/>
      <c r="J693" s="156"/>
      <c r="K693" s="154"/>
      <c r="L693" s="100"/>
      <c r="M693" s="357"/>
      <c r="N693" s="156"/>
      <c r="O693" s="154"/>
      <c r="P693" s="100"/>
      <c r="Q693" s="357"/>
      <c r="R693" s="156"/>
      <c r="S693" s="154"/>
      <c r="T693" s="100"/>
      <c r="U693" s="357"/>
      <c r="V693" s="156"/>
      <c r="W693" s="154"/>
      <c r="X693" s="100"/>
      <c r="Y693" s="357"/>
      <c r="Z693" s="100"/>
      <c r="AA693" s="100"/>
      <c r="AB693" s="100"/>
      <c r="AC693" s="357"/>
      <c r="AD693" s="367"/>
      <c r="AE693" s="368"/>
      <c r="AF693" s="98"/>
      <c r="AG693" s="357"/>
      <c r="AH693" s="156"/>
      <c r="AI693" s="305"/>
      <c r="AJ693" s="366"/>
      <c r="AK693" s="357"/>
      <c r="AL693" s="371"/>
      <c r="AM693" s="371"/>
      <c r="AN693" s="371"/>
      <c r="AO693" s="357"/>
      <c r="AP693" s="100"/>
      <c r="AQ693" s="100"/>
      <c r="AR693" s="100"/>
      <c r="AS693" s="357"/>
      <c r="AT693" s="100"/>
      <c r="AU693" s="100"/>
      <c r="AV693" s="100"/>
    </row>
    <row r="694">
      <c r="A694" s="357"/>
      <c r="B694" s="156"/>
      <c r="C694" s="154"/>
      <c r="D694" s="100"/>
      <c r="E694" s="357"/>
      <c r="F694" s="156"/>
      <c r="G694" s="154"/>
      <c r="H694" s="100"/>
      <c r="I694" s="357"/>
      <c r="J694" s="156"/>
      <c r="K694" s="154"/>
      <c r="L694" s="100"/>
      <c r="M694" s="357"/>
      <c r="N694" s="156"/>
      <c r="O694" s="154"/>
      <c r="P694" s="100"/>
      <c r="Q694" s="357"/>
      <c r="R694" s="156"/>
      <c r="S694" s="154"/>
      <c r="T694" s="100"/>
      <c r="U694" s="357"/>
      <c r="V694" s="156"/>
      <c r="W694" s="154"/>
      <c r="X694" s="100"/>
      <c r="Y694" s="357"/>
      <c r="Z694" s="100"/>
      <c r="AA694" s="100"/>
      <c r="AB694" s="100"/>
      <c r="AC694" s="357"/>
      <c r="AD694" s="367"/>
      <c r="AE694" s="368"/>
      <c r="AF694" s="98"/>
      <c r="AG694" s="357"/>
      <c r="AH694" s="156"/>
      <c r="AI694" s="305"/>
      <c r="AJ694" s="366"/>
      <c r="AK694" s="357"/>
      <c r="AL694" s="371"/>
      <c r="AM694" s="371"/>
      <c r="AN694" s="371"/>
      <c r="AO694" s="357"/>
      <c r="AP694" s="100"/>
      <c r="AQ694" s="100"/>
      <c r="AR694" s="100"/>
      <c r="AS694" s="357"/>
      <c r="AT694" s="100"/>
      <c r="AU694" s="100"/>
      <c r="AV694" s="100"/>
    </row>
    <row r="695">
      <c r="A695" s="357"/>
      <c r="B695" s="156"/>
      <c r="C695" s="154"/>
      <c r="D695" s="100"/>
      <c r="E695" s="357"/>
      <c r="F695" s="156"/>
      <c r="G695" s="154"/>
      <c r="H695" s="100"/>
      <c r="I695" s="357"/>
      <c r="J695" s="156"/>
      <c r="K695" s="154"/>
      <c r="L695" s="100"/>
      <c r="M695" s="357"/>
      <c r="N695" s="156"/>
      <c r="O695" s="154"/>
      <c r="P695" s="100"/>
      <c r="Q695" s="357"/>
      <c r="R695" s="156"/>
      <c r="S695" s="154"/>
      <c r="T695" s="100"/>
      <c r="U695" s="357"/>
      <c r="V695" s="156"/>
      <c r="W695" s="154"/>
      <c r="X695" s="100"/>
      <c r="Y695" s="357"/>
      <c r="Z695" s="100"/>
      <c r="AA695" s="100"/>
      <c r="AB695" s="100"/>
      <c r="AC695" s="357"/>
      <c r="AD695" s="367"/>
      <c r="AE695" s="368"/>
      <c r="AF695" s="98"/>
      <c r="AG695" s="357"/>
      <c r="AH695" s="156"/>
      <c r="AI695" s="305"/>
      <c r="AJ695" s="366"/>
      <c r="AK695" s="357"/>
      <c r="AL695" s="371"/>
      <c r="AM695" s="371"/>
      <c r="AN695" s="371"/>
      <c r="AO695" s="357"/>
      <c r="AP695" s="100"/>
      <c r="AQ695" s="100"/>
      <c r="AR695" s="100"/>
      <c r="AS695" s="357"/>
      <c r="AT695" s="100"/>
      <c r="AU695" s="100"/>
      <c r="AV695" s="100"/>
    </row>
    <row r="696">
      <c r="A696" s="357"/>
      <c r="B696" s="156"/>
      <c r="C696" s="154"/>
      <c r="D696" s="100"/>
      <c r="E696" s="357"/>
      <c r="F696" s="156"/>
      <c r="G696" s="154"/>
      <c r="H696" s="100"/>
      <c r="I696" s="357"/>
      <c r="J696" s="156"/>
      <c r="K696" s="154"/>
      <c r="L696" s="100"/>
      <c r="M696" s="357"/>
      <c r="N696" s="156"/>
      <c r="O696" s="154"/>
      <c r="P696" s="100"/>
      <c r="Q696" s="357"/>
      <c r="R696" s="156"/>
      <c r="S696" s="154"/>
      <c r="T696" s="100"/>
      <c r="U696" s="357"/>
      <c r="V696" s="156"/>
      <c r="W696" s="154"/>
      <c r="X696" s="100"/>
      <c r="Y696" s="357"/>
      <c r="Z696" s="100"/>
      <c r="AA696" s="100"/>
      <c r="AB696" s="100"/>
      <c r="AC696" s="357"/>
      <c r="AD696" s="367"/>
      <c r="AE696" s="368"/>
      <c r="AF696" s="98"/>
      <c r="AG696" s="357"/>
      <c r="AH696" s="156"/>
      <c r="AI696" s="305"/>
      <c r="AJ696" s="366"/>
      <c r="AK696" s="357"/>
      <c r="AL696" s="371"/>
      <c r="AM696" s="371"/>
      <c r="AN696" s="371"/>
      <c r="AO696" s="357"/>
      <c r="AP696" s="100"/>
      <c r="AQ696" s="100"/>
      <c r="AR696" s="100"/>
      <c r="AS696" s="357"/>
      <c r="AT696" s="100"/>
      <c r="AU696" s="100"/>
      <c r="AV696" s="100"/>
    </row>
    <row r="697">
      <c r="A697" s="357"/>
      <c r="B697" s="156"/>
      <c r="C697" s="154"/>
      <c r="D697" s="100"/>
      <c r="E697" s="357"/>
      <c r="F697" s="156"/>
      <c r="G697" s="154"/>
      <c r="H697" s="100"/>
      <c r="I697" s="357"/>
      <c r="J697" s="156"/>
      <c r="K697" s="154"/>
      <c r="L697" s="100"/>
      <c r="M697" s="357"/>
      <c r="N697" s="156"/>
      <c r="O697" s="154"/>
      <c r="P697" s="100"/>
      <c r="Q697" s="357"/>
      <c r="R697" s="156"/>
      <c r="S697" s="154"/>
      <c r="T697" s="100"/>
      <c r="U697" s="357"/>
      <c r="V697" s="156"/>
      <c r="W697" s="154"/>
      <c r="X697" s="100"/>
      <c r="Y697" s="357"/>
      <c r="Z697" s="100"/>
      <c r="AA697" s="100"/>
      <c r="AB697" s="100"/>
      <c r="AC697" s="357"/>
      <c r="AD697" s="367"/>
      <c r="AE697" s="368"/>
      <c r="AF697" s="98"/>
      <c r="AG697" s="357"/>
      <c r="AH697" s="156"/>
      <c r="AI697" s="305"/>
      <c r="AJ697" s="366"/>
      <c r="AK697" s="357"/>
      <c r="AL697" s="371"/>
      <c r="AM697" s="371"/>
      <c r="AN697" s="371"/>
      <c r="AO697" s="357"/>
      <c r="AP697" s="100"/>
      <c r="AQ697" s="100"/>
      <c r="AR697" s="100"/>
      <c r="AS697" s="357"/>
      <c r="AT697" s="100"/>
      <c r="AU697" s="100"/>
      <c r="AV697" s="100"/>
    </row>
    <row r="698">
      <c r="A698" s="357"/>
      <c r="B698" s="156"/>
      <c r="C698" s="154"/>
      <c r="D698" s="100"/>
      <c r="E698" s="357"/>
      <c r="F698" s="156"/>
      <c r="G698" s="154"/>
      <c r="H698" s="100"/>
      <c r="I698" s="357"/>
      <c r="J698" s="156"/>
      <c r="K698" s="154"/>
      <c r="L698" s="100"/>
      <c r="M698" s="357"/>
      <c r="N698" s="156"/>
      <c r="O698" s="154"/>
      <c r="P698" s="100"/>
      <c r="Q698" s="357"/>
      <c r="R698" s="156"/>
      <c r="S698" s="154"/>
      <c r="T698" s="100"/>
      <c r="U698" s="357"/>
      <c r="V698" s="156"/>
      <c r="W698" s="154"/>
      <c r="X698" s="100"/>
      <c r="Y698" s="357"/>
      <c r="Z698" s="100"/>
      <c r="AA698" s="100"/>
      <c r="AB698" s="100"/>
      <c r="AC698" s="357"/>
      <c r="AD698" s="367"/>
      <c r="AE698" s="368"/>
      <c r="AF698" s="98"/>
      <c r="AG698" s="357"/>
      <c r="AH698" s="156"/>
      <c r="AI698" s="305"/>
      <c r="AJ698" s="366"/>
      <c r="AK698" s="357"/>
      <c r="AL698" s="371"/>
      <c r="AM698" s="371"/>
      <c r="AN698" s="371"/>
      <c r="AO698" s="357"/>
      <c r="AP698" s="100"/>
      <c r="AQ698" s="100"/>
      <c r="AR698" s="100"/>
      <c r="AS698" s="357"/>
      <c r="AT698" s="100"/>
      <c r="AU698" s="100"/>
      <c r="AV698" s="100"/>
    </row>
    <row r="699">
      <c r="A699" s="357"/>
      <c r="B699" s="156"/>
      <c r="C699" s="154"/>
      <c r="D699" s="100"/>
      <c r="E699" s="357"/>
      <c r="F699" s="156"/>
      <c r="G699" s="154"/>
      <c r="H699" s="100"/>
      <c r="I699" s="357"/>
      <c r="J699" s="156"/>
      <c r="K699" s="154"/>
      <c r="L699" s="100"/>
      <c r="M699" s="357"/>
      <c r="N699" s="156"/>
      <c r="O699" s="154"/>
      <c r="P699" s="100"/>
      <c r="Q699" s="357"/>
      <c r="R699" s="156"/>
      <c r="S699" s="154"/>
      <c r="T699" s="100"/>
      <c r="U699" s="357"/>
      <c r="V699" s="156"/>
      <c r="W699" s="154"/>
      <c r="X699" s="100"/>
      <c r="Y699" s="357"/>
      <c r="Z699" s="100"/>
      <c r="AA699" s="100"/>
      <c r="AB699" s="100"/>
      <c r="AC699" s="357"/>
      <c r="AD699" s="367"/>
      <c r="AE699" s="368"/>
      <c r="AF699" s="98"/>
      <c r="AG699" s="357"/>
      <c r="AH699" s="156"/>
      <c r="AI699" s="305"/>
      <c r="AJ699" s="366"/>
      <c r="AK699" s="357"/>
      <c r="AL699" s="371"/>
      <c r="AM699" s="371"/>
      <c r="AN699" s="371"/>
      <c r="AO699" s="357"/>
      <c r="AP699" s="100"/>
      <c r="AQ699" s="100"/>
      <c r="AR699" s="100"/>
      <c r="AS699" s="357"/>
      <c r="AT699" s="100"/>
      <c r="AU699" s="100"/>
      <c r="AV699" s="100"/>
    </row>
    <row r="700">
      <c r="A700" s="357"/>
      <c r="B700" s="156"/>
      <c r="C700" s="154"/>
      <c r="D700" s="100"/>
      <c r="E700" s="357"/>
      <c r="F700" s="156"/>
      <c r="G700" s="154"/>
      <c r="H700" s="100"/>
      <c r="I700" s="357"/>
      <c r="J700" s="156"/>
      <c r="K700" s="154"/>
      <c r="L700" s="100"/>
      <c r="M700" s="357"/>
      <c r="N700" s="156"/>
      <c r="O700" s="154"/>
      <c r="P700" s="100"/>
      <c r="Q700" s="357"/>
      <c r="R700" s="156"/>
      <c r="S700" s="154"/>
      <c r="T700" s="100"/>
      <c r="U700" s="357"/>
      <c r="V700" s="156"/>
      <c r="W700" s="154"/>
      <c r="X700" s="100"/>
      <c r="Y700" s="357"/>
      <c r="Z700" s="100"/>
      <c r="AA700" s="100"/>
      <c r="AB700" s="100"/>
      <c r="AC700" s="357"/>
      <c r="AD700" s="367"/>
      <c r="AE700" s="368"/>
      <c r="AF700" s="98"/>
      <c r="AG700" s="357"/>
      <c r="AH700" s="156"/>
      <c r="AI700" s="305"/>
      <c r="AJ700" s="366"/>
      <c r="AK700" s="357"/>
      <c r="AL700" s="371"/>
      <c r="AM700" s="371"/>
      <c r="AN700" s="371"/>
      <c r="AO700" s="357"/>
      <c r="AP700" s="100"/>
      <c r="AQ700" s="100"/>
      <c r="AR700" s="100"/>
      <c r="AS700" s="357"/>
      <c r="AT700" s="100"/>
      <c r="AU700" s="100"/>
      <c r="AV700" s="100"/>
    </row>
    <row r="701">
      <c r="A701" s="357"/>
      <c r="B701" s="156"/>
      <c r="C701" s="154"/>
      <c r="D701" s="100"/>
      <c r="E701" s="357"/>
      <c r="F701" s="156"/>
      <c r="G701" s="154"/>
      <c r="H701" s="100"/>
      <c r="I701" s="357"/>
      <c r="J701" s="156"/>
      <c r="K701" s="154"/>
      <c r="L701" s="100"/>
      <c r="M701" s="357"/>
      <c r="N701" s="156"/>
      <c r="O701" s="154"/>
      <c r="P701" s="100"/>
      <c r="Q701" s="357"/>
      <c r="R701" s="156"/>
      <c r="S701" s="154"/>
      <c r="T701" s="100"/>
      <c r="U701" s="357"/>
      <c r="V701" s="156"/>
      <c r="W701" s="154"/>
      <c r="X701" s="100"/>
      <c r="Y701" s="357"/>
      <c r="Z701" s="100"/>
      <c r="AA701" s="100"/>
      <c r="AB701" s="100"/>
      <c r="AC701" s="357"/>
      <c r="AD701" s="367"/>
      <c r="AE701" s="368"/>
      <c r="AF701" s="98"/>
      <c r="AG701" s="357"/>
      <c r="AH701" s="156"/>
      <c r="AI701" s="305"/>
      <c r="AJ701" s="366"/>
      <c r="AK701" s="357"/>
      <c r="AL701" s="371"/>
      <c r="AM701" s="371"/>
      <c r="AN701" s="371"/>
      <c r="AO701" s="357"/>
      <c r="AP701" s="100"/>
      <c r="AQ701" s="100"/>
      <c r="AR701" s="100"/>
      <c r="AS701" s="357"/>
      <c r="AT701" s="100"/>
      <c r="AU701" s="100"/>
      <c r="AV701" s="100"/>
    </row>
    <row r="702">
      <c r="A702" s="357"/>
      <c r="B702" s="156"/>
      <c r="C702" s="154"/>
      <c r="D702" s="100"/>
      <c r="E702" s="357"/>
      <c r="F702" s="156"/>
      <c r="G702" s="154"/>
      <c r="H702" s="100"/>
      <c r="I702" s="357"/>
      <c r="J702" s="156"/>
      <c r="K702" s="154"/>
      <c r="L702" s="100"/>
      <c r="M702" s="357"/>
      <c r="N702" s="156"/>
      <c r="O702" s="154"/>
      <c r="P702" s="100"/>
      <c r="Q702" s="357"/>
      <c r="R702" s="156"/>
      <c r="S702" s="154"/>
      <c r="T702" s="100"/>
      <c r="U702" s="357"/>
      <c r="V702" s="156"/>
      <c r="W702" s="154"/>
      <c r="X702" s="100"/>
      <c r="Y702" s="357"/>
      <c r="Z702" s="100"/>
      <c r="AA702" s="100"/>
      <c r="AB702" s="100"/>
      <c r="AC702" s="357"/>
      <c r="AD702" s="367"/>
      <c r="AE702" s="368"/>
      <c r="AF702" s="98"/>
      <c r="AG702" s="357"/>
      <c r="AH702" s="156"/>
      <c r="AI702" s="305"/>
      <c r="AJ702" s="366"/>
      <c r="AK702" s="357"/>
      <c r="AL702" s="371"/>
      <c r="AM702" s="371"/>
      <c r="AN702" s="371"/>
      <c r="AO702" s="357"/>
      <c r="AP702" s="100"/>
      <c r="AQ702" s="100"/>
      <c r="AR702" s="100"/>
      <c r="AS702" s="357"/>
      <c r="AT702" s="100"/>
      <c r="AU702" s="100"/>
      <c r="AV702" s="100"/>
    </row>
    <row r="703">
      <c r="A703" s="357"/>
      <c r="B703" s="156"/>
      <c r="C703" s="154"/>
      <c r="D703" s="100"/>
      <c r="E703" s="357"/>
      <c r="F703" s="156"/>
      <c r="G703" s="154"/>
      <c r="H703" s="100"/>
      <c r="I703" s="357"/>
      <c r="J703" s="156"/>
      <c r="K703" s="154"/>
      <c r="L703" s="100"/>
      <c r="M703" s="357"/>
      <c r="N703" s="156"/>
      <c r="O703" s="154"/>
      <c r="P703" s="100"/>
      <c r="Q703" s="357"/>
      <c r="R703" s="156"/>
      <c r="S703" s="154"/>
      <c r="T703" s="100"/>
      <c r="U703" s="357"/>
      <c r="V703" s="156"/>
      <c r="W703" s="154"/>
      <c r="X703" s="100"/>
      <c r="Y703" s="357"/>
      <c r="Z703" s="100"/>
      <c r="AA703" s="100"/>
      <c r="AB703" s="100"/>
      <c r="AC703" s="357"/>
      <c r="AD703" s="367"/>
      <c r="AE703" s="368"/>
      <c r="AF703" s="98"/>
      <c r="AG703" s="357"/>
      <c r="AH703" s="156"/>
      <c r="AI703" s="305"/>
      <c r="AJ703" s="366"/>
      <c r="AK703" s="357"/>
      <c r="AL703" s="371"/>
      <c r="AM703" s="371"/>
      <c r="AN703" s="371"/>
      <c r="AO703" s="357"/>
      <c r="AP703" s="100"/>
      <c r="AQ703" s="100"/>
      <c r="AR703" s="100"/>
      <c r="AS703" s="357"/>
      <c r="AT703" s="100"/>
      <c r="AU703" s="100"/>
      <c r="AV703" s="100"/>
    </row>
    <row r="704">
      <c r="A704" s="357"/>
      <c r="B704" s="156"/>
      <c r="C704" s="154"/>
      <c r="D704" s="100"/>
      <c r="E704" s="357"/>
      <c r="F704" s="156"/>
      <c r="G704" s="154"/>
      <c r="H704" s="100"/>
      <c r="I704" s="357"/>
      <c r="J704" s="156"/>
      <c r="K704" s="154"/>
      <c r="L704" s="100"/>
      <c r="M704" s="357"/>
      <c r="N704" s="156"/>
      <c r="O704" s="154"/>
      <c r="P704" s="100"/>
      <c r="Q704" s="357"/>
      <c r="R704" s="156"/>
      <c r="S704" s="154"/>
      <c r="T704" s="100"/>
      <c r="U704" s="357"/>
      <c r="V704" s="156"/>
      <c r="W704" s="154"/>
      <c r="X704" s="100"/>
      <c r="Y704" s="357"/>
      <c r="Z704" s="100"/>
      <c r="AA704" s="100"/>
      <c r="AB704" s="100"/>
      <c r="AC704" s="357"/>
      <c r="AD704" s="367"/>
      <c r="AE704" s="368"/>
      <c r="AF704" s="98"/>
      <c r="AG704" s="357"/>
      <c r="AH704" s="156"/>
      <c r="AI704" s="305"/>
      <c r="AJ704" s="366"/>
      <c r="AK704" s="357"/>
      <c r="AL704" s="371"/>
      <c r="AM704" s="371"/>
      <c r="AN704" s="371"/>
      <c r="AO704" s="357"/>
      <c r="AP704" s="100"/>
      <c r="AQ704" s="100"/>
      <c r="AR704" s="100"/>
      <c r="AS704" s="357"/>
      <c r="AT704" s="100"/>
      <c r="AU704" s="100"/>
      <c r="AV704" s="100"/>
    </row>
    <row r="705">
      <c r="A705" s="357"/>
      <c r="B705" s="156"/>
      <c r="C705" s="154"/>
      <c r="D705" s="100"/>
      <c r="E705" s="357"/>
      <c r="F705" s="156"/>
      <c r="G705" s="154"/>
      <c r="H705" s="100"/>
      <c r="I705" s="357"/>
      <c r="J705" s="156"/>
      <c r="K705" s="154"/>
      <c r="L705" s="100"/>
      <c r="M705" s="357"/>
      <c r="N705" s="156"/>
      <c r="O705" s="154"/>
      <c r="P705" s="100"/>
      <c r="Q705" s="357"/>
      <c r="R705" s="156"/>
      <c r="S705" s="154"/>
      <c r="T705" s="100"/>
      <c r="U705" s="357"/>
      <c r="V705" s="156"/>
      <c r="W705" s="154"/>
      <c r="X705" s="100"/>
      <c r="Y705" s="357"/>
      <c r="Z705" s="100"/>
      <c r="AA705" s="100"/>
      <c r="AB705" s="100"/>
      <c r="AC705" s="357"/>
      <c r="AD705" s="367"/>
      <c r="AE705" s="368"/>
      <c r="AF705" s="98"/>
      <c r="AG705" s="357"/>
      <c r="AH705" s="156"/>
      <c r="AI705" s="305"/>
      <c r="AJ705" s="366"/>
      <c r="AK705" s="357"/>
      <c r="AL705" s="371"/>
      <c r="AM705" s="371"/>
      <c r="AN705" s="371"/>
      <c r="AO705" s="357"/>
      <c r="AP705" s="100"/>
      <c r="AQ705" s="100"/>
      <c r="AR705" s="100"/>
      <c r="AS705" s="357"/>
      <c r="AT705" s="100"/>
      <c r="AU705" s="100"/>
      <c r="AV705" s="100"/>
    </row>
    <row r="706">
      <c r="A706" s="357"/>
      <c r="B706" s="156"/>
      <c r="C706" s="154"/>
      <c r="D706" s="100"/>
      <c r="E706" s="357"/>
      <c r="F706" s="156"/>
      <c r="G706" s="154"/>
      <c r="H706" s="100"/>
      <c r="I706" s="357"/>
      <c r="J706" s="156"/>
      <c r="K706" s="154"/>
      <c r="L706" s="100"/>
      <c r="M706" s="357"/>
      <c r="N706" s="156"/>
      <c r="O706" s="154"/>
      <c r="P706" s="100"/>
      <c r="Q706" s="357"/>
      <c r="R706" s="156"/>
      <c r="S706" s="154"/>
      <c r="T706" s="100"/>
      <c r="U706" s="357"/>
      <c r="V706" s="156"/>
      <c r="W706" s="154"/>
      <c r="X706" s="100"/>
      <c r="Y706" s="357"/>
      <c r="Z706" s="100"/>
      <c r="AA706" s="100"/>
      <c r="AB706" s="100"/>
      <c r="AC706" s="357"/>
      <c r="AD706" s="367"/>
      <c r="AE706" s="368"/>
      <c r="AF706" s="98"/>
      <c r="AG706" s="357"/>
      <c r="AH706" s="156"/>
      <c r="AI706" s="305"/>
      <c r="AJ706" s="366"/>
      <c r="AK706" s="357"/>
      <c r="AL706" s="371"/>
      <c r="AM706" s="371"/>
      <c r="AN706" s="371"/>
      <c r="AO706" s="357"/>
      <c r="AP706" s="100"/>
      <c r="AQ706" s="100"/>
      <c r="AR706" s="100"/>
      <c r="AS706" s="357"/>
      <c r="AT706" s="100"/>
      <c r="AU706" s="100"/>
      <c r="AV706" s="100"/>
    </row>
    <row r="707">
      <c r="A707" s="357"/>
      <c r="B707" s="156"/>
      <c r="C707" s="154"/>
      <c r="D707" s="100"/>
      <c r="E707" s="357"/>
      <c r="F707" s="156"/>
      <c r="G707" s="154"/>
      <c r="H707" s="100"/>
      <c r="I707" s="357"/>
      <c r="J707" s="156"/>
      <c r="K707" s="154"/>
      <c r="L707" s="100"/>
      <c r="M707" s="357"/>
      <c r="N707" s="156"/>
      <c r="O707" s="154"/>
      <c r="P707" s="100"/>
      <c r="Q707" s="357"/>
      <c r="R707" s="156"/>
      <c r="S707" s="154"/>
      <c r="T707" s="100"/>
      <c r="U707" s="357"/>
      <c r="V707" s="156"/>
      <c r="W707" s="154"/>
      <c r="X707" s="100"/>
      <c r="Y707" s="357"/>
      <c r="Z707" s="100"/>
      <c r="AA707" s="100"/>
      <c r="AB707" s="100"/>
      <c r="AC707" s="357"/>
      <c r="AD707" s="367"/>
      <c r="AE707" s="368"/>
      <c r="AF707" s="98"/>
      <c r="AG707" s="357"/>
      <c r="AH707" s="156"/>
      <c r="AI707" s="305"/>
      <c r="AJ707" s="366"/>
      <c r="AK707" s="357"/>
      <c r="AL707" s="371"/>
      <c r="AM707" s="371"/>
      <c r="AN707" s="371"/>
      <c r="AO707" s="357"/>
      <c r="AP707" s="100"/>
      <c r="AQ707" s="100"/>
      <c r="AR707" s="100"/>
      <c r="AS707" s="357"/>
      <c r="AT707" s="100"/>
      <c r="AU707" s="100"/>
      <c r="AV707" s="100"/>
    </row>
    <row r="708">
      <c r="A708" s="357"/>
      <c r="B708" s="156"/>
      <c r="C708" s="154"/>
      <c r="D708" s="100"/>
      <c r="E708" s="357"/>
      <c r="F708" s="156"/>
      <c r="G708" s="154"/>
      <c r="H708" s="100"/>
      <c r="I708" s="357"/>
      <c r="J708" s="156"/>
      <c r="K708" s="154"/>
      <c r="L708" s="100"/>
      <c r="M708" s="357"/>
      <c r="N708" s="156"/>
      <c r="O708" s="154"/>
      <c r="P708" s="100"/>
      <c r="Q708" s="357"/>
      <c r="R708" s="156"/>
      <c r="S708" s="154"/>
      <c r="T708" s="100"/>
      <c r="U708" s="357"/>
      <c r="V708" s="156"/>
      <c r="W708" s="154"/>
      <c r="X708" s="100"/>
      <c r="Y708" s="357"/>
      <c r="Z708" s="100"/>
      <c r="AA708" s="100"/>
      <c r="AB708" s="100"/>
      <c r="AC708" s="357"/>
      <c r="AD708" s="367"/>
      <c r="AE708" s="368"/>
      <c r="AF708" s="98"/>
      <c r="AG708" s="357"/>
      <c r="AH708" s="156"/>
      <c r="AI708" s="305"/>
      <c r="AJ708" s="366"/>
      <c r="AK708" s="357"/>
      <c r="AL708" s="371"/>
      <c r="AM708" s="371"/>
      <c r="AN708" s="371"/>
      <c r="AO708" s="357"/>
      <c r="AP708" s="100"/>
      <c r="AQ708" s="100"/>
      <c r="AR708" s="100"/>
      <c r="AS708" s="357"/>
      <c r="AT708" s="100"/>
      <c r="AU708" s="100"/>
      <c r="AV708" s="100"/>
    </row>
    <row r="709">
      <c r="A709" s="357"/>
      <c r="B709" s="156"/>
      <c r="C709" s="154"/>
      <c r="D709" s="100"/>
      <c r="E709" s="357"/>
      <c r="F709" s="156"/>
      <c r="G709" s="154"/>
      <c r="H709" s="100"/>
      <c r="I709" s="357"/>
      <c r="J709" s="156"/>
      <c r="K709" s="154"/>
      <c r="L709" s="100"/>
      <c r="M709" s="357"/>
      <c r="N709" s="156"/>
      <c r="O709" s="154"/>
      <c r="P709" s="100"/>
      <c r="Q709" s="357"/>
      <c r="R709" s="156"/>
      <c r="S709" s="154"/>
      <c r="T709" s="100"/>
      <c r="U709" s="357"/>
      <c r="V709" s="156"/>
      <c r="W709" s="154"/>
      <c r="X709" s="100"/>
      <c r="Y709" s="357"/>
      <c r="Z709" s="100"/>
      <c r="AA709" s="100"/>
      <c r="AB709" s="100"/>
      <c r="AC709" s="357"/>
      <c r="AD709" s="367"/>
      <c r="AE709" s="368"/>
      <c r="AF709" s="98"/>
      <c r="AG709" s="357"/>
      <c r="AH709" s="156"/>
      <c r="AI709" s="305"/>
      <c r="AJ709" s="366"/>
      <c r="AK709" s="357"/>
      <c r="AL709" s="371"/>
      <c r="AM709" s="371"/>
      <c r="AN709" s="371"/>
      <c r="AO709" s="357"/>
      <c r="AP709" s="100"/>
      <c r="AQ709" s="100"/>
      <c r="AR709" s="100"/>
      <c r="AS709" s="357"/>
      <c r="AT709" s="100"/>
      <c r="AU709" s="100"/>
      <c r="AV709" s="100"/>
    </row>
    <row r="710">
      <c r="A710" s="357"/>
      <c r="B710" s="156"/>
      <c r="C710" s="154"/>
      <c r="D710" s="100"/>
      <c r="E710" s="357"/>
      <c r="F710" s="156"/>
      <c r="G710" s="154"/>
      <c r="H710" s="100"/>
      <c r="I710" s="357"/>
      <c r="J710" s="156"/>
      <c r="K710" s="154"/>
      <c r="L710" s="100"/>
      <c r="M710" s="357"/>
      <c r="N710" s="156"/>
      <c r="O710" s="154"/>
      <c r="P710" s="100"/>
      <c r="Q710" s="357"/>
      <c r="R710" s="156"/>
      <c r="S710" s="154"/>
      <c r="T710" s="100"/>
      <c r="U710" s="357"/>
      <c r="V710" s="156"/>
      <c r="W710" s="154"/>
      <c r="X710" s="100"/>
      <c r="Y710" s="357"/>
      <c r="Z710" s="100"/>
      <c r="AA710" s="100"/>
      <c r="AB710" s="100"/>
      <c r="AC710" s="357"/>
      <c r="AD710" s="367"/>
      <c r="AE710" s="368"/>
      <c r="AF710" s="98"/>
      <c r="AG710" s="357"/>
      <c r="AH710" s="156"/>
      <c r="AI710" s="305"/>
      <c r="AJ710" s="366"/>
      <c r="AK710" s="357"/>
      <c r="AL710" s="371"/>
      <c r="AM710" s="371"/>
      <c r="AN710" s="371"/>
      <c r="AO710" s="357"/>
      <c r="AP710" s="100"/>
      <c r="AQ710" s="100"/>
      <c r="AR710" s="100"/>
      <c r="AS710" s="357"/>
      <c r="AT710" s="100"/>
      <c r="AU710" s="100"/>
      <c r="AV710" s="100"/>
    </row>
    <row r="711">
      <c r="A711" s="357"/>
      <c r="B711" s="156"/>
      <c r="C711" s="154"/>
      <c r="D711" s="100"/>
      <c r="E711" s="357"/>
      <c r="F711" s="156"/>
      <c r="G711" s="154"/>
      <c r="H711" s="100"/>
      <c r="I711" s="357"/>
      <c r="J711" s="156"/>
      <c r="K711" s="154"/>
      <c r="L711" s="100"/>
      <c r="M711" s="357"/>
      <c r="N711" s="156"/>
      <c r="O711" s="154"/>
      <c r="P711" s="100"/>
      <c r="Q711" s="357"/>
      <c r="R711" s="156"/>
      <c r="S711" s="154"/>
      <c r="T711" s="100"/>
      <c r="U711" s="357"/>
      <c r="V711" s="156"/>
      <c r="W711" s="154"/>
      <c r="X711" s="100"/>
      <c r="Y711" s="357"/>
      <c r="Z711" s="100"/>
      <c r="AA711" s="100"/>
      <c r="AB711" s="100"/>
      <c r="AC711" s="357"/>
      <c r="AD711" s="367"/>
      <c r="AE711" s="368"/>
      <c r="AF711" s="98"/>
      <c r="AG711" s="357"/>
      <c r="AH711" s="156"/>
      <c r="AI711" s="305"/>
      <c r="AJ711" s="366"/>
      <c r="AK711" s="357"/>
      <c r="AL711" s="371"/>
      <c r="AM711" s="371"/>
      <c r="AN711" s="371"/>
      <c r="AO711" s="357"/>
      <c r="AP711" s="100"/>
      <c r="AQ711" s="100"/>
      <c r="AR711" s="100"/>
      <c r="AS711" s="357"/>
      <c r="AT711" s="100"/>
      <c r="AU711" s="100"/>
      <c r="AV711" s="100"/>
    </row>
    <row r="712">
      <c r="A712" s="357"/>
      <c r="B712" s="156"/>
      <c r="C712" s="154"/>
      <c r="D712" s="100"/>
      <c r="E712" s="357"/>
      <c r="F712" s="156"/>
      <c r="G712" s="154"/>
      <c r="H712" s="100"/>
      <c r="I712" s="357"/>
      <c r="J712" s="156"/>
      <c r="K712" s="154"/>
      <c r="L712" s="100"/>
      <c r="M712" s="357"/>
      <c r="N712" s="156"/>
      <c r="O712" s="154"/>
      <c r="P712" s="100"/>
      <c r="Q712" s="357"/>
      <c r="R712" s="156"/>
      <c r="S712" s="154"/>
      <c r="T712" s="100"/>
      <c r="U712" s="357"/>
      <c r="V712" s="156"/>
      <c r="W712" s="154"/>
      <c r="X712" s="100"/>
      <c r="Y712" s="357"/>
      <c r="Z712" s="100"/>
      <c r="AA712" s="100"/>
      <c r="AB712" s="100"/>
      <c r="AC712" s="357"/>
      <c r="AD712" s="367"/>
      <c r="AE712" s="368"/>
      <c r="AF712" s="98"/>
      <c r="AG712" s="357"/>
      <c r="AH712" s="156"/>
      <c r="AI712" s="305"/>
      <c r="AJ712" s="366"/>
      <c r="AK712" s="357"/>
      <c r="AL712" s="371"/>
      <c r="AM712" s="371"/>
      <c r="AN712" s="371"/>
      <c r="AO712" s="357"/>
      <c r="AP712" s="100"/>
      <c r="AQ712" s="100"/>
      <c r="AR712" s="100"/>
      <c r="AS712" s="357"/>
      <c r="AT712" s="100"/>
      <c r="AU712" s="100"/>
      <c r="AV712" s="100"/>
    </row>
    <row r="713">
      <c r="A713" s="357"/>
      <c r="B713" s="156"/>
      <c r="C713" s="154"/>
      <c r="D713" s="100"/>
      <c r="E713" s="357"/>
      <c r="F713" s="156"/>
      <c r="G713" s="154"/>
      <c r="H713" s="100"/>
      <c r="I713" s="357"/>
      <c r="J713" s="156"/>
      <c r="K713" s="154"/>
      <c r="L713" s="100"/>
      <c r="M713" s="357"/>
      <c r="N713" s="156"/>
      <c r="O713" s="154"/>
      <c r="P713" s="100"/>
      <c r="Q713" s="357"/>
      <c r="R713" s="156"/>
      <c r="S713" s="154"/>
      <c r="T713" s="100"/>
      <c r="U713" s="357"/>
      <c r="V713" s="156"/>
      <c r="W713" s="154"/>
      <c r="X713" s="100"/>
      <c r="Y713" s="357"/>
      <c r="Z713" s="100"/>
      <c r="AA713" s="100"/>
      <c r="AB713" s="100"/>
      <c r="AC713" s="357"/>
      <c r="AD713" s="367"/>
      <c r="AE713" s="368"/>
      <c r="AF713" s="98"/>
      <c r="AG713" s="357"/>
      <c r="AH713" s="156"/>
      <c r="AI713" s="305"/>
      <c r="AJ713" s="366"/>
      <c r="AK713" s="357"/>
      <c r="AL713" s="371"/>
      <c r="AM713" s="371"/>
      <c r="AN713" s="371"/>
      <c r="AO713" s="357"/>
      <c r="AP713" s="100"/>
      <c r="AQ713" s="100"/>
      <c r="AR713" s="100"/>
      <c r="AS713" s="357"/>
      <c r="AT713" s="100"/>
      <c r="AU713" s="100"/>
      <c r="AV713" s="100"/>
    </row>
    <row r="714">
      <c r="A714" s="357"/>
      <c r="B714" s="156"/>
      <c r="C714" s="154"/>
      <c r="D714" s="100"/>
      <c r="E714" s="357"/>
      <c r="F714" s="156"/>
      <c r="G714" s="154"/>
      <c r="H714" s="100"/>
      <c r="I714" s="357"/>
      <c r="J714" s="156"/>
      <c r="K714" s="154"/>
      <c r="L714" s="100"/>
      <c r="M714" s="357"/>
      <c r="N714" s="156"/>
      <c r="O714" s="154"/>
      <c r="P714" s="100"/>
      <c r="Q714" s="357"/>
      <c r="R714" s="156"/>
      <c r="S714" s="154"/>
      <c r="T714" s="100"/>
      <c r="U714" s="357"/>
      <c r="V714" s="156"/>
      <c r="W714" s="154"/>
      <c r="X714" s="100"/>
      <c r="Y714" s="357"/>
      <c r="Z714" s="100"/>
      <c r="AA714" s="100"/>
      <c r="AB714" s="100"/>
      <c r="AC714" s="357"/>
      <c r="AD714" s="367"/>
      <c r="AE714" s="368"/>
      <c r="AF714" s="98"/>
      <c r="AG714" s="357"/>
      <c r="AH714" s="156"/>
      <c r="AI714" s="305"/>
      <c r="AJ714" s="366"/>
      <c r="AK714" s="357"/>
      <c r="AL714" s="371"/>
      <c r="AM714" s="371"/>
      <c r="AN714" s="371"/>
      <c r="AO714" s="357"/>
      <c r="AP714" s="100"/>
      <c r="AQ714" s="100"/>
      <c r="AR714" s="100"/>
      <c r="AS714" s="357"/>
      <c r="AT714" s="100"/>
      <c r="AU714" s="100"/>
      <c r="AV714" s="100"/>
    </row>
    <row r="715">
      <c r="A715" s="357"/>
      <c r="B715" s="156"/>
      <c r="C715" s="154"/>
      <c r="D715" s="100"/>
      <c r="E715" s="357"/>
      <c r="F715" s="156"/>
      <c r="G715" s="154"/>
      <c r="H715" s="100"/>
      <c r="I715" s="357"/>
      <c r="J715" s="156"/>
      <c r="K715" s="154"/>
      <c r="L715" s="100"/>
      <c r="M715" s="357"/>
      <c r="N715" s="156"/>
      <c r="O715" s="154"/>
      <c r="P715" s="100"/>
      <c r="Q715" s="357"/>
      <c r="R715" s="156"/>
      <c r="S715" s="154"/>
      <c r="T715" s="100"/>
      <c r="U715" s="357"/>
      <c r="V715" s="156"/>
      <c r="W715" s="154"/>
      <c r="X715" s="100"/>
      <c r="Y715" s="357"/>
      <c r="Z715" s="100"/>
      <c r="AA715" s="100"/>
      <c r="AB715" s="100"/>
      <c r="AC715" s="357"/>
      <c r="AD715" s="367"/>
      <c r="AE715" s="368"/>
      <c r="AF715" s="98"/>
      <c r="AG715" s="357"/>
      <c r="AH715" s="156"/>
      <c r="AI715" s="305"/>
      <c r="AJ715" s="366"/>
      <c r="AK715" s="357"/>
      <c r="AL715" s="371"/>
      <c r="AM715" s="371"/>
      <c r="AN715" s="371"/>
      <c r="AO715" s="357"/>
      <c r="AP715" s="100"/>
      <c r="AQ715" s="100"/>
      <c r="AR715" s="100"/>
      <c r="AS715" s="357"/>
      <c r="AT715" s="100"/>
      <c r="AU715" s="100"/>
      <c r="AV715" s="100"/>
    </row>
    <row r="716">
      <c r="A716" s="357"/>
      <c r="B716" s="156"/>
      <c r="C716" s="154"/>
      <c r="D716" s="100"/>
      <c r="E716" s="357"/>
      <c r="F716" s="156"/>
      <c r="G716" s="154"/>
      <c r="H716" s="100"/>
      <c r="I716" s="357"/>
      <c r="J716" s="156"/>
      <c r="K716" s="154"/>
      <c r="L716" s="100"/>
      <c r="M716" s="357"/>
      <c r="N716" s="156"/>
      <c r="O716" s="154"/>
      <c r="P716" s="100"/>
      <c r="Q716" s="357"/>
      <c r="R716" s="156"/>
      <c r="S716" s="154"/>
      <c r="T716" s="100"/>
      <c r="U716" s="357"/>
      <c r="V716" s="156"/>
      <c r="W716" s="154"/>
      <c r="X716" s="100"/>
      <c r="Y716" s="357"/>
      <c r="Z716" s="100"/>
      <c r="AA716" s="100"/>
      <c r="AB716" s="100"/>
      <c r="AC716" s="357"/>
      <c r="AD716" s="367"/>
      <c r="AE716" s="368"/>
      <c r="AF716" s="98"/>
      <c r="AG716" s="357"/>
      <c r="AH716" s="156"/>
      <c r="AI716" s="305"/>
      <c r="AJ716" s="366"/>
      <c r="AK716" s="357"/>
      <c r="AL716" s="371"/>
      <c r="AM716" s="371"/>
      <c r="AN716" s="371"/>
      <c r="AO716" s="357"/>
      <c r="AP716" s="100"/>
      <c r="AQ716" s="100"/>
      <c r="AR716" s="100"/>
      <c r="AS716" s="357"/>
      <c r="AT716" s="100"/>
      <c r="AU716" s="100"/>
      <c r="AV716" s="100"/>
    </row>
    <row r="717">
      <c r="A717" s="357"/>
      <c r="B717" s="156"/>
      <c r="C717" s="154"/>
      <c r="D717" s="100"/>
      <c r="E717" s="357"/>
      <c r="F717" s="156"/>
      <c r="G717" s="154"/>
      <c r="H717" s="100"/>
      <c r="I717" s="357"/>
      <c r="J717" s="156"/>
      <c r="K717" s="154"/>
      <c r="L717" s="100"/>
      <c r="M717" s="357"/>
      <c r="N717" s="156"/>
      <c r="O717" s="154"/>
      <c r="P717" s="100"/>
      <c r="Q717" s="357"/>
      <c r="R717" s="156"/>
      <c r="S717" s="154"/>
      <c r="T717" s="100"/>
      <c r="U717" s="357"/>
      <c r="V717" s="156"/>
      <c r="W717" s="154"/>
      <c r="X717" s="100"/>
      <c r="Y717" s="357"/>
      <c r="Z717" s="100"/>
      <c r="AA717" s="100"/>
      <c r="AB717" s="100"/>
      <c r="AC717" s="357"/>
      <c r="AD717" s="367"/>
      <c r="AE717" s="368"/>
      <c r="AF717" s="98"/>
      <c r="AG717" s="357"/>
      <c r="AH717" s="156"/>
      <c r="AI717" s="305"/>
      <c r="AJ717" s="366"/>
      <c r="AK717" s="357"/>
      <c r="AL717" s="371"/>
      <c r="AM717" s="371"/>
      <c r="AN717" s="371"/>
      <c r="AO717" s="357"/>
      <c r="AP717" s="100"/>
      <c r="AQ717" s="100"/>
      <c r="AR717" s="100"/>
      <c r="AS717" s="357"/>
      <c r="AT717" s="100"/>
      <c r="AU717" s="100"/>
      <c r="AV717" s="100"/>
    </row>
    <row r="718">
      <c r="A718" s="357"/>
      <c r="B718" s="156"/>
      <c r="C718" s="154"/>
      <c r="D718" s="100"/>
      <c r="E718" s="357"/>
      <c r="F718" s="156"/>
      <c r="G718" s="154"/>
      <c r="H718" s="100"/>
      <c r="I718" s="357"/>
      <c r="J718" s="156"/>
      <c r="K718" s="154"/>
      <c r="L718" s="100"/>
      <c r="M718" s="357"/>
      <c r="N718" s="156"/>
      <c r="O718" s="154"/>
      <c r="P718" s="100"/>
      <c r="Q718" s="357"/>
      <c r="R718" s="156"/>
      <c r="S718" s="154"/>
      <c r="T718" s="100"/>
      <c r="U718" s="357"/>
      <c r="V718" s="156"/>
      <c r="W718" s="154"/>
      <c r="X718" s="100"/>
      <c r="Y718" s="357"/>
      <c r="Z718" s="100"/>
      <c r="AA718" s="100"/>
      <c r="AB718" s="100"/>
      <c r="AC718" s="357"/>
      <c r="AD718" s="367"/>
      <c r="AE718" s="368"/>
      <c r="AF718" s="98"/>
      <c r="AG718" s="357"/>
      <c r="AH718" s="156"/>
      <c r="AI718" s="305"/>
      <c r="AJ718" s="366"/>
      <c r="AK718" s="357"/>
      <c r="AL718" s="371"/>
      <c r="AM718" s="371"/>
      <c r="AN718" s="371"/>
      <c r="AO718" s="357"/>
      <c r="AP718" s="100"/>
      <c r="AQ718" s="100"/>
      <c r="AR718" s="100"/>
      <c r="AS718" s="357"/>
      <c r="AT718" s="100"/>
      <c r="AU718" s="100"/>
      <c r="AV718" s="100"/>
    </row>
    <row r="719">
      <c r="A719" s="357"/>
      <c r="B719" s="156"/>
      <c r="C719" s="154"/>
      <c r="D719" s="100"/>
      <c r="E719" s="357"/>
      <c r="F719" s="156"/>
      <c r="G719" s="154"/>
      <c r="H719" s="100"/>
      <c r="I719" s="357"/>
      <c r="J719" s="156"/>
      <c r="K719" s="154"/>
      <c r="L719" s="100"/>
      <c r="M719" s="357"/>
      <c r="N719" s="156"/>
      <c r="O719" s="154"/>
      <c r="P719" s="100"/>
      <c r="Q719" s="357"/>
      <c r="R719" s="156"/>
      <c r="S719" s="154"/>
      <c r="T719" s="100"/>
      <c r="U719" s="357"/>
      <c r="V719" s="156"/>
      <c r="W719" s="154"/>
      <c r="X719" s="100"/>
      <c r="Y719" s="357"/>
      <c r="Z719" s="100"/>
      <c r="AA719" s="100"/>
      <c r="AB719" s="100"/>
      <c r="AC719" s="357"/>
      <c r="AD719" s="367"/>
      <c r="AE719" s="368"/>
      <c r="AF719" s="98"/>
      <c r="AG719" s="357"/>
      <c r="AH719" s="156"/>
      <c r="AI719" s="305"/>
      <c r="AJ719" s="366"/>
      <c r="AK719" s="357"/>
      <c r="AL719" s="371"/>
      <c r="AM719" s="371"/>
      <c r="AN719" s="371"/>
      <c r="AO719" s="357"/>
      <c r="AP719" s="100"/>
      <c r="AQ719" s="100"/>
      <c r="AR719" s="100"/>
      <c r="AS719" s="357"/>
      <c r="AT719" s="100"/>
      <c r="AU719" s="100"/>
      <c r="AV719" s="100"/>
    </row>
    <row r="720">
      <c r="A720" s="357"/>
      <c r="B720" s="156"/>
      <c r="C720" s="154"/>
      <c r="D720" s="100"/>
      <c r="E720" s="357"/>
      <c r="F720" s="156"/>
      <c r="G720" s="154"/>
      <c r="H720" s="100"/>
      <c r="I720" s="357"/>
      <c r="J720" s="156"/>
      <c r="K720" s="154"/>
      <c r="L720" s="100"/>
      <c r="M720" s="357"/>
      <c r="N720" s="156"/>
      <c r="O720" s="154"/>
      <c r="P720" s="100"/>
      <c r="Q720" s="357"/>
      <c r="R720" s="156"/>
      <c r="S720" s="154"/>
      <c r="T720" s="100"/>
      <c r="U720" s="357"/>
      <c r="V720" s="156"/>
      <c r="W720" s="154"/>
      <c r="X720" s="100"/>
      <c r="Y720" s="357"/>
      <c r="Z720" s="100"/>
      <c r="AA720" s="100"/>
      <c r="AB720" s="100"/>
      <c r="AC720" s="357"/>
      <c r="AD720" s="367"/>
      <c r="AE720" s="368"/>
      <c r="AF720" s="98"/>
      <c r="AG720" s="357"/>
      <c r="AH720" s="156"/>
      <c r="AI720" s="305"/>
      <c r="AJ720" s="366"/>
      <c r="AK720" s="357"/>
      <c r="AL720" s="371"/>
      <c r="AM720" s="371"/>
      <c r="AN720" s="371"/>
      <c r="AO720" s="357"/>
      <c r="AP720" s="100"/>
      <c r="AQ720" s="100"/>
      <c r="AR720" s="100"/>
      <c r="AS720" s="357"/>
      <c r="AT720" s="100"/>
      <c r="AU720" s="100"/>
      <c r="AV720" s="100"/>
    </row>
    <row r="721">
      <c r="A721" s="357"/>
      <c r="B721" s="156"/>
      <c r="C721" s="154"/>
      <c r="D721" s="100"/>
      <c r="E721" s="357"/>
      <c r="F721" s="156"/>
      <c r="G721" s="154"/>
      <c r="H721" s="100"/>
      <c r="I721" s="357"/>
      <c r="J721" s="156"/>
      <c r="K721" s="154"/>
      <c r="L721" s="100"/>
      <c r="M721" s="357"/>
      <c r="N721" s="156"/>
      <c r="O721" s="154"/>
      <c r="P721" s="100"/>
      <c r="Q721" s="357"/>
      <c r="R721" s="156"/>
      <c r="S721" s="154"/>
      <c r="T721" s="100"/>
      <c r="U721" s="357"/>
      <c r="V721" s="156"/>
      <c r="W721" s="154"/>
      <c r="X721" s="100"/>
      <c r="Y721" s="357"/>
      <c r="Z721" s="100"/>
      <c r="AA721" s="100"/>
      <c r="AB721" s="100"/>
      <c r="AC721" s="357"/>
      <c r="AD721" s="367"/>
      <c r="AE721" s="368"/>
      <c r="AF721" s="98"/>
      <c r="AG721" s="357"/>
      <c r="AH721" s="156"/>
      <c r="AI721" s="305"/>
      <c r="AJ721" s="366"/>
      <c r="AK721" s="357"/>
      <c r="AL721" s="371"/>
      <c r="AM721" s="371"/>
      <c r="AN721" s="371"/>
      <c r="AO721" s="357"/>
      <c r="AP721" s="100"/>
      <c r="AQ721" s="100"/>
      <c r="AR721" s="100"/>
      <c r="AS721" s="357"/>
      <c r="AT721" s="100"/>
      <c r="AU721" s="100"/>
      <c r="AV721" s="100"/>
    </row>
    <row r="722">
      <c r="A722" s="357"/>
      <c r="B722" s="156"/>
      <c r="C722" s="154"/>
      <c r="D722" s="100"/>
      <c r="E722" s="357"/>
      <c r="F722" s="156"/>
      <c r="G722" s="154"/>
      <c r="H722" s="100"/>
      <c r="I722" s="357"/>
      <c r="J722" s="156"/>
      <c r="K722" s="154"/>
      <c r="L722" s="100"/>
      <c r="M722" s="357"/>
      <c r="N722" s="156"/>
      <c r="O722" s="154"/>
      <c r="P722" s="100"/>
      <c r="Q722" s="357"/>
      <c r="R722" s="156"/>
      <c r="S722" s="154"/>
      <c r="T722" s="100"/>
      <c r="U722" s="357"/>
      <c r="V722" s="156"/>
      <c r="W722" s="154"/>
      <c r="X722" s="100"/>
      <c r="Y722" s="357"/>
      <c r="Z722" s="100"/>
      <c r="AA722" s="100"/>
      <c r="AB722" s="100"/>
      <c r="AC722" s="357"/>
      <c r="AD722" s="367"/>
      <c r="AE722" s="368"/>
      <c r="AF722" s="98"/>
      <c r="AG722" s="357"/>
      <c r="AH722" s="156"/>
      <c r="AI722" s="305"/>
      <c r="AJ722" s="366"/>
      <c r="AK722" s="357"/>
      <c r="AL722" s="371"/>
      <c r="AM722" s="371"/>
      <c r="AN722" s="371"/>
      <c r="AO722" s="357"/>
      <c r="AP722" s="100"/>
      <c r="AQ722" s="100"/>
      <c r="AR722" s="100"/>
      <c r="AS722" s="357"/>
      <c r="AT722" s="100"/>
      <c r="AU722" s="100"/>
      <c r="AV722" s="100"/>
    </row>
    <row r="723">
      <c r="A723" s="357"/>
      <c r="B723" s="156"/>
      <c r="C723" s="154"/>
      <c r="D723" s="100"/>
      <c r="E723" s="357"/>
      <c r="F723" s="156"/>
      <c r="G723" s="154"/>
      <c r="H723" s="100"/>
      <c r="I723" s="357"/>
      <c r="J723" s="156"/>
      <c r="K723" s="154"/>
      <c r="L723" s="100"/>
      <c r="M723" s="357"/>
      <c r="N723" s="156"/>
      <c r="O723" s="154"/>
      <c r="P723" s="100"/>
      <c r="Q723" s="357"/>
      <c r="R723" s="156"/>
      <c r="S723" s="154"/>
      <c r="T723" s="100"/>
      <c r="U723" s="357"/>
      <c r="V723" s="156"/>
      <c r="W723" s="154"/>
      <c r="X723" s="100"/>
      <c r="Y723" s="357"/>
      <c r="Z723" s="100"/>
      <c r="AA723" s="100"/>
      <c r="AB723" s="100"/>
      <c r="AC723" s="357"/>
      <c r="AD723" s="367"/>
      <c r="AE723" s="368"/>
      <c r="AF723" s="98"/>
      <c r="AG723" s="357"/>
      <c r="AH723" s="156"/>
      <c r="AI723" s="305"/>
      <c r="AJ723" s="366"/>
      <c r="AK723" s="357"/>
      <c r="AL723" s="371"/>
      <c r="AM723" s="371"/>
      <c r="AN723" s="371"/>
      <c r="AO723" s="357"/>
      <c r="AP723" s="100"/>
      <c r="AQ723" s="100"/>
      <c r="AR723" s="100"/>
      <c r="AS723" s="357"/>
      <c r="AT723" s="100"/>
      <c r="AU723" s="100"/>
      <c r="AV723" s="100"/>
    </row>
    <row r="724">
      <c r="A724" s="357"/>
      <c r="B724" s="156"/>
      <c r="C724" s="154"/>
      <c r="D724" s="100"/>
      <c r="E724" s="357"/>
      <c r="F724" s="156"/>
      <c r="G724" s="154"/>
      <c r="H724" s="100"/>
      <c r="I724" s="357"/>
      <c r="J724" s="156"/>
      <c r="K724" s="154"/>
      <c r="L724" s="100"/>
      <c r="M724" s="357"/>
      <c r="N724" s="156"/>
      <c r="O724" s="154"/>
      <c r="P724" s="100"/>
      <c r="Q724" s="357"/>
      <c r="R724" s="156"/>
      <c r="S724" s="154"/>
      <c r="T724" s="100"/>
      <c r="U724" s="357"/>
      <c r="V724" s="156"/>
      <c r="W724" s="154"/>
      <c r="X724" s="100"/>
      <c r="Y724" s="357"/>
      <c r="Z724" s="100"/>
      <c r="AA724" s="100"/>
      <c r="AB724" s="100"/>
      <c r="AC724" s="357"/>
      <c r="AD724" s="367"/>
      <c r="AE724" s="368"/>
      <c r="AF724" s="98"/>
      <c r="AG724" s="357"/>
      <c r="AH724" s="156"/>
      <c r="AI724" s="305"/>
      <c r="AJ724" s="366"/>
      <c r="AK724" s="357"/>
      <c r="AL724" s="371"/>
      <c r="AM724" s="371"/>
      <c r="AN724" s="371"/>
      <c r="AO724" s="357"/>
      <c r="AP724" s="100"/>
      <c r="AQ724" s="100"/>
      <c r="AR724" s="100"/>
      <c r="AS724" s="357"/>
      <c r="AT724" s="100"/>
      <c r="AU724" s="100"/>
      <c r="AV724" s="100"/>
    </row>
    <row r="725">
      <c r="A725" s="357"/>
      <c r="B725" s="156"/>
      <c r="C725" s="154"/>
      <c r="D725" s="100"/>
      <c r="E725" s="357"/>
      <c r="F725" s="156"/>
      <c r="G725" s="154"/>
      <c r="H725" s="100"/>
      <c r="I725" s="357"/>
      <c r="J725" s="156"/>
      <c r="K725" s="154"/>
      <c r="L725" s="100"/>
      <c r="M725" s="357"/>
      <c r="N725" s="156"/>
      <c r="O725" s="154"/>
      <c r="P725" s="100"/>
      <c r="Q725" s="357"/>
      <c r="R725" s="156"/>
      <c r="S725" s="154"/>
      <c r="T725" s="100"/>
      <c r="U725" s="357"/>
      <c r="V725" s="156"/>
      <c r="W725" s="154"/>
      <c r="X725" s="100"/>
      <c r="Y725" s="357"/>
      <c r="Z725" s="100"/>
      <c r="AA725" s="100"/>
      <c r="AB725" s="100"/>
      <c r="AC725" s="357"/>
      <c r="AD725" s="367"/>
      <c r="AE725" s="368"/>
      <c r="AF725" s="98"/>
      <c r="AG725" s="357"/>
      <c r="AH725" s="156"/>
      <c r="AI725" s="305"/>
      <c r="AJ725" s="366"/>
      <c r="AK725" s="357"/>
      <c r="AL725" s="371"/>
      <c r="AM725" s="371"/>
      <c r="AN725" s="371"/>
      <c r="AO725" s="357"/>
      <c r="AP725" s="100"/>
      <c r="AQ725" s="100"/>
      <c r="AR725" s="100"/>
      <c r="AS725" s="357"/>
      <c r="AT725" s="100"/>
      <c r="AU725" s="100"/>
      <c r="AV725" s="100"/>
    </row>
    <row r="726">
      <c r="A726" s="357"/>
      <c r="B726" s="156"/>
      <c r="C726" s="154"/>
      <c r="D726" s="100"/>
      <c r="E726" s="357"/>
      <c r="F726" s="156"/>
      <c r="G726" s="154"/>
      <c r="H726" s="100"/>
      <c r="I726" s="357"/>
      <c r="J726" s="156"/>
      <c r="K726" s="154"/>
      <c r="L726" s="100"/>
      <c r="M726" s="357"/>
      <c r="N726" s="156"/>
      <c r="O726" s="154"/>
      <c r="P726" s="100"/>
      <c r="Q726" s="357"/>
      <c r="R726" s="156"/>
      <c r="S726" s="154"/>
      <c r="T726" s="100"/>
      <c r="U726" s="357"/>
      <c r="V726" s="156"/>
      <c r="W726" s="154"/>
      <c r="X726" s="100"/>
      <c r="Y726" s="357"/>
      <c r="Z726" s="100"/>
      <c r="AA726" s="100"/>
      <c r="AB726" s="100"/>
      <c r="AC726" s="357"/>
      <c r="AD726" s="367"/>
      <c r="AE726" s="368"/>
      <c r="AF726" s="98"/>
      <c r="AG726" s="357"/>
      <c r="AH726" s="156"/>
      <c r="AI726" s="305"/>
      <c r="AJ726" s="366"/>
      <c r="AK726" s="357"/>
      <c r="AL726" s="371"/>
      <c r="AM726" s="371"/>
      <c r="AN726" s="371"/>
      <c r="AO726" s="357"/>
      <c r="AP726" s="100"/>
      <c r="AQ726" s="100"/>
      <c r="AR726" s="100"/>
      <c r="AS726" s="357"/>
      <c r="AT726" s="100"/>
      <c r="AU726" s="100"/>
      <c r="AV726" s="100"/>
    </row>
    <row r="727">
      <c r="A727" s="357"/>
      <c r="B727" s="156"/>
      <c r="C727" s="154"/>
      <c r="D727" s="100"/>
      <c r="E727" s="357"/>
      <c r="F727" s="156"/>
      <c r="G727" s="154"/>
      <c r="H727" s="100"/>
      <c r="I727" s="357"/>
      <c r="J727" s="156"/>
      <c r="K727" s="154"/>
      <c r="L727" s="100"/>
      <c r="M727" s="357"/>
      <c r="N727" s="156"/>
      <c r="O727" s="154"/>
      <c r="P727" s="100"/>
      <c r="Q727" s="357"/>
      <c r="R727" s="156"/>
      <c r="S727" s="154"/>
      <c r="T727" s="100"/>
      <c r="U727" s="357"/>
      <c r="V727" s="156"/>
      <c r="W727" s="154"/>
      <c r="X727" s="100"/>
      <c r="Y727" s="357"/>
      <c r="Z727" s="100"/>
      <c r="AA727" s="100"/>
      <c r="AB727" s="100"/>
      <c r="AC727" s="357"/>
      <c r="AD727" s="367"/>
      <c r="AE727" s="368"/>
      <c r="AF727" s="98"/>
      <c r="AG727" s="357"/>
      <c r="AH727" s="156"/>
      <c r="AI727" s="305"/>
      <c r="AJ727" s="366"/>
      <c r="AK727" s="357"/>
      <c r="AL727" s="371"/>
      <c r="AM727" s="371"/>
      <c r="AN727" s="371"/>
      <c r="AO727" s="357"/>
      <c r="AP727" s="100"/>
      <c r="AQ727" s="100"/>
      <c r="AR727" s="100"/>
      <c r="AS727" s="357"/>
      <c r="AT727" s="100"/>
      <c r="AU727" s="100"/>
      <c r="AV727" s="100"/>
    </row>
    <row r="728">
      <c r="A728" s="357"/>
      <c r="B728" s="156"/>
      <c r="C728" s="154"/>
      <c r="D728" s="100"/>
      <c r="E728" s="357"/>
      <c r="F728" s="156"/>
      <c r="G728" s="154"/>
      <c r="H728" s="100"/>
      <c r="I728" s="357"/>
      <c r="J728" s="156"/>
      <c r="K728" s="154"/>
      <c r="L728" s="100"/>
      <c r="M728" s="357"/>
      <c r="N728" s="156"/>
      <c r="O728" s="154"/>
      <c r="P728" s="100"/>
      <c r="Q728" s="357"/>
      <c r="R728" s="156"/>
      <c r="S728" s="154"/>
      <c r="T728" s="100"/>
      <c r="U728" s="357"/>
      <c r="V728" s="156"/>
      <c r="W728" s="154"/>
      <c r="X728" s="100"/>
      <c r="Y728" s="357"/>
      <c r="Z728" s="100"/>
      <c r="AA728" s="100"/>
      <c r="AB728" s="100"/>
      <c r="AC728" s="357"/>
      <c r="AD728" s="367"/>
      <c r="AE728" s="368"/>
      <c r="AF728" s="98"/>
      <c r="AG728" s="357"/>
      <c r="AH728" s="156"/>
      <c r="AI728" s="305"/>
      <c r="AJ728" s="366"/>
      <c r="AK728" s="357"/>
      <c r="AL728" s="371"/>
      <c r="AM728" s="371"/>
      <c r="AN728" s="371"/>
      <c r="AO728" s="357"/>
      <c r="AP728" s="100"/>
      <c r="AQ728" s="100"/>
      <c r="AR728" s="100"/>
      <c r="AS728" s="357"/>
      <c r="AT728" s="100"/>
      <c r="AU728" s="100"/>
      <c r="AV728" s="100"/>
    </row>
    <row r="729">
      <c r="A729" s="357"/>
      <c r="B729" s="156"/>
      <c r="C729" s="154"/>
      <c r="D729" s="100"/>
      <c r="E729" s="357"/>
      <c r="F729" s="156"/>
      <c r="G729" s="154"/>
      <c r="H729" s="100"/>
      <c r="I729" s="357"/>
      <c r="J729" s="156"/>
      <c r="K729" s="154"/>
      <c r="L729" s="100"/>
      <c r="M729" s="357"/>
      <c r="N729" s="156"/>
      <c r="O729" s="154"/>
      <c r="P729" s="100"/>
      <c r="Q729" s="357"/>
      <c r="R729" s="156"/>
      <c r="S729" s="154"/>
      <c r="T729" s="100"/>
      <c r="U729" s="357"/>
      <c r="V729" s="156"/>
      <c r="W729" s="154"/>
      <c r="X729" s="100"/>
      <c r="Y729" s="357"/>
      <c r="Z729" s="100"/>
      <c r="AA729" s="100"/>
      <c r="AB729" s="100"/>
      <c r="AC729" s="357"/>
      <c r="AD729" s="367"/>
      <c r="AE729" s="368"/>
      <c r="AF729" s="98"/>
      <c r="AG729" s="357"/>
      <c r="AH729" s="156"/>
      <c r="AI729" s="305"/>
      <c r="AJ729" s="366"/>
      <c r="AK729" s="357"/>
      <c r="AL729" s="371"/>
      <c r="AM729" s="371"/>
      <c r="AN729" s="371"/>
      <c r="AO729" s="357"/>
      <c r="AP729" s="100"/>
      <c r="AQ729" s="100"/>
      <c r="AR729" s="100"/>
      <c r="AS729" s="357"/>
      <c r="AT729" s="100"/>
      <c r="AU729" s="100"/>
      <c r="AV729" s="100"/>
    </row>
    <row r="730">
      <c r="A730" s="357"/>
      <c r="B730" s="156"/>
      <c r="C730" s="154"/>
      <c r="D730" s="100"/>
      <c r="E730" s="357"/>
      <c r="F730" s="156"/>
      <c r="G730" s="154"/>
      <c r="H730" s="100"/>
      <c r="I730" s="357"/>
      <c r="J730" s="156"/>
      <c r="K730" s="154"/>
      <c r="L730" s="100"/>
      <c r="M730" s="357"/>
      <c r="N730" s="156"/>
      <c r="O730" s="154"/>
      <c r="P730" s="100"/>
      <c r="Q730" s="357"/>
      <c r="R730" s="156"/>
      <c r="S730" s="154"/>
      <c r="T730" s="100"/>
      <c r="U730" s="357"/>
      <c r="V730" s="156"/>
      <c r="W730" s="154"/>
      <c r="X730" s="100"/>
      <c r="Y730" s="357"/>
      <c r="Z730" s="100"/>
      <c r="AA730" s="100"/>
      <c r="AB730" s="100"/>
      <c r="AC730" s="357"/>
      <c r="AD730" s="367"/>
      <c r="AE730" s="368"/>
      <c r="AF730" s="98"/>
      <c r="AG730" s="357"/>
      <c r="AH730" s="156"/>
      <c r="AI730" s="305"/>
      <c r="AJ730" s="366"/>
      <c r="AK730" s="357"/>
      <c r="AL730" s="371"/>
      <c r="AM730" s="371"/>
      <c r="AN730" s="371"/>
      <c r="AO730" s="357"/>
      <c r="AP730" s="100"/>
      <c r="AQ730" s="100"/>
      <c r="AR730" s="100"/>
      <c r="AS730" s="357"/>
      <c r="AT730" s="100"/>
      <c r="AU730" s="100"/>
      <c r="AV730" s="100"/>
    </row>
    <row r="731">
      <c r="A731" s="357"/>
      <c r="B731" s="156"/>
      <c r="C731" s="154"/>
      <c r="D731" s="100"/>
      <c r="E731" s="357"/>
      <c r="F731" s="156"/>
      <c r="G731" s="154"/>
      <c r="H731" s="100"/>
      <c r="I731" s="357"/>
      <c r="J731" s="156"/>
      <c r="K731" s="154"/>
      <c r="L731" s="100"/>
      <c r="M731" s="357"/>
      <c r="N731" s="156"/>
      <c r="O731" s="154"/>
      <c r="P731" s="100"/>
      <c r="Q731" s="357"/>
      <c r="R731" s="156"/>
      <c r="S731" s="154"/>
      <c r="T731" s="100"/>
      <c r="U731" s="357"/>
      <c r="V731" s="156"/>
      <c r="W731" s="154"/>
      <c r="X731" s="100"/>
      <c r="Y731" s="357"/>
      <c r="Z731" s="100"/>
      <c r="AA731" s="100"/>
      <c r="AB731" s="100"/>
      <c r="AC731" s="357"/>
      <c r="AD731" s="367"/>
      <c r="AE731" s="368"/>
      <c r="AF731" s="98"/>
      <c r="AG731" s="357"/>
      <c r="AH731" s="156"/>
      <c r="AI731" s="305"/>
      <c r="AJ731" s="366"/>
      <c r="AK731" s="357"/>
      <c r="AL731" s="371"/>
      <c r="AM731" s="371"/>
      <c r="AN731" s="371"/>
      <c r="AO731" s="357"/>
      <c r="AP731" s="100"/>
      <c r="AQ731" s="100"/>
      <c r="AR731" s="100"/>
      <c r="AS731" s="357"/>
      <c r="AT731" s="100"/>
      <c r="AU731" s="100"/>
      <c r="AV731" s="100"/>
    </row>
    <row r="732">
      <c r="A732" s="357"/>
      <c r="B732" s="156"/>
      <c r="C732" s="154"/>
      <c r="D732" s="100"/>
      <c r="E732" s="357"/>
      <c r="F732" s="156"/>
      <c r="G732" s="154"/>
      <c r="H732" s="100"/>
      <c r="I732" s="357"/>
      <c r="J732" s="156"/>
      <c r="K732" s="154"/>
      <c r="L732" s="100"/>
      <c r="M732" s="357"/>
      <c r="N732" s="156"/>
      <c r="O732" s="154"/>
      <c r="P732" s="100"/>
      <c r="Q732" s="357"/>
      <c r="R732" s="156"/>
      <c r="S732" s="154"/>
      <c r="T732" s="100"/>
      <c r="U732" s="357"/>
      <c r="V732" s="156"/>
      <c r="W732" s="154"/>
      <c r="X732" s="100"/>
      <c r="Y732" s="357"/>
      <c r="Z732" s="100"/>
      <c r="AA732" s="100"/>
      <c r="AB732" s="100"/>
      <c r="AC732" s="357"/>
      <c r="AD732" s="367"/>
      <c r="AE732" s="368"/>
      <c r="AF732" s="98"/>
      <c r="AG732" s="357"/>
      <c r="AH732" s="156"/>
      <c r="AI732" s="305"/>
      <c r="AJ732" s="366"/>
      <c r="AK732" s="357"/>
      <c r="AL732" s="371"/>
      <c r="AM732" s="371"/>
      <c r="AN732" s="371"/>
      <c r="AO732" s="357"/>
      <c r="AP732" s="100"/>
      <c r="AQ732" s="100"/>
      <c r="AR732" s="100"/>
      <c r="AS732" s="357"/>
      <c r="AT732" s="100"/>
      <c r="AU732" s="100"/>
      <c r="AV732" s="100"/>
    </row>
    <row r="733">
      <c r="A733" s="357"/>
      <c r="B733" s="156"/>
      <c r="C733" s="154"/>
      <c r="D733" s="100"/>
      <c r="E733" s="357"/>
      <c r="F733" s="156"/>
      <c r="G733" s="154"/>
      <c r="H733" s="100"/>
      <c r="I733" s="357"/>
      <c r="J733" s="156"/>
      <c r="K733" s="154"/>
      <c r="L733" s="100"/>
      <c r="M733" s="357"/>
      <c r="N733" s="156"/>
      <c r="O733" s="154"/>
      <c r="P733" s="100"/>
      <c r="Q733" s="357"/>
      <c r="R733" s="156"/>
      <c r="S733" s="154"/>
      <c r="T733" s="100"/>
      <c r="U733" s="357"/>
      <c r="V733" s="156"/>
      <c r="W733" s="154"/>
      <c r="X733" s="100"/>
      <c r="Y733" s="357"/>
      <c r="Z733" s="100"/>
      <c r="AA733" s="100"/>
      <c r="AB733" s="100"/>
      <c r="AC733" s="357"/>
      <c r="AD733" s="367"/>
      <c r="AE733" s="368"/>
      <c r="AF733" s="98"/>
      <c r="AG733" s="357"/>
      <c r="AH733" s="156"/>
      <c r="AI733" s="305"/>
      <c r="AJ733" s="366"/>
      <c r="AK733" s="357"/>
      <c r="AL733" s="371"/>
      <c r="AM733" s="371"/>
      <c r="AN733" s="371"/>
      <c r="AO733" s="357"/>
      <c r="AP733" s="100"/>
      <c r="AQ733" s="100"/>
      <c r="AR733" s="100"/>
      <c r="AS733" s="357"/>
      <c r="AT733" s="100"/>
      <c r="AU733" s="100"/>
      <c r="AV733" s="100"/>
    </row>
    <row r="734">
      <c r="A734" s="357"/>
      <c r="B734" s="156"/>
      <c r="C734" s="154"/>
      <c r="D734" s="100"/>
      <c r="E734" s="357"/>
      <c r="F734" s="156"/>
      <c r="G734" s="154"/>
      <c r="H734" s="100"/>
      <c r="I734" s="357"/>
      <c r="J734" s="156"/>
      <c r="K734" s="154"/>
      <c r="L734" s="100"/>
      <c r="M734" s="357"/>
      <c r="N734" s="156"/>
      <c r="O734" s="154"/>
      <c r="P734" s="100"/>
      <c r="Q734" s="357"/>
      <c r="R734" s="156"/>
      <c r="S734" s="154"/>
      <c r="T734" s="100"/>
      <c r="U734" s="357"/>
      <c r="V734" s="156"/>
      <c r="W734" s="154"/>
      <c r="X734" s="100"/>
      <c r="Y734" s="357"/>
      <c r="Z734" s="100"/>
      <c r="AA734" s="100"/>
      <c r="AB734" s="100"/>
      <c r="AC734" s="357"/>
      <c r="AD734" s="367"/>
      <c r="AE734" s="368"/>
      <c r="AF734" s="98"/>
      <c r="AG734" s="357"/>
      <c r="AH734" s="156"/>
      <c r="AI734" s="305"/>
      <c r="AJ734" s="366"/>
      <c r="AK734" s="357"/>
      <c r="AL734" s="371"/>
      <c r="AM734" s="371"/>
      <c r="AN734" s="371"/>
      <c r="AO734" s="357"/>
      <c r="AP734" s="100"/>
      <c r="AQ734" s="100"/>
      <c r="AR734" s="100"/>
      <c r="AS734" s="357"/>
      <c r="AT734" s="100"/>
      <c r="AU734" s="100"/>
      <c r="AV734" s="100"/>
    </row>
    <row r="735">
      <c r="A735" s="357"/>
      <c r="B735" s="156"/>
      <c r="C735" s="154"/>
      <c r="D735" s="100"/>
      <c r="E735" s="357"/>
      <c r="F735" s="156"/>
      <c r="G735" s="154"/>
      <c r="H735" s="100"/>
      <c r="I735" s="357"/>
      <c r="J735" s="156"/>
      <c r="K735" s="154"/>
      <c r="L735" s="100"/>
      <c r="M735" s="357"/>
      <c r="N735" s="156"/>
      <c r="O735" s="154"/>
      <c r="P735" s="100"/>
      <c r="Q735" s="357"/>
      <c r="R735" s="156"/>
      <c r="S735" s="154"/>
      <c r="T735" s="100"/>
      <c r="U735" s="357"/>
      <c r="V735" s="156"/>
      <c r="W735" s="154"/>
      <c r="X735" s="100"/>
      <c r="Y735" s="357"/>
      <c r="Z735" s="100"/>
      <c r="AA735" s="100"/>
      <c r="AB735" s="100"/>
      <c r="AC735" s="357"/>
      <c r="AD735" s="367"/>
      <c r="AE735" s="368"/>
      <c r="AF735" s="98"/>
      <c r="AG735" s="357"/>
      <c r="AH735" s="156"/>
      <c r="AI735" s="305"/>
      <c r="AJ735" s="366"/>
      <c r="AK735" s="357"/>
      <c r="AL735" s="371"/>
      <c r="AM735" s="371"/>
      <c r="AN735" s="371"/>
      <c r="AO735" s="357"/>
      <c r="AP735" s="100"/>
      <c r="AQ735" s="100"/>
      <c r="AR735" s="100"/>
      <c r="AS735" s="357"/>
      <c r="AT735" s="100"/>
      <c r="AU735" s="100"/>
      <c r="AV735" s="100"/>
    </row>
    <row r="736">
      <c r="A736" s="357"/>
      <c r="B736" s="156"/>
      <c r="C736" s="154"/>
      <c r="D736" s="100"/>
      <c r="E736" s="357"/>
      <c r="F736" s="156"/>
      <c r="G736" s="154"/>
      <c r="H736" s="100"/>
      <c r="I736" s="357"/>
      <c r="J736" s="156"/>
      <c r="K736" s="154"/>
      <c r="L736" s="100"/>
      <c r="M736" s="357"/>
      <c r="N736" s="156"/>
      <c r="O736" s="154"/>
      <c r="P736" s="100"/>
      <c r="Q736" s="357"/>
      <c r="R736" s="156"/>
      <c r="S736" s="154"/>
      <c r="T736" s="100"/>
      <c r="U736" s="357"/>
      <c r="V736" s="156"/>
      <c r="W736" s="154"/>
      <c r="X736" s="100"/>
      <c r="Y736" s="357"/>
      <c r="Z736" s="100"/>
      <c r="AA736" s="100"/>
      <c r="AB736" s="100"/>
      <c r="AC736" s="357"/>
      <c r="AD736" s="367"/>
      <c r="AE736" s="368"/>
      <c r="AF736" s="98"/>
      <c r="AG736" s="357"/>
      <c r="AH736" s="156"/>
      <c r="AI736" s="305"/>
      <c r="AJ736" s="366"/>
      <c r="AK736" s="357"/>
      <c r="AL736" s="371"/>
      <c r="AM736" s="371"/>
      <c r="AN736" s="371"/>
      <c r="AO736" s="357"/>
      <c r="AP736" s="100"/>
      <c r="AQ736" s="100"/>
      <c r="AR736" s="100"/>
      <c r="AS736" s="357"/>
      <c r="AT736" s="100"/>
      <c r="AU736" s="100"/>
      <c r="AV736" s="100"/>
    </row>
    <row r="737">
      <c r="A737" s="357"/>
      <c r="B737" s="156"/>
      <c r="C737" s="154"/>
      <c r="D737" s="100"/>
      <c r="E737" s="357"/>
      <c r="F737" s="156"/>
      <c r="G737" s="154"/>
      <c r="H737" s="100"/>
      <c r="I737" s="357"/>
      <c r="J737" s="156"/>
      <c r="K737" s="154"/>
      <c r="L737" s="100"/>
      <c r="M737" s="357"/>
      <c r="N737" s="156"/>
      <c r="O737" s="154"/>
      <c r="P737" s="100"/>
      <c r="Q737" s="357"/>
      <c r="R737" s="156"/>
      <c r="S737" s="154"/>
      <c r="T737" s="100"/>
      <c r="U737" s="357"/>
      <c r="V737" s="156"/>
      <c r="W737" s="154"/>
      <c r="X737" s="100"/>
      <c r="Y737" s="357"/>
      <c r="Z737" s="100"/>
      <c r="AA737" s="100"/>
      <c r="AB737" s="100"/>
      <c r="AC737" s="357"/>
      <c r="AD737" s="367"/>
      <c r="AE737" s="368"/>
      <c r="AF737" s="98"/>
      <c r="AG737" s="357"/>
      <c r="AH737" s="156"/>
      <c r="AI737" s="305"/>
      <c r="AJ737" s="366"/>
      <c r="AK737" s="357"/>
      <c r="AL737" s="371"/>
      <c r="AM737" s="371"/>
      <c r="AN737" s="371"/>
      <c r="AO737" s="357"/>
      <c r="AP737" s="100"/>
      <c r="AQ737" s="100"/>
      <c r="AR737" s="100"/>
      <c r="AS737" s="357"/>
      <c r="AT737" s="100"/>
      <c r="AU737" s="100"/>
      <c r="AV737" s="100"/>
    </row>
    <row r="738">
      <c r="A738" s="357"/>
      <c r="B738" s="156"/>
      <c r="C738" s="154"/>
      <c r="D738" s="100"/>
      <c r="E738" s="357"/>
      <c r="F738" s="156"/>
      <c r="G738" s="154"/>
      <c r="H738" s="100"/>
      <c r="I738" s="357"/>
      <c r="J738" s="156"/>
      <c r="K738" s="154"/>
      <c r="L738" s="100"/>
      <c r="M738" s="357"/>
      <c r="N738" s="156"/>
      <c r="O738" s="154"/>
      <c r="P738" s="100"/>
      <c r="Q738" s="357"/>
      <c r="R738" s="156"/>
      <c r="S738" s="154"/>
      <c r="T738" s="100"/>
      <c r="U738" s="357"/>
      <c r="V738" s="156"/>
      <c r="W738" s="154"/>
      <c r="X738" s="100"/>
      <c r="Y738" s="357"/>
      <c r="Z738" s="100"/>
      <c r="AA738" s="100"/>
      <c r="AB738" s="100"/>
      <c r="AC738" s="357"/>
      <c r="AD738" s="367"/>
      <c r="AE738" s="368"/>
      <c r="AF738" s="98"/>
      <c r="AG738" s="357"/>
      <c r="AH738" s="156"/>
      <c r="AI738" s="305"/>
      <c r="AJ738" s="366"/>
      <c r="AK738" s="357"/>
      <c r="AL738" s="371"/>
      <c r="AM738" s="371"/>
      <c r="AN738" s="371"/>
      <c r="AO738" s="357"/>
      <c r="AP738" s="100"/>
      <c r="AQ738" s="100"/>
      <c r="AR738" s="100"/>
      <c r="AS738" s="357"/>
      <c r="AT738" s="100"/>
      <c r="AU738" s="100"/>
      <c r="AV738" s="100"/>
    </row>
    <row r="739">
      <c r="A739" s="357"/>
      <c r="B739" s="156"/>
      <c r="C739" s="154"/>
      <c r="D739" s="100"/>
      <c r="E739" s="357"/>
      <c r="F739" s="156"/>
      <c r="G739" s="154"/>
      <c r="H739" s="100"/>
      <c r="I739" s="357"/>
      <c r="J739" s="156"/>
      <c r="K739" s="154"/>
      <c r="L739" s="100"/>
      <c r="M739" s="357"/>
      <c r="N739" s="156"/>
      <c r="O739" s="154"/>
      <c r="P739" s="100"/>
      <c r="Q739" s="357"/>
      <c r="R739" s="156"/>
      <c r="S739" s="154"/>
      <c r="T739" s="100"/>
      <c r="U739" s="357"/>
      <c r="V739" s="156"/>
      <c r="W739" s="154"/>
      <c r="X739" s="100"/>
      <c r="Y739" s="357"/>
      <c r="Z739" s="100"/>
      <c r="AA739" s="100"/>
      <c r="AB739" s="100"/>
      <c r="AC739" s="357"/>
      <c r="AD739" s="367"/>
      <c r="AE739" s="368"/>
      <c r="AF739" s="98"/>
      <c r="AG739" s="357"/>
      <c r="AH739" s="156"/>
      <c r="AI739" s="305"/>
      <c r="AJ739" s="366"/>
      <c r="AK739" s="357"/>
      <c r="AL739" s="371"/>
      <c r="AM739" s="371"/>
      <c r="AN739" s="371"/>
      <c r="AO739" s="357"/>
      <c r="AP739" s="100"/>
      <c r="AQ739" s="100"/>
      <c r="AR739" s="100"/>
      <c r="AS739" s="357"/>
      <c r="AT739" s="100"/>
      <c r="AU739" s="100"/>
      <c r="AV739" s="100"/>
    </row>
    <row r="740">
      <c r="A740" s="357"/>
      <c r="B740" s="156"/>
      <c r="C740" s="154"/>
      <c r="D740" s="100"/>
      <c r="E740" s="357"/>
      <c r="F740" s="156"/>
      <c r="G740" s="154"/>
      <c r="H740" s="100"/>
      <c r="I740" s="357"/>
      <c r="J740" s="156"/>
      <c r="K740" s="154"/>
      <c r="L740" s="100"/>
      <c r="M740" s="357"/>
      <c r="N740" s="156"/>
      <c r="O740" s="154"/>
      <c r="P740" s="100"/>
      <c r="Q740" s="357"/>
      <c r="R740" s="156"/>
      <c r="S740" s="154"/>
      <c r="T740" s="100"/>
      <c r="U740" s="357"/>
      <c r="V740" s="156"/>
      <c r="W740" s="154"/>
      <c r="X740" s="100"/>
      <c r="Y740" s="357"/>
      <c r="Z740" s="100"/>
      <c r="AA740" s="100"/>
      <c r="AB740" s="100"/>
      <c r="AC740" s="357"/>
      <c r="AD740" s="367"/>
      <c r="AE740" s="368"/>
      <c r="AF740" s="98"/>
      <c r="AG740" s="357"/>
      <c r="AH740" s="156"/>
      <c r="AI740" s="305"/>
      <c r="AJ740" s="366"/>
      <c r="AK740" s="357"/>
      <c r="AL740" s="371"/>
      <c r="AM740" s="371"/>
      <c r="AN740" s="371"/>
      <c r="AO740" s="357"/>
      <c r="AP740" s="100"/>
      <c r="AQ740" s="100"/>
      <c r="AR740" s="100"/>
      <c r="AS740" s="357"/>
      <c r="AT740" s="100"/>
      <c r="AU740" s="100"/>
      <c r="AV740" s="100"/>
    </row>
    <row r="741">
      <c r="A741" s="357"/>
      <c r="B741" s="156"/>
      <c r="C741" s="154"/>
      <c r="D741" s="100"/>
      <c r="E741" s="357"/>
      <c r="F741" s="156"/>
      <c r="G741" s="154"/>
      <c r="H741" s="100"/>
      <c r="I741" s="357"/>
      <c r="J741" s="156"/>
      <c r="K741" s="154"/>
      <c r="L741" s="100"/>
      <c r="M741" s="357"/>
      <c r="N741" s="156"/>
      <c r="O741" s="154"/>
      <c r="P741" s="100"/>
      <c r="Q741" s="357"/>
      <c r="R741" s="156"/>
      <c r="S741" s="154"/>
      <c r="T741" s="100"/>
      <c r="U741" s="357"/>
      <c r="V741" s="156"/>
      <c r="W741" s="154"/>
      <c r="X741" s="100"/>
      <c r="Y741" s="357"/>
      <c r="Z741" s="100"/>
      <c r="AA741" s="100"/>
      <c r="AB741" s="100"/>
      <c r="AC741" s="357"/>
      <c r="AD741" s="367"/>
      <c r="AE741" s="368"/>
      <c r="AF741" s="98"/>
      <c r="AG741" s="357"/>
      <c r="AH741" s="156"/>
      <c r="AI741" s="305"/>
      <c r="AJ741" s="366"/>
      <c r="AK741" s="357"/>
      <c r="AL741" s="371"/>
      <c r="AM741" s="371"/>
      <c r="AN741" s="371"/>
      <c r="AO741" s="357"/>
      <c r="AP741" s="100"/>
      <c r="AQ741" s="100"/>
      <c r="AR741" s="100"/>
      <c r="AS741" s="357"/>
      <c r="AT741" s="100"/>
      <c r="AU741" s="100"/>
      <c r="AV741" s="100"/>
    </row>
    <row r="742">
      <c r="A742" s="357"/>
      <c r="B742" s="156"/>
      <c r="C742" s="154"/>
      <c r="D742" s="100"/>
      <c r="E742" s="357"/>
      <c r="F742" s="156"/>
      <c r="G742" s="154"/>
      <c r="H742" s="100"/>
      <c r="I742" s="357"/>
      <c r="J742" s="156"/>
      <c r="K742" s="154"/>
      <c r="L742" s="100"/>
      <c r="M742" s="357"/>
      <c r="N742" s="156"/>
      <c r="O742" s="154"/>
      <c r="P742" s="100"/>
      <c r="Q742" s="357"/>
      <c r="R742" s="156"/>
      <c r="S742" s="154"/>
      <c r="T742" s="100"/>
      <c r="U742" s="357"/>
      <c r="V742" s="156"/>
      <c r="W742" s="154"/>
      <c r="X742" s="100"/>
      <c r="Y742" s="357"/>
      <c r="Z742" s="100"/>
      <c r="AA742" s="100"/>
      <c r="AB742" s="100"/>
      <c r="AC742" s="357"/>
      <c r="AD742" s="367"/>
      <c r="AE742" s="368"/>
      <c r="AF742" s="98"/>
      <c r="AG742" s="357"/>
      <c r="AH742" s="156"/>
      <c r="AI742" s="305"/>
      <c r="AJ742" s="366"/>
      <c r="AK742" s="357"/>
      <c r="AL742" s="371"/>
      <c r="AM742" s="371"/>
      <c r="AN742" s="371"/>
      <c r="AO742" s="357"/>
      <c r="AP742" s="100"/>
      <c r="AQ742" s="100"/>
      <c r="AR742" s="100"/>
      <c r="AS742" s="357"/>
      <c r="AT742" s="100"/>
      <c r="AU742" s="100"/>
      <c r="AV742" s="100"/>
    </row>
    <row r="743">
      <c r="A743" s="357"/>
      <c r="B743" s="156"/>
      <c r="C743" s="154"/>
      <c r="D743" s="100"/>
      <c r="E743" s="357"/>
      <c r="F743" s="156"/>
      <c r="G743" s="154"/>
      <c r="H743" s="100"/>
      <c r="I743" s="357"/>
      <c r="J743" s="156"/>
      <c r="K743" s="154"/>
      <c r="L743" s="100"/>
      <c r="M743" s="357"/>
      <c r="N743" s="156"/>
      <c r="O743" s="154"/>
      <c r="P743" s="100"/>
      <c r="Q743" s="357"/>
      <c r="R743" s="156"/>
      <c r="S743" s="154"/>
      <c r="T743" s="100"/>
      <c r="U743" s="357"/>
      <c r="V743" s="156"/>
      <c r="W743" s="154"/>
      <c r="X743" s="100"/>
      <c r="Y743" s="357"/>
      <c r="Z743" s="100"/>
      <c r="AA743" s="100"/>
      <c r="AB743" s="100"/>
      <c r="AC743" s="357"/>
      <c r="AD743" s="367"/>
      <c r="AE743" s="368"/>
      <c r="AF743" s="98"/>
      <c r="AG743" s="357"/>
      <c r="AH743" s="156"/>
      <c r="AI743" s="305"/>
      <c r="AJ743" s="366"/>
      <c r="AK743" s="357"/>
      <c r="AL743" s="371"/>
      <c r="AM743" s="371"/>
      <c r="AN743" s="371"/>
      <c r="AO743" s="357"/>
      <c r="AP743" s="100"/>
      <c r="AQ743" s="100"/>
      <c r="AR743" s="100"/>
      <c r="AS743" s="357"/>
      <c r="AT743" s="100"/>
      <c r="AU743" s="100"/>
      <c r="AV743" s="100"/>
    </row>
    <row r="744">
      <c r="A744" s="357"/>
      <c r="B744" s="156"/>
      <c r="C744" s="154"/>
      <c r="D744" s="100"/>
      <c r="E744" s="357"/>
      <c r="F744" s="156"/>
      <c r="G744" s="154"/>
      <c r="H744" s="100"/>
      <c r="I744" s="357"/>
      <c r="J744" s="156"/>
      <c r="K744" s="154"/>
      <c r="L744" s="100"/>
      <c r="M744" s="357"/>
      <c r="N744" s="156"/>
      <c r="O744" s="154"/>
      <c r="P744" s="100"/>
      <c r="Q744" s="357"/>
      <c r="R744" s="156"/>
      <c r="S744" s="154"/>
      <c r="T744" s="100"/>
      <c r="U744" s="357"/>
      <c r="V744" s="156"/>
      <c r="W744" s="154"/>
      <c r="X744" s="100"/>
      <c r="Y744" s="357"/>
      <c r="Z744" s="100"/>
      <c r="AA744" s="100"/>
      <c r="AB744" s="100"/>
      <c r="AC744" s="357"/>
      <c r="AD744" s="367"/>
      <c r="AE744" s="368"/>
      <c r="AF744" s="98"/>
      <c r="AG744" s="357"/>
      <c r="AH744" s="156"/>
      <c r="AI744" s="305"/>
      <c r="AJ744" s="366"/>
      <c r="AK744" s="357"/>
      <c r="AL744" s="371"/>
      <c r="AM744" s="371"/>
      <c r="AN744" s="371"/>
      <c r="AO744" s="357"/>
      <c r="AP744" s="100"/>
      <c r="AQ744" s="100"/>
      <c r="AR744" s="100"/>
      <c r="AS744" s="357"/>
      <c r="AT744" s="100"/>
      <c r="AU744" s="100"/>
      <c r="AV744" s="100"/>
    </row>
    <row r="745">
      <c r="A745" s="357"/>
      <c r="B745" s="156"/>
      <c r="C745" s="154"/>
      <c r="D745" s="100"/>
      <c r="E745" s="357"/>
      <c r="F745" s="156"/>
      <c r="G745" s="154"/>
      <c r="H745" s="100"/>
      <c r="I745" s="357"/>
      <c r="J745" s="156"/>
      <c r="K745" s="154"/>
      <c r="L745" s="100"/>
      <c r="M745" s="357"/>
      <c r="N745" s="156"/>
      <c r="O745" s="154"/>
      <c r="P745" s="100"/>
      <c r="Q745" s="357"/>
      <c r="R745" s="156"/>
      <c r="S745" s="154"/>
      <c r="T745" s="100"/>
      <c r="U745" s="357"/>
      <c r="V745" s="156"/>
      <c r="W745" s="154"/>
      <c r="X745" s="100"/>
      <c r="Y745" s="357"/>
      <c r="Z745" s="100"/>
      <c r="AA745" s="100"/>
      <c r="AB745" s="100"/>
      <c r="AC745" s="357"/>
      <c r="AD745" s="367"/>
      <c r="AE745" s="368"/>
      <c r="AF745" s="98"/>
      <c r="AG745" s="357"/>
      <c r="AH745" s="156"/>
      <c r="AI745" s="305"/>
      <c r="AJ745" s="366"/>
      <c r="AK745" s="357"/>
      <c r="AL745" s="371"/>
      <c r="AM745" s="371"/>
      <c r="AN745" s="371"/>
      <c r="AO745" s="357"/>
      <c r="AP745" s="100"/>
      <c r="AQ745" s="100"/>
      <c r="AR745" s="100"/>
      <c r="AS745" s="357"/>
      <c r="AT745" s="100"/>
      <c r="AU745" s="100"/>
      <c r="AV745" s="100"/>
    </row>
    <row r="746">
      <c r="A746" s="357"/>
      <c r="B746" s="156"/>
      <c r="C746" s="154"/>
      <c r="D746" s="100"/>
      <c r="E746" s="357"/>
      <c r="F746" s="156"/>
      <c r="G746" s="154"/>
      <c r="H746" s="100"/>
      <c r="I746" s="357"/>
      <c r="J746" s="156"/>
      <c r="K746" s="154"/>
      <c r="L746" s="100"/>
      <c r="M746" s="357"/>
      <c r="N746" s="156"/>
      <c r="O746" s="154"/>
      <c r="P746" s="100"/>
      <c r="Q746" s="357"/>
      <c r="R746" s="156"/>
      <c r="S746" s="154"/>
      <c r="T746" s="100"/>
      <c r="U746" s="357"/>
      <c r="V746" s="156"/>
      <c r="W746" s="154"/>
      <c r="X746" s="100"/>
      <c r="Y746" s="357"/>
      <c r="Z746" s="100"/>
      <c r="AA746" s="100"/>
      <c r="AB746" s="100"/>
      <c r="AC746" s="357"/>
      <c r="AD746" s="367"/>
      <c r="AE746" s="368"/>
      <c r="AF746" s="98"/>
      <c r="AG746" s="357"/>
      <c r="AH746" s="156"/>
      <c r="AI746" s="305"/>
      <c r="AJ746" s="366"/>
      <c r="AK746" s="357"/>
      <c r="AL746" s="371"/>
      <c r="AM746" s="371"/>
      <c r="AN746" s="371"/>
      <c r="AO746" s="357"/>
      <c r="AP746" s="100"/>
      <c r="AQ746" s="100"/>
      <c r="AR746" s="100"/>
      <c r="AS746" s="357"/>
      <c r="AT746" s="100"/>
      <c r="AU746" s="100"/>
      <c r="AV746" s="100"/>
    </row>
    <row r="747">
      <c r="A747" s="357"/>
      <c r="B747" s="156"/>
      <c r="C747" s="154"/>
      <c r="D747" s="100"/>
      <c r="E747" s="357"/>
      <c r="F747" s="156"/>
      <c r="G747" s="154"/>
      <c r="H747" s="100"/>
      <c r="I747" s="357"/>
      <c r="J747" s="156"/>
      <c r="K747" s="154"/>
      <c r="L747" s="100"/>
      <c r="M747" s="357"/>
      <c r="N747" s="156"/>
      <c r="O747" s="154"/>
      <c r="P747" s="100"/>
      <c r="Q747" s="357"/>
      <c r="R747" s="156"/>
      <c r="S747" s="154"/>
      <c r="T747" s="100"/>
      <c r="U747" s="357"/>
      <c r="V747" s="156"/>
      <c r="W747" s="154"/>
      <c r="X747" s="100"/>
      <c r="Y747" s="357"/>
      <c r="Z747" s="100"/>
      <c r="AA747" s="100"/>
      <c r="AB747" s="100"/>
      <c r="AC747" s="357"/>
      <c r="AD747" s="367"/>
      <c r="AE747" s="368"/>
      <c r="AF747" s="98"/>
      <c r="AG747" s="357"/>
      <c r="AH747" s="156"/>
      <c r="AI747" s="305"/>
      <c r="AJ747" s="366"/>
      <c r="AK747" s="357"/>
      <c r="AL747" s="371"/>
      <c r="AM747" s="371"/>
      <c r="AN747" s="371"/>
      <c r="AO747" s="357"/>
      <c r="AP747" s="100"/>
      <c r="AQ747" s="100"/>
      <c r="AR747" s="100"/>
      <c r="AS747" s="357"/>
      <c r="AT747" s="100"/>
      <c r="AU747" s="100"/>
      <c r="AV747" s="100"/>
    </row>
    <row r="748">
      <c r="A748" s="357"/>
      <c r="B748" s="156"/>
      <c r="C748" s="154"/>
      <c r="D748" s="100"/>
      <c r="E748" s="357"/>
      <c r="F748" s="156"/>
      <c r="G748" s="154"/>
      <c r="H748" s="100"/>
      <c r="I748" s="357"/>
      <c r="J748" s="156"/>
      <c r="K748" s="154"/>
      <c r="L748" s="100"/>
      <c r="M748" s="357"/>
      <c r="N748" s="156"/>
      <c r="O748" s="154"/>
      <c r="P748" s="100"/>
      <c r="Q748" s="357"/>
      <c r="R748" s="156"/>
      <c r="S748" s="154"/>
      <c r="T748" s="100"/>
      <c r="U748" s="357"/>
      <c r="V748" s="156"/>
      <c r="W748" s="154"/>
      <c r="X748" s="100"/>
      <c r="Y748" s="357"/>
      <c r="Z748" s="100"/>
      <c r="AA748" s="100"/>
      <c r="AB748" s="100"/>
      <c r="AC748" s="357"/>
      <c r="AD748" s="367"/>
      <c r="AE748" s="368"/>
      <c r="AF748" s="98"/>
      <c r="AG748" s="357"/>
      <c r="AH748" s="156"/>
      <c r="AI748" s="305"/>
      <c r="AJ748" s="366"/>
      <c r="AK748" s="357"/>
      <c r="AL748" s="371"/>
      <c r="AM748" s="371"/>
      <c r="AN748" s="371"/>
      <c r="AO748" s="357"/>
      <c r="AP748" s="100"/>
      <c r="AQ748" s="100"/>
      <c r="AR748" s="100"/>
      <c r="AS748" s="357"/>
      <c r="AT748" s="100"/>
      <c r="AU748" s="100"/>
      <c r="AV748" s="100"/>
    </row>
    <row r="749">
      <c r="A749" s="357"/>
      <c r="B749" s="156"/>
      <c r="C749" s="154"/>
      <c r="D749" s="100"/>
      <c r="E749" s="357"/>
      <c r="F749" s="156"/>
      <c r="G749" s="154"/>
      <c r="H749" s="100"/>
      <c r="I749" s="357"/>
      <c r="J749" s="156"/>
      <c r="K749" s="154"/>
      <c r="L749" s="100"/>
      <c r="M749" s="357"/>
      <c r="N749" s="156"/>
      <c r="O749" s="154"/>
      <c r="P749" s="100"/>
      <c r="Q749" s="357"/>
      <c r="R749" s="156"/>
      <c r="S749" s="154"/>
      <c r="T749" s="100"/>
      <c r="U749" s="357"/>
      <c r="V749" s="156"/>
      <c r="W749" s="154"/>
      <c r="X749" s="100"/>
      <c r="Y749" s="357"/>
      <c r="Z749" s="100"/>
      <c r="AA749" s="100"/>
      <c r="AB749" s="100"/>
      <c r="AC749" s="357"/>
      <c r="AD749" s="367"/>
      <c r="AE749" s="368"/>
      <c r="AF749" s="98"/>
      <c r="AG749" s="357"/>
      <c r="AH749" s="156"/>
      <c r="AI749" s="305"/>
      <c r="AJ749" s="366"/>
      <c r="AK749" s="357"/>
      <c r="AL749" s="371"/>
      <c r="AM749" s="371"/>
      <c r="AN749" s="371"/>
      <c r="AO749" s="357"/>
      <c r="AP749" s="100"/>
      <c r="AQ749" s="100"/>
      <c r="AR749" s="100"/>
      <c r="AS749" s="357"/>
      <c r="AT749" s="100"/>
      <c r="AU749" s="100"/>
      <c r="AV749" s="100"/>
    </row>
    <row r="750">
      <c r="A750" s="357"/>
      <c r="B750" s="156"/>
      <c r="C750" s="154"/>
      <c r="D750" s="100"/>
      <c r="E750" s="357"/>
      <c r="F750" s="156"/>
      <c r="G750" s="154"/>
      <c r="H750" s="100"/>
      <c r="I750" s="357"/>
      <c r="J750" s="156"/>
      <c r="K750" s="154"/>
      <c r="L750" s="100"/>
      <c r="M750" s="357"/>
      <c r="N750" s="156"/>
      <c r="O750" s="154"/>
      <c r="P750" s="100"/>
      <c r="Q750" s="357"/>
      <c r="R750" s="156"/>
      <c r="S750" s="154"/>
      <c r="T750" s="100"/>
      <c r="U750" s="357"/>
      <c r="V750" s="156"/>
      <c r="W750" s="154"/>
      <c r="X750" s="100"/>
      <c r="Y750" s="357"/>
      <c r="Z750" s="100"/>
      <c r="AA750" s="100"/>
      <c r="AB750" s="100"/>
      <c r="AC750" s="357"/>
      <c r="AD750" s="367"/>
      <c r="AE750" s="368"/>
      <c r="AF750" s="98"/>
      <c r="AG750" s="357"/>
      <c r="AH750" s="156"/>
      <c r="AI750" s="305"/>
      <c r="AJ750" s="366"/>
      <c r="AK750" s="357"/>
      <c r="AL750" s="371"/>
      <c r="AM750" s="371"/>
      <c r="AN750" s="371"/>
      <c r="AO750" s="357"/>
      <c r="AP750" s="100"/>
      <c r="AQ750" s="100"/>
      <c r="AR750" s="100"/>
      <c r="AS750" s="357"/>
      <c r="AT750" s="100"/>
      <c r="AU750" s="100"/>
      <c r="AV750" s="100"/>
    </row>
    <row r="751">
      <c r="A751" s="357"/>
      <c r="B751" s="156"/>
      <c r="C751" s="154"/>
      <c r="D751" s="100"/>
      <c r="E751" s="357"/>
      <c r="F751" s="156"/>
      <c r="G751" s="154"/>
      <c r="H751" s="100"/>
      <c r="I751" s="357"/>
      <c r="J751" s="156"/>
      <c r="K751" s="154"/>
      <c r="L751" s="100"/>
      <c r="M751" s="357"/>
      <c r="N751" s="156"/>
      <c r="O751" s="154"/>
      <c r="P751" s="100"/>
      <c r="Q751" s="357"/>
      <c r="R751" s="156"/>
      <c r="S751" s="154"/>
      <c r="T751" s="100"/>
      <c r="U751" s="357"/>
      <c r="V751" s="156"/>
      <c r="W751" s="154"/>
      <c r="X751" s="100"/>
      <c r="Y751" s="357"/>
      <c r="Z751" s="100"/>
      <c r="AA751" s="100"/>
      <c r="AB751" s="100"/>
      <c r="AC751" s="357"/>
      <c r="AD751" s="367"/>
      <c r="AE751" s="368"/>
      <c r="AF751" s="98"/>
      <c r="AG751" s="357"/>
      <c r="AH751" s="156"/>
      <c r="AI751" s="305"/>
      <c r="AJ751" s="366"/>
      <c r="AK751" s="357"/>
      <c r="AL751" s="371"/>
      <c r="AM751" s="371"/>
      <c r="AN751" s="371"/>
      <c r="AO751" s="357"/>
      <c r="AP751" s="100"/>
      <c r="AQ751" s="100"/>
      <c r="AR751" s="100"/>
      <c r="AS751" s="357"/>
      <c r="AT751" s="100"/>
      <c r="AU751" s="100"/>
      <c r="AV751" s="100"/>
    </row>
    <row r="752">
      <c r="A752" s="357"/>
      <c r="B752" s="156"/>
      <c r="C752" s="154"/>
      <c r="D752" s="100"/>
      <c r="E752" s="357"/>
      <c r="F752" s="156"/>
      <c r="G752" s="154"/>
      <c r="H752" s="100"/>
      <c r="I752" s="357"/>
      <c r="J752" s="156"/>
      <c r="K752" s="154"/>
      <c r="L752" s="100"/>
      <c r="M752" s="357"/>
      <c r="N752" s="156"/>
      <c r="O752" s="154"/>
      <c r="P752" s="100"/>
      <c r="Q752" s="357"/>
      <c r="R752" s="156"/>
      <c r="S752" s="154"/>
      <c r="T752" s="100"/>
      <c r="U752" s="357"/>
      <c r="V752" s="156"/>
      <c r="W752" s="154"/>
      <c r="X752" s="100"/>
      <c r="Y752" s="357"/>
      <c r="Z752" s="100"/>
      <c r="AA752" s="100"/>
      <c r="AB752" s="100"/>
      <c r="AC752" s="357"/>
      <c r="AD752" s="367"/>
      <c r="AE752" s="368"/>
      <c r="AF752" s="98"/>
      <c r="AG752" s="357"/>
      <c r="AH752" s="156"/>
      <c r="AI752" s="305"/>
      <c r="AJ752" s="366"/>
      <c r="AK752" s="357"/>
      <c r="AL752" s="371"/>
      <c r="AM752" s="371"/>
      <c r="AN752" s="371"/>
      <c r="AO752" s="357"/>
      <c r="AP752" s="100"/>
      <c r="AQ752" s="100"/>
      <c r="AR752" s="100"/>
      <c r="AS752" s="357"/>
      <c r="AT752" s="100"/>
      <c r="AU752" s="100"/>
      <c r="AV752" s="100"/>
    </row>
    <row r="753">
      <c r="A753" s="357"/>
      <c r="B753" s="156"/>
      <c r="C753" s="154"/>
      <c r="D753" s="100"/>
      <c r="E753" s="357"/>
      <c r="F753" s="156"/>
      <c r="G753" s="154"/>
      <c r="H753" s="100"/>
      <c r="I753" s="357"/>
      <c r="J753" s="156"/>
      <c r="K753" s="154"/>
      <c r="L753" s="100"/>
      <c r="M753" s="357"/>
      <c r="N753" s="156"/>
      <c r="O753" s="154"/>
      <c r="P753" s="100"/>
      <c r="Q753" s="357"/>
      <c r="R753" s="156"/>
      <c r="S753" s="154"/>
      <c r="T753" s="100"/>
      <c r="U753" s="357"/>
      <c r="V753" s="156"/>
      <c r="W753" s="154"/>
      <c r="X753" s="100"/>
      <c r="Y753" s="357"/>
      <c r="Z753" s="100"/>
      <c r="AA753" s="100"/>
      <c r="AB753" s="100"/>
      <c r="AC753" s="357"/>
      <c r="AD753" s="367"/>
      <c r="AE753" s="368"/>
      <c r="AF753" s="98"/>
      <c r="AG753" s="357"/>
      <c r="AH753" s="156"/>
      <c r="AI753" s="305"/>
      <c r="AJ753" s="366"/>
      <c r="AK753" s="357"/>
      <c r="AL753" s="371"/>
      <c r="AM753" s="371"/>
      <c r="AN753" s="371"/>
      <c r="AO753" s="357"/>
      <c r="AP753" s="100"/>
      <c r="AQ753" s="100"/>
      <c r="AR753" s="100"/>
      <c r="AS753" s="357"/>
      <c r="AT753" s="100"/>
      <c r="AU753" s="100"/>
      <c r="AV753" s="100"/>
    </row>
    <row r="754">
      <c r="A754" s="357"/>
      <c r="B754" s="156"/>
      <c r="C754" s="154"/>
      <c r="D754" s="100"/>
      <c r="E754" s="357"/>
      <c r="F754" s="156"/>
      <c r="G754" s="154"/>
      <c r="H754" s="100"/>
      <c r="I754" s="357"/>
      <c r="J754" s="156"/>
      <c r="K754" s="154"/>
      <c r="L754" s="100"/>
      <c r="M754" s="357"/>
      <c r="N754" s="156"/>
      <c r="O754" s="154"/>
      <c r="P754" s="100"/>
      <c r="Q754" s="357"/>
      <c r="R754" s="156"/>
      <c r="S754" s="154"/>
      <c r="T754" s="100"/>
      <c r="U754" s="357"/>
      <c r="V754" s="156"/>
      <c r="W754" s="154"/>
      <c r="X754" s="100"/>
      <c r="Y754" s="357"/>
      <c r="Z754" s="100"/>
      <c r="AA754" s="100"/>
      <c r="AB754" s="100"/>
      <c r="AC754" s="357"/>
      <c r="AD754" s="367"/>
      <c r="AE754" s="368"/>
      <c r="AF754" s="98"/>
      <c r="AG754" s="357"/>
      <c r="AH754" s="156"/>
      <c r="AI754" s="305"/>
      <c r="AJ754" s="366"/>
      <c r="AK754" s="357"/>
      <c r="AL754" s="371"/>
      <c r="AM754" s="371"/>
      <c r="AN754" s="371"/>
      <c r="AO754" s="357"/>
      <c r="AP754" s="100"/>
      <c r="AQ754" s="100"/>
      <c r="AR754" s="100"/>
      <c r="AS754" s="357"/>
      <c r="AT754" s="100"/>
      <c r="AU754" s="100"/>
      <c r="AV754" s="100"/>
    </row>
    <row r="755">
      <c r="A755" s="357"/>
      <c r="B755" s="156"/>
      <c r="C755" s="154"/>
      <c r="D755" s="100"/>
      <c r="E755" s="357"/>
      <c r="F755" s="156"/>
      <c r="G755" s="154"/>
      <c r="H755" s="100"/>
      <c r="I755" s="357"/>
      <c r="J755" s="156"/>
      <c r="K755" s="154"/>
      <c r="L755" s="100"/>
      <c r="M755" s="357"/>
      <c r="N755" s="156"/>
      <c r="O755" s="154"/>
      <c r="P755" s="100"/>
      <c r="Q755" s="357"/>
      <c r="R755" s="156"/>
      <c r="S755" s="154"/>
      <c r="T755" s="100"/>
      <c r="U755" s="357"/>
      <c r="V755" s="156"/>
      <c r="W755" s="154"/>
      <c r="X755" s="100"/>
      <c r="Y755" s="357"/>
      <c r="Z755" s="100"/>
      <c r="AA755" s="100"/>
      <c r="AB755" s="100"/>
      <c r="AC755" s="357"/>
      <c r="AD755" s="367"/>
      <c r="AE755" s="368"/>
      <c r="AF755" s="98"/>
      <c r="AG755" s="357"/>
      <c r="AH755" s="156"/>
      <c r="AI755" s="305"/>
      <c r="AJ755" s="366"/>
      <c r="AK755" s="357"/>
      <c r="AL755" s="371"/>
      <c r="AM755" s="371"/>
      <c r="AN755" s="371"/>
      <c r="AO755" s="357"/>
      <c r="AP755" s="100"/>
      <c r="AQ755" s="100"/>
      <c r="AR755" s="100"/>
      <c r="AS755" s="357"/>
      <c r="AT755" s="100"/>
      <c r="AU755" s="100"/>
      <c r="AV755" s="100"/>
    </row>
    <row r="756">
      <c r="A756" s="357"/>
      <c r="B756" s="156"/>
      <c r="C756" s="154"/>
      <c r="D756" s="100"/>
      <c r="E756" s="357"/>
      <c r="F756" s="156"/>
      <c r="G756" s="154"/>
      <c r="H756" s="100"/>
      <c r="I756" s="357"/>
      <c r="J756" s="156"/>
      <c r="K756" s="154"/>
      <c r="L756" s="100"/>
      <c r="M756" s="357"/>
      <c r="N756" s="156"/>
      <c r="O756" s="154"/>
      <c r="P756" s="100"/>
      <c r="Q756" s="357"/>
      <c r="R756" s="156"/>
      <c r="S756" s="154"/>
      <c r="T756" s="100"/>
      <c r="U756" s="357"/>
      <c r="V756" s="156"/>
      <c r="W756" s="154"/>
      <c r="X756" s="100"/>
      <c r="Y756" s="357"/>
      <c r="Z756" s="100"/>
      <c r="AA756" s="100"/>
      <c r="AB756" s="100"/>
      <c r="AC756" s="357"/>
      <c r="AD756" s="367"/>
      <c r="AE756" s="368"/>
      <c r="AF756" s="98"/>
      <c r="AG756" s="357"/>
      <c r="AH756" s="156"/>
      <c r="AI756" s="305"/>
      <c r="AJ756" s="366"/>
      <c r="AK756" s="357"/>
      <c r="AL756" s="371"/>
      <c r="AM756" s="371"/>
      <c r="AN756" s="371"/>
      <c r="AO756" s="357"/>
      <c r="AP756" s="100"/>
      <c r="AQ756" s="100"/>
      <c r="AR756" s="100"/>
      <c r="AS756" s="357"/>
      <c r="AT756" s="100"/>
      <c r="AU756" s="100"/>
      <c r="AV756" s="100"/>
    </row>
    <row r="757">
      <c r="A757" s="357"/>
      <c r="B757" s="156"/>
      <c r="C757" s="154"/>
      <c r="D757" s="100"/>
      <c r="E757" s="357"/>
      <c r="F757" s="156"/>
      <c r="G757" s="154"/>
      <c r="H757" s="100"/>
      <c r="I757" s="357"/>
      <c r="J757" s="156"/>
      <c r="K757" s="154"/>
      <c r="L757" s="100"/>
      <c r="M757" s="357"/>
      <c r="N757" s="156"/>
      <c r="O757" s="154"/>
      <c r="P757" s="100"/>
      <c r="Q757" s="357"/>
      <c r="R757" s="156"/>
      <c r="S757" s="154"/>
      <c r="T757" s="100"/>
      <c r="U757" s="357"/>
      <c r="V757" s="156"/>
      <c r="W757" s="154"/>
      <c r="X757" s="100"/>
      <c r="Y757" s="357"/>
      <c r="Z757" s="100"/>
      <c r="AA757" s="100"/>
      <c r="AB757" s="100"/>
      <c r="AC757" s="357"/>
      <c r="AD757" s="367"/>
      <c r="AE757" s="368"/>
      <c r="AF757" s="98"/>
      <c r="AG757" s="357"/>
      <c r="AH757" s="156"/>
      <c r="AI757" s="305"/>
      <c r="AJ757" s="366"/>
      <c r="AK757" s="357"/>
      <c r="AL757" s="371"/>
      <c r="AM757" s="371"/>
      <c r="AN757" s="371"/>
      <c r="AO757" s="357"/>
      <c r="AP757" s="100"/>
      <c r="AQ757" s="100"/>
      <c r="AR757" s="100"/>
      <c r="AS757" s="357"/>
      <c r="AT757" s="100"/>
      <c r="AU757" s="100"/>
      <c r="AV757" s="100"/>
    </row>
    <row r="758">
      <c r="A758" s="357"/>
      <c r="B758" s="156"/>
      <c r="C758" s="154"/>
      <c r="D758" s="100"/>
      <c r="E758" s="357"/>
      <c r="F758" s="156"/>
      <c r="G758" s="154"/>
      <c r="H758" s="100"/>
      <c r="I758" s="357"/>
      <c r="J758" s="156"/>
      <c r="K758" s="154"/>
      <c r="L758" s="100"/>
      <c r="M758" s="357"/>
      <c r="N758" s="156"/>
      <c r="O758" s="154"/>
      <c r="P758" s="100"/>
      <c r="Q758" s="357"/>
      <c r="R758" s="156"/>
      <c r="S758" s="154"/>
      <c r="T758" s="100"/>
      <c r="U758" s="357"/>
      <c r="V758" s="156"/>
      <c r="W758" s="154"/>
      <c r="X758" s="100"/>
      <c r="Y758" s="357"/>
      <c r="Z758" s="100"/>
      <c r="AA758" s="100"/>
      <c r="AB758" s="100"/>
      <c r="AC758" s="357"/>
      <c r="AD758" s="367"/>
      <c r="AE758" s="368"/>
      <c r="AF758" s="98"/>
      <c r="AG758" s="357"/>
      <c r="AH758" s="156"/>
      <c r="AI758" s="305"/>
      <c r="AJ758" s="366"/>
      <c r="AK758" s="357"/>
      <c r="AL758" s="371"/>
      <c r="AM758" s="371"/>
      <c r="AN758" s="371"/>
      <c r="AO758" s="357"/>
      <c r="AP758" s="100"/>
      <c r="AQ758" s="100"/>
      <c r="AR758" s="100"/>
      <c r="AS758" s="357"/>
      <c r="AT758" s="100"/>
      <c r="AU758" s="100"/>
      <c r="AV758" s="100"/>
    </row>
    <row r="759">
      <c r="A759" s="357"/>
      <c r="B759" s="156"/>
      <c r="C759" s="154"/>
      <c r="D759" s="100"/>
      <c r="E759" s="357"/>
      <c r="F759" s="156"/>
      <c r="G759" s="154"/>
      <c r="H759" s="100"/>
      <c r="I759" s="357"/>
      <c r="J759" s="156"/>
      <c r="K759" s="154"/>
      <c r="L759" s="100"/>
      <c r="M759" s="357"/>
      <c r="N759" s="156"/>
      <c r="O759" s="154"/>
      <c r="P759" s="100"/>
      <c r="Q759" s="357"/>
      <c r="R759" s="156"/>
      <c r="S759" s="154"/>
      <c r="T759" s="100"/>
      <c r="U759" s="357"/>
      <c r="V759" s="156"/>
      <c r="W759" s="154"/>
      <c r="X759" s="100"/>
      <c r="Y759" s="357"/>
      <c r="Z759" s="100"/>
      <c r="AA759" s="100"/>
      <c r="AB759" s="100"/>
      <c r="AC759" s="357"/>
      <c r="AD759" s="367"/>
      <c r="AE759" s="368"/>
      <c r="AF759" s="98"/>
      <c r="AG759" s="357"/>
      <c r="AH759" s="156"/>
      <c r="AI759" s="305"/>
      <c r="AJ759" s="366"/>
      <c r="AK759" s="357"/>
      <c r="AL759" s="371"/>
      <c r="AM759" s="371"/>
      <c r="AN759" s="371"/>
      <c r="AO759" s="357"/>
      <c r="AP759" s="100"/>
      <c r="AQ759" s="100"/>
      <c r="AR759" s="100"/>
      <c r="AS759" s="357"/>
      <c r="AT759" s="100"/>
      <c r="AU759" s="100"/>
      <c r="AV759" s="100"/>
    </row>
    <row r="760">
      <c r="A760" s="357"/>
      <c r="B760" s="156"/>
      <c r="C760" s="154"/>
      <c r="D760" s="100"/>
      <c r="E760" s="357"/>
      <c r="F760" s="156"/>
      <c r="G760" s="154"/>
      <c r="H760" s="100"/>
      <c r="I760" s="357"/>
      <c r="J760" s="156"/>
      <c r="K760" s="154"/>
      <c r="L760" s="100"/>
      <c r="M760" s="357"/>
      <c r="N760" s="156"/>
      <c r="O760" s="154"/>
      <c r="P760" s="100"/>
      <c r="Q760" s="357"/>
      <c r="R760" s="156"/>
      <c r="S760" s="154"/>
      <c r="T760" s="100"/>
      <c r="U760" s="357"/>
      <c r="V760" s="156"/>
      <c r="W760" s="154"/>
      <c r="X760" s="100"/>
      <c r="Y760" s="357"/>
      <c r="Z760" s="100"/>
      <c r="AA760" s="100"/>
      <c r="AB760" s="100"/>
      <c r="AC760" s="357"/>
      <c r="AD760" s="367"/>
      <c r="AE760" s="368"/>
      <c r="AF760" s="98"/>
      <c r="AG760" s="357"/>
      <c r="AH760" s="156"/>
      <c r="AI760" s="305"/>
      <c r="AJ760" s="366"/>
      <c r="AK760" s="357"/>
      <c r="AL760" s="371"/>
      <c r="AM760" s="371"/>
      <c r="AN760" s="371"/>
      <c r="AO760" s="357"/>
      <c r="AP760" s="100"/>
      <c r="AQ760" s="100"/>
      <c r="AR760" s="100"/>
      <c r="AS760" s="357"/>
      <c r="AT760" s="100"/>
      <c r="AU760" s="100"/>
      <c r="AV760" s="100"/>
    </row>
    <row r="761">
      <c r="A761" s="357"/>
      <c r="B761" s="156"/>
      <c r="C761" s="154"/>
      <c r="D761" s="100"/>
      <c r="E761" s="357"/>
      <c r="F761" s="156"/>
      <c r="G761" s="154"/>
      <c r="H761" s="100"/>
      <c r="I761" s="357"/>
      <c r="J761" s="156"/>
      <c r="K761" s="154"/>
      <c r="L761" s="100"/>
      <c r="M761" s="357"/>
      <c r="N761" s="156"/>
      <c r="O761" s="154"/>
      <c r="P761" s="100"/>
      <c r="Q761" s="357"/>
      <c r="R761" s="156"/>
      <c r="S761" s="154"/>
      <c r="T761" s="100"/>
      <c r="U761" s="357"/>
      <c r="V761" s="156"/>
      <c r="W761" s="154"/>
      <c r="X761" s="100"/>
      <c r="Y761" s="357"/>
      <c r="Z761" s="100"/>
      <c r="AA761" s="100"/>
      <c r="AB761" s="100"/>
      <c r="AC761" s="357"/>
      <c r="AD761" s="367"/>
      <c r="AE761" s="368"/>
      <c r="AF761" s="98"/>
      <c r="AG761" s="357"/>
      <c r="AH761" s="156"/>
      <c r="AI761" s="305"/>
      <c r="AJ761" s="366"/>
      <c r="AK761" s="357"/>
      <c r="AL761" s="371"/>
      <c r="AM761" s="371"/>
      <c r="AN761" s="371"/>
      <c r="AO761" s="357"/>
      <c r="AP761" s="100"/>
      <c r="AQ761" s="100"/>
      <c r="AR761" s="100"/>
      <c r="AS761" s="357"/>
      <c r="AT761" s="100"/>
      <c r="AU761" s="100"/>
      <c r="AV761" s="100"/>
    </row>
    <row r="762">
      <c r="A762" s="357"/>
      <c r="B762" s="156"/>
      <c r="C762" s="154"/>
      <c r="D762" s="100"/>
      <c r="E762" s="357"/>
      <c r="F762" s="156"/>
      <c r="G762" s="154"/>
      <c r="H762" s="100"/>
      <c r="I762" s="357"/>
      <c r="J762" s="156"/>
      <c r="K762" s="154"/>
      <c r="L762" s="100"/>
      <c r="M762" s="357"/>
      <c r="N762" s="156"/>
      <c r="O762" s="154"/>
      <c r="P762" s="100"/>
      <c r="Q762" s="357"/>
      <c r="R762" s="156"/>
      <c r="S762" s="154"/>
      <c r="T762" s="100"/>
      <c r="U762" s="357"/>
      <c r="V762" s="156"/>
      <c r="W762" s="154"/>
      <c r="X762" s="100"/>
      <c r="Y762" s="357"/>
      <c r="Z762" s="100"/>
      <c r="AA762" s="100"/>
      <c r="AB762" s="100"/>
      <c r="AC762" s="357"/>
      <c r="AD762" s="367"/>
      <c r="AE762" s="368"/>
      <c r="AF762" s="98"/>
      <c r="AG762" s="357"/>
      <c r="AH762" s="156"/>
      <c r="AI762" s="305"/>
      <c r="AJ762" s="366"/>
      <c r="AK762" s="357"/>
      <c r="AL762" s="371"/>
      <c r="AM762" s="371"/>
      <c r="AN762" s="371"/>
      <c r="AO762" s="357"/>
      <c r="AP762" s="100"/>
      <c r="AQ762" s="100"/>
      <c r="AR762" s="100"/>
      <c r="AS762" s="357"/>
      <c r="AT762" s="100"/>
      <c r="AU762" s="100"/>
      <c r="AV762" s="100"/>
    </row>
    <row r="763">
      <c r="A763" s="357"/>
      <c r="B763" s="156"/>
      <c r="C763" s="154"/>
      <c r="D763" s="100"/>
      <c r="E763" s="357"/>
      <c r="F763" s="156"/>
      <c r="G763" s="154"/>
      <c r="H763" s="100"/>
      <c r="I763" s="357"/>
      <c r="J763" s="156"/>
      <c r="K763" s="154"/>
      <c r="L763" s="100"/>
      <c r="M763" s="357"/>
      <c r="N763" s="156"/>
      <c r="O763" s="154"/>
      <c r="P763" s="100"/>
      <c r="Q763" s="357"/>
      <c r="R763" s="156"/>
      <c r="S763" s="154"/>
      <c r="T763" s="100"/>
      <c r="U763" s="357"/>
      <c r="V763" s="156"/>
      <c r="W763" s="154"/>
      <c r="X763" s="100"/>
      <c r="Y763" s="357"/>
      <c r="Z763" s="100"/>
      <c r="AA763" s="100"/>
      <c r="AB763" s="100"/>
      <c r="AC763" s="357"/>
      <c r="AD763" s="367"/>
      <c r="AE763" s="368"/>
      <c r="AF763" s="98"/>
      <c r="AG763" s="357"/>
      <c r="AH763" s="156"/>
      <c r="AI763" s="305"/>
      <c r="AJ763" s="366"/>
      <c r="AK763" s="357"/>
      <c r="AL763" s="371"/>
      <c r="AM763" s="371"/>
      <c r="AN763" s="371"/>
      <c r="AO763" s="357"/>
      <c r="AP763" s="100"/>
      <c r="AQ763" s="100"/>
      <c r="AR763" s="100"/>
      <c r="AS763" s="357"/>
      <c r="AT763" s="100"/>
      <c r="AU763" s="100"/>
      <c r="AV763" s="100"/>
    </row>
    <row r="764">
      <c r="A764" s="357"/>
      <c r="B764" s="156"/>
      <c r="C764" s="154"/>
      <c r="D764" s="100"/>
      <c r="E764" s="357"/>
      <c r="F764" s="156"/>
      <c r="G764" s="154"/>
      <c r="H764" s="100"/>
      <c r="I764" s="357"/>
      <c r="J764" s="156"/>
      <c r="K764" s="154"/>
      <c r="L764" s="100"/>
      <c r="M764" s="357"/>
      <c r="N764" s="156"/>
      <c r="O764" s="154"/>
      <c r="P764" s="100"/>
      <c r="Q764" s="357"/>
      <c r="R764" s="156"/>
      <c r="S764" s="154"/>
      <c r="T764" s="100"/>
      <c r="U764" s="357"/>
      <c r="V764" s="156"/>
      <c r="W764" s="154"/>
      <c r="X764" s="100"/>
      <c r="Y764" s="357"/>
      <c r="Z764" s="100"/>
      <c r="AA764" s="100"/>
      <c r="AB764" s="100"/>
      <c r="AC764" s="357"/>
      <c r="AD764" s="367"/>
      <c r="AE764" s="368"/>
      <c r="AF764" s="98"/>
      <c r="AG764" s="357"/>
      <c r="AH764" s="156"/>
      <c r="AI764" s="305"/>
      <c r="AJ764" s="366"/>
      <c r="AK764" s="357"/>
      <c r="AL764" s="371"/>
      <c r="AM764" s="371"/>
      <c r="AN764" s="371"/>
      <c r="AO764" s="357"/>
      <c r="AP764" s="100"/>
      <c r="AQ764" s="100"/>
      <c r="AR764" s="100"/>
      <c r="AS764" s="357"/>
      <c r="AT764" s="100"/>
      <c r="AU764" s="100"/>
      <c r="AV764" s="100"/>
    </row>
    <row r="765">
      <c r="A765" s="357"/>
      <c r="B765" s="156"/>
      <c r="C765" s="154"/>
      <c r="D765" s="100"/>
      <c r="E765" s="357"/>
      <c r="F765" s="156"/>
      <c r="G765" s="154"/>
      <c r="H765" s="100"/>
      <c r="I765" s="357"/>
      <c r="J765" s="156"/>
      <c r="K765" s="154"/>
      <c r="L765" s="100"/>
      <c r="M765" s="357"/>
      <c r="N765" s="156"/>
      <c r="O765" s="154"/>
      <c r="P765" s="100"/>
      <c r="Q765" s="357"/>
      <c r="R765" s="156"/>
      <c r="S765" s="154"/>
      <c r="T765" s="100"/>
      <c r="U765" s="357"/>
      <c r="V765" s="156"/>
      <c r="W765" s="154"/>
      <c r="X765" s="100"/>
      <c r="Y765" s="357"/>
      <c r="Z765" s="100"/>
      <c r="AA765" s="100"/>
      <c r="AB765" s="100"/>
      <c r="AC765" s="357"/>
      <c r="AD765" s="367"/>
      <c r="AE765" s="368"/>
      <c r="AF765" s="98"/>
      <c r="AG765" s="357"/>
      <c r="AH765" s="156"/>
      <c r="AI765" s="305"/>
      <c r="AJ765" s="366"/>
      <c r="AK765" s="357"/>
      <c r="AL765" s="371"/>
      <c r="AM765" s="371"/>
      <c r="AN765" s="371"/>
      <c r="AO765" s="357"/>
      <c r="AP765" s="100"/>
      <c r="AQ765" s="100"/>
      <c r="AR765" s="100"/>
      <c r="AS765" s="357"/>
      <c r="AT765" s="100"/>
      <c r="AU765" s="100"/>
      <c r="AV765" s="100"/>
    </row>
    <row r="766">
      <c r="A766" s="357"/>
      <c r="B766" s="156"/>
      <c r="C766" s="154"/>
      <c r="D766" s="100"/>
      <c r="E766" s="357"/>
      <c r="F766" s="156"/>
      <c r="G766" s="154"/>
      <c r="H766" s="100"/>
      <c r="I766" s="357"/>
      <c r="J766" s="156"/>
      <c r="K766" s="154"/>
      <c r="L766" s="100"/>
      <c r="M766" s="357"/>
      <c r="N766" s="156"/>
      <c r="O766" s="154"/>
      <c r="P766" s="100"/>
      <c r="Q766" s="357"/>
      <c r="R766" s="156"/>
      <c r="S766" s="154"/>
      <c r="T766" s="100"/>
      <c r="U766" s="357"/>
      <c r="V766" s="156"/>
      <c r="W766" s="154"/>
      <c r="X766" s="100"/>
      <c r="Y766" s="357"/>
      <c r="Z766" s="100"/>
      <c r="AA766" s="100"/>
      <c r="AB766" s="100"/>
      <c r="AC766" s="357"/>
      <c r="AD766" s="367"/>
      <c r="AE766" s="368"/>
      <c r="AF766" s="98"/>
      <c r="AG766" s="357"/>
      <c r="AH766" s="156"/>
      <c r="AI766" s="305"/>
      <c r="AJ766" s="366"/>
      <c r="AK766" s="357"/>
      <c r="AL766" s="371"/>
      <c r="AM766" s="371"/>
      <c r="AN766" s="371"/>
      <c r="AO766" s="357"/>
      <c r="AP766" s="100"/>
      <c r="AQ766" s="100"/>
      <c r="AR766" s="100"/>
      <c r="AS766" s="357"/>
      <c r="AT766" s="100"/>
      <c r="AU766" s="100"/>
      <c r="AV766" s="100"/>
    </row>
    <row r="767">
      <c r="A767" s="357"/>
      <c r="B767" s="156"/>
      <c r="C767" s="154"/>
      <c r="D767" s="100"/>
      <c r="E767" s="357"/>
      <c r="F767" s="156"/>
      <c r="G767" s="154"/>
      <c r="H767" s="100"/>
      <c r="I767" s="357"/>
      <c r="J767" s="156"/>
      <c r="K767" s="154"/>
      <c r="L767" s="100"/>
      <c r="M767" s="357"/>
      <c r="N767" s="156"/>
      <c r="O767" s="154"/>
      <c r="P767" s="100"/>
      <c r="Q767" s="357"/>
      <c r="R767" s="156"/>
      <c r="S767" s="154"/>
      <c r="T767" s="100"/>
      <c r="U767" s="357"/>
      <c r="V767" s="156"/>
      <c r="W767" s="154"/>
      <c r="X767" s="100"/>
      <c r="Y767" s="357"/>
      <c r="Z767" s="100"/>
      <c r="AA767" s="100"/>
      <c r="AB767" s="100"/>
      <c r="AC767" s="357"/>
      <c r="AD767" s="367"/>
      <c r="AE767" s="368"/>
      <c r="AF767" s="98"/>
      <c r="AG767" s="357"/>
      <c r="AH767" s="156"/>
      <c r="AI767" s="305"/>
      <c r="AJ767" s="366"/>
      <c r="AK767" s="357"/>
      <c r="AL767" s="371"/>
      <c r="AM767" s="371"/>
      <c r="AN767" s="371"/>
      <c r="AO767" s="357"/>
      <c r="AP767" s="100"/>
      <c r="AQ767" s="100"/>
      <c r="AR767" s="100"/>
      <c r="AS767" s="357"/>
      <c r="AT767" s="100"/>
      <c r="AU767" s="100"/>
      <c r="AV767" s="100"/>
    </row>
    <row r="768">
      <c r="A768" s="357"/>
      <c r="B768" s="156"/>
      <c r="C768" s="154"/>
      <c r="D768" s="100"/>
      <c r="E768" s="357"/>
      <c r="F768" s="156"/>
      <c r="G768" s="154"/>
      <c r="H768" s="100"/>
      <c r="I768" s="357"/>
      <c r="J768" s="156"/>
      <c r="K768" s="154"/>
      <c r="L768" s="100"/>
      <c r="M768" s="357"/>
      <c r="N768" s="156"/>
      <c r="O768" s="154"/>
      <c r="P768" s="100"/>
      <c r="Q768" s="357"/>
      <c r="R768" s="156"/>
      <c r="S768" s="154"/>
      <c r="T768" s="100"/>
      <c r="U768" s="357"/>
      <c r="V768" s="156"/>
      <c r="W768" s="154"/>
      <c r="X768" s="100"/>
      <c r="Y768" s="357"/>
      <c r="Z768" s="100"/>
      <c r="AA768" s="100"/>
      <c r="AB768" s="100"/>
      <c r="AC768" s="357"/>
      <c r="AD768" s="367"/>
      <c r="AE768" s="368"/>
      <c r="AF768" s="98"/>
      <c r="AG768" s="357"/>
      <c r="AH768" s="156"/>
      <c r="AI768" s="305"/>
      <c r="AJ768" s="366"/>
      <c r="AK768" s="357"/>
      <c r="AL768" s="371"/>
      <c r="AM768" s="371"/>
      <c r="AN768" s="371"/>
      <c r="AO768" s="357"/>
      <c r="AP768" s="100"/>
      <c r="AQ768" s="100"/>
      <c r="AR768" s="100"/>
      <c r="AS768" s="357"/>
      <c r="AT768" s="100"/>
      <c r="AU768" s="100"/>
      <c r="AV768" s="100"/>
    </row>
    <row r="769">
      <c r="A769" s="357"/>
      <c r="B769" s="156"/>
      <c r="C769" s="154"/>
      <c r="D769" s="100"/>
      <c r="E769" s="357"/>
      <c r="F769" s="156"/>
      <c r="G769" s="154"/>
      <c r="H769" s="100"/>
      <c r="I769" s="357"/>
      <c r="J769" s="156"/>
      <c r="K769" s="154"/>
      <c r="L769" s="100"/>
      <c r="M769" s="357"/>
      <c r="N769" s="156"/>
      <c r="O769" s="154"/>
      <c r="P769" s="100"/>
      <c r="Q769" s="357"/>
      <c r="R769" s="156"/>
      <c r="S769" s="154"/>
      <c r="T769" s="100"/>
      <c r="U769" s="357"/>
      <c r="V769" s="156"/>
      <c r="W769" s="154"/>
      <c r="X769" s="100"/>
      <c r="Y769" s="357"/>
      <c r="Z769" s="100"/>
      <c r="AA769" s="100"/>
      <c r="AB769" s="100"/>
      <c r="AC769" s="357"/>
      <c r="AD769" s="367"/>
      <c r="AE769" s="368"/>
      <c r="AF769" s="98"/>
      <c r="AG769" s="357"/>
      <c r="AH769" s="156"/>
      <c r="AI769" s="305"/>
      <c r="AJ769" s="366"/>
      <c r="AK769" s="357"/>
      <c r="AL769" s="371"/>
      <c r="AM769" s="371"/>
      <c r="AN769" s="371"/>
      <c r="AO769" s="357"/>
      <c r="AP769" s="100"/>
      <c r="AQ769" s="100"/>
      <c r="AR769" s="100"/>
      <c r="AS769" s="357"/>
      <c r="AT769" s="100"/>
      <c r="AU769" s="100"/>
      <c r="AV769" s="100"/>
    </row>
    <row r="770">
      <c r="A770" s="357"/>
      <c r="B770" s="156"/>
      <c r="C770" s="154"/>
      <c r="D770" s="100"/>
      <c r="E770" s="357"/>
      <c r="F770" s="156"/>
      <c r="G770" s="154"/>
      <c r="H770" s="100"/>
      <c r="I770" s="357"/>
      <c r="J770" s="156"/>
      <c r="K770" s="154"/>
      <c r="L770" s="100"/>
      <c r="M770" s="357"/>
      <c r="N770" s="156"/>
      <c r="O770" s="154"/>
      <c r="P770" s="100"/>
      <c r="Q770" s="357"/>
      <c r="R770" s="156"/>
      <c r="S770" s="154"/>
      <c r="T770" s="100"/>
      <c r="U770" s="357"/>
      <c r="V770" s="156"/>
      <c r="W770" s="154"/>
      <c r="X770" s="100"/>
      <c r="Y770" s="357"/>
      <c r="Z770" s="100"/>
      <c r="AA770" s="100"/>
      <c r="AB770" s="100"/>
      <c r="AC770" s="357"/>
      <c r="AD770" s="367"/>
      <c r="AE770" s="368"/>
      <c r="AF770" s="98"/>
      <c r="AG770" s="357"/>
      <c r="AH770" s="156"/>
      <c r="AI770" s="305"/>
      <c r="AJ770" s="366"/>
      <c r="AK770" s="357"/>
      <c r="AL770" s="371"/>
      <c r="AM770" s="371"/>
      <c r="AN770" s="371"/>
      <c r="AO770" s="357"/>
      <c r="AP770" s="100"/>
      <c r="AQ770" s="100"/>
      <c r="AR770" s="100"/>
      <c r="AS770" s="357"/>
      <c r="AT770" s="100"/>
      <c r="AU770" s="100"/>
      <c r="AV770" s="100"/>
    </row>
    <row r="771">
      <c r="A771" s="357"/>
      <c r="B771" s="156"/>
      <c r="C771" s="154"/>
      <c r="D771" s="100"/>
      <c r="E771" s="357"/>
      <c r="F771" s="156"/>
      <c r="G771" s="154"/>
      <c r="H771" s="100"/>
      <c r="I771" s="357"/>
      <c r="J771" s="156"/>
      <c r="K771" s="154"/>
      <c r="L771" s="100"/>
      <c r="M771" s="357"/>
      <c r="N771" s="156"/>
      <c r="O771" s="154"/>
      <c r="P771" s="100"/>
      <c r="Q771" s="357"/>
      <c r="R771" s="156"/>
      <c r="S771" s="154"/>
      <c r="T771" s="100"/>
      <c r="U771" s="357"/>
      <c r="V771" s="156"/>
      <c r="W771" s="154"/>
      <c r="X771" s="100"/>
      <c r="Y771" s="357"/>
      <c r="Z771" s="100"/>
      <c r="AA771" s="100"/>
      <c r="AB771" s="100"/>
      <c r="AC771" s="357"/>
      <c r="AD771" s="367"/>
      <c r="AE771" s="368"/>
      <c r="AF771" s="98"/>
      <c r="AG771" s="357"/>
      <c r="AH771" s="156"/>
      <c r="AI771" s="305"/>
      <c r="AJ771" s="366"/>
      <c r="AK771" s="357"/>
      <c r="AL771" s="371"/>
      <c r="AM771" s="371"/>
      <c r="AN771" s="371"/>
      <c r="AO771" s="357"/>
      <c r="AP771" s="100"/>
      <c r="AQ771" s="100"/>
      <c r="AR771" s="100"/>
      <c r="AS771" s="357"/>
      <c r="AT771" s="100"/>
      <c r="AU771" s="100"/>
      <c r="AV771" s="100"/>
    </row>
    <row r="772">
      <c r="A772" s="357"/>
      <c r="B772" s="156"/>
      <c r="C772" s="154"/>
      <c r="D772" s="100"/>
      <c r="E772" s="357"/>
      <c r="F772" s="156"/>
      <c r="G772" s="154"/>
      <c r="H772" s="100"/>
      <c r="I772" s="357"/>
      <c r="J772" s="156"/>
      <c r="K772" s="154"/>
      <c r="L772" s="100"/>
      <c r="M772" s="357"/>
      <c r="N772" s="156"/>
      <c r="O772" s="154"/>
      <c r="P772" s="100"/>
      <c r="Q772" s="357"/>
      <c r="R772" s="156"/>
      <c r="S772" s="154"/>
      <c r="T772" s="100"/>
      <c r="U772" s="357"/>
      <c r="V772" s="156"/>
      <c r="W772" s="154"/>
      <c r="X772" s="100"/>
      <c r="Y772" s="357"/>
      <c r="Z772" s="100"/>
      <c r="AA772" s="100"/>
      <c r="AB772" s="100"/>
      <c r="AC772" s="357"/>
      <c r="AD772" s="367"/>
      <c r="AE772" s="368"/>
      <c r="AF772" s="98"/>
      <c r="AG772" s="357"/>
      <c r="AH772" s="156"/>
      <c r="AI772" s="305"/>
      <c r="AJ772" s="366"/>
      <c r="AK772" s="357"/>
      <c r="AL772" s="371"/>
      <c r="AM772" s="371"/>
      <c r="AN772" s="371"/>
      <c r="AO772" s="357"/>
      <c r="AP772" s="100"/>
      <c r="AQ772" s="100"/>
      <c r="AR772" s="100"/>
      <c r="AS772" s="357"/>
      <c r="AT772" s="100"/>
      <c r="AU772" s="100"/>
      <c r="AV772" s="100"/>
    </row>
    <row r="773">
      <c r="A773" s="357"/>
      <c r="B773" s="156"/>
      <c r="C773" s="154"/>
      <c r="D773" s="100"/>
      <c r="E773" s="357"/>
      <c r="F773" s="156"/>
      <c r="G773" s="154"/>
      <c r="H773" s="100"/>
      <c r="I773" s="357"/>
      <c r="J773" s="156"/>
      <c r="K773" s="154"/>
      <c r="L773" s="100"/>
      <c r="M773" s="357"/>
      <c r="N773" s="156"/>
      <c r="O773" s="154"/>
      <c r="P773" s="100"/>
      <c r="Q773" s="357"/>
      <c r="R773" s="156"/>
      <c r="S773" s="154"/>
      <c r="T773" s="100"/>
      <c r="U773" s="357"/>
      <c r="V773" s="156"/>
      <c r="W773" s="154"/>
      <c r="X773" s="100"/>
      <c r="Y773" s="357"/>
      <c r="Z773" s="100"/>
      <c r="AA773" s="100"/>
      <c r="AB773" s="100"/>
      <c r="AC773" s="357"/>
      <c r="AD773" s="367"/>
      <c r="AE773" s="368"/>
      <c r="AF773" s="98"/>
      <c r="AG773" s="357"/>
      <c r="AH773" s="156"/>
      <c r="AI773" s="305"/>
      <c r="AJ773" s="366"/>
      <c r="AK773" s="357"/>
      <c r="AL773" s="371"/>
      <c r="AM773" s="371"/>
      <c r="AN773" s="371"/>
      <c r="AO773" s="357"/>
      <c r="AP773" s="100"/>
      <c r="AQ773" s="100"/>
      <c r="AR773" s="100"/>
      <c r="AS773" s="357"/>
      <c r="AT773" s="100"/>
      <c r="AU773" s="100"/>
      <c r="AV773" s="100"/>
    </row>
    <row r="774">
      <c r="A774" s="357"/>
      <c r="B774" s="156"/>
      <c r="C774" s="154"/>
      <c r="D774" s="100"/>
      <c r="E774" s="357"/>
      <c r="F774" s="156"/>
      <c r="G774" s="154"/>
      <c r="H774" s="100"/>
      <c r="I774" s="357"/>
      <c r="J774" s="156"/>
      <c r="K774" s="154"/>
      <c r="L774" s="100"/>
      <c r="M774" s="357"/>
      <c r="N774" s="156"/>
      <c r="O774" s="154"/>
      <c r="P774" s="100"/>
      <c r="Q774" s="357"/>
      <c r="R774" s="156"/>
      <c r="S774" s="154"/>
      <c r="T774" s="100"/>
      <c r="U774" s="357"/>
      <c r="V774" s="156"/>
      <c r="W774" s="154"/>
      <c r="X774" s="100"/>
      <c r="Y774" s="357"/>
      <c r="Z774" s="100"/>
      <c r="AA774" s="100"/>
      <c r="AB774" s="100"/>
      <c r="AC774" s="357"/>
      <c r="AD774" s="367"/>
      <c r="AE774" s="368"/>
      <c r="AF774" s="98"/>
      <c r="AG774" s="357"/>
      <c r="AH774" s="156"/>
      <c r="AI774" s="305"/>
      <c r="AJ774" s="366"/>
      <c r="AK774" s="357"/>
      <c r="AL774" s="371"/>
      <c r="AM774" s="371"/>
      <c r="AN774" s="371"/>
      <c r="AO774" s="357"/>
      <c r="AP774" s="100"/>
      <c r="AQ774" s="100"/>
      <c r="AR774" s="100"/>
      <c r="AS774" s="357"/>
      <c r="AT774" s="100"/>
      <c r="AU774" s="100"/>
      <c r="AV774" s="100"/>
    </row>
    <row r="775">
      <c r="A775" s="357"/>
      <c r="B775" s="156"/>
      <c r="C775" s="154"/>
      <c r="D775" s="100"/>
      <c r="E775" s="357"/>
      <c r="F775" s="156"/>
      <c r="G775" s="154"/>
      <c r="H775" s="100"/>
      <c r="I775" s="357"/>
      <c r="J775" s="156"/>
      <c r="K775" s="154"/>
      <c r="L775" s="100"/>
      <c r="M775" s="357"/>
      <c r="N775" s="156"/>
      <c r="O775" s="154"/>
      <c r="P775" s="100"/>
      <c r="Q775" s="357"/>
      <c r="R775" s="156"/>
      <c r="S775" s="154"/>
      <c r="T775" s="100"/>
      <c r="U775" s="357"/>
      <c r="V775" s="156"/>
      <c r="W775" s="154"/>
      <c r="X775" s="100"/>
      <c r="Y775" s="357"/>
      <c r="Z775" s="100"/>
      <c r="AA775" s="100"/>
      <c r="AB775" s="100"/>
      <c r="AC775" s="357"/>
      <c r="AD775" s="367"/>
      <c r="AE775" s="368"/>
      <c r="AF775" s="98"/>
      <c r="AG775" s="357"/>
      <c r="AH775" s="156"/>
      <c r="AI775" s="305"/>
      <c r="AJ775" s="366"/>
      <c r="AK775" s="357"/>
      <c r="AL775" s="371"/>
      <c r="AM775" s="371"/>
      <c r="AN775" s="371"/>
      <c r="AO775" s="357"/>
      <c r="AP775" s="100"/>
      <c r="AQ775" s="100"/>
      <c r="AR775" s="100"/>
      <c r="AS775" s="357"/>
      <c r="AT775" s="100"/>
      <c r="AU775" s="100"/>
      <c r="AV775" s="100"/>
    </row>
    <row r="776">
      <c r="A776" s="357"/>
      <c r="B776" s="156"/>
      <c r="C776" s="154"/>
      <c r="D776" s="100"/>
      <c r="E776" s="357"/>
      <c r="F776" s="156"/>
      <c r="G776" s="154"/>
      <c r="H776" s="100"/>
      <c r="I776" s="357"/>
      <c r="J776" s="156"/>
      <c r="K776" s="154"/>
      <c r="L776" s="100"/>
      <c r="M776" s="357"/>
      <c r="N776" s="156"/>
      <c r="O776" s="154"/>
      <c r="P776" s="100"/>
      <c r="Q776" s="357"/>
      <c r="R776" s="156"/>
      <c r="S776" s="154"/>
      <c r="T776" s="100"/>
      <c r="U776" s="357"/>
      <c r="V776" s="156"/>
      <c r="W776" s="154"/>
      <c r="X776" s="100"/>
      <c r="Y776" s="357"/>
      <c r="Z776" s="100"/>
      <c r="AA776" s="100"/>
      <c r="AB776" s="100"/>
      <c r="AC776" s="357"/>
      <c r="AD776" s="367"/>
      <c r="AE776" s="368"/>
      <c r="AF776" s="98"/>
      <c r="AG776" s="357"/>
      <c r="AH776" s="156"/>
      <c r="AI776" s="305"/>
      <c r="AJ776" s="366"/>
      <c r="AK776" s="357"/>
      <c r="AL776" s="371"/>
      <c r="AM776" s="371"/>
      <c r="AN776" s="371"/>
      <c r="AO776" s="357"/>
      <c r="AP776" s="100"/>
      <c r="AQ776" s="100"/>
      <c r="AR776" s="100"/>
      <c r="AS776" s="357"/>
      <c r="AT776" s="100"/>
      <c r="AU776" s="100"/>
      <c r="AV776" s="100"/>
    </row>
    <row r="777">
      <c r="A777" s="357"/>
      <c r="B777" s="156"/>
      <c r="C777" s="154"/>
      <c r="D777" s="100"/>
      <c r="E777" s="357"/>
      <c r="F777" s="156"/>
      <c r="G777" s="154"/>
      <c r="H777" s="100"/>
      <c r="I777" s="357"/>
      <c r="J777" s="156"/>
      <c r="K777" s="154"/>
      <c r="L777" s="100"/>
      <c r="M777" s="357"/>
      <c r="N777" s="156"/>
      <c r="O777" s="154"/>
      <c r="P777" s="100"/>
      <c r="Q777" s="357"/>
      <c r="R777" s="156"/>
      <c r="S777" s="154"/>
      <c r="T777" s="100"/>
      <c r="U777" s="357"/>
      <c r="V777" s="156"/>
      <c r="W777" s="154"/>
      <c r="X777" s="100"/>
      <c r="Y777" s="357"/>
      <c r="Z777" s="100"/>
      <c r="AA777" s="100"/>
      <c r="AB777" s="100"/>
      <c r="AC777" s="357"/>
      <c r="AD777" s="367"/>
      <c r="AE777" s="368"/>
      <c r="AF777" s="98"/>
      <c r="AG777" s="357"/>
      <c r="AH777" s="156"/>
      <c r="AI777" s="305"/>
      <c r="AJ777" s="366"/>
      <c r="AK777" s="357"/>
      <c r="AL777" s="371"/>
      <c r="AM777" s="371"/>
      <c r="AN777" s="371"/>
      <c r="AO777" s="357"/>
      <c r="AP777" s="100"/>
      <c r="AQ777" s="100"/>
      <c r="AR777" s="100"/>
      <c r="AS777" s="357"/>
      <c r="AT777" s="100"/>
      <c r="AU777" s="100"/>
      <c r="AV777" s="100"/>
    </row>
    <row r="778">
      <c r="A778" s="357"/>
      <c r="B778" s="156"/>
      <c r="C778" s="154"/>
      <c r="D778" s="100"/>
      <c r="E778" s="357"/>
      <c r="F778" s="156"/>
      <c r="G778" s="154"/>
      <c r="H778" s="100"/>
      <c r="I778" s="357"/>
      <c r="J778" s="156"/>
      <c r="K778" s="154"/>
      <c r="L778" s="100"/>
      <c r="M778" s="357"/>
      <c r="N778" s="156"/>
      <c r="O778" s="154"/>
      <c r="P778" s="100"/>
      <c r="Q778" s="357"/>
      <c r="R778" s="156"/>
      <c r="S778" s="154"/>
      <c r="T778" s="100"/>
      <c r="U778" s="357"/>
      <c r="V778" s="156"/>
      <c r="W778" s="154"/>
      <c r="X778" s="100"/>
      <c r="Y778" s="357"/>
      <c r="Z778" s="100"/>
      <c r="AA778" s="100"/>
      <c r="AB778" s="100"/>
      <c r="AC778" s="357"/>
      <c r="AD778" s="367"/>
      <c r="AE778" s="368"/>
      <c r="AF778" s="98"/>
      <c r="AG778" s="357"/>
      <c r="AH778" s="156"/>
      <c r="AI778" s="305"/>
      <c r="AJ778" s="366"/>
      <c r="AK778" s="357"/>
      <c r="AL778" s="371"/>
      <c r="AM778" s="371"/>
      <c r="AN778" s="371"/>
      <c r="AO778" s="357"/>
      <c r="AP778" s="100"/>
      <c r="AQ778" s="100"/>
      <c r="AR778" s="100"/>
      <c r="AS778" s="357"/>
      <c r="AT778" s="100"/>
      <c r="AU778" s="100"/>
      <c r="AV778" s="100"/>
    </row>
    <row r="779">
      <c r="A779" s="357"/>
      <c r="B779" s="156"/>
      <c r="C779" s="154"/>
      <c r="D779" s="100"/>
      <c r="E779" s="357"/>
      <c r="F779" s="156"/>
      <c r="G779" s="154"/>
      <c r="H779" s="100"/>
      <c r="I779" s="357"/>
      <c r="J779" s="156"/>
      <c r="K779" s="154"/>
      <c r="L779" s="100"/>
      <c r="M779" s="357"/>
      <c r="N779" s="156"/>
      <c r="O779" s="154"/>
      <c r="P779" s="100"/>
      <c r="Q779" s="357"/>
      <c r="R779" s="156"/>
      <c r="S779" s="154"/>
      <c r="T779" s="100"/>
      <c r="U779" s="357"/>
      <c r="V779" s="156"/>
      <c r="W779" s="154"/>
      <c r="X779" s="100"/>
      <c r="Y779" s="357"/>
      <c r="Z779" s="100"/>
      <c r="AA779" s="100"/>
      <c r="AB779" s="100"/>
      <c r="AC779" s="357"/>
      <c r="AD779" s="367"/>
      <c r="AE779" s="368"/>
      <c r="AF779" s="98"/>
      <c r="AG779" s="357"/>
      <c r="AH779" s="156"/>
      <c r="AI779" s="305"/>
      <c r="AJ779" s="366"/>
      <c r="AK779" s="357"/>
      <c r="AL779" s="371"/>
      <c r="AM779" s="371"/>
      <c r="AN779" s="371"/>
      <c r="AO779" s="357"/>
      <c r="AP779" s="100"/>
      <c r="AQ779" s="100"/>
      <c r="AR779" s="100"/>
      <c r="AS779" s="357"/>
      <c r="AT779" s="100"/>
      <c r="AU779" s="100"/>
      <c r="AV779" s="100"/>
    </row>
    <row r="780">
      <c r="A780" s="357"/>
      <c r="B780" s="156"/>
      <c r="C780" s="154"/>
      <c r="D780" s="100"/>
      <c r="E780" s="357"/>
      <c r="F780" s="156"/>
      <c r="G780" s="154"/>
      <c r="H780" s="100"/>
      <c r="I780" s="357"/>
      <c r="J780" s="156"/>
      <c r="K780" s="154"/>
      <c r="L780" s="100"/>
      <c r="M780" s="357"/>
      <c r="N780" s="156"/>
      <c r="O780" s="154"/>
      <c r="P780" s="100"/>
      <c r="Q780" s="357"/>
      <c r="R780" s="156"/>
      <c r="S780" s="154"/>
      <c r="T780" s="100"/>
      <c r="U780" s="357"/>
      <c r="V780" s="156"/>
      <c r="W780" s="154"/>
      <c r="X780" s="100"/>
      <c r="Y780" s="357"/>
      <c r="Z780" s="100"/>
      <c r="AA780" s="100"/>
      <c r="AB780" s="100"/>
      <c r="AC780" s="357"/>
      <c r="AD780" s="367"/>
      <c r="AE780" s="368"/>
      <c r="AF780" s="98"/>
      <c r="AG780" s="357"/>
      <c r="AH780" s="156"/>
      <c r="AI780" s="305"/>
      <c r="AJ780" s="366"/>
      <c r="AK780" s="357"/>
      <c r="AL780" s="371"/>
      <c r="AM780" s="371"/>
      <c r="AN780" s="371"/>
      <c r="AO780" s="357"/>
      <c r="AP780" s="100"/>
      <c r="AQ780" s="100"/>
      <c r="AR780" s="100"/>
      <c r="AS780" s="357"/>
      <c r="AT780" s="100"/>
      <c r="AU780" s="100"/>
      <c r="AV780" s="100"/>
    </row>
    <row r="781">
      <c r="A781" s="357"/>
      <c r="B781" s="156"/>
      <c r="C781" s="154"/>
      <c r="D781" s="100"/>
      <c r="E781" s="357"/>
      <c r="F781" s="156"/>
      <c r="G781" s="154"/>
      <c r="H781" s="100"/>
      <c r="I781" s="357"/>
      <c r="J781" s="156"/>
      <c r="K781" s="154"/>
      <c r="L781" s="100"/>
      <c r="M781" s="357"/>
      <c r="N781" s="156"/>
      <c r="O781" s="154"/>
      <c r="P781" s="100"/>
      <c r="Q781" s="357"/>
      <c r="R781" s="156"/>
      <c r="S781" s="154"/>
      <c r="T781" s="100"/>
      <c r="U781" s="357"/>
      <c r="V781" s="156"/>
      <c r="W781" s="154"/>
      <c r="X781" s="100"/>
      <c r="Y781" s="357"/>
      <c r="Z781" s="100"/>
      <c r="AA781" s="100"/>
      <c r="AB781" s="100"/>
      <c r="AC781" s="357"/>
      <c r="AD781" s="367"/>
      <c r="AE781" s="368"/>
      <c r="AF781" s="98"/>
      <c r="AG781" s="357"/>
      <c r="AH781" s="156"/>
      <c r="AI781" s="305"/>
      <c r="AJ781" s="366"/>
      <c r="AK781" s="357"/>
      <c r="AL781" s="371"/>
      <c r="AM781" s="371"/>
      <c r="AN781" s="371"/>
      <c r="AO781" s="357"/>
      <c r="AP781" s="100"/>
      <c r="AQ781" s="100"/>
      <c r="AR781" s="100"/>
      <c r="AS781" s="357"/>
      <c r="AT781" s="100"/>
      <c r="AU781" s="100"/>
      <c r="AV781" s="100"/>
    </row>
    <row r="782">
      <c r="A782" s="357"/>
      <c r="B782" s="156"/>
      <c r="C782" s="154"/>
      <c r="D782" s="100"/>
      <c r="E782" s="357"/>
      <c r="F782" s="156"/>
      <c r="G782" s="154"/>
      <c r="H782" s="100"/>
      <c r="I782" s="357"/>
      <c r="J782" s="156"/>
      <c r="K782" s="154"/>
      <c r="L782" s="100"/>
      <c r="M782" s="357"/>
      <c r="N782" s="156"/>
      <c r="O782" s="154"/>
      <c r="P782" s="100"/>
      <c r="Q782" s="357"/>
      <c r="R782" s="156"/>
      <c r="S782" s="154"/>
      <c r="T782" s="100"/>
      <c r="U782" s="357"/>
      <c r="V782" s="156"/>
      <c r="W782" s="154"/>
      <c r="X782" s="100"/>
      <c r="Y782" s="357"/>
      <c r="Z782" s="100"/>
      <c r="AA782" s="100"/>
      <c r="AB782" s="100"/>
      <c r="AC782" s="357"/>
      <c r="AD782" s="367"/>
      <c r="AE782" s="368"/>
      <c r="AF782" s="98"/>
      <c r="AG782" s="357"/>
      <c r="AH782" s="156"/>
      <c r="AI782" s="305"/>
      <c r="AJ782" s="366"/>
      <c r="AK782" s="357"/>
      <c r="AL782" s="371"/>
      <c r="AM782" s="371"/>
      <c r="AN782" s="371"/>
      <c r="AO782" s="357"/>
      <c r="AP782" s="100"/>
      <c r="AQ782" s="100"/>
      <c r="AR782" s="100"/>
      <c r="AS782" s="357"/>
      <c r="AT782" s="100"/>
      <c r="AU782" s="100"/>
      <c r="AV782" s="100"/>
    </row>
    <row r="783">
      <c r="A783" s="357"/>
      <c r="B783" s="156"/>
      <c r="C783" s="154"/>
      <c r="D783" s="100"/>
      <c r="E783" s="357"/>
      <c r="F783" s="156"/>
      <c r="G783" s="154"/>
      <c r="H783" s="100"/>
      <c r="I783" s="357"/>
      <c r="J783" s="156"/>
      <c r="K783" s="154"/>
      <c r="L783" s="100"/>
      <c r="M783" s="357"/>
      <c r="N783" s="156"/>
      <c r="O783" s="154"/>
      <c r="P783" s="100"/>
      <c r="Q783" s="357"/>
      <c r="R783" s="156"/>
      <c r="S783" s="154"/>
      <c r="T783" s="100"/>
      <c r="U783" s="357"/>
      <c r="V783" s="156"/>
      <c r="W783" s="154"/>
      <c r="X783" s="100"/>
      <c r="Y783" s="357"/>
      <c r="Z783" s="100"/>
      <c r="AA783" s="100"/>
      <c r="AB783" s="100"/>
      <c r="AC783" s="357"/>
      <c r="AD783" s="367"/>
      <c r="AE783" s="368"/>
      <c r="AF783" s="98"/>
      <c r="AG783" s="357"/>
      <c r="AH783" s="156"/>
      <c r="AI783" s="305"/>
      <c r="AJ783" s="366"/>
      <c r="AK783" s="357"/>
      <c r="AL783" s="371"/>
      <c r="AM783" s="371"/>
      <c r="AN783" s="371"/>
      <c r="AO783" s="357"/>
      <c r="AP783" s="100"/>
      <c r="AQ783" s="100"/>
      <c r="AR783" s="100"/>
      <c r="AS783" s="357"/>
      <c r="AT783" s="100"/>
      <c r="AU783" s="100"/>
      <c r="AV783" s="100"/>
    </row>
    <row r="784">
      <c r="A784" s="357"/>
      <c r="B784" s="156"/>
      <c r="C784" s="154"/>
      <c r="D784" s="100"/>
      <c r="E784" s="357"/>
      <c r="F784" s="156"/>
      <c r="G784" s="154"/>
      <c r="H784" s="100"/>
      <c r="I784" s="357"/>
      <c r="J784" s="156"/>
      <c r="K784" s="154"/>
      <c r="L784" s="100"/>
      <c r="M784" s="357"/>
      <c r="N784" s="156"/>
      <c r="O784" s="154"/>
      <c r="P784" s="100"/>
      <c r="Q784" s="357"/>
      <c r="R784" s="156"/>
      <c r="S784" s="154"/>
      <c r="T784" s="100"/>
      <c r="U784" s="357"/>
      <c r="V784" s="156"/>
      <c r="W784" s="154"/>
      <c r="X784" s="100"/>
      <c r="Y784" s="357"/>
      <c r="Z784" s="100"/>
      <c r="AA784" s="100"/>
      <c r="AB784" s="100"/>
      <c r="AC784" s="357"/>
      <c r="AD784" s="367"/>
      <c r="AE784" s="368"/>
      <c r="AF784" s="98"/>
      <c r="AG784" s="357"/>
      <c r="AH784" s="156"/>
      <c r="AI784" s="305"/>
      <c r="AJ784" s="366"/>
      <c r="AK784" s="357"/>
      <c r="AL784" s="371"/>
      <c r="AM784" s="371"/>
      <c r="AN784" s="371"/>
      <c r="AO784" s="357"/>
      <c r="AP784" s="100"/>
      <c r="AQ784" s="100"/>
      <c r="AR784" s="100"/>
      <c r="AS784" s="357"/>
      <c r="AT784" s="100"/>
      <c r="AU784" s="100"/>
      <c r="AV784" s="100"/>
    </row>
    <row r="785">
      <c r="A785" s="357"/>
      <c r="B785" s="156"/>
      <c r="C785" s="154"/>
      <c r="D785" s="100"/>
      <c r="E785" s="357"/>
      <c r="F785" s="156"/>
      <c r="G785" s="154"/>
      <c r="H785" s="100"/>
      <c r="I785" s="357"/>
      <c r="J785" s="156"/>
      <c r="K785" s="154"/>
      <c r="L785" s="100"/>
      <c r="M785" s="357"/>
      <c r="N785" s="156"/>
      <c r="O785" s="154"/>
      <c r="P785" s="100"/>
      <c r="Q785" s="357"/>
      <c r="R785" s="156"/>
      <c r="S785" s="154"/>
      <c r="T785" s="100"/>
      <c r="U785" s="357"/>
      <c r="V785" s="156"/>
      <c r="W785" s="154"/>
      <c r="X785" s="100"/>
      <c r="Y785" s="357"/>
      <c r="Z785" s="100"/>
      <c r="AA785" s="100"/>
      <c r="AB785" s="100"/>
      <c r="AC785" s="357"/>
      <c r="AD785" s="367"/>
      <c r="AE785" s="368"/>
      <c r="AF785" s="98"/>
      <c r="AG785" s="357"/>
      <c r="AH785" s="156"/>
      <c r="AI785" s="305"/>
      <c r="AJ785" s="366"/>
      <c r="AK785" s="357"/>
      <c r="AL785" s="371"/>
      <c r="AM785" s="371"/>
      <c r="AN785" s="371"/>
      <c r="AO785" s="357"/>
      <c r="AP785" s="100"/>
      <c r="AQ785" s="100"/>
      <c r="AR785" s="100"/>
      <c r="AS785" s="357"/>
      <c r="AT785" s="100"/>
      <c r="AU785" s="100"/>
      <c r="AV785" s="100"/>
    </row>
    <row r="786">
      <c r="A786" s="357"/>
      <c r="B786" s="156"/>
      <c r="C786" s="154"/>
      <c r="D786" s="100"/>
      <c r="E786" s="357"/>
      <c r="F786" s="156"/>
      <c r="G786" s="154"/>
      <c r="H786" s="100"/>
      <c r="I786" s="357"/>
      <c r="J786" s="156"/>
      <c r="K786" s="154"/>
      <c r="L786" s="100"/>
      <c r="M786" s="357"/>
      <c r="N786" s="156"/>
      <c r="O786" s="154"/>
      <c r="P786" s="100"/>
      <c r="Q786" s="357"/>
      <c r="R786" s="156"/>
      <c r="S786" s="154"/>
      <c r="T786" s="100"/>
      <c r="U786" s="357"/>
      <c r="V786" s="156"/>
      <c r="W786" s="154"/>
      <c r="X786" s="100"/>
      <c r="Y786" s="357"/>
      <c r="Z786" s="100"/>
      <c r="AA786" s="100"/>
      <c r="AB786" s="100"/>
      <c r="AC786" s="357"/>
      <c r="AD786" s="367"/>
      <c r="AE786" s="368"/>
      <c r="AF786" s="98"/>
      <c r="AG786" s="357"/>
      <c r="AH786" s="156"/>
      <c r="AI786" s="305"/>
      <c r="AJ786" s="366"/>
      <c r="AK786" s="357"/>
      <c r="AL786" s="371"/>
      <c r="AM786" s="371"/>
      <c r="AN786" s="371"/>
      <c r="AO786" s="357"/>
      <c r="AP786" s="100"/>
      <c r="AQ786" s="100"/>
      <c r="AR786" s="100"/>
      <c r="AS786" s="357"/>
      <c r="AT786" s="100"/>
      <c r="AU786" s="100"/>
      <c r="AV786" s="100"/>
    </row>
    <row r="787">
      <c r="A787" s="357"/>
      <c r="B787" s="156"/>
      <c r="C787" s="154"/>
      <c r="D787" s="100"/>
      <c r="E787" s="357"/>
      <c r="F787" s="156"/>
      <c r="G787" s="154"/>
      <c r="H787" s="100"/>
      <c r="I787" s="357"/>
      <c r="J787" s="156"/>
      <c r="K787" s="154"/>
      <c r="L787" s="100"/>
      <c r="M787" s="357"/>
      <c r="N787" s="156"/>
      <c r="O787" s="154"/>
      <c r="P787" s="100"/>
      <c r="Q787" s="357"/>
      <c r="R787" s="156"/>
      <c r="S787" s="154"/>
      <c r="T787" s="100"/>
      <c r="U787" s="357"/>
      <c r="V787" s="156"/>
      <c r="W787" s="154"/>
      <c r="X787" s="100"/>
      <c r="Y787" s="357"/>
      <c r="Z787" s="100"/>
      <c r="AA787" s="100"/>
      <c r="AB787" s="100"/>
      <c r="AC787" s="357"/>
      <c r="AD787" s="367"/>
      <c r="AE787" s="368"/>
      <c r="AF787" s="98"/>
      <c r="AG787" s="357"/>
      <c r="AH787" s="156"/>
      <c r="AI787" s="305"/>
      <c r="AJ787" s="366"/>
      <c r="AK787" s="357"/>
      <c r="AL787" s="371"/>
      <c r="AM787" s="371"/>
      <c r="AN787" s="371"/>
      <c r="AO787" s="357"/>
      <c r="AP787" s="100"/>
      <c r="AQ787" s="100"/>
      <c r="AR787" s="100"/>
      <c r="AS787" s="357"/>
      <c r="AT787" s="100"/>
      <c r="AU787" s="100"/>
      <c r="AV787" s="100"/>
    </row>
    <row r="788">
      <c r="A788" s="357"/>
      <c r="B788" s="156"/>
      <c r="C788" s="154"/>
      <c r="D788" s="100"/>
      <c r="E788" s="357"/>
      <c r="F788" s="156"/>
      <c r="G788" s="154"/>
      <c r="H788" s="100"/>
      <c r="I788" s="357"/>
      <c r="J788" s="156"/>
      <c r="K788" s="154"/>
      <c r="L788" s="100"/>
      <c r="M788" s="357"/>
      <c r="N788" s="156"/>
      <c r="O788" s="154"/>
      <c r="P788" s="100"/>
      <c r="Q788" s="357"/>
      <c r="R788" s="156"/>
      <c r="S788" s="154"/>
      <c r="T788" s="100"/>
      <c r="U788" s="357"/>
      <c r="V788" s="156"/>
      <c r="W788" s="154"/>
      <c r="X788" s="100"/>
      <c r="Y788" s="357"/>
      <c r="Z788" s="100"/>
      <c r="AA788" s="100"/>
      <c r="AB788" s="100"/>
      <c r="AC788" s="357"/>
      <c r="AD788" s="367"/>
      <c r="AE788" s="368"/>
      <c r="AF788" s="98"/>
      <c r="AG788" s="357"/>
      <c r="AH788" s="156"/>
      <c r="AI788" s="305"/>
      <c r="AJ788" s="366"/>
      <c r="AK788" s="357"/>
      <c r="AL788" s="371"/>
      <c r="AM788" s="371"/>
      <c r="AN788" s="371"/>
      <c r="AO788" s="357"/>
      <c r="AP788" s="100"/>
      <c r="AQ788" s="100"/>
      <c r="AR788" s="100"/>
      <c r="AS788" s="357"/>
      <c r="AT788" s="100"/>
      <c r="AU788" s="100"/>
      <c r="AV788" s="100"/>
    </row>
    <row r="789">
      <c r="A789" s="357"/>
      <c r="B789" s="156"/>
      <c r="C789" s="154"/>
      <c r="D789" s="100"/>
      <c r="E789" s="357"/>
      <c r="F789" s="156"/>
      <c r="G789" s="154"/>
      <c r="H789" s="100"/>
      <c r="I789" s="357"/>
      <c r="J789" s="156"/>
      <c r="K789" s="154"/>
      <c r="L789" s="100"/>
      <c r="M789" s="357"/>
      <c r="N789" s="156"/>
      <c r="O789" s="154"/>
      <c r="P789" s="100"/>
      <c r="Q789" s="357"/>
      <c r="R789" s="156"/>
      <c r="S789" s="154"/>
      <c r="T789" s="100"/>
      <c r="U789" s="357"/>
      <c r="V789" s="156"/>
      <c r="W789" s="154"/>
      <c r="X789" s="100"/>
      <c r="Y789" s="357"/>
      <c r="Z789" s="100"/>
      <c r="AA789" s="100"/>
      <c r="AB789" s="100"/>
      <c r="AC789" s="357"/>
      <c r="AD789" s="367"/>
      <c r="AE789" s="368"/>
      <c r="AF789" s="98"/>
      <c r="AG789" s="357"/>
      <c r="AH789" s="156"/>
      <c r="AI789" s="305"/>
      <c r="AJ789" s="366"/>
      <c r="AK789" s="357"/>
      <c r="AL789" s="371"/>
      <c r="AM789" s="371"/>
      <c r="AN789" s="371"/>
      <c r="AO789" s="357"/>
      <c r="AP789" s="100"/>
      <c r="AQ789" s="100"/>
      <c r="AR789" s="100"/>
      <c r="AS789" s="357"/>
      <c r="AT789" s="100"/>
      <c r="AU789" s="100"/>
      <c r="AV789" s="100"/>
    </row>
    <row r="790">
      <c r="A790" s="357"/>
      <c r="B790" s="156"/>
      <c r="C790" s="154"/>
      <c r="D790" s="100"/>
      <c r="E790" s="357"/>
      <c r="F790" s="156"/>
      <c r="G790" s="154"/>
      <c r="H790" s="100"/>
      <c r="I790" s="357"/>
      <c r="J790" s="156"/>
      <c r="K790" s="154"/>
      <c r="L790" s="100"/>
      <c r="M790" s="357"/>
      <c r="N790" s="156"/>
      <c r="O790" s="154"/>
      <c r="P790" s="100"/>
      <c r="Q790" s="357"/>
      <c r="R790" s="156"/>
      <c r="S790" s="154"/>
      <c r="T790" s="100"/>
      <c r="U790" s="357"/>
      <c r="V790" s="156"/>
      <c r="W790" s="154"/>
      <c r="X790" s="100"/>
      <c r="Y790" s="357"/>
      <c r="Z790" s="100"/>
      <c r="AA790" s="100"/>
      <c r="AB790" s="100"/>
      <c r="AC790" s="357"/>
      <c r="AD790" s="367"/>
      <c r="AE790" s="368"/>
      <c r="AF790" s="98"/>
      <c r="AG790" s="357"/>
      <c r="AH790" s="156"/>
      <c r="AI790" s="305"/>
      <c r="AJ790" s="366"/>
      <c r="AK790" s="357"/>
      <c r="AL790" s="371"/>
      <c r="AM790" s="371"/>
      <c r="AN790" s="371"/>
      <c r="AO790" s="357"/>
      <c r="AP790" s="100"/>
      <c r="AQ790" s="100"/>
      <c r="AR790" s="100"/>
      <c r="AS790" s="357"/>
      <c r="AT790" s="100"/>
      <c r="AU790" s="100"/>
      <c r="AV790" s="100"/>
    </row>
    <row r="791">
      <c r="A791" s="357"/>
      <c r="B791" s="156"/>
      <c r="C791" s="154"/>
      <c r="D791" s="100"/>
      <c r="E791" s="357"/>
      <c r="F791" s="156"/>
      <c r="G791" s="154"/>
      <c r="H791" s="100"/>
      <c r="I791" s="357"/>
      <c r="J791" s="156"/>
      <c r="K791" s="154"/>
      <c r="L791" s="100"/>
      <c r="M791" s="357"/>
      <c r="N791" s="156"/>
      <c r="O791" s="154"/>
      <c r="P791" s="100"/>
      <c r="Q791" s="357"/>
      <c r="R791" s="156"/>
      <c r="S791" s="154"/>
      <c r="T791" s="100"/>
      <c r="U791" s="357"/>
      <c r="V791" s="156"/>
      <c r="W791" s="154"/>
      <c r="X791" s="100"/>
      <c r="Y791" s="357"/>
      <c r="Z791" s="100"/>
      <c r="AA791" s="100"/>
      <c r="AB791" s="100"/>
      <c r="AC791" s="357"/>
      <c r="AD791" s="367"/>
      <c r="AE791" s="368"/>
      <c r="AF791" s="98"/>
      <c r="AG791" s="357"/>
      <c r="AH791" s="156"/>
      <c r="AI791" s="305"/>
      <c r="AJ791" s="366"/>
      <c r="AK791" s="357"/>
      <c r="AL791" s="371"/>
      <c r="AM791" s="371"/>
      <c r="AN791" s="371"/>
      <c r="AO791" s="357"/>
      <c r="AP791" s="100"/>
      <c r="AQ791" s="100"/>
      <c r="AR791" s="100"/>
      <c r="AS791" s="357"/>
      <c r="AT791" s="100"/>
      <c r="AU791" s="100"/>
      <c r="AV791" s="100"/>
    </row>
    <row r="792">
      <c r="A792" s="357"/>
      <c r="B792" s="156"/>
      <c r="C792" s="154"/>
      <c r="D792" s="100"/>
      <c r="E792" s="357"/>
      <c r="F792" s="156"/>
      <c r="G792" s="154"/>
      <c r="H792" s="100"/>
      <c r="I792" s="357"/>
      <c r="J792" s="156"/>
      <c r="K792" s="154"/>
      <c r="L792" s="100"/>
      <c r="M792" s="357"/>
      <c r="N792" s="156"/>
      <c r="O792" s="154"/>
      <c r="P792" s="100"/>
      <c r="Q792" s="357"/>
      <c r="R792" s="156"/>
      <c r="S792" s="154"/>
      <c r="T792" s="100"/>
      <c r="U792" s="357"/>
      <c r="V792" s="156"/>
      <c r="W792" s="154"/>
      <c r="X792" s="100"/>
      <c r="Y792" s="357"/>
      <c r="Z792" s="100"/>
      <c r="AA792" s="100"/>
      <c r="AB792" s="100"/>
      <c r="AC792" s="357"/>
      <c r="AD792" s="367"/>
      <c r="AE792" s="368"/>
      <c r="AF792" s="98"/>
      <c r="AG792" s="357"/>
      <c r="AH792" s="156"/>
      <c r="AI792" s="305"/>
      <c r="AJ792" s="366"/>
      <c r="AK792" s="357"/>
      <c r="AL792" s="371"/>
      <c r="AM792" s="371"/>
      <c r="AN792" s="371"/>
      <c r="AO792" s="357"/>
      <c r="AP792" s="100"/>
      <c r="AQ792" s="100"/>
      <c r="AR792" s="100"/>
      <c r="AS792" s="357"/>
      <c r="AT792" s="100"/>
      <c r="AU792" s="100"/>
      <c r="AV792" s="100"/>
    </row>
    <row r="793">
      <c r="A793" s="357"/>
      <c r="B793" s="156"/>
      <c r="C793" s="154"/>
      <c r="D793" s="100"/>
      <c r="E793" s="357"/>
      <c r="F793" s="156"/>
      <c r="G793" s="154"/>
      <c r="H793" s="100"/>
      <c r="I793" s="357"/>
      <c r="J793" s="156"/>
      <c r="K793" s="154"/>
      <c r="L793" s="100"/>
      <c r="M793" s="357"/>
      <c r="N793" s="156"/>
      <c r="O793" s="154"/>
      <c r="P793" s="100"/>
      <c r="Q793" s="357"/>
      <c r="R793" s="156"/>
      <c r="S793" s="154"/>
      <c r="T793" s="100"/>
      <c r="U793" s="357"/>
      <c r="V793" s="156"/>
      <c r="W793" s="154"/>
      <c r="X793" s="100"/>
      <c r="Y793" s="357"/>
      <c r="Z793" s="100"/>
      <c r="AA793" s="100"/>
      <c r="AB793" s="100"/>
      <c r="AC793" s="357"/>
      <c r="AD793" s="367"/>
      <c r="AE793" s="368"/>
      <c r="AF793" s="98"/>
      <c r="AG793" s="357"/>
      <c r="AH793" s="156"/>
      <c r="AI793" s="305"/>
      <c r="AJ793" s="366"/>
      <c r="AK793" s="357"/>
      <c r="AL793" s="371"/>
      <c r="AM793" s="371"/>
      <c r="AN793" s="371"/>
      <c r="AO793" s="357"/>
      <c r="AP793" s="100"/>
      <c r="AQ793" s="100"/>
      <c r="AR793" s="100"/>
      <c r="AS793" s="357"/>
      <c r="AT793" s="100"/>
      <c r="AU793" s="100"/>
      <c r="AV793" s="100"/>
    </row>
    <row r="794">
      <c r="A794" s="357"/>
      <c r="B794" s="156"/>
      <c r="C794" s="154"/>
      <c r="D794" s="100"/>
      <c r="E794" s="357"/>
      <c r="F794" s="156"/>
      <c r="G794" s="154"/>
      <c r="H794" s="100"/>
      <c r="I794" s="357"/>
      <c r="J794" s="156"/>
      <c r="K794" s="154"/>
      <c r="L794" s="100"/>
      <c r="M794" s="357"/>
      <c r="N794" s="156"/>
      <c r="O794" s="154"/>
      <c r="P794" s="100"/>
      <c r="Q794" s="357"/>
      <c r="R794" s="156"/>
      <c r="S794" s="154"/>
      <c r="T794" s="100"/>
      <c r="U794" s="357"/>
      <c r="V794" s="156"/>
      <c r="W794" s="154"/>
      <c r="X794" s="100"/>
      <c r="Y794" s="357"/>
      <c r="Z794" s="100"/>
      <c r="AA794" s="100"/>
      <c r="AB794" s="100"/>
      <c r="AC794" s="357"/>
      <c r="AD794" s="367"/>
      <c r="AE794" s="368"/>
      <c r="AF794" s="98"/>
      <c r="AG794" s="357"/>
      <c r="AH794" s="156"/>
      <c r="AI794" s="305"/>
      <c r="AJ794" s="366"/>
      <c r="AK794" s="357"/>
      <c r="AL794" s="371"/>
      <c r="AM794" s="371"/>
      <c r="AN794" s="371"/>
      <c r="AO794" s="357"/>
      <c r="AP794" s="100"/>
      <c r="AQ794" s="100"/>
      <c r="AR794" s="100"/>
      <c r="AS794" s="357"/>
      <c r="AT794" s="100"/>
      <c r="AU794" s="100"/>
      <c r="AV794" s="100"/>
    </row>
    <row r="795">
      <c r="A795" s="357"/>
      <c r="B795" s="156"/>
      <c r="C795" s="154"/>
      <c r="D795" s="100"/>
      <c r="E795" s="357"/>
      <c r="F795" s="156"/>
      <c r="G795" s="154"/>
      <c r="H795" s="100"/>
      <c r="I795" s="357"/>
      <c r="J795" s="156"/>
      <c r="K795" s="154"/>
      <c r="L795" s="100"/>
      <c r="M795" s="357"/>
      <c r="N795" s="156"/>
      <c r="O795" s="154"/>
      <c r="P795" s="100"/>
      <c r="Q795" s="357"/>
      <c r="R795" s="156"/>
      <c r="S795" s="154"/>
      <c r="T795" s="100"/>
      <c r="U795" s="357"/>
      <c r="V795" s="156"/>
      <c r="W795" s="154"/>
      <c r="X795" s="100"/>
      <c r="Y795" s="357"/>
      <c r="Z795" s="100"/>
      <c r="AA795" s="100"/>
      <c r="AB795" s="100"/>
      <c r="AC795" s="357"/>
      <c r="AD795" s="367"/>
      <c r="AE795" s="368"/>
      <c r="AF795" s="98"/>
      <c r="AG795" s="357"/>
      <c r="AH795" s="156"/>
      <c r="AI795" s="305"/>
      <c r="AJ795" s="366"/>
      <c r="AK795" s="357"/>
      <c r="AL795" s="371"/>
      <c r="AM795" s="371"/>
      <c r="AN795" s="371"/>
      <c r="AO795" s="357"/>
      <c r="AP795" s="100"/>
      <c r="AQ795" s="100"/>
      <c r="AR795" s="100"/>
      <c r="AS795" s="357"/>
      <c r="AT795" s="100"/>
      <c r="AU795" s="100"/>
      <c r="AV795" s="100"/>
    </row>
    <row r="796">
      <c r="A796" s="357"/>
      <c r="B796" s="156"/>
      <c r="C796" s="154"/>
      <c r="D796" s="100"/>
      <c r="E796" s="357"/>
      <c r="F796" s="156"/>
      <c r="G796" s="154"/>
      <c r="H796" s="100"/>
      <c r="I796" s="357"/>
      <c r="J796" s="156"/>
      <c r="K796" s="154"/>
      <c r="L796" s="100"/>
      <c r="M796" s="357"/>
      <c r="N796" s="156"/>
      <c r="O796" s="154"/>
      <c r="P796" s="100"/>
      <c r="Q796" s="357"/>
      <c r="R796" s="156"/>
      <c r="S796" s="154"/>
      <c r="T796" s="100"/>
      <c r="U796" s="357"/>
      <c r="V796" s="156"/>
      <c r="W796" s="154"/>
      <c r="X796" s="100"/>
      <c r="Y796" s="357"/>
      <c r="Z796" s="100"/>
      <c r="AA796" s="100"/>
      <c r="AB796" s="100"/>
      <c r="AC796" s="357"/>
      <c r="AD796" s="367"/>
      <c r="AE796" s="368"/>
      <c r="AF796" s="98"/>
      <c r="AG796" s="357"/>
      <c r="AH796" s="156"/>
      <c r="AI796" s="305"/>
      <c r="AJ796" s="366"/>
      <c r="AK796" s="357"/>
      <c r="AL796" s="371"/>
      <c r="AM796" s="371"/>
      <c r="AN796" s="371"/>
      <c r="AO796" s="357"/>
      <c r="AP796" s="100"/>
      <c r="AQ796" s="100"/>
      <c r="AR796" s="100"/>
      <c r="AS796" s="357"/>
      <c r="AT796" s="100"/>
      <c r="AU796" s="100"/>
      <c r="AV796" s="100"/>
    </row>
    <row r="797">
      <c r="A797" s="357"/>
      <c r="B797" s="156"/>
      <c r="C797" s="154"/>
      <c r="D797" s="100"/>
      <c r="E797" s="357"/>
      <c r="F797" s="156"/>
      <c r="G797" s="154"/>
      <c r="H797" s="100"/>
      <c r="I797" s="357"/>
      <c r="J797" s="156"/>
      <c r="K797" s="154"/>
      <c r="L797" s="100"/>
      <c r="M797" s="357"/>
      <c r="N797" s="156"/>
      <c r="O797" s="154"/>
      <c r="P797" s="100"/>
      <c r="Q797" s="357"/>
      <c r="R797" s="156"/>
      <c r="S797" s="154"/>
      <c r="T797" s="100"/>
      <c r="U797" s="357"/>
      <c r="V797" s="156"/>
      <c r="W797" s="154"/>
      <c r="X797" s="100"/>
      <c r="Y797" s="357"/>
      <c r="Z797" s="100"/>
      <c r="AA797" s="100"/>
      <c r="AB797" s="100"/>
      <c r="AC797" s="357"/>
      <c r="AD797" s="367"/>
      <c r="AE797" s="368"/>
      <c r="AF797" s="98"/>
      <c r="AG797" s="357"/>
      <c r="AH797" s="156"/>
      <c r="AI797" s="305"/>
      <c r="AJ797" s="366"/>
      <c r="AK797" s="357"/>
      <c r="AL797" s="371"/>
      <c r="AM797" s="371"/>
      <c r="AN797" s="371"/>
      <c r="AO797" s="357"/>
      <c r="AP797" s="100"/>
      <c r="AQ797" s="100"/>
      <c r="AR797" s="100"/>
      <c r="AS797" s="357"/>
      <c r="AT797" s="100"/>
      <c r="AU797" s="100"/>
      <c r="AV797" s="100"/>
    </row>
    <row r="798">
      <c r="A798" s="357"/>
      <c r="B798" s="156"/>
      <c r="C798" s="154"/>
      <c r="D798" s="100"/>
      <c r="E798" s="357"/>
      <c r="F798" s="156"/>
      <c r="G798" s="154"/>
      <c r="H798" s="100"/>
      <c r="I798" s="357"/>
      <c r="J798" s="156"/>
      <c r="K798" s="154"/>
      <c r="L798" s="100"/>
      <c r="M798" s="357"/>
      <c r="N798" s="156"/>
      <c r="O798" s="154"/>
      <c r="P798" s="100"/>
      <c r="Q798" s="357"/>
      <c r="R798" s="156"/>
      <c r="S798" s="154"/>
      <c r="T798" s="100"/>
      <c r="U798" s="357"/>
      <c r="V798" s="156"/>
      <c r="W798" s="154"/>
      <c r="X798" s="100"/>
      <c r="Y798" s="357"/>
      <c r="Z798" s="100"/>
      <c r="AA798" s="100"/>
      <c r="AB798" s="100"/>
      <c r="AC798" s="357"/>
      <c r="AD798" s="367"/>
      <c r="AE798" s="368"/>
      <c r="AF798" s="98"/>
      <c r="AG798" s="357"/>
      <c r="AH798" s="156"/>
      <c r="AI798" s="305"/>
      <c r="AJ798" s="366"/>
      <c r="AK798" s="357"/>
      <c r="AL798" s="371"/>
      <c r="AM798" s="371"/>
      <c r="AN798" s="371"/>
      <c r="AO798" s="357"/>
      <c r="AP798" s="100"/>
      <c r="AQ798" s="100"/>
      <c r="AR798" s="100"/>
      <c r="AS798" s="357"/>
      <c r="AT798" s="100"/>
      <c r="AU798" s="100"/>
      <c r="AV798" s="100"/>
    </row>
    <row r="799">
      <c r="A799" s="357"/>
      <c r="B799" s="156"/>
      <c r="C799" s="154"/>
      <c r="D799" s="100"/>
      <c r="E799" s="357"/>
      <c r="F799" s="156"/>
      <c r="G799" s="154"/>
      <c r="H799" s="100"/>
      <c r="I799" s="357"/>
      <c r="J799" s="156"/>
      <c r="K799" s="154"/>
      <c r="L799" s="100"/>
      <c r="M799" s="357"/>
      <c r="N799" s="156"/>
      <c r="O799" s="154"/>
      <c r="P799" s="100"/>
      <c r="Q799" s="357"/>
      <c r="R799" s="156"/>
      <c r="S799" s="154"/>
      <c r="T799" s="100"/>
      <c r="U799" s="357"/>
      <c r="V799" s="156"/>
      <c r="W799" s="154"/>
      <c r="X799" s="100"/>
      <c r="Y799" s="357"/>
      <c r="Z799" s="100"/>
      <c r="AA799" s="100"/>
      <c r="AB799" s="100"/>
      <c r="AC799" s="357"/>
      <c r="AD799" s="367"/>
      <c r="AE799" s="368"/>
      <c r="AF799" s="98"/>
      <c r="AG799" s="357"/>
      <c r="AH799" s="156"/>
      <c r="AI799" s="305"/>
      <c r="AJ799" s="366"/>
      <c r="AK799" s="357"/>
      <c r="AL799" s="371"/>
      <c r="AM799" s="371"/>
      <c r="AN799" s="371"/>
      <c r="AO799" s="357"/>
      <c r="AP799" s="100"/>
      <c r="AQ799" s="100"/>
      <c r="AR799" s="100"/>
      <c r="AS799" s="357"/>
      <c r="AT799" s="100"/>
      <c r="AU799" s="100"/>
      <c r="AV799" s="100"/>
    </row>
    <row r="800">
      <c r="A800" s="357"/>
      <c r="B800" s="156"/>
      <c r="C800" s="154"/>
      <c r="D800" s="100"/>
      <c r="E800" s="357"/>
      <c r="F800" s="156"/>
      <c r="G800" s="154"/>
      <c r="H800" s="100"/>
      <c r="I800" s="357"/>
      <c r="J800" s="156"/>
      <c r="K800" s="154"/>
      <c r="L800" s="100"/>
      <c r="M800" s="357"/>
      <c r="N800" s="156"/>
      <c r="O800" s="154"/>
      <c r="P800" s="100"/>
      <c r="Q800" s="357"/>
      <c r="R800" s="156"/>
      <c r="S800" s="154"/>
      <c r="T800" s="100"/>
      <c r="U800" s="357"/>
      <c r="V800" s="156"/>
      <c r="W800" s="154"/>
      <c r="X800" s="100"/>
      <c r="Y800" s="357"/>
      <c r="Z800" s="100"/>
      <c r="AA800" s="100"/>
      <c r="AB800" s="100"/>
      <c r="AC800" s="357"/>
      <c r="AD800" s="367"/>
      <c r="AE800" s="368"/>
      <c r="AF800" s="98"/>
      <c r="AG800" s="357"/>
      <c r="AH800" s="156"/>
      <c r="AI800" s="305"/>
      <c r="AJ800" s="366"/>
      <c r="AK800" s="357"/>
      <c r="AL800" s="371"/>
      <c r="AM800" s="371"/>
      <c r="AN800" s="371"/>
      <c r="AO800" s="357"/>
      <c r="AP800" s="100"/>
      <c r="AQ800" s="100"/>
      <c r="AR800" s="100"/>
      <c r="AS800" s="357"/>
      <c r="AT800" s="100"/>
      <c r="AU800" s="100"/>
      <c r="AV800" s="100"/>
    </row>
    <row r="801">
      <c r="A801" s="357"/>
      <c r="B801" s="156"/>
      <c r="C801" s="154"/>
      <c r="D801" s="100"/>
      <c r="E801" s="357"/>
      <c r="F801" s="156"/>
      <c r="G801" s="154"/>
      <c r="H801" s="100"/>
      <c r="I801" s="357"/>
      <c r="J801" s="156"/>
      <c r="K801" s="154"/>
      <c r="L801" s="100"/>
      <c r="M801" s="357"/>
      <c r="N801" s="156"/>
      <c r="O801" s="154"/>
      <c r="P801" s="100"/>
      <c r="Q801" s="357"/>
      <c r="R801" s="156"/>
      <c r="S801" s="154"/>
      <c r="T801" s="100"/>
      <c r="U801" s="357"/>
      <c r="V801" s="156"/>
      <c r="W801" s="154"/>
      <c r="X801" s="100"/>
      <c r="Y801" s="357"/>
      <c r="Z801" s="100"/>
      <c r="AA801" s="100"/>
      <c r="AB801" s="100"/>
      <c r="AC801" s="357"/>
      <c r="AD801" s="367"/>
      <c r="AE801" s="368"/>
      <c r="AF801" s="98"/>
      <c r="AG801" s="357"/>
      <c r="AH801" s="156"/>
      <c r="AI801" s="305"/>
      <c r="AJ801" s="366"/>
      <c r="AK801" s="357"/>
      <c r="AL801" s="371"/>
      <c r="AM801" s="371"/>
      <c r="AN801" s="371"/>
      <c r="AO801" s="357"/>
      <c r="AP801" s="100"/>
      <c r="AQ801" s="100"/>
      <c r="AR801" s="100"/>
      <c r="AS801" s="357"/>
      <c r="AT801" s="100"/>
      <c r="AU801" s="100"/>
      <c r="AV801" s="100"/>
    </row>
    <row r="802">
      <c r="A802" s="357"/>
      <c r="B802" s="156"/>
      <c r="C802" s="154"/>
      <c r="D802" s="100"/>
      <c r="E802" s="357"/>
      <c r="F802" s="156"/>
      <c r="G802" s="154"/>
      <c r="H802" s="100"/>
      <c r="I802" s="357"/>
      <c r="J802" s="156"/>
      <c r="K802" s="154"/>
      <c r="L802" s="100"/>
      <c r="M802" s="357"/>
      <c r="N802" s="156"/>
      <c r="O802" s="154"/>
      <c r="P802" s="100"/>
      <c r="Q802" s="357"/>
      <c r="R802" s="156"/>
      <c r="S802" s="154"/>
      <c r="T802" s="100"/>
      <c r="U802" s="357"/>
      <c r="V802" s="156"/>
      <c r="W802" s="154"/>
      <c r="X802" s="100"/>
      <c r="Y802" s="357"/>
      <c r="Z802" s="100"/>
      <c r="AA802" s="100"/>
      <c r="AB802" s="100"/>
      <c r="AC802" s="357"/>
      <c r="AD802" s="367"/>
      <c r="AE802" s="368"/>
      <c r="AF802" s="98"/>
      <c r="AG802" s="357"/>
      <c r="AH802" s="156"/>
      <c r="AI802" s="305"/>
      <c r="AJ802" s="366"/>
      <c r="AK802" s="357"/>
      <c r="AL802" s="371"/>
      <c r="AM802" s="371"/>
      <c r="AN802" s="371"/>
      <c r="AO802" s="357"/>
      <c r="AP802" s="100"/>
      <c r="AQ802" s="100"/>
      <c r="AR802" s="100"/>
      <c r="AS802" s="357"/>
      <c r="AT802" s="100"/>
      <c r="AU802" s="100"/>
      <c r="AV802" s="100"/>
    </row>
    <row r="803">
      <c r="A803" s="357"/>
      <c r="B803" s="156"/>
      <c r="C803" s="154"/>
      <c r="D803" s="100"/>
      <c r="E803" s="357"/>
      <c r="F803" s="156"/>
      <c r="G803" s="154"/>
      <c r="H803" s="100"/>
      <c r="I803" s="357"/>
      <c r="J803" s="156"/>
      <c r="K803" s="154"/>
      <c r="L803" s="100"/>
      <c r="M803" s="357"/>
      <c r="N803" s="156"/>
      <c r="O803" s="154"/>
      <c r="P803" s="100"/>
      <c r="Q803" s="357"/>
      <c r="R803" s="156"/>
      <c r="S803" s="154"/>
      <c r="T803" s="100"/>
      <c r="U803" s="357"/>
      <c r="V803" s="156"/>
      <c r="W803" s="154"/>
      <c r="X803" s="100"/>
      <c r="Y803" s="357"/>
      <c r="Z803" s="100"/>
      <c r="AA803" s="100"/>
      <c r="AB803" s="100"/>
      <c r="AC803" s="357"/>
      <c r="AD803" s="367"/>
      <c r="AE803" s="368"/>
      <c r="AF803" s="98"/>
      <c r="AG803" s="357"/>
      <c r="AH803" s="156"/>
      <c r="AI803" s="305"/>
      <c r="AJ803" s="366"/>
      <c r="AK803" s="357"/>
      <c r="AL803" s="371"/>
      <c r="AM803" s="371"/>
      <c r="AN803" s="371"/>
      <c r="AO803" s="357"/>
      <c r="AP803" s="100"/>
      <c r="AQ803" s="100"/>
      <c r="AR803" s="100"/>
      <c r="AS803" s="357"/>
      <c r="AT803" s="100"/>
      <c r="AU803" s="100"/>
      <c r="AV803" s="100"/>
    </row>
    <row r="804">
      <c r="A804" s="357"/>
      <c r="B804" s="156"/>
      <c r="C804" s="154"/>
      <c r="D804" s="100"/>
      <c r="E804" s="357"/>
      <c r="F804" s="156"/>
      <c r="G804" s="154"/>
      <c r="H804" s="100"/>
      <c r="I804" s="357"/>
      <c r="J804" s="156"/>
      <c r="K804" s="154"/>
      <c r="L804" s="100"/>
      <c r="M804" s="357"/>
      <c r="N804" s="156"/>
      <c r="O804" s="154"/>
      <c r="P804" s="100"/>
      <c r="Q804" s="357"/>
      <c r="R804" s="156"/>
      <c r="S804" s="154"/>
      <c r="T804" s="100"/>
      <c r="U804" s="357"/>
      <c r="V804" s="156"/>
      <c r="W804" s="154"/>
      <c r="X804" s="100"/>
      <c r="Y804" s="357"/>
      <c r="Z804" s="100"/>
      <c r="AA804" s="100"/>
      <c r="AB804" s="100"/>
      <c r="AC804" s="357"/>
      <c r="AD804" s="367"/>
      <c r="AE804" s="368"/>
      <c r="AF804" s="98"/>
      <c r="AG804" s="357"/>
      <c r="AH804" s="156"/>
      <c r="AI804" s="305"/>
      <c r="AJ804" s="366"/>
      <c r="AK804" s="357"/>
      <c r="AL804" s="371"/>
      <c r="AM804" s="371"/>
      <c r="AN804" s="371"/>
      <c r="AO804" s="357"/>
      <c r="AP804" s="100"/>
      <c r="AQ804" s="100"/>
      <c r="AR804" s="100"/>
      <c r="AS804" s="357"/>
      <c r="AT804" s="100"/>
      <c r="AU804" s="100"/>
      <c r="AV804" s="100"/>
    </row>
    <row r="805">
      <c r="A805" s="357"/>
      <c r="B805" s="156"/>
      <c r="C805" s="154"/>
      <c r="D805" s="100"/>
      <c r="E805" s="357"/>
      <c r="F805" s="156"/>
      <c r="G805" s="154"/>
      <c r="H805" s="100"/>
      <c r="I805" s="357"/>
      <c r="J805" s="156"/>
      <c r="K805" s="154"/>
      <c r="L805" s="100"/>
      <c r="M805" s="357"/>
      <c r="N805" s="156"/>
      <c r="O805" s="154"/>
      <c r="P805" s="100"/>
      <c r="Q805" s="357"/>
      <c r="R805" s="156"/>
      <c r="S805" s="154"/>
      <c r="T805" s="100"/>
      <c r="U805" s="357"/>
      <c r="V805" s="156"/>
      <c r="W805" s="154"/>
      <c r="X805" s="100"/>
      <c r="Y805" s="357"/>
      <c r="Z805" s="100"/>
      <c r="AA805" s="100"/>
      <c r="AB805" s="100"/>
      <c r="AC805" s="357"/>
      <c r="AD805" s="367"/>
      <c r="AE805" s="368"/>
      <c r="AF805" s="98"/>
      <c r="AG805" s="357"/>
      <c r="AH805" s="156"/>
      <c r="AI805" s="305"/>
      <c r="AJ805" s="366"/>
      <c r="AK805" s="357"/>
      <c r="AL805" s="371"/>
      <c r="AM805" s="371"/>
      <c r="AN805" s="371"/>
      <c r="AO805" s="357"/>
      <c r="AP805" s="100"/>
      <c r="AQ805" s="100"/>
      <c r="AR805" s="100"/>
      <c r="AS805" s="357"/>
      <c r="AT805" s="100"/>
      <c r="AU805" s="100"/>
      <c r="AV805" s="100"/>
    </row>
    <row r="806">
      <c r="A806" s="357"/>
      <c r="B806" s="156"/>
      <c r="C806" s="154"/>
      <c r="D806" s="100"/>
      <c r="E806" s="357"/>
      <c r="F806" s="156"/>
      <c r="G806" s="154"/>
      <c r="H806" s="100"/>
      <c r="I806" s="357"/>
      <c r="J806" s="156"/>
      <c r="K806" s="154"/>
      <c r="L806" s="100"/>
      <c r="M806" s="357"/>
      <c r="N806" s="156"/>
      <c r="O806" s="154"/>
      <c r="P806" s="100"/>
      <c r="Q806" s="357"/>
      <c r="R806" s="156"/>
      <c r="S806" s="154"/>
      <c r="T806" s="100"/>
      <c r="U806" s="357"/>
      <c r="V806" s="156"/>
      <c r="W806" s="154"/>
      <c r="X806" s="100"/>
      <c r="Y806" s="357"/>
      <c r="Z806" s="100"/>
      <c r="AA806" s="100"/>
      <c r="AB806" s="100"/>
      <c r="AC806" s="357"/>
      <c r="AD806" s="367"/>
      <c r="AE806" s="368"/>
      <c r="AF806" s="98"/>
      <c r="AG806" s="357"/>
      <c r="AH806" s="156"/>
      <c r="AI806" s="305"/>
      <c r="AJ806" s="366"/>
      <c r="AK806" s="357"/>
      <c r="AL806" s="371"/>
      <c r="AM806" s="371"/>
      <c r="AN806" s="371"/>
      <c r="AO806" s="357"/>
      <c r="AP806" s="100"/>
      <c r="AQ806" s="100"/>
      <c r="AR806" s="100"/>
      <c r="AS806" s="357"/>
      <c r="AT806" s="100"/>
      <c r="AU806" s="100"/>
      <c r="AV806" s="100"/>
    </row>
    <row r="807">
      <c r="A807" s="357"/>
      <c r="B807" s="156"/>
      <c r="C807" s="154"/>
      <c r="D807" s="100"/>
      <c r="E807" s="357"/>
      <c r="F807" s="156"/>
      <c r="G807" s="154"/>
      <c r="H807" s="100"/>
      <c r="I807" s="357"/>
      <c r="J807" s="156"/>
      <c r="K807" s="154"/>
      <c r="L807" s="100"/>
      <c r="M807" s="357"/>
      <c r="N807" s="156"/>
      <c r="O807" s="154"/>
      <c r="P807" s="100"/>
      <c r="Q807" s="357"/>
      <c r="R807" s="156"/>
      <c r="S807" s="154"/>
      <c r="T807" s="100"/>
      <c r="U807" s="357"/>
      <c r="V807" s="156"/>
      <c r="W807" s="154"/>
      <c r="X807" s="100"/>
      <c r="Y807" s="357"/>
      <c r="Z807" s="100"/>
      <c r="AA807" s="100"/>
      <c r="AB807" s="100"/>
      <c r="AC807" s="357"/>
      <c r="AD807" s="367"/>
      <c r="AE807" s="368"/>
      <c r="AF807" s="98"/>
      <c r="AG807" s="357"/>
      <c r="AH807" s="156"/>
      <c r="AI807" s="305"/>
      <c r="AJ807" s="366"/>
      <c r="AK807" s="357"/>
      <c r="AL807" s="371"/>
      <c r="AM807" s="371"/>
      <c r="AN807" s="371"/>
      <c r="AO807" s="357"/>
      <c r="AP807" s="100"/>
      <c r="AQ807" s="100"/>
      <c r="AR807" s="100"/>
      <c r="AS807" s="357"/>
      <c r="AT807" s="100"/>
      <c r="AU807" s="100"/>
      <c r="AV807" s="100"/>
    </row>
    <row r="808">
      <c r="A808" s="357"/>
      <c r="B808" s="156"/>
      <c r="C808" s="154"/>
      <c r="D808" s="100"/>
      <c r="E808" s="357"/>
      <c r="F808" s="156"/>
      <c r="G808" s="154"/>
      <c r="H808" s="100"/>
      <c r="I808" s="357"/>
      <c r="J808" s="156"/>
      <c r="K808" s="154"/>
      <c r="L808" s="100"/>
      <c r="M808" s="357"/>
      <c r="N808" s="156"/>
      <c r="O808" s="154"/>
      <c r="P808" s="100"/>
      <c r="Q808" s="357"/>
      <c r="R808" s="156"/>
      <c r="S808" s="154"/>
      <c r="T808" s="100"/>
      <c r="U808" s="357"/>
      <c r="V808" s="156"/>
      <c r="W808" s="154"/>
      <c r="X808" s="100"/>
      <c r="Y808" s="357"/>
      <c r="Z808" s="100"/>
      <c r="AA808" s="100"/>
      <c r="AB808" s="100"/>
      <c r="AC808" s="357"/>
      <c r="AD808" s="367"/>
      <c r="AE808" s="368"/>
      <c r="AF808" s="98"/>
      <c r="AG808" s="357"/>
      <c r="AH808" s="156"/>
      <c r="AI808" s="305"/>
      <c r="AJ808" s="366"/>
      <c r="AK808" s="357"/>
      <c r="AL808" s="371"/>
      <c r="AM808" s="371"/>
      <c r="AN808" s="371"/>
      <c r="AO808" s="357"/>
      <c r="AP808" s="100"/>
      <c r="AQ808" s="100"/>
      <c r="AR808" s="100"/>
      <c r="AS808" s="357"/>
      <c r="AT808" s="100"/>
      <c r="AU808" s="100"/>
      <c r="AV808" s="100"/>
    </row>
    <row r="809">
      <c r="A809" s="357"/>
      <c r="B809" s="156"/>
      <c r="C809" s="154"/>
      <c r="D809" s="100"/>
      <c r="E809" s="357"/>
      <c r="F809" s="156"/>
      <c r="G809" s="154"/>
      <c r="H809" s="100"/>
      <c r="I809" s="357"/>
      <c r="J809" s="156"/>
      <c r="K809" s="154"/>
      <c r="L809" s="100"/>
      <c r="M809" s="357"/>
      <c r="N809" s="156"/>
      <c r="O809" s="154"/>
      <c r="P809" s="100"/>
      <c r="Q809" s="357"/>
      <c r="R809" s="156"/>
      <c r="S809" s="154"/>
      <c r="T809" s="100"/>
      <c r="U809" s="357"/>
      <c r="V809" s="156"/>
      <c r="W809" s="154"/>
      <c r="X809" s="100"/>
      <c r="Y809" s="357"/>
      <c r="Z809" s="100"/>
      <c r="AA809" s="100"/>
      <c r="AB809" s="100"/>
      <c r="AC809" s="357"/>
      <c r="AD809" s="367"/>
      <c r="AE809" s="368"/>
      <c r="AF809" s="98"/>
      <c r="AG809" s="357"/>
      <c r="AH809" s="156"/>
      <c r="AI809" s="305"/>
      <c r="AJ809" s="366"/>
      <c r="AK809" s="357"/>
      <c r="AL809" s="371"/>
      <c r="AM809" s="371"/>
      <c r="AN809" s="371"/>
      <c r="AO809" s="357"/>
      <c r="AP809" s="100"/>
      <c r="AQ809" s="100"/>
      <c r="AR809" s="100"/>
      <c r="AS809" s="357"/>
      <c r="AT809" s="100"/>
      <c r="AU809" s="100"/>
      <c r="AV809" s="100"/>
    </row>
    <row r="810">
      <c r="A810" s="357"/>
      <c r="B810" s="156"/>
      <c r="C810" s="154"/>
      <c r="D810" s="100"/>
      <c r="E810" s="357"/>
      <c r="F810" s="156"/>
      <c r="G810" s="154"/>
      <c r="H810" s="100"/>
      <c r="I810" s="357"/>
      <c r="J810" s="156"/>
      <c r="K810" s="154"/>
      <c r="L810" s="100"/>
      <c r="M810" s="357"/>
      <c r="N810" s="156"/>
      <c r="O810" s="154"/>
      <c r="P810" s="100"/>
      <c r="Q810" s="357"/>
      <c r="R810" s="156"/>
      <c r="S810" s="154"/>
      <c r="T810" s="100"/>
      <c r="U810" s="357"/>
      <c r="V810" s="156"/>
      <c r="W810" s="154"/>
      <c r="X810" s="100"/>
      <c r="Y810" s="357"/>
      <c r="Z810" s="100"/>
      <c r="AA810" s="100"/>
      <c r="AB810" s="100"/>
      <c r="AC810" s="357"/>
      <c r="AD810" s="367"/>
      <c r="AE810" s="368"/>
      <c r="AF810" s="98"/>
      <c r="AG810" s="357"/>
      <c r="AH810" s="156"/>
      <c r="AI810" s="305"/>
      <c r="AJ810" s="366"/>
      <c r="AK810" s="357"/>
      <c r="AL810" s="371"/>
      <c r="AM810" s="371"/>
      <c r="AN810" s="371"/>
      <c r="AO810" s="357"/>
      <c r="AP810" s="100"/>
      <c r="AQ810" s="100"/>
      <c r="AR810" s="100"/>
      <c r="AS810" s="357"/>
      <c r="AT810" s="100"/>
      <c r="AU810" s="100"/>
      <c r="AV810" s="100"/>
    </row>
    <row r="811">
      <c r="A811" s="357"/>
      <c r="B811" s="156"/>
      <c r="C811" s="154"/>
      <c r="D811" s="100"/>
      <c r="E811" s="357"/>
      <c r="F811" s="156"/>
      <c r="G811" s="154"/>
      <c r="H811" s="100"/>
      <c r="I811" s="357"/>
      <c r="J811" s="156"/>
      <c r="K811" s="154"/>
      <c r="L811" s="100"/>
      <c r="M811" s="357"/>
      <c r="N811" s="156"/>
      <c r="O811" s="154"/>
      <c r="P811" s="100"/>
      <c r="Q811" s="357"/>
      <c r="R811" s="156"/>
      <c r="S811" s="154"/>
      <c r="T811" s="100"/>
      <c r="U811" s="357"/>
      <c r="V811" s="156"/>
      <c r="W811" s="154"/>
      <c r="X811" s="100"/>
      <c r="Y811" s="357"/>
      <c r="Z811" s="100"/>
      <c r="AA811" s="100"/>
      <c r="AB811" s="100"/>
      <c r="AC811" s="357"/>
      <c r="AD811" s="367"/>
      <c r="AE811" s="368"/>
      <c r="AF811" s="98"/>
      <c r="AG811" s="357"/>
      <c r="AH811" s="156"/>
      <c r="AI811" s="305"/>
      <c r="AJ811" s="366"/>
      <c r="AK811" s="357"/>
      <c r="AL811" s="371"/>
      <c r="AM811" s="371"/>
      <c r="AN811" s="371"/>
      <c r="AO811" s="357"/>
      <c r="AP811" s="100"/>
      <c r="AQ811" s="100"/>
      <c r="AR811" s="100"/>
      <c r="AS811" s="357"/>
      <c r="AT811" s="100"/>
      <c r="AU811" s="100"/>
      <c r="AV811" s="100"/>
    </row>
    <row r="812">
      <c r="A812" s="357"/>
      <c r="B812" s="156"/>
      <c r="C812" s="154"/>
      <c r="D812" s="100"/>
      <c r="E812" s="357"/>
      <c r="F812" s="156"/>
      <c r="G812" s="154"/>
      <c r="H812" s="100"/>
      <c r="I812" s="357"/>
      <c r="J812" s="156"/>
      <c r="K812" s="154"/>
      <c r="L812" s="100"/>
      <c r="M812" s="357"/>
      <c r="N812" s="156"/>
      <c r="O812" s="154"/>
      <c r="P812" s="100"/>
      <c r="Q812" s="357"/>
      <c r="R812" s="156"/>
      <c r="S812" s="154"/>
      <c r="T812" s="100"/>
      <c r="U812" s="357"/>
      <c r="V812" s="156"/>
      <c r="W812" s="154"/>
      <c r="X812" s="100"/>
      <c r="Y812" s="357"/>
      <c r="Z812" s="100"/>
      <c r="AA812" s="100"/>
      <c r="AB812" s="100"/>
      <c r="AC812" s="357"/>
      <c r="AD812" s="367"/>
      <c r="AE812" s="368"/>
      <c r="AF812" s="98"/>
      <c r="AG812" s="357"/>
      <c r="AH812" s="156"/>
      <c r="AI812" s="305"/>
      <c r="AJ812" s="366"/>
      <c r="AK812" s="357"/>
      <c r="AL812" s="371"/>
      <c r="AM812" s="371"/>
      <c r="AN812" s="371"/>
      <c r="AO812" s="357"/>
      <c r="AP812" s="100"/>
      <c r="AQ812" s="100"/>
      <c r="AR812" s="100"/>
      <c r="AS812" s="357"/>
      <c r="AT812" s="100"/>
      <c r="AU812" s="100"/>
      <c r="AV812" s="100"/>
    </row>
    <row r="813">
      <c r="A813" s="357"/>
      <c r="B813" s="156"/>
      <c r="C813" s="154"/>
      <c r="D813" s="100"/>
      <c r="E813" s="357"/>
      <c r="F813" s="156"/>
      <c r="G813" s="154"/>
      <c r="H813" s="100"/>
      <c r="I813" s="357"/>
      <c r="J813" s="156"/>
      <c r="K813" s="154"/>
      <c r="L813" s="100"/>
      <c r="M813" s="357"/>
      <c r="N813" s="156"/>
      <c r="O813" s="154"/>
      <c r="P813" s="100"/>
      <c r="Q813" s="357"/>
      <c r="R813" s="156"/>
      <c r="S813" s="154"/>
      <c r="T813" s="100"/>
      <c r="U813" s="357"/>
      <c r="V813" s="156"/>
      <c r="W813" s="154"/>
      <c r="X813" s="100"/>
      <c r="Y813" s="357"/>
      <c r="Z813" s="100"/>
      <c r="AA813" s="100"/>
      <c r="AB813" s="100"/>
      <c r="AC813" s="357"/>
      <c r="AD813" s="367"/>
      <c r="AE813" s="368"/>
      <c r="AF813" s="98"/>
      <c r="AG813" s="357"/>
      <c r="AH813" s="156"/>
      <c r="AI813" s="305"/>
      <c r="AJ813" s="366"/>
      <c r="AK813" s="357"/>
      <c r="AL813" s="371"/>
      <c r="AM813" s="371"/>
      <c r="AN813" s="371"/>
      <c r="AO813" s="357"/>
      <c r="AP813" s="100"/>
      <c r="AQ813" s="100"/>
      <c r="AR813" s="100"/>
      <c r="AS813" s="357"/>
      <c r="AT813" s="100"/>
      <c r="AU813" s="100"/>
      <c r="AV813" s="100"/>
    </row>
    <row r="814">
      <c r="A814" s="357"/>
      <c r="B814" s="156"/>
      <c r="C814" s="154"/>
      <c r="D814" s="100"/>
      <c r="E814" s="357"/>
      <c r="F814" s="156"/>
      <c r="G814" s="154"/>
      <c r="H814" s="100"/>
      <c r="I814" s="357"/>
      <c r="J814" s="156"/>
      <c r="K814" s="154"/>
      <c r="L814" s="100"/>
      <c r="M814" s="357"/>
      <c r="N814" s="156"/>
      <c r="O814" s="154"/>
      <c r="P814" s="100"/>
      <c r="Q814" s="357"/>
      <c r="R814" s="156"/>
      <c r="S814" s="154"/>
      <c r="T814" s="100"/>
      <c r="U814" s="357"/>
      <c r="V814" s="156"/>
      <c r="W814" s="154"/>
      <c r="X814" s="100"/>
      <c r="Y814" s="357"/>
      <c r="Z814" s="100"/>
      <c r="AA814" s="100"/>
      <c r="AB814" s="100"/>
      <c r="AC814" s="357"/>
      <c r="AD814" s="367"/>
      <c r="AE814" s="368"/>
      <c r="AF814" s="98"/>
      <c r="AG814" s="357"/>
      <c r="AH814" s="156"/>
      <c r="AI814" s="305"/>
      <c r="AJ814" s="366"/>
      <c r="AK814" s="357"/>
      <c r="AL814" s="371"/>
      <c r="AM814" s="371"/>
      <c r="AN814" s="371"/>
      <c r="AO814" s="357"/>
      <c r="AP814" s="100"/>
      <c r="AQ814" s="100"/>
      <c r="AR814" s="100"/>
      <c r="AS814" s="357"/>
      <c r="AT814" s="100"/>
      <c r="AU814" s="100"/>
      <c r="AV814" s="100"/>
    </row>
    <row r="815">
      <c r="A815" s="357"/>
      <c r="B815" s="156"/>
      <c r="C815" s="154"/>
      <c r="D815" s="100"/>
      <c r="E815" s="357"/>
      <c r="F815" s="156"/>
      <c r="G815" s="154"/>
      <c r="H815" s="100"/>
      <c r="I815" s="357"/>
      <c r="J815" s="156"/>
      <c r="K815" s="154"/>
      <c r="L815" s="100"/>
      <c r="M815" s="357"/>
      <c r="N815" s="156"/>
      <c r="O815" s="154"/>
      <c r="P815" s="100"/>
      <c r="Q815" s="357"/>
      <c r="R815" s="156"/>
      <c r="S815" s="154"/>
      <c r="T815" s="100"/>
      <c r="U815" s="357"/>
      <c r="V815" s="156"/>
      <c r="W815" s="154"/>
      <c r="X815" s="100"/>
      <c r="Y815" s="357"/>
      <c r="Z815" s="100"/>
      <c r="AA815" s="100"/>
      <c r="AB815" s="100"/>
      <c r="AC815" s="357"/>
      <c r="AD815" s="367"/>
      <c r="AE815" s="368"/>
      <c r="AF815" s="98"/>
      <c r="AG815" s="357"/>
      <c r="AH815" s="156"/>
      <c r="AI815" s="305"/>
      <c r="AJ815" s="366"/>
      <c r="AK815" s="357"/>
      <c r="AL815" s="371"/>
      <c r="AM815" s="371"/>
      <c r="AN815" s="371"/>
      <c r="AO815" s="357"/>
      <c r="AP815" s="100"/>
      <c r="AQ815" s="100"/>
      <c r="AR815" s="100"/>
      <c r="AS815" s="357"/>
      <c r="AT815" s="100"/>
      <c r="AU815" s="100"/>
      <c r="AV815" s="100"/>
    </row>
    <row r="816">
      <c r="A816" s="357"/>
      <c r="B816" s="156"/>
      <c r="C816" s="154"/>
      <c r="D816" s="100"/>
      <c r="E816" s="357"/>
      <c r="F816" s="156"/>
      <c r="G816" s="154"/>
      <c r="H816" s="100"/>
      <c r="I816" s="357"/>
      <c r="J816" s="156"/>
      <c r="K816" s="154"/>
      <c r="L816" s="100"/>
      <c r="M816" s="357"/>
      <c r="N816" s="156"/>
      <c r="O816" s="154"/>
      <c r="P816" s="100"/>
      <c r="Q816" s="357"/>
      <c r="R816" s="156"/>
      <c r="S816" s="154"/>
      <c r="T816" s="100"/>
      <c r="U816" s="357"/>
      <c r="V816" s="156"/>
      <c r="W816" s="154"/>
      <c r="X816" s="100"/>
      <c r="Y816" s="357"/>
      <c r="Z816" s="100"/>
      <c r="AA816" s="100"/>
      <c r="AB816" s="100"/>
      <c r="AC816" s="357"/>
      <c r="AD816" s="367"/>
      <c r="AE816" s="368"/>
      <c r="AF816" s="98"/>
      <c r="AG816" s="357"/>
      <c r="AH816" s="156"/>
      <c r="AI816" s="305"/>
      <c r="AJ816" s="366"/>
      <c r="AK816" s="357"/>
      <c r="AL816" s="371"/>
      <c r="AM816" s="371"/>
      <c r="AN816" s="371"/>
      <c r="AO816" s="357"/>
      <c r="AP816" s="100"/>
      <c r="AQ816" s="100"/>
      <c r="AR816" s="100"/>
      <c r="AS816" s="357"/>
      <c r="AT816" s="100"/>
      <c r="AU816" s="100"/>
      <c r="AV816" s="100"/>
    </row>
    <row r="817">
      <c r="A817" s="357"/>
      <c r="B817" s="156"/>
      <c r="C817" s="154"/>
      <c r="D817" s="100"/>
      <c r="E817" s="357"/>
      <c r="F817" s="156"/>
      <c r="G817" s="154"/>
      <c r="H817" s="100"/>
      <c r="I817" s="357"/>
      <c r="J817" s="156"/>
      <c r="K817" s="154"/>
      <c r="L817" s="100"/>
      <c r="M817" s="357"/>
      <c r="N817" s="156"/>
      <c r="O817" s="154"/>
      <c r="P817" s="100"/>
      <c r="Q817" s="357"/>
      <c r="R817" s="156"/>
      <c r="S817" s="154"/>
      <c r="T817" s="100"/>
      <c r="U817" s="357"/>
      <c r="V817" s="156"/>
      <c r="W817" s="154"/>
      <c r="X817" s="100"/>
      <c r="Y817" s="357"/>
      <c r="Z817" s="100"/>
      <c r="AA817" s="100"/>
      <c r="AB817" s="100"/>
      <c r="AC817" s="357"/>
      <c r="AD817" s="367"/>
      <c r="AE817" s="368"/>
      <c r="AF817" s="98"/>
      <c r="AG817" s="357"/>
      <c r="AH817" s="156"/>
      <c r="AI817" s="305"/>
      <c r="AJ817" s="366"/>
      <c r="AK817" s="357"/>
      <c r="AL817" s="371"/>
      <c r="AM817" s="371"/>
      <c r="AN817" s="371"/>
      <c r="AO817" s="357"/>
      <c r="AP817" s="100"/>
      <c r="AQ817" s="100"/>
      <c r="AR817" s="100"/>
      <c r="AS817" s="357"/>
      <c r="AT817" s="100"/>
      <c r="AU817" s="100"/>
      <c r="AV817" s="100"/>
    </row>
    <row r="818">
      <c r="A818" s="357"/>
      <c r="B818" s="156"/>
      <c r="C818" s="154"/>
      <c r="D818" s="100"/>
      <c r="E818" s="357"/>
      <c r="F818" s="156"/>
      <c r="G818" s="154"/>
      <c r="H818" s="100"/>
      <c r="I818" s="357"/>
      <c r="J818" s="156"/>
      <c r="K818" s="154"/>
      <c r="L818" s="100"/>
      <c r="M818" s="357"/>
      <c r="N818" s="156"/>
      <c r="O818" s="154"/>
      <c r="P818" s="100"/>
      <c r="Q818" s="357"/>
      <c r="R818" s="156"/>
      <c r="S818" s="154"/>
      <c r="T818" s="100"/>
      <c r="U818" s="357"/>
      <c r="V818" s="156"/>
      <c r="W818" s="154"/>
      <c r="X818" s="100"/>
      <c r="Y818" s="357"/>
      <c r="Z818" s="100"/>
      <c r="AA818" s="100"/>
      <c r="AB818" s="100"/>
      <c r="AC818" s="357"/>
      <c r="AD818" s="367"/>
      <c r="AE818" s="368"/>
      <c r="AF818" s="98"/>
      <c r="AG818" s="357"/>
      <c r="AH818" s="156"/>
      <c r="AI818" s="305"/>
      <c r="AJ818" s="366"/>
      <c r="AK818" s="357"/>
      <c r="AL818" s="371"/>
      <c r="AM818" s="371"/>
      <c r="AN818" s="371"/>
      <c r="AO818" s="357"/>
      <c r="AP818" s="100"/>
      <c r="AQ818" s="100"/>
      <c r="AR818" s="100"/>
      <c r="AS818" s="357"/>
      <c r="AT818" s="100"/>
      <c r="AU818" s="100"/>
      <c r="AV818" s="100"/>
    </row>
    <row r="819">
      <c r="A819" s="357"/>
      <c r="B819" s="156"/>
      <c r="C819" s="154"/>
      <c r="D819" s="100"/>
      <c r="E819" s="357"/>
      <c r="F819" s="156"/>
      <c r="G819" s="154"/>
      <c r="H819" s="100"/>
      <c r="I819" s="357"/>
      <c r="J819" s="156"/>
      <c r="K819" s="154"/>
      <c r="L819" s="100"/>
      <c r="M819" s="357"/>
      <c r="N819" s="156"/>
      <c r="O819" s="154"/>
      <c r="P819" s="100"/>
      <c r="Q819" s="357"/>
      <c r="R819" s="156"/>
      <c r="S819" s="154"/>
      <c r="T819" s="100"/>
      <c r="U819" s="357"/>
      <c r="V819" s="156"/>
      <c r="W819" s="154"/>
      <c r="X819" s="100"/>
      <c r="Y819" s="357"/>
      <c r="Z819" s="100"/>
      <c r="AA819" s="100"/>
      <c r="AB819" s="100"/>
      <c r="AC819" s="357"/>
      <c r="AD819" s="367"/>
      <c r="AE819" s="368"/>
      <c r="AF819" s="98"/>
      <c r="AG819" s="357"/>
      <c r="AH819" s="156"/>
      <c r="AI819" s="305"/>
      <c r="AJ819" s="366"/>
      <c r="AK819" s="357"/>
      <c r="AL819" s="371"/>
      <c r="AM819" s="371"/>
      <c r="AN819" s="371"/>
      <c r="AO819" s="357"/>
      <c r="AP819" s="100"/>
      <c r="AQ819" s="100"/>
      <c r="AR819" s="100"/>
      <c r="AS819" s="357"/>
      <c r="AT819" s="100"/>
      <c r="AU819" s="100"/>
      <c r="AV819" s="100"/>
    </row>
    <row r="820">
      <c r="A820" s="357"/>
      <c r="B820" s="156"/>
      <c r="C820" s="154"/>
      <c r="D820" s="100"/>
      <c r="E820" s="357"/>
      <c r="F820" s="156"/>
      <c r="G820" s="154"/>
      <c r="H820" s="100"/>
      <c r="I820" s="357"/>
      <c r="J820" s="156"/>
      <c r="K820" s="154"/>
      <c r="L820" s="100"/>
      <c r="M820" s="357"/>
      <c r="N820" s="156"/>
      <c r="O820" s="154"/>
      <c r="P820" s="100"/>
      <c r="Q820" s="357"/>
      <c r="R820" s="156"/>
      <c r="S820" s="154"/>
      <c r="T820" s="100"/>
      <c r="U820" s="357"/>
      <c r="V820" s="156"/>
      <c r="W820" s="154"/>
      <c r="X820" s="100"/>
      <c r="Y820" s="357"/>
      <c r="Z820" s="100"/>
      <c r="AA820" s="100"/>
      <c r="AB820" s="100"/>
      <c r="AC820" s="357"/>
      <c r="AD820" s="367"/>
      <c r="AE820" s="368"/>
      <c r="AF820" s="98"/>
      <c r="AG820" s="357"/>
      <c r="AH820" s="156"/>
      <c r="AI820" s="305"/>
      <c r="AJ820" s="366"/>
      <c r="AK820" s="357"/>
      <c r="AL820" s="371"/>
      <c r="AM820" s="371"/>
      <c r="AN820" s="371"/>
      <c r="AO820" s="357"/>
      <c r="AP820" s="100"/>
      <c r="AQ820" s="100"/>
      <c r="AR820" s="100"/>
      <c r="AS820" s="357"/>
      <c r="AT820" s="100"/>
      <c r="AU820" s="100"/>
      <c r="AV820" s="100"/>
    </row>
    <row r="821">
      <c r="A821" s="357"/>
      <c r="B821" s="156"/>
      <c r="C821" s="154"/>
      <c r="D821" s="100"/>
      <c r="E821" s="357"/>
      <c r="F821" s="156"/>
      <c r="G821" s="154"/>
      <c r="H821" s="100"/>
      <c r="I821" s="357"/>
      <c r="J821" s="156"/>
      <c r="K821" s="154"/>
      <c r="L821" s="100"/>
      <c r="M821" s="357"/>
      <c r="N821" s="156"/>
      <c r="O821" s="154"/>
      <c r="P821" s="100"/>
      <c r="Q821" s="357"/>
      <c r="R821" s="156"/>
      <c r="S821" s="154"/>
      <c r="T821" s="100"/>
      <c r="U821" s="357"/>
      <c r="V821" s="156"/>
      <c r="W821" s="154"/>
      <c r="X821" s="100"/>
      <c r="Y821" s="357"/>
      <c r="Z821" s="100"/>
      <c r="AA821" s="100"/>
      <c r="AB821" s="100"/>
      <c r="AC821" s="357"/>
      <c r="AD821" s="367"/>
      <c r="AE821" s="368"/>
      <c r="AF821" s="98"/>
      <c r="AG821" s="357"/>
      <c r="AH821" s="156"/>
      <c r="AI821" s="305"/>
      <c r="AJ821" s="366"/>
      <c r="AK821" s="357"/>
      <c r="AL821" s="371"/>
      <c r="AM821" s="371"/>
      <c r="AN821" s="371"/>
      <c r="AO821" s="357"/>
      <c r="AP821" s="100"/>
      <c r="AQ821" s="100"/>
      <c r="AR821" s="100"/>
      <c r="AS821" s="357"/>
      <c r="AT821" s="100"/>
      <c r="AU821" s="100"/>
      <c r="AV821" s="100"/>
    </row>
    <row r="822">
      <c r="A822" s="357"/>
      <c r="B822" s="156"/>
      <c r="C822" s="154"/>
      <c r="D822" s="100"/>
      <c r="E822" s="357"/>
      <c r="F822" s="156"/>
      <c r="G822" s="154"/>
      <c r="H822" s="100"/>
      <c r="I822" s="357"/>
      <c r="J822" s="156"/>
      <c r="K822" s="154"/>
      <c r="L822" s="100"/>
      <c r="M822" s="357"/>
      <c r="N822" s="156"/>
      <c r="O822" s="154"/>
      <c r="P822" s="100"/>
      <c r="Q822" s="357"/>
      <c r="R822" s="156"/>
      <c r="S822" s="154"/>
      <c r="T822" s="100"/>
      <c r="U822" s="357"/>
      <c r="V822" s="156"/>
      <c r="W822" s="154"/>
      <c r="X822" s="100"/>
      <c r="Y822" s="357"/>
      <c r="Z822" s="100"/>
      <c r="AA822" s="100"/>
      <c r="AB822" s="100"/>
      <c r="AC822" s="357"/>
      <c r="AD822" s="367"/>
      <c r="AE822" s="368"/>
      <c r="AF822" s="98"/>
      <c r="AG822" s="357"/>
      <c r="AH822" s="156"/>
      <c r="AI822" s="305"/>
      <c r="AJ822" s="366"/>
      <c r="AK822" s="357"/>
      <c r="AL822" s="371"/>
      <c r="AM822" s="371"/>
      <c r="AN822" s="371"/>
      <c r="AO822" s="357"/>
      <c r="AP822" s="100"/>
      <c r="AQ822" s="100"/>
      <c r="AR822" s="100"/>
      <c r="AS822" s="357"/>
      <c r="AT822" s="100"/>
      <c r="AU822" s="100"/>
      <c r="AV822" s="100"/>
    </row>
    <row r="823">
      <c r="A823" s="357"/>
      <c r="B823" s="156"/>
      <c r="C823" s="154"/>
      <c r="D823" s="100"/>
      <c r="E823" s="357"/>
      <c r="F823" s="156"/>
      <c r="G823" s="154"/>
      <c r="H823" s="100"/>
      <c r="I823" s="357"/>
      <c r="J823" s="156"/>
      <c r="K823" s="154"/>
      <c r="L823" s="100"/>
      <c r="M823" s="357"/>
      <c r="N823" s="156"/>
      <c r="O823" s="154"/>
      <c r="P823" s="100"/>
      <c r="Q823" s="357"/>
      <c r="R823" s="156"/>
      <c r="S823" s="154"/>
      <c r="T823" s="100"/>
      <c r="U823" s="357"/>
      <c r="V823" s="156"/>
      <c r="W823" s="154"/>
      <c r="X823" s="100"/>
      <c r="Y823" s="357"/>
      <c r="Z823" s="100"/>
      <c r="AA823" s="100"/>
      <c r="AB823" s="100"/>
      <c r="AC823" s="357"/>
      <c r="AD823" s="367"/>
      <c r="AE823" s="368"/>
      <c r="AF823" s="98"/>
      <c r="AG823" s="357"/>
      <c r="AH823" s="156"/>
      <c r="AI823" s="305"/>
      <c r="AJ823" s="366"/>
      <c r="AK823" s="357"/>
      <c r="AL823" s="371"/>
      <c r="AM823" s="371"/>
      <c r="AN823" s="371"/>
      <c r="AO823" s="357"/>
      <c r="AP823" s="100"/>
      <c r="AQ823" s="100"/>
      <c r="AR823" s="100"/>
      <c r="AS823" s="357"/>
      <c r="AT823" s="100"/>
      <c r="AU823" s="100"/>
      <c r="AV823" s="100"/>
    </row>
    <row r="824">
      <c r="A824" s="357"/>
      <c r="B824" s="156"/>
      <c r="C824" s="154"/>
      <c r="D824" s="100"/>
      <c r="E824" s="357"/>
      <c r="F824" s="156"/>
      <c r="G824" s="154"/>
      <c r="H824" s="100"/>
      <c r="I824" s="357"/>
      <c r="J824" s="156"/>
      <c r="K824" s="154"/>
      <c r="L824" s="100"/>
      <c r="M824" s="357"/>
      <c r="N824" s="156"/>
      <c r="O824" s="154"/>
      <c r="P824" s="100"/>
      <c r="Q824" s="357"/>
      <c r="R824" s="156"/>
      <c r="S824" s="154"/>
      <c r="T824" s="100"/>
      <c r="U824" s="357"/>
      <c r="V824" s="156"/>
      <c r="W824" s="154"/>
      <c r="X824" s="100"/>
      <c r="Y824" s="357"/>
      <c r="Z824" s="100"/>
      <c r="AA824" s="100"/>
      <c r="AB824" s="100"/>
      <c r="AC824" s="357"/>
      <c r="AD824" s="367"/>
      <c r="AE824" s="368"/>
      <c r="AF824" s="98"/>
      <c r="AG824" s="357"/>
      <c r="AH824" s="156"/>
      <c r="AI824" s="305"/>
      <c r="AJ824" s="366"/>
      <c r="AK824" s="357"/>
      <c r="AL824" s="371"/>
      <c r="AM824" s="371"/>
      <c r="AN824" s="371"/>
      <c r="AO824" s="357"/>
      <c r="AP824" s="100"/>
      <c r="AQ824" s="100"/>
      <c r="AR824" s="100"/>
      <c r="AS824" s="357"/>
      <c r="AT824" s="100"/>
      <c r="AU824" s="100"/>
      <c r="AV824" s="100"/>
    </row>
    <row r="825">
      <c r="A825" s="357"/>
      <c r="B825" s="156"/>
      <c r="C825" s="154"/>
      <c r="D825" s="100"/>
      <c r="E825" s="357"/>
      <c r="F825" s="156"/>
      <c r="G825" s="154"/>
      <c r="H825" s="100"/>
      <c r="I825" s="357"/>
      <c r="J825" s="156"/>
      <c r="K825" s="154"/>
      <c r="L825" s="100"/>
      <c r="M825" s="357"/>
      <c r="N825" s="156"/>
      <c r="O825" s="154"/>
      <c r="P825" s="100"/>
      <c r="Q825" s="357"/>
      <c r="R825" s="156"/>
      <c r="S825" s="154"/>
      <c r="T825" s="100"/>
      <c r="U825" s="357"/>
      <c r="V825" s="156"/>
      <c r="W825" s="154"/>
      <c r="X825" s="100"/>
      <c r="Y825" s="357"/>
      <c r="Z825" s="100"/>
      <c r="AA825" s="100"/>
      <c r="AB825" s="100"/>
      <c r="AC825" s="357"/>
      <c r="AD825" s="367"/>
      <c r="AE825" s="368"/>
      <c r="AF825" s="98"/>
      <c r="AG825" s="357"/>
      <c r="AH825" s="156"/>
      <c r="AI825" s="305"/>
      <c r="AJ825" s="366"/>
      <c r="AK825" s="357"/>
      <c r="AL825" s="371"/>
      <c r="AM825" s="371"/>
      <c r="AN825" s="371"/>
      <c r="AO825" s="357"/>
      <c r="AP825" s="100"/>
      <c r="AQ825" s="100"/>
      <c r="AR825" s="100"/>
      <c r="AS825" s="357"/>
      <c r="AT825" s="100"/>
      <c r="AU825" s="100"/>
      <c r="AV825" s="100"/>
    </row>
    <row r="826">
      <c r="A826" s="357"/>
      <c r="B826" s="156"/>
      <c r="C826" s="154"/>
      <c r="D826" s="100"/>
      <c r="E826" s="357"/>
      <c r="F826" s="156"/>
      <c r="G826" s="154"/>
      <c r="H826" s="100"/>
      <c r="I826" s="357"/>
      <c r="J826" s="156"/>
      <c r="K826" s="154"/>
      <c r="L826" s="100"/>
      <c r="M826" s="357"/>
      <c r="N826" s="156"/>
      <c r="O826" s="154"/>
      <c r="P826" s="100"/>
      <c r="Q826" s="357"/>
      <c r="R826" s="156"/>
      <c r="S826" s="154"/>
      <c r="T826" s="100"/>
      <c r="U826" s="357"/>
      <c r="V826" s="156"/>
      <c r="W826" s="154"/>
      <c r="X826" s="100"/>
      <c r="Y826" s="357"/>
      <c r="Z826" s="100"/>
      <c r="AA826" s="100"/>
      <c r="AB826" s="100"/>
      <c r="AC826" s="357"/>
      <c r="AD826" s="367"/>
      <c r="AE826" s="368"/>
      <c r="AF826" s="98"/>
      <c r="AG826" s="357"/>
      <c r="AH826" s="156"/>
      <c r="AI826" s="305"/>
      <c r="AJ826" s="366"/>
      <c r="AK826" s="357"/>
      <c r="AL826" s="371"/>
      <c r="AM826" s="371"/>
      <c r="AN826" s="371"/>
      <c r="AO826" s="357"/>
      <c r="AP826" s="100"/>
      <c r="AQ826" s="100"/>
      <c r="AR826" s="100"/>
      <c r="AS826" s="357"/>
      <c r="AT826" s="100"/>
      <c r="AU826" s="100"/>
      <c r="AV826" s="100"/>
    </row>
    <row r="827">
      <c r="A827" s="357"/>
      <c r="B827" s="156"/>
      <c r="C827" s="154"/>
      <c r="D827" s="100"/>
      <c r="E827" s="357"/>
      <c r="F827" s="156"/>
      <c r="G827" s="154"/>
      <c r="H827" s="100"/>
      <c r="I827" s="357"/>
      <c r="J827" s="156"/>
      <c r="K827" s="154"/>
      <c r="L827" s="100"/>
      <c r="M827" s="357"/>
      <c r="N827" s="156"/>
      <c r="O827" s="154"/>
      <c r="P827" s="100"/>
      <c r="Q827" s="357"/>
      <c r="R827" s="156"/>
      <c r="S827" s="154"/>
      <c r="T827" s="100"/>
      <c r="U827" s="357"/>
      <c r="V827" s="156"/>
      <c r="W827" s="154"/>
      <c r="X827" s="100"/>
      <c r="Y827" s="357"/>
      <c r="Z827" s="100"/>
      <c r="AA827" s="100"/>
      <c r="AB827" s="100"/>
      <c r="AC827" s="357"/>
      <c r="AD827" s="367"/>
      <c r="AE827" s="368"/>
      <c r="AF827" s="98"/>
      <c r="AG827" s="357"/>
      <c r="AH827" s="156"/>
      <c r="AI827" s="305"/>
      <c r="AJ827" s="366"/>
      <c r="AK827" s="357"/>
      <c r="AL827" s="371"/>
      <c r="AM827" s="371"/>
      <c r="AN827" s="371"/>
      <c r="AO827" s="357"/>
      <c r="AP827" s="100"/>
      <c r="AQ827" s="100"/>
      <c r="AR827" s="100"/>
      <c r="AS827" s="357"/>
      <c r="AT827" s="100"/>
      <c r="AU827" s="100"/>
      <c r="AV827" s="100"/>
    </row>
    <row r="828">
      <c r="A828" s="357"/>
      <c r="B828" s="156"/>
      <c r="C828" s="154"/>
      <c r="D828" s="100"/>
      <c r="E828" s="357"/>
      <c r="F828" s="156"/>
      <c r="G828" s="154"/>
      <c r="H828" s="100"/>
      <c r="I828" s="357"/>
      <c r="J828" s="156"/>
      <c r="K828" s="154"/>
      <c r="L828" s="100"/>
      <c r="M828" s="357"/>
      <c r="N828" s="156"/>
      <c r="O828" s="154"/>
      <c r="P828" s="100"/>
      <c r="Q828" s="357"/>
      <c r="R828" s="156"/>
      <c r="S828" s="154"/>
      <c r="T828" s="100"/>
      <c r="U828" s="357"/>
      <c r="V828" s="156"/>
      <c r="W828" s="154"/>
      <c r="X828" s="100"/>
      <c r="Y828" s="357"/>
      <c r="Z828" s="100"/>
      <c r="AA828" s="100"/>
      <c r="AB828" s="100"/>
      <c r="AC828" s="357"/>
      <c r="AD828" s="367"/>
      <c r="AE828" s="368"/>
      <c r="AF828" s="98"/>
      <c r="AG828" s="357"/>
      <c r="AH828" s="156"/>
      <c r="AI828" s="305"/>
      <c r="AJ828" s="366"/>
      <c r="AK828" s="357"/>
      <c r="AL828" s="371"/>
      <c r="AM828" s="371"/>
      <c r="AN828" s="371"/>
      <c r="AO828" s="357"/>
      <c r="AP828" s="100"/>
      <c r="AQ828" s="100"/>
      <c r="AR828" s="100"/>
      <c r="AS828" s="357"/>
      <c r="AT828" s="100"/>
      <c r="AU828" s="100"/>
      <c r="AV828" s="100"/>
    </row>
    <row r="829">
      <c r="A829" s="357"/>
      <c r="B829" s="156"/>
      <c r="C829" s="154"/>
      <c r="D829" s="100"/>
      <c r="E829" s="357"/>
      <c r="F829" s="156"/>
      <c r="G829" s="154"/>
      <c r="H829" s="100"/>
      <c r="I829" s="357"/>
      <c r="J829" s="156"/>
      <c r="K829" s="154"/>
      <c r="L829" s="100"/>
      <c r="M829" s="357"/>
      <c r="N829" s="156"/>
      <c r="O829" s="154"/>
      <c r="P829" s="100"/>
      <c r="Q829" s="357"/>
      <c r="R829" s="156"/>
      <c r="S829" s="154"/>
      <c r="T829" s="100"/>
      <c r="U829" s="357"/>
      <c r="V829" s="156"/>
      <c r="W829" s="154"/>
      <c r="X829" s="100"/>
      <c r="Y829" s="357"/>
      <c r="Z829" s="100"/>
      <c r="AA829" s="100"/>
      <c r="AB829" s="100"/>
      <c r="AC829" s="357"/>
      <c r="AD829" s="367"/>
      <c r="AE829" s="368"/>
      <c r="AF829" s="98"/>
      <c r="AG829" s="357"/>
      <c r="AH829" s="156"/>
      <c r="AI829" s="305"/>
      <c r="AJ829" s="366"/>
      <c r="AK829" s="357"/>
      <c r="AL829" s="371"/>
      <c r="AM829" s="371"/>
      <c r="AN829" s="371"/>
      <c r="AO829" s="357"/>
      <c r="AP829" s="100"/>
      <c r="AQ829" s="100"/>
      <c r="AR829" s="100"/>
      <c r="AS829" s="357"/>
      <c r="AT829" s="100"/>
      <c r="AU829" s="100"/>
      <c r="AV829" s="100"/>
    </row>
    <row r="830">
      <c r="A830" s="357"/>
      <c r="B830" s="156"/>
      <c r="C830" s="154"/>
      <c r="D830" s="100"/>
      <c r="E830" s="357"/>
      <c r="F830" s="156"/>
      <c r="G830" s="154"/>
      <c r="H830" s="100"/>
      <c r="I830" s="357"/>
      <c r="J830" s="156"/>
      <c r="K830" s="154"/>
      <c r="L830" s="100"/>
      <c r="M830" s="357"/>
      <c r="N830" s="156"/>
      <c r="O830" s="154"/>
      <c r="P830" s="100"/>
      <c r="Q830" s="357"/>
      <c r="R830" s="156"/>
      <c r="S830" s="154"/>
      <c r="T830" s="100"/>
      <c r="U830" s="357"/>
      <c r="V830" s="156"/>
      <c r="W830" s="154"/>
      <c r="X830" s="100"/>
      <c r="Y830" s="357"/>
      <c r="Z830" s="100"/>
      <c r="AA830" s="100"/>
      <c r="AB830" s="100"/>
      <c r="AC830" s="357"/>
      <c r="AD830" s="367"/>
      <c r="AE830" s="368"/>
      <c r="AF830" s="98"/>
      <c r="AG830" s="357"/>
      <c r="AH830" s="156"/>
      <c r="AI830" s="305"/>
      <c r="AJ830" s="366"/>
      <c r="AK830" s="357"/>
      <c r="AL830" s="371"/>
      <c r="AM830" s="371"/>
      <c r="AN830" s="371"/>
      <c r="AO830" s="357"/>
      <c r="AP830" s="100"/>
      <c r="AQ830" s="100"/>
      <c r="AR830" s="100"/>
      <c r="AS830" s="357"/>
      <c r="AT830" s="100"/>
      <c r="AU830" s="100"/>
      <c r="AV830" s="100"/>
    </row>
    <row r="831">
      <c r="A831" s="357"/>
      <c r="B831" s="156"/>
      <c r="C831" s="154"/>
      <c r="D831" s="100"/>
      <c r="E831" s="357"/>
      <c r="F831" s="156"/>
      <c r="G831" s="154"/>
      <c r="H831" s="100"/>
      <c r="I831" s="357"/>
      <c r="J831" s="156"/>
      <c r="K831" s="154"/>
      <c r="L831" s="100"/>
      <c r="M831" s="357"/>
      <c r="N831" s="156"/>
      <c r="O831" s="154"/>
      <c r="P831" s="100"/>
      <c r="Q831" s="357"/>
      <c r="R831" s="156"/>
      <c r="S831" s="154"/>
      <c r="T831" s="100"/>
      <c r="U831" s="357"/>
      <c r="V831" s="156"/>
      <c r="W831" s="154"/>
      <c r="X831" s="100"/>
      <c r="Y831" s="357"/>
      <c r="Z831" s="100"/>
      <c r="AA831" s="100"/>
      <c r="AB831" s="100"/>
      <c r="AC831" s="357"/>
      <c r="AD831" s="367"/>
      <c r="AE831" s="368"/>
      <c r="AF831" s="98"/>
      <c r="AG831" s="357"/>
      <c r="AH831" s="156"/>
      <c r="AI831" s="305"/>
      <c r="AJ831" s="366"/>
      <c r="AK831" s="357"/>
      <c r="AL831" s="371"/>
      <c r="AM831" s="371"/>
      <c r="AN831" s="371"/>
      <c r="AO831" s="357"/>
      <c r="AP831" s="100"/>
      <c r="AQ831" s="100"/>
      <c r="AR831" s="100"/>
      <c r="AS831" s="357"/>
      <c r="AT831" s="100"/>
      <c r="AU831" s="100"/>
      <c r="AV831" s="100"/>
    </row>
    <row r="832">
      <c r="A832" s="357"/>
      <c r="B832" s="156"/>
      <c r="C832" s="154"/>
      <c r="D832" s="100"/>
      <c r="E832" s="357"/>
      <c r="F832" s="156"/>
      <c r="G832" s="154"/>
      <c r="H832" s="100"/>
      <c r="I832" s="357"/>
      <c r="J832" s="156"/>
      <c r="K832" s="154"/>
      <c r="L832" s="100"/>
      <c r="M832" s="357"/>
      <c r="N832" s="156"/>
      <c r="O832" s="154"/>
      <c r="P832" s="100"/>
      <c r="Q832" s="357"/>
      <c r="R832" s="156"/>
      <c r="S832" s="154"/>
      <c r="T832" s="100"/>
      <c r="U832" s="357"/>
      <c r="V832" s="156"/>
      <c r="W832" s="154"/>
      <c r="X832" s="100"/>
      <c r="Y832" s="357"/>
      <c r="Z832" s="100"/>
      <c r="AA832" s="100"/>
      <c r="AB832" s="100"/>
      <c r="AC832" s="357"/>
      <c r="AD832" s="367"/>
      <c r="AE832" s="368"/>
      <c r="AF832" s="98"/>
      <c r="AG832" s="357"/>
      <c r="AH832" s="156"/>
      <c r="AI832" s="305"/>
      <c r="AJ832" s="366"/>
      <c r="AK832" s="357"/>
      <c r="AL832" s="371"/>
      <c r="AM832" s="371"/>
      <c r="AN832" s="371"/>
      <c r="AO832" s="357"/>
      <c r="AP832" s="100"/>
      <c r="AQ832" s="100"/>
      <c r="AR832" s="100"/>
      <c r="AS832" s="357"/>
      <c r="AT832" s="100"/>
      <c r="AU832" s="100"/>
      <c r="AV832" s="100"/>
    </row>
    <row r="833">
      <c r="A833" s="357"/>
      <c r="B833" s="156"/>
      <c r="C833" s="154"/>
      <c r="D833" s="100"/>
      <c r="E833" s="357"/>
      <c r="F833" s="156"/>
      <c r="G833" s="154"/>
      <c r="H833" s="100"/>
      <c r="I833" s="357"/>
      <c r="J833" s="156"/>
      <c r="K833" s="154"/>
      <c r="L833" s="100"/>
      <c r="M833" s="357"/>
      <c r="N833" s="156"/>
      <c r="O833" s="154"/>
      <c r="P833" s="100"/>
      <c r="Q833" s="357"/>
      <c r="R833" s="156"/>
      <c r="S833" s="154"/>
      <c r="T833" s="100"/>
      <c r="U833" s="357"/>
      <c r="V833" s="156"/>
      <c r="W833" s="154"/>
      <c r="X833" s="100"/>
      <c r="Y833" s="357"/>
      <c r="Z833" s="100"/>
      <c r="AA833" s="100"/>
      <c r="AB833" s="100"/>
      <c r="AC833" s="357"/>
      <c r="AD833" s="367"/>
      <c r="AE833" s="368"/>
      <c r="AF833" s="98"/>
      <c r="AG833" s="357"/>
      <c r="AH833" s="156"/>
      <c r="AI833" s="305"/>
      <c r="AJ833" s="366"/>
      <c r="AK833" s="357"/>
      <c r="AL833" s="371"/>
      <c r="AM833" s="371"/>
      <c r="AN833" s="371"/>
      <c r="AO833" s="357"/>
      <c r="AP833" s="100"/>
      <c r="AQ833" s="100"/>
      <c r="AR833" s="100"/>
      <c r="AS833" s="357"/>
      <c r="AT833" s="100"/>
      <c r="AU833" s="100"/>
      <c r="AV833" s="100"/>
    </row>
    <row r="834">
      <c r="A834" s="357"/>
      <c r="B834" s="156"/>
      <c r="C834" s="154"/>
      <c r="D834" s="100"/>
      <c r="E834" s="357"/>
      <c r="F834" s="156"/>
      <c r="G834" s="154"/>
      <c r="H834" s="100"/>
      <c r="I834" s="357"/>
      <c r="J834" s="156"/>
      <c r="K834" s="154"/>
      <c r="L834" s="100"/>
      <c r="M834" s="357"/>
      <c r="N834" s="156"/>
      <c r="O834" s="154"/>
      <c r="P834" s="100"/>
      <c r="Q834" s="357"/>
      <c r="R834" s="156"/>
      <c r="S834" s="154"/>
      <c r="T834" s="100"/>
      <c r="U834" s="357"/>
      <c r="V834" s="156"/>
      <c r="W834" s="154"/>
      <c r="X834" s="100"/>
      <c r="Y834" s="357"/>
      <c r="Z834" s="100"/>
      <c r="AA834" s="100"/>
      <c r="AB834" s="100"/>
      <c r="AC834" s="357"/>
      <c r="AD834" s="367"/>
      <c r="AE834" s="368"/>
      <c r="AF834" s="98"/>
      <c r="AG834" s="357"/>
      <c r="AH834" s="156"/>
      <c r="AI834" s="305"/>
      <c r="AJ834" s="366"/>
      <c r="AK834" s="357"/>
      <c r="AL834" s="371"/>
      <c r="AM834" s="371"/>
      <c r="AN834" s="371"/>
      <c r="AO834" s="357"/>
      <c r="AP834" s="100"/>
      <c r="AQ834" s="100"/>
      <c r="AR834" s="100"/>
      <c r="AS834" s="357"/>
      <c r="AT834" s="100"/>
      <c r="AU834" s="100"/>
      <c r="AV834" s="100"/>
    </row>
    <row r="835">
      <c r="A835" s="357"/>
      <c r="B835" s="156"/>
      <c r="C835" s="154"/>
      <c r="D835" s="100"/>
      <c r="E835" s="357"/>
      <c r="F835" s="156"/>
      <c r="G835" s="154"/>
      <c r="H835" s="100"/>
      <c r="I835" s="357"/>
      <c r="J835" s="156"/>
      <c r="K835" s="154"/>
      <c r="L835" s="100"/>
      <c r="M835" s="357"/>
      <c r="N835" s="156"/>
      <c r="O835" s="154"/>
      <c r="P835" s="100"/>
      <c r="Q835" s="357"/>
      <c r="R835" s="156"/>
      <c r="S835" s="154"/>
      <c r="T835" s="100"/>
      <c r="U835" s="357"/>
      <c r="V835" s="156"/>
      <c r="W835" s="154"/>
      <c r="X835" s="100"/>
      <c r="Y835" s="357"/>
      <c r="Z835" s="100"/>
      <c r="AA835" s="100"/>
      <c r="AB835" s="100"/>
      <c r="AC835" s="357"/>
      <c r="AD835" s="367"/>
      <c r="AE835" s="368"/>
      <c r="AF835" s="98"/>
      <c r="AG835" s="357"/>
      <c r="AH835" s="156"/>
      <c r="AI835" s="305"/>
      <c r="AJ835" s="366"/>
      <c r="AK835" s="357"/>
      <c r="AL835" s="371"/>
      <c r="AM835" s="371"/>
      <c r="AN835" s="371"/>
      <c r="AO835" s="357"/>
      <c r="AP835" s="100"/>
      <c r="AQ835" s="100"/>
      <c r="AR835" s="100"/>
      <c r="AS835" s="357"/>
      <c r="AT835" s="100"/>
      <c r="AU835" s="100"/>
      <c r="AV835" s="100"/>
    </row>
    <row r="836">
      <c r="A836" s="357"/>
      <c r="B836" s="156"/>
      <c r="C836" s="154"/>
      <c r="D836" s="100"/>
      <c r="E836" s="357"/>
      <c r="F836" s="156"/>
      <c r="G836" s="154"/>
      <c r="H836" s="100"/>
      <c r="I836" s="357"/>
      <c r="J836" s="156"/>
      <c r="K836" s="154"/>
      <c r="L836" s="100"/>
      <c r="M836" s="357"/>
      <c r="N836" s="156"/>
      <c r="O836" s="154"/>
      <c r="P836" s="100"/>
      <c r="Q836" s="357"/>
      <c r="R836" s="156"/>
      <c r="S836" s="154"/>
      <c r="T836" s="100"/>
      <c r="U836" s="357"/>
      <c r="V836" s="156"/>
      <c r="W836" s="154"/>
      <c r="X836" s="100"/>
      <c r="Y836" s="357"/>
      <c r="Z836" s="100"/>
      <c r="AA836" s="100"/>
      <c r="AB836" s="100"/>
      <c r="AC836" s="357"/>
      <c r="AD836" s="367"/>
      <c r="AE836" s="368"/>
      <c r="AF836" s="98"/>
      <c r="AG836" s="357"/>
      <c r="AH836" s="156"/>
      <c r="AI836" s="305"/>
      <c r="AJ836" s="366"/>
      <c r="AK836" s="357"/>
      <c r="AL836" s="371"/>
      <c r="AM836" s="371"/>
      <c r="AN836" s="371"/>
      <c r="AO836" s="357"/>
      <c r="AP836" s="100"/>
      <c r="AQ836" s="100"/>
      <c r="AR836" s="100"/>
      <c r="AS836" s="357"/>
      <c r="AT836" s="100"/>
      <c r="AU836" s="100"/>
      <c r="AV836" s="100"/>
    </row>
    <row r="837">
      <c r="A837" s="357"/>
      <c r="B837" s="156"/>
      <c r="C837" s="154"/>
      <c r="D837" s="100"/>
      <c r="E837" s="357"/>
      <c r="F837" s="156"/>
      <c r="G837" s="154"/>
      <c r="H837" s="100"/>
      <c r="I837" s="357"/>
      <c r="J837" s="156"/>
      <c r="K837" s="154"/>
      <c r="L837" s="100"/>
      <c r="M837" s="357"/>
      <c r="N837" s="156"/>
      <c r="O837" s="154"/>
      <c r="P837" s="100"/>
      <c r="Q837" s="357"/>
      <c r="R837" s="156"/>
      <c r="S837" s="154"/>
      <c r="T837" s="100"/>
      <c r="U837" s="357"/>
      <c r="V837" s="156"/>
      <c r="W837" s="154"/>
      <c r="X837" s="100"/>
      <c r="Y837" s="357"/>
      <c r="Z837" s="100"/>
      <c r="AA837" s="100"/>
      <c r="AB837" s="100"/>
      <c r="AC837" s="357"/>
      <c r="AD837" s="367"/>
      <c r="AE837" s="368"/>
      <c r="AF837" s="98"/>
      <c r="AG837" s="357"/>
      <c r="AH837" s="156"/>
      <c r="AI837" s="305"/>
      <c r="AJ837" s="366"/>
      <c r="AK837" s="357"/>
      <c r="AL837" s="371"/>
      <c r="AM837" s="371"/>
      <c r="AN837" s="371"/>
      <c r="AO837" s="357"/>
      <c r="AP837" s="100"/>
      <c r="AQ837" s="100"/>
      <c r="AR837" s="100"/>
      <c r="AS837" s="357"/>
      <c r="AT837" s="100"/>
      <c r="AU837" s="100"/>
      <c r="AV837" s="100"/>
    </row>
    <row r="838">
      <c r="A838" s="357"/>
      <c r="B838" s="156"/>
      <c r="C838" s="154"/>
      <c r="D838" s="100"/>
      <c r="E838" s="357"/>
      <c r="F838" s="156"/>
      <c r="G838" s="154"/>
      <c r="H838" s="100"/>
      <c r="I838" s="357"/>
      <c r="J838" s="156"/>
      <c r="K838" s="154"/>
      <c r="L838" s="100"/>
      <c r="M838" s="357"/>
      <c r="N838" s="156"/>
      <c r="O838" s="154"/>
      <c r="P838" s="100"/>
      <c r="Q838" s="357"/>
      <c r="R838" s="156"/>
      <c r="S838" s="154"/>
      <c r="T838" s="100"/>
      <c r="U838" s="357"/>
      <c r="V838" s="156"/>
      <c r="W838" s="154"/>
      <c r="X838" s="100"/>
      <c r="Y838" s="357"/>
      <c r="Z838" s="100"/>
      <c r="AA838" s="100"/>
      <c r="AB838" s="100"/>
      <c r="AC838" s="357"/>
      <c r="AD838" s="367"/>
      <c r="AE838" s="368"/>
      <c r="AF838" s="98"/>
      <c r="AG838" s="357"/>
      <c r="AH838" s="156"/>
      <c r="AI838" s="305"/>
      <c r="AJ838" s="366"/>
      <c r="AK838" s="357"/>
      <c r="AL838" s="371"/>
      <c r="AM838" s="371"/>
      <c r="AN838" s="371"/>
      <c r="AO838" s="357"/>
      <c r="AP838" s="100"/>
      <c r="AQ838" s="100"/>
      <c r="AR838" s="100"/>
      <c r="AS838" s="357"/>
      <c r="AT838" s="100"/>
      <c r="AU838" s="100"/>
      <c r="AV838" s="100"/>
    </row>
    <row r="839">
      <c r="A839" s="357"/>
      <c r="B839" s="156"/>
      <c r="C839" s="154"/>
      <c r="D839" s="100"/>
      <c r="E839" s="357"/>
      <c r="F839" s="156"/>
      <c r="G839" s="154"/>
      <c r="H839" s="100"/>
      <c r="I839" s="357"/>
      <c r="J839" s="156"/>
      <c r="K839" s="154"/>
      <c r="L839" s="100"/>
      <c r="M839" s="357"/>
      <c r="N839" s="156"/>
      <c r="O839" s="154"/>
      <c r="P839" s="100"/>
      <c r="Q839" s="357"/>
      <c r="R839" s="156"/>
      <c r="S839" s="154"/>
      <c r="T839" s="100"/>
      <c r="U839" s="357"/>
      <c r="V839" s="156"/>
      <c r="W839" s="154"/>
      <c r="X839" s="100"/>
      <c r="Y839" s="357"/>
      <c r="Z839" s="100"/>
      <c r="AA839" s="100"/>
      <c r="AB839" s="100"/>
      <c r="AC839" s="357"/>
      <c r="AD839" s="367"/>
      <c r="AE839" s="368"/>
      <c r="AF839" s="98"/>
      <c r="AG839" s="357"/>
      <c r="AH839" s="156"/>
      <c r="AI839" s="305"/>
      <c r="AJ839" s="366"/>
      <c r="AK839" s="357"/>
      <c r="AL839" s="371"/>
      <c r="AM839" s="371"/>
      <c r="AN839" s="371"/>
      <c r="AO839" s="357"/>
      <c r="AP839" s="100"/>
      <c r="AQ839" s="100"/>
      <c r="AR839" s="100"/>
      <c r="AS839" s="357"/>
      <c r="AT839" s="100"/>
      <c r="AU839" s="100"/>
      <c r="AV839" s="100"/>
    </row>
    <row r="840">
      <c r="A840" s="357"/>
      <c r="B840" s="156"/>
      <c r="C840" s="154"/>
      <c r="D840" s="100"/>
      <c r="E840" s="357"/>
      <c r="F840" s="156"/>
      <c r="G840" s="154"/>
      <c r="H840" s="100"/>
      <c r="I840" s="357"/>
      <c r="J840" s="156"/>
      <c r="K840" s="154"/>
      <c r="L840" s="100"/>
      <c r="M840" s="357"/>
      <c r="N840" s="156"/>
      <c r="O840" s="154"/>
      <c r="P840" s="100"/>
      <c r="Q840" s="357"/>
      <c r="R840" s="156"/>
      <c r="S840" s="154"/>
      <c r="T840" s="100"/>
      <c r="U840" s="357"/>
      <c r="V840" s="156"/>
      <c r="W840" s="154"/>
      <c r="X840" s="100"/>
      <c r="Y840" s="357"/>
      <c r="Z840" s="100"/>
      <c r="AA840" s="100"/>
      <c r="AB840" s="100"/>
      <c r="AC840" s="357"/>
      <c r="AD840" s="367"/>
      <c r="AE840" s="368"/>
      <c r="AF840" s="98"/>
      <c r="AG840" s="357"/>
      <c r="AH840" s="156"/>
      <c r="AI840" s="305"/>
      <c r="AJ840" s="366"/>
      <c r="AK840" s="357"/>
      <c r="AL840" s="371"/>
      <c r="AM840" s="371"/>
      <c r="AN840" s="371"/>
      <c r="AO840" s="357"/>
      <c r="AP840" s="100"/>
      <c r="AQ840" s="100"/>
      <c r="AR840" s="100"/>
      <c r="AS840" s="357"/>
      <c r="AT840" s="100"/>
      <c r="AU840" s="100"/>
      <c r="AV840" s="100"/>
    </row>
    <row r="841">
      <c r="A841" s="357"/>
      <c r="B841" s="156"/>
      <c r="C841" s="154"/>
      <c r="D841" s="100"/>
      <c r="E841" s="357"/>
      <c r="F841" s="156"/>
      <c r="G841" s="154"/>
      <c r="H841" s="100"/>
      <c r="I841" s="357"/>
      <c r="J841" s="156"/>
      <c r="K841" s="154"/>
      <c r="L841" s="100"/>
      <c r="M841" s="357"/>
      <c r="N841" s="156"/>
      <c r="O841" s="154"/>
      <c r="P841" s="100"/>
      <c r="Q841" s="357"/>
      <c r="R841" s="156"/>
      <c r="S841" s="154"/>
      <c r="T841" s="100"/>
      <c r="U841" s="357"/>
      <c r="V841" s="156"/>
      <c r="W841" s="154"/>
      <c r="X841" s="100"/>
      <c r="Y841" s="357"/>
      <c r="Z841" s="100"/>
      <c r="AA841" s="100"/>
      <c r="AB841" s="100"/>
      <c r="AC841" s="357"/>
      <c r="AD841" s="367"/>
      <c r="AE841" s="368"/>
      <c r="AF841" s="98"/>
      <c r="AG841" s="357"/>
      <c r="AH841" s="156"/>
      <c r="AI841" s="305"/>
      <c r="AJ841" s="366"/>
      <c r="AK841" s="357"/>
      <c r="AL841" s="371"/>
      <c r="AM841" s="371"/>
      <c r="AN841" s="371"/>
      <c r="AO841" s="357"/>
      <c r="AP841" s="100"/>
      <c r="AQ841" s="100"/>
      <c r="AR841" s="100"/>
      <c r="AS841" s="357"/>
      <c r="AT841" s="100"/>
      <c r="AU841" s="100"/>
      <c r="AV841" s="100"/>
    </row>
    <row r="842">
      <c r="A842" s="357"/>
      <c r="B842" s="156"/>
      <c r="C842" s="154"/>
      <c r="D842" s="100"/>
      <c r="E842" s="357"/>
      <c r="F842" s="156"/>
      <c r="G842" s="154"/>
      <c r="H842" s="100"/>
      <c r="I842" s="357"/>
      <c r="J842" s="156"/>
      <c r="K842" s="154"/>
      <c r="L842" s="100"/>
      <c r="M842" s="357"/>
      <c r="N842" s="156"/>
      <c r="O842" s="154"/>
      <c r="P842" s="100"/>
      <c r="Q842" s="357"/>
      <c r="R842" s="156"/>
      <c r="S842" s="154"/>
      <c r="T842" s="100"/>
      <c r="U842" s="357"/>
      <c r="V842" s="156"/>
      <c r="W842" s="154"/>
      <c r="X842" s="100"/>
      <c r="Y842" s="357"/>
      <c r="Z842" s="100"/>
      <c r="AA842" s="100"/>
      <c r="AB842" s="100"/>
      <c r="AC842" s="357"/>
      <c r="AD842" s="367"/>
      <c r="AE842" s="368"/>
      <c r="AF842" s="98"/>
      <c r="AG842" s="357"/>
      <c r="AH842" s="156"/>
      <c r="AI842" s="305"/>
      <c r="AJ842" s="366"/>
      <c r="AK842" s="357"/>
      <c r="AL842" s="371"/>
      <c r="AM842" s="371"/>
      <c r="AN842" s="371"/>
      <c r="AO842" s="357"/>
      <c r="AP842" s="100"/>
      <c r="AQ842" s="100"/>
      <c r="AR842" s="100"/>
      <c r="AS842" s="357"/>
      <c r="AT842" s="100"/>
      <c r="AU842" s="100"/>
      <c r="AV842" s="100"/>
    </row>
    <row r="843">
      <c r="A843" s="357"/>
      <c r="B843" s="156"/>
      <c r="C843" s="154"/>
      <c r="D843" s="100"/>
      <c r="E843" s="357"/>
      <c r="F843" s="156"/>
      <c r="G843" s="154"/>
      <c r="H843" s="100"/>
      <c r="I843" s="357"/>
      <c r="J843" s="156"/>
      <c r="K843" s="154"/>
      <c r="L843" s="100"/>
      <c r="M843" s="357"/>
      <c r="N843" s="156"/>
      <c r="O843" s="154"/>
      <c r="P843" s="100"/>
      <c r="Q843" s="357"/>
      <c r="R843" s="156"/>
      <c r="S843" s="154"/>
      <c r="T843" s="100"/>
      <c r="U843" s="357"/>
      <c r="V843" s="156"/>
      <c r="W843" s="154"/>
      <c r="X843" s="100"/>
      <c r="Y843" s="357"/>
      <c r="Z843" s="100"/>
      <c r="AA843" s="100"/>
      <c r="AB843" s="100"/>
      <c r="AC843" s="357"/>
      <c r="AD843" s="367"/>
      <c r="AE843" s="368"/>
      <c r="AF843" s="98"/>
      <c r="AG843" s="357"/>
      <c r="AH843" s="156"/>
      <c r="AI843" s="305"/>
      <c r="AJ843" s="366"/>
      <c r="AK843" s="357"/>
      <c r="AL843" s="371"/>
      <c r="AM843" s="371"/>
      <c r="AN843" s="371"/>
      <c r="AO843" s="357"/>
      <c r="AP843" s="100"/>
      <c r="AQ843" s="100"/>
      <c r="AR843" s="100"/>
      <c r="AS843" s="357"/>
      <c r="AT843" s="100"/>
      <c r="AU843" s="100"/>
      <c r="AV843" s="100"/>
    </row>
    <row r="844">
      <c r="A844" s="357"/>
      <c r="B844" s="156"/>
      <c r="C844" s="154"/>
      <c r="D844" s="100"/>
      <c r="E844" s="357"/>
      <c r="F844" s="156"/>
      <c r="G844" s="154"/>
      <c r="H844" s="100"/>
      <c r="I844" s="357"/>
      <c r="J844" s="156"/>
      <c r="K844" s="154"/>
      <c r="L844" s="100"/>
      <c r="M844" s="357"/>
      <c r="N844" s="156"/>
      <c r="O844" s="154"/>
      <c r="P844" s="100"/>
      <c r="Q844" s="357"/>
      <c r="R844" s="156"/>
      <c r="S844" s="154"/>
      <c r="T844" s="100"/>
      <c r="U844" s="357"/>
      <c r="V844" s="156"/>
      <c r="W844" s="154"/>
      <c r="X844" s="100"/>
      <c r="Y844" s="357"/>
      <c r="Z844" s="100"/>
      <c r="AA844" s="100"/>
      <c r="AB844" s="100"/>
      <c r="AC844" s="357"/>
      <c r="AD844" s="367"/>
      <c r="AE844" s="368"/>
      <c r="AF844" s="98"/>
      <c r="AG844" s="357"/>
      <c r="AH844" s="156"/>
      <c r="AI844" s="305"/>
      <c r="AJ844" s="366"/>
      <c r="AK844" s="357"/>
      <c r="AL844" s="371"/>
      <c r="AM844" s="371"/>
      <c r="AN844" s="371"/>
      <c r="AO844" s="357"/>
      <c r="AP844" s="100"/>
      <c r="AQ844" s="100"/>
      <c r="AR844" s="100"/>
      <c r="AS844" s="357"/>
      <c r="AT844" s="100"/>
      <c r="AU844" s="100"/>
      <c r="AV844" s="100"/>
    </row>
    <row r="845">
      <c r="A845" s="357"/>
      <c r="B845" s="156"/>
      <c r="C845" s="154"/>
      <c r="D845" s="100"/>
      <c r="E845" s="357"/>
      <c r="F845" s="156"/>
      <c r="G845" s="154"/>
      <c r="H845" s="100"/>
      <c r="I845" s="357"/>
      <c r="J845" s="156"/>
      <c r="K845" s="154"/>
      <c r="L845" s="100"/>
      <c r="M845" s="357"/>
      <c r="N845" s="156"/>
      <c r="O845" s="154"/>
      <c r="P845" s="100"/>
      <c r="Q845" s="357"/>
      <c r="R845" s="156"/>
      <c r="S845" s="154"/>
      <c r="T845" s="100"/>
      <c r="U845" s="357"/>
      <c r="V845" s="156"/>
      <c r="W845" s="154"/>
      <c r="X845" s="100"/>
      <c r="Y845" s="357"/>
      <c r="Z845" s="100"/>
      <c r="AA845" s="100"/>
      <c r="AB845" s="100"/>
      <c r="AC845" s="357"/>
      <c r="AD845" s="367"/>
      <c r="AE845" s="368"/>
      <c r="AF845" s="98"/>
      <c r="AG845" s="357"/>
      <c r="AH845" s="156"/>
      <c r="AI845" s="305"/>
      <c r="AJ845" s="366"/>
      <c r="AK845" s="357"/>
      <c r="AL845" s="371"/>
      <c r="AM845" s="371"/>
      <c r="AN845" s="371"/>
      <c r="AO845" s="357"/>
      <c r="AP845" s="100"/>
      <c r="AQ845" s="100"/>
      <c r="AR845" s="100"/>
      <c r="AS845" s="357"/>
      <c r="AT845" s="100"/>
      <c r="AU845" s="100"/>
      <c r="AV845" s="100"/>
    </row>
    <row r="846">
      <c r="A846" s="357"/>
      <c r="B846" s="156"/>
      <c r="C846" s="154"/>
      <c r="D846" s="100"/>
      <c r="E846" s="357"/>
      <c r="F846" s="156"/>
      <c r="G846" s="154"/>
      <c r="H846" s="100"/>
      <c r="I846" s="357"/>
      <c r="J846" s="156"/>
      <c r="K846" s="154"/>
      <c r="L846" s="100"/>
      <c r="M846" s="357"/>
      <c r="N846" s="156"/>
      <c r="O846" s="154"/>
      <c r="P846" s="100"/>
      <c r="Q846" s="357"/>
      <c r="R846" s="156"/>
      <c r="S846" s="154"/>
      <c r="T846" s="100"/>
      <c r="U846" s="357"/>
      <c r="V846" s="156"/>
      <c r="W846" s="154"/>
      <c r="X846" s="100"/>
      <c r="Y846" s="357"/>
      <c r="Z846" s="100"/>
      <c r="AA846" s="100"/>
      <c r="AB846" s="100"/>
      <c r="AC846" s="357"/>
      <c r="AD846" s="367"/>
      <c r="AE846" s="368"/>
      <c r="AF846" s="98"/>
      <c r="AG846" s="357"/>
      <c r="AH846" s="156"/>
      <c r="AI846" s="305"/>
      <c r="AJ846" s="366"/>
      <c r="AK846" s="357"/>
      <c r="AL846" s="371"/>
      <c r="AM846" s="371"/>
      <c r="AN846" s="371"/>
      <c r="AO846" s="357"/>
      <c r="AP846" s="100"/>
      <c r="AQ846" s="100"/>
      <c r="AR846" s="100"/>
      <c r="AS846" s="357"/>
      <c r="AT846" s="100"/>
      <c r="AU846" s="100"/>
      <c r="AV846" s="100"/>
    </row>
    <row r="847">
      <c r="A847" s="357"/>
      <c r="B847" s="156"/>
      <c r="C847" s="154"/>
      <c r="D847" s="100"/>
      <c r="E847" s="357"/>
      <c r="F847" s="156"/>
      <c r="G847" s="154"/>
      <c r="H847" s="100"/>
      <c r="I847" s="357"/>
      <c r="J847" s="156"/>
      <c r="K847" s="154"/>
      <c r="L847" s="100"/>
      <c r="M847" s="357"/>
      <c r="N847" s="156"/>
      <c r="O847" s="154"/>
      <c r="P847" s="100"/>
      <c r="Q847" s="357"/>
      <c r="R847" s="156"/>
      <c r="S847" s="154"/>
      <c r="T847" s="100"/>
      <c r="U847" s="357"/>
      <c r="V847" s="156"/>
      <c r="W847" s="154"/>
      <c r="X847" s="100"/>
      <c r="Y847" s="357"/>
      <c r="Z847" s="100"/>
      <c r="AA847" s="100"/>
      <c r="AB847" s="100"/>
      <c r="AC847" s="357"/>
      <c r="AD847" s="367"/>
      <c r="AE847" s="368"/>
      <c r="AF847" s="98"/>
      <c r="AG847" s="357"/>
      <c r="AH847" s="156"/>
      <c r="AI847" s="305"/>
      <c r="AJ847" s="366"/>
      <c r="AK847" s="357"/>
      <c r="AL847" s="371"/>
      <c r="AM847" s="371"/>
      <c r="AN847" s="371"/>
      <c r="AO847" s="357"/>
      <c r="AP847" s="100"/>
      <c r="AQ847" s="100"/>
      <c r="AR847" s="100"/>
      <c r="AS847" s="357"/>
      <c r="AT847" s="100"/>
      <c r="AU847" s="100"/>
      <c r="AV847" s="100"/>
    </row>
    <row r="848">
      <c r="A848" s="357"/>
      <c r="B848" s="156"/>
      <c r="C848" s="154"/>
      <c r="D848" s="100"/>
      <c r="E848" s="357"/>
      <c r="F848" s="156"/>
      <c r="G848" s="154"/>
      <c r="H848" s="100"/>
      <c r="I848" s="357"/>
      <c r="J848" s="156"/>
      <c r="K848" s="154"/>
      <c r="L848" s="100"/>
      <c r="M848" s="357"/>
      <c r="N848" s="156"/>
      <c r="O848" s="154"/>
      <c r="P848" s="100"/>
      <c r="Q848" s="357"/>
      <c r="R848" s="156"/>
      <c r="S848" s="154"/>
      <c r="T848" s="100"/>
      <c r="U848" s="357"/>
      <c r="V848" s="156"/>
      <c r="W848" s="154"/>
      <c r="X848" s="100"/>
      <c r="Y848" s="357"/>
      <c r="Z848" s="100"/>
      <c r="AA848" s="100"/>
      <c r="AB848" s="100"/>
      <c r="AC848" s="357"/>
      <c r="AD848" s="367"/>
      <c r="AE848" s="368"/>
      <c r="AF848" s="98"/>
      <c r="AG848" s="357"/>
      <c r="AH848" s="156"/>
      <c r="AI848" s="305"/>
      <c r="AJ848" s="366"/>
      <c r="AK848" s="357"/>
      <c r="AL848" s="371"/>
      <c r="AM848" s="371"/>
      <c r="AN848" s="371"/>
      <c r="AO848" s="357"/>
      <c r="AP848" s="100"/>
      <c r="AQ848" s="100"/>
      <c r="AR848" s="100"/>
      <c r="AS848" s="357"/>
      <c r="AT848" s="100"/>
      <c r="AU848" s="100"/>
      <c r="AV848" s="100"/>
    </row>
    <row r="849">
      <c r="A849" s="357"/>
      <c r="B849" s="156"/>
      <c r="C849" s="154"/>
      <c r="D849" s="100"/>
      <c r="E849" s="357"/>
      <c r="F849" s="156"/>
      <c r="G849" s="154"/>
      <c r="H849" s="100"/>
      <c r="I849" s="357"/>
      <c r="J849" s="156"/>
      <c r="K849" s="154"/>
      <c r="L849" s="100"/>
      <c r="M849" s="357"/>
      <c r="N849" s="156"/>
      <c r="O849" s="154"/>
      <c r="P849" s="100"/>
      <c r="Q849" s="357"/>
      <c r="R849" s="156"/>
      <c r="S849" s="154"/>
      <c r="T849" s="100"/>
      <c r="U849" s="357"/>
      <c r="V849" s="156"/>
      <c r="W849" s="154"/>
      <c r="X849" s="100"/>
      <c r="Y849" s="357"/>
      <c r="Z849" s="100"/>
      <c r="AA849" s="100"/>
      <c r="AB849" s="100"/>
      <c r="AC849" s="357"/>
      <c r="AD849" s="367"/>
      <c r="AE849" s="368"/>
      <c r="AF849" s="98"/>
      <c r="AG849" s="357"/>
      <c r="AH849" s="156"/>
      <c r="AI849" s="305"/>
      <c r="AJ849" s="366"/>
      <c r="AK849" s="357"/>
      <c r="AL849" s="371"/>
      <c r="AM849" s="371"/>
      <c r="AN849" s="371"/>
      <c r="AO849" s="357"/>
      <c r="AP849" s="100"/>
      <c r="AQ849" s="100"/>
      <c r="AR849" s="100"/>
      <c r="AS849" s="357"/>
      <c r="AT849" s="100"/>
      <c r="AU849" s="100"/>
      <c r="AV849" s="100"/>
    </row>
    <row r="850">
      <c r="A850" s="357"/>
      <c r="B850" s="156"/>
      <c r="C850" s="154"/>
      <c r="D850" s="100"/>
      <c r="E850" s="357"/>
      <c r="F850" s="156"/>
      <c r="G850" s="154"/>
      <c r="H850" s="100"/>
      <c r="I850" s="357"/>
      <c r="J850" s="156"/>
      <c r="K850" s="154"/>
      <c r="L850" s="100"/>
      <c r="M850" s="357"/>
      <c r="N850" s="156"/>
      <c r="O850" s="154"/>
      <c r="P850" s="100"/>
      <c r="Q850" s="357"/>
      <c r="R850" s="156"/>
      <c r="S850" s="154"/>
      <c r="T850" s="100"/>
      <c r="U850" s="357"/>
      <c r="V850" s="156"/>
      <c r="W850" s="154"/>
      <c r="X850" s="100"/>
      <c r="Y850" s="357"/>
      <c r="Z850" s="100"/>
      <c r="AA850" s="100"/>
      <c r="AB850" s="100"/>
      <c r="AC850" s="357"/>
      <c r="AD850" s="367"/>
      <c r="AE850" s="368"/>
      <c r="AF850" s="98"/>
      <c r="AG850" s="357"/>
      <c r="AH850" s="156"/>
      <c r="AI850" s="305"/>
      <c r="AJ850" s="366"/>
      <c r="AK850" s="357"/>
      <c r="AL850" s="371"/>
      <c r="AM850" s="371"/>
      <c r="AN850" s="371"/>
      <c r="AO850" s="357"/>
      <c r="AP850" s="100"/>
      <c r="AQ850" s="100"/>
      <c r="AR850" s="100"/>
      <c r="AS850" s="357"/>
      <c r="AT850" s="100"/>
      <c r="AU850" s="100"/>
      <c r="AV850" s="100"/>
    </row>
    <row r="851">
      <c r="A851" s="357"/>
      <c r="B851" s="156"/>
      <c r="C851" s="154"/>
      <c r="D851" s="100"/>
      <c r="E851" s="357"/>
      <c r="F851" s="156"/>
      <c r="G851" s="154"/>
      <c r="H851" s="100"/>
      <c r="I851" s="357"/>
      <c r="J851" s="156"/>
      <c r="K851" s="154"/>
      <c r="L851" s="100"/>
      <c r="M851" s="357"/>
      <c r="N851" s="156"/>
      <c r="O851" s="154"/>
      <c r="P851" s="100"/>
      <c r="Q851" s="357"/>
      <c r="R851" s="156"/>
      <c r="S851" s="154"/>
      <c r="T851" s="100"/>
      <c r="U851" s="357"/>
      <c r="V851" s="156"/>
      <c r="W851" s="154"/>
      <c r="X851" s="100"/>
      <c r="Y851" s="357"/>
      <c r="Z851" s="100"/>
      <c r="AA851" s="100"/>
      <c r="AB851" s="100"/>
      <c r="AC851" s="357"/>
      <c r="AD851" s="367"/>
      <c r="AE851" s="368"/>
      <c r="AF851" s="98"/>
      <c r="AG851" s="357"/>
      <c r="AH851" s="156"/>
      <c r="AI851" s="305"/>
      <c r="AJ851" s="366"/>
      <c r="AK851" s="357"/>
      <c r="AL851" s="371"/>
      <c r="AM851" s="371"/>
      <c r="AN851" s="371"/>
      <c r="AO851" s="357"/>
      <c r="AP851" s="100"/>
      <c r="AQ851" s="100"/>
      <c r="AR851" s="100"/>
      <c r="AS851" s="357"/>
      <c r="AT851" s="100"/>
      <c r="AU851" s="100"/>
      <c r="AV851" s="100"/>
    </row>
    <row r="852">
      <c r="A852" s="357"/>
      <c r="B852" s="156"/>
      <c r="C852" s="154"/>
      <c r="D852" s="100"/>
      <c r="E852" s="357"/>
      <c r="F852" s="156"/>
      <c r="G852" s="154"/>
      <c r="H852" s="100"/>
      <c r="I852" s="357"/>
      <c r="J852" s="156"/>
      <c r="K852" s="154"/>
      <c r="L852" s="100"/>
      <c r="M852" s="357"/>
      <c r="N852" s="156"/>
      <c r="O852" s="154"/>
      <c r="P852" s="100"/>
      <c r="Q852" s="357"/>
      <c r="R852" s="156"/>
      <c r="S852" s="154"/>
      <c r="T852" s="100"/>
      <c r="U852" s="357"/>
      <c r="V852" s="156"/>
      <c r="W852" s="154"/>
      <c r="X852" s="100"/>
      <c r="Y852" s="357"/>
      <c r="Z852" s="100"/>
      <c r="AA852" s="100"/>
      <c r="AB852" s="100"/>
      <c r="AC852" s="357"/>
      <c r="AD852" s="367"/>
      <c r="AE852" s="368"/>
      <c r="AF852" s="98"/>
      <c r="AG852" s="357"/>
      <c r="AH852" s="156"/>
      <c r="AI852" s="305"/>
      <c r="AJ852" s="366"/>
      <c r="AK852" s="357"/>
      <c r="AL852" s="371"/>
      <c r="AM852" s="371"/>
      <c r="AN852" s="371"/>
      <c r="AO852" s="357"/>
      <c r="AP852" s="100"/>
      <c r="AQ852" s="100"/>
      <c r="AR852" s="100"/>
      <c r="AS852" s="357"/>
      <c r="AT852" s="100"/>
      <c r="AU852" s="100"/>
      <c r="AV852" s="100"/>
    </row>
    <row r="853">
      <c r="A853" s="357"/>
      <c r="B853" s="156"/>
      <c r="C853" s="154"/>
      <c r="D853" s="100"/>
      <c r="E853" s="357"/>
      <c r="F853" s="156"/>
      <c r="G853" s="154"/>
      <c r="H853" s="100"/>
      <c r="I853" s="357"/>
      <c r="J853" s="156"/>
      <c r="K853" s="154"/>
      <c r="L853" s="100"/>
      <c r="M853" s="357"/>
      <c r="N853" s="156"/>
      <c r="O853" s="154"/>
      <c r="P853" s="100"/>
      <c r="Q853" s="357"/>
      <c r="R853" s="156"/>
      <c r="S853" s="154"/>
      <c r="T853" s="100"/>
      <c r="U853" s="357"/>
      <c r="V853" s="156"/>
      <c r="W853" s="154"/>
      <c r="X853" s="100"/>
      <c r="Y853" s="357"/>
      <c r="Z853" s="100"/>
      <c r="AA853" s="100"/>
      <c r="AB853" s="100"/>
      <c r="AC853" s="357"/>
      <c r="AD853" s="367"/>
      <c r="AE853" s="368"/>
      <c r="AF853" s="98"/>
      <c r="AG853" s="357"/>
      <c r="AH853" s="156"/>
      <c r="AI853" s="305"/>
      <c r="AJ853" s="366"/>
      <c r="AK853" s="357"/>
      <c r="AL853" s="371"/>
      <c r="AM853" s="371"/>
      <c r="AN853" s="371"/>
      <c r="AO853" s="357"/>
      <c r="AP853" s="100"/>
      <c r="AQ853" s="100"/>
      <c r="AR853" s="100"/>
      <c r="AS853" s="357"/>
      <c r="AT853" s="100"/>
      <c r="AU853" s="100"/>
      <c r="AV853" s="100"/>
    </row>
    <row r="854">
      <c r="A854" s="357"/>
      <c r="B854" s="156"/>
      <c r="C854" s="154"/>
      <c r="D854" s="100"/>
      <c r="E854" s="357"/>
      <c r="F854" s="156"/>
      <c r="G854" s="154"/>
      <c r="H854" s="100"/>
      <c r="I854" s="357"/>
      <c r="J854" s="156"/>
      <c r="K854" s="154"/>
      <c r="L854" s="100"/>
      <c r="M854" s="357"/>
      <c r="N854" s="156"/>
      <c r="O854" s="154"/>
      <c r="P854" s="100"/>
      <c r="Q854" s="357"/>
      <c r="R854" s="156"/>
      <c r="S854" s="154"/>
      <c r="T854" s="100"/>
      <c r="U854" s="357"/>
      <c r="V854" s="156"/>
      <c r="W854" s="154"/>
      <c r="X854" s="100"/>
      <c r="Y854" s="357"/>
      <c r="Z854" s="100"/>
      <c r="AA854" s="100"/>
      <c r="AB854" s="100"/>
      <c r="AC854" s="357"/>
      <c r="AD854" s="367"/>
      <c r="AE854" s="368"/>
      <c r="AF854" s="98"/>
      <c r="AG854" s="357"/>
      <c r="AH854" s="156"/>
      <c r="AI854" s="305"/>
      <c r="AJ854" s="366"/>
      <c r="AK854" s="357"/>
      <c r="AL854" s="371"/>
      <c r="AM854" s="371"/>
      <c r="AN854" s="371"/>
      <c r="AO854" s="357"/>
      <c r="AP854" s="100"/>
      <c r="AQ854" s="100"/>
      <c r="AR854" s="100"/>
      <c r="AS854" s="357"/>
      <c r="AT854" s="100"/>
      <c r="AU854" s="100"/>
      <c r="AV854" s="100"/>
    </row>
    <row r="855">
      <c r="A855" s="357"/>
      <c r="B855" s="156"/>
      <c r="C855" s="154"/>
      <c r="D855" s="100"/>
      <c r="E855" s="357"/>
      <c r="F855" s="156"/>
      <c r="G855" s="154"/>
      <c r="H855" s="100"/>
      <c r="I855" s="357"/>
      <c r="J855" s="156"/>
      <c r="K855" s="154"/>
      <c r="L855" s="100"/>
      <c r="M855" s="357"/>
      <c r="N855" s="156"/>
      <c r="O855" s="154"/>
      <c r="P855" s="100"/>
      <c r="Q855" s="357"/>
      <c r="R855" s="156"/>
      <c r="S855" s="154"/>
      <c r="T855" s="100"/>
      <c r="U855" s="357"/>
      <c r="V855" s="156"/>
      <c r="W855" s="154"/>
      <c r="X855" s="100"/>
      <c r="Y855" s="357"/>
      <c r="Z855" s="100"/>
      <c r="AA855" s="100"/>
      <c r="AB855" s="100"/>
      <c r="AC855" s="357"/>
      <c r="AD855" s="367"/>
      <c r="AE855" s="368"/>
      <c r="AF855" s="98"/>
      <c r="AG855" s="357"/>
      <c r="AH855" s="156"/>
      <c r="AI855" s="305"/>
      <c r="AJ855" s="366"/>
      <c r="AK855" s="357"/>
      <c r="AL855" s="371"/>
      <c r="AM855" s="371"/>
      <c r="AN855" s="371"/>
      <c r="AO855" s="357"/>
      <c r="AP855" s="100"/>
      <c r="AQ855" s="100"/>
      <c r="AR855" s="100"/>
      <c r="AS855" s="357"/>
      <c r="AT855" s="100"/>
      <c r="AU855" s="100"/>
      <c r="AV855" s="100"/>
    </row>
    <row r="856">
      <c r="A856" s="357"/>
      <c r="B856" s="156"/>
      <c r="C856" s="154"/>
      <c r="D856" s="100"/>
      <c r="E856" s="357"/>
      <c r="F856" s="156"/>
      <c r="G856" s="154"/>
      <c r="H856" s="100"/>
      <c r="I856" s="357"/>
      <c r="J856" s="156"/>
      <c r="K856" s="154"/>
      <c r="L856" s="100"/>
      <c r="M856" s="357"/>
      <c r="N856" s="156"/>
      <c r="O856" s="154"/>
      <c r="P856" s="100"/>
      <c r="Q856" s="357"/>
      <c r="R856" s="156"/>
      <c r="S856" s="154"/>
      <c r="T856" s="100"/>
      <c r="U856" s="357"/>
      <c r="V856" s="156"/>
      <c r="W856" s="154"/>
      <c r="X856" s="100"/>
      <c r="Y856" s="357"/>
      <c r="Z856" s="100"/>
      <c r="AA856" s="100"/>
      <c r="AB856" s="100"/>
      <c r="AC856" s="357"/>
      <c r="AD856" s="367"/>
      <c r="AE856" s="368"/>
      <c r="AF856" s="98"/>
      <c r="AG856" s="357"/>
      <c r="AH856" s="156"/>
      <c r="AI856" s="305"/>
      <c r="AJ856" s="366"/>
      <c r="AK856" s="357"/>
      <c r="AL856" s="371"/>
      <c r="AM856" s="371"/>
      <c r="AN856" s="371"/>
      <c r="AO856" s="357"/>
      <c r="AP856" s="100"/>
      <c r="AQ856" s="100"/>
      <c r="AR856" s="100"/>
      <c r="AS856" s="357"/>
      <c r="AT856" s="100"/>
      <c r="AU856" s="100"/>
      <c r="AV856" s="100"/>
    </row>
    <row r="857">
      <c r="A857" s="357"/>
      <c r="B857" s="156"/>
      <c r="C857" s="154"/>
      <c r="D857" s="100"/>
      <c r="E857" s="357"/>
      <c r="F857" s="156"/>
      <c r="G857" s="154"/>
      <c r="H857" s="100"/>
      <c r="I857" s="357"/>
      <c r="J857" s="156"/>
      <c r="K857" s="154"/>
      <c r="L857" s="100"/>
      <c r="M857" s="357"/>
      <c r="N857" s="156"/>
      <c r="O857" s="154"/>
      <c r="P857" s="100"/>
      <c r="Q857" s="357"/>
      <c r="R857" s="156"/>
      <c r="S857" s="154"/>
      <c r="T857" s="100"/>
      <c r="U857" s="357"/>
      <c r="V857" s="156"/>
      <c r="W857" s="154"/>
      <c r="X857" s="100"/>
      <c r="Y857" s="357"/>
      <c r="Z857" s="100"/>
      <c r="AA857" s="100"/>
      <c r="AB857" s="100"/>
      <c r="AC857" s="357"/>
      <c r="AD857" s="367"/>
      <c r="AE857" s="368"/>
      <c r="AF857" s="98"/>
      <c r="AG857" s="357"/>
      <c r="AH857" s="156"/>
      <c r="AI857" s="305"/>
      <c r="AJ857" s="366"/>
      <c r="AK857" s="357"/>
      <c r="AL857" s="371"/>
      <c r="AM857" s="371"/>
      <c r="AN857" s="371"/>
      <c r="AO857" s="357"/>
      <c r="AP857" s="100"/>
      <c r="AQ857" s="100"/>
      <c r="AR857" s="100"/>
      <c r="AS857" s="357"/>
      <c r="AT857" s="100"/>
      <c r="AU857" s="100"/>
      <c r="AV857" s="100"/>
    </row>
    <row r="858">
      <c r="A858" s="357"/>
      <c r="B858" s="156"/>
      <c r="C858" s="154"/>
      <c r="D858" s="100"/>
      <c r="E858" s="357"/>
      <c r="F858" s="156"/>
      <c r="G858" s="154"/>
      <c r="H858" s="100"/>
      <c r="I858" s="357"/>
      <c r="J858" s="156"/>
      <c r="K858" s="154"/>
      <c r="L858" s="100"/>
      <c r="M858" s="357"/>
      <c r="N858" s="156"/>
      <c r="O858" s="154"/>
      <c r="P858" s="100"/>
      <c r="Q858" s="357"/>
      <c r="R858" s="156"/>
      <c r="S858" s="154"/>
      <c r="T858" s="100"/>
      <c r="U858" s="357"/>
      <c r="V858" s="156"/>
      <c r="W858" s="154"/>
      <c r="X858" s="100"/>
      <c r="Y858" s="357"/>
      <c r="Z858" s="100"/>
      <c r="AA858" s="100"/>
      <c r="AB858" s="100"/>
      <c r="AC858" s="357"/>
      <c r="AD858" s="367"/>
      <c r="AE858" s="368"/>
      <c r="AF858" s="98"/>
      <c r="AG858" s="357"/>
      <c r="AH858" s="156"/>
      <c r="AI858" s="305"/>
      <c r="AJ858" s="366"/>
      <c r="AK858" s="357"/>
      <c r="AL858" s="371"/>
      <c r="AM858" s="371"/>
      <c r="AN858" s="371"/>
      <c r="AO858" s="357"/>
      <c r="AP858" s="100"/>
      <c r="AQ858" s="100"/>
      <c r="AR858" s="100"/>
      <c r="AS858" s="357"/>
      <c r="AT858" s="100"/>
      <c r="AU858" s="100"/>
      <c r="AV858" s="100"/>
    </row>
    <row r="859">
      <c r="A859" s="357"/>
      <c r="B859" s="156"/>
      <c r="C859" s="154"/>
      <c r="D859" s="100"/>
      <c r="E859" s="357"/>
      <c r="F859" s="156"/>
      <c r="G859" s="154"/>
      <c r="H859" s="100"/>
      <c r="I859" s="357"/>
      <c r="J859" s="156"/>
      <c r="K859" s="154"/>
      <c r="L859" s="100"/>
      <c r="M859" s="357"/>
      <c r="N859" s="156"/>
      <c r="O859" s="154"/>
      <c r="P859" s="100"/>
      <c r="Q859" s="357"/>
      <c r="R859" s="156"/>
      <c r="S859" s="154"/>
      <c r="T859" s="100"/>
      <c r="U859" s="357"/>
      <c r="V859" s="156"/>
      <c r="W859" s="154"/>
      <c r="X859" s="100"/>
      <c r="Y859" s="357"/>
      <c r="Z859" s="100"/>
      <c r="AA859" s="100"/>
      <c r="AB859" s="100"/>
      <c r="AC859" s="357"/>
      <c r="AD859" s="367"/>
      <c r="AE859" s="368"/>
      <c r="AF859" s="98"/>
      <c r="AG859" s="357"/>
      <c r="AH859" s="156"/>
      <c r="AI859" s="305"/>
      <c r="AJ859" s="366"/>
      <c r="AK859" s="357"/>
      <c r="AL859" s="371"/>
      <c r="AM859" s="371"/>
      <c r="AN859" s="371"/>
      <c r="AO859" s="357"/>
      <c r="AP859" s="100"/>
      <c r="AQ859" s="100"/>
      <c r="AR859" s="100"/>
      <c r="AS859" s="357"/>
      <c r="AT859" s="100"/>
      <c r="AU859" s="100"/>
      <c r="AV859" s="100"/>
    </row>
    <row r="860">
      <c r="A860" s="357"/>
      <c r="B860" s="156"/>
      <c r="C860" s="154"/>
      <c r="D860" s="100"/>
      <c r="E860" s="357"/>
      <c r="F860" s="156"/>
      <c r="G860" s="154"/>
      <c r="H860" s="100"/>
      <c r="I860" s="357"/>
      <c r="J860" s="156"/>
      <c r="K860" s="154"/>
      <c r="L860" s="100"/>
      <c r="M860" s="357"/>
      <c r="N860" s="156"/>
      <c r="O860" s="154"/>
      <c r="P860" s="100"/>
      <c r="Q860" s="357"/>
      <c r="R860" s="156"/>
      <c r="S860" s="154"/>
      <c r="T860" s="100"/>
      <c r="U860" s="357"/>
      <c r="V860" s="156"/>
      <c r="W860" s="154"/>
      <c r="X860" s="100"/>
      <c r="Y860" s="357"/>
      <c r="Z860" s="100"/>
      <c r="AA860" s="100"/>
      <c r="AB860" s="100"/>
      <c r="AC860" s="357"/>
      <c r="AD860" s="367"/>
      <c r="AE860" s="368"/>
      <c r="AF860" s="98"/>
      <c r="AG860" s="357"/>
      <c r="AH860" s="156"/>
      <c r="AI860" s="305"/>
      <c r="AJ860" s="366"/>
      <c r="AK860" s="357"/>
      <c r="AL860" s="371"/>
      <c r="AM860" s="371"/>
      <c r="AN860" s="371"/>
      <c r="AO860" s="357"/>
      <c r="AP860" s="100"/>
      <c r="AQ860" s="100"/>
      <c r="AR860" s="100"/>
      <c r="AS860" s="357"/>
      <c r="AT860" s="100"/>
      <c r="AU860" s="100"/>
      <c r="AV860" s="100"/>
    </row>
    <row r="861">
      <c r="A861" s="357"/>
      <c r="B861" s="156"/>
      <c r="C861" s="154"/>
      <c r="D861" s="100"/>
      <c r="E861" s="357"/>
      <c r="F861" s="156"/>
      <c r="G861" s="154"/>
      <c r="H861" s="100"/>
      <c r="I861" s="357"/>
      <c r="J861" s="156"/>
      <c r="K861" s="154"/>
      <c r="L861" s="100"/>
      <c r="M861" s="357"/>
      <c r="N861" s="156"/>
      <c r="O861" s="154"/>
      <c r="P861" s="100"/>
      <c r="Q861" s="357"/>
      <c r="R861" s="156"/>
      <c r="S861" s="154"/>
      <c r="T861" s="100"/>
      <c r="U861" s="357"/>
      <c r="V861" s="156"/>
      <c r="W861" s="154"/>
      <c r="X861" s="100"/>
      <c r="Y861" s="357"/>
      <c r="Z861" s="100"/>
      <c r="AA861" s="100"/>
      <c r="AB861" s="100"/>
      <c r="AC861" s="357"/>
      <c r="AD861" s="367"/>
      <c r="AE861" s="368"/>
      <c r="AF861" s="98"/>
      <c r="AG861" s="357"/>
      <c r="AH861" s="156"/>
      <c r="AI861" s="305"/>
      <c r="AJ861" s="366"/>
      <c r="AK861" s="357"/>
      <c r="AL861" s="371"/>
      <c r="AM861" s="371"/>
      <c r="AN861" s="371"/>
      <c r="AO861" s="357"/>
      <c r="AP861" s="100"/>
      <c r="AQ861" s="100"/>
      <c r="AR861" s="100"/>
      <c r="AS861" s="357"/>
      <c r="AT861" s="100"/>
      <c r="AU861" s="100"/>
      <c r="AV861" s="100"/>
    </row>
    <row r="862">
      <c r="A862" s="357"/>
      <c r="B862" s="156"/>
      <c r="C862" s="154"/>
      <c r="D862" s="100"/>
      <c r="E862" s="357"/>
      <c r="F862" s="156"/>
      <c r="G862" s="154"/>
      <c r="H862" s="100"/>
      <c r="I862" s="357"/>
      <c r="J862" s="156"/>
      <c r="K862" s="154"/>
      <c r="L862" s="100"/>
      <c r="M862" s="357"/>
      <c r="N862" s="156"/>
      <c r="O862" s="154"/>
      <c r="P862" s="100"/>
      <c r="Q862" s="357"/>
      <c r="R862" s="156"/>
      <c r="S862" s="154"/>
      <c r="T862" s="100"/>
      <c r="U862" s="357"/>
      <c r="V862" s="156"/>
      <c r="W862" s="154"/>
      <c r="X862" s="100"/>
      <c r="Y862" s="357"/>
      <c r="Z862" s="100"/>
      <c r="AA862" s="100"/>
      <c r="AB862" s="100"/>
      <c r="AC862" s="357"/>
      <c r="AD862" s="367"/>
      <c r="AE862" s="368"/>
      <c r="AF862" s="98"/>
      <c r="AG862" s="357"/>
      <c r="AH862" s="156"/>
      <c r="AI862" s="305"/>
      <c r="AJ862" s="366"/>
      <c r="AK862" s="357"/>
      <c r="AL862" s="371"/>
      <c r="AM862" s="371"/>
      <c r="AN862" s="371"/>
      <c r="AO862" s="357"/>
      <c r="AP862" s="100"/>
      <c r="AQ862" s="100"/>
      <c r="AR862" s="100"/>
      <c r="AS862" s="357"/>
      <c r="AT862" s="100"/>
      <c r="AU862" s="100"/>
      <c r="AV862" s="100"/>
    </row>
    <row r="863">
      <c r="A863" s="357"/>
      <c r="B863" s="156"/>
      <c r="C863" s="154"/>
      <c r="D863" s="100"/>
      <c r="E863" s="357"/>
      <c r="F863" s="156"/>
      <c r="G863" s="154"/>
      <c r="H863" s="100"/>
      <c r="I863" s="357"/>
      <c r="J863" s="156"/>
      <c r="K863" s="154"/>
      <c r="L863" s="100"/>
      <c r="M863" s="357"/>
      <c r="N863" s="156"/>
      <c r="O863" s="154"/>
      <c r="P863" s="100"/>
      <c r="Q863" s="357"/>
      <c r="R863" s="156"/>
      <c r="S863" s="154"/>
      <c r="T863" s="100"/>
      <c r="U863" s="357"/>
      <c r="V863" s="156"/>
      <c r="W863" s="154"/>
      <c r="X863" s="100"/>
      <c r="Y863" s="357"/>
      <c r="Z863" s="100"/>
      <c r="AA863" s="100"/>
      <c r="AB863" s="100"/>
      <c r="AC863" s="357"/>
      <c r="AD863" s="367"/>
      <c r="AE863" s="368"/>
      <c r="AF863" s="98"/>
      <c r="AG863" s="357"/>
      <c r="AH863" s="156"/>
      <c r="AI863" s="305"/>
      <c r="AJ863" s="366"/>
      <c r="AK863" s="357"/>
      <c r="AL863" s="371"/>
      <c r="AM863" s="371"/>
      <c r="AN863" s="371"/>
      <c r="AO863" s="357"/>
      <c r="AP863" s="100"/>
      <c r="AQ863" s="100"/>
      <c r="AR863" s="100"/>
      <c r="AS863" s="357"/>
      <c r="AT863" s="100"/>
      <c r="AU863" s="100"/>
      <c r="AV863" s="100"/>
    </row>
    <row r="864">
      <c r="A864" s="357"/>
      <c r="B864" s="156"/>
      <c r="C864" s="154"/>
      <c r="D864" s="100"/>
      <c r="E864" s="357"/>
      <c r="F864" s="156"/>
      <c r="G864" s="154"/>
      <c r="H864" s="100"/>
      <c r="I864" s="357"/>
      <c r="J864" s="156"/>
      <c r="K864" s="154"/>
      <c r="L864" s="100"/>
      <c r="M864" s="357"/>
      <c r="N864" s="156"/>
      <c r="O864" s="154"/>
      <c r="P864" s="100"/>
      <c r="Q864" s="357"/>
      <c r="R864" s="156"/>
      <c r="S864" s="154"/>
      <c r="T864" s="100"/>
      <c r="U864" s="357"/>
      <c r="V864" s="156"/>
      <c r="W864" s="154"/>
      <c r="X864" s="100"/>
      <c r="Y864" s="357"/>
      <c r="Z864" s="100"/>
      <c r="AA864" s="100"/>
      <c r="AB864" s="100"/>
      <c r="AC864" s="357"/>
      <c r="AD864" s="367"/>
      <c r="AE864" s="368"/>
      <c r="AF864" s="98"/>
      <c r="AG864" s="357"/>
      <c r="AH864" s="156"/>
      <c r="AI864" s="305"/>
      <c r="AJ864" s="366"/>
      <c r="AK864" s="357"/>
      <c r="AL864" s="371"/>
      <c r="AM864" s="371"/>
      <c r="AN864" s="371"/>
      <c r="AO864" s="357"/>
      <c r="AP864" s="100"/>
      <c r="AQ864" s="100"/>
      <c r="AR864" s="100"/>
      <c r="AS864" s="357"/>
      <c r="AT864" s="100"/>
      <c r="AU864" s="100"/>
      <c r="AV864" s="100"/>
    </row>
    <row r="865">
      <c r="A865" s="357"/>
      <c r="B865" s="156"/>
      <c r="C865" s="154"/>
      <c r="D865" s="100"/>
      <c r="E865" s="357"/>
      <c r="F865" s="156"/>
      <c r="G865" s="154"/>
      <c r="H865" s="100"/>
      <c r="I865" s="357"/>
      <c r="J865" s="156"/>
      <c r="K865" s="154"/>
      <c r="L865" s="100"/>
      <c r="M865" s="357"/>
      <c r="N865" s="156"/>
      <c r="O865" s="154"/>
      <c r="P865" s="100"/>
      <c r="Q865" s="357"/>
      <c r="R865" s="156"/>
      <c r="S865" s="154"/>
      <c r="T865" s="100"/>
      <c r="U865" s="357"/>
      <c r="V865" s="156"/>
      <c r="W865" s="154"/>
      <c r="X865" s="100"/>
      <c r="Y865" s="357"/>
      <c r="Z865" s="100"/>
      <c r="AA865" s="100"/>
      <c r="AB865" s="100"/>
      <c r="AC865" s="357"/>
      <c r="AD865" s="367"/>
      <c r="AE865" s="368"/>
      <c r="AF865" s="98"/>
      <c r="AG865" s="357"/>
      <c r="AH865" s="156"/>
      <c r="AI865" s="305"/>
      <c r="AJ865" s="366"/>
      <c r="AK865" s="357"/>
      <c r="AL865" s="371"/>
      <c r="AM865" s="371"/>
      <c r="AN865" s="371"/>
      <c r="AO865" s="357"/>
      <c r="AP865" s="100"/>
      <c r="AQ865" s="100"/>
      <c r="AR865" s="100"/>
      <c r="AS865" s="357"/>
      <c r="AT865" s="100"/>
      <c r="AU865" s="100"/>
      <c r="AV865" s="100"/>
    </row>
    <row r="866">
      <c r="A866" s="357"/>
      <c r="B866" s="156"/>
      <c r="C866" s="154"/>
      <c r="D866" s="100"/>
      <c r="E866" s="357"/>
      <c r="F866" s="156"/>
      <c r="G866" s="154"/>
      <c r="H866" s="100"/>
      <c r="I866" s="357"/>
      <c r="J866" s="156"/>
      <c r="K866" s="154"/>
      <c r="L866" s="100"/>
      <c r="M866" s="357"/>
      <c r="N866" s="156"/>
      <c r="O866" s="154"/>
      <c r="P866" s="100"/>
      <c r="Q866" s="357"/>
      <c r="R866" s="156"/>
      <c r="S866" s="154"/>
      <c r="T866" s="100"/>
      <c r="U866" s="357"/>
      <c r="V866" s="156"/>
      <c r="W866" s="154"/>
      <c r="X866" s="100"/>
      <c r="Y866" s="357"/>
      <c r="Z866" s="100"/>
      <c r="AA866" s="100"/>
      <c r="AB866" s="100"/>
      <c r="AC866" s="357"/>
      <c r="AD866" s="367"/>
      <c r="AE866" s="368"/>
      <c r="AF866" s="98"/>
      <c r="AG866" s="357"/>
      <c r="AH866" s="156"/>
      <c r="AI866" s="305"/>
      <c r="AJ866" s="366"/>
      <c r="AK866" s="357"/>
      <c r="AL866" s="371"/>
      <c r="AM866" s="371"/>
      <c r="AN866" s="371"/>
      <c r="AO866" s="357"/>
      <c r="AP866" s="100"/>
      <c r="AQ866" s="100"/>
      <c r="AR866" s="100"/>
      <c r="AS866" s="357"/>
      <c r="AT866" s="100"/>
      <c r="AU866" s="100"/>
      <c r="AV866" s="100"/>
    </row>
    <row r="867">
      <c r="A867" s="357"/>
      <c r="B867" s="156"/>
      <c r="C867" s="154"/>
      <c r="D867" s="100"/>
      <c r="E867" s="357"/>
      <c r="F867" s="156"/>
      <c r="G867" s="154"/>
      <c r="H867" s="100"/>
      <c r="I867" s="357"/>
      <c r="J867" s="156"/>
      <c r="K867" s="154"/>
      <c r="L867" s="100"/>
      <c r="M867" s="357"/>
      <c r="N867" s="156"/>
      <c r="O867" s="154"/>
      <c r="P867" s="100"/>
      <c r="Q867" s="357"/>
      <c r="R867" s="156"/>
      <c r="S867" s="154"/>
      <c r="T867" s="100"/>
      <c r="U867" s="357"/>
      <c r="V867" s="156"/>
      <c r="W867" s="154"/>
      <c r="X867" s="100"/>
      <c r="Y867" s="357"/>
      <c r="Z867" s="100"/>
      <c r="AA867" s="100"/>
      <c r="AB867" s="100"/>
      <c r="AC867" s="357"/>
      <c r="AD867" s="367"/>
      <c r="AE867" s="368"/>
      <c r="AF867" s="98"/>
      <c r="AG867" s="357"/>
      <c r="AH867" s="156"/>
      <c r="AI867" s="305"/>
      <c r="AJ867" s="366"/>
      <c r="AK867" s="357"/>
      <c r="AL867" s="371"/>
      <c r="AM867" s="371"/>
      <c r="AN867" s="371"/>
      <c r="AO867" s="357"/>
      <c r="AP867" s="100"/>
      <c r="AQ867" s="100"/>
      <c r="AR867" s="100"/>
      <c r="AS867" s="357"/>
      <c r="AT867" s="100"/>
      <c r="AU867" s="100"/>
      <c r="AV867" s="100"/>
    </row>
    <row r="868">
      <c r="A868" s="357"/>
      <c r="B868" s="156"/>
      <c r="C868" s="154"/>
      <c r="D868" s="100"/>
      <c r="E868" s="357"/>
      <c r="F868" s="156"/>
      <c r="G868" s="154"/>
      <c r="H868" s="100"/>
      <c r="I868" s="357"/>
      <c r="J868" s="156"/>
      <c r="K868" s="154"/>
      <c r="L868" s="100"/>
      <c r="M868" s="357"/>
      <c r="N868" s="156"/>
      <c r="O868" s="154"/>
      <c r="P868" s="100"/>
      <c r="Q868" s="357"/>
      <c r="R868" s="156"/>
      <c r="S868" s="154"/>
      <c r="T868" s="100"/>
      <c r="U868" s="357"/>
      <c r="V868" s="156"/>
      <c r="W868" s="154"/>
      <c r="X868" s="100"/>
      <c r="Y868" s="357"/>
      <c r="Z868" s="100"/>
      <c r="AA868" s="100"/>
      <c r="AB868" s="100"/>
      <c r="AC868" s="357"/>
      <c r="AD868" s="367"/>
      <c r="AE868" s="368"/>
      <c r="AF868" s="98"/>
      <c r="AG868" s="357"/>
      <c r="AH868" s="156"/>
      <c r="AI868" s="305"/>
      <c r="AJ868" s="366"/>
      <c r="AK868" s="357"/>
      <c r="AL868" s="371"/>
      <c r="AM868" s="371"/>
      <c r="AN868" s="371"/>
      <c r="AO868" s="357"/>
      <c r="AP868" s="100"/>
      <c r="AQ868" s="100"/>
      <c r="AR868" s="100"/>
      <c r="AS868" s="357"/>
      <c r="AT868" s="100"/>
      <c r="AU868" s="100"/>
      <c r="AV868" s="100"/>
    </row>
    <row r="869">
      <c r="A869" s="357"/>
      <c r="B869" s="156"/>
      <c r="C869" s="154"/>
      <c r="D869" s="100"/>
      <c r="E869" s="357"/>
      <c r="F869" s="156"/>
      <c r="G869" s="154"/>
      <c r="H869" s="100"/>
      <c r="I869" s="357"/>
      <c r="J869" s="156"/>
      <c r="K869" s="154"/>
      <c r="L869" s="100"/>
      <c r="M869" s="357"/>
      <c r="N869" s="156"/>
      <c r="O869" s="154"/>
      <c r="P869" s="100"/>
      <c r="Q869" s="357"/>
      <c r="R869" s="156"/>
      <c r="S869" s="154"/>
      <c r="T869" s="100"/>
      <c r="U869" s="357"/>
      <c r="V869" s="156"/>
      <c r="W869" s="154"/>
      <c r="X869" s="100"/>
      <c r="Y869" s="357"/>
      <c r="Z869" s="100"/>
      <c r="AA869" s="100"/>
      <c r="AB869" s="100"/>
      <c r="AC869" s="357"/>
      <c r="AD869" s="367"/>
      <c r="AE869" s="368"/>
      <c r="AF869" s="98"/>
      <c r="AG869" s="357"/>
      <c r="AH869" s="156"/>
      <c r="AI869" s="305"/>
      <c r="AJ869" s="366"/>
      <c r="AK869" s="357"/>
      <c r="AL869" s="371"/>
      <c r="AM869" s="371"/>
      <c r="AN869" s="371"/>
      <c r="AO869" s="357"/>
      <c r="AP869" s="100"/>
      <c r="AQ869" s="100"/>
      <c r="AR869" s="100"/>
      <c r="AS869" s="357"/>
      <c r="AT869" s="100"/>
      <c r="AU869" s="100"/>
      <c r="AV869" s="100"/>
    </row>
    <row r="870">
      <c r="A870" s="357"/>
      <c r="B870" s="156"/>
      <c r="C870" s="154"/>
      <c r="D870" s="100"/>
      <c r="E870" s="357"/>
      <c r="F870" s="156"/>
      <c r="G870" s="154"/>
      <c r="H870" s="100"/>
      <c r="I870" s="357"/>
      <c r="J870" s="156"/>
      <c r="K870" s="154"/>
      <c r="L870" s="100"/>
      <c r="M870" s="357"/>
      <c r="N870" s="156"/>
      <c r="O870" s="154"/>
      <c r="P870" s="100"/>
      <c r="Q870" s="357"/>
      <c r="R870" s="156"/>
      <c r="S870" s="154"/>
      <c r="T870" s="100"/>
      <c r="U870" s="357"/>
      <c r="V870" s="156"/>
      <c r="W870" s="154"/>
      <c r="X870" s="100"/>
      <c r="Y870" s="357"/>
      <c r="Z870" s="100"/>
      <c r="AA870" s="100"/>
      <c r="AB870" s="100"/>
      <c r="AC870" s="357"/>
      <c r="AD870" s="367"/>
      <c r="AE870" s="368"/>
      <c r="AF870" s="98"/>
      <c r="AG870" s="357"/>
      <c r="AH870" s="156"/>
      <c r="AI870" s="305"/>
      <c r="AJ870" s="366"/>
      <c r="AK870" s="357"/>
      <c r="AL870" s="371"/>
      <c r="AM870" s="371"/>
      <c r="AN870" s="371"/>
      <c r="AO870" s="357"/>
      <c r="AP870" s="100"/>
      <c r="AQ870" s="100"/>
      <c r="AR870" s="100"/>
      <c r="AS870" s="357"/>
      <c r="AT870" s="100"/>
      <c r="AU870" s="100"/>
      <c r="AV870" s="100"/>
    </row>
    <row r="871">
      <c r="A871" s="357"/>
      <c r="B871" s="156"/>
      <c r="C871" s="154"/>
      <c r="D871" s="100"/>
      <c r="E871" s="357"/>
      <c r="F871" s="156"/>
      <c r="G871" s="154"/>
      <c r="H871" s="100"/>
      <c r="I871" s="357"/>
      <c r="J871" s="156"/>
      <c r="K871" s="154"/>
      <c r="L871" s="100"/>
      <c r="M871" s="357"/>
      <c r="N871" s="156"/>
      <c r="O871" s="154"/>
      <c r="P871" s="100"/>
      <c r="Q871" s="357"/>
      <c r="R871" s="156"/>
      <c r="S871" s="154"/>
      <c r="T871" s="100"/>
      <c r="U871" s="357"/>
      <c r="V871" s="156"/>
      <c r="W871" s="154"/>
      <c r="X871" s="100"/>
      <c r="Y871" s="357"/>
      <c r="Z871" s="100"/>
      <c r="AA871" s="100"/>
      <c r="AB871" s="100"/>
      <c r="AC871" s="357"/>
      <c r="AD871" s="367"/>
      <c r="AE871" s="368"/>
      <c r="AF871" s="98"/>
      <c r="AG871" s="357"/>
      <c r="AH871" s="156"/>
      <c r="AI871" s="305"/>
      <c r="AJ871" s="366"/>
      <c r="AK871" s="357"/>
      <c r="AL871" s="371"/>
      <c r="AM871" s="371"/>
      <c r="AN871" s="371"/>
      <c r="AO871" s="357"/>
      <c r="AP871" s="100"/>
      <c r="AQ871" s="100"/>
      <c r="AR871" s="100"/>
      <c r="AS871" s="357"/>
      <c r="AT871" s="100"/>
      <c r="AU871" s="100"/>
      <c r="AV871" s="100"/>
    </row>
    <row r="872">
      <c r="A872" s="357"/>
      <c r="B872" s="156"/>
      <c r="C872" s="154"/>
      <c r="D872" s="100"/>
      <c r="E872" s="357"/>
      <c r="F872" s="156"/>
      <c r="G872" s="154"/>
      <c r="H872" s="100"/>
      <c r="I872" s="357"/>
      <c r="J872" s="156"/>
      <c r="K872" s="154"/>
      <c r="L872" s="100"/>
      <c r="M872" s="357"/>
      <c r="N872" s="156"/>
      <c r="O872" s="154"/>
      <c r="P872" s="100"/>
      <c r="Q872" s="357"/>
      <c r="R872" s="156"/>
      <c r="S872" s="154"/>
      <c r="T872" s="100"/>
      <c r="U872" s="357"/>
      <c r="V872" s="156"/>
      <c r="W872" s="154"/>
      <c r="X872" s="100"/>
      <c r="Y872" s="357"/>
      <c r="Z872" s="100"/>
      <c r="AA872" s="100"/>
      <c r="AB872" s="100"/>
      <c r="AC872" s="357"/>
      <c r="AD872" s="367"/>
      <c r="AE872" s="368"/>
      <c r="AF872" s="98"/>
      <c r="AG872" s="357"/>
      <c r="AH872" s="156"/>
      <c r="AI872" s="305"/>
      <c r="AJ872" s="366"/>
      <c r="AK872" s="357"/>
      <c r="AL872" s="371"/>
      <c r="AM872" s="371"/>
      <c r="AN872" s="371"/>
      <c r="AO872" s="357"/>
      <c r="AP872" s="100"/>
      <c r="AQ872" s="100"/>
      <c r="AR872" s="100"/>
      <c r="AS872" s="357"/>
      <c r="AT872" s="100"/>
      <c r="AU872" s="100"/>
      <c r="AV872" s="100"/>
    </row>
    <row r="873">
      <c r="A873" s="357"/>
      <c r="B873" s="156"/>
      <c r="C873" s="154"/>
      <c r="D873" s="100"/>
      <c r="E873" s="357"/>
      <c r="F873" s="156"/>
      <c r="G873" s="154"/>
      <c r="H873" s="100"/>
      <c r="I873" s="357"/>
      <c r="J873" s="156"/>
      <c r="K873" s="154"/>
      <c r="L873" s="100"/>
      <c r="M873" s="357"/>
      <c r="N873" s="156"/>
      <c r="O873" s="154"/>
      <c r="P873" s="100"/>
      <c r="Q873" s="357"/>
      <c r="R873" s="156"/>
      <c r="S873" s="154"/>
      <c r="T873" s="100"/>
      <c r="U873" s="357"/>
      <c r="V873" s="156"/>
      <c r="W873" s="154"/>
      <c r="X873" s="100"/>
      <c r="Y873" s="357"/>
      <c r="Z873" s="100"/>
      <c r="AA873" s="100"/>
      <c r="AB873" s="100"/>
      <c r="AC873" s="357"/>
      <c r="AD873" s="367"/>
      <c r="AE873" s="368"/>
      <c r="AF873" s="98"/>
      <c r="AG873" s="357"/>
      <c r="AH873" s="156"/>
      <c r="AI873" s="305"/>
      <c r="AJ873" s="366"/>
      <c r="AK873" s="357"/>
      <c r="AL873" s="371"/>
      <c r="AM873" s="371"/>
      <c r="AN873" s="371"/>
      <c r="AO873" s="357"/>
      <c r="AP873" s="100"/>
      <c r="AQ873" s="100"/>
      <c r="AR873" s="100"/>
      <c r="AS873" s="357"/>
      <c r="AT873" s="100"/>
      <c r="AU873" s="100"/>
      <c r="AV873" s="100"/>
    </row>
    <row r="874">
      <c r="A874" s="357"/>
      <c r="B874" s="156"/>
      <c r="C874" s="154"/>
      <c r="D874" s="100"/>
      <c r="E874" s="357"/>
      <c r="F874" s="156"/>
      <c r="G874" s="154"/>
      <c r="H874" s="100"/>
      <c r="I874" s="357"/>
      <c r="J874" s="156"/>
      <c r="K874" s="154"/>
      <c r="L874" s="100"/>
      <c r="M874" s="357"/>
      <c r="N874" s="156"/>
      <c r="O874" s="154"/>
      <c r="P874" s="100"/>
      <c r="Q874" s="357"/>
      <c r="R874" s="156"/>
      <c r="S874" s="154"/>
      <c r="T874" s="100"/>
      <c r="U874" s="357"/>
      <c r="V874" s="156"/>
      <c r="W874" s="154"/>
      <c r="X874" s="100"/>
      <c r="Y874" s="357"/>
      <c r="Z874" s="100"/>
      <c r="AA874" s="100"/>
      <c r="AB874" s="100"/>
      <c r="AC874" s="357"/>
      <c r="AD874" s="367"/>
      <c r="AE874" s="368"/>
      <c r="AF874" s="98"/>
      <c r="AG874" s="357"/>
      <c r="AH874" s="156"/>
      <c r="AI874" s="305"/>
      <c r="AJ874" s="366"/>
      <c r="AK874" s="357"/>
      <c r="AL874" s="371"/>
      <c r="AM874" s="371"/>
      <c r="AN874" s="371"/>
      <c r="AO874" s="357"/>
      <c r="AP874" s="100"/>
      <c r="AQ874" s="100"/>
      <c r="AR874" s="100"/>
      <c r="AS874" s="357"/>
      <c r="AT874" s="100"/>
      <c r="AU874" s="100"/>
      <c r="AV874" s="100"/>
    </row>
    <row r="875">
      <c r="A875" s="357"/>
      <c r="B875" s="156"/>
      <c r="C875" s="154"/>
      <c r="D875" s="100"/>
      <c r="E875" s="357"/>
      <c r="F875" s="156"/>
      <c r="G875" s="154"/>
      <c r="H875" s="100"/>
      <c r="I875" s="357"/>
      <c r="J875" s="156"/>
      <c r="K875" s="154"/>
      <c r="L875" s="100"/>
      <c r="M875" s="357"/>
      <c r="N875" s="156"/>
      <c r="O875" s="154"/>
      <c r="P875" s="100"/>
      <c r="Q875" s="357"/>
      <c r="R875" s="156"/>
      <c r="S875" s="154"/>
      <c r="T875" s="100"/>
      <c r="U875" s="357"/>
      <c r="V875" s="156"/>
      <c r="W875" s="154"/>
      <c r="X875" s="100"/>
      <c r="Y875" s="357"/>
      <c r="Z875" s="100"/>
      <c r="AA875" s="100"/>
      <c r="AB875" s="100"/>
      <c r="AC875" s="357"/>
      <c r="AD875" s="367"/>
      <c r="AE875" s="368"/>
      <c r="AF875" s="98"/>
      <c r="AG875" s="357"/>
      <c r="AH875" s="156"/>
      <c r="AI875" s="305"/>
      <c r="AJ875" s="366"/>
      <c r="AK875" s="357"/>
      <c r="AL875" s="371"/>
      <c r="AM875" s="371"/>
      <c r="AN875" s="371"/>
      <c r="AO875" s="357"/>
      <c r="AP875" s="100"/>
      <c r="AQ875" s="100"/>
      <c r="AR875" s="100"/>
      <c r="AS875" s="357"/>
      <c r="AT875" s="100"/>
      <c r="AU875" s="100"/>
      <c r="AV875" s="100"/>
    </row>
    <row r="876">
      <c r="A876" s="357"/>
      <c r="B876" s="156"/>
      <c r="C876" s="154"/>
      <c r="D876" s="100"/>
      <c r="E876" s="357"/>
      <c r="F876" s="156"/>
      <c r="G876" s="154"/>
      <c r="H876" s="100"/>
      <c r="I876" s="357"/>
      <c r="J876" s="156"/>
      <c r="K876" s="154"/>
      <c r="L876" s="100"/>
      <c r="M876" s="357"/>
      <c r="N876" s="156"/>
      <c r="O876" s="154"/>
      <c r="P876" s="100"/>
      <c r="Q876" s="357"/>
      <c r="R876" s="156"/>
      <c r="S876" s="154"/>
      <c r="T876" s="100"/>
      <c r="U876" s="357"/>
      <c r="V876" s="156"/>
      <c r="W876" s="154"/>
      <c r="X876" s="100"/>
      <c r="Y876" s="357"/>
      <c r="Z876" s="100"/>
      <c r="AA876" s="100"/>
      <c r="AB876" s="100"/>
      <c r="AC876" s="357"/>
      <c r="AD876" s="367"/>
      <c r="AE876" s="368"/>
      <c r="AF876" s="98"/>
      <c r="AG876" s="357"/>
      <c r="AH876" s="156"/>
      <c r="AI876" s="305"/>
      <c r="AJ876" s="366"/>
      <c r="AK876" s="357"/>
      <c r="AL876" s="371"/>
      <c r="AM876" s="371"/>
      <c r="AN876" s="371"/>
      <c r="AO876" s="357"/>
      <c r="AP876" s="100"/>
      <c r="AQ876" s="100"/>
      <c r="AR876" s="100"/>
      <c r="AS876" s="357"/>
      <c r="AT876" s="100"/>
      <c r="AU876" s="100"/>
      <c r="AV876" s="100"/>
    </row>
    <row r="877">
      <c r="A877" s="357"/>
      <c r="B877" s="156"/>
      <c r="C877" s="154"/>
      <c r="D877" s="100"/>
      <c r="E877" s="357"/>
      <c r="F877" s="156"/>
      <c r="G877" s="154"/>
      <c r="H877" s="100"/>
      <c r="I877" s="357"/>
      <c r="J877" s="156"/>
      <c r="K877" s="154"/>
      <c r="L877" s="100"/>
      <c r="M877" s="357"/>
      <c r="N877" s="156"/>
      <c r="O877" s="154"/>
      <c r="P877" s="100"/>
      <c r="Q877" s="357"/>
      <c r="R877" s="156"/>
      <c r="S877" s="154"/>
      <c r="T877" s="100"/>
      <c r="U877" s="357"/>
      <c r="V877" s="156"/>
      <c r="W877" s="154"/>
      <c r="X877" s="100"/>
      <c r="Y877" s="357"/>
      <c r="Z877" s="100"/>
      <c r="AA877" s="100"/>
      <c r="AB877" s="100"/>
      <c r="AC877" s="357"/>
      <c r="AD877" s="367"/>
      <c r="AE877" s="368"/>
      <c r="AF877" s="98"/>
      <c r="AG877" s="357"/>
      <c r="AH877" s="156"/>
      <c r="AI877" s="305"/>
      <c r="AJ877" s="366"/>
      <c r="AK877" s="357"/>
      <c r="AL877" s="371"/>
      <c r="AM877" s="371"/>
      <c r="AN877" s="371"/>
      <c r="AO877" s="357"/>
      <c r="AP877" s="100"/>
      <c r="AQ877" s="100"/>
      <c r="AR877" s="100"/>
      <c r="AS877" s="357"/>
      <c r="AT877" s="100"/>
      <c r="AU877" s="100"/>
      <c r="AV877" s="100"/>
    </row>
    <row r="878">
      <c r="A878" s="357"/>
      <c r="B878" s="156"/>
      <c r="C878" s="154"/>
      <c r="D878" s="100"/>
      <c r="E878" s="357"/>
      <c r="F878" s="156"/>
      <c r="G878" s="154"/>
      <c r="H878" s="100"/>
      <c r="I878" s="357"/>
      <c r="J878" s="156"/>
      <c r="K878" s="154"/>
      <c r="L878" s="100"/>
      <c r="M878" s="357"/>
      <c r="N878" s="156"/>
      <c r="O878" s="154"/>
      <c r="P878" s="100"/>
      <c r="Q878" s="357"/>
      <c r="R878" s="156"/>
      <c r="S878" s="154"/>
      <c r="T878" s="100"/>
      <c r="U878" s="357"/>
      <c r="V878" s="156"/>
      <c r="W878" s="154"/>
      <c r="X878" s="100"/>
      <c r="Y878" s="357"/>
      <c r="Z878" s="100"/>
      <c r="AA878" s="100"/>
      <c r="AB878" s="100"/>
      <c r="AC878" s="357"/>
      <c r="AD878" s="367"/>
      <c r="AE878" s="368"/>
      <c r="AF878" s="98"/>
      <c r="AG878" s="357"/>
      <c r="AH878" s="156"/>
      <c r="AI878" s="305"/>
      <c r="AJ878" s="366"/>
      <c r="AK878" s="357"/>
      <c r="AL878" s="371"/>
      <c r="AM878" s="371"/>
      <c r="AN878" s="371"/>
      <c r="AO878" s="357"/>
      <c r="AP878" s="100"/>
      <c r="AQ878" s="100"/>
      <c r="AR878" s="100"/>
      <c r="AS878" s="357"/>
      <c r="AT878" s="100"/>
      <c r="AU878" s="100"/>
      <c r="AV878" s="100"/>
    </row>
    <row r="879">
      <c r="A879" s="357"/>
      <c r="B879" s="156"/>
      <c r="C879" s="154"/>
      <c r="D879" s="100"/>
      <c r="E879" s="357"/>
      <c r="F879" s="156"/>
      <c r="G879" s="154"/>
      <c r="H879" s="100"/>
      <c r="I879" s="357"/>
      <c r="J879" s="156"/>
      <c r="K879" s="154"/>
      <c r="L879" s="100"/>
      <c r="M879" s="357"/>
      <c r="N879" s="156"/>
      <c r="O879" s="154"/>
      <c r="P879" s="100"/>
      <c r="Q879" s="357"/>
      <c r="R879" s="156"/>
      <c r="S879" s="154"/>
      <c r="T879" s="100"/>
      <c r="U879" s="357"/>
      <c r="V879" s="156"/>
      <c r="W879" s="154"/>
      <c r="X879" s="100"/>
      <c r="Y879" s="357"/>
      <c r="Z879" s="100"/>
      <c r="AA879" s="100"/>
      <c r="AB879" s="100"/>
      <c r="AC879" s="357"/>
      <c r="AD879" s="367"/>
      <c r="AE879" s="368"/>
      <c r="AF879" s="98"/>
      <c r="AG879" s="357"/>
      <c r="AH879" s="156"/>
      <c r="AI879" s="305"/>
      <c r="AJ879" s="366"/>
      <c r="AK879" s="357"/>
      <c r="AL879" s="371"/>
      <c r="AM879" s="371"/>
      <c r="AN879" s="371"/>
      <c r="AO879" s="357"/>
      <c r="AP879" s="100"/>
      <c r="AQ879" s="100"/>
      <c r="AR879" s="100"/>
      <c r="AS879" s="357"/>
      <c r="AT879" s="100"/>
      <c r="AU879" s="100"/>
      <c r="AV879" s="100"/>
    </row>
    <row r="880">
      <c r="A880" s="357"/>
      <c r="B880" s="156"/>
      <c r="C880" s="154"/>
      <c r="D880" s="100"/>
      <c r="E880" s="357"/>
      <c r="F880" s="156"/>
      <c r="G880" s="154"/>
      <c r="H880" s="100"/>
      <c r="I880" s="357"/>
      <c r="J880" s="156"/>
      <c r="K880" s="154"/>
      <c r="L880" s="100"/>
      <c r="M880" s="357"/>
      <c r="N880" s="156"/>
      <c r="O880" s="154"/>
      <c r="P880" s="100"/>
      <c r="Q880" s="357"/>
      <c r="R880" s="156"/>
      <c r="S880" s="154"/>
      <c r="T880" s="100"/>
      <c r="U880" s="357"/>
      <c r="V880" s="156"/>
      <c r="W880" s="154"/>
      <c r="X880" s="100"/>
      <c r="Y880" s="357"/>
      <c r="Z880" s="100"/>
      <c r="AA880" s="100"/>
      <c r="AB880" s="100"/>
      <c r="AC880" s="357"/>
      <c r="AD880" s="367"/>
      <c r="AE880" s="368"/>
      <c r="AF880" s="98"/>
      <c r="AG880" s="357"/>
      <c r="AH880" s="156"/>
      <c r="AI880" s="305"/>
      <c r="AJ880" s="366"/>
      <c r="AK880" s="357"/>
      <c r="AL880" s="371"/>
      <c r="AM880" s="371"/>
      <c r="AN880" s="371"/>
      <c r="AO880" s="357"/>
      <c r="AP880" s="100"/>
      <c r="AQ880" s="100"/>
      <c r="AR880" s="100"/>
      <c r="AS880" s="357"/>
      <c r="AT880" s="100"/>
      <c r="AU880" s="100"/>
      <c r="AV880" s="100"/>
    </row>
    <row r="881">
      <c r="A881" s="357"/>
      <c r="B881" s="156"/>
      <c r="C881" s="154"/>
      <c r="D881" s="100"/>
      <c r="E881" s="357"/>
      <c r="F881" s="156"/>
      <c r="G881" s="154"/>
      <c r="H881" s="100"/>
      <c r="I881" s="357"/>
      <c r="J881" s="156"/>
      <c r="K881" s="154"/>
      <c r="L881" s="100"/>
      <c r="M881" s="357"/>
      <c r="N881" s="156"/>
      <c r="O881" s="154"/>
      <c r="P881" s="100"/>
      <c r="Q881" s="357"/>
      <c r="R881" s="156"/>
      <c r="S881" s="154"/>
      <c r="T881" s="100"/>
      <c r="U881" s="357"/>
      <c r="V881" s="156"/>
      <c r="W881" s="154"/>
      <c r="X881" s="100"/>
      <c r="Y881" s="357"/>
      <c r="Z881" s="100"/>
      <c r="AA881" s="100"/>
      <c r="AB881" s="100"/>
      <c r="AC881" s="357"/>
      <c r="AD881" s="367"/>
      <c r="AE881" s="368"/>
      <c r="AF881" s="98"/>
      <c r="AG881" s="357"/>
      <c r="AH881" s="156"/>
      <c r="AI881" s="305"/>
      <c r="AJ881" s="366"/>
      <c r="AK881" s="357"/>
      <c r="AL881" s="371"/>
      <c r="AM881" s="371"/>
      <c r="AN881" s="371"/>
      <c r="AO881" s="357"/>
      <c r="AP881" s="100"/>
      <c r="AQ881" s="100"/>
      <c r="AR881" s="100"/>
      <c r="AS881" s="357"/>
      <c r="AT881" s="100"/>
      <c r="AU881" s="100"/>
      <c r="AV881" s="100"/>
    </row>
    <row r="882">
      <c r="A882" s="357"/>
      <c r="B882" s="156"/>
      <c r="C882" s="154"/>
      <c r="D882" s="100"/>
      <c r="E882" s="357"/>
      <c r="F882" s="156"/>
      <c r="G882" s="154"/>
      <c r="H882" s="100"/>
      <c r="I882" s="357"/>
      <c r="J882" s="156"/>
      <c r="K882" s="154"/>
      <c r="L882" s="100"/>
      <c r="M882" s="357"/>
      <c r="N882" s="156"/>
      <c r="O882" s="154"/>
      <c r="P882" s="100"/>
      <c r="Q882" s="357"/>
      <c r="R882" s="156"/>
      <c r="S882" s="154"/>
      <c r="T882" s="100"/>
      <c r="U882" s="357"/>
      <c r="V882" s="156"/>
      <c r="W882" s="154"/>
      <c r="X882" s="100"/>
      <c r="Y882" s="357"/>
      <c r="Z882" s="100"/>
      <c r="AA882" s="100"/>
      <c r="AB882" s="100"/>
      <c r="AC882" s="357"/>
      <c r="AD882" s="367"/>
      <c r="AE882" s="368"/>
      <c r="AF882" s="98"/>
      <c r="AG882" s="357"/>
      <c r="AH882" s="156"/>
      <c r="AI882" s="305"/>
      <c r="AJ882" s="366"/>
      <c r="AK882" s="357"/>
      <c r="AL882" s="371"/>
      <c r="AM882" s="371"/>
      <c r="AN882" s="371"/>
      <c r="AO882" s="357"/>
      <c r="AP882" s="100"/>
      <c r="AQ882" s="100"/>
      <c r="AR882" s="100"/>
      <c r="AS882" s="357"/>
      <c r="AT882" s="100"/>
      <c r="AU882" s="100"/>
      <c r="AV882" s="100"/>
    </row>
    <row r="883">
      <c r="A883" s="357"/>
      <c r="B883" s="156"/>
      <c r="C883" s="154"/>
      <c r="D883" s="100"/>
      <c r="E883" s="357"/>
      <c r="F883" s="156"/>
      <c r="G883" s="154"/>
      <c r="H883" s="100"/>
      <c r="I883" s="357"/>
      <c r="J883" s="156"/>
      <c r="K883" s="154"/>
      <c r="L883" s="100"/>
      <c r="M883" s="357"/>
      <c r="N883" s="156"/>
      <c r="O883" s="154"/>
      <c r="P883" s="100"/>
      <c r="Q883" s="357"/>
      <c r="R883" s="156"/>
      <c r="S883" s="154"/>
      <c r="T883" s="100"/>
      <c r="U883" s="357"/>
      <c r="V883" s="156"/>
      <c r="W883" s="154"/>
      <c r="X883" s="100"/>
      <c r="Y883" s="357"/>
      <c r="Z883" s="100"/>
      <c r="AA883" s="100"/>
      <c r="AB883" s="100"/>
      <c r="AC883" s="357"/>
      <c r="AD883" s="367"/>
      <c r="AE883" s="368"/>
      <c r="AF883" s="98"/>
      <c r="AG883" s="357"/>
      <c r="AH883" s="156"/>
      <c r="AI883" s="305"/>
      <c r="AJ883" s="366"/>
      <c r="AK883" s="357"/>
      <c r="AL883" s="371"/>
      <c r="AM883" s="371"/>
      <c r="AN883" s="371"/>
      <c r="AO883" s="357"/>
      <c r="AP883" s="100"/>
      <c r="AQ883" s="100"/>
      <c r="AR883" s="100"/>
      <c r="AS883" s="357"/>
      <c r="AT883" s="100"/>
      <c r="AU883" s="100"/>
      <c r="AV883" s="100"/>
    </row>
    <row r="884">
      <c r="A884" s="357"/>
      <c r="B884" s="156"/>
      <c r="C884" s="154"/>
      <c r="D884" s="100"/>
      <c r="E884" s="357"/>
      <c r="F884" s="156"/>
      <c r="G884" s="154"/>
      <c r="H884" s="100"/>
      <c r="I884" s="357"/>
      <c r="J884" s="156"/>
      <c r="K884" s="154"/>
      <c r="L884" s="100"/>
      <c r="M884" s="357"/>
      <c r="N884" s="156"/>
      <c r="O884" s="154"/>
      <c r="P884" s="100"/>
      <c r="Q884" s="357"/>
      <c r="R884" s="156"/>
      <c r="S884" s="154"/>
      <c r="T884" s="100"/>
      <c r="U884" s="357"/>
      <c r="V884" s="156"/>
      <c r="W884" s="154"/>
      <c r="X884" s="100"/>
      <c r="Y884" s="357"/>
      <c r="Z884" s="100"/>
      <c r="AA884" s="100"/>
      <c r="AB884" s="100"/>
      <c r="AC884" s="357"/>
      <c r="AD884" s="367"/>
      <c r="AE884" s="368"/>
      <c r="AF884" s="98"/>
      <c r="AG884" s="357"/>
      <c r="AH884" s="156"/>
      <c r="AI884" s="305"/>
      <c r="AJ884" s="366"/>
      <c r="AK884" s="357"/>
      <c r="AL884" s="371"/>
      <c r="AM884" s="371"/>
      <c r="AN884" s="371"/>
      <c r="AO884" s="357"/>
      <c r="AP884" s="100"/>
      <c r="AQ884" s="100"/>
      <c r="AR884" s="100"/>
      <c r="AS884" s="357"/>
      <c r="AT884" s="100"/>
      <c r="AU884" s="100"/>
      <c r="AV884" s="100"/>
    </row>
    <row r="885">
      <c r="A885" s="357"/>
      <c r="B885" s="156"/>
      <c r="C885" s="154"/>
      <c r="D885" s="100"/>
      <c r="E885" s="357"/>
      <c r="F885" s="156"/>
      <c r="G885" s="154"/>
      <c r="H885" s="100"/>
      <c r="I885" s="357"/>
      <c r="J885" s="156"/>
      <c r="K885" s="154"/>
      <c r="L885" s="100"/>
      <c r="M885" s="357"/>
      <c r="N885" s="156"/>
      <c r="O885" s="154"/>
      <c r="P885" s="100"/>
      <c r="Q885" s="357"/>
      <c r="R885" s="156"/>
      <c r="S885" s="154"/>
      <c r="T885" s="100"/>
      <c r="U885" s="357"/>
      <c r="V885" s="156"/>
      <c r="W885" s="154"/>
      <c r="X885" s="100"/>
      <c r="Y885" s="357"/>
      <c r="Z885" s="100"/>
      <c r="AA885" s="100"/>
      <c r="AB885" s="100"/>
      <c r="AC885" s="357"/>
      <c r="AD885" s="367"/>
      <c r="AE885" s="368"/>
      <c r="AF885" s="98"/>
      <c r="AG885" s="357"/>
      <c r="AH885" s="156"/>
      <c r="AI885" s="305"/>
      <c r="AJ885" s="366"/>
      <c r="AK885" s="357"/>
      <c r="AL885" s="371"/>
      <c r="AM885" s="371"/>
      <c r="AN885" s="371"/>
      <c r="AO885" s="357"/>
      <c r="AP885" s="100"/>
      <c r="AQ885" s="100"/>
      <c r="AR885" s="100"/>
      <c r="AS885" s="357"/>
      <c r="AT885" s="100"/>
      <c r="AU885" s="100"/>
      <c r="AV885" s="100"/>
    </row>
    <row r="886">
      <c r="A886" s="357"/>
      <c r="B886" s="156"/>
      <c r="C886" s="154"/>
      <c r="D886" s="100"/>
      <c r="E886" s="357"/>
      <c r="F886" s="156"/>
      <c r="G886" s="154"/>
      <c r="H886" s="100"/>
      <c r="I886" s="357"/>
      <c r="J886" s="156"/>
      <c r="K886" s="154"/>
      <c r="L886" s="100"/>
      <c r="M886" s="357"/>
      <c r="N886" s="156"/>
      <c r="O886" s="154"/>
      <c r="P886" s="100"/>
      <c r="Q886" s="357"/>
      <c r="R886" s="156"/>
      <c r="S886" s="154"/>
      <c r="T886" s="100"/>
      <c r="U886" s="357"/>
      <c r="V886" s="156"/>
      <c r="W886" s="154"/>
      <c r="X886" s="100"/>
      <c r="Y886" s="357"/>
      <c r="Z886" s="100"/>
      <c r="AA886" s="100"/>
      <c r="AB886" s="100"/>
      <c r="AC886" s="357"/>
      <c r="AD886" s="367"/>
      <c r="AE886" s="368"/>
      <c r="AF886" s="98"/>
      <c r="AG886" s="357"/>
      <c r="AH886" s="156"/>
      <c r="AI886" s="305"/>
      <c r="AJ886" s="366"/>
      <c r="AK886" s="357"/>
      <c r="AL886" s="371"/>
      <c r="AM886" s="371"/>
      <c r="AN886" s="371"/>
      <c r="AO886" s="357"/>
      <c r="AP886" s="100"/>
      <c r="AQ886" s="100"/>
      <c r="AR886" s="100"/>
      <c r="AS886" s="357"/>
      <c r="AT886" s="100"/>
      <c r="AU886" s="100"/>
      <c r="AV886" s="100"/>
    </row>
    <row r="887">
      <c r="A887" s="357"/>
      <c r="B887" s="156"/>
      <c r="C887" s="154"/>
      <c r="D887" s="100"/>
      <c r="E887" s="357"/>
      <c r="F887" s="156"/>
      <c r="G887" s="154"/>
      <c r="H887" s="100"/>
      <c r="I887" s="357"/>
      <c r="J887" s="156"/>
      <c r="K887" s="154"/>
      <c r="L887" s="100"/>
      <c r="M887" s="357"/>
      <c r="N887" s="156"/>
      <c r="O887" s="154"/>
      <c r="P887" s="100"/>
      <c r="Q887" s="357"/>
      <c r="R887" s="156"/>
      <c r="S887" s="154"/>
      <c r="T887" s="100"/>
      <c r="U887" s="357"/>
      <c r="V887" s="156"/>
      <c r="W887" s="154"/>
      <c r="X887" s="100"/>
      <c r="Y887" s="357"/>
      <c r="Z887" s="100"/>
      <c r="AA887" s="100"/>
      <c r="AB887" s="100"/>
      <c r="AC887" s="357"/>
      <c r="AD887" s="367"/>
      <c r="AE887" s="368"/>
      <c r="AF887" s="98"/>
      <c r="AG887" s="357"/>
      <c r="AH887" s="156"/>
      <c r="AI887" s="305"/>
      <c r="AJ887" s="366"/>
      <c r="AK887" s="357"/>
      <c r="AL887" s="371"/>
      <c r="AM887" s="371"/>
      <c r="AN887" s="371"/>
      <c r="AO887" s="357"/>
      <c r="AP887" s="100"/>
      <c r="AQ887" s="100"/>
      <c r="AR887" s="100"/>
      <c r="AS887" s="357"/>
      <c r="AT887" s="100"/>
      <c r="AU887" s="100"/>
      <c r="AV887" s="100"/>
    </row>
    <row r="888">
      <c r="A888" s="357"/>
      <c r="B888" s="156"/>
      <c r="C888" s="154"/>
      <c r="D888" s="100"/>
      <c r="E888" s="357"/>
      <c r="F888" s="156"/>
      <c r="G888" s="154"/>
      <c r="H888" s="100"/>
      <c r="I888" s="357"/>
      <c r="J888" s="156"/>
      <c r="K888" s="154"/>
      <c r="L888" s="100"/>
      <c r="M888" s="357"/>
      <c r="N888" s="156"/>
      <c r="O888" s="154"/>
      <c r="P888" s="100"/>
      <c r="Q888" s="357"/>
      <c r="R888" s="156"/>
      <c r="S888" s="154"/>
      <c r="T888" s="100"/>
      <c r="U888" s="357"/>
      <c r="V888" s="156"/>
      <c r="W888" s="154"/>
      <c r="X888" s="100"/>
      <c r="Y888" s="357"/>
      <c r="Z888" s="100"/>
      <c r="AA888" s="100"/>
      <c r="AB888" s="100"/>
      <c r="AC888" s="357"/>
      <c r="AD888" s="367"/>
      <c r="AE888" s="368"/>
      <c r="AF888" s="98"/>
      <c r="AG888" s="357"/>
      <c r="AH888" s="156"/>
      <c r="AI888" s="305"/>
      <c r="AJ888" s="366"/>
      <c r="AK888" s="357"/>
      <c r="AL888" s="371"/>
      <c r="AM888" s="371"/>
      <c r="AN888" s="371"/>
      <c r="AO888" s="357"/>
      <c r="AP888" s="100"/>
      <c r="AQ888" s="100"/>
      <c r="AR888" s="100"/>
      <c r="AS888" s="357"/>
      <c r="AT888" s="100"/>
      <c r="AU888" s="100"/>
      <c r="AV888" s="100"/>
    </row>
    <row r="889">
      <c r="A889" s="357"/>
      <c r="B889" s="156"/>
      <c r="C889" s="154"/>
      <c r="D889" s="100"/>
      <c r="E889" s="357"/>
      <c r="F889" s="156"/>
      <c r="G889" s="154"/>
      <c r="H889" s="100"/>
      <c r="I889" s="357"/>
      <c r="J889" s="156"/>
      <c r="K889" s="154"/>
      <c r="L889" s="100"/>
      <c r="M889" s="357"/>
      <c r="N889" s="156"/>
      <c r="O889" s="154"/>
      <c r="P889" s="100"/>
      <c r="Q889" s="357"/>
      <c r="R889" s="156"/>
      <c r="S889" s="154"/>
      <c r="T889" s="100"/>
      <c r="U889" s="357"/>
      <c r="V889" s="156"/>
      <c r="W889" s="154"/>
      <c r="X889" s="100"/>
      <c r="Y889" s="357"/>
      <c r="Z889" s="100"/>
      <c r="AA889" s="100"/>
      <c r="AB889" s="100"/>
      <c r="AC889" s="357"/>
      <c r="AD889" s="367"/>
      <c r="AE889" s="368"/>
      <c r="AF889" s="98"/>
      <c r="AG889" s="357"/>
      <c r="AH889" s="156"/>
      <c r="AI889" s="305"/>
      <c r="AJ889" s="366"/>
      <c r="AK889" s="357"/>
      <c r="AL889" s="371"/>
      <c r="AM889" s="371"/>
      <c r="AN889" s="371"/>
      <c r="AO889" s="357"/>
      <c r="AP889" s="100"/>
      <c r="AQ889" s="100"/>
      <c r="AR889" s="100"/>
      <c r="AS889" s="357"/>
      <c r="AT889" s="100"/>
      <c r="AU889" s="100"/>
      <c r="AV889" s="100"/>
    </row>
    <row r="890">
      <c r="A890" s="357"/>
      <c r="B890" s="156"/>
      <c r="C890" s="154"/>
      <c r="D890" s="100"/>
      <c r="E890" s="357"/>
      <c r="F890" s="156"/>
      <c r="G890" s="154"/>
      <c r="H890" s="100"/>
      <c r="I890" s="357"/>
      <c r="J890" s="156"/>
      <c r="K890" s="154"/>
      <c r="L890" s="100"/>
      <c r="M890" s="357"/>
      <c r="N890" s="156"/>
      <c r="O890" s="154"/>
      <c r="P890" s="100"/>
      <c r="Q890" s="357"/>
      <c r="R890" s="156"/>
      <c r="S890" s="154"/>
      <c r="T890" s="100"/>
      <c r="U890" s="357"/>
      <c r="V890" s="156"/>
      <c r="W890" s="154"/>
      <c r="X890" s="100"/>
      <c r="Y890" s="357"/>
      <c r="Z890" s="100"/>
      <c r="AA890" s="100"/>
      <c r="AB890" s="100"/>
      <c r="AC890" s="357"/>
      <c r="AD890" s="367"/>
      <c r="AE890" s="368"/>
      <c r="AF890" s="98"/>
      <c r="AG890" s="357"/>
      <c r="AH890" s="156"/>
      <c r="AI890" s="305"/>
      <c r="AJ890" s="366"/>
      <c r="AK890" s="357"/>
      <c r="AL890" s="371"/>
      <c r="AM890" s="371"/>
      <c r="AN890" s="371"/>
      <c r="AO890" s="357"/>
      <c r="AP890" s="100"/>
      <c r="AQ890" s="100"/>
      <c r="AR890" s="100"/>
      <c r="AS890" s="357"/>
      <c r="AT890" s="100"/>
      <c r="AU890" s="100"/>
      <c r="AV890" s="100"/>
    </row>
    <row r="891">
      <c r="A891" s="357"/>
      <c r="B891" s="156"/>
      <c r="C891" s="154"/>
      <c r="D891" s="100"/>
      <c r="E891" s="357"/>
      <c r="F891" s="156"/>
      <c r="G891" s="154"/>
      <c r="H891" s="100"/>
      <c r="I891" s="357"/>
      <c r="J891" s="156"/>
      <c r="K891" s="154"/>
      <c r="L891" s="100"/>
      <c r="M891" s="357"/>
      <c r="N891" s="156"/>
      <c r="O891" s="154"/>
      <c r="P891" s="100"/>
      <c r="Q891" s="357"/>
      <c r="R891" s="156"/>
      <c r="S891" s="154"/>
      <c r="T891" s="100"/>
      <c r="U891" s="357"/>
      <c r="V891" s="156"/>
      <c r="W891" s="154"/>
      <c r="X891" s="100"/>
      <c r="Y891" s="357"/>
      <c r="Z891" s="100"/>
      <c r="AA891" s="100"/>
      <c r="AB891" s="100"/>
      <c r="AC891" s="357"/>
      <c r="AD891" s="367"/>
      <c r="AE891" s="368"/>
      <c r="AF891" s="98"/>
      <c r="AG891" s="357"/>
      <c r="AH891" s="156"/>
      <c r="AI891" s="305"/>
      <c r="AJ891" s="366"/>
      <c r="AK891" s="357"/>
      <c r="AL891" s="371"/>
      <c r="AM891" s="371"/>
      <c r="AN891" s="371"/>
      <c r="AO891" s="357"/>
      <c r="AP891" s="100"/>
      <c r="AQ891" s="100"/>
      <c r="AR891" s="100"/>
      <c r="AS891" s="357"/>
      <c r="AT891" s="100"/>
      <c r="AU891" s="100"/>
      <c r="AV891" s="100"/>
    </row>
    <row r="892">
      <c r="A892" s="357"/>
      <c r="B892" s="156"/>
      <c r="C892" s="154"/>
      <c r="D892" s="100"/>
      <c r="E892" s="357"/>
      <c r="F892" s="156"/>
      <c r="G892" s="154"/>
      <c r="H892" s="100"/>
      <c r="I892" s="357"/>
      <c r="J892" s="156"/>
      <c r="K892" s="154"/>
      <c r="L892" s="100"/>
      <c r="M892" s="357"/>
      <c r="N892" s="156"/>
      <c r="O892" s="154"/>
      <c r="P892" s="100"/>
      <c r="Q892" s="357"/>
      <c r="R892" s="156"/>
      <c r="S892" s="154"/>
      <c r="T892" s="100"/>
      <c r="U892" s="357"/>
      <c r="V892" s="156"/>
      <c r="W892" s="154"/>
      <c r="X892" s="100"/>
      <c r="Y892" s="357"/>
      <c r="Z892" s="100"/>
      <c r="AA892" s="100"/>
      <c r="AB892" s="100"/>
      <c r="AC892" s="357"/>
      <c r="AD892" s="367"/>
      <c r="AE892" s="368"/>
      <c r="AF892" s="98"/>
      <c r="AG892" s="357"/>
      <c r="AH892" s="156"/>
      <c r="AI892" s="305"/>
      <c r="AJ892" s="366"/>
      <c r="AK892" s="357"/>
      <c r="AL892" s="371"/>
      <c r="AM892" s="371"/>
      <c r="AN892" s="371"/>
      <c r="AO892" s="357"/>
      <c r="AP892" s="100"/>
      <c r="AQ892" s="100"/>
      <c r="AR892" s="100"/>
      <c r="AS892" s="357"/>
      <c r="AT892" s="100"/>
      <c r="AU892" s="100"/>
      <c r="AV892" s="100"/>
    </row>
    <row r="893">
      <c r="A893" s="357"/>
      <c r="B893" s="156"/>
      <c r="C893" s="154"/>
      <c r="D893" s="100"/>
      <c r="E893" s="357"/>
      <c r="F893" s="156"/>
      <c r="G893" s="154"/>
      <c r="H893" s="100"/>
      <c r="I893" s="357"/>
      <c r="J893" s="156"/>
      <c r="K893" s="154"/>
      <c r="L893" s="100"/>
      <c r="M893" s="357"/>
      <c r="N893" s="156"/>
      <c r="O893" s="154"/>
      <c r="P893" s="100"/>
      <c r="Q893" s="357"/>
      <c r="R893" s="156"/>
      <c r="S893" s="154"/>
      <c r="T893" s="100"/>
      <c r="U893" s="357"/>
      <c r="V893" s="156"/>
      <c r="W893" s="154"/>
      <c r="X893" s="100"/>
      <c r="Y893" s="357"/>
      <c r="Z893" s="100"/>
      <c r="AA893" s="100"/>
      <c r="AB893" s="100"/>
      <c r="AC893" s="357"/>
      <c r="AD893" s="367"/>
      <c r="AE893" s="368"/>
      <c r="AF893" s="98"/>
      <c r="AG893" s="357"/>
      <c r="AH893" s="156"/>
      <c r="AI893" s="305"/>
      <c r="AJ893" s="366"/>
      <c r="AK893" s="357"/>
      <c r="AL893" s="371"/>
      <c r="AM893" s="371"/>
      <c r="AN893" s="371"/>
      <c r="AO893" s="357"/>
      <c r="AP893" s="100"/>
      <c r="AQ893" s="100"/>
      <c r="AR893" s="100"/>
      <c r="AS893" s="357"/>
      <c r="AT893" s="100"/>
      <c r="AU893" s="100"/>
      <c r="AV893" s="100"/>
    </row>
    <row r="894">
      <c r="A894" s="357"/>
      <c r="B894" s="156"/>
      <c r="C894" s="154"/>
      <c r="D894" s="100"/>
      <c r="E894" s="357"/>
      <c r="F894" s="156"/>
      <c r="G894" s="154"/>
      <c r="H894" s="100"/>
      <c r="I894" s="357"/>
      <c r="J894" s="156"/>
      <c r="K894" s="154"/>
      <c r="L894" s="100"/>
      <c r="M894" s="357"/>
      <c r="N894" s="156"/>
      <c r="O894" s="154"/>
      <c r="P894" s="100"/>
      <c r="Q894" s="357"/>
      <c r="R894" s="156"/>
      <c r="S894" s="154"/>
      <c r="T894" s="100"/>
      <c r="U894" s="357"/>
      <c r="V894" s="156"/>
      <c r="W894" s="154"/>
      <c r="X894" s="100"/>
      <c r="Y894" s="357"/>
      <c r="Z894" s="100"/>
      <c r="AA894" s="100"/>
      <c r="AB894" s="100"/>
      <c r="AC894" s="357"/>
      <c r="AD894" s="367"/>
      <c r="AE894" s="368"/>
      <c r="AF894" s="98"/>
      <c r="AG894" s="357"/>
      <c r="AH894" s="156"/>
      <c r="AI894" s="305"/>
      <c r="AJ894" s="366"/>
      <c r="AK894" s="357"/>
      <c r="AL894" s="371"/>
      <c r="AM894" s="371"/>
      <c r="AN894" s="371"/>
      <c r="AO894" s="357"/>
      <c r="AP894" s="100"/>
      <c r="AQ894" s="100"/>
      <c r="AR894" s="100"/>
      <c r="AS894" s="357"/>
      <c r="AT894" s="100"/>
      <c r="AU894" s="100"/>
      <c r="AV894" s="100"/>
    </row>
    <row r="895">
      <c r="A895" s="357"/>
      <c r="B895" s="156"/>
      <c r="C895" s="154"/>
      <c r="D895" s="100"/>
      <c r="E895" s="357"/>
      <c r="F895" s="156"/>
      <c r="G895" s="154"/>
      <c r="H895" s="100"/>
      <c r="I895" s="357"/>
      <c r="J895" s="156"/>
      <c r="K895" s="154"/>
      <c r="L895" s="100"/>
      <c r="M895" s="357"/>
      <c r="N895" s="156"/>
      <c r="O895" s="154"/>
      <c r="P895" s="100"/>
      <c r="Q895" s="357"/>
      <c r="R895" s="156"/>
      <c r="S895" s="154"/>
      <c r="T895" s="100"/>
      <c r="U895" s="357"/>
      <c r="V895" s="156"/>
      <c r="W895" s="154"/>
      <c r="X895" s="100"/>
      <c r="Y895" s="357"/>
      <c r="Z895" s="100"/>
      <c r="AA895" s="100"/>
      <c r="AB895" s="100"/>
      <c r="AC895" s="357"/>
      <c r="AD895" s="367"/>
      <c r="AE895" s="368"/>
      <c r="AF895" s="98"/>
      <c r="AG895" s="357"/>
      <c r="AH895" s="156"/>
      <c r="AI895" s="305"/>
      <c r="AJ895" s="366"/>
      <c r="AK895" s="357"/>
      <c r="AL895" s="371"/>
      <c r="AM895" s="371"/>
      <c r="AN895" s="371"/>
      <c r="AO895" s="357"/>
      <c r="AP895" s="100"/>
      <c r="AQ895" s="100"/>
      <c r="AR895" s="100"/>
      <c r="AS895" s="357"/>
      <c r="AT895" s="100"/>
      <c r="AU895" s="100"/>
      <c r="AV895" s="100"/>
    </row>
    <row r="896">
      <c r="A896" s="357"/>
      <c r="B896" s="156"/>
      <c r="C896" s="154"/>
      <c r="D896" s="100"/>
      <c r="E896" s="357"/>
      <c r="F896" s="156"/>
      <c r="G896" s="154"/>
      <c r="H896" s="100"/>
      <c r="I896" s="357"/>
      <c r="J896" s="156"/>
      <c r="K896" s="154"/>
      <c r="L896" s="100"/>
      <c r="M896" s="357"/>
      <c r="N896" s="156"/>
      <c r="O896" s="154"/>
      <c r="P896" s="100"/>
      <c r="Q896" s="357"/>
      <c r="R896" s="156"/>
      <c r="S896" s="154"/>
      <c r="T896" s="100"/>
      <c r="U896" s="357"/>
      <c r="V896" s="156"/>
      <c r="W896" s="154"/>
      <c r="X896" s="100"/>
      <c r="Y896" s="357"/>
      <c r="Z896" s="100"/>
      <c r="AA896" s="100"/>
      <c r="AB896" s="100"/>
      <c r="AC896" s="357"/>
      <c r="AD896" s="367"/>
      <c r="AE896" s="368"/>
      <c r="AF896" s="98"/>
      <c r="AG896" s="357"/>
      <c r="AH896" s="156"/>
      <c r="AI896" s="305"/>
      <c r="AJ896" s="366"/>
      <c r="AK896" s="357"/>
      <c r="AL896" s="371"/>
      <c r="AM896" s="371"/>
      <c r="AN896" s="371"/>
      <c r="AO896" s="357"/>
      <c r="AP896" s="100"/>
      <c r="AQ896" s="100"/>
      <c r="AR896" s="100"/>
      <c r="AS896" s="357"/>
      <c r="AT896" s="100"/>
      <c r="AU896" s="100"/>
      <c r="AV896" s="100"/>
    </row>
    <row r="897">
      <c r="A897" s="357"/>
      <c r="B897" s="156"/>
      <c r="C897" s="154"/>
      <c r="D897" s="100"/>
      <c r="E897" s="357"/>
      <c r="F897" s="156"/>
      <c r="G897" s="154"/>
      <c r="H897" s="100"/>
      <c r="I897" s="357"/>
      <c r="J897" s="156"/>
      <c r="K897" s="154"/>
      <c r="L897" s="100"/>
      <c r="M897" s="357"/>
      <c r="N897" s="156"/>
      <c r="O897" s="154"/>
      <c r="P897" s="100"/>
      <c r="Q897" s="357"/>
      <c r="R897" s="156"/>
      <c r="S897" s="154"/>
      <c r="T897" s="100"/>
      <c r="U897" s="357"/>
      <c r="V897" s="156"/>
      <c r="W897" s="154"/>
      <c r="X897" s="100"/>
      <c r="Y897" s="357"/>
      <c r="Z897" s="100"/>
      <c r="AA897" s="100"/>
      <c r="AB897" s="100"/>
      <c r="AC897" s="357"/>
      <c r="AD897" s="367"/>
      <c r="AE897" s="368"/>
      <c r="AF897" s="98"/>
      <c r="AG897" s="357"/>
      <c r="AH897" s="156"/>
      <c r="AI897" s="305"/>
      <c r="AJ897" s="366"/>
      <c r="AK897" s="357"/>
      <c r="AL897" s="371"/>
      <c r="AM897" s="371"/>
      <c r="AN897" s="371"/>
      <c r="AO897" s="357"/>
      <c r="AP897" s="100"/>
      <c r="AQ897" s="100"/>
      <c r="AR897" s="100"/>
      <c r="AS897" s="357"/>
      <c r="AT897" s="100"/>
      <c r="AU897" s="100"/>
      <c r="AV897" s="100"/>
    </row>
    <row r="898">
      <c r="A898" s="357"/>
      <c r="B898" s="156"/>
      <c r="C898" s="154"/>
      <c r="D898" s="100"/>
      <c r="E898" s="357"/>
      <c r="F898" s="156"/>
      <c r="G898" s="154"/>
      <c r="H898" s="100"/>
      <c r="I898" s="357"/>
      <c r="J898" s="156"/>
      <c r="K898" s="154"/>
      <c r="L898" s="100"/>
      <c r="M898" s="357"/>
      <c r="N898" s="156"/>
      <c r="O898" s="154"/>
      <c r="P898" s="100"/>
      <c r="Q898" s="357"/>
      <c r="R898" s="156"/>
      <c r="S898" s="154"/>
      <c r="T898" s="100"/>
      <c r="U898" s="357"/>
      <c r="V898" s="156"/>
      <c r="W898" s="154"/>
      <c r="X898" s="100"/>
      <c r="Y898" s="357"/>
      <c r="Z898" s="100"/>
      <c r="AA898" s="100"/>
      <c r="AB898" s="100"/>
      <c r="AC898" s="357"/>
      <c r="AD898" s="367"/>
      <c r="AE898" s="368"/>
      <c r="AF898" s="98"/>
      <c r="AG898" s="357"/>
      <c r="AH898" s="156"/>
      <c r="AI898" s="305"/>
      <c r="AJ898" s="366"/>
      <c r="AK898" s="357"/>
      <c r="AL898" s="371"/>
      <c r="AM898" s="371"/>
      <c r="AN898" s="371"/>
      <c r="AO898" s="357"/>
      <c r="AP898" s="100"/>
      <c r="AQ898" s="100"/>
      <c r="AR898" s="100"/>
      <c r="AS898" s="357"/>
      <c r="AT898" s="100"/>
      <c r="AU898" s="100"/>
      <c r="AV898" s="100"/>
    </row>
    <row r="899">
      <c r="A899" s="357"/>
      <c r="B899" s="156"/>
      <c r="C899" s="154"/>
      <c r="D899" s="100"/>
      <c r="E899" s="357"/>
      <c r="F899" s="156"/>
      <c r="G899" s="154"/>
      <c r="H899" s="100"/>
      <c r="I899" s="357"/>
      <c r="J899" s="156"/>
      <c r="K899" s="154"/>
      <c r="L899" s="100"/>
      <c r="M899" s="357"/>
      <c r="N899" s="156"/>
      <c r="O899" s="154"/>
      <c r="P899" s="100"/>
      <c r="Q899" s="357"/>
      <c r="R899" s="156"/>
      <c r="S899" s="154"/>
      <c r="T899" s="100"/>
      <c r="U899" s="357"/>
      <c r="V899" s="156"/>
      <c r="W899" s="154"/>
      <c r="X899" s="100"/>
      <c r="Y899" s="357"/>
      <c r="Z899" s="100"/>
      <c r="AA899" s="100"/>
      <c r="AB899" s="100"/>
      <c r="AC899" s="357"/>
      <c r="AD899" s="367"/>
      <c r="AE899" s="368"/>
      <c r="AF899" s="98"/>
      <c r="AG899" s="357"/>
      <c r="AH899" s="156"/>
      <c r="AI899" s="305"/>
      <c r="AJ899" s="366"/>
      <c r="AK899" s="357"/>
      <c r="AL899" s="371"/>
      <c r="AM899" s="371"/>
      <c r="AN899" s="371"/>
      <c r="AO899" s="357"/>
      <c r="AP899" s="100"/>
      <c r="AQ899" s="100"/>
      <c r="AR899" s="100"/>
      <c r="AS899" s="357"/>
      <c r="AT899" s="100"/>
      <c r="AU899" s="100"/>
      <c r="AV899" s="100"/>
    </row>
    <row r="900">
      <c r="A900" s="357"/>
      <c r="B900" s="156"/>
      <c r="C900" s="154"/>
      <c r="D900" s="100"/>
      <c r="E900" s="357"/>
      <c r="F900" s="156"/>
      <c r="G900" s="154"/>
      <c r="H900" s="100"/>
      <c r="I900" s="357"/>
      <c r="J900" s="156"/>
      <c r="K900" s="154"/>
      <c r="L900" s="100"/>
      <c r="M900" s="357"/>
      <c r="N900" s="156"/>
      <c r="O900" s="154"/>
      <c r="P900" s="100"/>
      <c r="Q900" s="357"/>
      <c r="R900" s="156"/>
      <c r="S900" s="154"/>
      <c r="T900" s="100"/>
      <c r="U900" s="357"/>
      <c r="V900" s="156"/>
      <c r="W900" s="154"/>
      <c r="X900" s="100"/>
      <c r="Y900" s="357"/>
      <c r="Z900" s="100"/>
      <c r="AA900" s="100"/>
      <c r="AB900" s="100"/>
      <c r="AC900" s="357"/>
      <c r="AD900" s="367"/>
      <c r="AE900" s="368"/>
      <c r="AF900" s="98"/>
      <c r="AG900" s="357"/>
      <c r="AH900" s="156"/>
      <c r="AI900" s="305"/>
      <c r="AJ900" s="366"/>
      <c r="AK900" s="357"/>
      <c r="AL900" s="371"/>
      <c r="AM900" s="371"/>
      <c r="AN900" s="371"/>
      <c r="AO900" s="357"/>
      <c r="AP900" s="100"/>
      <c r="AQ900" s="100"/>
      <c r="AR900" s="100"/>
      <c r="AS900" s="357"/>
      <c r="AT900" s="100"/>
      <c r="AU900" s="100"/>
      <c r="AV900" s="100"/>
    </row>
    <row r="901">
      <c r="A901" s="357"/>
      <c r="B901" s="156"/>
      <c r="C901" s="154"/>
      <c r="D901" s="100"/>
      <c r="E901" s="357"/>
      <c r="F901" s="156"/>
      <c r="G901" s="154"/>
      <c r="H901" s="100"/>
      <c r="I901" s="357"/>
      <c r="J901" s="156"/>
      <c r="K901" s="154"/>
      <c r="L901" s="100"/>
      <c r="M901" s="357"/>
      <c r="N901" s="156"/>
      <c r="O901" s="154"/>
      <c r="P901" s="100"/>
      <c r="Q901" s="357"/>
      <c r="R901" s="156"/>
      <c r="S901" s="154"/>
      <c r="T901" s="100"/>
      <c r="U901" s="357"/>
      <c r="V901" s="156"/>
      <c r="W901" s="154"/>
      <c r="X901" s="100"/>
      <c r="Y901" s="357"/>
      <c r="Z901" s="100"/>
      <c r="AA901" s="100"/>
      <c r="AB901" s="100"/>
      <c r="AC901" s="357"/>
      <c r="AD901" s="367"/>
      <c r="AE901" s="368"/>
      <c r="AF901" s="98"/>
      <c r="AG901" s="357"/>
      <c r="AH901" s="156"/>
      <c r="AI901" s="305"/>
      <c r="AJ901" s="366"/>
      <c r="AK901" s="357"/>
      <c r="AL901" s="371"/>
      <c r="AM901" s="371"/>
      <c r="AN901" s="371"/>
      <c r="AO901" s="357"/>
      <c r="AP901" s="100"/>
      <c r="AQ901" s="100"/>
      <c r="AR901" s="100"/>
      <c r="AS901" s="357"/>
      <c r="AT901" s="100"/>
      <c r="AU901" s="100"/>
      <c r="AV901" s="100"/>
    </row>
    <row r="902">
      <c r="A902" s="357"/>
      <c r="B902" s="156"/>
      <c r="C902" s="154"/>
      <c r="D902" s="100"/>
      <c r="E902" s="357"/>
      <c r="F902" s="156"/>
      <c r="G902" s="154"/>
      <c r="H902" s="100"/>
      <c r="I902" s="357"/>
      <c r="J902" s="156"/>
      <c r="K902" s="154"/>
      <c r="L902" s="100"/>
      <c r="M902" s="357"/>
      <c r="N902" s="156"/>
      <c r="O902" s="154"/>
      <c r="P902" s="100"/>
      <c r="Q902" s="357"/>
      <c r="R902" s="156"/>
      <c r="S902" s="154"/>
      <c r="T902" s="100"/>
      <c r="U902" s="357"/>
      <c r="V902" s="156"/>
      <c r="W902" s="154"/>
      <c r="X902" s="100"/>
      <c r="Y902" s="357"/>
      <c r="Z902" s="100"/>
      <c r="AA902" s="100"/>
      <c r="AB902" s="100"/>
      <c r="AC902" s="357"/>
      <c r="AD902" s="367"/>
      <c r="AE902" s="368"/>
      <c r="AF902" s="98"/>
      <c r="AG902" s="357"/>
      <c r="AH902" s="156"/>
      <c r="AI902" s="305"/>
      <c r="AJ902" s="366"/>
      <c r="AK902" s="357"/>
      <c r="AL902" s="371"/>
      <c r="AM902" s="371"/>
      <c r="AN902" s="371"/>
      <c r="AO902" s="357"/>
      <c r="AP902" s="100"/>
      <c r="AQ902" s="100"/>
      <c r="AR902" s="100"/>
      <c r="AS902" s="357"/>
      <c r="AT902" s="100"/>
      <c r="AU902" s="100"/>
      <c r="AV902" s="100"/>
    </row>
    <row r="903">
      <c r="A903" s="357"/>
      <c r="B903" s="156"/>
      <c r="C903" s="154"/>
      <c r="D903" s="100"/>
      <c r="E903" s="357"/>
      <c r="F903" s="156"/>
      <c r="G903" s="154"/>
      <c r="H903" s="100"/>
      <c r="I903" s="357"/>
      <c r="J903" s="156"/>
      <c r="K903" s="154"/>
      <c r="L903" s="100"/>
      <c r="M903" s="357"/>
      <c r="N903" s="156"/>
      <c r="O903" s="154"/>
      <c r="P903" s="100"/>
      <c r="Q903" s="357"/>
      <c r="R903" s="156"/>
      <c r="S903" s="154"/>
      <c r="T903" s="100"/>
      <c r="U903" s="357"/>
      <c r="V903" s="156"/>
      <c r="W903" s="154"/>
      <c r="X903" s="100"/>
      <c r="Y903" s="357"/>
      <c r="Z903" s="100"/>
      <c r="AA903" s="100"/>
      <c r="AB903" s="100"/>
      <c r="AC903" s="357"/>
      <c r="AD903" s="367"/>
      <c r="AE903" s="368"/>
      <c r="AF903" s="98"/>
      <c r="AG903" s="357"/>
      <c r="AH903" s="156"/>
      <c r="AI903" s="305"/>
      <c r="AJ903" s="366"/>
      <c r="AK903" s="357"/>
      <c r="AL903" s="371"/>
      <c r="AM903" s="371"/>
      <c r="AN903" s="371"/>
      <c r="AO903" s="357"/>
      <c r="AP903" s="100"/>
      <c r="AQ903" s="100"/>
      <c r="AR903" s="100"/>
      <c r="AS903" s="357"/>
      <c r="AT903" s="100"/>
      <c r="AU903" s="100"/>
      <c r="AV903" s="100"/>
    </row>
    <row r="904">
      <c r="A904" s="357"/>
      <c r="B904" s="156"/>
      <c r="C904" s="154"/>
      <c r="D904" s="100"/>
      <c r="E904" s="357"/>
      <c r="F904" s="156"/>
      <c r="G904" s="154"/>
      <c r="H904" s="100"/>
      <c r="I904" s="357"/>
      <c r="J904" s="156"/>
      <c r="K904" s="154"/>
      <c r="L904" s="100"/>
      <c r="M904" s="357"/>
      <c r="N904" s="156"/>
      <c r="O904" s="154"/>
      <c r="P904" s="100"/>
      <c r="Q904" s="357"/>
      <c r="R904" s="156"/>
      <c r="S904" s="154"/>
      <c r="T904" s="100"/>
      <c r="U904" s="357"/>
      <c r="V904" s="156"/>
      <c r="W904" s="154"/>
      <c r="X904" s="100"/>
      <c r="Y904" s="357"/>
      <c r="Z904" s="100"/>
      <c r="AA904" s="100"/>
      <c r="AB904" s="100"/>
      <c r="AC904" s="357"/>
      <c r="AD904" s="367"/>
      <c r="AE904" s="368"/>
      <c r="AF904" s="98"/>
      <c r="AG904" s="357"/>
      <c r="AH904" s="156"/>
      <c r="AI904" s="305"/>
      <c r="AJ904" s="366"/>
      <c r="AK904" s="357"/>
      <c r="AL904" s="371"/>
      <c r="AM904" s="371"/>
      <c r="AN904" s="371"/>
      <c r="AO904" s="357"/>
      <c r="AP904" s="100"/>
      <c r="AQ904" s="100"/>
      <c r="AR904" s="100"/>
      <c r="AS904" s="357"/>
      <c r="AT904" s="100"/>
      <c r="AU904" s="100"/>
      <c r="AV904" s="100"/>
    </row>
    <row r="905">
      <c r="A905" s="357"/>
      <c r="B905" s="156"/>
      <c r="C905" s="154"/>
      <c r="D905" s="100"/>
      <c r="E905" s="357"/>
      <c r="F905" s="156"/>
      <c r="G905" s="154"/>
      <c r="H905" s="100"/>
      <c r="I905" s="357"/>
      <c r="J905" s="156"/>
      <c r="K905" s="154"/>
      <c r="L905" s="100"/>
      <c r="M905" s="357"/>
      <c r="N905" s="156"/>
      <c r="O905" s="154"/>
      <c r="P905" s="100"/>
      <c r="Q905" s="357"/>
      <c r="R905" s="156"/>
      <c r="S905" s="154"/>
      <c r="T905" s="100"/>
      <c r="U905" s="357"/>
      <c r="V905" s="156"/>
      <c r="W905" s="154"/>
      <c r="X905" s="100"/>
      <c r="Y905" s="357"/>
      <c r="Z905" s="100"/>
      <c r="AA905" s="100"/>
      <c r="AB905" s="100"/>
      <c r="AC905" s="357"/>
      <c r="AD905" s="367"/>
      <c r="AE905" s="368"/>
      <c r="AF905" s="98"/>
      <c r="AG905" s="357"/>
      <c r="AH905" s="156"/>
      <c r="AI905" s="305"/>
      <c r="AJ905" s="366"/>
      <c r="AK905" s="357"/>
      <c r="AL905" s="371"/>
      <c r="AM905" s="371"/>
      <c r="AN905" s="371"/>
      <c r="AO905" s="357"/>
      <c r="AP905" s="100"/>
      <c r="AQ905" s="100"/>
      <c r="AR905" s="100"/>
      <c r="AS905" s="357"/>
      <c r="AT905" s="100"/>
      <c r="AU905" s="100"/>
      <c r="AV905" s="100"/>
    </row>
    <row r="906">
      <c r="A906" s="357"/>
      <c r="B906" s="156"/>
      <c r="C906" s="154"/>
      <c r="D906" s="100"/>
      <c r="E906" s="357"/>
      <c r="F906" s="156"/>
      <c r="G906" s="154"/>
      <c r="H906" s="100"/>
      <c r="I906" s="357"/>
      <c r="J906" s="156"/>
      <c r="K906" s="154"/>
      <c r="L906" s="100"/>
      <c r="M906" s="357"/>
      <c r="N906" s="156"/>
      <c r="O906" s="154"/>
      <c r="P906" s="100"/>
      <c r="Q906" s="357"/>
      <c r="R906" s="156"/>
      <c r="S906" s="154"/>
      <c r="T906" s="100"/>
      <c r="U906" s="357"/>
      <c r="V906" s="156"/>
      <c r="W906" s="154"/>
      <c r="X906" s="100"/>
      <c r="Y906" s="357"/>
      <c r="Z906" s="100"/>
      <c r="AA906" s="100"/>
      <c r="AB906" s="100"/>
      <c r="AC906" s="357"/>
      <c r="AD906" s="367"/>
      <c r="AE906" s="368"/>
      <c r="AF906" s="98"/>
      <c r="AG906" s="357"/>
      <c r="AH906" s="156"/>
      <c r="AI906" s="305"/>
      <c r="AJ906" s="366"/>
      <c r="AK906" s="357"/>
      <c r="AL906" s="371"/>
      <c r="AM906" s="371"/>
      <c r="AN906" s="371"/>
      <c r="AO906" s="357"/>
      <c r="AP906" s="100"/>
      <c r="AQ906" s="100"/>
      <c r="AR906" s="100"/>
      <c r="AS906" s="357"/>
      <c r="AT906" s="100"/>
      <c r="AU906" s="100"/>
      <c r="AV906" s="100"/>
    </row>
    <row r="907">
      <c r="A907" s="357"/>
      <c r="B907" s="156"/>
      <c r="C907" s="154"/>
      <c r="D907" s="100"/>
      <c r="E907" s="357"/>
      <c r="F907" s="156"/>
      <c r="G907" s="154"/>
      <c r="H907" s="100"/>
      <c r="I907" s="357"/>
      <c r="J907" s="156"/>
      <c r="K907" s="154"/>
      <c r="L907" s="100"/>
      <c r="M907" s="357"/>
      <c r="N907" s="156"/>
      <c r="O907" s="154"/>
      <c r="P907" s="100"/>
      <c r="Q907" s="357"/>
      <c r="R907" s="156"/>
      <c r="S907" s="154"/>
      <c r="T907" s="100"/>
      <c r="U907" s="357"/>
      <c r="V907" s="156"/>
      <c r="W907" s="154"/>
      <c r="X907" s="100"/>
      <c r="Y907" s="357"/>
      <c r="Z907" s="100"/>
      <c r="AA907" s="100"/>
      <c r="AB907" s="100"/>
      <c r="AC907" s="357"/>
      <c r="AD907" s="367"/>
      <c r="AE907" s="368"/>
      <c r="AF907" s="98"/>
      <c r="AG907" s="357"/>
      <c r="AH907" s="156"/>
      <c r="AI907" s="305"/>
      <c r="AJ907" s="366"/>
      <c r="AK907" s="357"/>
      <c r="AL907" s="371"/>
      <c r="AM907" s="371"/>
      <c r="AN907" s="371"/>
      <c r="AO907" s="357"/>
      <c r="AP907" s="100"/>
      <c r="AQ907" s="100"/>
      <c r="AR907" s="100"/>
      <c r="AS907" s="357"/>
      <c r="AT907" s="100"/>
      <c r="AU907" s="100"/>
      <c r="AV907" s="100"/>
    </row>
    <row r="908">
      <c r="A908" s="357"/>
      <c r="B908" s="156"/>
      <c r="C908" s="154"/>
      <c r="D908" s="100"/>
      <c r="E908" s="357"/>
      <c r="F908" s="156"/>
      <c r="G908" s="154"/>
      <c r="H908" s="100"/>
      <c r="I908" s="357"/>
      <c r="J908" s="156"/>
      <c r="K908" s="154"/>
      <c r="L908" s="100"/>
      <c r="M908" s="357"/>
      <c r="N908" s="156"/>
      <c r="O908" s="154"/>
      <c r="P908" s="100"/>
      <c r="Q908" s="357"/>
      <c r="R908" s="156"/>
      <c r="S908" s="154"/>
      <c r="T908" s="100"/>
      <c r="U908" s="357"/>
      <c r="V908" s="156"/>
      <c r="W908" s="154"/>
      <c r="X908" s="100"/>
      <c r="Y908" s="357"/>
      <c r="Z908" s="100"/>
      <c r="AA908" s="100"/>
      <c r="AB908" s="100"/>
      <c r="AC908" s="357"/>
      <c r="AD908" s="367"/>
      <c r="AE908" s="368"/>
      <c r="AF908" s="98"/>
      <c r="AG908" s="357"/>
      <c r="AH908" s="156"/>
      <c r="AI908" s="305"/>
      <c r="AJ908" s="366"/>
      <c r="AK908" s="357"/>
      <c r="AL908" s="371"/>
      <c r="AM908" s="371"/>
      <c r="AN908" s="371"/>
      <c r="AO908" s="357"/>
      <c r="AP908" s="100"/>
      <c r="AQ908" s="100"/>
      <c r="AR908" s="100"/>
      <c r="AS908" s="357"/>
      <c r="AT908" s="100"/>
      <c r="AU908" s="100"/>
      <c r="AV908" s="100"/>
    </row>
    <row r="909">
      <c r="A909" s="357"/>
      <c r="B909" s="156"/>
      <c r="C909" s="154"/>
      <c r="D909" s="100"/>
      <c r="E909" s="357"/>
      <c r="F909" s="156"/>
      <c r="G909" s="154"/>
      <c r="H909" s="100"/>
      <c r="I909" s="357"/>
      <c r="J909" s="156"/>
      <c r="K909" s="154"/>
      <c r="L909" s="100"/>
      <c r="M909" s="357"/>
      <c r="N909" s="156"/>
      <c r="O909" s="154"/>
      <c r="P909" s="100"/>
      <c r="Q909" s="357"/>
      <c r="R909" s="156"/>
      <c r="S909" s="154"/>
      <c r="T909" s="100"/>
      <c r="U909" s="357"/>
      <c r="V909" s="156"/>
      <c r="W909" s="154"/>
      <c r="X909" s="100"/>
      <c r="Y909" s="357"/>
      <c r="Z909" s="100"/>
      <c r="AA909" s="100"/>
      <c r="AB909" s="100"/>
      <c r="AC909" s="357"/>
      <c r="AD909" s="367"/>
      <c r="AE909" s="368"/>
      <c r="AF909" s="98"/>
      <c r="AG909" s="357"/>
      <c r="AH909" s="156"/>
      <c r="AI909" s="305"/>
      <c r="AJ909" s="366"/>
      <c r="AK909" s="357"/>
      <c r="AL909" s="371"/>
      <c r="AM909" s="371"/>
      <c r="AN909" s="371"/>
      <c r="AO909" s="357"/>
      <c r="AP909" s="100"/>
      <c r="AQ909" s="100"/>
      <c r="AR909" s="100"/>
      <c r="AS909" s="357"/>
      <c r="AT909" s="100"/>
      <c r="AU909" s="100"/>
      <c r="AV909" s="100"/>
    </row>
    <row r="910">
      <c r="A910" s="357"/>
      <c r="B910" s="156"/>
      <c r="C910" s="154"/>
      <c r="D910" s="100"/>
      <c r="E910" s="357"/>
      <c r="F910" s="156"/>
      <c r="G910" s="154"/>
      <c r="H910" s="100"/>
      <c r="I910" s="357"/>
      <c r="J910" s="156"/>
      <c r="K910" s="154"/>
      <c r="L910" s="100"/>
      <c r="M910" s="357"/>
      <c r="N910" s="156"/>
      <c r="O910" s="154"/>
      <c r="P910" s="100"/>
      <c r="Q910" s="357"/>
      <c r="R910" s="156"/>
      <c r="S910" s="154"/>
      <c r="T910" s="100"/>
      <c r="U910" s="357"/>
      <c r="V910" s="156"/>
      <c r="W910" s="154"/>
      <c r="X910" s="100"/>
      <c r="Y910" s="357"/>
      <c r="Z910" s="100"/>
      <c r="AA910" s="100"/>
      <c r="AB910" s="100"/>
      <c r="AC910" s="357"/>
      <c r="AD910" s="367"/>
      <c r="AE910" s="368"/>
      <c r="AF910" s="98"/>
      <c r="AG910" s="357"/>
      <c r="AH910" s="156"/>
      <c r="AI910" s="305"/>
      <c r="AJ910" s="366"/>
      <c r="AK910" s="357"/>
      <c r="AL910" s="371"/>
      <c r="AM910" s="371"/>
      <c r="AN910" s="371"/>
      <c r="AO910" s="357"/>
      <c r="AP910" s="100"/>
      <c r="AQ910" s="100"/>
      <c r="AR910" s="100"/>
      <c r="AS910" s="357"/>
      <c r="AT910" s="100"/>
      <c r="AU910" s="100"/>
      <c r="AV910" s="100"/>
    </row>
    <row r="911">
      <c r="A911" s="357"/>
      <c r="B911" s="156"/>
      <c r="C911" s="154"/>
      <c r="D911" s="100"/>
      <c r="E911" s="357"/>
      <c r="F911" s="156"/>
      <c r="G911" s="154"/>
      <c r="H911" s="100"/>
      <c r="I911" s="357"/>
      <c r="J911" s="156"/>
      <c r="K911" s="154"/>
      <c r="L911" s="100"/>
      <c r="M911" s="357"/>
      <c r="N911" s="156"/>
      <c r="O911" s="154"/>
      <c r="P911" s="100"/>
      <c r="Q911" s="357"/>
      <c r="R911" s="156"/>
      <c r="S911" s="154"/>
      <c r="T911" s="100"/>
      <c r="U911" s="357"/>
      <c r="V911" s="156"/>
      <c r="W911" s="154"/>
      <c r="X911" s="100"/>
      <c r="Y911" s="357"/>
      <c r="Z911" s="100"/>
      <c r="AA911" s="100"/>
      <c r="AB911" s="100"/>
      <c r="AC911" s="357"/>
      <c r="AD911" s="367"/>
      <c r="AE911" s="368"/>
      <c r="AF911" s="98"/>
      <c r="AG911" s="357"/>
      <c r="AH911" s="156"/>
      <c r="AI911" s="305"/>
      <c r="AJ911" s="366"/>
      <c r="AK911" s="357"/>
      <c r="AL911" s="371"/>
      <c r="AM911" s="371"/>
      <c r="AN911" s="371"/>
      <c r="AO911" s="357"/>
      <c r="AP911" s="100"/>
      <c r="AQ911" s="100"/>
      <c r="AR911" s="100"/>
      <c r="AS911" s="357"/>
      <c r="AT911" s="100"/>
      <c r="AU911" s="100"/>
      <c r="AV911" s="100"/>
    </row>
    <row r="912">
      <c r="A912" s="357"/>
      <c r="B912" s="156"/>
      <c r="C912" s="154"/>
      <c r="D912" s="100"/>
      <c r="E912" s="357"/>
      <c r="F912" s="156"/>
      <c r="G912" s="154"/>
      <c r="H912" s="100"/>
      <c r="I912" s="357"/>
      <c r="J912" s="156"/>
      <c r="K912" s="154"/>
      <c r="L912" s="100"/>
      <c r="M912" s="357"/>
      <c r="N912" s="156"/>
      <c r="O912" s="154"/>
      <c r="P912" s="100"/>
      <c r="Q912" s="357"/>
      <c r="R912" s="156"/>
      <c r="S912" s="154"/>
      <c r="T912" s="100"/>
      <c r="U912" s="357"/>
      <c r="V912" s="156"/>
      <c r="W912" s="154"/>
      <c r="X912" s="100"/>
      <c r="Y912" s="357"/>
      <c r="Z912" s="100"/>
      <c r="AA912" s="100"/>
      <c r="AB912" s="100"/>
      <c r="AC912" s="357"/>
      <c r="AD912" s="367"/>
      <c r="AE912" s="368"/>
      <c r="AF912" s="98"/>
      <c r="AG912" s="357"/>
      <c r="AH912" s="156"/>
      <c r="AI912" s="305"/>
      <c r="AJ912" s="366"/>
      <c r="AK912" s="357"/>
      <c r="AL912" s="371"/>
      <c r="AM912" s="371"/>
      <c r="AN912" s="371"/>
      <c r="AO912" s="357"/>
      <c r="AP912" s="100"/>
      <c r="AQ912" s="100"/>
      <c r="AR912" s="100"/>
      <c r="AS912" s="357"/>
      <c r="AT912" s="100"/>
      <c r="AU912" s="100"/>
      <c r="AV912" s="100"/>
    </row>
    <row r="913">
      <c r="A913" s="357"/>
      <c r="B913" s="156"/>
      <c r="C913" s="154"/>
      <c r="D913" s="100"/>
      <c r="E913" s="357"/>
      <c r="F913" s="156"/>
      <c r="G913" s="154"/>
      <c r="H913" s="100"/>
      <c r="I913" s="357"/>
      <c r="J913" s="156"/>
      <c r="K913" s="154"/>
      <c r="L913" s="100"/>
      <c r="M913" s="357"/>
      <c r="N913" s="156"/>
      <c r="O913" s="154"/>
      <c r="P913" s="100"/>
      <c r="Q913" s="357"/>
      <c r="R913" s="156"/>
      <c r="S913" s="154"/>
      <c r="T913" s="100"/>
      <c r="U913" s="357"/>
      <c r="V913" s="156"/>
      <c r="W913" s="154"/>
      <c r="X913" s="100"/>
      <c r="Y913" s="357"/>
      <c r="Z913" s="100"/>
      <c r="AA913" s="100"/>
      <c r="AB913" s="100"/>
      <c r="AC913" s="357"/>
      <c r="AD913" s="367"/>
      <c r="AE913" s="368"/>
      <c r="AF913" s="98"/>
      <c r="AG913" s="357"/>
      <c r="AH913" s="156"/>
      <c r="AI913" s="305"/>
      <c r="AJ913" s="366"/>
      <c r="AK913" s="357"/>
      <c r="AL913" s="371"/>
      <c r="AM913" s="371"/>
      <c r="AN913" s="371"/>
      <c r="AO913" s="357"/>
      <c r="AP913" s="100"/>
      <c r="AQ913" s="100"/>
      <c r="AR913" s="100"/>
      <c r="AS913" s="357"/>
      <c r="AT913" s="100"/>
      <c r="AU913" s="100"/>
      <c r="AV913" s="100"/>
    </row>
    <row r="914">
      <c r="A914" s="357"/>
      <c r="B914" s="156"/>
      <c r="C914" s="154"/>
      <c r="D914" s="100"/>
      <c r="E914" s="357"/>
      <c r="F914" s="156"/>
      <c r="G914" s="154"/>
      <c r="H914" s="100"/>
      <c r="I914" s="357"/>
      <c r="J914" s="156"/>
      <c r="K914" s="154"/>
      <c r="L914" s="100"/>
      <c r="M914" s="357"/>
      <c r="N914" s="156"/>
      <c r="O914" s="154"/>
      <c r="P914" s="100"/>
      <c r="Q914" s="357"/>
      <c r="R914" s="156"/>
      <c r="S914" s="154"/>
      <c r="T914" s="100"/>
      <c r="U914" s="357"/>
      <c r="V914" s="156"/>
      <c r="W914" s="154"/>
      <c r="X914" s="100"/>
      <c r="Y914" s="357"/>
      <c r="Z914" s="100"/>
      <c r="AA914" s="100"/>
      <c r="AB914" s="100"/>
      <c r="AC914" s="357"/>
      <c r="AD914" s="367"/>
      <c r="AE914" s="368"/>
      <c r="AF914" s="98"/>
      <c r="AG914" s="357"/>
      <c r="AH914" s="156"/>
      <c r="AI914" s="305"/>
      <c r="AJ914" s="366"/>
      <c r="AK914" s="357"/>
      <c r="AL914" s="371"/>
      <c r="AM914" s="371"/>
      <c r="AN914" s="371"/>
      <c r="AO914" s="357"/>
      <c r="AP914" s="100"/>
      <c r="AQ914" s="100"/>
      <c r="AR914" s="100"/>
      <c r="AS914" s="357"/>
      <c r="AT914" s="100"/>
      <c r="AU914" s="100"/>
      <c r="AV914" s="100"/>
    </row>
    <row r="915">
      <c r="A915" s="357"/>
      <c r="B915" s="156"/>
      <c r="C915" s="154"/>
      <c r="D915" s="100"/>
      <c r="E915" s="357"/>
      <c r="F915" s="156"/>
      <c r="G915" s="154"/>
      <c r="H915" s="100"/>
      <c r="I915" s="357"/>
      <c r="J915" s="156"/>
      <c r="K915" s="154"/>
      <c r="L915" s="100"/>
      <c r="M915" s="357"/>
      <c r="N915" s="156"/>
      <c r="O915" s="154"/>
      <c r="P915" s="100"/>
      <c r="Q915" s="357"/>
      <c r="R915" s="156"/>
      <c r="S915" s="154"/>
      <c r="T915" s="100"/>
      <c r="U915" s="357"/>
      <c r="V915" s="156"/>
      <c r="W915" s="154"/>
      <c r="X915" s="100"/>
      <c r="Y915" s="357"/>
      <c r="Z915" s="100"/>
      <c r="AA915" s="100"/>
      <c r="AB915" s="100"/>
      <c r="AC915" s="357"/>
      <c r="AD915" s="367"/>
      <c r="AE915" s="368"/>
      <c r="AF915" s="98"/>
      <c r="AG915" s="357"/>
      <c r="AH915" s="156"/>
      <c r="AI915" s="305"/>
      <c r="AJ915" s="366"/>
      <c r="AK915" s="357"/>
      <c r="AL915" s="371"/>
      <c r="AM915" s="371"/>
      <c r="AN915" s="371"/>
      <c r="AO915" s="357"/>
      <c r="AP915" s="100"/>
      <c r="AQ915" s="100"/>
      <c r="AR915" s="100"/>
      <c r="AS915" s="357"/>
      <c r="AT915" s="100"/>
      <c r="AU915" s="100"/>
      <c r="AV915" s="100"/>
    </row>
    <row r="916">
      <c r="A916" s="357"/>
      <c r="B916" s="156"/>
      <c r="C916" s="154"/>
      <c r="D916" s="100"/>
      <c r="E916" s="357"/>
      <c r="F916" s="156"/>
      <c r="G916" s="154"/>
      <c r="H916" s="100"/>
      <c r="I916" s="357"/>
      <c r="J916" s="156"/>
      <c r="K916" s="154"/>
      <c r="L916" s="100"/>
      <c r="M916" s="357"/>
      <c r="N916" s="156"/>
      <c r="O916" s="154"/>
      <c r="P916" s="100"/>
      <c r="Q916" s="357"/>
      <c r="R916" s="156"/>
      <c r="S916" s="154"/>
      <c r="T916" s="100"/>
      <c r="U916" s="357"/>
      <c r="V916" s="156"/>
      <c r="W916" s="154"/>
      <c r="X916" s="100"/>
      <c r="Y916" s="357"/>
      <c r="Z916" s="100"/>
      <c r="AA916" s="100"/>
      <c r="AB916" s="100"/>
      <c r="AC916" s="357"/>
      <c r="AD916" s="367"/>
      <c r="AE916" s="368"/>
      <c r="AF916" s="98"/>
      <c r="AG916" s="357"/>
      <c r="AH916" s="156"/>
      <c r="AI916" s="305"/>
      <c r="AJ916" s="366"/>
      <c r="AK916" s="357"/>
      <c r="AL916" s="371"/>
      <c r="AM916" s="371"/>
      <c r="AN916" s="371"/>
      <c r="AO916" s="357"/>
      <c r="AP916" s="100"/>
      <c r="AQ916" s="100"/>
      <c r="AR916" s="100"/>
      <c r="AS916" s="357"/>
      <c r="AT916" s="100"/>
      <c r="AU916" s="100"/>
      <c r="AV916" s="100"/>
    </row>
    <row r="917">
      <c r="A917" s="357"/>
      <c r="B917" s="156"/>
      <c r="C917" s="154"/>
      <c r="D917" s="100"/>
      <c r="E917" s="357"/>
      <c r="F917" s="156"/>
      <c r="G917" s="154"/>
      <c r="H917" s="100"/>
      <c r="I917" s="357"/>
      <c r="J917" s="156"/>
      <c r="K917" s="154"/>
      <c r="L917" s="100"/>
      <c r="M917" s="357"/>
      <c r="N917" s="156"/>
      <c r="O917" s="154"/>
      <c r="P917" s="100"/>
      <c r="Q917" s="357"/>
      <c r="R917" s="156"/>
      <c r="S917" s="154"/>
      <c r="T917" s="100"/>
      <c r="U917" s="357"/>
      <c r="V917" s="156"/>
      <c r="W917" s="154"/>
      <c r="X917" s="100"/>
      <c r="Y917" s="357"/>
      <c r="Z917" s="100"/>
      <c r="AA917" s="100"/>
      <c r="AB917" s="100"/>
      <c r="AC917" s="357"/>
      <c r="AD917" s="367"/>
      <c r="AE917" s="368"/>
      <c r="AF917" s="98"/>
      <c r="AG917" s="357"/>
      <c r="AH917" s="156"/>
      <c r="AI917" s="305"/>
      <c r="AJ917" s="366"/>
      <c r="AK917" s="357"/>
      <c r="AL917" s="371"/>
      <c r="AM917" s="371"/>
      <c r="AN917" s="371"/>
      <c r="AO917" s="357"/>
      <c r="AP917" s="100"/>
      <c r="AQ917" s="100"/>
      <c r="AR917" s="100"/>
      <c r="AS917" s="357"/>
      <c r="AT917" s="100"/>
      <c r="AU917" s="100"/>
      <c r="AV917" s="100"/>
    </row>
    <row r="918">
      <c r="A918" s="357"/>
      <c r="B918" s="156"/>
      <c r="C918" s="154"/>
      <c r="D918" s="100"/>
      <c r="E918" s="357"/>
      <c r="F918" s="156"/>
      <c r="G918" s="154"/>
      <c r="H918" s="100"/>
      <c r="I918" s="357"/>
      <c r="J918" s="156"/>
      <c r="K918" s="154"/>
      <c r="L918" s="100"/>
      <c r="M918" s="357"/>
      <c r="N918" s="156"/>
      <c r="O918" s="154"/>
      <c r="P918" s="100"/>
      <c r="Q918" s="357"/>
      <c r="R918" s="156"/>
      <c r="S918" s="154"/>
      <c r="T918" s="100"/>
      <c r="U918" s="357"/>
      <c r="V918" s="156"/>
      <c r="W918" s="154"/>
      <c r="X918" s="100"/>
      <c r="Y918" s="357"/>
      <c r="Z918" s="100"/>
      <c r="AA918" s="100"/>
      <c r="AB918" s="100"/>
      <c r="AC918" s="357"/>
      <c r="AD918" s="367"/>
      <c r="AE918" s="368"/>
      <c r="AF918" s="98"/>
      <c r="AG918" s="357"/>
      <c r="AH918" s="156"/>
      <c r="AI918" s="305"/>
      <c r="AJ918" s="366"/>
      <c r="AK918" s="357"/>
      <c r="AL918" s="371"/>
      <c r="AM918" s="371"/>
      <c r="AN918" s="371"/>
      <c r="AO918" s="357"/>
      <c r="AP918" s="100"/>
      <c r="AQ918" s="100"/>
      <c r="AR918" s="100"/>
      <c r="AS918" s="357"/>
      <c r="AT918" s="100"/>
      <c r="AU918" s="100"/>
      <c r="AV918" s="100"/>
    </row>
    <row r="919">
      <c r="A919" s="357"/>
      <c r="B919" s="156"/>
      <c r="C919" s="154"/>
      <c r="D919" s="100"/>
      <c r="E919" s="357"/>
      <c r="F919" s="156"/>
      <c r="G919" s="154"/>
      <c r="H919" s="100"/>
      <c r="I919" s="357"/>
      <c r="J919" s="156"/>
      <c r="K919" s="154"/>
      <c r="L919" s="100"/>
      <c r="M919" s="357"/>
      <c r="N919" s="156"/>
      <c r="O919" s="154"/>
      <c r="P919" s="100"/>
      <c r="Q919" s="357"/>
      <c r="R919" s="156"/>
      <c r="S919" s="154"/>
      <c r="T919" s="100"/>
      <c r="U919" s="357"/>
      <c r="V919" s="156"/>
      <c r="W919" s="154"/>
      <c r="X919" s="100"/>
      <c r="Y919" s="357"/>
      <c r="Z919" s="100"/>
      <c r="AA919" s="100"/>
      <c r="AB919" s="100"/>
      <c r="AC919" s="357"/>
      <c r="AD919" s="367"/>
      <c r="AE919" s="368"/>
      <c r="AF919" s="98"/>
      <c r="AG919" s="357"/>
      <c r="AH919" s="156"/>
      <c r="AI919" s="305"/>
      <c r="AJ919" s="366"/>
      <c r="AK919" s="357"/>
      <c r="AL919" s="371"/>
      <c r="AM919" s="371"/>
      <c r="AN919" s="371"/>
      <c r="AO919" s="357"/>
      <c r="AP919" s="100"/>
      <c r="AQ919" s="100"/>
      <c r="AR919" s="100"/>
      <c r="AS919" s="357"/>
      <c r="AT919" s="100"/>
      <c r="AU919" s="100"/>
      <c r="AV919" s="100"/>
    </row>
    <row r="920">
      <c r="A920" s="357"/>
      <c r="B920" s="156"/>
      <c r="C920" s="154"/>
      <c r="D920" s="100"/>
      <c r="E920" s="357"/>
      <c r="F920" s="156"/>
      <c r="G920" s="154"/>
      <c r="H920" s="100"/>
      <c r="I920" s="357"/>
      <c r="J920" s="156"/>
      <c r="K920" s="154"/>
      <c r="L920" s="100"/>
      <c r="M920" s="357"/>
      <c r="N920" s="156"/>
      <c r="O920" s="154"/>
      <c r="P920" s="100"/>
      <c r="Q920" s="357"/>
      <c r="R920" s="156"/>
      <c r="S920" s="154"/>
      <c r="T920" s="100"/>
      <c r="U920" s="357"/>
      <c r="V920" s="156"/>
      <c r="W920" s="154"/>
      <c r="X920" s="100"/>
      <c r="Y920" s="357"/>
      <c r="Z920" s="100"/>
      <c r="AA920" s="100"/>
      <c r="AB920" s="100"/>
      <c r="AC920" s="357"/>
      <c r="AD920" s="367"/>
      <c r="AE920" s="368"/>
      <c r="AF920" s="98"/>
      <c r="AG920" s="357"/>
      <c r="AH920" s="156"/>
      <c r="AI920" s="305"/>
      <c r="AJ920" s="366"/>
      <c r="AK920" s="357"/>
      <c r="AL920" s="371"/>
      <c r="AM920" s="371"/>
      <c r="AN920" s="371"/>
      <c r="AO920" s="357"/>
      <c r="AP920" s="100"/>
      <c r="AQ920" s="100"/>
      <c r="AR920" s="100"/>
      <c r="AS920" s="357"/>
      <c r="AT920" s="100"/>
      <c r="AU920" s="100"/>
      <c r="AV920" s="100"/>
    </row>
    <row r="921">
      <c r="A921" s="357"/>
      <c r="B921" s="156"/>
      <c r="C921" s="154"/>
      <c r="D921" s="100"/>
      <c r="E921" s="357"/>
      <c r="F921" s="156"/>
      <c r="G921" s="154"/>
      <c r="H921" s="100"/>
      <c r="I921" s="357"/>
      <c r="J921" s="156"/>
      <c r="K921" s="154"/>
      <c r="L921" s="100"/>
      <c r="M921" s="357"/>
      <c r="N921" s="156"/>
      <c r="O921" s="154"/>
      <c r="P921" s="100"/>
      <c r="Q921" s="357"/>
      <c r="R921" s="156"/>
      <c r="S921" s="154"/>
      <c r="T921" s="100"/>
      <c r="U921" s="357"/>
      <c r="V921" s="156"/>
      <c r="W921" s="154"/>
      <c r="X921" s="100"/>
      <c r="Y921" s="357"/>
      <c r="Z921" s="100"/>
      <c r="AA921" s="100"/>
      <c r="AB921" s="100"/>
      <c r="AC921" s="357"/>
      <c r="AD921" s="367"/>
      <c r="AE921" s="368"/>
      <c r="AF921" s="98"/>
      <c r="AG921" s="357"/>
      <c r="AH921" s="156"/>
      <c r="AI921" s="305"/>
      <c r="AJ921" s="366"/>
      <c r="AK921" s="357"/>
      <c r="AL921" s="371"/>
      <c r="AM921" s="371"/>
      <c r="AN921" s="371"/>
      <c r="AO921" s="357"/>
      <c r="AP921" s="100"/>
      <c r="AQ921" s="100"/>
      <c r="AR921" s="100"/>
      <c r="AS921" s="357"/>
      <c r="AT921" s="100"/>
      <c r="AU921" s="100"/>
      <c r="AV921" s="100"/>
    </row>
    <row r="922">
      <c r="A922" s="357"/>
      <c r="B922" s="156"/>
      <c r="C922" s="154"/>
      <c r="D922" s="100"/>
      <c r="E922" s="357"/>
      <c r="F922" s="156"/>
      <c r="G922" s="154"/>
      <c r="H922" s="100"/>
      <c r="I922" s="357"/>
      <c r="J922" s="156"/>
      <c r="K922" s="154"/>
      <c r="L922" s="100"/>
      <c r="M922" s="357"/>
      <c r="N922" s="156"/>
      <c r="O922" s="154"/>
      <c r="P922" s="100"/>
      <c r="Q922" s="357"/>
      <c r="R922" s="156"/>
      <c r="S922" s="154"/>
      <c r="T922" s="100"/>
      <c r="U922" s="357"/>
      <c r="V922" s="156"/>
      <c r="W922" s="154"/>
      <c r="X922" s="100"/>
      <c r="Y922" s="357"/>
      <c r="Z922" s="100"/>
      <c r="AA922" s="100"/>
      <c r="AB922" s="100"/>
      <c r="AC922" s="357"/>
      <c r="AD922" s="367"/>
      <c r="AE922" s="368"/>
      <c r="AF922" s="98"/>
      <c r="AG922" s="357"/>
      <c r="AH922" s="156"/>
      <c r="AI922" s="305"/>
      <c r="AJ922" s="366"/>
      <c r="AK922" s="357"/>
      <c r="AL922" s="371"/>
      <c r="AM922" s="371"/>
      <c r="AN922" s="371"/>
      <c r="AO922" s="357"/>
      <c r="AP922" s="100"/>
      <c r="AQ922" s="100"/>
      <c r="AR922" s="100"/>
      <c r="AS922" s="357"/>
      <c r="AT922" s="100"/>
      <c r="AU922" s="100"/>
      <c r="AV922" s="100"/>
    </row>
    <row r="923">
      <c r="A923" s="357"/>
      <c r="B923" s="156"/>
      <c r="C923" s="154"/>
      <c r="D923" s="100"/>
      <c r="E923" s="357"/>
      <c r="F923" s="156"/>
      <c r="G923" s="154"/>
      <c r="H923" s="100"/>
      <c r="I923" s="357"/>
      <c r="J923" s="156"/>
      <c r="K923" s="154"/>
      <c r="L923" s="100"/>
      <c r="M923" s="357"/>
      <c r="N923" s="156"/>
      <c r="O923" s="154"/>
      <c r="P923" s="100"/>
      <c r="Q923" s="357"/>
      <c r="R923" s="156"/>
      <c r="S923" s="154"/>
      <c r="T923" s="100"/>
      <c r="U923" s="357"/>
      <c r="V923" s="156"/>
      <c r="W923" s="154"/>
      <c r="X923" s="100"/>
      <c r="Y923" s="357"/>
      <c r="Z923" s="100"/>
      <c r="AA923" s="100"/>
      <c r="AB923" s="100"/>
      <c r="AC923" s="357"/>
      <c r="AD923" s="367"/>
      <c r="AE923" s="368"/>
      <c r="AF923" s="98"/>
      <c r="AG923" s="357"/>
      <c r="AH923" s="156"/>
      <c r="AI923" s="305"/>
      <c r="AJ923" s="366"/>
      <c r="AK923" s="357"/>
      <c r="AL923" s="371"/>
      <c r="AM923" s="371"/>
      <c r="AN923" s="371"/>
      <c r="AO923" s="357"/>
      <c r="AP923" s="100"/>
      <c r="AQ923" s="100"/>
      <c r="AR923" s="100"/>
      <c r="AS923" s="357"/>
      <c r="AT923" s="100"/>
      <c r="AU923" s="100"/>
      <c r="AV923" s="100"/>
    </row>
    <row r="924">
      <c r="A924" s="357"/>
      <c r="B924" s="156"/>
      <c r="C924" s="154"/>
      <c r="D924" s="100"/>
      <c r="E924" s="357"/>
      <c r="F924" s="156"/>
      <c r="G924" s="154"/>
      <c r="H924" s="100"/>
      <c r="I924" s="357"/>
      <c r="J924" s="156"/>
      <c r="K924" s="154"/>
      <c r="L924" s="100"/>
      <c r="M924" s="357"/>
      <c r="N924" s="156"/>
      <c r="O924" s="154"/>
      <c r="P924" s="100"/>
      <c r="Q924" s="357"/>
      <c r="R924" s="156"/>
      <c r="S924" s="154"/>
      <c r="T924" s="100"/>
      <c r="U924" s="357"/>
      <c r="V924" s="156"/>
      <c r="W924" s="154"/>
      <c r="X924" s="100"/>
      <c r="Y924" s="357"/>
      <c r="Z924" s="100"/>
      <c r="AA924" s="100"/>
      <c r="AB924" s="100"/>
      <c r="AC924" s="357"/>
      <c r="AD924" s="367"/>
      <c r="AE924" s="368"/>
      <c r="AF924" s="98"/>
      <c r="AG924" s="357"/>
      <c r="AH924" s="156"/>
      <c r="AI924" s="305"/>
      <c r="AJ924" s="366"/>
      <c r="AK924" s="357"/>
      <c r="AL924" s="371"/>
      <c r="AM924" s="371"/>
      <c r="AN924" s="371"/>
      <c r="AO924" s="357"/>
      <c r="AP924" s="100"/>
      <c r="AQ924" s="100"/>
      <c r="AR924" s="100"/>
      <c r="AS924" s="357"/>
      <c r="AT924" s="100"/>
      <c r="AU924" s="100"/>
      <c r="AV924" s="100"/>
    </row>
    <row r="925">
      <c r="A925" s="357"/>
      <c r="B925" s="156"/>
      <c r="C925" s="154"/>
      <c r="D925" s="100"/>
      <c r="E925" s="357"/>
      <c r="F925" s="156"/>
      <c r="G925" s="154"/>
      <c r="H925" s="100"/>
      <c r="I925" s="357"/>
      <c r="J925" s="156"/>
      <c r="K925" s="154"/>
      <c r="L925" s="100"/>
      <c r="M925" s="357"/>
      <c r="N925" s="156"/>
      <c r="O925" s="154"/>
      <c r="P925" s="100"/>
      <c r="Q925" s="357"/>
      <c r="R925" s="156"/>
      <c r="S925" s="154"/>
      <c r="T925" s="100"/>
      <c r="U925" s="357"/>
      <c r="V925" s="156"/>
      <c r="W925" s="154"/>
      <c r="X925" s="100"/>
      <c r="Y925" s="357"/>
      <c r="Z925" s="100"/>
      <c r="AA925" s="100"/>
      <c r="AB925" s="100"/>
      <c r="AC925" s="357"/>
      <c r="AD925" s="367"/>
      <c r="AE925" s="368"/>
      <c r="AF925" s="98"/>
      <c r="AG925" s="357"/>
      <c r="AH925" s="156"/>
      <c r="AI925" s="305"/>
      <c r="AJ925" s="366"/>
      <c r="AK925" s="357"/>
      <c r="AL925" s="371"/>
      <c r="AM925" s="371"/>
      <c r="AN925" s="371"/>
      <c r="AO925" s="357"/>
      <c r="AP925" s="100"/>
      <c r="AQ925" s="100"/>
      <c r="AR925" s="100"/>
      <c r="AS925" s="357"/>
      <c r="AT925" s="100"/>
      <c r="AU925" s="100"/>
      <c r="AV925" s="100"/>
    </row>
    <row r="926">
      <c r="A926" s="357"/>
      <c r="B926" s="156"/>
      <c r="C926" s="154"/>
      <c r="D926" s="100"/>
      <c r="E926" s="357"/>
      <c r="F926" s="156"/>
      <c r="G926" s="154"/>
      <c r="H926" s="100"/>
      <c r="I926" s="357"/>
      <c r="J926" s="156"/>
      <c r="K926" s="154"/>
      <c r="L926" s="100"/>
      <c r="M926" s="357"/>
      <c r="N926" s="156"/>
      <c r="O926" s="154"/>
      <c r="P926" s="100"/>
      <c r="Q926" s="357"/>
      <c r="R926" s="156"/>
      <c r="S926" s="154"/>
      <c r="T926" s="100"/>
      <c r="U926" s="357"/>
      <c r="V926" s="156"/>
      <c r="W926" s="154"/>
      <c r="X926" s="100"/>
      <c r="Y926" s="357"/>
      <c r="Z926" s="100"/>
      <c r="AA926" s="100"/>
      <c r="AB926" s="100"/>
      <c r="AC926" s="357"/>
      <c r="AD926" s="367"/>
      <c r="AE926" s="368"/>
      <c r="AF926" s="98"/>
      <c r="AG926" s="357"/>
      <c r="AH926" s="156"/>
      <c r="AI926" s="305"/>
      <c r="AJ926" s="366"/>
      <c r="AK926" s="357"/>
      <c r="AL926" s="371"/>
      <c r="AM926" s="371"/>
      <c r="AN926" s="371"/>
      <c r="AO926" s="357"/>
      <c r="AP926" s="100"/>
      <c r="AQ926" s="100"/>
      <c r="AR926" s="100"/>
      <c r="AS926" s="357"/>
      <c r="AT926" s="100"/>
      <c r="AU926" s="100"/>
      <c r="AV926" s="100"/>
    </row>
    <row r="927">
      <c r="A927" s="357"/>
      <c r="B927" s="156"/>
      <c r="C927" s="154"/>
      <c r="D927" s="100"/>
      <c r="E927" s="357"/>
      <c r="F927" s="156"/>
      <c r="G927" s="154"/>
      <c r="H927" s="100"/>
      <c r="I927" s="357"/>
      <c r="J927" s="156"/>
      <c r="K927" s="154"/>
      <c r="L927" s="100"/>
      <c r="M927" s="357"/>
      <c r="N927" s="156"/>
      <c r="O927" s="154"/>
      <c r="P927" s="100"/>
      <c r="Q927" s="357"/>
      <c r="R927" s="156"/>
      <c r="S927" s="154"/>
      <c r="T927" s="100"/>
      <c r="U927" s="357"/>
      <c r="V927" s="156"/>
      <c r="W927" s="154"/>
      <c r="X927" s="100"/>
      <c r="Y927" s="357"/>
      <c r="Z927" s="100"/>
      <c r="AA927" s="100"/>
      <c r="AB927" s="100"/>
      <c r="AC927" s="357"/>
      <c r="AD927" s="367"/>
      <c r="AE927" s="368"/>
      <c r="AF927" s="98"/>
      <c r="AG927" s="357"/>
      <c r="AH927" s="156"/>
      <c r="AI927" s="305"/>
      <c r="AJ927" s="366"/>
      <c r="AK927" s="357"/>
      <c r="AL927" s="371"/>
      <c r="AM927" s="371"/>
      <c r="AN927" s="371"/>
      <c r="AO927" s="357"/>
      <c r="AP927" s="100"/>
      <c r="AQ927" s="100"/>
      <c r="AR927" s="100"/>
      <c r="AS927" s="357"/>
      <c r="AT927" s="100"/>
      <c r="AU927" s="100"/>
      <c r="AV927" s="100"/>
    </row>
    <row r="928">
      <c r="A928" s="357"/>
      <c r="B928" s="156"/>
      <c r="C928" s="154"/>
      <c r="D928" s="100"/>
      <c r="E928" s="357"/>
      <c r="F928" s="156"/>
      <c r="G928" s="154"/>
      <c r="H928" s="100"/>
      <c r="I928" s="357"/>
      <c r="J928" s="156"/>
      <c r="K928" s="154"/>
      <c r="L928" s="100"/>
      <c r="M928" s="357"/>
      <c r="N928" s="156"/>
      <c r="O928" s="154"/>
      <c r="P928" s="100"/>
      <c r="Q928" s="357"/>
      <c r="R928" s="156"/>
      <c r="S928" s="154"/>
      <c r="T928" s="100"/>
      <c r="U928" s="357"/>
      <c r="V928" s="156"/>
      <c r="W928" s="154"/>
      <c r="X928" s="100"/>
      <c r="Y928" s="357"/>
      <c r="Z928" s="100"/>
      <c r="AA928" s="100"/>
      <c r="AB928" s="100"/>
      <c r="AC928" s="357"/>
      <c r="AD928" s="367"/>
      <c r="AE928" s="368"/>
      <c r="AF928" s="98"/>
      <c r="AG928" s="357"/>
      <c r="AH928" s="156"/>
      <c r="AI928" s="305"/>
      <c r="AJ928" s="366"/>
      <c r="AK928" s="357"/>
      <c r="AL928" s="371"/>
      <c r="AM928" s="371"/>
      <c r="AN928" s="371"/>
      <c r="AO928" s="357"/>
      <c r="AP928" s="100"/>
      <c r="AQ928" s="100"/>
      <c r="AR928" s="100"/>
      <c r="AS928" s="357"/>
      <c r="AT928" s="100"/>
      <c r="AU928" s="100"/>
      <c r="AV928" s="100"/>
    </row>
    <row r="929">
      <c r="A929" s="357"/>
      <c r="B929" s="156"/>
      <c r="C929" s="154"/>
      <c r="D929" s="100"/>
      <c r="E929" s="357"/>
      <c r="F929" s="156"/>
      <c r="G929" s="154"/>
      <c r="H929" s="100"/>
      <c r="I929" s="357"/>
      <c r="J929" s="156"/>
      <c r="K929" s="154"/>
      <c r="L929" s="100"/>
      <c r="M929" s="357"/>
      <c r="N929" s="156"/>
      <c r="O929" s="154"/>
      <c r="P929" s="100"/>
      <c r="Q929" s="357"/>
      <c r="R929" s="156"/>
      <c r="S929" s="154"/>
      <c r="T929" s="100"/>
      <c r="U929" s="357"/>
      <c r="V929" s="156"/>
      <c r="W929" s="154"/>
      <c r="X929" s="100"/>
      <c r="Y929" s="357"/>
      <c r="Z929" s="100"/>
      <c r="AA929" s="100"/>
      <c r="AB929" s="100"/>
      <c r="AC929" s="357"/>
      <c r="AD929" s="367"/>
      <c r="AE929" s="368"/>
      <c r="AF929" s="98"/>
      <c r="AG929" s="357"/>
      <c r="AH929" s="156"/>
      <c r="AI929" s="305"/>
      <c r="AJ929" s="366"/>
      <c r="AK929" s="357"/>
      <c r="AL929" s="371"/>
      <c r="AM929" s="371"/>
      <c r="AN929" s="371"/>
      <c r="AO929" s="357"/>
      <c r="AP929" s="100"/>
      <c r="AQ929" s="100"/>
      <c r="AR929" s="100"/>
      <c r="AS929" s="357"/>
      <c r="AT929" s="100"/>
      <c r="AU929" s="100"/>
      <c r="AV929" s="100"/>
    </row>
    <row r="930">
      <c r="A930" s="357"/>
      <c r="B930" s="156"/>
      <c r="C930" s="154"/>
      <c r="D930" s="100"/>
      <c r="E930" s="357"/>
      <c r="F930" s="156"/>
      <c r="G930" s="154"/>
      <c r="H930" s="100"/>
      <c r="I930" s="357"/>
      <c r="J930" s="156"/>
      <c r="K930" s="154"/>
      <c r="L930" s="100"/>
      <c r="M930" s="357"/>
      <c r="N930" s="156"/>
      <c r="O930" s="154"/>
      <c r="P930" s="100"/>
      <c r="Q930" s="357"/>
      <c r="R930" s="156"/>
      <c r="S930" s="154"/>
      <c r="T930" s="100"/>
      <c r="U930" s="357"/>
      <c r="V930" s="156"/>
      <c r="W930" s="154"/>
      <c r="X930" s="100"/>
      <c r="Y930" s="357"/>
      <c r="Z930" s="100"/>
      <c r="AA930" s="100"/>
      <c r="AB930" s="100"/>
      <c r="AC930" s="357"/>
      <c r="AD930" s="367"/>
      <c r="AE930" s="368"/>
      <c r="AF930" s="98"/>
      <c r="AG930" s="357"/>
      <c r="AH930" s="156"/>
      <c r="AI930" s="305"/>
      <c r="AJ930" s="366"/>
      <c r="AK930" s="357"/>
      <c r="AL930" s="371"/>
      <c r="AM930" s="371"/>
      <c r="AN930" s="371"/>
      <c r="AO930" s="357"/>
      <c r="AP930" s="100"/>
      <c r="AQ930" s="100"/>
      <c r="AR930" s="100"/>
      <c r="AS930" s="357"/>
      <c r="AT930" s="100"/>
      <c r="AU930" s="100"/>
      <c r="AV930" s="100"/>
    </row>
    <row r="931">
      <c r="A931" s="357"/>
      <c r="B931" s="156"/>
      <c r="C931" s="154"/>
      <c r="D931" s="100"/>
      <c r="E931" s="357"/>
      <c r="F931" s="156"/>
      <c r="G931" s="154"/>
      <c r="H931" s="100"/>
      <c r="I931" s="357"/>
      <c r="J931" s="156"/>
      <c r="K931" s="154"/>
      <c r="L931" s="100"/>
      <c r="M931" s="357"/>
      <c r="N931" s="156"/>
      <c r="O931" s="154"/>
      <c r="P931" s="100"/>
      <c r="Q931" s="357"/>
      <c r="R931" s="156"/>
      <c r="S931" s="154"/>
      <c r="T931" s="100"/>
      <c r="U931" s="357"/>
      <c r="V931" s="156"/>
      <c r="W931" s="154"/>
      <c r="X931" s="100"/>
      <c r="Y931" s="357"/>
      <c r="Z931" s="100"/>
      <c r="AA931" s="100"/>
      <c r="AB931" s="100"/>
      <c r="AC931" s="357"/>
      <c r="AD931" s="367"/>
      <c r="AE931" s="368"/>
      <c r="AF931" s="98"/>
      <c r="AG931" s="357"/>
      <c r="AH931" s="156"/>
      <c r="AI931" s="305"/>
      <c r="AJ931" s="366"/>
      <c r="AK931" s="357"/>
      <c r="AL931" s="371"/>
      <c r="AM931" s="371"/>
      <c r="AN931" s="371"/>
      <c r="AO931" s="357"/>
      <c r="AP931" s="100"/>
      <c r="AQ931" s="100"/>
      <c r="AR931" s="100"/>
      <c r="AS931" s="357"/>
      <c r="AT931" s="100"/>
      <c r="AU931" s="100"/>
      <c r="AV931" s="100"/>
    </row>
    <row r="932">
      <c r="A932" s="357"/>
      <c r="B932" s="156"/>
      <c r="C932" s="154"/>
      <c r="D932" s="100"/>
      <c r="E932" s="357"/>
      <c r="F932" s="156"/>
      <c r="G932" s="154"/>
      <c r="H932" s="100"/>
      <c r="I932" s="357"/>
      <c r="J932" s="156"/>
      <c r="K932" s="154"/>
      <c r="L932" s="100"/>
      <c r="M932" s="357"/>
      <c r="N932" s="156"/>
      <c r="O932" s="154"/>
      <c r="P932" s="100"/>
      <c r="Q932" s="357"/>
      <c r="R932" s="156"/>
      <c r="S932" s="154"/>
      <c r="T932" s="100"/>
      <c r="U932" s="357"/>
      <c r="V932" s="156"/>
      <c r="W932" s="154"/>
      <c r="X932" s="100"/>
      <c r="Y932" s="357"/>
      <c r="Z932" s="100"/>
      <c r="AA932" s="100"/>
      <c r="AB932" s="100"/>
      <c r="AC932" s="357"/>
      <c r="AD932" s="367"/>
      <c r="AE932" s="368"/>
      <c r="AF932" s="98"/>
      <c r="AG932" s="357"/>
      <c r="AH932" s="156"/>
      <c r="AI932" s="305"/>
      <c r="AJ932" s="366"/>
      <c r="AK932" s="357"/>
      <c r="AL932" s="371"/>
      <c r="AM932" s="371"/>
      <c r="AN932" s="371"/>
      <c r="AO932" s="357"/>
      <c r="AP932" s="100"/>
      <c r="AQ932" s="100"/>
      <c r="AR932" s="100"/>
      <c r="AS932" s="357"/>
      <c r="AT932" s="100"/>
      <c r="AU932" s="100"/>
      <c r="AV932" s="100"/>
    </row>
    <row r="933">
      <c r="A933" s="357"/>
      <c r="B933" s="156"/>
      <c r="C933" s="154"/>
      <c r="D933" s="100"/>
      <c r="E933" s="357"/>
      <c r="F933" s="156"/>
      <c r="G933" s="154"/>
      <c r="H933" s="100"/>
      <c r="I933" s="357"/>
      <c r="J933" s="156"/>
      <c r="K933" s="154"/>
      <c r="L933" s="100"/>
      <c r="M933" s="357"/>
      <c r="N933" s="156"/>
      <c r="O933" s="154"/>
      <c r="P933" s="100"/>
      <c r="Q933" s="357"/>
      <c r="R933" s="156"/>
      <c r="S933" s="154"/>
      <c r="T933" s="100"/>
      <c r="U933" s="357"/>
      <c r="V933" s="156"/>
      <c r="W933" s="154"/>
      <c r="X933" s="100"/>
      <c r="Y933" s="357"/>
      <c r="Z933" s="100"/>
      <c r="AA933" s="100"/>
      <c r="AB933" s="100"/>
      <c r="AC933" s="357"/>
      <c r="AD933" s="367"/>
      <c r="AE933" s="368"/>
      <c r="AF933" s="98"/>
      <c r="AG933" s="357"/>
      <c r="AH933" s="156"/>
      <c r="AI933" s="305"/>
      <c r="AJ933" s="366"/>
      <c r="AK933" s="357"/>
      <c r="AL933" s="371"/>
      <c r="AM933" s="371"/>
      <c r="AN933" s="371"/>
      <c r="AO933" s="357"/>
      <c r="AP933" s="100"/>
      <c r="AQ933" s="100"/>
      <c r="AR933" s="100"/>
      <c r="AS933" s="357"/>
      <c r="AT933" s="100"/>
      <c r="AU933" s="100"/>
      <c r="AV933" s="100"/>
    </row>
    <row r="934">
      <c r="A934" s="357"/>
      <c r="B934" s="156"/>
      <c r="C934" s="154"/>
      <c r="D934" s="100"/>
      <c r="E934" s="357"/>
      <c r="F934" s="156"/>
      <c r="G934" s="154"/>
      <c r="H934" s="100"/>
      <c r="I934" s="357"/>
      <c r="J934" s="156"/>
      <c r="K934" s="154"/>
      <c r="L934" s="100"/>
      <c r="M934" s="357"/>
      <c r="N934" s="156"/>
      <c r="O934" s="154"/>
      <c r="P934" s="100"/>
      <c r="Q934" s="357"/>
      <c r="R934" s="156"/>
      <c r="S934" s="154"/>
      <c r="T934" s="100"/>
      <c r="U934" s="357"/>
      <c r="V934" s="156"/>
      <c r="W934" s="154"/>
      <c r="X934" s="100"/>
      <c r="Y934" s="357"/>
      <c r="Z934" s="100"/>
      <c r="AA934" s="100"/>
      <c r="AB934" s="100"/>
      <c r="AC934" s="357"/>
      <c r="AD934" s="367"/>
      <c r="AE934" s="368"/>
      <c r="AF934" s="98"/>
      <c r="AG934" s="357"/>
      <c r="AH934" s="156"/>
      <c r="AI934" s="305"/>
      <c r="AJ934" s="366"/>
      <c r="AK934" s="357"/>
      <c r="AL934" s="371"/>
      <c r="AM934" s="371"/>
      <c r="AN934" s="371"/>
      <c r="AO934" s="357"/>
      <c r="AP934" s="100"/>
      <c r="AQ934" s="100"/>
      <c r="AR934" s="100"/>
      <c r="AS934" s="357"/>
      <c r="AT934" s="100"/>
      <c r="AU934" s="100"/>
      <c r="AV934" s="100"/>
    </row>
    <row r="935">
      <c r="A935" s="357"/>
      <c r="B935" s="156"/>
      <c r="C935" s="154"/>
      <c r="D935" s="100"/>
      <c r="E935" s="357"/>
      <c r="F935" s="156"/>
      <c r="G935" s="154"/>
      <c r="H935" s="100"/>
      <c r="I935" s="357"/>
      <c r="J935" s="156"/>
      <c r="K935" s="154"/>
      <c r="L935" s="100"/>
      <c r="M935" s="357"/>
      <c r="N935" s="156"/>
      <c r="O935" s="154"/>
      <c r="P935" s="100"/>
      <c r="Q935" s="357"/>
      <c r="R935" s="156"/>
      <c r="S935" s="154"/>
      <c r="T935" s="100"/>
      <c r="U935" s="357"/>
      <c r="V935" s="156"/>
      <c r="W935" s="154"/>
      <c r="X935" s="100"/>
      <c r="Y935" s="357"/>
      <c r="Z935" s="100"/>
      <c r="AA935" s="100"/>
      <c r="AB935" s="100"/>
      <c r="AC935" s="357"/>
      <c r="AD935" s="367"/>
      <c r="AE935" s="368"/>
      <c r="AF935" s="98"/>
      <c r="AG935" s="357"/>
      <c r="AH935" s="156"/>
      <c r="AI935" s="305"/>
      <c r="AJ935" s="366"/>
      <c r="AK935" s="357"/>
      <c r="AL935" s="371"/>
      <c r="AM935" s="371"/>
      <c r="AN935" s="371"/>
      <c r="AO935" s="357"/>
      <c r="AP935" s="100"/>
      <c r="AQ935" s="100"/>
      <c r="AR935" s="100"/>
      <c r="AS935" s="357"/>
      <c r="AT935" s="100"/>
      <c r="AU935" s="100"/>
      <c r="AV935" s="100"/>
    </row>
    <row r="936">
      <c r="A936" s="357"/>
      <c r="B936" s="156"/>
      <c r="C936" s="154"/>
      <c r="D936" s="100"/>
      <c r="E936" s="357"/>
      <c r="F936" s="156"/>
      <c r="G936" s="154"/>
      <c r="H936" s="100"/>
      <c r="I936" s="357"/>
      <c r="J936" s="156"/>
      <c r="K936" s="154"/>
      <c r="L936" s="100"/>
      <c r="M936" s="357"/>
      <c r="N936" s="156"/>
      <c r="O936" s="154"/>
      <c r="P936" s="100"/>
      <c r="Q936" s="357"/>
      <c r="R936" s="156"/>
      <c r="S936" s="154"/>
      <c r="T936" s="100"/>
      <c r="U936" s="357"/>
      <c r="V936" s="156"/>
      <c r="W936" s="154"/>
      <c r="X936" s="100"/>
      <c r="Y936" s="357"/>
      <c r="Z936" s="100"/>
      <c r="AA936" s="100"/>
      <c r="AB936" s="100"/>
      <c r="AC936" s="357"/>
      <c r="AD936" s="367"/>
      <c r="AE936" s="368"/>
      <c r="AF936" s="98"/>
      <c r="AG936" s="357"/>
      <c r="AH936" s="156"/>
      <c r="AI936" s="305"/>
      <c r="AJ936" s="366"/>
      <c r="AK936" s="357"/>
      <c r="AL936" s="371"/>
      <c r="AM936" s="371"/>
      <c r="AN936" s="371"/>
      <c r="AO936" s="357"/>
      <c r="AP936" s="100"/>
      <c r="AQ936" s="100"/>
      <c r="AR936" s="100"/>
      <c r="AS936" s="357"/>
      <c r="AT936" s="100"/>
      <c r="AU936" s="100"/>
      <c r="AV936" s="100"/>
    </row>
    <row r="937">
      <c r="A937" s="357"/>
      <c r="B937" s="156"/>
      <c r="C937" s="154"/>
      <c r="D937" s="100"/>
      <c r="E937" s="357"/>
      <c r="F937" s="156"/>
      <c r="G937" s="154"/>
      <c r="H937" s="100"/>
      <c r="I937" s="357"/>
      <c r="J937" s="156"/>
      <c r="K937" s="154"/>
      <c r="L937" s="100"/>
      <c r="M937" s="357"/>
      <c r="N937" s="156"/>
      <c r="O937" s="154"/>
      <c r="P937" s="100"/>
      <c r="Q937" s="357"/>
      <c r="R937" s="156"/>
      <c r="S937" s="154"/>
      <c r="T937" s="100"/>
      <c r="U937" s="357"/>
      <c r="V937" s="156"/>
      <c r="W937" s="154"/>
      <c r="X937" s="100"/>
      <c r="Y937" s="357"/>
      <c r="Z937" s="100"/>
      <c r="AA937" s="100"/>
      <c r="AB937" s="100"/>
      <c r="AC937" s="357"/>
      <c r="AD937" s="367"/>
      <c r="AE937" s="368"/>
      <c r="AF937" s="98"/>
      <c r="AG937" s="357"/>
      <c r="AH937" s="156"/>
      <c r="AI937" s="305"/>
      <c r="AJ937" s="366"/>
      <c r="AK937" s="357"/>
      <c r="AL937" s="371"/>
      <c r="AM937" s="371"/>
      <c r="AN937" s="371"/>
      <c r="AO937" s="357"/>
      <c r="AP937" s="100"/>
      <c r="AQ937" s="100"/>
      <c r="AR937" s="100"/>
      <c r="AS937" s="357"/>
      <c r="AT937" s="100"/>
      <c r="AU937" s="100"/>
      <c r="AV937" s="100"/>
    </row>
    <row r="938">
      <c r="A938" s="357"/>
      <c r="B938" s="156"/>
      <c r="C938" s="154"/>
      <c r="D938" s="100"/>
      <c r="E938" s="357"/>
      <c r="F938" s="156"/>
      <c r="G938" s="154"/>
      <c r="H938" s="100"/>
      <c r="I938" s="357"/>
      <c r="J938" s="156"/>
      <c r="K938" s="154"/>
      <c r="L938" s="100"/>
      <c r="M938" s="357"/>
      <c r="N938" s="156"/>
      <c r="O938" s="154"/>
      <c r="P938" s="100"/>
      <c r="Q938" s="357"/>
      <c r="R938" s="156"/>
      <c r="S938" s="154"/>
      <c r="T938" s="100"/>
      <c r="U938" s="357"/>
      <c r="V938" s="156"/>
      <c r="W938" s="154"/>
      <c r="X938" s="100"/>
      <c r="Y938" s="357"/>
      <c r="Z938" s="100"/>
      <c r="AA938" s="100"/>
      <c r="AB938" s="100"/>
      <c r="AC938" s="357"/>
      <c r="AD938" s="367"/>
      <c r="AE938" s="368"/>
      <c r="AF938" s="98"/>
      <c r="AG938" s="357"/>
      <c r="AH938" s="156"/>
      <c r="AI938" s="305"/>
      <c r="AJ938" s="366"/>
      <c r="AK938" s="357"/>
      <c r="AL938" s="371"/>
      <c r="AM938" s="371"/>
      <c r="AN938" s="371"/>
      <c r="AO938" s="357"/>
      <c r="AP938" s="100"/>
      <c r="AQ938" s="100"/>
      <c r="AR938" s="100"/>
      <c r="AS938" s="357"/>
      <c r="AT938" s="100"/>
      <c r="AU938" s="100"/>
      <c r="AV938" s="100"/>
    </row>
    <row r="939">
      <c r="A939" s="357"/>
      <c r="B939" s="156"/>
      <c r="C939" s="154"/>
      <c r="D939" s="100"/>
      <c r="E939" s="357"/>
      <c r="F939" s="156"/>
      <c r="G939" s="154"/>
      <c r="H939" s="100"/>
      <c r="I939" s="357"/>
      <c r="J939" s="156"/>
      <c r="K939" s="154"/>
      <c r="L939" s="100"/>
      <c r="M939" s="357"/>
      <c r="N939" s="156"/>
      <c r="O939" s="154"/>
      <c r="P939" s="100"/>
      <c r="Q939" s="357"/>
      <c r="R939" s="156"/>
      <c r="S939" s="154"/>
      <c r="T939" s="100"/>
      <c r="U939" s="357"/>
      <c r="V939" s="156"/>
      <c r="W939" s="154"/>
      <c r="X939" s="100"/>
      <c r="Y939" s="357"/>
      <c r="Z939" s="100"/>
      <c r="AA939" s="100"/>
      <c r="AB939" s="100"/>
      <c r="AC939" s="357"/>
      <c r="AD939" s="367"/>
      <c r="AE939" s="368"/>
      <c r="AF939" s="98"/>
      <c r="AG939" s="357"/>
      <c r="AH939" s="156"/>
      <c r="AI939" s="305"/>
      <c r="AJ939" s="366"/>
      <c r="AK939" s="357"/>
      <c r="AL939" s="371"/>
      <c r="AM939" s="371"/>
      <c r="AN939" s="371"/>
      <c r="AO939" s="357"/>
      <c r="AP939" s="100"/>
      <c r="AQ939" s="100"/>
      <c r="AR939" s="100"/>
      <c r="AS939" s="357"/>
      <c r="AT939" s="100"/>
      <c r="AU939" s="100"/>
      <c r="AV939" s="100"/>
    </row>
    <row r="940">
      <c r="A940" s="357"/>
      <c r="B940" s="156"/>
      <c r="C940" s="154"/>
      <c r="D940" s="100"/>
      <c r="E940" s="357"/>
      <c r="F940" s="156"/>
      <c r="G940" s="154"/>
      <c r="H940" s="100"/>
      <c r="I940" s="357"/>
      <c r="J940" s="156"/>
      <c r="K940" s="154"/>
      <c r="L940" s="100"/>
      <c r="M940" s="357"/>
      <c r="N940" s="156"/>
      <c r="O940" s="154"/>
      <c r="P940" s="100"/>
      <c r="Q940" s="357"/>
      <c r="R940" s="156"/>
      <c r="S940" s="154"/>
      <c r="T940" s="100"/>
      <c r="U940" s="357"/>
      <c r="V940" s="156"/>
      <c r="W940" s="154"/>
      <c r="X940" s="100"/>
      <c r="Y940" s="357"/>
      <c r="Z940" s="100"/>
      <c r="AA940" s="100"/>
      <c r="AB940" s="100"/>
      <c r="AC940" s="357"/>
      <c r="AD940" s="367"/>
      <c r="AE940" s="368"/>
      <c r="AF940" s="98"/>
      <c r="AG940" s="357"/>
      <c r="AH940" s="156"/>
      <c r="AI940" s="305"/>
      <c r="AJ940" s="366"/>
      <c r="AK940" s="357"/>
      <c r="AL940" s="371"/>
      <c r="AM940" s="371"/>
      <c r="AN940" s="371"/>
      <c r="AO940" s="357"/>
      <c r="AP940" s="100"/>
      <c r="AQ940" s="100"/>
      <c r="AR940" s="100"/>
      <c r="AS940" s="357"/>
      <c r="AT940" s="100"/>
      <c r="AU940" s="100"/>
      <c r="AV940" s="100"/>
    </row>
    <row r="941">
      <c r="A941" s="357"/>
      <c r="B941" s="156"/>
      <c r="C941" s="154"/>
      <c r="D941" s="100"/>
      <c r="E941" s="357"/>
      <c r="F941" s="156"/>
      <c r="G941" s="154"/>
      <c r="H941" s="100"/>
      <c r="I941" s="357"/>
      <c r="J941" s="156"/>
      <c r="K941" s="154"/>
      <c r="L941" s="100"/>
      <c r="M941" s="357"/>
      <c r="N941" s="156"/>
      <c r="O941" s="154"/>
      <c r="P941" s="100"/>
      <c r="Q941" s="357"/>
      <c r="R941" s="156"/>
      <c r="S941" s="154"/>
      <c r="T941" s="100"/>
      <c r="U941" s="357"/>
      <c r="V941" s="156"/>
      <c r="W941" s="154"/>
      <c r="X941" s="100"/>
      <c r="Y941" s="357"/>
      <c r="Z941" s="100"/>
      <c r="AA941" s="100"/>
      <c r="AB941" s="100"/>
      <c r="AC941" s="357"/>
      <c r="AD941" s="367"/>
      <c r="AE941" s="368"/>
      <c r="AF941" s="98"/>
      <c r="AG941" s="357"/>
      <c r="AH941" s="156"/>
      <c r="AI941" s="305"/>
      <c r="AJ941" s="366"/>
      <c r="AK941" s="357"/>
      <c r="AL941" s="371"/>
      <c r="AM941" s="371"/>
      <c r="AN941" s="371"/>
      <c r="AO941" s="357"/>
      <c r="AP941" s="100"/>
      <c r="AQ941" s="100"/>
      <c r="AR941" s="100"/>
      <c r="AS941" s="357"/>
      <c r="AT941" s="100"/>
      <c r="AU941" s="100"/>
      <c r="AV941" s="100"/>
    </row>
    <row r="942">
      <c r="A942" s="357"/>
      <c r="B942" s="156"/>
      <c r="C942" s="154"/>
      <c r="D942" s="100"/>
      <c r="E942" s="357"/>
      <c r="F942" s="156"/>
      <c r="G942" s="154"/>
      <c r="H942" s="100"/>
      <c r="I942" s="357"/>
      <c r="J942" s="156"/>
      <c r="K942" s="154"/>
      <c r="L942" s="100"/>
      <c r="M942" s="357"/>
      <c r="N942" s="156"/>
      <c r="O942" s="154"/>
      <c r="P942" s="100"/>
      <c r="Q942" s="357"/>
      <c r="R942" s="156"/>
      <c r="S942" s="154"/>
      <c r="T942" s="100"/>
      <c r="U942" s="357"/>
      <c r="V942" s="156"/>
      <c r="W942" s="154"/>
      <c r="X942" s="100"/>
      <c r="Y942" s="357"/>
      <c r="Z942" s="100"/>
      <c r="AA942" s="100"/>
      <c r="AB942" s="100"/>
      <c r="AC942" s="357"/>
      <c r="AD942" s="367"/>
      <c r="AE942" s="368"/>
      <c r="AF942" s="98"/>
      <c r="AG942" s="357"/>
      <c r="AH942" s="156"/>
      <c r="AI942" s="305"/>
      <c r="AJ942" s="366"/>
      <c r="AK942" s="357"/>
      <c r="AL942" s="371"/>
      <c r="AM942" s="371"/>
      <c r="AN942" s="371"/>
      <c r="AO942" s="357"/>
      <c r="AP942" s="100"/>
      <c r="AQ942" s="100"/>
      <c r="AR942" s="100"/>
      <c r="AS942" s="357"/>
      <c r="AT942" s="100"/>
      <c r="AU942" s="100"/>
      <c r="AV942" s="100"/>
    </row>
    <row r="943">
      <c r="A943" s="357"/>
      <c r="B943" s="156"/>
      <c r="C943" s="154"/>
      <c r="D943" s="100"/>
      <c r="E943" s="357"/>
      <c r="F943" s="156"/>
      <c r="G943" s="154"/>
      <c r="H943" s="100"/>
      <c r="I943" s="357"/>
      <c r="J943" s="156"/>
      <c r="K943" s="154"/>
      <c r="L943" s="100"/>
      <c r="M943" s="357"/>
      <c r="N943" s="156"/>
      <c r="O943" s="154"/>
      <c r="P943" s="100"/>
      <c r="Q943" s="357"/>
      <c r="R943" s="156"/>
      <c r="S943" s="154"/>
      <c r="T943" s="100"/>
      <c r="U943" s="357"/>
      <c r="V943" s="156"/>
      <c r="W943" s="154"/>
      <c r="X943" s="100"/>
      <c r="Y943" s="357"/>
      <c r="Z943" s="100"/>
      <c r="AA943" s="100"/>
      <c r="AB943" s="100"/>
      <c r="AC943" s="357"/>
      <c r="AD943" s="367"/>
      <c r="AE943" s="368"/>
      <c r="AF943" s="98"/>
      <c r="AG943" s="357"/>
      <c r="AH943" s="156"/>
      <c r="AI943" s="305"/>
      <c r="AJ943" s="366"/>
      <c r="AK943" s="357"/>
      <c r="AL943" s="371"/>
      <c r="AM943" s="371"/>
      <c r="AN943" s="371"/>
      <c r="AO943" s="357"/>
      <c r="AP943" s="100"/>
      <c r="AQ943" s="100"/>
      <c r="AR943" s="100"/>
      <c r="AS943" s="357"/>
      <c r="AT943" s="100"/>
      <c r="AU943" s="100"/>
      <c r="AV943" s="100"/>
    </row>
    <row r="944">
      <c r="A944" s="357"/>
      <c r="B944" s="156"/>
      <c r="C944" s="154"/>
      <c r="D944" s="100"/>
      <c r="E944" s="357"/>
      <c r="F944" s="156"/>
      <c r="G944" s="154"/>
      <c r="H944" s="100"/>
      <c r="I944" s="357"/>
      <c r="J944" s="156"/>
      <c r="K944" s="154"/>
      <c r="L944" s="100"/>
      <c r="M944" s="357"/>
      <c r="N944" s="156"/>
      <c r="O944" s="154"/>
      <c r="P944" s="100"/>
      <c r="Q944" s="357"/>
      <c r="R944" s="156"/>
      <c r="S944" s="154"/>
      <c r="T944" s="100"/>
      <c r="U944" s="357"/>
      <c r="V944" s="156"/>
      <c r="W944" s="154"/>
      <c r="X944" s="100"/>
      <c r="Y944" s="357"/>
      <c r="Z944" s="100"/>
      <c r="AA944" s="100"/>
      <c r="AB944" s="100"/>
      <c r="AC944" s="357"/>
      <c r="AD944" s="367"/>
      <c r="AE944" s="368"/>
      <c r="AF944" s="98"/>
      <c r="AG944" s="357"/>
      <c r="AH944" s="156"/>
      <c r="AI944" s="305"/>
      <c r="AJ944" s="366"/>
      <c r="AK944" s="357"/>
      <c r="AL944" s="371"/>
      <c r="AM944" s="371"/>
      <c r="AN944" s="371"/>
      <c r="AO944" s="357"/>
      <c r="AP944" s="100"/>
      <c r="AQ944" s="100"/>
      <c r="AR944" s="100"/>
      <c r="AS944" s="357"/>
      <c r="AT944" s="100"/>
      <c r="AU944" s="100"/>
      <c r="AV944" s="100"/>
    </row>
    <row r="945">
      <c r="A945" s="357"/>
      <c r="B945" s="156"/>
      <c r="C945" s="154"/>
      <c r="D945" s="100"/>
      <c r="E945" s="357"/>
      <c r="F945" s="156"/>
      <c r="G945" s="154"/>
      <c r="H945" s="100"/>
      <c r="I945" s="357"/>
      <c r="J945" s="156"/>
      <c r="K945" s="154"/>
      <c r="L945" s="100"/>
      <c r="M945" s="357"/>
      <c r="N945" s="156"/>
      <c r="O945" s="154"/>
      <c r="P945" s="100"/>
      <c r="Q945" s="357"/>
      <c r="R945" s="156"/>
      <c r="S945" s="154"/>
      <c r="T945" s="100"/>
      <c r="U945" s="357"/>
      <c r="V945" s="156"/>
      <c r="W945" s="154"/>
      <c r="X945" s="100"/>
      <c r="Y945" s="357"/>
      <c r="Z945" s="100"/>
      <c r="AA945" s="100"/>
      <c r="AB945" s="100"/>
      <c r="AC945" s="357"/>
      <c r="AD945" s="367"/>
      <c r="AE945" s="368"/>
      <c r="AF945" s="98"/>
      <c r="AG945" s="357"/>
      <c r="AH945" s="156"/>
      <c r="AI945" s="305"/>
      <c r="AJ945" s="366"/>
      <c r="AK945" s="357"/>
      <c r="AL945" s="371"/>
      <c r="AM945" s="371"/>
      <c r="AN945" s="371"/>
      <c r="AO945" s="357"/>
      <c r="AP945" s="100"/>
      <c r="AQ945" s="100"/>
      <c r="AR945" s="100"/>
      <c r="AS945" s="357"/>
      <c r="AT945" s="100"/>
      <c r="AU945" s="100"/>
      <c r="AV945" s="100"/>
    </row>
    <row r="946">
      <c r="A946" s="357"/>
      <c r="B946" s="156"/>
      <c r="C946" s="154"/>
      <c r="D946" s="100"/>
      <c r="E946" s="357"/>
      <c r="F946" s="156"/>
      <c r="G946" s="154"/>
      <c r="H946" s="100"/>
      <c r="I946" s="357"/>
      <c r="J946" s="156"/>
      <c r="K946" s="154"/>
      <c r="L946" s="100"/>
      <c r="M946" s="357"/>
      <c r="N946" s="156"/>
      <c r="O946" s="154"/>
      <c r="P946" s="100"/>
      <c r="Q946" s="357"/>
      <c r="R946" s="156"/>
      <c r="S946" s="154"/>
      <c r="T946" s="100"/>
      <c r="U946" s="357"/>
      <c r="V946" s="156"/>
      <c r="W946" s="154"/>
      <c r="X946" s="100"/>
      <c r="Y946" s="357"/>
      <c r="Z946" s="100"/>
      <c r="AA946" s="100"/>
      <c r="AB946" s="100"/>
      <c r="AC946" s="357"/>
      <c r="AD946" s="367"/>
      <c r="AE946" s="368"/>
      <c r="AF946" s="98"/>
      <c r="AG946" s="357"/>
      <c r="AH946" s="156"/>
      <c r="AI946" s="305"/>
      <c r="AJ946" s="366"/>
      <c r="AK946" s="357"/>
      <c r="AL946" s="371"/>
      <c r="AM946" s="371"/>
      <c r="AN946" s="371"/>
      <c r="AO946" s="357"/>
      <c r="AP946" s="100"/>
      <c r="AQ946" s="100"/>
      <c r="AR946" s="100"/>
      <c r="AS946" s="357"/>
      <c r="AT946" s="100"/>
      <c r="AU946" s="100"/>
      <c r="AV946" s="100"/>
    </row>
    <row r="947">
      <c r="A947" s="357"/>
      <c r="B947" s="156"/>
      <c r="C947" s="154"/>
      <c r="D947" s="100"/>
      <c r="E947" s="357"/>
      <c r="F947" s="156"/>
      <c r="G947" s="154"/>
      <c r="H947" s="100"/>
      <c r="I947" s="357"/>
      <c r="J947" s="156"/>
      <c r="K947" s="154"/>
      <c r="L947" s="100"/>
      <c r="M947" s="357"/>
      <c r="N947" s="156"/>
      <c r="O947" s="154"/>
      <c r="P947" s="100"/>
      <c r="Q947" s="357"/>
      <c r="R947" s="156"/>
      <c r="S947" s="154"/>
      <c r="T947" s="100"/>
      <c r="U947" s="357"/>
      <c r="V947" s="156"/>
      <c r="W947" s="154"/>
      <c r="X947" s="100"/>
      <c r="Y947" s="357"/>
      <c r="Z947" s="100"/>
      <c r="AA947" s="100"/>
      <c r="AB947" s="100"/>
      <c r="AC947" s="357"/>
      <c r="AD947" s="367"/>
      <c r="AE947" s="368"/>
      <c r="AF947" s="98"/>
      <c r="AG947" s="357"/>
      <c r="AH947" s="156"/>
      <c r="AI947" s="305"/>
      <c r="AJ947" s="366"/>
      <c r="AK947" s="357"/>
      <c r="AL947" s="371"/>
      <c r="AM947" s="371"/>
      <c r="AN947" s="371"/>
      <c r="AO947" s="357"/>
      <c r="AP947" s="100"/>
      <c r="AQ947" s="100"/>
      <c r="AR947" s="100"/>
      <c r="AS947" s="357"/>
      <c r="AT947" s="100"/>
      <c r="AU947" s="100"/>
      <c r="AV947" s="100"/>
    </row>
    <row r="948">
      <c r="A948" s="357"/>
      <c r="B948" s="156"/>
      <c r="C948" s="154"/>
      <c r="D948" s="100"/>
      <c r="E948" s="357"/>
      <c r="F948" s="156"/>
      <c r="G948" s="154"/>
      <c r="H948" s="100"/>
      <c r="I948" s="357"/>
      <c r="J948" s="156"/>
      <c r="K948" s="154"/>
      <c r="L948" s="100"/>
      <c r="M948" s="357"/>
      <c r="N948" s="156"/>
      <c r="O948" s="154"/>
      <c r="P948" s="100"/>
      <c r="Q948" s="357"/>
      <c r="R948" s="156"/>
      <c r="S948" s="154"/>
      <c r="T948" s="100"/>
      <c r="U948" s="357"/>
      <c r="V948" s="156"/>
      <c r="W948" s="154"/>
      <c r="X948" s="100"/>
      <c r="Y948" s="357"/>
      <c r="Z948" s="100"/>
      <c r="AA948" s="100"/>
      <c r="AB948" s="100"/>
      <c r="AC948" s="357"/>
      <c r="AD948" s="367"/>
      <c r="AE948" s="368"/>
      <c r="AF948" s="98"/>
      <c r="AG948" s="357"/>
      <c r="AH948" s="156"/>
      <c r="AI948" s="305"/>
      <c r="AJ948" s="366"/>
      <c r="AK948" s="357"/>
      <c r="AL948" s="371"/>
      <c r="AM948" s="371"/>
      <c r="AN948" s="371"/>
      <c r="AO948" s="357"/>
      <c r="AP948" s="100"/>
      <c r="AQ948" s="100"/>
      <c r="AR948" s="100"/>
      <c r="AS948" s="357"/>
      <c r="AT948" s="100"/>
      <c r="AU948" s="100"/>
      <c r="AV948" s="100"/>
    </row>
    <row r="949">
      <c r="A949" s="357"/>
      <c r="B949" s="156"/>
      <c r="C949" s="154"/>
      <c r="D949" s="100"/>
      <c r="E949" s="357"/>
      <c r="F949" s="156"/>
      <c r="G949" s="154"/>
      <c r="H949" s="100"/>
      <c r="I949" s="357"/>
      <c r="J949" s="156"/>
      <c r="K949" s="154"/>
      <c r="L949" s="100"/>
      <c r="M949" s="357"/>
      <c r="N949" s="156"/>
      <c r="O949" s="154"/>
      <c r="P949" s="100"/>
      <c r="Q949" s="357"/>
      <c r="R949" s="156"/>
      <c r="S949" s="154"/>
      <c r="T949" s="100"/>
      <c r="U949" s="357"/>
      <c r="V949" s="156"/>
      <c r="W949" s="154"/>
      <c r="X949" s="100"/>
      <c r="Y949" s="357"/>
      <c r="Z949" s="100"/>
      <c r="AA949" s="100"/>
      <c r="AB949" s="100"/>
      <c r="AC949" s="357"/>
      <c r="AD949" s="367"/>
      <c r="AE949" s="368"/>
      <c r="AF949" s="98"/>
      <c r="AG949" s="357"/>
      <c r="AH949" s="156"/>
      <c r="AI949" s="305"/>
      <c r="AJ949" s="366"/>
      <c r="AK949" s="357"/>
      <c r="AL949" s="371"/>
      <c r="AM949" s="371"/>
      <c r="AN949" s="371"/>
      <c r="AO949" s="357"/>
      <c r="AP949" s="100"/>
      <c r="AQ949" s="100"/>
      <c r="AR949" s="100"/>
      <c r="AS949" s="357"/>
      <c r="AT949" s="100"/>
      <c r="AU949" s="100"/>
      <c r="AV949" s="100"/>
    </row>
    <row r="950">
      <c r="A950" s="357"/>
      <c r="B950" s="156"/>
      <c r="C950" s="154"/>
      <c r="D950" s="100"/>
      <c r="E950" s="357"/>
      <c r="F950" s="156"/>
      <c r="G950" s="154"/>
      <c r="H950" s="100"/>
      <c r="I950" s="357"/>
      <c r="J950" s="156"/>
      <c r="K950" s="154"/>
      <c r="L950" s="100"/>
      <c r="M950" s="357"/>
      <c r="N950" s="156"/>
      <c r="O950" s="154"/>
      <c r="P950" s="100"/>
      <c r="Q950" s="357"/>
      <c r="R950" s="156"/>
      <c r="S950" s="154"/>
      <c r="T950" s="100"/>
      <c r="U950" s="357"/>
      <c r="V950" s="156"/>
      <c r="W950" s="154"/>
      <c r="X950" s="100"/>
      <c r="Y950" s="357"/>
      <c r="Z950" s="100"/>
      <c r="AA950" s="100"/>
      <c r="AB950" s="100"/>
      <c r="AC950" s="357"/>
      <c r="AD950" s="367"/>
      <c r="AE950" s="368"/>
      <c r="AF950" s="98"/>
      <c r="AG950" s="357"/>
      <c r="AH950" s="156"/>
      <c r="AI950" s="305"/>
      <c r="AJ950" s="366"/>
      <c r="AK950" s="357"/>
      <c r="AL950" s="371"/>
      <c r="AM950" s="371"/>
      <c r="AN950" s="371"/>
      <c r="AO950" s="357"/>
      <c r="AP950" s="100"/>
      <c r="AQ950" s="100"/>
      <c r="AR950" s="100"/>
      <c r="AS950" s="357"/>
      <c r="AT950" s="100"/>
      <c r="AU950" s="100"/>
      <c r="AV950" s="100"/>
    </row>
    <row r="951">
      <c r="A951" s="357"/>
      <c r="B951" s="156"/>
      <c r="C951" s="154"/>
      <c r="D951" s="100"/>
      <c r="E951" s="357"/>
      <c r="F951" s="156"/>
      <c r="G951" s="154"/>
      <c r="H951" s="100"/>
      <c r="I951" s="357"/>
      <c r="J951" s="156"/>
      <c r="K951" s="154"/>
      <c r="L951" s="100"/>
      <c r="M951" s="357"/>
      <c r="N951" s="156"/>
      <c r="O951" s="154"/>
      <c r="P951" s="100"/>
      <c r="Q951" s="357"/>
      <c r="R951" s="156"/>
      <c r="S951" s="154"/>
      <c r="T951" s="100"/>
      <c r="U951" s="357"/>
      <c r="V951" s="156"/>
      <c r="W951" s="154"/>
      <c r="X951" s="100"/>
      <c r="Y951" s="357"/>
      <c r="Z951" s="100"/>
      <c r="AA951" s="100"/>
      <c r="AB951" s="100"/>
      <c r="AC951" s="357"/>
      <c r="AD951" s="367"/>
      <c r="AE951" s="368"/>
      <c r="AF951" s="98"/>
      <c r="AG951" s="357"/>
      <c r="AH951" s="156"/>
      <c r="AI951" s="305"/>
      <c r="AJ951" s="366"/>
      <c r="AK951" s="357"/>
      <c r="AL951" s="371"/>
      <c r="AM951" s="371"/>
      <c r="AN951" s="371"/>
      <c r="AO951" s="357"/>
      <c r="AP951" s="100"/>
      <c r="AQ951" s="100"/>
      <c r="AR951" s="100"/>
      <c r="AS951" s="357"/>
      <c r="AT951" s="100"/>
      <c r="AU951" s="100"/>
      <c r="AV951" s="100"/>
    </row>
    <row r="952">
      <c r="A952" s="357"/>
      <c r="B952" s="156"/>
      <c r="C952" s="154"/>
      <c r="D952" s="100"/>
      <c r="E952" s="357"/>
      <c r="F952" s="156"/>
      <c r="G952" s="154"/>
      <c r="H952" s="100"/>
      <c r="I952" s="357"/>
      <c r="J952" s="156"/>
      <c r="K952" s="154"/>
      <c r="L952" s="100"/>
      <c r="M952" s="357"/>
      <c r="N952" s="156"/>
      <c r="O952" s="154"/>
      <c r="P952" s="100"/>
      <c r="Q952" s="357"/>
      <c r="R952" s="156"/>
      <c r="S952" s="154"/>
      <c r="T952" s="100"/>
      <c r="U952" s="357"/>
      <c r="V952" s="156"/>
      <c r="W952" s="154"/>
      <c r="X952" s="100"/>
      <c r="Y952" s="357"/>
      <c r="Z952" s="100"/>
      <c r="AA952" s="100"/>
      <c r="AB952" s="100"/>
      <c r="AC952" s="357"/>
      <c r="AD952" s="367"/>
      <c r="AE952" s="368"/>
      <c r="AF952" s="98"/>
      <c r="AG952" s="357"/>
      <c r="AH952" s="156"/>
      <c r="AI952" s="305"/>
      <c r="AJ952" s="366"/>
      <c r="AK952" s="357"/>
      <c r="AL952" s="371"/>
      <c r="AM952" s="371"/>
      <c r="AN952" s="371"/>
      <c r="AO952" s="357"/>
      <c r="AP952" s="100"/>
      <c r="AQ952" s="100"/>
      <c r="AR952" s="100"/>
      <c r="AS952" s="357"/>
      <c r="AT952" s="100"/>
      <c r="AU952" s="100"/>
      <c r="AV952" s="100"/>
    </row>
    <row r="953">
      <c r="A953" s="357"/>
      <c r="B953" s="156"/>
      <c r="C953" s="154"/>
      <c r="D953" s="100"/>
      <c r="E953" s="357"/>
      <c r="F953" s="156"/>
      <c r="G953" s="154"/>
      <c r="H953" s="100"/>
      <c r="I953" s="357"/>
      <c r="J953" s="156"/>
      <c r="K953" s="154"/>
      <c r="L953" s="100"/>
      <c r="M953" s="357"/>
      <c r="N953" s="156"/>
      <c r="O953" s="154"/>
      <c r="P953" s="100"/>
      <c r="Q953" s="357"/>
      <c r="R953" s="156"/>
      <c r="S953" s="154"/>
      <c r="T953" s="100"/>
      <c r="U953" s="357"/>
      <c r="V953" s="156"/>
      <c r="W953" s="154"/>
      <c r="X953" s="100"/>
      <c r="Y953" s="357"/>
      <c r="Z953" s="100"/>
      <c r="AA953" s="100"/>
      <c r="AB953" s="100"/>
      <c r="AC953" s="357"/>
      <c r="AD953" s="367"/>
      <c r="AE953" s="368"/>
      <c r="AF953" s="98"/>
      <c r="AG953" s="357"/>
      <c r="AH953" s="156"/>
      <c r="AI953" s="305"/>
      <c r="AJ953" s="366"/>
      <c r="AK953" s="357"/>
      <c r="AL953" s="371"/>
      <c r="AM953" s="371"/>
      <c r="AN953" s="371"/>
      <c r="AO953" s="357"/>
      <c r="AP953" s="100"/>
      <c r="AQ953" s="100"/>
      <c r="AR953" s="100"/>
      <c r="AS953" s="357"/>
      <c r="AT953" s="100"/>
      <c r="AU953" s="100"/>
      <c r="AV953" s="100"/>
    </row>
    <row r="954">
      <c r="A954" s="357"/>
      <c r="B954" s="156"/>
      <c r="C954" s="154"/>
      <c r="D954" s="100"/>
      <c r="E954" s="357"/>
      <c r="F954" s="156"/>
      <c r="G954" s="154"/>
      <c r="H954" s="100"/>
      <c r="I954" s="357"/>
      <c r="J954" s="156"/>
      <c r="K954" s="154"/>
      <c r="L954" s="100"/>
      <c r="M954" s="357"/>
      <c r="N954" s="156"/>
      <c r="O954" s="154"/>
      <c r="P954" s="100"/>
      <c r="Q954" s="357"/>
      <c r="R954" s="156"/>
      <c r="S954" s="154"/>
      <c r="T954" s="100"/>
      <c r="U954" s="357"/>
      <c r="V954" s="156"/>
      <c r="W954" s="154"/>
      <c r="X954" s="100"/>
      <c r="Y954" s="357"/>
      <c r="Z954" s="100"/>
      <c r="AA954" s="100"/>
      <c r="AB954" s="100"/>
      <c r="AC954" s="357"/>
      <c r="AD954" s="367"/>
      <c r="AE954" s="368"/>
      <c r="AF954" s="98"/>
      <c r="AG954" s="357"/>
      <c r="AH954" s="156"/>
      <c r="AI954" s="305"/>
      <c r="AJ954" s="366"/>
      <c r="AK954" s="357"/>
      <c r="AL954" s="371"/>
      <c r="AM954" s="371"/>
      <c r="AN954" s="371"/>
      <c r="AO954" s="357"/>
      <c r="AP954" s="100"/>
      <c r="AQ954" s="100"/>
      <c r="AR954" s="100"/>
      <c r="AS954" s="357"/>
      <c r="AT954" s="100"/>
      <c r="AU954" s="100"/>
      <c r="AV954" s="100"/>
    </row>
    <row r="955">
      <c r="A955" s="357"/>
      <c r="B955" s="156"/>
      <c r="C955" s="154"/>
      <c r="D955" s="100"/>
      <c r="E955" s="357"/>
      <c r="F955" s="156"/>
      <c r="G955" s="154"/>
      <c r="H955" s="100"/>
      <c r="I955" s="357"/>
      <c r="J955" s="156"/>
      <c r="K955" s="154"/>
      <c r="L955" s="100"/>
      <c r="M955" s="357"/>
      <c r="N955" s="156"/>
      <c r="O955" s="154"/>
      <c r="P955" s="100"/>
      <c r="Q955" s="357"/>
      <c r="R955" s="156"/>
      <c r="S955" s="154"/>
      <c r="T955" s="100"/>
      <c r="U955" s="357"/>
      <c r="V955" s="156"/>
      <c r="W955" s="154"/>
      <c r="X955" s="100"/>
      <c r="Y955" s="357"/>
      <c r="Z955" s="100"/>
      <c r="AA955" s="100"/>
      <c r="AB955" s="100"/>
      <c r="AC955" s="357"/>
      <c r="AD955" s="367"/>
      <c r="AE955" s="368"/>
      <c r="AF955" s="98"/>
      <c r="AG955" s="357"/>
      <c r="AH955" s="156"/>
      <c r="AI955" s="305"/>
      <c r="AJ955" s="366"/>
      <c r="AK955" s="357"/>
      <c r="AL955" s="371"/>
      <c r="AM955" s="371"/>
      <c r="AN955" s="371"/>
      <c r="AO955" s="357"/>
      <c r="AP955" s="100"/>
      <c r="AQ955" s="100"/>
      <c r="AR955" s="100"/>
      <c r="AS955" s="357"/>
      <c r="AT955" s="100"/>
      <c r="AU955" s="100"/>
      <c r="AV955" s="100"/>
    </row>
    <row r="956">
      <c r="A956" s="357"/>
      <c r="B956" s="156"/>
      <c r="C956" s="154"/>
      <c r="D956" s="100"/>
      <c r="E956" s="357"/>
      <c r="F956" s="156"/>
      <c r="G956" s="154"/>
      <c r="H956" s="100"/>
      <c r="I956" s="357"/>
      <c r="J956" s="156"/>
      <c r="K956" s="154"/>
      <c r="L956" s="100"/>
      <c r="M956" s="357"/>
      <c r="N956" s="156"/>
      <c r="O956" s="154"/>
      <c r="P956" s="100"/>
      <c r="Q956" s="357"/>
      <c r="R956" s="156"/>
      <c r="S956" s="154"/>
      <c r="T956" s="100"/>
      <c r="U956" s="357"/>
      <c r="V956" s="156"/>
      <c r="W956" s="154"/>
      <c r="X956" s="100"/>
      <c r="Y956" s="357"/>
      <c r="Z956" s="100"/>
      <c r="AA956" s="100"/>
      <c r="AB956" s="100"/>
      <c r="AC956" s="357"/>
      <c r="AD956" s="367"/>
      <c r="AE956" s="368"/>
      <c r="AF956" s="98"/>
      <c r="AG956" s="357"/>
      <c r="AH956" s="156"/>
      <c r="AI956" s="305"/>
      <c r="AJ956" s="366"/>
      <c r="AK956" s="357"/>
      <c r="AL956" s="371"/>
      <c r="AM956" s="371"/>
      <c r="AN956" s="371"/>
      <c r="AO956" s="357"/>
      <c r="AP956" s="100"/>
      <c r="AQ956" s="100"/>
      <c r="AR956" s="100"/>
      <c r="AS956" s="357"/>
      <c r="AT956" s="100"/>
      <c r="AU956" s="100"/>
      <c r="AV956" s="100"/>
    </row>
    <row r="957">
      <c r="A957" s="357"/>
      <c r="B957" s="156"/>
      <c r="C957" s="154"/>
      <c r="D957" s="100"/>
      <c r="E957" s="357"/>
      <c r="F957" s="156"/>
      <c r="G957" s="154"/>
      <c r="H957" s="100"/>
      <c r="I957" s="357"/>
      <c r="J957" s="156"/>
      <c r="K957" s="154"/>
      <c r="L957" s="100"/>
      <c r="M957" s="357"/>
      <c r="N957" s="156"/>
      <c r="O957" s="154"/>
      <c r="P957" s="100"/>
      <c r="Q957" s="357"/>
      <c r="R957" s="156"/>
      <c r="S957" s="154"/>
      <c r="T957" s="100"/>
      <c r="U957" s="357"/>
      <c r="V957" s="156"/>
      <c r="W957" s="154"/>
      <c r="X957" s="100"/>
      <c r="Y957" s="357"/>
      <c r="Z957" s="100"/>
      <c r="AA957" s="100"/>
      <c r="AB957" s="100"/>
      <c r="AC957" s="357"/>
      <c r="AD957" s="367"/>
      <c r="AE957" s="368"/>
      <c r="AF957" s="98"/>
      <c r="AG957" s="357"/>
      <c r="AH957" s="156"/>
      <c r="AI957" s="305"/>
      <c r="AJ957" s="366"/>
      <c r="AK957" s="357"/>
      <c r="AL957" s="371"/>
      <c r="AM957" s="371"/>
      <c r="AN957" s="371"/>
      <c r="AO957" s="357"/>
      <c r="AP957" s="100"/>
      <c r="AQ957" s="100"/>
      <c r="AR957" s="100"/>
      <c r="AS957" s="357"/>
      <c r="AT957" s="100"/>
      <c r="AU957" s="100"/>
      <c r="AV957" s="100"/>
    </row>
    <row r="958">
      <c r="A958" s="357"/>
      <c r="B958" s="156"/>
      <c r="C958" s="154"/>
      <c r="D958" s="100"/>
      <c r="E958" s="357"/>
      <c r="F958" s="156"/>
      <c r="G958" s="154"/>
      <c r="H958" s="100"/>
      <c r="I958" s="357"/>
      <c r="J958" s="156"/>
      <c r="K958" s="154"/>
      <c r="L958" s="100"/>
      <c r="M958" s="357"/>
      <c r="N958" s="156"/>
      <c r="O958" s="154"/>
      <c r="P958" s="100"/>
      <c r="Q958" s="357"/>
      <c r="R958" s="156"/>
      <c r="S958" s="154"/>
      <c r="T958" s="100"/>
      <c r="U958" s="357"/>
      <c r="V958" s="156"/>
      <c r="W958" s="154"/>
      <c r="X958" s="100"/>
      <c r="Y958" s="357"/>
      <c r="Z958" s="100"/>
      <c r="AA958" s="100"/>
      <c r="AB958" s="100"/>
      <c r="AC958" s="357"/>
      <c r="AD958" s="367"/>
      <c r="AE958" s="368"/>
      <c r="AF958" s="98"/>
      <c r="AG958" s="357"/>
      <c r="AH958" s="156"/>
      <c r="AI958" s="305"/>
      <c r="AJ958" s="366"/>
      <c r="AK958" s="357"/>
      <c r="AL958" s="371"/>
      <c r="AM958" s="371"/>
      <c r="AN958" s="371"/>
      <c r="AO958" s="357"/>
      <c r="AP958" s="100"/>
      <c r="AQ958" s="100"/>
      <c r="AR958" s="100"/>
      <c r="AS958" s="357"/>
      <c r="AT958" s="100"/>
      <c r="AU958" s="100"/>
      <c r="AV958" s="100"/>
    </row>
    <row r="959">
      <c r="A959" s="357"/>
      <c r="B959" s="156"/>
      <c r="C959" s="154"/>
      <c r="D959" s="100"/>
      <c r="E959" s="357"/>
      <c r="F959" s="156"/>
      <c r="G959" s="154"/>
      <c r="H959" s="100"/>
      <c r="I959" s="357"/>
      <c r="J959" s="156"/>
      <c r="K959" s="154"/>
      <c r="L959" s="100"/>
      <c r="M959" s="357"/>
      <c r="N959" s="156"/>
      <c r="O959" s="154"/>
      <c r="P959" s="100"/>
      <c r="Q959" s="357"/>
      <c r="R959" s="156"/>
      <c r="S959" s="154"/>
      <c r="T959" s="100"/>
      <c r="U959" s="357"/>
      <c r="V959" s="156"/>
      <c r="W959" s="154"/>
      <c r="X959" s="100"/>
      <c r="Y959" s="357"/>
      <c r="Z959" s="100"/>
      <c r="AA959" s="100"/>
      <c r="AB959" s="100"/>
      <c r="AC959" s="357"/>
      <c r="AD959" s="367"/>
      <c r="AE959" s="368"/>
      <c r="AF959" s="98"/>
      <c r="AG959" s="357"/>
      <c r="AH959" s="156"/>
      <c r="AI959" s="305"/>
      <c r="AJ959" s="366"/>
      <c r="AK959" s="357"/>
      <c r="AL959" s="371"/>
      <c r="AM959" s="371"/>
      <c r="AN959" s="371"/>
      <c r="AO959" s="357"/>
      <c r="AP959" s="100"/>
      <c r="AQ959" s="100"/>
      <c r="AR959" s="100"/>
      <c r="AS959" s="357"/>
      <c r="AT959" s="100"/>
      <c r="AU959" s="100"/>
      <c r="AV959" s="100"/>
    </row>
    <row r="960">
      <c r="A960" s="357"/>
      <c r="B960" s="156"/>
      <c r="C960" s="154"/>
      <c r="D960" s="100"/>
      <c r="E960" s="357"/>
      <c r="F960" s="156"/>
      <c r="G960" s="154"/>
      <c r="H960" s="100"/>
      <c r="I960" s="357"/>
      <c r="J960" s="156"/>
      <c r="K960" s="154"/>
      <c r="L960" s="100"/>
      <c r="M960" s="357"/>
      <c r="N960" s="156"/>
      <c r="O960" s="154"/>
      <c r="P960" s="100"/>
      <c r="Q960" s="357"/>
      <c r="R960" s="156"/>
      <c r="S960" s="154"/>
      <c r="T960" s="100"/>
      <c r="U960" s="357"/>
      <c r="V960" s="156"/>
      <c r="W960" s="154"/>
      <c r="X960" s="100"/>
      <c r="Y960" s="357"/>
      <c r="Z960" s="100"/>
      <c r="AA960" s="100"/>
      <c r="AB960" s="100"/>
      <c r="AC960" s="357"/>
      <c r="AD960" s="367"/>
      <c r="AE960" s="368"/>
      <c r="AF960" s="98"/>
      <c r="AG960" s="357"/>
      <c r="AH960" s="156"/>
      <c r="AI960" s="305"/>
      <c r="AJ960" s="366"/>
      <c r="AK960" s="357"/>
      <c r="AL960" s="371"/>
      <c r="AM960" s="371"/>
      <c r="AN960" s="371"/>
      <c r="AO960" s="357"/>
      <c r="AP960" s="100"/>
      <c r="AQ960" s="100"/>
      <c r="AR960" s="100"/>
      <c r="AS960" s="357"/>
      <c r="AT960" s="100"/>
      <c r="AU960" s="100"/>
      <c r="AV960" s="100"/>
    </row>
    <row r="961">
      <c r="A961" s="357"/>
      <c r="B961" s="156"/>
      <c r="C961" s="154"/>
      <c r="D961" s="100"/>
      <c r="E961" s="357"/>
      <c r="F961" s="156"/>
      <c r="G961" s="154"/>
      <c r="H961" s="100"/>
      <c r="I961" s="357"/>
      <c r="J961" s="156"/>
      <c r="K961" s="154"/>
      <c r="L961" s="100"/>
      <c r="M961" s="357"/>
      <c r="N961" s="156"/>
      <c r="O961" s="154"/>
      <c r="P961" s="100"/>
      <c r="Q961" s="357"/>
      <c r="R961" s="156"/>
      <c r="S961" s="154"/>
      <c r="T961" s="100"/>
      <c r="U961" s="357"/>
      <c r="V961" s="156"/>
      <c r="W961" s="154"/>
      <c r="X961" s="100"/>
      <c r="Y961" s="357"/>
      <c r="Z961" s="100"/>
      <c r="AA961" s="100"/>
      <c r="AB961" s="100"/>
      <c r="AC961" s="357"/>
      <c r="AD961" s="367"/>
      <c r="AE961" s="368"/>
      <c r="AF961" s="98"/>
      <c r="AG961" s="357"/>
      <c r="AH961" s="156"/>
      <c r="AI961" s="305"/>
      <c r="AJ961" s="366"/>
      <c r="AK961" s="357"/>
      <c r="AL961" s="371"/>
      <c r="AM961" s="371"/>
      <c r="AN961" s="371"/>
      <c r="AO961" s="357"/>
      <c r="AP961" s="100"/>
      <c r="AQ961" s="100"/>
      <c r="AR961" s="100"/>
      <c r="AS961" s="357"/>
      <c r="AT961" s="100"/>
      <c r="AU961" s="100"/>
      <c r="AV961" s="100"/>
    </row>
    <row r="962">
      <c r="A962" s="357"/>
      <c r="B962" s="156"/>
      <c r="C962" s="154"/>
      <c r="D962" s="100"/>
      <c r="E962" s="357"/>
      <c r="F962" s="156"/>
      <c r="G962" s="154"/>
      <c r="H962" s="100"/>
      <c r="I962" s="357"/>
      <c r="J962" s="156"/>
      <c r="K962" s="154"/>
      <c r="L962" s="100"/>
      <c r="M962" s="357"/>
      <c r="N962" s="156"/>
      <c r="O962" s="154"/>
      <c r="P962" s="100"/>
      <c r="Q962" s="357"/>
      <c r="R962" s="156"/>
      <c r="S962" s="154"/>
      <c r="T962" s="100"/>
      <c r="U962" s="357"/>
      <c r="V962" s="156"/>
      <c r="W962" s="154"/>
      <c r="X962" s="100"/>
      <c r="Y962" s="357"/>
      <c r="Z962" s="100"/>
      <c r="AA962" s="100"/>
      <c r="AB962" s="100"/>
      <c r="AC962" s="357"/>
      <c r="AD962" s="367"/>
      <c r="AE962" s="368"/>
      <c r="AF962" s="98"/>
      <c r="AG962" s="357"/>
      <c r="AH962" s="156"/>
      <c r="AI962" s="305"/>
      <c r="AJ962" s="366"/>
      <c r="AK962" s="357"/>
      <c r="AL962" s="371"/>
      <c r="AM962" s="371"/>
      <c r="AN962" s="371"/>
      <c r="AO962" s="357"/>
      <c r="AP962" s="100"/>
      <c r="AQ962" s="100"/>
      <c r="AR962" s="100"/>
      <c r="AS962" s="357"/>
      <c r="AT962" s="100"/>
      <c r="AU962" s="100"/>
      <c r="AV962" s="100"/>
    </row>
    <row r="963">
      <c r="A963" s="357"/>
      <c r="B963" s="156"/>
      <c r="C963" s="154"/>
      <c r="D963" s="100"/>
      <c r="E963" s="357"/>
      <c r="F963" s="156"/>
      <c r="G963" s="154"/>
      <c r="H963" s="100"/>
      <c r="I963" s="357"/>
      <c r="J963" s="156"/>
      <c r="K963" s="154"/>
      <c r="L963" s="100"/>
      <c r="M963" s="357"/>
      <c r="N963" s="156"/>
      <c r="O963" s="154"/>
      <c r="P963" s="100"/>
      <c r="Q963" s="357"/>
      <c r="R963" s="156"/>
      <c r="S963" s="154"/>
      <c r="T963" s="100"/>
      <c r="U963" s="357"/>
      <c r="V963" s="156"/>
      <c r="W963" s="154"/>
      <c r="X963" s="100"/>
      <c r="Y963" s="357"/>
      <c r="Z963" s="100"/>
      <c r="AA963" s="100"/>
      <c r="AB963" s="100"/>
      <c r="AC963" s="357"/>
      <c r="AD963" s="367"/>
      <c r="AE963" s="368"/>
      <c r="AF963" s="98"/>
      <c r="AG963" s="357"/>
      <c r="AH963" s="156"/>
      <c r="AI963" s="305"/>
      <c r="AJ963" s="366"/>
      <c r="AK963" s="357"/>
      <c r="AL963" s="371"/>
      <c r="AM963" s="371"/>
      <c r="AN963" s="371"/>
      <c r="AO963" s="357"/>
      <c r="AP963" s="100"/>
      <c r="AQ963" s="100"/>
      <c r="AR963" s="100"/>
      <c r="AS963" s="357"/>
      <c r="AT963" s="100"/>
      <c r="AU963" s="100"/>
      <c r="AV963" s="100"/>
    </row>
    <row r="964">
      <c r="A964" s="357"/>
      <c r="B964" s="156"/>
      <c r="C964" s="154"/>
      <c r="D964" s="100"/>
      <c r="E964" s="357"/>
      <c r="F964" s="156"/>
      <c r="G964" s="154"/>
      <c r="H964" s="100"/>
      <c r="I964" s="357"/>
      <c r="J964" s="156"/>
      <c r="K964" s="154"/>
      <c r="L964" s="100"/>
      <c r="M964" s="357"/>
      <c r="N964" s="156"/>
      <c r="O964" s="154"/>
      <c r="P964" s="100"/>
      <c r="Q964" s="357"/>
      <c r="R964" s="156"/>
      <c r="S964" s="154"/>
      <c r="T964" s="100"/>
      <c r="U964" s="357"/>
      <c r="V964" s="156"/>
      <c r="W964" s="154"/>
      <c r="X964" s="100"/>
      <c r="Y964" s="357"/>
      <c r="Z964" s="100"/>
      <c r="AA964" s="100"/>
      <c r="AB964" s="100"/>
      <c r="AC964" s="357"/>
      <c r="AD964" s="367"/>
      <c r="AE964" s="368"/>
      <c r="AF964" s="98"/>
      <c r="AG964" s="357"/>
      <c r="AH964" s="156"/>
      <c r="AI964" s="305"/>
      <c r="AJ964" s="366"/>
      <c r="AK964" s="357"/>
      <c r="AL964" s="371"/>
      <c r="AM964" s="371"/>
      <c r="AN964" s="371"/>
      <c r="AO964" s="357"/>
      <c r="AP964" s="100"/>
      <c r="AQ964" s="100"/>
      <c r="AR964" s="100"/>
      <c r="AS964" s="357"/>
      <c r="AT964" s="100"/>
      <c r="AU964" s="100"/>
      <c r="AV964" s="100"/>
    </row>
    <row r="965">
      <c r="A965" s="357"/>
      <c r="B965" s="156"/>
      <c r="C965" s="154"/>
      <c r="D965" s="100"/>
      <c r="E965" s="357"/>
      <c r="F965" s="156"/>
      <c r="G965" s="154"/>
      <c r="H965" s="100"/>
      <c r="I965" s="357"/>
      <c r="J965" s="156"/>
      <c r="K965" s="154"/>
      <c r="L965" s="100"/>
      <c r="M965" s="357"/>
      <c r="N965" s="156"/>
      <c r="O965" s="154"/>
      <c r="P965" s="100"/>
      <c r="Q965" s="357"/>
      <c r="R965" s="156"/>
      <c r="S965" s="154"/>
      <c r="T965" s="100"/>
      <c r="U965" s="357"/>
      <c r="V965" s="156"/>
      <c r="W965" s="154"/>
      <c r="X965" s="100"/>
      <c r="Y965" s="357"/>
      <c r="Z965" s="100"/>
      <c r="AA965" s="100"/>
      <c r="AB965" s="100"/>
      <c r="AC965" s="357"/>
      <c r="AD965" s="367"/>
      <c r="AE965" s="368"/>
      <c r="AF965" s="98"/>
      <c r="AG965" s="357"/>
      <c r="AH965" s="156"/>
      <c r="AI965" s="305"/>
      <c r="AJ965" s="366"/>
      <c r="AK965" s="357"/>
      <c r="AL965" s="371"/>
      <c r="AM965" s="371"/>
      <c r="AN965" s="371"/>
      <c r="AO965" s="357"/>
      <c r="AP965" s="100"/>
      <c r="AQ965" s="100"/>
      <c r="AR965" s="100"/>
      <c r="AS965" s="357"/>
      <c r="AT965" s="100"/>
      <c r="AU965" s="100"/>
      <c r="AV965" s="100"/>
    </row>
    <row r="966">
      <c r="A966" s="357"/>
      <c r="B966" s="156"/>
      <c r="C966" s="154"/>
      <c r="D966" s="100"/>
      <c r="E966" s="357"/>
      <c r="F966" s="156"/>
      <c r="G966" s="154"/>
      <c r="H966" s="100"/>
      <c r="I966" s="357"/>
      <c r="J966" s="156"/>
      <c r="K966" s="154"/>
      <c r="L966" s="100"/>
      <c r="M966" s="357"/>
      <c r="N966" s="156"/>
      <c r="O966" s="154"/>
      <c r="P966" s="100"/>
      <c r="Q966" s="357"/>
      <c r="R966" s="156"/>
      <c r="S966" s="154"/>
      <c r="T966" s="100"/>
      <c r="U966" s="357"/>
      <c r="V966" s="156"/>
      <c r="W966" s="154"/>
      <c r="X966" s="100"/>
      <c r="Y966" s="357"/>
      <c r="Z966" s="100"/>
      <c r="AA966" s="100"/>
      <c r="AB966" s="100"/>
      <c r="AC966" s="357"/>
      <c r="AD966" s="367"/>
      <c r="AE966" s="368"/>
      <c r="AF966" s="98"/>
      <c r="AG966" s="357"/>
      <c r="AH966" s="156"/>
      <c r="AI966" s="305"/>
      <c r="AJ966" s="366"/>
      <c r="AK966" s="357"/>
      <c r="AL966" s="371"/>
      <c r="AM966" s="371"/>
      <c r="AN966" s="371"/>
      <c r="AO966" s="357"/>
      <c r="AP966" s="100"/>
      <c r="AQ966" s="100"/>
      <c r="AR966" s="100"/>
      <c r="AS966" s="357"/>
      <c r="AT966" s="100"/>
      <c r="AU966" s="100"/>
      <c r="AV966" s="100"/>
    </row>
    <row r="967">
      <c r="A967" s="357"/>
      <c r="B967" s="156"/>
      <c r="C967" s="154"/>
      <c r="D967" s="100"/>
      <c r="E967" s="357"/>
      <c r="F967" s="156"/>
      <c r="G967" s="154"/>
      <c r="H967" s="100"/>
      <c r="I967" s="357"/>
      <c r="J967" s="156"/>
      <c r="K967" s="154"/>
      <c r="L967" s="100"/>
      <c r="M967" s="357"/>
      <c r="N967" s="156"/>
      <c r="O967" s="154"/>
      <c r="P967" s="100"/>
      <c r="Q967" s="357"/>
      <c r="R967" s="156"/>
      <c r="S967" s="154"/>
      <c r="T967" s="100"/>
      <c r="U967" s="357"/>
      <c r="V967" s="156"/>
      <c r="W967" s="154"/>
      <c r="X967" s="100"/>
      <c r="Y967" s="357"/>
      <c r="Z967" s="100"/>
      <c r="AA967" s="100"/>
      <c r="AB967" s="100"/>
      <c r="AC967" s="357"/>
      <c r="AD967" s="367"/>
      <c r="AE967" s="368"/>
      <c r="AF967" s="98"/>
      <c r="AG967" s="357"/>
      <c r="AH967" s="156"/>
      <c r="AI967" s="305"/>
      <c r="AJ967" s="366"/>
      <c r="AK967" s="357"/>
      <c r="AL967" s="371"/>
      <c r="AM967" s="371"/>
      <c r="AN967" s="371"/>
      <c r="AO967" s="357"/>
      <c r="AP967" s="100"/>
      <c r="AQ967" s="100"/>
      <c r="AR967" s="100"/>
      <c r="AS967" s="357"/>
      <c r="AT967" s="100"/>
      <c r="AU967" s="100"/>
      <c r="AV967" s="100"/>
    </row>
    <row r="968">
      <c r="A968" s="357"/>
      <c r="B968" s="156"/>
      <c r="C968" s="154"/>
      <c r="D968" s="100"/>
      <c r="E968" s="357"/>
      <c r="F968" s="156"/>
      <c r="G968" s="154"/>
      <c r="H968" s="100"/>
      <c r="I968" s="357"/>
      <c r="J968" s="156"/>
      <c r="K968" s="154"/>
      <c r="L968" s="100"/>
      <c r="M968" s="357"/>
      <c r="N968" s="156"/>
      <c r="O968" s="154"/>
      <c r="P968" s="100"/>
      <c r="Q968" s="357"/>
      <c r="R968" s="156"/>
      <c r="S968" s="154"/>
      <c r="T968" s="100"/>
      <c r="U968" s="357"/>
      <c r="V968" s="156"/>
      <c r="W968" s="154"/>
      <c r="X968" s="100"/>
      <c r="Y968" s="357"/>
      <c r="Z968" s="100"/>
      <c r="AA968" s="100"/>
      <c r="AB968" s="100"/>
      <c r="AC968" s="357"/>
      <c r="AD968" s="367"/>
      <c r="AE968" s="368"/>
      <c r="AF968" s="98"/>
      <c r="AG968" s="357"/>
      <c r="AH968" s="156"/>
      <c r="AI968" s="305"/>
      <c r="AJ968" s="366"/>
      <c r="AK968" s="357"/>
      <c r="AL968" s="371"/>
      <c r="AM968" s="371"/>
      <c r="AN968" s="371"/>
      <c r="AO968" s="357"/>
      <c r="AP968" s="100"/>
      <c r="AQ968" s="100"/>
      <c r="AR968" s="100"/>
      <c r="AS968" s="357"/>
      <c r="AT968" s="100"/>
      <c r="AU968" s="100"/>
      <c r="AV968" s="100"/>
    </row>
    <row r="969">
      <c r="A969" s="357"/>
      <c r="B969" s="156"/>
      <c r="C969" s="154"/>
      <c r="D969" s="100"/>
      <c r="E969" s="357"/>
      <c r="F969" s="156"/>
      <c r="G969" s="154"/>
      <c r="H969" s="100"/>
      <c r="I969" s="357"/>
      <c r="J969" s="156"/>
      <c r="K969" s="154"/>
      <c r="L969" s="100"/>
      <c r="M969" s="357"/>
      <c r="N969" s="156"/>
      <c r="O969" s="154"/>
      <c r="P969" s="100"/>
      <c r="Q969" s="357"/>
      <c r="R969" s="156"/>
      <c r="S969" s="154"/>
      <c r="T969" s="100"/>
      <c r="U969" s="357"/>
      <c r="V969" s="156"/>
      <c r="W969" s="154"/>
      <c r="X969" s="100"/>
      <c r="Y969" s="357"/>
      <c r="Z969" s="100"/>
      <c r="AA969" s="100"/>
      <c r="AB969" s="100"/>
      <c r="AC969" s="357"/>
      <c r="AD969" s="367"/>
      <c r="AE969" s="368"/>
      <c r="AF969" s="98"/>
      <c r="AG969" s="357"/>
      <c r="AH969" s="156"/>
      <c r="AI969" s="305"/>
      <c r="AJ969" s="366"/>
      <c r="AK969" s="357"/>
      <c r="AL969" s="371"/>
      <c r="AM969" s="371"/>
      <c r="AN969" s="371"/>
      <c r="AO969" s="357"/>
      <c r="AP969" s="100"/>
      <c r="AQ969" s="100"/>
      <c r="AR969" s="100"/>
      <c r="AS969" s="357"/>
      <c r="AT969" s="100"/>
      <c r="AU969" s="100"/>
      <c r="AV969" s="100"/>
    </row>
    <row r="970">
      <c r="A970" s="357"/>
      <c r="B970" s="156"/>
      <c r="C970" s="154"/>
      <c r="D970" s="100"/>
      <c r="E970" s="357"/>
      <c r="F970" s="156"/>
      <c r="G970" s="154"/>
      <c r="H970" s="100"/>
      <c r="I970" s="357"/>
      <c r="J970" s="156"/>
      <c r="K970" s="154"/>
      <c r="L970" s="100"/>
      <c r="M970" s="357"/>
      <c r="N970" s="156"/>
      <c r="O970" s="154"/>
      <c r="P970" s="100"/>
      <c r="Q970" s="357"/>
      <c r="R970" s="156"/>
      <c r="S970" s="154"/>
      <c r="T970" s="100"/>
      <c r="U970" s="357"/>
      <c r="V970" s="156"/>
      <c r="W970" s="154"/>
      <c r="X970" s="100"/>
      <c r="Y970" s="357"/>
      <c r="Z970" s="100"/>
      <c r="AA970" s="100"/>
      <c r="AB970" s="100"/>
      <c r="AC970" s="357"/>
      <c r="AD970" s="367"/>
      <c r="AE970" s="368"/>
      <c r="AF970" s="98"/>
      <c r="AG970" s="357"/>
      <c r="AH970" s="156"/>
      <c r="AI970" s="305"/>
      <c r="AJ970" s="366"/>
      <c r="AK970" s="357"/>
      <c r="AL970" s="371"/>
      <c r="AM970" s="371"/>
      <c r="AN970" s="371"/>
      <c r="AO970" s="357"/>
      <c r="AP970" s="100"/>
      <c r="AQ970" s="100"/>
      <c r="AR970" s="100"/>
      <c r="AS970" s="357"/>
      <c r="AT970" s="100"/>
      <c r="AU970" s="100"/>
      <c r="AV970" s="100"/>
    </row>
    <row r="971">
      <c r="A971" s="357"/>
      <c r="B971" s="156"/>
      <c r="C971" s="154"/>
      <c r="D971" s="100"/>
      <c r="E971" s="357"/>
      <c r="F971" s="156"/>
      <c r="G971" s="154"/>
      <c r="H971" s="100"/>
      <c r="I971" s="357"/>
      <c r="J971" s="156"/>
      <c r="K971" s="154"/>
      <c r="L971" s="100"/>
      <c r="M971" s="357"/>
      <c r="N971" s="156"/>
      <c r="O971" s="154"/>
      <c r="P971" s="100"/>
      <c r="Q971" s="357"/>
      <c r="R971" s="156"/>
      <c r="S971" s="154"/>
      <c r="T971" s="100"/>
      <c r="U971" s="357"/>
      <c r="V971" s="156"/>
      <c r="W971" s="154"/>
      <c r="X971" s="100"/>
      <c r="Y971" s="357"/>
      <c r="Z971" s="100"/>
      <c r="AA971" s="100"/>
      <c r="AB971" s="100"/>
      <c r="AC971" s="357"/>
      <c r="AD971" s="367"/>
      <c r="AE971" s="368"/>
      <c r="AF971" s="98"/>
      <c r="AG971" s="357"/>
      <c r="AH971" s="156"/>
      <c r="AI971" s="305"/>
      <c r="AJ971" s="366"/>
      <c r="AK971" s="357"/>
      <c r="AL971" s="371"/>
      <c r="AM971" s="371"/>
      <c r="AN971" s="371"/>
      <c r="AO971" s="357"/>
      <c r="AP971" s="100"/>
      <c r="AQ971" s="100"/>
      <c r="AR971" s="100"/>
      <c r="AS971" s="357"/>
      <c r="AT971" s="100"/>
      <c r="AU971" s="100"/>
      <c r="AV971" s="100"/>
    </row>
    <row r="972">
      <c r="A972" s="357"/>
      <c r="B972" s="156"/>
      <c r="C972" s="154"/>
      <c r="D972" s="100"/>
      <c r="E972" s="357"/>
      <c r="F972" s="156"/>
      <c r="G972" s="154"/>
      <c r="H972" s="100"/>
      <c r="I972" s="357"/>
      <c r="J972" s="156"/>
      <c r="K972" s="154"/>
      <c r="L972" s="100"/>
      <c r="M972" s="357"/>
      <c r="N972" s="156"/>
      <c r="O972" s="154"/>
      <c r="P972" s="100"/>
      <c r="Q972" s="357"/>
      <c r="R972" s="156"/>
      <c r="S972" s="154"/>
      <c r="T972" s="100"/>
      <c r="U972" s="357"/>
      <c r="V972" s="156"/>
      <c r="W972" s="154"/>
      <c r="X972" s="100"/>
      <c r="Y972" s="357"/>
      <c r="Z972" s="100"/>
      <c r="AA972" s="100"/>
      <c r="AB972" s="100"/>
      <c r="AC972" s="357"/>
      <c r="AD972" s="367"/>
      <c r="AE972" s="368"/>
      <c r="AF972" s="98"/>
      <c r="AG972" s="357"/>
      <c r="AH972" s="156"/>
      <c r="AI972" s="305"/>
      <c r="AJ972" s="366"/>
      <c r="AK972" s="357"/>
      <c r="AL972" s="371"/>
      <c r="AM972" s="371"/>
      <c r="AN972" s="371"/>
      <c r="AO972" s="357"/>
      <c r="AP972" s="100"/>
      <c r="AQ972" s="100"/>
      <c r="AR972" s="100"/>
      <c r="AS972" s="357"/>
      <c r="AT972" s="100"/>
      <c r="AU972" s="100"/>
      <c r="AV972" s="100"/>
    </row>
    <row r="973">
      <c r="A973" s="357"/>
      <c r="B973" s="156"/>
      <c r="C973" s="154"/>
      <c r="D973" s="100"/>
      <c r="E973" s="357"/>
      <c r="F973" s="156"/>
      <c r="G973" s="154"/>
      <c r="H973" s="100"/>
      <c r="I973" s="357"/>
      <c r="J973" s="156"/>
      <c r="K973" s="154"/>
      <c r="L973" s="100"/>
      <c r="M973" s="357"/>
      <c r="N973" s="156"/>
      <c r="O973" s="154"/>
      <c r="P973" s="100"/>
      <c r="Q973" s="357"/>
      <c r="R973" s="156"/>
      <c r="S973" s="154"/>
      <c r="T973" s="100"/>
      <c r="U973" s="357"/>
      <c r="V973" s="156"/>
      <c r="W973" s="154"/>
      <c r="X973" s="100"/>
      <c r="Y973" s="357"/>
      <c r="Z973" s="100"/>
      <c r="AA973" s="100"/>
      <c r="AB973" s="100"/>
      <c r="AC973" s="357"/>
      <c r="AD973" s="367"/>
      <c r="AE973" s="368"/>
      <c r="AF973" s="98"/>
      <c r="AG973" s="357"/>
      <c r="AH973" s="156"/>
      <c r="AI973" s="305"/>
      <c r="AJ973" s="366"/>
      <c r="AK973" s="357"/>
      <c r="AL973" s="371"/>
      <c r="AM973" s="371"/>
      <c r="AN973" s="371"/>
      <c r="AO973" s="357"/>
      <c r="AP973" s="100"/>
      <c r="AQ973" s="100"/>
      <c r="AR973" s="100"/>
      <c r="AS973" s="357"/>
      <c r="AT973" s="100"/>
      <c r="AU973" s="100"/>
      <c r="AV973" s="100"/>
    </row>
    <row r="974">
      <c r="A974" s="357"/>
      <c r="B974" s="156"/>
      <c r="C974" s="154"/>
      <c r="D974" s="100"/>
      <c r="E974" s="357"/>
      <c r="F974" s="156"/>
      <c r="G974" s="154"/>
      <c r="H974" s="100"/>
      <c r="I974" s="357"/>
      <c r="J974" s="156"/>
      <c r="K974" s="154"/>
      <c r="L974" s="100"/>
      <c r="M974" s="357"/>
      <c r="N974" s="156"/>
      <c r="O974" s="154"/>
      <c r="P974" s="100"/>
      <c r="Q974" s="357"/>
      <c r="R974" s="156"/>
      <c r="S974" s="154"/>
      <c r="T974" s="100"/>
      <c r="U974" s="357"/>
      <c r="V974" s="156"/>
      <c r="W974" s="154"/>
      <c r="X974" s="100"/>
      <c r="Y974" s="357"/>
      <c r="Z974" s="100"/>
      <c r="AA974" s="100"/>
      <c r="AB974" s="100"/>
      <c r="AC974" s="357"/>
      <c r="AD974" s="367"/>
      <c r="AE974" s="368"/>
      <c r="AF974" s="98"/>
      <c r="AG974" s="357"/>
      <c r="AH974" s="156"/>
      <c r="AI974" s="305"/>
      <c r="AJ974" s="366"/>
      <c r="AK974" s="357"/>
      <c r="AL974" s="371"/>
      <c r="AM974" s="371"/>
      <c r="AN974" s="371"/>
      <c r="AO974" s="357"/>
      <c r="AP974" s="100"/>
      <c r="AQ974" s="100"/>
      <c r="AR974" s="100"/>
      <c r="AS974" s="357"/>
      <c r="AT974" s="100"/>
      <c r="AU974" s="100"/>
      <c r="AV974" s="100"/>
    </row>
    <row r="975">
      <c r="A975" s="357"/>
      <c r="B975" s="156"/>
      <c r="C975" s="154"/>
      <c r="D975" s="100"/>
      <c r="E975" s="357"/>
      <c r="F975" s="156"/>
      <c r="G975" s="154"/>
      <c r="H975" s="100"/>
      <c r="I975" s="357"/>
      <c r="J975" s="156"/>
      <c r="K975" s="154"/>
      <c r="L975" s="100"/>
      <c r="M975" s="357"/>
      <c r="N975" s="156"/>
      <c r="O975" s="154"/>
      <c r="P975" s="100"/>
      <c r="Q975" s="357"/>
      <c r="R975" s="156"/>
      <c r="S975" s="154"/>
      <c r="T975" s="100"/>
      <c r="U975" s="357"/>
      <c r="V975" s="156"/>
      <c r="W975" s="154"/>
      <c r="X975" s="100"/>
      <c r="Y975" s="357"/>
      <c r="Z975" s="100"/>
      <c r="AA975" s="100"/>
      <c r="AB975" s="100"/>
      <c r="AC975" s="357"/>
      <c r="AD975" s="367"/>
      <c r="AE975" s="368"/>
      <c r="AF975" s="98"/>
      <c r="AG975" s="357"/>
      <c r="AH975" s="156"/>
      <c r="AI975" s="305"/>
      <c r="AJ975" s="366"/>
      <c r="AK975" s="357"/>
      <c r="AL975" s="371"/>
      <c r="AM975" s="371"/>
      <c r="AN975" s="371"/>
      <c r="AO975" s="357"/>
      <c r="AP975" s="100"/>
      <c r="AQ975" s="100"/>
      <c r="AR975" s="100"/>
      <c r="AS975" s="357"/>
      <c r="AT975" s="100"/>
      <c r="AU975" s="100"/>
      <c r="AV975" s="100"/>
    </row>
    <row r="976">
      <c r="A976" s="357"/>
      <c r="B976" s="156"/>
      <c r="C976" s="154"/>
      <c r="D976" s="100"/>
      <c r="E976" s="357"/>
      <c r="F976" s="156"/>
      <c r="G976" s="154"/>
      <c r="H976" s="100"/>
      <c r="I976" s="357"/>
      <c r="J976" s="156"/>
      <c r="K976" s="154"/>
      <c r="L976" s="100"/>
      <c r="M976" s="357"/>
      <c r="N976" s="156"/>
      <c r="O976" s="154"/>
      <c r="P976" s="100"/>
      <c r="Q976" s="357"/>
      <c r="R976" s="156"/>
      <c r="S976" s="154"/>
      <c r="T976" s="100"/>
      <c r="U976" s="357"/>
      <c r="V976" s="156"/>
      <c r="W976" s="154"/>
      <c r="X976" s="100"/>
      <c r="Y976" s="357"/>
      <c r="Z976" s="100"/>
      <c r="AA976" s="100"/>
      <c r="AB976" s="100"/>
      <c r="AC976" s="357"/>
      <c r="AD976" s="367"/>
      <c r="AE976" s="368"/>
      <c r="AF976" s="98"/>
      <c r="AG976" s="357"/>
      <c r="AH976" s="156"/>
      <c r="AI976" s="305"/>
      <c r="AJ976" s="366"/>
      <c r="AK976" s="357"/>
      <c r="AL976" s="371"/>
      <c r="AM976" s="371"/>
      <c r="AN976" s="371"/>
      <c r="AO976" s="357"/>
      <c r="AP976" s="100"/>
      <c r="AQ976" s="100"/>
      <c r="AR976" s="100"/>
      <c r="AS976" s="357"/>
      <c r="AT976" s="100"/>
      <c r="AU976" s="100"/>
      <c r="AV976" s="100"/>
    </row>
    <row r="977">
      <c r="A977" s="357"/>
      <c r="B977" s="156"/>
      <c r="C977" s="154"/>
      <c r="D977" s="100"/>
      <c r="E977" s="357"/>
      <c r="F977" s="156"/>
      <c r="G977" s="154"/>
      <c r="H977" s="100"/>
      <c r="I977" s="357"/>
      <c r="J977" s="156"/>
      <c r="K977" s="154"/>
      <c r="L977" s="100"/>
      <c r="M977" s="357"/>
      <c r="N977" s="156"/>
      <c r="O977" s="154"/>
      <c r="P977" s="100"/>
      <c r="Q977" s="357"/>
      <c r="R977" s="156"/>
      <c r="S977" s="154"/>
      <c r="T977" s="100"/>
      <c r="U977" s="357"/>
      <c r="V977" s="156"/>
      <c r="W977" s="154"/>
      <c r="X977" s="100"/>
      <c r="Y977" s="357"/>
      <c r="Z977" s="100"/>
      <c r="AA977" s="100"/>
      <c r="AB977" s="100"/>
      <c r="AC977" s="357"/>
      <c r="AD977" s="367"/>
      <c r="AE977" s="368"/>
      <c r="AF977" s="98"/>
      <c r="AG977" s="357"/>
      <c r="AH977" s="156"/>
      <c r="AI977" s="305"/>
      <c r="AJ977" s="366"/>
      <c r="AK977" s="357"/>
      <c r="AL977" s="371"/>
      <c r="AM977" s="371"/>
      <c r="AN977" s="371"/>
      <c r="AO977" s="357"/>
      <c r="AP977" s="100"/>
      <c r="AQ977" s="100"/>
      <c r="AR977" s="100"/>
      <c r="AS977" s="357"/>
      <c r="AT977" s="100"/>
      <c r="AU977" s="100"/>
      <c r="AV977" s="100"/>
    </row>
    <row r="978">
      <c r="A978" s="357"/>
      <c r="B978" s="156"/>
      <c r="C978" s="154"/>
      <c r="D978" s="100"/>
      <c r="E978" s="357"/>
      <c r="F978" s="156"/>
      <c r="G978" s="154"/>
      <c r="H978" s="100"/>
      <c r="I978" s="357"/>
      <c r="J978" s="156"/>
      <c r="K978" s="154"/>
      <c r="L978" s="100"/>
      <c r="M978" s="357"/>
      <c r="N978" s="156"/>
      <c r="O978" s="154"/>
      <c r="P978" s="100"/>
      <c r="Q978" s="357"/>
      <c r="R978" s="156"/>
      <c r="S978" s="154"/>
      <c r="T978" s="100"/>
      <c r="U978" s="357"/>
      <c r="V978" s="156"/>
      <c r="W978" s="154"/>
      <c r="X978" s="100"/>
      <c r="Y978" s="357"/>
      <c r="Z978" s="100"/>
      <c r="AA978" s="100"/>
      <c r="AB978" s="100"/>
      <c r="AC978" s="357"/>
      <c r="AD978" s="367"/>
      <c r="AE978" s="368"/>
      <c r="AF978" s="98"/>
      <c r="AG978" s="357"/>
      <c r="AH978" s="156"/>
      <c r="AI978" s="305"/>
      <c r="AJ978" s="366"/>
      <c r="AK978" s="357"/>
      <c r="AL978" s="371"/>
      <c r="AM978" s="371"/>
      <c r="AN978" s="371"/>
      <c r="AO978" s="357"/>
      <c r="AP978" s="100"/>
      <c r="AQ978" s="100"/>
      <c r="AR978" s="100"/>
      <c r="AS978" s="357"/>
      <c r="AT978" s="100"/>
      <c r="AU978" s="100"/>
      <c r="AV978" s="100"/>
    </row>
    <row r="979">
      <c r="A979" s="357"/>
      <c r="B979" s="156"/>
      <c r="C979" s="154"/>
      <c r="D979" s="100"/>
      <c r="E979" s="357"/>
      <c r="F979" s="156"/>
      <c r="G979" s="154"/>
      <c r="H979" s="100"/>
      <c r="I979" s="357"/>
      <c r="J979" s="156"/>
      <c r="K979" s="154"/>
      <c r="L979" s="100"/>
      <c r="M979" s="357"/>
      <c r="N979" s="156"/>
      <c r="O979" s="154"/>
      <c r="P979" s="100"/>
      <c r="Q979" s="357"/>
      <c r="R979" s="156"/>
      <c r="S979" s="154"/>
      <c r="T979" s="100"/>
      <c r="U979" s="357"/>
      <c r="V979" s="156"/>
      <c r="W979" s="154"/>
      <c r="X979" s="100"/>
      <c r="Y979" s="357"/>
      <c r="Z979" s="100"/>
      <c r="AA979" s="100"/>
      <c r="AB979" s="100"/>
      <c r="AC979" s="357"/>
      <c r="AD979" s="367"/>
      <c r="AE979" s="368"/>
      <c r="AF979" s="98"/>
      <c r="AG979" s="357"/>
      <c r="AH979" s="156"/>
      <c r="AI979" s="305"/>
      <c r="AJ979" s="366"/>
      <c r="AK979" s="357"/>
      <c r="AL979" s="371"/>
      <c r="AM979" s="371"/>
      <c r="AN979" s="371"/>
      <c r="AO979" s="357"/>
      <c r="AP979" s="100"/>
      <c r="AQ979" s="100"/>
      <c r="AR979" s="100"/>
      <c r="AS979" s="357"/>
      <c r="AT979" s="100"/>
      <c r="AU979" s="100"/>
      <c r="AV979" s="100"/>
    </row>
    <row r="980">
      <c r="A980" s="357"/>
      <c r="B980" s="156"/>
      <c r="C980" s="154"/>
      <c r="D980" s="100"/>
      <c r="E980" s="357"/>
      <c r="F980" s="156"/>
      <c r="G980" s="154"/>
      <c r="H980" s="100"/>
      <c r="I980" s="357"/>
      <c r="J980" s="156"/>
      <c r="K980" s="154"/>
      <c r="L980" s="100"/>
      <c r="M980" s="357"/>
      <c r="N980" s="156"/>
      <c r="O980" s="154"/>
      <c r="P980" s="100"/>
      <c r="Q980" s="357"/>
      <c r="R980" s="156"/>
      <c r="S980" s="154"/>
      <c r="T980" s="100"/>
      <c r="U980" s="357"/>
      <c r="V980" s="156"/>
      <c r="W980" s="154"/>
      <c r="X980" s="100"/>
      <c r="Y980" s="357"/>
      <c r="Z980" s="87"/>
      <c r="AA980" s="87"/>
      <c r="AB980" s="87"/>
      <c r="AC980" s="357"/>
      <c r="AD980" s="372"/>
      <c r="AE980" s="18"/>
      <c r="AF980" s="18"/>
      <c r="AG980" s="357"/>
      <c r="AH980" s="87"/>
      <c r="AI980" s="286"/>
      <c r="AJ980" s="286"/>
      <c r="AK980" s="357"/>
      <c r="AL980" s="371"/>
      <c r="AM980" s="371"/>
      <c r="AN980" s="371"/>
      <c r="AO980" s="357"/>
      <c r="AP980" s="87"/>
      <c r="AQ980" s="87"/>
      <c r="AR980" s="87"/>
      <c r="AS980" s="357"/>
      <c r="AT980" s="87"/>
      <c r="AU980" s="87"/>
      <c r="AV980" s="87"/>
    </row>
    <row r="981">
      <c r="A981" s="357"/>
      <c r="B981" s="156"/>
      <c r="C981" s="154"/>
      <c r="D981" s="100"/>
      <c r="E981" s="357"/>
      <c r="F981" s="156"/>
      <c r="G981" s="154"/>
      <c r="H981" s="100"/>
      <c r="I981" s="357"/>
      <c r="J981" s="156"/>
      <c r="K981" s="154"/>
      <c r="L981" s="100"/>
      <c r="M981" s="357"/>
      <c r="N981" s="156"/>
      <c r="O981" s="154"/>
      <c r="P981" s="100"/>
      <c r="Q981" s="357"/>
      <c r="R981" s="156"/>
      <c r="S981" s="154"/>
      <c r="T981" s="100"/>
      <c r="U981" s="357"/>
      <c r="V981" s="156"/>
      <c r="W981" s="154"/>
      <c r="X981" s="100"/>
      <c r="Y981" s="357"/>
      <c r="Z981" s="87"/>
      <c r="AA981" s="87"/>
      <c r="AB981" s="87"/>
      <c r="AC981" s="357"/>
      <c r="AD981" s="372"/>
      <c r="AE981" s="18"/>
      <c r="AF981" s="18"/>
      <c r="AG981" s="357"/>
      <c r="AH981" s="87"/>
      <c r="AI981" s="286"/>
      <c r="AJ981" s="286"/>
      <c r="AK981" s="357"/>
      <c r="AL981" s="371"/>
      <c r="AM981" s="371"/>
      <c r="AN981" s="371"/>
      <c r="AO981" s="357"/>
      <c r="AP981" s="87"/>
      <c r="AQ981" s="87"/>
      <c r="AR981" s="87"/>
      <c r="AS981" s="357"/>
      <c r="AT981" s="87"/>
      <c r="AU981" s="87"/>
      <c r="AV981" s="87"/>
    </row>
    <row r="982">
      <c r="A982" s="357"/>
      <c r="B982" s="156"/>
      <c r="C982" s="154"/>
      <c r="D982" s="100"/>
      <c r="E982" s="357"/>
      <c r="F982" s="156"/>
      <c r="G982" s="154"/>
      <c r="H982" s="100"/>
      <c r="I982" s="357"/>
      <c r="J982" s="156"/>
      <c r="K982" s="154"/>
      <c r="L982" s="100"/>
      <c r="M982" s="357"/>
      <c r="N982" s="156"/>
      <c r="O982" s="154"/>
      <c r="P982" s="100"/>
      <c r="Q982" s="357"/>
      <c r="R982" s="156"/>
      <c r="S982" s="154"/>
      <c r="T982" s="100"/>
      <c r="U982" s="357"/>
      <c r="V982" s="156"/>
      <c r="W982" s="154"/>
      <c r="X982" s="100"/>
      <c r="Y982" s="357"/>
      <c r="Z982" s="87"/>
      <c r="AA982" s="87"/>
      <c r="AB982" s="87"/>
      <c r="AC982" s="357"/>
      <c r="AD982" s="372"/>
      <c r="AE982" s="18"/>
      <c r="AF982" s="18"/>
      <c r="AG982" s="357"/>
      <c r="AH982" s="87"/>
      <c r="AI982" s="286"/>
      <c r="AJ982" s="286"/>
      <c r="AK982" s="357"/>
      <c r="AL982" s="371"/>
      <c r="AM982" s="371"/>
      <c r="AN982" s="371"/>
      <c r="AO982" s="357"/>
      <c r="AP982" s="87"/>
      <c r="AQ982" s="87"/>
      <c r="AR982" s="87"/>
      <c r="AS982" s="357"/>
      <c r="AT982" s="87"/>
      <c r="AU982" s="87"/>
      <c r="AV982" s="87"/>
    </row>
    <row r="983">
      <c r="A983" s="357"/>
      <c r="B983" s="156"/>
      <c r="C983" s="154"/>
      <c r="D983" s="100"/>
      <c r="E983" s="357"/>
      <c r="F983" s="156"/>
      <c r="G983" s="154"/>
      <c r="H983" s="100"/>
      <c r="I983" s="357"/>
      <c r="J983" s="156"/>
      <c r="K983" s="154"/>
      <c r="L983" s="100"/>
      <c r="M983" s="357"/>
      <c r="N983" s="156"/>
      <c r="O983" s="154"/>
      <c r="P983" s="100"/>
      <c r="Q983" s="357"/>
      <c r="R983" s="156"/>
      <c r="S983" s="154"/>
      <c r="T983" s="100"/>
      <c r="U983" s="357"/>
      <c r="V983" s="156"/>
      <c r="W983" s="154"/>
      <c r="X983" s="100"/>
      <c r="Y983" s="357"/>
      <c r="Z983" s="87"/>
      <c r="AA983" s="87"/>
      <c r="AB983" s="87"/>
      <c r="AC983" s="357"/>
      <c r="AD983" s="372"/>
      <c r="AE983" s="18"/>
      <c r="AF983" s="18"/>
      <c r="AG983" s="357"/>
      <c r="AH983" s="87"/>
      <c r="AI983" s="286"/>
      <c r="AJ983" s="286"/>
      <c r="AK983" s="357"/>
      <c r="AL983" s="371"/>
      <c r="AM983" s="371"/>
      <c r="AN983" s="371"/>
      <c r="AO983" s="357"/>
      <c r="AP983" s="87"/>
      <c r="AQ983" s="87"/>
      <c r="AR983" s="87"/>
      <c r="AS983" s="357"/>
      <c r="AT983" s="87"/>
      <c r="AU983" s="87"/>
      <c r="AV983" s="87"/>
    </row>
    <row r="984">
      <c r="A984" s="357"/>
      <c r="B984" s="156"/>
      <c r="C984" s="154"/>
      <c r="D984" s="100"/>
      <c r="E984" s="357"/>
      <c r="F984" s="156"/>
      <c r="G984" s="154"/>
      <c r="H984" s="100"/>
      <c r="I984" s="357"/>
      <c r="J984" s="156"/>
      <c r="K984" s="154"/>
      <c r="L984" s="100"/>
      <c r="M984" s="357"/>
      <c r="N984" s="156"/>
      <c r="O984" s="154"/>
      <c r="P984" s="100"/>
      <c r="Q984" s="357"/>
      <c r="R984" s="156"/>
      <c r="S984" s="154"/>
      <c r="T984" s="100"/>
      <c r="U984" s="357"/>
      <c r="V984" s="156"/>
      <c r="W984" s="154"/>
      <c r="X984" s="100"/>
      <c r="Y984" s="357"/>
      <c r="Z984" s="87"/>
      <c r="AA984" s="87"/>
      <c r="AB984" s="87"/>
      <c r="AC984" s="357"/>
      <c r="AD984" s="87"/>
      <c r="AE984" s="373"/>
      <c r="AF984" s="373"/>
      <c r="AG984" s="357"/>
      <c r="AH984" s="87"/>
      <c r="AI984" s="286"/>
      <c r="AJ984" s="286"/>
      <c r="AK984" s="357"/>
      <c r="AL984" s="371"/>
      <c r="AM984" s="371"/>
      <c r="AN984" s="371"/>
      <c r="AO984" s="357"/>
      <c r="AP984" s="87"/>
      <c r="AQ984" s="87"/>
      <c r="AR984" s="87"/>
      <c r="AS984" s="357"/>
      <c r="AT984" s="87"/>
      <c r="AU984" s="87"/>
      <c r="AV984" s="87"/>
    </row>
    <row r="985">
      <c r="A985" s="357"/>
      <c r="B985" s="156"/>
      <c r="C985" s="154"/>
      <c r="D985" s="100"/>
      <c r="E985" s="357"/>
      <c r="F985" s="156"/>
      <c r="G985" s="154"/>
      <c r="H985" s="100"/>
      <c r="I985" s="357"/>
      <c r="J985" s="156"/>
      <c r="K985" s="154"/>
      <c r="L985" s="100"/>
      <c r="M985" s="357"/>
      <c r="N985" s="156"/>
      <c r="O985" s="154"/>
      <c r="P985" s="100"/>
      <c r="Q985" s="357"/>
      <c r="R985" s="156"/>
      <c r="S985" s="154"/>
      <c r="T985" s="100"/>
      <c r="U985" s="357"/>
      <c r="V985" s="156"/>
      <c r="W985" s="154"/>
      <c r="X985" s="100"/>
      <c r="Y985" s="357"/>
      <c r="Z985" s="87"/>
      <c r="AA985" s="87"/>
      <c r="AB985" s="87"/>
      <c r="AC985" s="357"/>
      <c r="AD985" s="87"/>
      <c r="AE985" s="373"/>
      <c r="AF985" s="373"/>
      <c r="AG985" s="357"/>
      <c r="AH985" s="87"/>
      <c r="AI985" s="286"/>
      <c r="AJ985" s="286"/>
      <c r="AK985" s="357"/>
      <c r="AL985" s="371"/>
      <c r="AM985" s="371"/>
      <c r="AN985" s="371"/>
      <c r="AO985" s="357"/>
      <c r="AP985" s="87"/>
      <c r="AQ985" s="87"/>
      <c r="AR985" s="87"/>
      <c r="AS985" s="357"/>
      <c r="AT985" s="87"/>
      <c r="AU985" s="87"/>
      <c r="AV985" s="87"/>
    </row>
    <row r="986">
      <c r="A986" s="357"/>
      <c r="B986" s="156"/>
      <c r="C986" s="154"/>
      <c r="D986" s="100"/>
      <c r="E986" s="357"/>
      <c r="F986" s="156"/>
      <c r="G986" s="154"/>
      <c r="H986" s="100"/>
      <c r="I986" s="357"/>
      <c r="J986" s="156"/>
      <c r="K986" s="154"/>
      <c r="L986" s="100"/>
      <c r="M986" s="357"/>
      <c r="N986" s="156"/>
      <c r="O986" s="154"/>
      <c r="P986" s="100"/>
      <c r="Q986" s="357"/>
      <c r="R986" s="156"/>
      <c r="S986" s="154"/>
      <c r="T986" s="100"/>
      <c r="U986" s="357"/>
      <c r="V986" s="156"/>
      <c r="W986" s="154"/>
      <c r="X986" s="100"/>
      <c r="Y986" s="357"/>
      <c r="Z986" s="87"/>
      <c r="AA986" s="87"/>
      <c r="AB986" s="87"/>
      <c r="AC986" s="357"/>
      <c r="AD986" s="87"/>
      <c r="AE986" s="373"/>
      <c r="AF986" s="373"/>
      <c r="AG986" s="357"/>
      <c r="AH986" s="87"/>
      <c r="AI986" s="286"/>
      <c r="AJ986" s="286"/>
      <c r="AK986" s="357"/>
      <c r="AL986" s="371"/>
      <c r="AM986" s="371"/>
      <c r="AN986" s="371"/>
      <c r="AO986" s="357"/>
      <c r="AP986" s="87"/>
      <c r="AQ986" s="87"/>
      <c r="AR986" s="87"/>
      <c r="AS986" s="357"/>
      <c r="AT986" s="87"/>
      <c r="AU986" s="87"/>
      <c r="AV986" s="87"/>
    </row>
    <row r="987">
      <c r="A987" s="357"/>
      <c r="B987" s="156"/>
      <c r="C987" s="154"/>
      <c r="D987" s="100"/>
      <c r="E987" s="357"/>
      <c r="F987" s="156"/>
      <c r="G987" s="154"/>
      <c r="H987" s="100"/>
      <c r="I987" s="357"/>
      <c r="J987" s="156"/>
      <c r="K987" s="154"/>
      <c r="L987" s="100"/>
      <c r="M987" s="357"/>
      <c r="N987" s="156"/>
      <c r="O987" s="154"/>
      <c r="P987" s="100"/>
      <c r="Q987" s="357"/>
      <c r="R987" s="156"/>
      <c r="S987" s="154"/>
      <c r="T987" s="100"/>
      <c r="U987" s="357"/>
      <c r="V987" s="156"/>
      <c r="W987" s="154"/>
      <c r="X987" s="100"/>
      <c r="Y987" s="357"/>
      <c r="Z987" s="87"/>
      <c r="AA987" s="87"/>
      <c r="AB987" s="87"/>
      <c r="AC987" s="357"/>
      <c r="AD987" s="87"/>
      <c r="AE987" s="373"/>
      <c r="AF987" s="373"/>
      <c r="AG987" s="357"/>
      <c r="AH987" s="87"/>
      <c r="AI987" s="286"/>
      <c r="AJ987" s="286"/>
      <c r="AK987" s="357"/>
      <c r="AL987" s="371"/>
      <c r="AM987" s="371"/>
      <c r="AN987" s="371"/>
      <c r="AO987" s="357"/>
      <c r="AP987" s="87"/>
      <c r="AQ987" s="87"/>
      <c r="AR987" s="87"/>
      <c r="AS987" s="357"/>
      <c r="AT987" s="87"/>
      <c r="AU987" s="87"/>
      <c r="AV987" s="87"/>
    </row>
    <row r="988">
      <c r="A988" s="357"/>
      <c r="B988" s="156"/>
      <c r="C988" s="154"/>
      <c r="D988" s="100"/>
      <c r="E988" s="357"/>
      <c r="F988" s="156"/>
      <c r="G988" s="154"/>
      <c r="H988" s="100"/>
      <c r="I988" s="357"/>
      <c r="J988" s="156"/>
      <c r="K988" s="154"/>
      <c r="L988" s="100"/>
      <c r="M988" s="357"/>
      <c r="N988" s="156"/>
      <c r="O988" s="154"/>
      <c r="P988" s="100"/>
      <c r="Q988" s="357"/>
      <c r="R988" s="156"/>
      <c r="S988" s="154"/>
      <c r="T988" s="100"/>
      <c r="U988" s="357"/>
      <c r="V988" s="156"/>
      <c r="W988" s="154"/>
      <c r="X988" s="100"/>
      <c r="Y988" s="357"/>
      <c r="Z988" s="87"/>
      <c r="AA988" s="87"/>
      <c r="AB988" s="87"/>
      <c r="AC988" s="357"/>
      <c r="AD988" s="87"/>
      <c r="AE988" s="373"/>
      <c r="AF988" s="373"/>
      <c r="AG988" s="357"/>
      <c r="AH988" s="87"/>
      <c r="AI988" s="286"/>
      <c r="AJ988" s="286"/>
      <c r="AK988" s="357"/>
      <c r="AL988" s="371"/>
      <c r="AM988" s="371"/>
      <c r="AN988" s="371"/>
      <c r="AO988" s="357"/>
      <c r="AP988" s="87"/>
      <c r="AQ988" s="87"/>
      <c r="AR988" s="87"/>
      <c r="AS988" s="357"/>
      <c r="AT988" s="87"/>
      <c r="AU988" s="87"/>
      <c r="AV988" s="87"/>
    </row>
    <row r="989">
      <c r="A989" s="357"/>
      <c r="B989" s="156"/>
      <c r="C989" s="154"/>
      <c r="D989" s="100"/>
      <c r="E989" s="357"/>
      <c r="F989" s="156"/>
      <c r="G989" s="154"/>
      <c r="H989" s="100"/>
      <c r="I989" s="357"/>
      <c r="J989" s="156"/>
      <c r="K989" s="154"/>
      <c r="L989" s="100"/>
      <c r="M989" s="357"/>
      <c r="N989" s="156"/>
      <c r="O989" s="154"/>
      <c r="P989" s="100"/>
      <c r="Q989" s="357"/>
      <c r="R989" s="156"/>
      <c r="S989" s="154"/>
      <c r="T989" s="100"/>
      <c r="U989" s="357"/>
      <c r="V989" s="156"/>
      <c r="W989" s="154"/>
      <c r="X989" s="100"/>
      <c r="Y989" s="357"/>
      <c r="Z989" s="87"/>
      <c r="AA989" s="87"/>
      <c r="AB989" s="87"/>
      <c r="AC989" s="357"/>
      <c r="AD989" s="87"/>
      <c r="AE989" s="373"/>
      <c r="AF989" s="373"/>
      <c r="AG989" s="357"/>
      <c r="AH989" s="87"/>
      <c r="AI989" s="286"/>
      <c r="AJ989" s="286"/>
      <c r="AK989" s="357"/>
      <c r="AL989" s="371"/>
      <c r="AM989" s="371"/>
      <c r="AN989" s="371"/>
      <c r="AO989" s="357"/>
      <c r="AP989" s="87"/>
      <c r="AQ989" s="87"/>
      <c r="AR989" s="87"/>
      <c r="AS989" s="357"/>
      <c r="AT989" s="87"/>
      <c r="AU989" s="87"/>
      <c r="AV989" s="87"/>
    </row>
    <row r="990">
      <c r="A990" s="357"/>
      <c r="B990" s="156"/>
      <c r="C990" s="154"/>
      <c r="D990" s="100"/>
      <c r="E990" s="357"/>
      <c r="F990" s="156"/>
      <c r="G990" s="154"/>
      <c r="H990" s="100"/>
      <c r="I990" s="357"/>
      <c r="J990" s="156"/>
      <c r="K990" s="154"/>
      <c r="L990" s="100"/>
      <c r="M990" s="357"/>
      <c r="N990" s="156"/>
      <c r="O990" s="154"/>
      <c r="P990" s="100"/>
      <c r="Q990" s="357"/>
      <c r="R990" s="156"/>
      <c r="S990" s="154"/>
      <c r="T990" s="100"/>
      <c r="U990" s="357"/>
      <c r="V990" s="156"/>
      <c r="W990" s="154"/>
      <c r="X990" s="100"/>
      <c r="Y990" s="357"/>
      <c r="Z990" s="87"/>
      <c r="AA990" s="87"/>
      <c r="AB990" s="87"/>
      <c r="AC990" s="357"/>
      <c r="AD990" s="87"/>
      <c r="AE990" s="373"/>
      <c r="AF990" s="373"/>
      <c r="AG990" s="357"/>
      <c r="AH990" s="87"/>
      <c r="AI990" s="286"/>
      <c r="AJ990" s="286"/>
      <c r="AK990" s="357"/>
      <c r="AL990" s="371"/>
      <c r="AM990" s="371"/>
      <c r="AN990" s="371"/>
      <c r="AO990" s="357"/>
      <c r="AP990" s="87"/>
      <c r="AQ990" s="87"/>
      <c r="AR990" s="87"/>
      <c r="AS990" s="357"/>
      <c r="AT990" s="87"/>
      <c r="AU990" s="87"/>
      <c r="AV990" s="87"/>
    </row>
    <row r="991">
      <c r="A991" s="357"/>
      <c r="B991" s="156"/>
      <c r="C991" s="154"/>
      <c r="D991" s="100"/>
      <c r="E991" s="357"/>
      <c r="F991" s="156"/>
      <c r="G991" s="154"/>
      <c r="H991" s="100"/>
      <c r="I991" s="357"/>
      <c r="J991" s="156"/>
      <c r="K991" s="154"/>
      <c r="L991" s="100"/>
      <c r="M991" s="357"/>
      <c r="N991" s="156"/>
      <c r="O991" s="154"/>
      <c r="P991" s="100"/>
      <c r="Q991" s="357"/>
      <c r="R991" s="156"/>
      <c r="S991" s="154"/>
      <c r="T991" s="100"/>
      <c r="U991" s="357"/>
      <c r="V991" s="156"/>
      <c r="W991" s="154"/>
      <c r="X991" s="100"/>
      <c r="Y991" s="357"/>
      <c r="Z991" s="87"/>
      <c r="AA991" s="87"/>
      <c r="AB991" s="87"/>
      <c r="AC991" s="357"/>
      <c r="AD991" s="87"/>
      <c r="AE991" s="373"/>
      <c r="AF991" s="373"/>
      <c r="AG991" s="357"/>
      <c r="AH991" s="87"/>
      <c r="AI991" s="286"/>
      <c r="AJ991" s="286"/>
      <c r="AK991" s="357"/>
      <c r="AL991" s="371"/>
      <c r="AM991" s="371"/>
      <c r="AN991" s="371"/>
      <c r="AO991" s="357"/>
      <c r="AP991" s="87"/>
      <c r="AQ991" s="87"/>
      <c r="AR991" s="87"/>
      <c r="AS991" s="357"/>
      <c r="AT991" s="87"/>
      <c r="AU991" s="87"/>
      <c r="AV991" s="87"/>
    </row>
    <row r="992">
      <c r="A992" s="357"/>
      <c r="B992" s="156"/>
      <c r="C992" s="154"/>
      <c r="D992" s="100"/>
      <c r="E992" s="357"/>
      <c r="F992" s="156"/>
      <c r="G992" s="154"/>
      <c r="H992" s="100"/>
      <c r="I992" s="357"/>
      <c r="J992" s="156"/>
      <c r="K992" s="154"/>
      <c r="L992" s="100"/>
      <c r="M992" s="357"/>
      <c r="N992" s="156"/>
      <c r="O992" s="154"/>
      <c r="P992" s="100"/>
      <c r="Q992" s="357"/>
      <c r="R992" s="156"/>
      <c r="S992" s="154"/>
      <c r="T992" s="100"/>
      <c r="U992" s="357"/>
      <c r="V992" s="156"/>
      <c r="W992" s="154"/>
      <c r="X992" s="100"/>
      <c r="Y992" s="357"/>
      <c r="Z992" s="87"/>
      <c r="AA992" s="87"/>
      <c r="AB992" s="87"/>
      <c r="AC992" s="357"/>
      <c r="AD992" s="87"/>
      <c r="AE992" s="373"/>
      <c r="AF992" s="373"/>
      <c r="AG992" s="357"/>
      <c r="AH992" s="87"/>
      <c r="AI992" s="286"/>
      <c r="AJ992" s="286"/>
      <c r="AK992" s="357"/>
      <c r="AL992" s="371"/>
      <c r="AM992" s="371"/>
      <c r="AN992" s="371"/>
      <c r="AO992" s="357"/>
      <c r="AP992" s="87"/>
      <c r="AQ992" s="87"/>
      <c r="AR992" s="87"/>
      <c r="AS992" s="357"/>
      <c r="AT992" s="87"/>
      <c r="AU992" s="87"/>
      <c r="AV992" s="87"/>
    </row>
    <row r="993">
      <c r="A993" s="357"/>
      <c r="B993" s="156"/>
      <c r="C993" s="154"/>
      <c r="D993" s="100"/>
      <c r="E993" s="357"/>
      <c r="F993" s="156"/>
      <c r="G993" s="154"/>
      <c r="H993" s="100"/>
      <c r="I993" s="357"/>
      <c r="J993" s="156"/>
      <c r="K993" s="154"/>
      <c r="L993" s="100"/>
      <c r="M993" s="357"/>
      <c r="N993" s="156"/>
      <c r="O993" s="154"/>
      <c r="P993" s="100"/>
      <c r="Q993" s="357"/>
      <c r="R993" s="156"/>
      <c r="S993" s="154"/>
      <c r="T993" s="100"/>
      <c r="U993" s="357"/>
      <c r="V993" s="156"/>
      <c r="W993" s="154"/>
      <c r="X993" s="100"/>
      <c r="Y993" s="357"/>
      <c r="Z993" s="87"/>
      <c r="AA993" s="87"/>
      <c r="AB993" s="87"/>
      <c r="AC993" s="357"/>
      <c r="AD993" s="87"/>
      <c r="AE993" s="373"/>
      <c r="AF993" s="373"/>
      <c r="AG993" s="357"/>
      <c r="AH993" s="87"/>
      <c r="AI993" s="286"/>
      <c r="AJ993" s="286"/>
      <c r="AK993" s="357"/>
      <c r="AL993" s="371"/>
      <c r="AM993" s="371"/>
      <c r="AN993" s="371"/>
      <c r="AO993" s="357"/>
      <c r="AP993" s="87"/>
      <c r="AQ993" s="87"/>
      <c r="AR993" s="87"/>
      <c r="AS993" s="357"/>
      <c r="AT993" s="87"/>
      <c r="AU993" s="87"/>
      <c r="AV993" s="87"/>
    </row>
    <row r="994">
      <c r="A994" s="357"/>
      <c r="B994" s="156"/>
      <c r="C994" s="154"/>
      <c r="D994" s="100"/>
      <c r="E994" s="357"/>
      <c r="F994" s="156"/>
      <c r="G994" s="154"/>
      <c r="H994" s="100"/>
      <c r="I994" s="357"/>
      <c r="J994" s="156"/>
      <c r="K994" s="154"/>
      <c r="L994" s="100"/>
      <c r="M994" s="357"/>
      <c r="N994" s="156"/>
      <c r="O994" s="154"/>
      <c r="P994" s="100"/>
      <c r="Q994" s="357"/>
      <c r="R994" s="156"/>
      <c r="S994" s="154"/>
      <c r="T994" s="100"/>
      <c r="U994" s="357"/>
      <c r="V994" s="156"/>
      <c r="W994" s="154"/>
      <c r="X994" s="100"/>
      <c r="Y994" s="357"/>
      <c r="Z994" s="87"/>
      <c r="AA994" s="87"/>
      <c r="AB994" s="87"/>
      <c r="AC994" s="357"/>
      <c r="AD994" s="87"/>
      <c r="AE994" s="373"/>
      <c r="AF994" s="373"/>
      <c r="AG994" s="357"/>
      <c r="AH994" s="87"/>
      <c r="AI994" s="286"/>
      <c r="AJ994" s="286"/>
      <c r="AK994" s="357"/>
      <c r="AL994" s="371"/>
      <c r="AM994" s="371"/>
      <c r="AN994" s="371"/>
      <c r="AO994" s="357"/>
      <c r="AP994" s="87"/>
      <c r="AQ994" s="87"/>
      <c r="AR994" s="87"/>
      <c r="AS994" s="357"/>
      <c r="AT994" s="87"/>
      <c r="AU994" s="87"/>
      <c r="AV994" s="87"/>
    </row>
    <row r="995">
      <c r="A995" s="357"/>
      <c r="B995" s="156"/>
      <c r="C995" s="154"/>
      <c r="D995" s="100"/>
      <c r="E995" s="357"/>
      <c r="F995" s="156"/>
      <c r="G995" s="154"/>
      <c r="H995" s="100"/>
      <c r="I995" s="357"/>
      <c r="J995" s="156"/>
      <c r="K995" s="154"/>
      <c r="L995" s="100"/>
      <c r="M995" s="357"/>
      <c r="N995" s="156"/>
      <c r="O995" s="154"/>
      <c r="P995" s="100"/>
      <c r="Q995" s="357"/>
      <c r="R995" s="156"/>
      <c r="S995" s="154"/>
      <c r="T995" s="100"/>
      <c r="U995" s="357"/>
      <c r="V995" s="156"/>
      <c r="W995" s="154"/>
      <c r="X995" s="100"/>
      <c r="Y995" s="357"/>
      <c r="Z995" s="87"/>
      <c r="AA995" s="87"/>
      <c r="AB995" s="87"/>
      <c r="AC995" s="357"/>
      <c r="AD995" s="87"/>
      <c r="AE995" s="373"/>
      <c r="AF995" s="373"/>
      <c r="AG995" s="357"/>
      <c r="AH995" s="87"/>
      <c r="AI995" s="286"/>
      <c r="AJ995" s="286"/>
      <c r="AK995" s="357"/>
      <c r="AL995" s="371"/>
      <c r="AM995" s="371"/>
      <c r="AN995" s="371"/>
      <c r="AO995" s="357"/>
      <c r="AP995" s="87"/>
      <c r="AQ995" s="87"/>
      <c r="AR995" s="87"/>
      <c r="AS995" s="357"/>
      <c r="AT995" s="87"/>
      <c r="AU995" s="87"/>
      <c r="AV995" s="87"/>
    </row>
    <row r="996">
      <c r="A996" s="357"/>
      <c r="B996" s="156"/>
      <c r="C996" s="154"/>
      <c r="D996" s="100"/>
      <c r="E996" s="357"/>
      <c r="F996" s="156"/>
      <c r="G996" s="154"/>
      <c r="H996" s="100"/>
      <c r="I996" s="357"/>
      <c r="J996" s="156"/>
      <c r="K996" s="154"/>
      <c r="L996" s="100"/>
      <c r="M996" s="357"/>
      <c r="N996" s="156"/>
      <c r="O996" s="154"/>
      <c r="P996" s="100"/>
      <c r="Q996" s="357"/>
      <c r="R996" s="156"/>
      <c r="S996" s="154"/>
      <c r="T996" s="100"/>
      <c r="U996" s="357"/>
      <c r="V996" s="156"/>
      <c r="W996" s="154"/>
      <c r="X996" s="100"/>
      <c r="Y996" s="357"/>
      <c r="Z996" s="87"/>
      <c r="AA996" s="87"/>
      <c r="AB996" s="87"/>
      <c r="AC996" s="357"/>
      <c r="AD996" s="87"/>
      <c r="AE996" s="373"/>
      <c r="AF996" s="373"/>
      <c r="AG996" s="357"/>
      <c r="AH996" s="87"/>
      <c r="AI996" s="286"/>
      <c r="AJ996" s="286"/>
      <c r="AK996" s="357"/>
      <c r="AL996" s="371"/>
      <c r="AM996" s="371"/>
      <c r="AN996" s="371"/>
      <c r="AO996" s="357"/>
      <c r="AP996" s="87"/>
      <c r="AQ996" s="87"/>
      <c r="AR996" s="87"/>
      <c r="AS996" s="357"/>
      <c r="AT996" s="87"/>
      <c r="AU996" s="87"/>
      <c r="AV996" s="87"/>
    </row>
    <row r="997">
      <c r="A997" s="357"/>
      <c r="B997" s="156"/>
      <c r="C997" s="154"/>
      <c r="D997" s="100"/>
      <c r="E997" s="357"/>
      <c r="F997" s="156"/>
      <c r="G997" s="154"/>
      <c r="H997" s="100"/>
      <c r="I997" s="357"/>
      <c r="J997" s="156"/>
      <c r="K997" s="154"/>
      <c r="L997" s="100"/>
      <c r="M997" s="357"/>
      <c r="N997" s="156"/>
      <c r="O997" s="154"/>
      <c r="P997" s="100"/>
      <c r="Q997" s="357"/>
      <c r="R997" s="156"/>
      <c r="S997" s="154"/>
      <c r="T997" s="100"/>
      <c r="U997" s="357"/>
      <c r="V997" s="156"/>
      <c r="W997" s="154"/>
      <c r="X997" s="100"/>
      <c r="Y997" s="357"/>
      <c r="Z997" s="87"/>
      <c r="AA997" s="87"/>
      <c r="AB997" s="87"/>
      <c r="AC997" s="357"/>
      <c r="AD997" s="87"/>
      <c r="AE997" s="373"/>
      <c r="AF997" s="373"/>
      <c r="AG997" s="357"/>
      <c r="AH997" s="87"/>
      <c r="AI997" s="286"/>
      <c r="AJ997" s="286"/>
      <c r="AK997" s="357"/>
      <c r="AL997" s="371"/>
      <c r="AM997" s="371"/>
      <c r="AN997" s="371"/>
      <c r="AO997" s="357"/>
      <c r="AP997" s="87"/>
      <c r="AQ997" s="87"/>
      <c r="AR997" s="87"/>
      <c r="AS997" s="357"/>
      <c r="AT997" s="87"/>
      <c r="AU997" s="87"/>
      <c r="AV997" s="87"/>
    </row>
    <row r="998">
      <c r="A998" s="357"/>
      <c r="B998" s="156"/>
      <c r="C998" s="154"/>
      <c r="D998" s="100"/>
      <c r="E998" s="357"/>
      <c r="F998" s="156"/>
      <c r="G998" s="154"/>
      <c r="H998" s="100"/>
      <c r="I998" s="357"/>
      <c r="J998" s="156"/>
      <c r="K998" s="154"/>
      <c r="L998" s="100"/>
      <c r="M998" s="357"/>
      <c r="N998" s="156"/>
      <c r="O998" s="154"/>
      <c r="P998" s="100"/>
      <c r="Q998" s="357"/>
      <c r="R998" s="156"/>
      <c r="S998" s="154"/>
      <c r="T998" s="100"/>
      <c r="U998" s="357"/>
      <c r="V998" s="156"/>
      <c r="W998" s="154"/>
      <c r="X998" s="100"/>
      <c r="Y998" s="357"/>
      <c r="Z998" s="87"/>
      <c r="AA998" s="87"/>
      <c r="AB998" s="87"/>
      <c r="AC998" s="357"/>
      <c r="AD998" s="87"/>
      <c r="AE998" s="373"/>
      <c r="AF998" s="373"/>
      <c r="AG998" s="357"/>
      <c r="AH998" s="87"/>
      <c r="AI998" s="286"/>
      <c r="AJ998" s="286"/>
      <c r="AK998" s="357"/>
      <c r="AL998" s="371"/>
      <c r="AM998" s="371"/>
      <c r="AN998" s="371"/>
      <c r="AO998" s="357"/>
      <c r="AP998" s="87"/>
      <c r="AQ998" s="87"/>
      <c r="AR998" s="87"/>
      <c r="AS998" s="357"/>
      <c r="AT998" s="87"/>
      <c r="AU998" s="87"/>
      <c r="AV998" s="87"/>
    </row>
    <row r="999">
      <c r="A999" s="357"/>
      <c r="B999" s="156"/>
      <c r="C999" s="154"/>
      <c r="D999" s="100"/>
      <c r="E999" s="357"/>
      <c r="F999" s="156"/>
      <c r="G999" s="154"/>
      <c r="H999" s="100"/>
      <c r="I999" s="357"/>
      <c r="J999" s="156"/>
      <c r="K999" s="154"/>
      <c r="L999" s="100"/>
      <c r="M999" s="357"/>
      <c r="N999" s="156"/>
      <c r="O999" s="154"/>
      <c r="P999" s="100"/>
      <c r="Q999" s="357"/>
      <c r="R999" s="156"/>
      <c r="S999" s="154"/>
      <c r="T999" s="100"/>
      <c r="U999" s="357"/>
      <c r="V999" s="156"/>
      <c r="W999" s="154"/>
      <c r="X999" s="100"/>
      <c r="Y999" s="357"/>
      <c r="Z999" s="87"/>
      <c r="AA999" s="87"/>
      <c r="AB999" s="87"/>
      <c r="AC999" s="357"/>
      <c r="AD999" s="87"/>
      <c r="AE999" s="373"/>
      <c r="AF999" s="373"/>
      <c r="AG999" s="357"/>
      <c r="AH999" s="87"/>
      <c r="AI999" s="286"/>
      <c r="AJ999" s="286"/>
      <c r="AK999" s="357"/>
      <c r="AL999" s="371"/>
      <c r="AM999" s="371"/>
      <c r="AN999" s="371"/>
      <c r="AO999" s="357"/>
      <c r="AP999" s="87"/>
      <c r="AQ999" s="87"/>
      <c r="AR999" s="87"/>
      <c r="AS999" s="357"/>
      <c r="AT999" s="87"/>
      <c r="AU999" s="87"/>
      <c r="AV999" s="87"/>
    </row>
    <row r="1000">
      <c r="A1000" s="357"/>
      <c r="B1000" s="156"/>
      <c r="C1000" s="154"/>
      <c r="D1000" s="100"/>
      <c r="E1000" s="357"/>
      <c r="F1000" s="156"/>
      <c r="G1000" s="154"/>
      <c r="H1000" s="100"/>
      <c r="I1000" s="357"/>
      <c r="J1000" s="156"/>
      <c r="K1000" s="154"/>
      <c r="L1000" s="100"/>
      <c r="M1000" s="357"/>
      <c r="N1000" s="156"/>
      <c r="O1000" s="154"/>
      <c r="P1000" s="100"/>
      <c r="Q1000" s="357"/>
      <c r="R1000" s="156"/>
      <c r="S1000" s="154"/>
      <c r="T1000" s="100"/>
      <c r="U1000" s="357"/>
      <c r="V1000" s="156"/>
      <c r="W1000" s="154"/>
      <c r="X1000" s="100"/>
      <c r="Y1000" s="357"/>
      <c r="Z1000" s="87"/>
      <c r="AA1000" s="87"/>
      <c r="AB1000" s="87"/>
      <c r="AC1000" s="357"/>
      <c r="AD1000" s="87"/>
      <c r="AE1000" s="373"/>
      <c r="AF1000" s="373"/>
      <c r="AG1000" s="357"/>
      <c r="AH1000" s="87"/>
      <c r="AI1000" s="286"/>
      <c r="AJ1000" s="286"/>
      <c r="AK1000" s="357"/>
      <c r="AL1000" s="371"/>
      <c r="AM1000" s="371"/>
      <c r="AN1000" s="371"/>
      <c r="AO1000" s="357"/>
      <c r="AP1000" s="87"/>
      <c r="AQ1000" s="87"/>
      <c r="AR1000" s="87"/>
      <c r="AS1000" s="357"/>
      <c r="AT1000" s="87"/>
      <c r="AU1000" s="87"/>
      <c r="AV1000" s="87"/>
    </row>
    <row r="1001">
      <c r="A1001" s="357"/>
      <c r="B1001" s="156"/>
      <c r="C1001" s="154"/>
      <c r="D1001" s="100"/>
      <c r="E1001" s="357"/>
      <c r="F1001" s="156"/>
      <c r="G1001" s="154"/>
      <c r="H1001" s="100"/>
      <c r="I1001" s="357"/>
      <c r="J1001" s="156"/>
      <c r="K1001" s="154"/>
      <c r="L1001" s="100"/>
      <c r="M1001" s="357"/>
      <c r="N1001" s="156"/>
      <c r="O1001" s="154"/>
      <c r="P1001" s="100"/>
      <c r="Q1001" s="357"/>
      <c r="R1001" s="156"/>
      <c r="S1001" s="154"/>
      <c r="T1001" s="100"/>
      <c r="U1001" s="357"/>
      <c r="V1001" s="156"/>
      <c r="W1001" s="154"/>
      <c r="X1001" s="100"/>
      <c r="Y1001" s="357"/>
      <c r="Z1001" s="87"/>
      <c r="AA1001" s="87"/>
      <c r="AB1001" s="87"/>
      <c r="AC1001" s="357"/>
      <c r="AD1001" s="87"/>
      <c r="AE1001" s="373"/>
      <c r="AF1001" s="373"/>
      <c r="AG1001" s="357"/>
      <c r="AH1001" s="87"/>
      <c r="AI1001" s="286"/>
      <c r="AJ1001" s="286"/>
      <c r="AK1001" s="357"/>
      <c r="AL1001" s="371"/>
      <c r="AM1001" s="371"/>
      <c r="AN1001" s="371"/>
      <c r="AO1001" s="357"/>
      <c r="AP1001" s="87"/>
      <c r="AQ1001" s="87"/>
      <c r="AR1001" s="87"/>
      <c r="AS1001" s="357"/>
      <c r="AT1001" s="87"/>
      <c r="AU1001" s="87"/>
      <c r="AV1001" s="87"/>
    </row>
    <row r="1002">
      <c r="A1002" s="357"/>
      <c r="B1002" s="156"/>
      <c r="C1002" s="154"/>
      <c r="D1002" s="100"/>
      <c r="E1002" s="357"/>
      <c r="F1002" s="156"/>
      <c r="G1002" s="154"/>
      <c r="H1002" s="100"/>
      <c r="I1002" s="357"/>
      <c r="J1002" s="156"/>
      <c r="K1002" s="154"/>
      <c r="L1002" s="100"/>
      <c r="M1002" s="357"/>
      <c r="N1002" s="156"/>
      <c r="O1002" s="154"/>
      <c r="P1002" s="100"/>
      <c r="Q1002" s="357"/>
      <c r="R1002" s="156"/>
      <c r="S1002" s="154"/>
      <c r="T1002" s="100"/>
      <c r="U1002" s="357"/>
      <c r="V1002" s="156"/>
      <c r="W1002" s="154"/>
      <c r="X1002" s="100"/>
      <c r="Y1002" s="357"/>
      <c r="Z1002" s="87"/>
      <c r="AA1002" s="87"/>
      <c r="AB1002" s="87"/>
      <c r="AC1002" s="357"/>
      <c r="AD1002" s="87"/>
      <c r="AE1002" s="373"/>
      <c r="AF1002" s="373"/>
      <c r="AG1002" s="357"/>
      <c r="AH1002" s="87"/>
      <c r="AI1002" s="286"/>
      <c r="AJ1002" s="286"/>
      <c r="AK1002" s="357"/>
      <c r="AL1002" s="371"/>
      <c r="AM1002" s="371"/>
      <c r="AN1002" s="371"/>
      <c r="AO1002" s="357"/>
      <c r="AP1002" s="87"/>
      <c r="AQ1002" s="87"/>
      <c r="AR1002" s="87"/>
      <c r="AS1002" s="357"/>
      <c r="AT1002" s="87"/>
      <c r="AU1002" s="87"/>
      <c r="AV1002" s="87"/>
    </row>
    <row r="1003">
      <c r="A1003" s="357"/>
      <c r="B1003" s="156"/>
      <c r="C1003" s="154"/>
      <c r="D1003" s="100"/>
      <c r="E1003" s="357"/>
      <c r="F1003" s="156"/>
      <c r="G1003" s="154"/>
      <c r="H1003" s="100"/>
      <c r="I1003" s="357"/>
      <c r="J1003" s="156"/>
      <c r="K1003" s="154"/>
      <c r="L1003" s="100"/>
      <c r="M1003" s="357"/>
      <c r="N1003" s="156"/>
      <c r="O1003" s="154"/>
      <c r="P1003" s="100"/>
      <c r="Q1003" s="357"/>
      <c r="R1003" s="156"/>
      <c r="S1003" s="154"/>
      <c r="T1003" s="100"/>
      <c r="U1003" s="357"/>
      <c r="V1003" s="156"/>
      <c r="W1003" s="154"/>
      <c r="X1003" s="100"/>
      <c r="Y1003" s="357"/>
      <c r="Z1003" s="87"/>
      <c r="AA1003" s="87"/>
      <c r="AB1003" s="87"/>
      <c r="AC1003" s="357"/>
      <c r="AD1003" s="87"/>
      <c r="AE1003" s="373"/>
      <c r="AF1003" s="373"/>
      <c r="AG1003" s="357"/>
      <c r="AH1003" s="87"/>
      <c r="AI1003" s="286"/>
      <c r="AJ1003" s="286"/>
      <c r="AK1003" s="357"/>
      <c r="AL1003" s="371"/>
      <c r="AM1003" s="371"/>
      <c r="AN1003" s="371"/>
      <c r="AO1003" s="357"/>
      <c r="AP1003" s="87"/>
      <c r="AQ1003" s="87"/>
      <c r="AR1003" s="87"/>
      <c r="AS1003" s="357"/>
      <c r="AT1003" s="87"/>
      <c r="AU1003" s="87"/>
      <c r="AV1003" s="87"/>
    </row>
    <row r="1004">
      <c r="A1004" s="357"/>
      <c r="B1004" s="156"/>
      <c r="C1004" s="154"/>
      <c r="D1004" s="100"/>
      <c r="E1004" s="357"/>
      <c r="F1004" s="156"/>
      <c r="G1004" s="154"/>
      <c r="H1004" s="100"/>
      <c r="I1004" s="357"/>
      <c r="J1004" s="156"/>
      <c r="K1004" s="154"/>
      <c r="L1004" s="100"/>
      <c r="M1004" s="357"/>
      <c r="N1004" s="156"/>
      <c r="O1004" s="154"/>
      <c r="P1004" s="100"/>
      <c r="Q1004" s="357"/>
      <c r="R1004" s="156"/>
      <c r="S1004" s="154"/>
      <c r="T1004" s="100"/>
      <c r="U1004" s="357"/>
      <c r="V1004" s="156"/>
      <c r="W1004" s="154"/>
      <c r="X1004" s="100"/>
      <c r="Y1004" s="357"/>
      <c r="Z1004" s="87"/>
      <c r="AA1004" s="87"/>
      <c r="AB1004" s="87"/>
      <c r="AC1004" s="357"/>
      <c r="AD1004" s="87"/>
      <c r="AE1004" s="373"/>
      <c r="AF1004" s="373"/>
      <c r="AG1004" s="357"/>
      <c r="AH1004" s="87"/>
      <c r="AI1004" s="286"/>
      <c r="AJ1004" s="286"/>
      <c r="AK1004" s="357"/>
      <c r="AL1004" s="371"/>
      <c r="AM1004" s="371"/>
      <c r="AN1004" s="371"/>
      <c r="AO1004" s="357"/>
      <c r="AP1004" s="87"/>
      <c r="AQ1004" s="87"/>
      <c r="AR1004" s="87"/>
      <c r="AS1004" s="357"/>
      <c r="AT1004" s="87"/>
      <c r="AU1004" s="87"/>
      <c r="AV1004" s="87"/>
    </row>
    <row r="1005">
      <c r="A1005" s="357"/>
      <c r="B1005" s="156"/>
      <c r="C1005" s="154"/>
      <c r="D1005" s="100"/>
      <c r="E1005" s="357"/>
      <c r="F1005" s="156"/>
      <c r="G1005" s="154"/>
      <c r="H1005" s="100"/>
      <c r="I1005" s="357"/>
      <c r="J1005" s="156"/>
      <c r="K1005" s="154"/>
      <c r="L1005" s="100"/>
      <c r="M1005" s="357"/>
      <c r="N1005" s="156"/>
      <c r="O1005" s="154"/>
      <c r="P1005" s="100"/>
      <c r="Q1005" s="357"/>
      <c r="R1005" s="156"/>
      <c r="S1005" s="154"/>
      <c r="T1005" s="100"/>
      <c r="U1005" s="357"/>
      <c r="V1005" s="156"/>
      <c r="W1005" s="154"/>
      <c r="X1005" s="100"/>
      <c r="Y1005" s="357"/>
      <c r="Z1005" s="87"/>
      <c r="AA1005" s="87"/>
      <c r="AB1005" s="87"/>
      <c r="AC1005" s="357"/>
      <c r="AD1005" s="87"/>
      <c r="AE1005" s="373"/>
      <c r="AF1005" s="373"/>
      <c r="AG1005" s="357"/>
      <c r="AH1005" s="87"/>
      <c r="AI1005" s="286"/>
      <c r="AJ1005" s="286"/>
      <c r="AK1005" s="357"/>
      <c r="AL1005" s="371"/>
      <c r="AM1005" s="371"/>
      <c r="AN1005" s="371"/>
      <c r="AO1005" s="357"/>
      <c r="AP1005" s="87"/>
      <c r="AQ1005" s="87"/>
      <c r="AR1005" s="87"/>
      <c r="AS1005" s="357"/>
      <c r="AT1005" s="87"/>
      <c r="AU1005" s="87"/>
      <c r="AV1005" s="87"/>
    </row>
    <row r="1006">
      <c r="A1006" s="357"/>
      <c r="B1006" s="156"/>
      <c r="C1006" s="154"/>
      <c r="D1006" s="100"/>
      <c r="E1006" s="357"/>
      <c r="F1006" s="156"/>
      <c r="G1006" s="154"/>
      <c r="H1006" s="100"/>
      <c r="I1006" s="357"/>
      <c r="J1006" s="156"/>
      <c r="K1006" s="154"/>
      <c r="L1006" s="100"/>
      <c r="M1006" s="357"/>
      <c r="N1006" s="156"/>
      <c r="O1006" s="154"/>
      <c r="P1006" s="100"/>
      <c r="Q1006" s="357"/>
      <c r="R1006" s="156"/>
      <c r="S1006" s="154"/>
      <c r="T1006" s="100"/>
      <c r="U1006" s="357"/>
      <c r="V1006" s="156"/>
      <c r="W1006" s="154"/>
      <c r="X1006" s="100"/>
      <c r="Y1006" s="357"/>
      <c r="Z1006" s="87"/>
      <c r="AA1006" s="87"/>
      <c r="AB1006" s="87"/>
      <c r="AC1006" s="357"/>
      <c r="AD1006" s="87"/>
      <c r="AE1006" s="373"/>
      <c r="AF1006" s="373"/>
      <c r="AG1006" s="357"/>
      <c r="AH1006" s="87"/>
      <c r="AI1006" s="286"/>
      <c r="AJ1006" s="286"/>
      <c r="AK1006" s="357"/>
      <c r="AL1006" s="371"/>
      <c r="AM1006" s="371"/>
      <c r="AN1006" s="371"/>
      <c r="AO1006" s="357"/>
      <c r="AP1006" s="87"/>
      <c r="AQ1006" s="87"/>
      <c r="AR1006" s="87"/>
      <c r="AS1006" s="357"/>
      <c r="AT1006" s="87"/>
      <c r="AU1006" s="87"/>
      <c r="AV1006" s="87"/>
    </row>
    <row r="1007">
      <c r="A1007" s="357"/>
      <c r="B1007" s="156"/>
      <c r="C1007" s="154"/>
      <c r="D1007" s="100"/>
      <c r="E1007" s="357"/>
      <c r="F1007" s="156"/>
      <c r="G1007" s="154"/>
      <c r="H1007" s="100"/>
      <c r="I1007" s="357"/>
      <c r="J1007" s="156"/>
      <c r="K1007" s="154"/>
      <c r="L1007" s="100"/>
      <c r="M1007" s="357"/>
      <c r="N1007" s="156"/>
      <c r="O1007" s="154"/>
      <c r="P1007" s="100"/>
      <c r="Q1007" s="357"/>
      <c r="R1007" s="156"/>
      <c r="S1007" s="154"/>
      <c r="T1007" s="100"/>
      <c r="U1007" s="357"/>
      <c r="V1007" s="156"/>
      <c r="W1007" s="154"/>
      <c r="X1007" s="100"/>
      <c r="Y1007" s="357"/>
      <c r="Z1007" s="87"/>
      <c r="AA1007" s="87"/>
      <c r="AB1007" s="87"/>
      <c r="AC1007" s="357"/>
      <c r="AD1007" s="87"/>
      <c r="AE1007" s="373"/>
      <c r="AF1007" s="373"/>
      <c r="AG1007" s="357"/>
      <c r="AH1007" s="87"/>
      <c r="AI1007" s="286"/>
      <c r="AJ1007" s="286"/>
      <c r="AK1007" s="357"/>
      <c r="AL1007" s="371"/>
      <c r="AM1007" s="371"/>
      <c r="AN1007" s="371"/>
      <c r="AO1007" s="357"/>
      <c r="AP1007" s="87"/>
      <c r="AQ1007" s="87"/>
      <c r="AR1007" s="87"/>
      <c r="AS1007" s="357"/>
      <c r="AT1007" s="87"/>
      <c r="AU1007" s="87"/>
      <c r="AV1007" s="87"/>
    </row>
    <row r="1008">
      <c r="A1008" s="357"/>
      <c r="B1008" s="156"/>
      <c r="C1008" s="154"/>
      <c r="D1008" s="100"/>
      <c r="E1008" s="357"/>
      <c r="F1008" s="156"/>
      <c r="G1008" s="154"/>
      <c r="H1008" s="100"/>
      <c r="I1008" s="357"/>
      <c r="J1008" s="156"/>
      <c r="K1008" s="154"/>
      <c r="L1008" s="100"/>
      <c r="M1008" s="357"/>
      <c r="N1008" s="156"/>
      <c r="O1008" s="154"/>
      <c r="P1008" s="100"/>
      <c r="Q1008" s="357"/>
      <c r="R1008" s="156"/>
      <c r="S1008" s="154"/>
      <c r="T1008" s="100"/>
      <c r="U1008" s="357"/>
      <c r="V1008" s="156"/>
      <c r="W1008" s="154"/>
      <c r="X1008" s="100"/>
      <c r="Y1008" s="357"/>
      <c r="Z1008" s="87"/>
      <c r="AA1008" s="87"/>
      <c r="AB1008" s="87"/>
      <c r="AC1008" s="357"/>
      <c r="AD1008" s="87"/>
      <c r="AE1008" s="373"/>
      <c r="AF1008" s="373"/>
      <c r="AG1008" s="357"/>
      <c r="AH1008" s="87"/>
      <c r="AI1008" s="286"/>
      <c r="AJ1008" s="286"/>
      <c r="AK1008" s="357"/>
      <c r="AL1008" s="371"/>
      <c r="AM1008" s="371"/>
      <c r="AN1008" s="371"/>
      <c r="AO1008" s="357"/>
      <c r="AP1008" s="87"/>
      <c r="AQ1008" s="87"/>
      <c r="AR1008" s="87"/>
      <c r="AS1008" s="357"/>
      <c r="AT1008" s="87"/>
      <c r="AU1008" s="87"/>
      <c r="AV1008" s="87"/>
    </row>
    <row r="1009">
      <c r="A1009" s="357"/>
      <c r="B1009" s="156"/>
      <c r="C1009" s="154"/>
      <c r="D1009" s="100"/>
      <c r="E1009" s="357"/>
      <c r="F1009" s="156"/>
      <c r="G1009" s="154"/>
      <c r="H1009" s="100"/>
      <c r="I1009" s="357"/>
      <c r="J1009" s="156"/>
      <c r="K1009" s="154"/>
      <c r="L1009" s="100"/>
      <c r="M1009" s="357"/>
      <c r="N1009" s="156"/>
      <c r="O1009" s="154"/>
      <c r="P1009" s="100"/>
      <c r="Q1009" s="357"/>
      <c r="R1009" s="156"/>
      <c r="S1009" s="154"/>
      <c r="T1009" s="100"/>
      <c r="U1009" s="357"/>
      <c r="V1009" s="156"/>
      <c r="W1009" s="154"/>
      <c r="X1009" s="100"/>
      <c r="Y1009" s="357"/>
      <c r="Z1009" s="87"/>
      <c r="AA1009" s="87"/>
      <c r="AB1009" s="87"/>
      <c r="AC1009" s="357"/>
      <c r="AD1009" s="87"/>
      <c r="AE1009" s="373"/>
      <c r="AF1009" s="373"/>
      <c r="AG1009" s="357"/>
      <c r="AH1009" s="87"/>
      <c r="AI1009" s="286"/>
      <c r="AJ1009" s="286"/>
      <c r="AK1009" s="357"/>
      <c r="AL1009" s="371"/>
      <c r="AM1009" s="371"/>
      <c r="AN1009" s="371"/>
      <c r="AO1009" s="357"/>
      <c r="AP1009" s="87"/>
      <c r="AQ1009" s="87"/>
      <c r="AR1009" s="87"/>
      <c r="AS1009" s="357"/>
      <c r="AT1009" s="87"/>
      <c r="AU1009" s="87"/>
      <c r="AV1009" s="87"/>
    </row>
    <row r="1010">
      <c r="A1010" s="357"/>
      <c r="B1010" s="156"/>
      <c r="C1010" s="154"/>
      <c r="D1010" s="100"/>
      <c r="E1010" s="357"/>
      <c r="F1010" s="156"/>
      <c r="G1010" s="154"/>
      <c r="H1010" s="100"/>
      <c r="I1010" s="357"/>
      <c r="J1010" s="156"/>
      <c r="K1010" s="154"/>
      <c r="L1010" s="100"/>
      <c r="M1010" s="357"/>
      <c r="N1010" s="156"/>
      <c r="O1010" s="154"/>
      <c r="P1010" s="100"/>
      <c r="Q1010" s="357"/>
      <c r="R1010" s="156"/>
      <c r="S1010" s="154"/>
      <c r="T1010" s="100"/>
      <c r="U1010" s="357"/>
      <c r="V1010" s="156"/>
      <c r="W1010" s="154"/>
      <c r="X1010" s="100"/>
      <c r="Y1010" s="357"/>
      <c r="Z1010" s="87"/>
      <c r="AA1010" s="87"/>
      <c r="AB1010" s="87"/>
      <c r="AC1010" s="357"/>
      <c r="AD1010" s="87"/>
      <c r="AE1010" s="373"/>
      <c r="AF1010" s="373"/>
      <c r="AG1010" s="357"/>
      <c r="AH1010" s="87"/>
      <c r="AI1010" s="286"/>
      <c r="AJ1010" s="286"/>
      <c r="AK1010" s="357"/>
      <c r="AL1010" s="371"/>
      <c r="AM1010" s="371"/>
      <c r="AN1010" s="371"/>
      <c r="AO1010" s="357"/>
      <c r="AP1010" s="87"/>
      <c r="AQ1010" s="87"/>
      <c r="AR1010" s="87"/>
      <c r="AS1010" s="357"/>
      <c r="AT1010" s="87"/>
      <c r="AU1010" s="87"/>
      <c r="AV1010" s="87"/>
    </row>
    <row r="1011">
      <c r="A1011" s="357"/>
      <c r="B1011" s="156"/>
      <c r="C1011" s="154"/>
      <c r="D1011" s="100"/>
      <c r="E1011" s="357"/>
      <c r="F1011" s="156"/>
      <c r="G1011" s="154"/>
      <c r="H1011" s="100"/>
      <c r="I1011" s="357"/>
      <c r="J1011" s="156"/>
      <c r="K1011" s="154"/>
      <c r="L1011" s="100"/>
      <c r="M1011" s="357"/>
      <c r="N1011" s="156"/>
      <c r="O1011" s="154"/>
      <c r="P1011" s="100"/>
      <c r="Q1011" s="357"/>
      <c r="R1011" s="156"/>
      <c r="S1011" s="154"/>
      <c r="T1011" s="100"/>
      <c r="U1011" s="357"/>
      <c r="V1011" s="156"/>
      <c r="W1011" s="154"/>
      <c r="X1011" s="100"/>
      <c r="Y1011" s="357"/>
      <c r="Z1011" s="87"/>
      <c r="AA1011" s="87"/>
      <c r="AB1011" s="87"/>
      <c r="AC1011" s="357"/>
      <c r="AD1011" s="87"/>
      <c r="AE1011" s="373"/>
      <c r="AF1011" s="373"/>
      <c r="AG1011" s="357"/>
      <c r="AH1011" s="87"/>
      <c r="AI1011" s="286"/>
      <c r="AJ1011" s="286"/>
      <c r="AK1011" s="357"/>
      <c r="AL1011" s="371"/>
      <c r="AM1011" s="371"/>
      <c r="AN1011" s="371"/>
      <c r="AO1011" s="357"/>
      <c r="AP1011" s="87"/>
      <c r="AQ1011" s="87"/>
      <c r="AR1011" s="87"/>
      <c r="AS1011" s="357"/>
      <c r="AT1011" s="87"/>
      <c r="AU1011" s="87"/>
      <c r="AV1011" s="87"/>
    </row>
    <row r="1012">
      <c r="A1012" s="357"/>
      <c r="B1012" s="156"/>
      <c r="C1012" s="154"/>
      <c r="D1012" s="100"/>
      <c r="E1012" s="357"/>
      <c r="F1012" s="156"/>
      <c r="G1012" s="154"/>
      <c r="H1012" s="100"/>
      <c r="I1012" s="357"/>
      <c r="J1012" s="156"/>
      <c r="K1012" s="154"/>
      <c r="L1012" s="100"/>
      <c r="M1012" s="357"/>
      <c r="N1012" s="156"/>
      <c r="O1012" s="154"/>
      <c r="P1012" s="100"/>
      <c r="Q1012" s="357"/>
      <c r="R1012" s="156"/>
      <c r="S1012" s="154"/>
      <c r="T1012" s="100"/>
      <c r="U1012" s="357"/>
      <c r="V1012" s="156"/>
      <c r="W1012" s="154"/>
      <c r="X1012" s="100"/>
      <c r="Y1012" s="357"/>
      <c r="Z1012" s="87"/>
      <c r="AA1012" s="87"/>
      <c r="AB1012" s="87"/>
      <c r="AC1012" s="357"/>
      <c r="AD1012" s="87"/>
      <c r="AE1012" s="373"/>
      <c r="AF1012" s="373"/>
      <c r="AG1012" s="357"/>
      <c r="AH1012" s="87"/>
      <c r="AI1012" s="286"/>
      <c r="AJ1012" s="286"/>
      <c r="AK1012" s="357"/>
      <c r="AL1012" s="371"/>
      <c r="AM1012" s="371"/>
      <c r="AN1012" s="371"/>
      <c r="AO1012" s="357"/>
      <c r="AP1012" s="87"/>
      <c r="AQ1012" s="87"/>
      <c r="AR1012" s="87"/>
      <c r="AS1012" s="357"/>
      <c r="AT1012" s="87"/>
      <c r="AU1012" s="87"/>
      <c r="AV1012" s="87"/>
    </row>
    <row r="1013">
      <c r="A1013" s="357"/>
      <c r="B1013" s="156"/>
      <c r="C1013" s="154"/>
      <c r="D1013" s="100"/>
      <c r="E1013" s="357"/>
      <c r="F1013" s="156"/>
      <c r="G1013" s="154"/>
      <c r="H1013" s="100"/>
      <c r="I1013" s="357"/>
      <c r="J1013" s="156"/>
      <c r="K1013" s="154"/>
      <c r="L1013" s="100"/>
      <c r="M1013" s="357"/>
      <c r="N1013" s="156"/>
      <c r="O1013" s="154"/>
      <c r="P1013" s="100"/>
      <c r="Q1013" s="357"/>
      <c r="R1013" s="156"/>
      <c r="S1013" s="154"/>
      <c r="T1013" s="100"/>
      <c r="U1013" s="357"/>
      <c r="V1013" s="156"/>
      <c r="W1013" s="154"/>
      <c r="X1013" s="100"/>
      <c r="Y1013" s="357"/>
      <c r="Z1013" s="87"/>
      <c r="AA1013" s="87"/>
      <c r="AB1013" s="87"/>
      <c r="AC1013" s="357"/>
      <c r="AD1013" s="87"/>
      <c r="AE1013" s="373"/>
      <c r="AF1013" s="373"/>
      <c r="AG1013" s="357"/>
      <c r="AH1013" s="87"/>
      <c r="AI1013" s="286"/>
      <c r="AJ1013" s="286"/>
      <c r="AK1013" s="357"/>
      <c r="AL1013" s="371"/>
      <c r="AM1013" s="371"/>
      <c r="AN1013" s="371"/>
      <c r="AO1013" s="357"/>
      <c r="AP1013" s="87"/>
      <c r="AQ1013" s="87"/>
      <c r="AR1013" s="87"/>
      <c r="AS1013" s="357"/>
      <c r="AT1013" s="87"/>
      <c r="AU1013" s="87"/>
      <c r="AV1013" s="87"/>
    </row>
    <row r="1014">
      <c r="A1014" s="357"/>
      <c r="B1014" s="156"/>
      <c r="C1014" s="154"/>
      <c r="D1014" s="100"/>
      <c r="E1014" s="357"/>
      <c r="F1014" s="156"/>
      <c r="G1014" s="154"/>
      <c r="H1014" s="100"/>
      <c r="I1014" s="357"/>
      <c r="J1014" s="156"/>
      <c r="K1014" s="154"/>
      <c r="L1014" s="100"/>
      <c r="M1014" s="357"/>
      <c r="N1014" s="156"/>
      <c r="O1014" s="154"/>
      <c r="P1014" s="100"/>
      <c r="Q1014" s="357"/>
      <c r="R1014" s="156"/>
      <c r="S1014" s="154"/>
      <c r="T1014" s="100"/>
      <c r="U1014" s="357"/>
      <c r="V1014" s="156"/>
      <c r="W1014" s="154"/>
      <c r="X1014" s="100"/>
      <c r="Y1014" s="357"/>
      <c r="Z1014" s="87"/>
      <c r="AA1014" s="87"/>
      <c r="AB1014" s="87"/>
      <c r="AC1014" s="357"/>
      <c r="AD1014" s="87"/>
      <c r="AE1014" s="373"/>
      <c r="AF1014" s="373"/>
      <c r="AG1014" s="357"/>
      <c r="AH1014" s="87"/>
      <c r="AI1014" s="286"/>
      <c r="AJ1014" s="286"/>
      <c r="AK1014" s="357"/>
      <c r="AL1014" s="371"/>
      <c r="AM1014" s="371"/>
      <c r="AN1014" s="371"/>
      <c r="AO1014" s="357"/>
      <c r="AP1014" s="87"/>
      <c r="AQ1014" s="87"/>
      <c r="AR1014" s="87"/>
      <c r="AS1014" s="357"/>
      <c r="AT1014" s="87"/>
      <c r="AU1014" s="87"/>
      <c r="AV1014" s="87"/>
    </row>
    <row r="1015">
      <c r="A1015" s="357"/>
      <c r="B1015" s="156"/>
      <c r="C1015" s="154"/>
      <c r="D1015" s="100"/>
      <c r="E1015" s="357"/>
      <c r="F1015" s="156"/>
      <c r="G1015" s="154"/>
      <c r="H1015" s="100"/>
      <c r="I1015" s="357"/>
      <c r="J1015" s="156"/>
      <c r="K1015" s="154"/>
      <c r="L1015" s="100"/>
      <c r="M1015" s="357"/>
      <c r="N1015" s="156"/>
      <c r="O1015" s="154"/>
      <c r="P1015" s="100"/>
      <c r="Q1015" s="357"/>
      <c r="R1015" s="156"/>
      <c r="S1015" s="154"/>
      <c r="T1015" s="100"/>
      <c r="U1015" s="357"/>
      <c r="V1015" s="156"/>
      <c r="W1015" s="154"/>
      <c r="X1015" s="100"/>
      <c r="Y1015" s="357"/>
      <c r="Z1015" s="87"/>
      <c r="AA1015" s="87"/>
      <c r="AB1015" s="87"/>
      <c r="AC1015" s="357"/>
      <c r="AD1015" s="87"/>
      <c r="AE1015" s="373"/>
      <c r="AF1015" s="373"/>
      <c r="AG1015" s="357"/>
      <c r="AH1015" s="87"/>
      <c r="AI1015" s="286"/>
      <c r="AJ1015" s="286"/>
      <c r="AK1015" s="357"/>
      <c r="AL1015" s="371"/>
      <c r="AM1015" s="371"/>
      <c r="AN1015" s="371"/>
      <c r="AO1015" s="357"/>
      <c r="AP1015" s="87"/>
      <c r="AQ1015" s="87"/>
      <c r="AR1015" s="87"/>
      <c r="AS1015" s="357"/>
      <c r="AT1015" s="87"/>
      <c r="AU1015" s="87"/>
      <c r="AV1015" s="87"/>
    </row>
    <row r="1016">
      <c r="A1016" s="357"/>
      <c r="B1016" s="156"/>
      <c r="C1016" s="154"/>
      <c r="D1016" s="100"/>
      <c r="E1016" s="357"/>
      <c r="F1016" s="156"/>
      <c r="G1016" s="154"/>
      <c r="H1016" s="100"/>
      <c r="I1016" s="357"/>
      <c r="J1016" s="156"/>
      <c r="K1016" s="154"/>
      <c r="L1016" s="100"/>
      <c r="M1016" s="357"/>
      <c r="N1016" s="156"/>
      <c r="O1016" s="154"/>
      <c r="P1016" s="100"/>
      <c r="Q1016" s="357"/>
      <c r="R1016" s="156"/>
      <c r="S1016" s="154"/>
      <c r="T1016" s="100"/>
      <c r="U1016" s="357"/>
      <c r="V1016" s="156"/>
      <c r="W1016" s="154"/>
      <c r="X1016" s="100"/>
      <c r="Y1016" s="357"/>
      <c r="Z1016" s="87"/>
      <c r="AA1016" s="87"/>
      <c r="AB1016" s="87"/>
      <c r="AC1016" s="357"/>
      <c r="AD1016" s="87"/>
      <c r="AE1016" s="373"/>
      <c r="AF1016" s="373"/>
      <c r="AG1016" s="357"/>
      <c r="AH1016" s="87"/>
      <c r="AI1016" s="286"/>
      <c r="AJ1016" s="286"/>
      <c r="AK1016" s="357"/>
      <c r="AL1016" s="371"/>
      <c r="AM1016" s="371"/>
      <c r="AN1016" s="371"/>
      <c r="AO1016" s="357"/>
      <c r="AP1016" s="87"/>
      <c r="AQ1016" s="87"/>
      <c r="AR1016" s="87"/>
      <c r="AS1016" s="357"/>
      <c r="AT1016" s="87"/>
      <c r="AU1016" s="87"/>
      <c r="AV1016" s="87"/>
    </row>
    <row r="1017">
      <c r="A1017" s="357"/>
      <c r="B1017" s="156"/>
      <c r="C1017" s="154"/>
      <c r="D1017" s="100"/>
      <c r="E1017" s="357"/>
      <c r="F1017" s="156"/>
      <c r="G1017" s="154"/>
      <c r="H1017" s="100"/>
      <c r="I1017" s="357"/>
      <c r="J1017" s="156"/>
      <c r="K1017" s="154"/>
      <c r="L1017" s="100"/>
      <c r="M1017" s="357"/>
      <c r="N1017" s="156"/>
      <c r="O1017" s="154"/>
      <c r="P1017" s="100"/>
      <c r="Q1017" s="357"/>
      <c r="R1017" s="87"/>
      <c r="S1017" s="87"/>
      <c r="T1017" s="87"/>
      <c r="U1017" s="357"/>
      <c r="V1017" s="87"/>
      <c r="W1017" s="87"/>
      <c r="X1017" s="87"/>
      <c r="Y1017" s="357"/>
      <c r="Z1017" s="87"/>
      <c r="AA1017" s="87"/>
      <c r="AB1017" s="87"/>
      <c r="AC1017" s="357"/>
      <c r="AD1017" s="87"/>
      <c r="AE1017" s="373"/>
      <c r="AF1017" s="373"/>
      <c r="AG1017" s="357"/>
      <c r="AH1017" s="87"/>
      <c r="AI1017" s="286"/>
      <c r="AJ1017" s="286"/>
      <c r="AK1017" s="357"/>
      <c r="AL1017" s="371"/>
      <c r="AM1017" s="371"/>
      <c r="AN1017" s="371"/>
      <c r="AO1017" s="357"/>
      <c r="AP1017" s="87"/>
      <c r="AQ1017" s="87"/>
      <c r="AR1017" s="87"/>
      <c r="AS1017" s="357"/>
      <c r="AT1017" s="87"/>
      <c r="AU1017" s="87"/>
      <c r="AV1017" s="87"/>
    </row>
    <row r="1018">
      <c r="A1018" s="357"/>
      <c r="B1018" s="156"/>
      <c r="C1018" s="154"/>
      <c r="D1018" s="100"/>
      <c r="E1018" s="357"/>
      <c r="F1018" s="156"/>
      <c r="G1018" s="154"/>
      <c r="H1018" s="100"/>
      <c r="I1018" s="357"/>
      <c r="J1018" s="156"/>
      <c r="K1018" s="154"/>
      <c r="L1018" s="100"/>
      <c r="M1018" s="357"/>
      <c r="N1018" s="156"/>
      <c r="O1018" s="154"/>
      <c r="P1018" s="100"/>
      <c r="Q1018" s="357"/>
      <c r="R1018" s="87"/>
      <c r="S1018" s="87"/>
      <c r="T1018" s="87"/>
      <c r="U1018" s="357"/>
      <c r="V1018" s="87"/>
      <c r="W1018" s="87"/>
      <c r="X1018" s="87"/>
      <c r="Y1018" s="357"/>
      <c r="Z1018" s="87"/>
      <c r="AA1018" s="87"/>
      <c r="AB1018" s="87"/>
      <c r="AC1018" s="357"/>
      <c r="AD1018" s="87"/>
      <c r="AE1018" s="373"/>
      <c r="AF1018" s="373"/>
      <c r="AG1018" s="357"/>
      <c r="AH1018" s="87"/>
      <c r="AI1018" s="286"/>
      <c r="AJ1018" s="286"/>
      <c r="AK1018" s="357"/>
      <c r="AL1018" s="371"/>
      <c r="AM1018" s="371"/>
      <c r="AN1018" s="371"/>
      <c r="AO1018" s="357"/>
      <c r="AP1018" s="87"/>
      <c r="AQ1018" s="87"/>
      <c r="AR1018" s="87"/>
      <c r="AS1018" s="357"/>
      <c r="AT1018" s="87"/>
      <c r="AU1018" s="87"/>
      <c r="AV1018" s="87"/>
    </row>
    <row r="1019">
      <c r="A1019" s="357"/>
      <c r="B1019" s="156"/>
      <c r="C1019" s="154"/>
      <c r="D1019" s="100"/>
      <c r="E1019" s="357"/>
      <c r="F1019" s="156"/>
      <c r="G1019" s="154"/>
      <c r="H1019" s="100"/>
      <c r="I1019" s="357"/>
      <c r="J1019" s="156"/>
      <c r="K1019" s="154"/>
      <c r="L1019" s="100"/>
      <c r="M1019" s="357"/>
      <c r="N1019" s="156"/>
      <c r="O1019" s="154"/>
      <c r="P1019" s="100"/>
      <c r="Q1019" s="357"/>
      <c r="R1019" s="87"/>
      <c r="S1019" s="87"/>
      <c r="T1019" s="87"/>
      <c r="U1019" s="357"/>
      <c r="V1019" s="87"/>
      <c r="W1019" s="87"/>
      <c r="X1019" s="87"/>
      <c r="Y1019" s="357"/>
      <c r="Z1019" s="87"/>
      <c r="AA1019" s="87"/>
      <c r="AB1019" s="87"/>
      <c r="AC1019" s="357"/>
      <c r="AD1019" s="87"/>
      <c r="AE1019" s="373"/>
      <c r="AF1019" s="373"/>
      <c r="AG1019" s="357"/>
      <c r="AH1019" s="87"/>
      <c r="AI1019" s="286"/>
      <c r="AJ1019" s="286"/>
      <c r="AK1019" s="357"/>
      <c r="AL1019" s="371"/>
      <c r="AM1019" s="371"/>
      <c r="AN1019" s="371"/>
      <c r="AO1019" s="357"/>
      <c r="AP1019" s="87"/>
      <c r="AQ1019" s="87"/>
      <c r="AR1019" s="87"/>
      <c r="AS1019" s="357"/>
      <c r="AT1019" s="87"/>
      <c r="AU1019" s="87"/>
      <c r="AV1019" s="87"/>
    </row>
    <row r="1020">
      <c r="A1020" s="357"/>
      <c r="B1020" s="156"/>
      <c r="C1020" s="154"/>
      <c r="D1020" s="100"/>
      <c r="E1020" s="357"/>
      <c r="F1020" s="156"/>
      <c r="G1020" s="154"/>
      <c r="H1020" s="100"/>
      <c r="I1020" s="357"/>
      <c r="J1020" s="156"/>
      <c r="K1020" s="154"/>
      <c r="L1020" s="100"/>
      <c r="M1020" s="357"/>
      <c r="N1020" s="156"/>
      <c r="O1020" s="154"/>
      <c r="P1020" s="100"/>
      <c r="Q1020" s="357"/>
      <c r="R1020" s="87"/>
      <c r="S1020" s="87"/>
      <c r="T1020" s="87"/>
      <c r="U1020" s="357"/>
      <c r="V1020" s="87"/>
      <c r="W1020" s="87"/>
      <c r="X1020" s="87"/>
      <c r="Y1020" s="357"/>
      <c r="Z1020" s="87"/>
      <c r="AA1020" s="87"/>
      <c r="AB1020" s="87"/>
      <c r="AC1020" s="357"/>
      <c r="AD1020" s="87"/>
      <c r="AE1020" s="373"/>
      <c r="AF1020" s="373"/>
      <c r="AG1020" s="357"/>
      <c r="AH1020" s="87"/>
      <c r="AI1020" s="286"/>
      <c r="AJ1020" s="286"/>
      <c r="AK1020" s="357"/>
      <c r="AL1020" s="312"/>
      <c r="AM1020" s="248"/>
      <c r="AN1020" s="238"/>
      <c r="AO1020" s="357"/>
      <c r="AP1020" s="87"/>
      <c r="AQ1020" s="87"/>
      <c r="AR1020" s="87"/>
      <c r="AS1020" s="357"/>
      <c r="AT1020" s="87"/>
      <c r="AU1020" s="87"/>
      <c r="AV1020" s="87"/>
    </row>
  </sheetData>
  <mergeCells count="204">
    <mergeCell ref="AD61:AF61"/>
    <mergeCell ref="AH61:AJ61"/>
    <mergeCell ref="AL61:AN61"/>
    <mergeCell ref="AP61:AR61"/>
    <mergeCell ref="AT61:AV61"/>
    <mergeCell ref="B61:D61"/>
    <mergeCell ref="F61:H61"/>
    <mergeCell ref="J61:L61"/>
    <mergeCell ref="N61:P61"/>
    <mergeCell ref="R61:T61"/>
    <mergeCell ref="V61:X61"/>
    <mergeCell ref="Z61:AB61"/>
    <mergeCell ref="AD63:AF63"/>
    <mergeCell ref="AH63:AJ63"/>
    <mergeCell ref="AL63:AN63"/>
    <mergeCell ref="AP63:AR63"/>
    <mergeCell ref="AT63:AV63"/>
    <mergeCell ref="B63:D63"/>
    <mergeCell ref="F63:H63"/>
    <mergeCell ref="J63:L63"/>
    <mergeCell ref="N63:P63"/>
    <mergeCell ref="R63:T63"/>
    <mergeCell ref="V63:X63"/>
    <mergeCell ref="Z63:AB63"/>
    <mergeCell ref="AD69:AF69"/>
    <mergeCell ref="AH69:AJ69"/>
    <mergeCell ref="AL69:AN69"/>
    <mergeCell ref="AP69:AR69"/>
    <mergeCell ref="AT69:AV69"/>
    <mergeCell ref="B69:D69"/>
    <mergeCell ref="F69:H69"/>
    <mergeCell ref="J69:L69"/>
    <mergeCell ref="N69:P69"/>
    <mergeCell ref="R69:T69"/>
    <mergeCell ref="V69:X69"/>
    <mergeCell ref="Z69:AB69"/>
    <mergeCell ref="AD72:AF72"/>
    <mergeCell ref="AH72:AJ72"/>
    <mergeCell ref="AL72:AN72"/>
    <mergeCell ref="AP72:AR72"/>
    <mergeCell ref="AT72:AV72"/>
    <mergeCell ref="B72:D72"/>
    <mergeCell ref="F72:H72"/>
    <mergeCell ref="J72:L72"/>
    <mergeCell ref="N72:P72"/>
    <mergeCell ref="R72:T72"/>
    <mergeCell ref="V72:X72"/>
    <mergeCell ref="Z72:AB72"/>
    <mergeCell ref="AD77:AF77"/>
    <mergeCell ref="AH77:AJ77"/>
    <mergeCell ref="AL77:AN77"/>
    <mergeCell ref="AP77:AR77"/>
    <mergeCell ref="AT77:AV77"/>
    <mergeCell ref="B77:D77"/>
    <mergeCell ref="F77:H77"/>
    <mergeCell ref="J77:L77"/>
    <mergeCell ref="N77:P77"/>
    <mergeCell ref="R77:T77"/>
    <mergeCell ref="V77:X77"/>
    <mergeCell ref="Z77:AB77"/>
    <mergeCell ref="AD81:AF81"/>
    <mergeCell ref="AH81:AJ81"/>
    <mergeCell ref="AL81:AN81"/>
    <mergeCell ref="AP81:AR81"/>
    <mergeCell ref="AT81:AV81"/>
    <mergeCell ref="B81:D81"/>
    <mergeCell ref="F81:H81"/>
    <mergeCell ref="J81:L81"/>
    <mergeCell ref="N81:P81"/>
    <mergeCell ref="R81:T81"/>
    <mergeCell ref="V81:X81"/>
    <mergeCell ref="Z81:AB81"/>
    <mergeCell ref="AD2:AF2"/>
    <mergeCell ref="AH2:AJ2"/>
    <mergeCell ref="AL2:AN2"/>
    <mergeCell ref="AP2:AR2"/>
    <mergeCell ref="AT2:AV2"/>
    <mergeCell ref="B2:D2"/>
    <mergeCell ref="F2:H2"/>
    <mergeCell ref="J2:L2"/>
    <mergeCell ref="N2:P2"/>
    <mergeCell ref="R2:T2"/>
    <mergeCell ref="V2:X2"/>
    <mergeCell ref="Z2:AB2"/>
    <mergeCell ref="AD14:AF14"/>
    <mergeCell ref="AH14:AJ14"/>
    <mergeCell ref="AL14:AN14"/>
    <mergeCell ref="AP14:AR14"/>
    <mergeCell ref="AT14:AV14"/>
    <mergeCell ref="B14:D14"/>
    <mergeCell ref="F14:H14"/>
    <mergeCell ref="J14:L14"/>
    <mergeCell ref="N14:P14"/>
    <mergeCell ref="R14:T14"/>
    <mergeCell ref="V14:X14"/>
    <mergeCell ref="Z14:AB14"/>
    <mergeCell ref="AD21:AF21"/>
    <mergeCell ref="AH21:AJ21"/>
    <mergeCell ref="AL21:AN21"/>
    <mergeCell ref="AP21:AR21"/>
    <mergeCell ref="AT21:AV21"/>
    <mergeCell ref="B21:D21"/>
    <mergeCell ref="F21:H21"/>
    <mergeCell ref="J21:L21"/>
    <mergeCell ref="N21:P21"/>
    <mergeCell ref="R21:T21"/>
    <mergeCell ref="V21:X21"/>
    <mergeCell ref="Z21:AB21"/>
    <mergeCell ref="AD84:AF84"/>
    <mergeCell ref="AH84:AJ84"/>
    <mergeCell ref="AL84:AN84"/>
    <mergeCell ref="AP84:AR84"/>
    <mergeCell ref="AT84:AV84"/>
    <mergeCell ref="B84:D84"/>
    <mergeCell ref="F84:H84"/>
    <mergeCell ref="J84:L84"/>
    <mergeCell ref="N84:P84"/>
    <mergeCell ref="R84:T84"/>
    <mergeCell ref="V84:X84"/>
    <mergeCell ref="Z84:AB84"/>
    <mergeCell ref="AD24:AF24"/>
    <mergeCell ref="AH24:AJ24"/>
    <mergeCell ref="AL24:AN24"/>
    <mergeCell ref="AP24:AR24"/>
    <mergeCell ref="AT24:AV24"/>
    <mergeCell ref="B24:D24"/>
    <mergeCell ref="F24:H24"/>
    <mergeCell ref="J24:L24"/>
    <mergeCell ref="N24:P24"/>
    <mergeCell ref="R24:T24"/>
    <mergeCell ref="V24:X24"/>
    <mergeCell ref="Z24:AB24"/>
    <mergeCell ref="AD26:AF26"/>
    <mergeCell ref="AH26:AJ26"/>
    <mergeCell ref="AL26:AN26"/>
    <mergeCell ref="AP26:AR26"/>
    <mergeCell ref="AT26:AV26"/>
    <mergeCell ref="B26:D26"/>
    <mergeCell ref="F26:H26"/>
    <mergeCell ref="J26:L26"/>
    <mergeCell ref="N26:P26"/>
    <mergeCell ref="R26:T26"/>
    <mergeCell ref="V26:X26"/>
    <mergeCell ref="Z26:AB26"/>
    <mergeCell ref="AD29:AF29"/>
    <mergeCell ref="AH29:AJ29"/>
    <mergeCell ref="AL29:AN29"/>
    <mergeCell ref="AP29:AR29"/>
    <mergeCell ref="AT29:AV29"/>
    <mergeCell ref="B29:D29"/>
    <mergeCell ref="F29:H29"/>
    <mergeCell ref="J29:L29"/>
    <mergeCell ref="N29:P29"/>
    <mergeCell ref="R29:T29"/>
    <mergeCell ref="V29:X29"/>
    <mergeCell ref="Z29:AB29"/>
    <mergeCell ref="AD32:AF32"/>
    <mergeCell ref="AH32:AJ32"/>
    <mergeCell ref="AL32:AN32"/>
    <mergeCell ref="AP32:AR32"/>
    <mergeCell ref="AT32:AV32"/>
    <mergeCell ref="B32:D32"/>
    <mergeCell ref="F32:H32"/>
    <mergeCell ref="J32:L32"/>
    <mergeCell ref="N32:P32"/>
    <mergeCell ref="R32:T32"/>
    <mergeCell ref="V32:X32"/>
    <mergeCell ref="Z32:AB32"/>
    <mergeCell ref="AD38:AF38"/>
    <mergeCell ref="AH38:AJ38"/>
    <mergeCell ref="AL38:AN38"/>
    <mergeCell ref="AP38:AR38"/>
    <mergeCell ref="AT38:AV38"/>
    <mergeCell ref="B38:D38"/>
    <mergeCell ref="F38:H38"/>
    <mergeCell ref="J38:L38"/>
    <mergeCell ref="N38:P38"/>
    <mergeCell ref="R38:T38"/>
    <mergeCell ref="V38:X38"/>
    <mergeCell ref="Z38:AB38"/>
    <mergeCell ref="AD43:AF43"/>
    <mergeCell ref="AH43:AJ43"/>
    <mergeCell ref="AL43:AN43"/>
    <mergeCell ref="AP43:AR43"/>
    <mergeCell ref="AT43:AV43"/>
    <mergeCell ref="B43:D43"/>
    <mergeCell ref="F43:H43"/>
    <mergeCell ref="J43:L43"/>
    <mergeCell ref="N43:P43"/>
    <mergeCell ref="R43:T43"/>
    <mergeCell ref="V43:X43"/>
    <mergeCell ref="Z43:AB43"/>
    <mergeCell ref="AD45:AF45"/>
    <mergeCell ref="AH45:AJ45"/>
    <mergeCell ref="AL45:AN45"/>
    <mergeCell ref="AP45:AR45"/>
    <mergeCell ref="AT45:AV45"/>
    <mergeCell ref="B45:D45"/>
    <mergeCell ref="F45:H45"/>
    <mergeCell ref="J45:L45"/>
    <mergeCell ref="N45:P45"/>
    <mergeCell ref="R45:T45"/>
    <mergeCell ref="V45:X45"/>
    <mergeCell ref="Z45:AB4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374" t="s">
        <v>64</v>
      </c>
      <c r="E1" s="375"/>
      <c r="F1" s="374" t="s">
        <v>6875</v>
      </c>
      <c r="I1" s="375"/>
      <c r="J1" s="374" t="s">
        <v>6876</v>
      </c>
      <c r="M1" s="375"/>
      <c r="N1" s="374" t="s">
        <v>6877</v>
      </c>
      <c r="R1" s="375"/>
      <c r="S1" s="376"/>
      <c r="T1" s="377"/>
      <c r="U1" s="377"/>
      <c r="V1" s="378"/>
      <c r="W1" s="44"/>
      <c r="X1" s="44"/>
      <c r="Y1" s="44"/>
      <c r="Z1" s="44"/>
      <c r="AA1" s="44"/>
      <c r="AB1" s="44"/>
    </row>
    <row r="2" ht="26.25" customHeight="1">
      <c r="A2" s="379"/>
      <c r="B2" s="379"/>
      <c r="C2" s="379"/>
      <c r="D2" s="379"/>
      <c r="E2" s="380"/>
      <c r="F2" s="379"/>
      <c r="G2" s="379"/>
      <c r="H2" s="379"/>
      <c r="I2" s="380"/>
      <c r="J2" s="379"/>
      <c r="K2" s="379"/>
      <c r="L2" s="379"/>
      <c r="M2" s="380"/>
      <c r="N2" s="379"/>
      <c r="O2" s="379"/>
      <c r="P2" s="379"/>
      <c r="Q2" s="379"/>
      <c r="R2" s="380"/>
      <c r="S2" s="381"/>
      <c r="T2" s="379"/>
      <c r="U2" s="379"/>
      <c r="V2" s="380"/>
      <c r="W2" s="44"/>
      <c r="X2" s="44"/>
      <c r="Y2" s="44"/>
      <c r="Z2" s="44"/>
      <c r="AA2" s="44"/>
      <c r="AB2" s="44"/>
    </row>
    <row r="3" ht="25.5" customHeight="1">
      <c r="A3" s="382" t="s">
        <v>6878</v>
      </c>
      <c r="B3" s="377"/>
      <c r="C3" s="377"/>
      <c r="D3" s="377"/>
      <c r="E3" s="378"/>
      <c r="F3" s="382" t="str">
        <f>IFERROR(__xludf.DUMMYFUNCTION("GOOGLETRANSLATE(A3,""zh-tw"",""ja"")"),"このページは現在、他言語への翻訳がありません。公式設定のみに基づいており、定期的な更新は行われません。ご不便をおかけして申し訳ございません。マップ作成者：Mio")</f>
        <v>このページは現在、他言語への翻訳がありません。公式設定のみに基づいており、定期的な更新は行われません。ご不便をおかけして申し訳ございません。マップ作成者：Mio</v>
      </c>
      <c r="G3" s="377"/>
      <c r="H3" s="377"/>
      <c r="I3" s="378"/>
      <c r="J3" s="382" t="s">
        <v>6879</v>
      </c>
      <c r="K3" s="377"/>
      <c r="L3" s="377"/>
      <c r="M3" s="378"/>
      <c r="N3" s="382" t="s">
        <v>6880</v>
      </c>
      <c r="O3" s="377"/>
      <c r="P3" s="377"/>
      <c r="Q3" s="377"/>
      <c r="R3" s="378"/>
      <c r="S3" s="383"/>
      <c r="T3" s="377"/>
      <c r="U3" s="377"/>
      <c r="V3" s="378"/>
      <c r="W3" s="384"/>
      <c r="X3" s="384"/>
      <c r="Y3" s="384"/>
      <c r="Z3" s="384"/>
      <c r="AA3" s="384"/>
      <c r="AB3" s="384"/>
    </row>
    <row r="4" ht="25.5" customHeight="1">
      <c r="A4" s="381"/>
      <c r="B4" s="379"/>
      <c r="C4" s="379"/>
      <c r="D4" s="379"/>
      <c r="E4" s="380"/>
      <c r="F4" s="381"/>
      <c r="G4" s="379"/>
      <c r="H4" s="379"/>
      <c r="I4" s="380"/>
      <c r="J4" s="381"/>
      <c r="K4" s="379"/>
      <c r="L4" s="379"/>
      <c r="M4" s="380"/>
      <c r="N4" s="381"/>
      <c r="O4" s="379"/>
      <c r="P4" s="379"/>
      <c r="Q4" s="379"/>
      <c r="R4" s="380"/>
      <c r="S4" s="381"/>
      <c r="T4" s="379"/>
      <c r="U4" s="379"/>
      <c r="V4" s="380"/>
      <c r="W4" s="384"/>
      <c r="X4" s="384"/>
      <c r="Y4" s="384"/>
      <c r="Z4" s="384"/>
      <c r="AA4" s="384"/>
      <c r="AB4" s="384"/>
    </row>
    <row r="5">
      <c r="A5" s="385" t="s">
        <v>6881</v>
      </c>
      <c r="B5" s="386"/>
      <c r="C5" s="386"/>
      <c r="D5" s="386"/>
      <c r="E5" s="387"/>
      <c r="F5" s="385" t="str">
        <f>IFERROR(__xludf.DUMMYFUNCTION("GOOGLETRANSLATE(A5,""zh-tw"",""ja"")"),"原生地域")</f>
        <v>原生地域</v>
      </c>
      <c r="G5" s="386"/>
      <c r="H5" s="386"/>
      <c r="I5" s="387"/>
      <c r="J5" s="385" t="s">
        <v>6882</v>
      </c>
      <c r="K5" s="386"/>
      <c r="L5" s="386"/>
      <c r="M5" s="387"/>
      <c r="N5" s="388" t="s">
        <v>6883</v>
      </c>
      <c r="O5" s="386"/>
      <c r="P5" s="386"/>
      <c r="Q5" s="386"/>
      <c r="R5" s="387"/>
      <c r="S5" s="389"/>
      <c r="T5" s="386"/>
      <c r="U5" s="386"/>
      <c r="V5" s="387"/>
      <c r="W5" s="390"/>
      <c r="X5" s="390"/>
      <c r="Y5" s="390"/>
      <c r="Z5" s="390"/>
      <c r="AA5" s="390"/>
      <c r="AB5" s="390"/>
    </row>
    <row r="6" ht="53.25" customHeight="1">
      <c r="A6" s="391" t="s">
        <v>1485</v>
      </c>
      <c r="B6" s="391" t="s">
        <v>1485</v>
      </c>
      <c r="C6" s="391" t="s">
        <v>1485</v>
      </c>
      <c r="D6" s="391" t="s">
        <v>1485</v>
      </c>
      <c r="E6" s="391" t="s">
        <v>6884</v>
      </c>
      <c r="F6" s="392" t="s">
        <v>1485</v>
      </c>
      <c r="G6" s="392" t="s">
        <v>1485</v>
      </c>
      <c r="H6" s="392" t="s">
        <v>6885</v>
      </c>
      <c r="I6" s="392" t="s">
        <v>1485</v>
      </c>
      <c r="J6" s="393" t="s">
        <v>1485</v>
      </c>
      <c r="K6" s="393" t="s">
        <v>1485</v>
      </c>
      <c r="L6" s="393" t="s">
        <v>1485</v>
      </c>
      <c r="M6" s="393" t="s">
        <v>6886</v>
      </c>
      <c r="N6" s="394" t="s">
        <v>1485</v>
      </c>
      <c r="O6" s="394" t="s">
        <v>1485</v>
      </c>
      <c r="P6" s="394" t="s">
        <v>1485</v>
      </c>
      <c r="Q6" s="394" t="s">
        <v>1485</v>
      </c>
      <c r="R6" s="394" t="s">
        <v>6887</v>
      </c>
      <c r="S6" s="395"/>
      <c r="T6" s="396"/>
      <c r="U6" s="396"/>
      <c r="V6" s="397"/>
      <c r="W6" s="398"/>
      <c r="X6" s="398"/>
      <c r="Y6" s="398"/>
      <c r="Z6" s="398"/>
      <c r="AA6" s="398"/>
      <c r="AB6" s="399"/>
    </row>
    <row r="7" ht="75.0" customHeight="1">
      <c r="A7" s="391" t="s">
        <v>1485</v>
      </c>
      <c r="B7" s="391" t="s">
        <v>1485</v>
      </c>
      <c r="C7" s="391" t="s">
        <v>6888</v>
      </c>
      <c r="D7" s="391" t="s">
        <v>6889</v>
      </c>
      <c r="E7" s="400" t="s">
        <v>6890</v>
      </c>
      <c r="F7" s="392" t="str">
        <f>IFERROR(__xludf.DUMMYFUNCTION("GOOGLETRANSLATE(B7,""zh-tw"",""ja"")"),"-")</f>
        <v>-</v>
      </c>
      <c r="G7" s="392" t="s">
        <v>6891</v>
      </c>
      <c r="H7" s="401" t="s">
        <v>6892</v>
      </c>
      <c r="I7" s="392" t="str">
        <f>IFERROR(__xludf.DUMMYFUNCTION("GOOGLETRANSLATE(#REF!,""zh-tw"",""ja"")"),"#REF!")</f>
        <v>#REF!</v>
      </c>
      <c r="J7" s="393" t="str">
        <f>IFERROR(__xludf.DUMMYFUNCTION("GOOGLETRANSLATE(B7,""zh-tw"",""en"")"),"-")</f>
        <v>-</v>
      </c>
      <c r="K7" s="393" t="s">
        <v>6893</v>
      </c>
      <c r="L7" s="393" t="s">
        <v>6894</v>
      </c>
      <c r="M7" s="402" t="s">
        <v>6895</v>
      </c>
      <c r="N7" s="394" t="s">
        <v>1485</v>
      </c>
      <c r="O7" s="394" t="str">
        <f>IFERROR(__xludf.DUMMYFUNCTION("GOOGLETRANSLATE(B7,""zh-tw"",""zh"")"),"-")</f>
        <v>-</v>
      </c>
      <c r="P7" s="394" t="s">
        <v>6896</v>
      </c>
      <c r="Q7" s="403" t="s">
        <v>1485</v>
      </c>
      <c r="R7" s="403" t="s">
        <v>6897</v>
      </c>
      <c r="S7" s="395"/>
      <c r="T7" s="396"/>
      <c r="U7" s="396"/>
      <c r="V7" s="404"/>
      <c r="W7" s="398"/>
      <c r="X7" s="398"/>
      <c r="Y7" s="398"/>
      <c r="Z7" s="398"/>
      <c r="AA7" s="398"/>
      <c r="AB7" s="399"/>
    </row>
    <row r="8">
      <c r="A8" s="391" t="s">
        <v>1485</v>
      </c>
      <c r="B8" s="391" t="s">
        <v>6898</v>
      </c>
      <c r="C8" s="391" t="s">
        <v>6899</v>
      </c>
      <c r="D8" s="391" t="s">
        <v>6900</v>
      </c>
      <c r="E8" s="391" t="s">
        <v>6901</v>
      </c>
      <c r="F8" s="392" t="s">
        <v>6902</v>
      </c>
      <c r="G8" s="392" t="s">
        <v>6903</v>
      </c>
      <c r="H8" s="392" t="s">
        <v>6904</v>
      </c>
      <c r="I8" s="392" t="str">
        <f>IFERROR(__xludf.DUMMYFUNCTION("GOOGLETRANSLATE(#REF!,""zh-tw"",""ja"")"),"#REF!")</f>
        <v>#REF!</v>
      </c>
      <c r="J8" s="393" t="s">
        <v>6905</v>
      </c>
      <c r="K8" s="393" t="s">
        <v>6906</v>
      </c>
      <c r="L8" s="393" t="s">
        <v>6907</v>
      </c>
      <c r="M8" s="393" t="s">
        <v>6907</v>
      </c>
      <c r="N8" s="394" t="s">
        <v>1485</v>
      </c>
      <c r="O8" s="394" t="s">
        <v>6908</v>
      </c>
      <c r="P8" s="394" t="s">
        <v>6909</v>
      </c>
      <c r="Q8" s="394" t="s">
        <v>6910</v>
      </c>
      <c r="R8" s="394" t="s">
        <v>6911</v>
      </c>
      <c r="S8" s="405"/>
      <c r="T8" s="396"/>
      <c r="U8" s="396"/>
      <c r="V8" s="396"/>
      <c r="W8" s="398"/>
      <c r="X8" s="398"/>
      <c r="Y8" s="398"/>
      <c r="Z8" s="398"/>
      <c r="AA8" s="398"/>
      <c r="AB8" s="399"/>
    </row>
    <row r="9">
      <c r="A9" s="391" t="s">
        <v>1485</v>
      </c>
      <c r="B9" s="391" t="s">
        <v>6912</v>
      </c>
      <c r="C9" s="391" t="s">
        <v>6913</v>
      </c>
      <c r="D9" s="391" t="s">
        <v>1485</v>
      </c>
      <c r="E9" s="406" t="s">
        <v>6914</v>
      </c>
      <c r="F9" s="392" t="s">
        <v>6915</v>
      </c>
      <c r="G9" s="392" t="s">
        <v>6916</v>
      </c>
      <c r="H9" s="392" t="s">
        <v>6917</v>
      </c>
      <c r="I9" s="392" t="s">
        <v>1485</v>
      </c>
      <c r="J9" s="393" t="s">
        <v>6918</v>
      </c>
      <c r="K9" s="393" t="s">
        <v>6919</v>
      </c>
      <c r="L9" s="393" t="s">
        <v>1485</v>
      </c>
      <c r="M9" s="393" t="s">
        <v>6920</v>
      </c>
      <c r="N9" s="394" t="s">
        <v>1485</v>
      </c>
      <c r="O9" s="394" t="s">
        <v>6921</v>
      </c>
      <c r="P9" s="394" t="s">
        <v>6922</v>
      </c>
      <c r="Q9" s="394" t="s">
        <v>1485</v>
      </c>
      <c r="R9" s="394" t="s">
        <v>6923</v>
      </c>
      <c r="S9" s="395"/>
      <c r="T9" s="396"/>
      <c r="U9" s="396"/>
      <c r="V9" s="396"/>
      <c r="W9" s="398"/>
      <c r="X9" s="398"/>
      <c r="Y9" s="398"/>
      <c r="Z9" s="398"/>
      <c r="AA9" s="398"/>
      <c r="AB9" s="399"/>
    </row>
    <row r="10" ht="60.0" customHeight="1">
      <c r="A10" s="391" t="s">
        <v>1485</v>
      </c>
      <c r="B10" s="391" t="s">
        <v>6924</v>
      </c>
      <c r="C10" s="407" t="s">
        <v>6925</v>
      </c>
      <c r="D10" s="391" t="s">
        <v>6926</v>
      </c>
      <c r="E10" s="391" t="s">
        <v>6927</v>
      </c>
      <c r="F10" s="392" t="s">
        <v>6928</v>
      </c>
      <c r="G10" s="408" t="s">
        <v>6929</v>
      </c>
      <c r="H10" s="392" t="s">
        <v>6930</v>
      </c>
      <c r="I10" s="392" t="s">
        <v>1485</v>
      </c>
      <c r="J10" s="393" t="s">
        <v>6931</v>
      </c>
      <c r="K10" s="409" t="s">
        <v>6932</v>
      </c>
      <c r="L10" s="393" t="s">
        <v>6933</v>
      </c>
      <c r="M10" s="393" t="s">
        <v>6934</v>
      </c>
      <c r="N10" s="394" t="s">
        <v>1485</v>
      </c>
      <c r="O10" s="394" t="s">
        <v>6935</v>
      </c>
      <c r="P10" s="410" t="s">
        <v>6936</v>
      </c>
      <c r="Q10" s="394" t="s">
        <v>6937</v>
      </c>
      <c r="R10" s="411" t="s">
        <v>6938</v>
      </c>
      <c r="S10" s="395"/>
      <c r="T10" s="396"/>
      <c r="U10" s="396"/>
      <c r="V10" s="396"/>
      <c r="W10" s="412"/>
      <c r="X10" s="412"/>
      <c r="Y10" s="412"/>
      <c r="Z10" s="412"/>
      <c r="AA10" s="412"/>
      <c r="AB10" s="399"/>
    </row>
    <row r="11" ht="65.25" customHeight="1">
      <c r="A11" s="391" t="s">
        <v>1485</v>
      </c>
      <c r="B11" s="391" t="s">
        <v>6939</v>
      </c>
      <c r="C11" s="413"/>
      <c r="D11" s="400" t="s">
        <v>6940</v>
      </c>
      <c r="E11" s="400" t="s">
        <v>6941</v>
      </c>
      <c r="F11" s="392" t="s">
        <v>6942</v>
      </c>
      <c r="G11" s="413"/>
      <c r="H11" s="392" t="s">
        <v>6943</v>
      </c>
      <c r="I11" s="392" t="s">
        <v>6944</v>
      </c>
      <c r="J11" s="393" t="s">
        <v>6945</v>
      </c>
      <c r="K11" s="413"/>
      <c r="L11" s="393" t="s">
        <v>6946</v>
      </c>
      <c r="M11" s="393" t="s">
        <v>6947</v>
      </c>
      <c r="N11" s="394" t="s">
        <v>1485</v>
      </c>
      <c r="O11" s="394" t="s">
        <v>6948</v>
      </c>
      <c r="P11" s="413"/>
      <c r="Q11" s="394" t="s">
        <v>6949</v>
      </c>
      <c r="R11" s="394" t="s">
        <v>6950</v>
      </c>
      <c r="S11" s="395"/>
      <c r="T11" s="396"/>
      <c r="U11" s="396"/>
      <c r="V11" s="396"/>
      <c r="W11" s="414"/>
      <c r="X11" s="414"/>
      <c r="Y11" s="414"/>
      <c r="Z11" s="414"/>
      <c r="AA11" s="414"/>
      <c r="AB11" s="399"/>
    </row>
    <row r="12">
      <c r="A12" s="391" t="s">
        <v>1485</v>
      </c>
      <c r="B12" s="391" t="s">
        <v>6951</v>
      </c>
      <c r="C12" s="391" t="s">
        <v>6952</v>
      </c>
      <c r="D12" s="391" t="s">
        <v>6953</v>
      </c>
      <c r="E12" s="400" t="s">
        <v>6954</v>
      </c>
      <c r="F12" s="392" t="s">
        <v>6955</v>
      </c>
      <c r="G12" s="392" t="s">
        <v>6956</v>
      </c>
      <c r="H12" s="392" t="str">
        <f>IFERROR(__xludf.DUMMYFUNCTION("GOOGLETRANSLATE(D12,""zh-tw"",""ja"")"),"▲ ハンターズロッジ R69
▼")</f>
        <v>▲ ハンターズロッジ R69
▼</v>
      </c>
      <c r="I12" s="392" t="str">
        <f>IFERROR(__xludf.DUMMYFUNCTION("GOOGLETRANSLATE(E12,""zh-tw"",""ja"")"),"▲冒険者の道：記念碑
R9.R14")</f>
        <v>▲冒険者の道：記念碑
R9.R14</v>
      </c>
      <c r="J12" s="393" t="s">
        <v>6957</v>
      </c>
      <c r="K12" s="393" t="s">
        <v>6958</v>
      </c>
      <c r="L12" s="393" t="s">
        <v>6959</v>
      </c>
      <c r="M12" s="393" t="s">
        <v>6960</v>
      </c>
      <c r="N12" s="394" t="s">
        <v>1485</v>
      </c>
      <c r="O12" s="394" t="s">
        <v>6961</v>
      </c>
      <c r="P12" s="394" t="str">
        <f>IFERROR(__xludf.DUMMYFUNCTION("GOOGLETRANSLATE(C12,""zh-tw"",""zh"")"),"提前回家
R1")</f>
        <v>提前回家
R1</v>
      </c>
      <c r="Q12" s="394" t="s">
        <v>6962</v>
      </c>
      <c r="R12" s="394" t="s">
        <v>6963</v>
      </c>
      <c r="S12" s="395"/>
      <c r="T12" s="396"/>
      <c r="U12" s="396"/>
      <c r="V12" s="396"/>
      <c r="W12" s="398"/>
      <c r="X12" s="398"/>
      <c r="Y12" s="398"/>
      <c r="Z12" s="398"/>
      <c r="AA12" s="398"/>
      <c r="AB12" s="399"/>
    </row>
    <row r="13">
      <c r="A13" s="391" t="s">
        <v>1485</v>
      </c>
      <c r="B13" s="391" t="s">
        <v>6964</v>
      </c>
      <c r="C13" s="391" t="s">
        <v>6965</v>
      </c>
      <c r="D13" s="391" t="s">
        <v>6966</v>
      </c>
      <c r="E13" s="391" t="s">
        <v>1485</v>
      </c>
      <c r="F13" s="392"/>
      <c r="G13" s="392"/>
      <c r="H13" s="392"/>
      <c r="I13" s="392"/>
      <c r="J13" s="393" t="s">
        <v>6967</v>
      </c>
      <c r="K13" s="393" t="s">
        <v>6968</v>
      </c>
      <c r="L13" s="393" t="s">
        <v>6969</v>
      </c>
      <c r="M13" s="393"/>
      <c r="N13" s="394" t="s">
        <v>1485</v>
      </c>
      <c r="O13" s="394" t="s">
        <v>6970</v>
      </c>
      <c r="P13" s="394" t="s">
        <v>4726</v>
      </c>
      <c r="Q13" s="394" t="s">
        <v>6971</v>
      </c>
      <c r="R13" s="394" t="s">
        <v>1485</v>
      </c>
      <c r="S13" s="395"/>
      <c r="T13" s="396"/>
      <c r="U13" s="396"/>
      <c r="V13" s="415"/>
      <c r="W13" s="398"/>
      <c r="X13" s="398"/>
      <c r="Y13" s="398"/>
      <c r="Z13" s="398"/>
      <c r="AA13" s="398"/>
      <c r="AB13" s="399"/>
    </row>
    <row r="14">
      <c r="A14" s="391" t="s">
        <v>1485</v>
      </c>
      <c r="B14" s="391" t="s">
        <v>6972</v>
      </c>
      <c r="C14" s="391" t="s">
        <v>5726</v>
      </c>
      <c r="D14" s="391" t="s">
        <v>1485</v>
      </c>
      <c r="E14" s="391" t="s">
        <v>1485</v>
      </c>
      <c r="F14" s="392"/>
      <c r="G14" s="392"/>
      <c r="H14" s="392"/>
      <c r="I14" s="392"/>
      <c r="J14" s="393" t="s">
        <v>6973</v>
      </c>
      <c r="K14" s="393" t="s">
        <v>5732</v>
      </c>
      <c r="L14" s="393"/>
      <c r="M14" s="393"/>
      <c r="N14" s="394" t="s">
        <v>1485</v>
      </c>
      <c r="O14" s="394" t="s">
        <v>6974</v>
      </c>
      <c r="P14" s="394" t="s">
        <v>6975</v>
      </c>
      <c r="Q14" s="394" t="s">
        <v>1485</v>
      </c>
      <c r="R14" s="394" t="s">
        <v>1485</v>
      </c>
      <c r="S14" s="416"/>
      <c r="T14" s="396"/>
      <c r="U14" s="415"/>
      <c r="V14" s="415"/>
      <c r="W14" s="398"/>
      <c r="X14" s="398"/>
      <c r="Y14" s="398"/>
      <c r="Z14" s="398"/>
      <c r="AA14" s="398"/>
      <c r="AB14" s="399"/>
    </row>
    <row r="15">
      <c r="A15" s="391" t="s">
        <v>6976</v>
      </c>
      <c r="B15" s="391" t="s">
        <v>6977</v>
      </c>
      <c r="C15" s="391" t="s">
        <v>6978</v>
      </c>
      <c r="D15" s="391" t="s">
        <v>1485</v>
      </c>
      <c r="E15" s="391" t="s">
        <v>1485</v>
      </c>
      <c r="F15" s="392"/>
      <c r="G15" s="392"/>
      <c r="H15" s="392"/>
      <c r="I15" s="392"/>
      <c r="J15" s="393" t="s">
        <v>6979</v>
      </c>
      <c r="K15" s="393" t="s">
        <v>6980</v>
      </c>
      <c r="L15" s="393"/>
      <c r="M15" s="393"/>
      <c r="N15" s="394" t="s">
        <v>6981</v>
      </c>
      <c r="O15" s="394" t="s">
        <v>6982</v>
      </c>
      <c r="P15" s="394" t="s">
        <v>6981</v>
      </c>
      <c r="Q15" s="394" t="s">
        <v>1485</v>
      </c>
      <c r="R15" s="394" t="s">
        <v>1485</v>
      </c>
      <c r="S15" s="395"/>
      <c r="T15" s="396"/>
      <c r="U15" s="415"/>
      <c r="V15" s="415"/>
      <c r="W15" s="398"/>
      <c r="X15" s="398"/>
      <c r="Y15" s="398"/>
      <c r="Z15" s="398"/>
      <c r="AA15" s="398"/>
      <c r="AB15" s="399"/>
    </row>
    <row r="16">
      <c r="A16" s="417" t="s">
        <v>6888</v>
      </c>
      <c r="B16" s="386"/>
      <c r="C16" s="386"/>
      <c r="D16" s="386"/>
      <c r="E16" s="387"/>
      <c r="F16" s="417" t="str">
        <f>IFERROR(__xludf.DUMMYFUNCTION("GOOGLETRANSLATE(A16,""zh-tw"",""ja"")"),"遺跡エリア")</f>
        <v>遺跡エリア</v>
      </c>
      <c r="G16" s="386"/>
      <c r="H16" s="386"/>
      <c r="I16" s="387"/>
      <c r="J16" s="417" t="s">
        <v>6983</v>
      </c>
      <c r="K16" s="386"/>
      <c r="L16" s="386"/>
      <c r="M16" s="387"/>
      <c r="N16" s="417" t="s">
        <v>6896</v>
      </c>
      <c r="O16" s="386"/>
      <c r="P16" s="386"/>
      <c r="Q16" s="386"/>
      <c r="R16" s="387"/>
      <c r="S16" s="418"/>
      <c r="T16" s="379"/>
      <c r="U16" s="379"/>
      <c r="V16" s="380"/>
      <c r="W16" s="419"/>
      <c r="X16" s="419"/>
      <c r="Y16" s="419"/>
      <c r="Z16" s="419"/>
      <c r="AA16" s="419"/>
      <c r="AB16" s="419"/>
    </row>
    <row r="17">
      <c r="A17" s="391" t="s">
        <v>1485</v>
      </c>
      <c r="B17" s="391" t="s">
        <v>1485</v>
      </c>
      <c r="C17" s="391" t="s">
        <v>6984</v>
      </c>
      <c r="D17" s="391" t="s">
        <v>1485</v>
      </c>
      <c r="E17" s="391" t="s">
        <v>1485</v>
      </c>
      <c r="F17" s="392"/>
      <c r="G17" s="420" t="s">
        <v>6985</v>
      </c>
      <c r="H17" s="421"/>
      <c r="I17" s="421"/>
      <c r="J17" s="422"/>
      <c r="K17" s="423" t="s">
        <v>6986</v>
      </c>
      <c r="L17" s="422"/>
      <c r="M17" s="422"/>
      <c r="N17" s="424" t="s">
        <v>1485</v>
      </c>
      <c r="O17" s="424" t="s">
        <v>1485</v>
      </c>
      <c r="P17" s="425" t="s">
        <v>6987</v>
      </c>
      <c r="Q17" s="424" t="s">
        <v>1485</v>
      </c>
      <c r="R17" s="424" t="s">
        <v>1485</v>
      </c>
      <c r="S17" s="426"/>
      <c r="T17" s="427"/>
      <c r="U17" s="415"/>
      <c r="V17" s="415"/>
      <c r="W17" s="428"/>
      <c r="X17" s="428"/>
      <c r="Y17" s="428"/>
      <c r="Z17" s="428"/>
      <c r="AA17" s="428"/>
      <c r="AB17" s="428"/>
    </row>
    <row r="18">
      <c r="A18" s="391" t="s">
        <v>1485</v>
      </c>
      <c r="B18" s="391" t="s">
        <v>6988</v>
      </c>
      <c r="C18" s="391" t="s">
        <v>6989</v>
      </c>
      <c r="D18" s="391" t="s">
        <v>1485</v>
      </c>
      <c r="E18" s="391" t="s">
        <v>1485</v>
      </c>
      <c r="F18" s="392" t="s">
        <v>6990</v>
      </c>
      <c r="G18" s="392" t="s">
        <v>6991</v>
      </c>
      <c r="H18" s="421"/>
      <c r="I18" s="421"/>
      <c r="J18" s="422" t="s">
        <v>6992</v>
      </c>
      <c r="K18" s="429" t="s">
        <v>6993</v>
      </c>
      <c r="L18" s="422"/>
      <c r="M18" s="422"/>
      <c r="N18" s="424" t="s">
        <v>1485</v>
      </c>
      <c r="O18" s="424" t="s">
        <v>6994</v>
      </c>
      <c r="P18" s="424" t="s">
        <v>6995</v>
      </c>
      <c r="Q18" s="424" t="s">
        <v>1485</v>
      </c>
      <c r="R18" s="424" t="s">
        <v>1485</v>
      </c>
      <c r="S18" s="405"/>
      <c r="T18" s="396"/>
      <c r="U18" s="415"/>
      <c r="V18" s="415"/>
      <c r="W18" s="428"/>
      <c r="X18" s="428"/>
      <c r="Y18" s="428"/>
      <c r="Z18" s="428"/>
      <c r="AA18" s="428"/>
      <c r="AB18" s="428"/>
    </row>
    <row r="19">
      <c r="A19" s="391" t="s">
        <v>1485</v>
      </c>
      <c r="B19" s="391" t="s">
        <v>1485</v>
      </c>
      <c r="C19" s="391" t="s">
        <v>6996</v>
      </c>
      <c r="D19" s="391" t="s">
        <v>6997</v>
      </c>
      <c r="E19" s="391" t="s">
        <v>1485</v>
      </c>
      <c r="F19" s="392"/>
      <c r="G19" s="392" t="s">
        <v>6998</v>
      </c>
      <c r="H19" s="421"/>
      <c r="I19" s="421"/>
      <c r="J19" s="422"/>
      <c r="K19" s="430" t="s">
        <v>6999</v>
      </c>
      <c r="L19" s="422"/>
      <c r="M19" s="422"/>
      <c r="N19" s="424" t="s">
        <v>1485</v>
      </c>
      <c r="O19" s="424" t="s">
        <v>1485</v>
      </c>
      <c r="P19" s="431" t="s">
        <v>7000</v>
      </c>
      <c r="Q19" s="424" t="s">
        <v>5338</v>
      </c>
      <c r="R19" s="424" t="s">
        <v>1485</v>
      </c>
      <c r="S19" s="426"/>
      <c r="T19" s="404"/>
      <c r="U19" s="415"/>
      <c r="V19" s="415"/>
      <c r="W19" s="428"/>
      <c r="X19" s="428"/>
      <c r="Y19" s="428"/>
      <c r="Z19" s="428"/>
      <c r="AA19" s="428"/>
      <c r="AB19" s="428"/>
    </row>
    <row r="20">
      <c r="A20" s="391" t="s">
        <v>1485</v>
      </c>
      <c r="B20" s="391" t="s">
        <v>1485</v>
      </c>
      <c r="C20" s="391" t="s">
        <v>7001</v>
      </c>
      <c r="D20" s="391" t="s">
        <v>7002</v>
      </c>
      <c r="E20" s="391" t="s">
        <v>1485</v>
      </c>
      <c r="F20" s="392"/>
      <c r="G20" s="392" t="s">
        <v>7003</v>
      </c>
      <c r="H20" s="392" t="s">
        <v>7004</v>
      </c>
      <c r="I20" s="421"/>
      <c r="J20" s="422"/>
      <c r="K20" s="429" t="s">
        <v>7005</v>
      </c>
      <c r="L20" s="393" t="s">
        <v>7006</v>
      </c>
      <c r="M20" s="422"/>
      <c r="N20" s="424" t="s">
        <v>1485</v>
      </c>
      <c r="O20" s="424" t="s">
        <v>1485</v>
      </c>
      <c r="P20" s="424" t="s">
        <v>7007</v>
      </c>
      <c r="Q20" s="424" t="s">
        <v>7008</v>
      </c>
      <c r="R20" s="424" t="s">
        <v>1485</v>
      </c>
      <c r="S20" s="426"/>
      <c r="T20" s="396"/>
      <c r="U20" s="397"/>
      <c r="V20" s="415"/>
      <c r="W20" s="428"/>
      <c r="X20" s="428"/>
      <c r="Y20" s="428"/>
      <c r="Z20" s="428"/>
      <c r="AA20" s="428"/>
      <c r="AB20" s="428"/>
    </row>
    <row r="21">
      <c r="A21" s="432" t="s">
        <v>1485</v>
      </c>
      <c r="B21" s="432" t="s">
        <v>1485</v>
      </c>
      <c r="C21" s="391" t="s">
        <v>7009</v>
      </c>
      <c r="D21" s="391" t="s">
        <v>1485</v>
      </c>
      <c r="E21" s="391" t="s">
        <v>1485</v>
      </c>
      <c r="F21" s="392"/>
      <c r="G21" s="392" t="s">
        <v>7010</v>
      </c>
      <c r="H21" s="421"/>
      <c r="I21" s="421"/>
      <c r="J21" s="422"/>
      <c r="K21" s="429" t="s">
        <v>7011</v>
      </c>
      <c r="L21" s="422"/>
      <c r="M21" s="422"/>
      <c r="N21" s="424" t="s">
        <v>1485</v>
      </c>
      <c r="O21" s="424" t="s">
        <v>1485</v>
      </c>
      <c r="P21" s="424" t="s">
        <v>7012</v>
      </c>
      <c r="Q21" s="424" t="s">
        <v>1485</v>
      </c>
      <c r="R21" s="424" t="s">
        <v>1485</v>
      </c>
      <c r="S21" s="426"/>
      <c r="T21" s="397"/>
      <c r="U21" s="415"/>
      <c r="V21" s="415"/>
      <c r="W21" s="428"/>
      <c r="X21" s="428"/>
      <c r="Y21" s="428"/>
      <c r="Z21" s="428"/>
      <c r="AA21" s="428"/>
      <c r="AB21" s="428"/>
    </row>
    <row r="22">
      <c r="A22" s="433"/>
      <c r="B22" s="433"/>
      <c r="C22" s="433"/>
      <c r="D22" s="433"/>
      <c r="E22" s="433"/>
      <c r="F22" s="433"/>
      <c r="G22" s="433"/>
      <c r="H22" s="9"/>
      <c r="I22" s="9"/>
      <c r="J22" s="9"/>
      <c r="K22" s="433"/>
      <c r="L22" s="433"/>
      <c r="M22" s="433"/>
      <c r="N22" s="9"/>
      <c r="O22" s="9"/>
      <c r="P22" s="433"/>
      <c r="Q22" s="433"/>
      <c r="R22" s="433"/>
      <c r="S22" s="434"/>
      <c r="T22" s="434"/>
      <c r="U22" s="434"/>
      <c r="V22" s="434"/>
      <c r="W22" s="433"/>
      <c r="X22" s="433"/>
      <c r="Y22" s="433"/>
      <c r="Z22" s="433"/>
      <c r="AA22" s="433"/>
      <c r="AB22" s="433"/>
    </row>
    <row r="23">
      <c r="A23" s="433"/>
      <c r="B23" s="433"/>
      <c r="C23" s="433"/>
      <c r="D23" s="435"/>
      <c r="E23" s="435"/>
      <c r="F23" s="433"/>
      <c r="G23" s="433"/>
      <c r="H23" s="9"/>
      <c r="I23" s="9"/>
      <c r="J23" s="9"/>
      <c r="K23" s="433"/>
      <c r="L23" s="433"/>
      <c r="M23" s="433"/>
      <c r="N23" s="9"/>
      <c r="O23" s="9"/>
      <c r="P23" s="433"/>
      <c r="Q23" s="433"/>
      <c r="R23" s="433"/>
      <c r="S23" s="434"/>
      <c r="T23" s="434"/>
      <c r="U23" s="434"/>
      <c r="V23" s="434"/>
      <c r="W23" s="433"/>
      <c r="X23" s="433"/>
      <c r="Y23" s="433"/>
      <c r="Z23" s="433"/>
      <c r="AA23" s="433"/>
      <c r="AB23" s="433"/>
    </row>
    <row r="24">
      <c r="A24" s="433"/>
      <c r="B24" s="433"/>
      <c r="C24" s="433"/>
      <c r="D24" s="433"/>
      <c r="E24" s="433"/>
      <c r="F24" s="433"/>
      <c r="G24" s="433"/>
      <c r="H24" s="9"/>
      <c r="I24" s="9"/>
      <c r="J24" s="9"/>
      <c r="K24" s="433"/>
      <c r="L24" s="433"/>
      <c r="M24" s="433"/>
      <c r="N24" s="9"/>
      <c r="O24" s="9"/>
      <c r="P24" s="433"/>
      <c r="Q24" s="433"/>
      <c r="R24" s="433"/>
      <c r="S24" s="434"/>
      <c r="T24" s="434"/>
      <c r="U24" s="434"/>
      <c r="V24" s="434"/>
      <c r="W24" s="433"/>
      <c r="X24" s="433"/>
      <c r="Y24" s="433"/>
      <c r="Z24" s="433"/>
      <c r="AA24" s="433"/>
      <c r="AB24" s="433"/>
    </row>
    <row r="25">
      <c r="A25" s="433"/>
      <c r="B25" s="433"/>
      <c r="C25" s="433"/>
      <c r="D25" s="9"/>
      <c r="E25" s="433"/>
      <c r="F25" s="433"/>
      <c r="G25" s="433"/>
      <c r="H25" s="9"/>
      <c r="I25" s="9"/>
      <c r="J25" s="9"/>
      <c r="K25" s="433"/>
      <c r="L25" s="433"/>
      <c r="M25" s="433"/>
      <c r="N25" s="9"/>
      <c r="O25" s="9"/>
      <c r="P25" s="433"/>
      <c r="Q25" s="433"/>
      <c r="R25" s="433"/>
      <c r="S25" s="434"/>
      <c r="T25" s="434"/>
      <c r="U25" s="434"/>
      <c r="V25" s="434"/>
      <c r="W25" s="433"/>
      <c r="X25" s="433"/>
      <c r="Y25" s="433"/>
      <c r="Z25" s="433"/>
      <c r="AA25" s="433"/>
      <c r="AB25" s="433"/>
    </row>
    <row r="26">
      <c r="A26" s="433"/>
      <c r="B26" s="433"/>
      <c r="C26" s="9"/>
      <c r="D26" s="9"/>
      <c r="E26" s="433"/>
      <c r="F26" s="433"/>
      <c r="G26" s="433"/>
      <c r="H26" s="9"/>
      <c r="I26" s="9"/>
      <c r="J26" s="9"/>
      <c r="K26" s="433"/>
      <c r="L26" s="433"/>
      <c r="M26" s="433"/>
      <c r="N26" s="9"/>
      <c r="O26" s="9"/>
      <c r="P26" s="433"/>
      <c r="Q26" s="433"/>
      <c r="R26" s="433"/>
      <c r="S26" s="434"/>
      <c r="T26" s="434"/>
      <c r="U26" s="434"/>
      <c r="V26" s="434"/>
      <c r="W26" s="433"/>
      <c r="X26" s="433"/>
      <c r="Y26" s="433"/>
      <c r="Z26" s="433"/>
      <c r="AA26" s="433"/>
      <c r="AB26" s="433"/>
    </row>
    <row r="27">
      <c r="A27" s="433"/>
      <c r="B27" s="433"/>
      <c r="C27" s="9"/>
      <c r="D27" s="9"/>
      <c r="E27" s="433"/>
      <c r="F27" s="433"/>
      <c r="G27" s="433"/>
      <c r="H27" s="9"/>
      <c r="I27" s="9"/>
      <c r="J27" s="9"/>
      <c r="K27" s="433"/>
      <c r="L27" s="433"/>
      <c r="M27" s="433"/>
      <c r="N27" s="9"/>
      <c r="O27" s="9"/>
      <c r="P27" s="433"/>
      <c r="Q27" s="433"/>
      <c r="R27" s="433"/>
      <c r="S27" s="434"/>
      <c r="T27" s="434"/>
      <c r="U27" s="434"/>
      <c r="V27" s="434"/>
      <c r="W27" s="433"/>
      <c r="X27" s="433"/>
      <c r="Y27" s="433"/>
      <c r="Z27" s="433"/>
      <c r="AA27" s="433"/>
      <c r="AB27" s="433"/>
    </row>
    <row r="28">
      <c r="A28" s="433"/>
      <c r="B28" s="433"/>
      <c r="C28" s="9"/>
      <c r="D28" s="9"/>
      <c r="E28" s="433"/>
      <c r="F28" s="433"/>
      <c r="G28" s="433"/>
      <c r="H28" s="9"/>
      <c r="I28" s="9"/>
      <c r="J28" s="9"/>
      <c r="K28" s="433"/>
      <c r="L28" s="433"/>
      <c r="M28" s="433"/>
      <c r="N28" s="9"/>
      <c r="O28" s="9"/>
      <c r="P28" s="433"/>
      <c r="Q28" s="433"/>
      <c r="R28" s="433"/>
      <c r="S28" s="434"/>
      <c r="T28" s="434"/>
      <c r="U28" s="434"/>
      <c r="V28" s="434"/>
      <c r="W28" s="433"/>
      <c r="X28" s="433"/>
      <c r="Y28" s="433"/>
      <c r="Z28" s="433"/>
      <c r="AA28" s="433"/>
      <c r="AB28" s="433"/>
    </row>
    <row r="29">
      <c r="A29" s="433"/>
      <c r="B29" s="433"/>
      <c r="C29" s="9"/>
      <c r="D29" s="9"/>
      <c r="E29" s="433"/>
      <c r="F29" s="433"/>
      <c r="G29" s="433"/>
      <c r="H29" s="9"/>
      <c r="I29" s="9"/>
      <c r="J29" s="9"/>
      <c r="K29" s="433"/>
      <c r="L29" s="433"/>
      <c r="M29" s="433"/>
      <c r="N29" s="9"/>
      <c r="O29" s="9"/>
      <c r="P29" s="433"/>
      <c r="Q29" s="433"/>
      <c r="R29" s="433"/>
      <c r="S29" s="434"/>
      <c r="T29" s="434"/>
      <c r="U29" s="434"/>
      <c r="V29" s="434"/>
      <c r="W29" s="433"/>
      <c r="X29" s="433"/>
      <c r="Y29" s="433"/>
      <c r="Z29" s="433"/>
      <c r="AA29" s="433"/>
      <c r="AB29" s="433"/>
    </row>
    <row r="30">
      <c r="A30" s="433"/>
      <c r="B30" s="433"/>
      <c r="C30" s="9"/>
      <c r="D30" s="9"/>
      <c r="E30" s="433"/>
      <c r="F30" s="433"/>
      <c r="G30" s="433"/>
      <c r="H30" s="9"/>
      <c r="I30" s="9"/>
      <c r="J30" s="9"/>
      <c r="K30" s="433"/>
      <c r="L30" s="433"/>
      <c r="M30" s="433"/>
      <c r="N30" s="9"/>
      <c r="O30" s="9"/>
      <c r="P30" s="433"/>
      <c r="Q30" s="433"/>
      <c r="R30" s="433"/>
      <c r="S30" s="434"/>
      <c r="T30" s="434"/>
      <c r="U30" s="434"/>
      <c r="V30" s="434"/>
      <c r="W30" s="433"/>
      <c r="X30" s="433"/>
      <c r="Y30" s="433"/>
      <c r="Z30" s="433"/>
      <c r="AA30" s="433"/>
      <c r="AB30" s="433"/>
    </row>
    <row r="31">
      <c r="A31" s="9"/>
      <c r="B31" s="9"/>
      <c r="C31" s="9"/>
      <c r="D31" s="9"/>
      <c r="E31" s="9"/>
      <c r="F31" s="435"/>
      <c r="G31" s="9"/>
      <c r="H31" s="9"/>
      <c r="I31" s="9"/>
      <c r="J31" s="9"/>
      <c r="K31" s="9"/>
      <c r="L31" s="9"/>
      <c r="M31" s="9"/>
      <c r="N31" s="9"/>
      <c r="O31" s="9"/>
      <c r="P31" s="9"/>
      <c r="Q31" s="9"/>
      <c r="R31" s="9"/>
      <c r="S31" s="436"/>
      <c r="T31" s="436"/>
      <c r="U31" s="436"/>
      <c r="V31" s="436"/>
      <c r="W31" s="9"/>
      <c r="X31" s="9"/>
      <c r="Y31" s="9"/>
      <c r="Z31" s="9"/>
      <c r="AA31" s="9"/>
      <c r="AB31" s="9"/>
    </row>
    <row r="32">
      <c r="A32" s="9"/>
      <c r="B32" s="9"/>
      <c r="C32" s="9"/>
      <c r="D32" s="9"/>
      <c r="E32" s="9"/>
      <c r="F32" s="435"/>
      <c r="G32" s="9"/>
      <c r="H32" s="9"/>
      <c r="I32" s="9"/>
      <c r="J32" s="9"/>
      <c r="K32" s="9"/>
      <c r="L32" s="9"/>
      <c r="M32" s="9"/>
      <c r="N32" s="9"/>
      <c r="O32" s="9"/>
      <c r="P32" s="9"/>
      <c r="Q32" s="9"/>
      <c r="R32" s="9"/>
      <c r="S32" s="436"/>
      <c r="T32" s="436"/>
      <c r="U32" s="436"/>
      <c r="V32" s="436"/>
      <c r="W32" s="9"/>
      <c r="X32" s="9"/>
      <c r="Y32" s="9"/>
      <c r="Z32" s="9"/>
      <c r="AA32" s="9"/>
      <c r="AB32" s="9"/>
    </row>
    <row r="33">
      <c r="A33" s="9"/>
      <c r="B33" s="9"/>
      <c r="C33" s="9"/>
      <c r="D33" s="9"/>
      <c r="E33" s="9"/>
      <c r="F33" s="435"/>
      <c r="G33" s="9"/>
      <c r="H33" s="9"/>
      <c r="I33" s="9"/>
      <c r="J33" s="9"/>
      <c r="K33" s="9"/>
      <c r="L33" s="9"/>
      <c r="M33" s="9"/>
      <c r="N33" s="9"/>
      <c r="O33" s="9"/>
      <c r="P33" s="9"/>
      <c r="Q33" s="9"/>
      <c r="R33" s="9"/>
      <c r="S33" s="436"/>
      <c r="T33" s="436"/>
      <c r="U33" s="436"/>
      <c r="V33" s="436"/>
      <c r="W33" s="9"/>
      <c r="X33" s="9"/>
      <c r="Y33" s="9"/>
      <c r="Z33" s="9"/>
      <c r="AA33" s="9"/>
      <c r="AB33" s="9"/>
    </row>
    <row r="34">
      <c r="A34" s="9"/>
      <c r="B34" s="9"/>
      <c r="C34" s="9"/>
      <c r="D34" s="9"/>
      <c r="E34" s="9"/>
      <c r="F34" s="435"/>
      <c r="G34" s="9"/>
      <c r="H34" s="9"/>
      <c r="I34" s="9"/>
      <c r="J34" s="9"/>
      <c r="K34" s="9"/>
      <c r="L34" s="9"/>
      <c r="M34" s="9"/>
      <c r="N34" s="9"/>
      <c r="O34" s="9"/>
      <c r="P34" s="9"/>
      <c r="Q34" s="9"/>
      <c r="R34" s="9"/>
      <c r="S34" s="436"/>
      <c r="T34" s="436"/>
      <c r="U34" s="436"/>
      <c r="V34" s="436"/>
      <c r="W34" s="9"/>
      <c r="X34" s="9"/>
      <c r="Y34" s="9"/>
      <c r="Z34" s="9"/>
      <c r="AA34" s="9"/>
      <c r="AB34" s="9"/>
    </row>
    <row r="35">
      <c r="A35" s="9"/>
      <c r="B35" s="9"/>
      <c r="C35" s="9"/>
      <c r="D35" s="9"/>
      <c r="E35" s="9"/>
      <c r="F35" s="435"/>
      <c r="G35" s="9"/>
      <c r="H35" s="9"/>
      <c r="I35" s="9"/>
      <c r="J35" s="9"/>
      <c r="K35" s="9"/>
      <c r="L35" s="9"/>
      <c r="M35" s="9"/>
      <c r="N35" s="9"/>
      <c r="O35" s="9"/>
      <c r="P35" s="9"/>
      <c r="Q35" s="9"/>
      <c r="R35" s="9"/>
      <c r="S35" s="436"/>
      <c r="T35" s="436"/>
      <c r="U35" s="436"/>
      <c r="V35" s="436"/>
      <c r="W35" s="9"/>
      <c r="X35" s="9"/>
      <c r="Y35" s="9"/>
      <c r="Z35" s="9"/>
      <c r="AA35" s="9"/>
      <c r="AB35" s="9"/>
    </row>
    <row r="36">
      <c r="A36" s="9"/>
      <c r="B36" s="9"/>
      <c r="C36" s="9"/>
      <c r="D36" s="9"/>
      <c r="E36" s="9"/>
      <c r="F36" s="435"/>
      <c r="G36" s="9"/>
      <c r="H36" s="9"/>
      <c r="I36" s="9"/>
      <c r="J36" s="9"/>
      <c r="K36" s="9"/>
      <c r="L36" s="9"/>
      <c r="M36" s="9"/>
      <c r="N36" s="9"/>
      <c r="O36" s="9"/>
      <c r="P36" s="9"/>
      <c r="Q36" s="9"/>
      <c r="R36" s="9"/>
      <c r="S36" s="436"/>
      <c r="T36" s="436"/>
      <c r="U36" s="436"/>
      <c r="V36" s="436"/>
      <c r="W36" s="9"/>
      <c r="X36" s="9"/>
      <c r="Y36" s="9"/>
      <c r="Z36" s="9"/>
      <c r="AA36" s="9"/>
      <c r="AB36" s="9"/>
    </row>
    <row r="37">
      <c r="A37" s="9"/>
      <c r="B37" s="9"/>
      <c r="C37" s="9"/>
      <c r="D37" s="9"/>
      <c r="E37" s="9"/>
      <c r="F37" s="435"/>
      <c r="G37" s="9"/>
      <c r="H37" s="9"/>
      <c r="I37" s="9"/>
      <c r="J37" s="9"/>
      <c r="K37" s="9"/>
      <c r="L37" s="9"/>
      <c r="M37" s="9"/>
      <c r="N37" s="9"/>
      <c r="O37" s="9"/>
      <c r="P37" s="9"/>
      <c r="Q37" s="9"/>
      <c r="R37" s="9"/>
      <c r="S37" s="436"/>
      <c r="T37" s="436"/>
      <c r="U37" s="436"/>
      <c r="V37" s="436"/>
      <c r="W37" s="9"/>
      <c r="X37" s="9"/>
      <c r="Y37" s="9"/>
      <c r="Z37" s="9"/>
      <c r="AA37" s="9"/>
      <c r="AB37" s="9"/>
    </row>
    <row r="38">
      <c r="A38" s="9"/>
      <c r="B38" s="9"/>
      <c r="C38" s="9"/>
      <c r="D38" s="9"/>
      <c r="E38" s="9"/>
      <c r="F38" s="435"/>
      <c r="G38" s="9"/>
      <c r="H38" s="9"/>
      <c r="I38" s="9"/>
      <c r="J38" s="9"/>
      <c r="K38" s="9"/>
      <c r="L38" s="9"/>
      <c r="M38" s="9"/>
      <c r="N38" s="9"/>
      <c r="O38" s="9"/>
      <c r="P38" s="9"/>
      <c r="Q38" s="9"/>
      <c r="R38" s="9"/>
      <c r="S38" s="436"/>
      <c r="T38" s="436"/>
      <c r="U38" s="436"/>
      <c r="V38" s="436"/>
      <c r="W38" s="9"/>
      <c r="X38" s="9"/>
      <c r="Y38" s="9"/>
      <c r="Z38" s="9"/>
      <c r="AA38" s="9"/>
      <c r="AB38" s="9"/>
    </row>
    <row r="39">
      <c r="A39" s="9"/>
      <c r="B39" s="9"/>
      <c r="C39" s="9"/>
      <c r="D39" s="9"/>
      <c r="E39" s="9"/>
      <c r="F39" s="435"/>
      <c r="G39" s="9"/>
      <c r="H39" s="9"/>
      <c r="I39" s="9"/>
      <c r="J39" s="9"/>
      <c r="K39" s="9"/>
      <c r="L39" s="9"/>
      <c r="M39" s="9"/>
      <c r="N39" s="9"/>
      <c r="O39" s="9"/>
      <c r="P39" s="9"/>
      <c r="Q39" s="9"/>
      <c r="R39" s="9"/>
      <c r="S39" s="436"/>
      <c r="T39" s="436"/>
      <c r="U39" s="436"/>
      <c r="V39" s="436"/>
      <c r="W39" s="9"/>
      <c r="X39" s="9"/>
      <c r="Y39" s="9"/>
      <c r="Z39" s="9"/>
      <c r="AA39" s="9"/>
      <c r="AB39" s="9"/>
    </row>
    <row r="40">
      <c r="A40" s="9"/>
      <c r="B40" s="9"/>
      <c r="C40" s="9"/>
      <c r="D40" s="9"/>
      <c r="E40" s="9"/>
      <c r="F40" s="435"/>
      <c r="G40" s="9"/>
      <c r="H40" s="9"/>
      <c r="I40" s="9"/>
      <c r="J40" s="9"/>
      <c r="K40" s="9"/>
      <c r="L40" s="9"/>
      <c r="M40" s="9"/>
      <c r="N40" s="9"/>
      <c r="O40" s="9"/>
      <c r="P40" s="9"/>
      <c r="Q40" s="9"/>
      <c r="R40" s="9"/>
      <c r="S40" s="436"/>
      <c r="T40" s="436"/>
      <c r="U40" s="436"/>
      <c r="V40" s="436"/>
      <c r="W40" s="9"/>
      <c r="X40" s="9"/>
      <c r="Y40" s="9"/>
      <c r="Z40" s="9"/>
      <c r="AA40" s="9"/>
      <c r="AB40" s="9"/>
    </row>
    <row r="41">
      <c r="A41" s="9"/>
      <c r="B41" s="9"/>
      <c r="C41" s="9"/>
      <c r="D41" s="9"/>
      <c r="E41" s="9"/>
      <c r="F41" s="435"/>
      <c r="G41" s="9"/>
      <c r="H41" s="9"/>
      <c r="I41" s="9"/>
      <c r="J41" s="9"/>
      <c r="K41" s="9"/>
      <c r="L41" s="9"/>
      <c r="M41" s="9"/>
      <c r="N41" s="9"/>
      <c r="O41" s="9"/>
      <c r="P41" s="9"/>
      <c r="Q41" s="9"/>
      <c r="R41" s="9"/>
      <c r="S41" s="436"/>
      <c r="T41" s="436"/>
      <c r="U41" s="436"/>
      <c r="V41" s="436"/>
      <c r="W41" s="9"/>
      <c r="X41" s="9"/>
      <c r="Y41" s="9"/>
      <c r="Z41" s="9"/>
      <c r="AA41" s="9"/>
      <c r="AB41" s="9"/>
    </row>
    <row r="42">
      <c r="A42" s="9"/>
      <c r="B42" s="9"/>
      <c r="C42" s="9"/>
      <c r="D42" s="9"/>
      <c r="E42" s="9"/>
      <c r="F42" s="435"/>
      <c r="G42" s="9"/>
      <c r="H42" s="9"/>
      <c r="I42" s="9"/>
      <c r="J42" s="9"/>
      <c r="K42" s="9"/>
      <c r="L42" s="9"/>
      <c r="M42" s="9"/>
      <c r="N42" s="9"/>
      <c r="O42" s="9"/>
      <c r="P42" s="9"/>
      <c r="Q42" s="9"/>
      <c r="R42" s="9"/>
      <c r="S42" s="436"/>
      <c r="T42" s="436"/>
      <c r="U42" s="436"/>
      <c r="V42" s="436"/>
      <c r="W42" s="9"/>
      <c r="X42" s="9"/>
      <c r="Y42" s="9"/>
      <c r="Z42" s="9"/>
      <c r="AA42" s="9"/>
      <c r="AB42" s="9"/>
    </row>
    <row r="43">
      <c r="A43" s="9"/>
      <c r="B43" s="9"/>
      <c r="C43" s="9"/>
      <c r="D43" s="9"/>
      <c r="E43" s="9"/>
      <c r="F43" s="435"/>
      <c r="G43" s="9"/>
      <c r="H43" s="9"/>
      <c r="I43" s="9"/>
      <c r="J43" s="9"/>
      <c r="K43" s="9"/>
      <c r="L43" s="9"/>
      <c r="M43" s="9"/>
      <c r="N43" s="9"/>
      <c r="O43" s="9"/>
      <c r="P43" s="9"/>
      <c r="Q43" s="9"/>
      <c r="R43" s="9"/>
      <c r="S43" s="436"/>
      <c r="T43" s="436"/>
      <c r="U43" s="436"/>
      <c r="V43" s="436"/>
      <c r="W43" s="9"/>
      <c r="X43" s="9"/>
      <c r="Y43" s="9"/>
      <c r="Z43" s="9"/>
      <c r="AA43" s="9"/>
      <c r="AB43" s="9"/>
    </row>
    <row r="44">
      <c r="A44" s="9"/>
      <c r="B44" s="9"/>
      <c r="C44" s="9"/>
      <c r="D44" s="9"/>
      <c r="E44" s="9"/>
      <c r="F44" s="435"/>
      <c r="G44" s="9"/>
      <c r="H44" s="9"/>
      <c r="I44" s="9"/>
      <c r="J44" s="9"/>
      <c r="K44" s="9"/>
      <c r="L44" s="9"/>
      <c r="M44" s="9"/>
      <c r="N44" s="9"/>
      <c r="O44" s="9"/>
      <c r="P44" s="9"/>
      <c r="Q44" s="9"/>
      <c r="R44" s="9"/>
      <c r="S44" s="436"/>
      <c r="T44" s="436"/>
      <c r="U44" s="436"/>
      <c r="V44" s="436"/>
      <c r="W44" s="9"/>
      <c r="X44" s="9"/>
      <c r="Y44" s="9"/>
      <c r="Z44" s="9"/>
      <c r="AA44" s="9"/>
      <c r="AB44" s="9"/>
    </row>
    <row r="45">
      <c r="A45" s="9"/>
      <c r="B45" s="9"/>
      <c r="C45" s="9"/>
      <c r="D45" s="9"/>
      <c r="E45" s="9"/>
      <c r="F45" s="435"/>
      <c r="G45" s="9"/>
      <c r="H45" s="9"/>
      <c r="I45" s="9"/>
      <c r="J45" s="9"/>
      <c r="K45" s="9"/>
      <c r="L45" s="9"/>
      <c r="M45" s="9"/>
      <c r="N45" s="9"/>
      <c r="O45" s="9"/>
      <c r="P45" s="9"/>
      <c r="Q45" s="9"/>
      <c r="R45" s="9"/>
      <c r="S45" s="436"/>
      <c r="T45" s="436"/>
      <c r="U45" s="436"/>
      <c r="V45" s="436"/>
      <c r="W45" s="9"/>
      <c r="X45" s="9"/>
      <c r="Y45" s="9"/>
      <c r="Z45" s="9"/>
      <c r="AA45" s="9"/>
      <c r="AB45" s="9"/>
    </row>
    <row r="46">
      <c r="A46" s="9"/>
      <c r="B46" s="9"/>
      <c r="C46" s="9"/>
      <c r="D46" s="9"/>
      <c r="E46" s="9"/>
      <c r="F46" s="435"/>
      <c r="G46" s="9"/>
      <c r="H46" s="9"/>
      <c r="I46" s="9"/>
      <c r="J46" s="9"/>
      <c r="K46" s="9"/>
      <c r="L46" s="9"/>
      <c r="M46" s="9"/>
      <c r="N46" s="9"/>
      <c r="O46" s="9"/>
      <c r="P46" s="9"/>
      <c r="Q46" s="9"/>
      <c r="R46" s="9"/>
      <c r="S46" s="436"/>
      <c r="T46" s="436"/>
      <c r="U46" s="436"/>
      <c r="V46" s="436"/>
      <c r="W46" s="9"/>
      <c r="X46" s="9"/>
      <c r="Y46" s="9"/>
      <c r="Z46" s="9"/>
      <c r="AA46" s="9"/>
      <c r="AB46" s="9"/>
    </row>
    <row r="47">
      <c r="A47" s="9"/>
      <c r="B47" s="9"/>
      <c r="C47" s="9"/>
      <c r="D47" s="9"/>
      <c r="E47" s="9"/>
      <c r="F47" s="435"/>
      <c r="G47" s="9"/>
      <c r="H47" s="9"/>
      <c r="I47" s="9"/>
      <c r="J47" s="9"/>
      <c r="K47" s="9"/>
      <c r="L47" s="9"/>
      <c r="M47" s="9"/>
      <c r="N47" s="9"/>
      <c r="O47" s="9"/>
      <c r="P47" s="9"/>
      <c r="Q47" s="9"/>
      <c r="R47" s="9"/>
      <c r="S47" s="436"/>
      <c r="T47" s="436"/>
      <c r="U47" s="436"/>
      <c r="V47" s="436"/>
      <c r="W47" s="9"/>
      <c r="X47" s="9"/>
      <c r="Y47" s="9"/>
      <c r="Z47" s="9"/>
      <c r="AA47" s="9"/>
      <c r="AB47" s="9"/>
    </row>
    <row r="48">
      <c r="A48" s="9"/>
      <c r="B48" s="9"/>
      <c r="C48" s="9"/>
      <c r="D48" s="9"/>
      <c r="E48" s="9"/>
      <c r="F48" s="435"/>
      <c r="G48" s="9"/>
      <c r="H48" s="9"/>
      <c r="I48" s="9"/>
      <c r="J48" s="9"/>
      <c r="K48" s="9"/>
      <c r="L48" s="9"/>
      <c r="M48" s="9"/>
      <c r="N48" s="9"/>
      <c r="O48" s="9"/>
      <c r="P48" s="9"/>
      <c r="Q48" s="9"/>
      <c r="R48" s="9"/>
      <c r="S48" s="436"/>
      <c r="T48" s="436"/>
      <c r="U48" s="436"/>
      <c r="V48" s="436"/>
      <c r="W48" s="9"/>
      <c r="X48" s="9"/>
      <c r="Y48" s="9"/>
      <c r="Z48" s="9"/>
      <c r="AA48" s="9"/>
      <c r="AB48" s="9"/>
    </row>
    <row r="49">
      <c r="A49" s="9"/>
      <c r="B49" s="9"/>
      <c r="C49" s="9"/>
      <c r="D49" s="9"/>
      <c r="E49" s="9"/>
      <c r="F49" s="435"/>
      <c r="G49" s="9"/>
      <c r="H49" s="9"/>
      <c r="I49" s="9"/>
      <c r="J49" s="9"/>
      <c r="K49" s="9"/>
      <c r="L49" s="9"/>
      <c r="M49" s="9"/>
      <c r="N49" s="9"/>
      <c r="O49" s="9"/>
      <c r="P49" s="9"/>
      <c r="Q49" s="9"/>
      <c r="R49" s="9"/>
      <c r="S49" s="436"/>
      <c r="T49" s="436"/>
      <c r="U49" s="436"/>
      <c r="V49" s="436"/>
      <c r="W49" s="9"/>
      <c r="X49" s="9"/>
      <c r="Y49" s="9"/>
      <c r="Z49" s="9"/>
      <c r="AA49" s="9"/>
      <c r="AB49" s="9"/>
    </row>
    <row r="50">
      <c r="A50" s="9"/>
      <c r="B50" s="9"/>
      <c r="C50" s="9"/>
      <c r="D50" s="9"/>
      <c r="E50" s="9"/>
      <c r="F50" s="435"/>
      <c r="G50" s="9"/>
      <c r="H50" s="9"/>
      <c r="I50" s="9"/>
      <c r="J50" s="9"/>
      <c r="K50" s="9"/>
      <c r="L50" s="9"/>
      <c r="M50" s="9"/>
      <c r="N50" s="9"/>
      <c r="O50" s="9"/>
      <c r="P50" s="9"/>
      <c r="Q50" s="9"/>
      <c r="R50" s="9"/>
      <c r="S50" s="436"/>
      <c r="T50" s="436"/>
      <c r="U50" s="436"/>
      <c r="V50" s="436"/>
      <c r="W50" s="9"/>
      <c r="X50" s="9"/>
      <c r="Y50" s="9"/>
      <c r="Z50" s="9"/>
      <c r="AA50" s="9"/>
      <c r="AB50" s="9"/>
    </row>
    <row r="51">
      <c r="A51" s="9"/>
      <c r="B51" s="9"/>
      <c r="C51" s="9"/>
      <c r="D51" s="9"/>
      <c r="E51" s="9"/>
      <c r="F51" s="435"/>
      <c r="G51" s="9"/>
      <c r="H51" s="9"/>
      <c r="I51" s="9"/>
      <c r="J51" s="9"/>
      <c r="K51" s="9"/>
      <c r="L51" s="9"/>
      <c r="M51" s="9"/>
      <c r="N51" s="9"/>
      <c r="O51" s="9"/>
      <c r="P51" s="9"/>
      <c r="Q51" s="9"/>
      <c r="R51" s="9"/>
      <c r="S51" s="436"/>
      <c r="T51" s="436"/>
      <c r="U51" s="436"/>
      <c r="V51" s="436"/>
      <c r="W51" s="9"/>
      <c r="X51" s="9"/>
      <c r="Y51" s="9"/>
      <c r="Z51" s="9"/>
      <c r="AA51" s="9"/>
      <c r="AB51" s="9"/>
    </row>
    <row r="52">
      <c r="A52" s="9"/>
      <c r="B52" s="9"/>
      <c r="C52" s="9"/>
      <c r="D52" s="9"/>
      <c r="E52" s="9"/>
      <c r="F52" s="435"/>
      <c r="G52" s="9"/>
      <c r="H52" s="9"/>
      <c r="I52" s="9"/>
      <c r="J52" s="9"/>
      <c r="K52" s="9"/>
      <c r="L52" s="9"/>
      <c r="M52" s="9"/>
      <c r="N52" s="9"/>
      <c r="O52" s="9"/>
      <c r="P52" s="9"/>
      <c r="Q52" s="9"/>
      <c r="R52" s="9"/>
      <c r="S52" s="436"/>
      <c r="T52" s="436"/>
      <c r="U52" s="436"/>
      <c r="V52" s="436"/>
      <c r="W52" s="9"/>
      <c r="X52" s="9"/>
      <c r="Y52" s="9"/>
      <c r="Z52" s="9"/>
      <c r="AA52" s="9"/>
      <c r="AB52" s="9"/>
    </row>
    <row r="53">
      <c r="A53" s="9"/>
      <c r="B53" s="9"/>
      <c r="C53" s="9"/>
      <c r="D53" s="9"/>
      <c r="E53" s="9"/>
      <c r="F53" s="435"/>
      <c r="G53" s="9"/>
      <c r="H53" s="9"/>
      <c r="I53" s="9"/>
      <c r="J53" s="9"/>
      <c r="K53" s="9"/>
      <c r="L53" s="9"/>
      <c r="M53" s="9"/>
      <c r="N53" s="9"/>
      <c r="O53" s="9"/>
      <c r="P53" s="9"/>
      <c r="Q53" s="9"/>
      <c r="R53" s="9"/>
      <c r="S53" s="436"/>
      <c r="T53" s="436"/>
      <c r="U53" s="436"/>
      <c r="V53" s="436"/>
      <c r="W53" s="9"/>
      <c r="X53" s="9"/>
      <c r="Y53" s="9"/>
      <c r="Z53" s="9"/>
      <c r="AA53" s="9"/>
      <c r="AB53" s="9"/>
    </row>
    <row r="54">
      <c r="A54" s="9"/>
      <c r="B54" s="9"/>
      <c r="C54" s="9"/>
      <c r="D54" s="9"/>
      <c r="E54" s="9"/>
      <c r="F54" s="435"/>
      <c r="G54" s="9"/>
      <c r="H54" s="9"/>
      <c r="I54" s="9"/>
      <c r="J54" s="9"/>
      <c r="K54" s="9"/>
      <c r="L54" s="9"/>
      <c r="M54" s="9"/>
      <c r="N54" s="9"/>
      <c r="O54" s="9"/>
      <c r="P54" s="9"/>
      <c r="Q54" s="9"/>
      <c r="R54" s="9"/>
      <c r="S54" s="436"/>
      <c r="T54" s="436"/>
      <c r="U54" s="436"/>
      <c r="V54" s="436"/>
      <c r="W54" s="9"/>
      <c r="X54" s="9"/>
      <c r="Y54" s="9"/>
      <c r="Z54" s="9"/>
      <c r="AA54" s="9"/>
      <c r="AB54" s="9"/>
    </row>
    <row r="55">
      <c r="A55" s="9"/>
      <c r="B55" s="9"/>
      <c r="C55" s="9"/>
      <c r="D55" s="9"/>
      <c r="E55" s="9"/>
      <c r="F55" s="435"/>
      <c r="G55" s="9"/>
      <c r="H55" s="9"/>
      <c r="I55" s="9"/>
      <c r="J55" s="9"/>
      <c r="K55" s="9"/>
      <c r="L55" s="9"/>
      <c r="M55" s="9"/>
      <c r="N55" s="9"/>
      <c r="O55" s="9"/>
      <c r="P55" s="9"/>
      <c r="Q55" s="9"/>
      <c r="R55" s="9"/>
      <c r="S55" s="436"/>
      <c r="T55" s="436"/>
      <c r="U55" s="436"/>
      <c r="V55" s="436"/>
      <c r="W55" s="9"/>
      <c r="X55" s="9"/>
      <c r="Y55" s="9"/>
      <c r="Z55" s="9"/>
      <c r="AA55" s="9"/>
      <c r="AB55" s="9"/>
    </row>
    <row r="56">
      <c r="A56" s="9"/>
      <c r="B56" s="9"/>
      <c r="C56" s="9"/>
      <c r="D56" s="9"/>
      <c r="E56" s="9"/>
      <c r="F56" s="435"/>
      <c r="G56" s="9"/>
      <c r="H56" s="9"/>
      <c r="I56" s="9"/>
      <c r="J56" s="9"/>
      <c r="K56" s="9"/>
      <c r="L56" s="9"/>
      <c r="M56" s="9"/>
      <c r="N56" s="9"/>
      <c r="O56" s="9"/>
      <c r="P56" s="9"/>
      <c r="Q56" s="9"/>
      <c r="R56" s="9"/>
      <c r="S56" s="436"/>
      <c r="T56" s="436"/>
      <c r="U56" s="436"/>
      <c r="V56" s="436"/>
      <c r="W56" s="9"/>
      <c r="X56" s="9"/>
      <c r="Y56" s="9"/>
      <c r="Z56" s="9"/>
      <c r="AA56" s="9"/>
      <c r="AB56" s="9"/>
    </row>
    <row r="57">
      <c r="A57" s="9"/>
      <c r="B57" s="9"/>
      <c r="C57" s="9"/>
      <c r="D57" s="9"/>
      <c r="E57" s="9"/>
      <c r="F57" s="435"/>
      <c r="G57" s="9"/>
      <c r="H57" s="9"/>
      <c r="I57" s="9"/>
      <c r="J57" s="9"/>
      <c r="K57" s="9"/>
      <c r="L57" s="9"/>
      <c r="M57" s="9"/>
      <c r="N57" s="9"/>
      <c r="O57" s="9"/>
      <c r="P57" s="9"/>
      <c r="Q57" s="9"/>
      <c r="R57" s="9"/>
      <c r="S57" s="436"/>
      <c r="T57" s="436"/>
      <c r="U57" s="436"/>
      <c r="V57" s="436"/>
      <c r="W57" s="9"/>
      <c r="X57" s="9"/>
      <c r="Y57" s="9"/>
      <c r="Z57" s="9"/>
      <c r="AA57" s="9"/>
      <c r="AB57" s="9"/>
    </row>
    <row r="58">
      <c r="A58" s="9"/>
      <c r="B58" s="9"/>
      <c r="C58" s="9"/>
      <c r="D58" s="9"/>
      <c r="E58" s="9"/>
      <c r="F58" s="435"/>
      <c r="G58" s="9"/>
      <c r="H58" s="9"/>
      <c r="I58" s="9"/>
      <c r="J58" s="9"/>
      <c r="K58" s="9"/>
      <c r="L58" s="9"/>
      <c r="M58" s="9"/>
      <c r="N58" s="9"/>
      <c r="O58" s="9"/>
      <c r="P58" s="9"/>
      <c r="Q58" s="9"/>
      <c r="R58" s="9"/>
      <c r="S58" s="436"/>
      <c r="T58" s="436"/>
      <c r="U58" s="436"/>
      <c r="V58" s="436"/>
      <c r="W58" s="9"/>
      <c r="X58" s="9"/>
      <c r="Y58" s="9"/>
      <c r="Z58" s="9"/>
      <c r="AA58" s="9"/>
      <c r="AB58" s="9"/>
    </row>
    <row r="59">
      <c r="A59" s="9"/>
      <c r="B59" s="9"/>
      <c r="C59" s="9"/>
      <c r="D59" s="9"/>
      <c r="E59" s="9"/>
      <c r="F59" s="435"/>
      <c r="G59" s="9"/>
      <c r="H59" s="9"/>
      <c r="I59" s="9"/>
      <c r="J59" s="9"/>
      <c r="K59" s="9"/>
      <c r="L59" s="9"/>
      <c r="M59" s="9"/>
      <c r="N59" s="9"/>
      <c r="O59" s="9"/>
      <c r="P59" s="9"/>
      <c r="Q59" s="9"/>
      <c r="R59" s="9"/>
      <c r="S59" s="436"/>
      <c r="T59" s="436"/>
      <c r="U59" s="436"/>
      <c r="V59" s="436"/>
      <c r="W59" s="9"/>
      <c r="X59" s="9"/>
      <c r="Y59" s="9"/>
      <c r="Z59" s="9"/>
      <c r="AA59" s="9"/>
      <c r="AB59" s="9"/>
    </row>
    <row r="60">
      <c r="A60" s="9"/>
      <c r="B60" s="9"/>
      <c r="C60" s="9"/>
      <c r="D60" s="9"/>
      <c r="E60" s="9"/>
      <c r="F60" s="435"/>
      <c r="G60" s="9"/>
      <c r="H60" s="9"/>
      <c r="I60" s="9"/>
      <c r="J60" s="9"/>
      <c r="K60" s="9"/>
      <c r="L60" s="9"/>
      <c r="M60" s="9"/>
      <c r="N60" s="9"/>
      <c r="O60" s="9"/>
      <c r="P60" s="9"/>
      <c r="Q60" s="9"/>
      <c r="R60" s="9"/>
      <c r="S60" s="436"/>
      <c r="T60" s="436"/>
      <c r="U60" s="436"/>
      <c r="V60" s="436"/>
      <c r="W60" s="9"/>
      <c r="X60" s="9"/>
      <c r="Y60" s="9"/>
      <c r="Z60" s="9"/>
      <c r="AA60" s="9"/>
      <c r="AB60" s="9"/>
    </row>
    <row r="61">
      <c r="A61" s="9"/>
      <c r="B61" s="9"/>
      <c r="C61" s="9"/>
      <c r="D61" s="9"/>
      <c r="E61" s="9"/>
      <c r="F61" s="435"/>
      <c r="G61" s="9"/>
      <c r="H61" s="9"/>
      <c r="I61" s="9"/>
      <c r="J61" s="9"/>
      <c r="K61" s="9"/>
      <c r="L61" s="9"/>
      <c r="M61" s="9"/>
      <c r="N61" s="9"/>
      <c r="O61" s="9"/>
      <c r="P61" s="9"/>
      <c r="Q61" s="9"/>
      <c r="R61" s="9"/>
      <c r="S61" s="436"/>
      <c r="T61" s="436"/>
      <c r="U61" s="436"/>
      <c r="V61" s="436"/>
      <c r="W61" s="9"/>
      <c r="X61" s="9"/>
      <c r="Y61" s="9"/>
      <c r="Z61" s="9"/>
      <c r="AA61" s="9"/>
      <c r="AB61" s="9"/>
    </row>
    <row r="62">
      <c r="A62" s="9"/>
      <c r="B62" s="9"/>
      <c r="C62" s="9"/>
      <c r="D62" s="9"/>
      <c r="E62" s="9"/>
      <c r="F62" s="435"/>
      <c r="G62" s="9"/>
      <c r="H62" s="9"/>
      <c r="I62" s="9"/>
      <c r="J62" s="9"/>
      <c r="K62" s="9"/>
      <c r="L62" s="9"/>
      <c r="M62" s="9"/>
      <c r="N62" s="9"/>
      <c r="O62" s="9"/>
      <c r="P62" s="9"/>
      <c r="Q62" s="9"/>
      <c r="R62" s="9"/>
      <c r="S62" s="436"/>
      <c r="T62" s="436"/>
      <c r="U62" s="436"/>
      <c r="V62" s="436"/>
      <c r="W62" s="9"/>
      <c r="X62" s="9"/>
      <c r="Y62" s="9"/>
      <c r="Z62" s="9"/>
      <c r="AA62" s="9"/>
      <c r="AB62" s="9"/>
    </row>
    <row r="63">
      <c r="A63" s="9"/>
      <c r="B63" s="9"/>
      <c r="C63" s="9"/>
      <c r="D63" s="9"/>
      <c r="E63" s="9"/>
      <c r="F63" s="435"/>
      <c r="G63" s="9"/>
      <c r="H63" s="9"/>
      <c r="I63" s="9"/>
      <c r="J63" s="9"/>
      <c r="K63" s="9"/>
      <c r="L63" s="9"/>
      <c r="M63" s="9"/>
      <c r="N63" s="9"/>
      <c r="O63" s="9"/>
      <c r="P63" s="9"/>
      <c r="Q63" s="9"/>
      <c r="R63" s="9"/>
      <c r="S63" s="436"/>
      <c r="T63" s="436"/>
      <c r="U63" s="436"/>
      <c r="V63" s="436"/>
      <c r="W63" s="9"/>
      <c r="X63" s="9"/>
      <c r="Y63" s="9"/>
      <c r="Z63" s="9"/>
      <c r="AA63" s="9"/>
      <c r="AB63" s="9"/>
    </row>
    <row r="64">
      <c r="A64" s="9"/>
      <c r="B64" s="9"/>
      <c r="C64" s="9"/>
      <c r="D64" s="9"/>
      <c r="E64" s="9"/>
      <c r="F64" s="435"/>
      <c r="G64" s="9"/>
      <c r="H64" s="9"/>
      <c r="I64" s="9"/>
      <c r="J64" s="9"/>
      <c r="K64" s="9"/>
      <c r="L64" s="9"/>
      <c r="M64" s="9"/>
      <c r="N64" s="9"/>
      <c r="O64" s="9"/>
      <c r="P64" s="9"/>
      <c r="Q64" s="9"/>
      <c r="R64" s="9"/>
      <c r="S64" s="436"/>
      <c r="T64" s="436"/>
      <c r="U64" s="436"/>
      <c r="V64" s="436"/>
      <c r="W64" s="9"/>
      <c r="X64" s="9"/>
      <c r="Y64" s="9"/>
      <c r="Z64" s="9"/>
      <c r="AA64" s="9"/>
      <c r="AB64" s="9"/>
    </row>
    <row r="65">
      <c r="A65" s="9"/>
      <c r="B65" s="9"/>
      <c r="C65" s="9"/>
      <c r="D65" s="9"/>
      <c r="E65" s="9"/>
      <c r="F65" s="435"/>
      <c r="G65" s="9"/>
      <c r="H65" s="9"/>
      <c r="I65" s="9"/>
      <c r="J65" s="9"/>
      <c r="K65" s="9"/>
      <c r="L65" s="9"/>
      <c r="M65" s="9"/>
      <c r="N65" s="9"/>
      <c r="O65" s="9"/>
      <c r="P65" s="9"/>
      <c r="Q65" s="9"/>
      <c r="R65" s="9"/>
      <c r="S65" s="436"/>
      <c r="T65" s="436"/>
      <c r="U65" s="436"/>
      <c r="V65" s="436"/>
      <c r="W65" s="9"/>
      <c r="X65" s="9"/>
      <c r="Y65" s="9"/>
      <c r="Z65" s="9"/>
      <c r="AA65" s="9"/>
      <c r="AB65" s="9"/>
    </row>
    <row r="66">
      <c r="A66" s="9"/>
      <c r="B66" s="9"/>
      <c r="C66" s="9"/>
      <c r="D66" s="9"/>
      <c r="E66" s="9"/>
      <c r="F66" s="435"/>
      <c r="G66" s="9"/>
      <c r="H66" s="9"/>
      <c r="I66" s="9"/>
      <c r="J66" s="9"/>
      <c r="K66" s="9"/>
      <c r="L66" s="9"/>
      <c r="M66" s="9"/>
      <c r="N66" s="9"/>
      <c r="O66" s="9"/>
      <c r="P66" s="9"/>
      <c r="Q66" s="9"/>
      <c r="R66" s="9"/>
      <c r="S66" s="436"/>
      <c r="T66" s="436"/>
      <c r="U66" s="436"/>
      <c r="V66" s="436"/>
      <c r="W66" s="9"/>
      <c r="X66" s="9"/>
      <c r="Y66" s="9"/>
      <c r="Z66" s="9"/>
      <c r="AA66" s="9"/>
      <c r="AB66" s="9"/>
    </row>
    <row r="67">
      <c r="A67" s="9"/>
      <c r="B67" s="9"/>
      <c r="C67" s="9"/>
      <c r="D67" s="9"/>
      <c r="E67" s="9"/>
      <c r="F67" s="435"/>
      <c r="G67" s="9"/>
      <c r="H67" s="9"/>
      <c r="I67" s="9"/>
      <c r="J67" s="9"/>
      <c r="K67" s="9"/>
      <c r="L67" s="9"/>
      <c r="M67" s="9"/>
      <c r="N67" s="9"/>
      <c r="O67" s="9"/>
      <c r="P67" s="9"/>
      <c r="Q67" s="9"/>
      <c r="R67" s="9"/>
      <c r="S67" s="436"/>
      <c r="T67" s="436"/>
      <c r="U67" s="436"/>
      <c r="V67" s="436"/>
      <c r="W67" s="9"/>
      <c r="X67" s="9"/>
      <c r="Y67" s="9"/>
      <c r="Z67" s="9"/>
      <c r="AA67" s="9"/>
      <c r="AB67" s="9"/>
    </row>
    <row r="68">
      <c r="A68" s="9"/>
      <c r="B68" s="9"/>
      <c r="C68" s="9"/>
      <c r="D68" s="9"/>
      <c r="E68" s="9"/>
      <c r="F68" s="435"/>
      <c r="G68" s="9"/>
      <c r="H68" s="9"/>
      <c r="I68" s="9"/>
      <c r="J68" s="9"/>
      <c r="K68" s="9"/>
      <c r="L68" s="9"/>
      <c r="M68" s="9"/>
      <c r="N68" s="9"/>
      <c r="O68" s="9"/>
      <c r="P68" s="9"/>
      <c r="Q68" s="9"/>
      <c r="R68" s="9"/>
      <c r="S68" s="436"/>
      <c r="T68" s="436"/>
      <c r="U68" s="436"/>
      <c r="V68" s="436"/>
      <c r="W68" s="9"/>
      <c r="X68" s="9"/>
      <c r="Y68" s="9"/>
      <c r="Z68" s="9"/>
      <c r="AA68" s="9"/>
      <c r="AB68" s="9"/>
    </row>
    <row r="69">
      <c r="A69" s="9"/>
      <c r="B69" s="9"/>
      <c r="C69" s="9"/>
      <c r="D69" s="9"/>
      <c r="E69" s="9"/>
      <c r="F69" s="435"/>
      <c r="G69" s="9"/>
      <c r="H69" s="9"/>
      <c r="I69" s="9"/>
      <c r="J69" s="9"/>
      <c r="K69" s="9"/>
      <c r="L69" s="9"/>
      <c r="M69" s="9"/>
      <c r="N69" s="9"/>
      <c r="O69" s="9"/>
      <c r="P69" s="9"/>
      <c r="Q69" s="9"/>
      <c r="R69" s="9"/>
      <c r="S69" s="436"/>
      <c r="T69" s="436"/>
      <c r="U69" s="436"/>
      <c r="V69" s="436"/>
      <c r="W69" s="9"/>
      <c r="X69" s="9"/>
      <c r="Y69" s="9"/>
      <c r="Z69" s="9"/>
      <c r="AA69" s="9"/>
      <c r="AB69" s="9"/>
    </row>
    <row r="70">
      <c r="A70" s="9"/>
      <c r="B70" s="9"/>
      <c r="C70" s="9"/>
      <c r="D70" s="9"/>
      <c r="E70" s="9"/>
      <c r="F70" s="435"/>
      <c r="G70" s="9"/>
      <c r="H70" s="9"/>
      <c r="I70" s="9"/>
      <c r="J70" s="9"/>
      <c r="K70" s="9"/>
      <c r="L70" s="9"/>
      <c r="M70" s="9"/>
      <c r="N70" s="9"/>
      <c r="O70" s="9"/>
      <c r="P70" s="9"/>
      <c r="Q70" s="9"/>
      <c r="R70" s="9"/>
      <c r="S70" s="436"/>
      <c r="T70" s="436"/>
      <c r="U70" s="436"/>
      <c r="V70" s="436"/>
      <c r="W70" s="9"/>
      <c r="X70" s="9"/>
      <c r="Y70" s="9"/>
      <c r="Z70" s="9"/>
      <c r="AA70" s="9"/>
      <c r="AB70" s="9"/>
    </row>
    <row r="71">
      <c r="A71" s="9"/>
      <c r="B71" s="9"/>
      <c r="C71" s="9"/>
      <c r="D71" s="9"/>
      <c r="E71" s="9"/>
      <c r="F71" s="435"/>
      <c r="G71" s="9"/>
      <c r="H71" s="9"/>
      <c r="I71" s="9"/>
      <c r="J71" s="9"/>
      <c r="K71" s="9"/>
      <c r="L71" s="9"/>
      <c r="M71" s="9"/>
      <c r="N71" s="9"/>
      <c r="O71" s="9"/>
      <c r="P71" s="9"/>
      <c r="Q71" s="9"/>
      <c r="R71" s="9"/>
      <c r="S71" s="436"/>
      <c r="T71" s="436"/>
      <c r="U71" s="436"/>
      <c r="V71" s="436"/>
      <c r="W71" s="9"/>
      <c r="X71" s="9"/>
      <c r="Y71" s="9"/>
      <c r="Z71" s="9"/>
      <c r="AA71" s="9"/>
      <c r="AB71" s="9"/>
    </row>
    <row r="72">
      <c r="A72" s="9"/>
      <c r="B72" s="9"/>
      <c r="C72" s="9"/>
      <c r="D72" s="9"/>
      <c r="E72" s="9"/>
      <c r="F72" s="435"/>
      <c r="G72" s="9"/>
      <c r="H72" s="9"/>
      <c r="I72" s="9"/>
      <c r="J72" s="9"/>
      <c r="K72" s="9"/>
      <c r="L72" s="9"/>
      <c r="M72" s="9"/>
      <c r="N72" s="9"/>
      <c r="O72" s="9"/>
      <c r="P72" s="9"/>
      <c r="Q72" s="9"/>
      <c r="R72" s="9"/>
      <c r="S72" s="436"/>
      <c r="T72" s="436"/>
      <c r="U72" s="436"/>
      <c r="V72" s="436"/>
      <c r="W72" s="9"/>
      <c r="X72" s="9"/>
      <c r="Y72" s="9"/>
      <c r="Z72" s="9"/>
      <c r="AA72" s="9"/>
      <c r="AB72" s="9"/>
    </row>
    <row r="73">
      <c r="A73" s="9"/>
      <c r="B73" s="9"/>
      <c r="C73" s="9"/>
      <c r="D73" s="9"/>
      <c r="E73" s="9"/>
      <c r="F73" s="435"/>
      <c r="G73" s="9"/>
      <c r="H73" s="9"/>
      <c r="I73" s="9"/>
      <c r="J73" s="9"/>
      <c r="K73" s="9"/>
      <c r="L73" s="9"/>
      <c r="M73" s="9"/>
      <c r="N73" s="9"/>
      <c r="O73" s="9"/>
      <c r="P73" s="9"/>
      <c r="Q73" s="9"/>
      <c r="R73" s="9"/>
      <c r="S73" s="436"/>
      <c r="T73" s="436"/>
      <c r="U73" s="436"/>
      <c r="V73" s="436"/>
      <c r="W73" s="9"/>
      <c r="X73" s="9"/>
      <c r="Y73" s="9"/>
      <c r="Z73" s="9"/>
      <c r="AA73" s="9"/>
      <c r="AB73" s="9"/>
    </row>
    <row r="74">
      <c r="A74" s="9"/>
      <c r="B74" s="9"/>
      <c r="C74" s="9"/>
      <c r="D74" s="9"/>
      <c r="E74" s="9"/>
      <c r="F74" s="435"/>
      <c r="G74" s="9"/>
      <c r="H74" s="9"/>
      <c r="I74" s="9"/>
      <c r="J74" s="9"/>
      <c r="K74" s="9"/>
      <c r="L74" s="9"/>
      <c r="M74" s="9"/>
      <c r="N74" s="9"/>
      <c r="O74" s="9"/>
      <c r="P74" s="9"/>
      <c r="Q74" s="9"/>
      <c r="R74" s="9"/>
      <c r="S74" s="436"/>
      <c r="T74" s="436"/>
      <c r="U74" s="436"/>
      <c r="V74" s="436"/>
      <c r="W74" s="9"/>
      <c r="X74" s="9"/>
      <c r="Y74" s="9"/>
      <c r="Z74" s="9"/>
      <c r="AA74" s="9"/>
      <c r="AB74" s="9"/>
    </row>
    <row r="75">
      <c r="A75" s="9"/>
      <c r="B75" s="9"/>
      <c r="C75" s="9"/>
      <c r="D75" s="9"/>
      <c r="E75" s="9"/>
      <c r="F75" s="435"/>
      <c r="G75" s="9"/>
      <c r="H75" s="9"/>
      <c r="I75" s="9"/>
      <c r="J75" s="9"/>
      <c r="K75" s="9"/>
      <c r="L75" s="9"/>
      <c r="M75" s="9"/>
      <c r="N75" s="9"/>
      <c r="O75" s="9"/>
      <c r="P75" s="9"/>
      <c r="Q75" s="9"/>
      <c r="R75" s="9"/>
      <c r="S75" s="436"/>
      <c r="T75" s="436"/>
      <c r="U75" s="436"/>
      <c r="V75" s="436"/>
      <c r="W75" s="9"/>
      <c r="X75" s="9"/>
      <c r="Y75" s="9"/>
      <c r="Z75" s="9"/>
      <c r="AA75" s="9"/>
      <c r="AB75" s="9"/>
    </row>
    <row r="76">
      <c r="A76" s="9"/>
      <c r="B76" s="9"/>
      <c r="C76" s="9"/>
      <c r="D76" s="9"/>
      <c r="E76" s="9"/>
      <c r="F76" s="435"/>
      <c r="G76" s="9"/>
      <c r="H76" s="9"/>
      <c r="I76" s="9"/>
      <c r="J76" s="9"/>
      <c r="K76" s="9"/>
      <c r="L76" s="9"/>
      <c r="M76" s="9"/>
      <c r="N76" s="9"/>
      <c r="O76" s="9"/>
      <c r="P76" s="9"/>
      <c r="Q76" s="9"/>
      <c r="R76" s="9"/>
      <c r="S76" s="436"/>
      <c r="T76" s="436"/>
      <c r="U76" s="436"/>
      <c r="V76" s="436"/>
      <c r="W76" s="9"/>
      <c r="X76" s="9"/>
      <c r="Y76" s="9"/>
      <c r="Z76" s="9"/>
      <c r="AA76" s="9"/>
      <c r="AB76" s="9"/>
    </row>
    <row r="77">
      <c r="A77" s="9"/>
      <c r="B77" s="9"/>
      <c r="C77" s="9"/>
      <c r="D77" s="9"/>
      <c r="E77" s="9"/>
      <c r="F77" s="435"/>
      <c r="G77" s="9"/>
      <c r="H77" s="9"/>
      <c r="I77" s="9"/>
      <c r="J77" s="9"/>
      <c r="K77" s="9"/>
      <c r="L77" s="9"/>
      <c r="M77" s="9"/>
      <c r="N77" s="9"/>
      <c r="O77" s="9"/>
      <c r="P77" s="9"/>
      <c r="Q77" s="9"/>
      <c r="R77" s="9"/>
      <c r="S77" s="436"/>
      <c r="T77" s="436"/>
      <c r="U77" s="436"/>
      <c r="V77" s="436"/>
      <c r="W77" s="9"/>
      <c r="X77" s="9"/>
      <c r="Y77" s="9"/>
      <c r="Z77" s="9"/>
      <c r="AA77" s="9"/>
      <c r="AB77" s="9"/>
    </row>
    <row r="78">
      <c r="A78" s="9"/>
      <c r="B78" s="9"/>
      <c r="C78" s="9"/>
      <c r="D78" s="9"/>
      <c r="E78" s="9"/>
      <c r="F78" s="435"/>
      <c r="G78" s="9"/>
      <c r="H78" s="9"/>
      <c r="I78" s="9"/>
      <c r="J78" s="9"/>
      <c r="K78" s="9"/>
      <c r="L78" s="9"/>
      <c r="M78" s="9"/>
      <c r="N78" s="9"/>
      <c r="O78" s="9"/>
      <c r="P78" s="9"/>
      <c r="Q78" s="9"/>
      <c r="R78" s="9"/>
      <c r="S78" s="436"/>
      <c r="T78" s="436"/>
      <c r="U78" s="436"/>
      <c r="V78" s="436"/>
      <c r="W78" s="9"/>
      <c r="X78" s="9"/>
      <c r="Y78" s="9"/>
      <c r="Z78" s="9"/>
      <c r="AA78" s="9"/>
      <c r="AB78" s="9"/>
    </row>
    <row r="79">
      <c r="A79" s="9"/>
      <c r="B79" s="9"/>
      <c r="C79" s="9"/>
      <c r="D79" s="9"/>
      <c r="E79" s="9"/>
      <c r="F79" s="435"/>
      <c r="G79" s="9"/>
      <c r="H79" s="9"/>
      <c r="I79" s="9"/>
      <c r="J79" s="9"/>
      <c r="K79" s="9"/>
      <c r="L79" s="9"/>
      <c r="M79" s="9"/>
      <c r="N79" s="9"/>
      <c r="O79" s="9"/>
      <c r="P79" s="9"/>
      <c r="Q79" s="9"/>
      <c r="R79" s="9"/>
      <c r="S79" s="436"/>
      <c r="T79" s="436"/>
      <c r="U79" s="436"/>
      <c r="V79" s="436"/>
      <c r="W79" s="9"/>
      <c r="X79" s="9"/>
      <c r="Y79" s="9"/>
      <c r="Z79" s="9"/>
      <c r="AA79" s="9"/>
      <c r="AB79" s="9"/>
    </row>
    <row r="80">
      <c r="A80" s="9"/>
      <c r="B80" s="9"/>
      <c r="C80" s="9"/>
      <c r="D80" s="9"/>
      <c r="E80" s="9"/>
      <c r="F80" s="435"/>
      <c r="G80" s="9"/>
      <c r="H80" s="9"/>
      <c r="I80" s="9"/>
      <c r="J80" s="9"/>
      <c r="K80" s="9"/>
      <c r="L80" s="9"/>
      <c r="M80" s="9"/>
      <c r="N80" s="9"/>
      <c r="O80" s="9"/>
      <c r="P80" s="9"/>
      <c r="Q80" s="9"/>
      <c r="R80" s="9"/>
      <c r="S80" s="436"/>
      <c r="T80" s="436"/>
      <c r="U80" s="436"/>
      <c r="V80" s="436"/>
      <c r="W80" s="9"/>
      <c r="X80" s="9"/>
      <c r="Y80" s="9"/>
      <c r="Z80" s="9"/>
      <c r="AA80" s="9"/>
      <c r="AB80" s="9"/>
    </row>
    <row r="81">
      <c r="A81" s="9"/>
      <c r="B81" s="9"/>
      <c r="C81" s="9"/>
      <c r="D81" s="9"/>
      <c r="E81" s="9"/>
      <c r="F81" s="435"/>
      <c r="G81" s="9"/>
      <c r="H81" s="9"/>
      <c r="I81" s="9"/>
      <c r="J81" s="9"/>
      <c r="K81" s="9"/>
      <c r="L81" s="9"/>
      <c r="M81" s="9"/>
      <c r="N81" s="9"/>
      <c r="O81" s="9"/>
      <c r="P81" s="9"/>
      <c r="Q81" s="9"/>
      <c r="R81" s="9"/>
      <c r="S81" s="436"/>
      <c r="T81" s="436"/>
      <c r="U81" s="436"/>
      <c r="V81" s="436"/>
      <c r="W81" s="9"/>
      <c r="X81" s="9"/>
      <c r="Y81" s="9"/>
      <c r="Z81" s="9"/>
      <c r="AA81" s="9"/>
      <c r="AB81" s="9"/>
    </row>
    <row r="82">
      <c r="A82" s="9"/>
      <c r="B82" s="9"/>
      <c r="C82" s="9"/>
      <c r="D82" s="9"/>
      <c r="E82" s="9"/>
      <c r="F82" s="435"/>
      <c r="G82" s="9"/>
      <c r="H82" s="9"/>
      <c r="I82" s="9"/>
      <c r="J82" s="9"/>
      <c r="K82" s="9"/>
      <c r="L82" s="9"/>
      <c r="M82" s="9"/>
      <c r="N82" s="9"/>
      <c r="O82" s="9"/>
      <c r="P82" s="9"/>
      <c r="Q82" s="9"/>
      <c r="R82" s="9"/>
      <c r="S82" s="436"/>
      <c r="T82" s="436"/>
      <c r="U82" s="436"/>
      <c r="V82" s="436"/>
      <c r="W82" s="9"/>
      <c r="X82" s="9"/>
      <c r="Y82" s="9"/>
      <c r="Z82" s="9"/>
      <c r="AA82" s="9"/>
      <c r="AB82" s="9"/>
    </row>
    <row r="83">
      <c r="A83" s="9"/>
      <c r="B83" s="9"/>
      <c r="C83" s="9"/>
      <c r="D83" s="9"/>
      <c r="E83" s="9"/>
      <c r="F83" s="435"/>
      <c r="G83" s="9"/>
      <c r="H83" s="9"/>
      <c r="I83" s="9"/>
      <c r="J83" s="9"/>
      <c r="K83" s="9"/>
      <c r="L83" s="9"/>
      <c r="M83" s="9"/>
      <c r="N83" s="9"/>
      <c r="O83" s="9"/>
      <c r="P83" s="9"/>
      <c r="Q83" s="9"/>
      <c r="R83" s="9"/>
      <c r="S83" s="436"/>
      <c r="T83" s="436"/>
      <c r="U83" s="436"/>
      <c r="V83" s="436"/>
      <c r="W83" s="9"/>
      <c r="X83" s="9"/>
      <c r="Y83" s="9"/>
      <c r="Z83" s="9"/>
      <c r="AA83" s="9"/>
      <c r="AB83" s="9"/>
    </row>
    <row r="84">
      <c r="A84" s="9"/>
      <c r="B84" s="9"/>
      <c r="C84" s="9"/>
      <c r="D84" s="9"/>
      <c r="E84" s="9"/>
      <c r="F84" s="435"/>
      <c r="G84" s="9"/>
      <c r="H84" s="9"/>
      <c r="I84" s="9"/>
      <c r="J84" s="9"/>
      <c r="K84" s="9"/>
      <c r="L84" s="9"/>
      <c r="M84" s="9"/>
      <c r="N84" s="9"/>
      <c r="O84" s="9"/>
      <c r="P84" s="9"/>
      <c r="Q84" s="9"/>
      <c r="R84" s="9"/>
      <c r="S84" s="436"/>
      <c r="T84" s="436"/>
      <c r="U84" s="436"/>
      <c r="V84" s="436"/>
      <c r="W84" s="9"/>
      <c r="X84" s="9"/>
      <c r="Y84" s="9"/>
      <c r="Z84" s="9"/>
      <c r="AA84" s="9"/>
      <c r="AB84" s="9"/>
    </row>
    <row r="85">
      <c r="A85" s="9"/>
      <c r="B85" s="9"/>
      <c r="C85" s="9"/>
      <c r="D85" s="9"/>
      <c r="E85" s="9"/>
      <c r="F85" s="435"/>
      <c r="G85" s="9"/>
      <c r="H85" s="9"/>
      <c r="I85" s="9"/>
      <c r="J85" s="9"/>
      <c r="K85" s="9"/>
      <c r="L85" s="9"/>
      <c r="M85" s="9"/>
      <c r="N85" s="9"/>
      <c r="O85" s="9"/>
      <c r="P85" s="9"/>
      <c r="Q85" s="9"/>
      <c r="R85" s="9"/>
      <c r="S85" s="436"/>
      <c r="T85" s="436"/>
      <c r="U85" s="436"/>
      <c r="V85" s="436"/>
      <c r="W85" s="9"/>
      <c r="X85" s="9"/>
      <c r="Y85" s="9"/>
      <c r="Z85" s="9"/>
      <c r="AA85" s="9"/>
      <c r="AB85" s="9"/>
    </row>
    <row r="86">
      <c r="A86" s="9"/>
      <c r="B86" s="9"/>
      <c r="C86" s="9"/>
      <c r="D86" s="9"/>
      <c r="E86" s="9"/>
      <c r="F86" s="435"/>
      <c r="G86" s="9"/>
      <c r="H86" s="9"/>
      <c r="I86" s="9"/>
      <c r="J86" s="9"/>
      <c r="K86" s="9"/>
      <c r="L86" s="9"/>
      <c r="M86" s="9"/>
      <c r="N86" s="9"/>
      <c r="O86" s="9"/>
      <c r="P86" s="9"/>
      <c r="Q86" s="9"/>
      <c r="R86" s="9"/>
      <c r="S86" s="436"/>
      <c r="T86" s="436"/>
      <c r="U86" s="436"/>
      <c r="V86" s="436"/>
      <c r="W86" s="9"/>
      <c r="X86" s="9"/>
      <c r="Y86" s="9"/>
      <c r="Z86" s="9"/>
      <c r="AA86" s="9"/>
      <c r="AB86" s="9"/>
    </row>
    <row r="87">
      <c r="A87" s="9"/>
      <c r="B87" s="9"/>
      <c r="C87" s="9"/>
      <c r="D87" s="9"/>
      <c r="E87" s="9"/>
      <c r="F87" s="435"/>
      <c r="G87" s="9"/>
      <c r="H87" s="9"/>
      <c r="I87" s="9"/>
      <c r="J87" s="9"/>
      <c r="K87" s="9"/>
      <c r="L87" s="9"/>
      <c r="M87" s="9"/>
      <c r="N87" s="9"/>
      <c r="O87" s="9"/>
      <c r="P87" s="9"/>
      <c r="Q87" s="9"/>
      <c r="R87" s="9"/>
      <c r="S87" s="436"/>
      <c r="T87" s="436"/>
      <c r="U87" s="436"/>
      <c r="V87" s="436"/>
      <c r="W87" s="9"/>
      <c r="X87" s="9"/>
      <c r="Y87" s="9"/>
      <c r="Z87" s="9"/>
      <c r="AA87" s="9"/>
      <c r="AB87" s="9"/>
    </row>
    <row r="88">
      <c r="A88" s="9"/>
      <c r="B88" s="9"/>
      <c r="C88" s="9"/>
      <c r="D88" s="9"/>
      <c r="E88" s="9"/>
      <c r="F88" s="435"/>
      <c r="G88" s="9"/>
      <c r="H88" s="9"/>
      <c r="I88" s="9"/>
      <c r="J88" s="9"/>
      <c r="K88" s="9"/>
      <c r="L88" s="9"/>
      <c r="M88" s="9"/>
      <c r="N88" s="9"/>
      <c r="O88" s="9"/>
      <c r="P88" s="9"/>
      <c r="Q88" s="9"/>
      <c r="R88" s="9"/>
      <c r="S88" s="436"/>
      <c r="T88" s="436"/>
      <c r="U88" s="436"/>
      <c r="V88" s="436"/>
      <c r="W88" s="9"/>
      <c r="X88" s="9"/>
      <c r="Y88" s="9"/>
      <c r="Z88" s="9"/>
      <c r="AA88" s="9"/>
      <c r="AB88" s="9"/>
    </row>
    <row r="89">
      <c r="A89" s="9"/>
      <c r="B89" s="9"/>
      <c r="C89" s="9"/>
      <c r="D89" s="9"/>
      <c r="E89" s="9"/>
      <c r="F89" s="435"/>
      <c r="G89" s="9"/>
      <c r="H89" s="9"/>
      <c r="I89" s="9"/>
      <c r="J89" s="9"/>
      <c r="K89" s="9"/>
      <c r="L89" s="9"/>
      <c r="M89" s="9"/>
      <c r="N89" s="9"/>
      <c r="O89" s="9"/>
      <c r="P89" s="9"/>
      <c r="Q89" s="9"/>
      <c r="R89" s="9"/>
      <c r="S89" s="436"/>
      <c r="T89" s="436"/>
      <c r="U89" s="436"/>
      <c r="V89" s="436"/>
      <c r="W89" s="9"/>
      <c r="X89" s="9"/>
      <c r="Y89" s="9"/>
      <c r="Z89" s="9"/>
      <c r="AA89" s="9"/>
      <c r="AB89" s="9"/>
    </row>
    <row r="90">
      <c r="A90" s="9"/>
      <c r="B90" s="9"/>
      <c r="C90" s="9"/>
      <c r="D90" s="9"/>
      <c r="E90" s="9"/>
      <c r="F90" s="435"/>
      <c r="G90" s="9"/>
      <c r="H90" s="9"/>
      <c r="I90" s="9"/>
      <c r="J90" s="9"/>
      <c r="K90" s="9"/>
      <c r="L90" s="9"/>
      <c r="M90" s="9"/>
      <c r="N90" s="9"/>
      <c r="O90" s="9"/>
      <c r="P90" s="9"/>
      <c r="Q90" s="9"/>
      <c r="R90" s="9"/>
      <c r="S90" s="436"/>
      <c r="T90" s="436"/>
      <c r="U90" s="436"/>
      <c r="V90" s="436"/>
      <c r="W90" s="9"/>
      <c r="X90" s="9"/>
      <c r="Y90" s="9"/>
      <c r="Z90" s="9"/>
      <c r="AA90" s="9"/>
      <c r="AB90" s="9"/>
    </row>
    <row r="91">
      <c r="A91" s="9"/>
      <c r="B91" s="9"/>
      <c r="C91" s="9"/>
      <c r="D91" s="9"/>
      <c r="E91" s="9"/>
      <c r="F91" s="435"/>
      <c r="G91" s="9"/>
      <c r="H91" s="9"/>
      <c r="I91" s="9"/>
      <c r="J91" s="9"/>
      <c r="K91" s="9"/>
      <c r="L91" s="9"/>
      <c r="M91" s="9"/>
      <c r="N91" s="9"/>
      <c r="O91" s="9"/>
      <c r="P91" s="9"/>
      <c r="Q91" s="9"/>
      <c r="R91" s="9"/>
      <c r="S91" s="436"/>
      <c r="T91" s="436"/>
      <c r="U91" s="436"/>
      <c r="V91" s="436"/>
      <c r="W91" s="9"/>
      <c r="X91" s="9"/>
      <c r="Y91" s="9"/>
      <c r="Z91" s="9"/>
      <c r="AA91" s="9"/>
      <c r="AB91" s="9"/>
    </row>
    <row r="92">
      <c r="A92" s="9"/>
      <c r="B92" s="9"/>
      <c r="C92" s="9"/>
      <c r="D92" s="9"/>
      <c r="E92" s="9"/>
      <c r="F92" s="435"/>
      <c r="G92" s="9"/>
      <c r="H92" s="9"/>
      <c r="I92" s="9"/>
      <c r="J92" s="9"/>
      <c r="K92" s="9"/>
      <c r="L92" s="9"/>
      <c r="M92" s="9"/>
      <c r="N92" s="9"/>
      <c r="O92" s="9"/>
      <c r="P92" s="9"/>
      <c r="Q92" s="9"/>
      <c r="R92" s="9"/>
      <c r="S92" s="436"/>
      <c r="T92" s="436"/>
      <c r="U92" s="436"/>
      <c r="V92" s="436"/>
      <c r="W92" s="9"/>
      <c r="X92" s="9"/>
      <c r="Y92" s="9"/>
      <c r="Z92" s="9"/>
      <c r="AA92" s="9"/>
      <c r="AB92" s="9"/>
    </row>
    <row r="93">
      <c r="A93" s="9"/>
      <c r="B93" s="9"/>
      <c r="C93" s="9"/>
      <c r="D93" s="9"/>
      <c r="E93" s="9"/>
      <c r="F93" s="435"/>
      <c r="G93" s="9"/>
      <c r="H93" s="9"/>
      <c r="I93" s="9"/>
      <c r="J93" s="9"/>
      <c r="K93" s="9"/>
      <c r="L93" s="9"/>
      <c r="M93" s="9"/>
      <c r="N93" s="9"/>
      <c r="O93" s="9"/>
      <c r="P93" s="9"/>
      <c r="Q93" s="9"/>
      <c r="R93" s="9"/>
      <c r="S93" s="436"/>
      <c r="T93" s="436"/>
      <c r="U93" s="436"/>
      <c r="V93" s="436"/>
      <c r="W93" s="9"/>
      <c r="X93" s="9"/>
      <c r="Y93" s="9"/>
      <c r="Z93" s="9"/>
      <c r="AA93" s="9"/>
      <c r="AB93" s="9"/>
    </row>
    <row r="94">
      <c r="A94" s="9"/>
      <c r="B94" s="9"/>
      <c r="C94" s="9"/>
      <c r="D94" s="9"/>
      <c r="E94" s="9"/>
      <c r="F94" s="435"/>
      <c r="G94" s="9"/>
      <c r="H94" s="9"/>
      <c r="I94" s="9"/>
      <c r="J94" s="9"/>
      <c r="K94" s="9"/>
      <c r="L94" s="9"/>
      <c r="M94" s="9"/>
      <c r="N94" s="9"/>
      <c r="O94" s="9"/>
      <c r="P94" s="9"/>
      <c r="Q94" s="9"/>
      <c r="R94" s="9"/>
      <c r="S94" s="436"/>
      <c r="T94" s="436"/>
      <c r="U94" s="436"/>
      <c r="V94" s="436"/>
      <c r="W94" s="9"/>
      <c r="X94" s="9"/>
      <c r="Y94" s="9"/>
      <c r="Z94" s="9"/>
      <c r="AA94" s="9"/>
      <c r="AB94" s="9"/>
    </row>
    <row r="95">
      <c r="A95" s="9"/>
      <c r="B95" s="9"/>
      <c r="C95" s="9"/>
      <c r="D95" s="9"/>
      <c r="E95" s="9"/>
      <c r="F95" s="435"/>
      <c r="G95" s="9"/>
      <c r="H95" s="9"/>
      <c r="I95" s="9"/>
      <c r="J95" s="9"/>
      <c r="K95" s="9"/>
      <c r="L95" s="9"/>
      <c r="M95" s="9"/>
      <c r="N95" s="9"/>
      <c r="O95" s="9"/>
      <c r="P95" s="9"/>
      <c r="Q95" s="9"/>
      <c r="R95" s="9"/>
      <c r="S95" s="436"/>
      <c r="T95" s="436"/>
      <c r="U95" s="436"/>
      <c r="V95" s="436"/>
      <c r="W95" s="9"/>
      <c r="X95" s="9"/>
      <c r="Y95" s="9"/>
      <c r="Z95" s="9"/>
      <c r="AA95" s="9"/>
      <c r="AB95" s="9"/>
    </row>
    <row r="96">
      <c r="A96" s="9"/>
      <c r="B96" s="9"/>
      <c r="C96" s="9"/>
      <c r="D96" s="9"/>
      <c r="E96" s="9"/>
      <c r="F96" s="435"/>
      <c r="G96" s="9"/>
      <c r="H96" s="9"/>
      <c r="I96" s="9"/>
      <c r="J96" s="9"/>
      <c r="K96" s="9"/>
      <c r="L96" s="9"/>
      <c r="M96" s="9"/>
      <c r="N96" s="9"/>
      <c r="O96" s="9"/>
      <c r="P96" s="9"/>
      <c r="Q96" s="9"/>
      <c r="R96" s="9"/>
      <c r="S96" s="436"/>
      <c r="T96" s="436"/>
      <c r="U96" s="436"/>
      <c r="V96" s="436"/>
      <c r="W96" s="9"/>
      <c r="X96" s="9"/>
      <c r="Y96" s="9"/>
      <c r="Z96" s="9"/>
      <c r="AA96" s="9"/>
      <c r="AB96" s="9"/>
    </row>
    <row r="97">
      <c r="A97" s="9"/>
      <c r="B97" s="9"/>
      <c r="C97" s="9"/>
      <c r="D97" s="9"/>
      <c r="E97" s="9"/>
      <c r="F97" s="435"/>
      <c r="G97" s="9"/>
      <c r="H97" s="9"/>
      <c r="I97" s="9"/>
      <c r="J97" s="9"/>
      <c r="K97" s="9"/>
      <c r="L97" s="9"/>
      <c r="M97" s="9"/>
      <c r="N97" s="9"/>
      <c r="O97" s="9"/>
      <c r="P97" s="9"/>
      <c r="Q97" s="9"/>
      <c r="R97" s="9"/>
      <c r="S97" s="436"/>
      <c r="T97" s="436"/>
      <c r="U97" s="436"/>
      <c r="V97" s="436"/>
      <c r="W97" s="9"/>
      <c r="X97" s="9"/>
      <c r="Y97" s="9"/>
      <c r="Z97" s="9"/>
      <c r="AA97" s="9"/>
      <c r="AB97" s="9"/>
    </row>
    <row r="98">
      <c r="A98" s="9"/>
      <c r="B98" s="9"/>
      <c r="C98" s="9"/>
      <c r="D98" s="9"/>
      <c r="E98" s="9"/>
      <c r="F98" s="435"/>
      <c r="G98" s="9"/>
      <c r="H98" s="9"/>
      <c r="I98" s="9"/>
      <c r="J98" s="9"/>
      <c r="K98" s="9"/>
      <c r="L98" s="9"/>
      <c r="M98" s="9"/>
      <c r="N98" s="9"/>
      <c r="O98" s="9"/>
      <c r="P98" s="9"/>
      <c r="Q98" s="9"/>
      <c r="R98" s="9"/>
      <c r="S98" s="436"/>
      <c r="T98" s="436"/>
      <c r="U98" s="436"/>
      <c r="V98" s="436"/>
      <c r="W98" s="9"/>
      <c r="X98" s="9"/>
      <c r="Y98" s="9"/>
      <c r="Z98" s="9"/>
      <c r="AA98" s="9"/>
      <c r="AB98" s="9"/>
    </row>
    <row r="99">
      <c r="A99" s="9"/>
      <c r="B99" s="9"/>
      <c r="C99" s="9"/>
      <c r="D99" s="9"/>
      <c r="E99" s="9"/>
      <c r="F99" s="435"/>
      <c r="G99" s="9"/>
      <c r="H99" s="9"/>
      <c r="I99" s="9"/>
      <c r="J99" s="9"/>
      <c r="K99" s="9"/>
      <c r="L99" s="9"/>
      <c r="M99" s="9"/>
      <c r="N99" s="9"/>
      <c r="O99" s="9"/>
      <c r="P99" s="9"/>
      <c r="Q99" s="9"/>
      <c r="R99" s="9"/>
      <c r="S99" s="436"/>
      <c r="T99" s="436"/>
      <c r="U99" s="436"/>
      <c r="V99" s="436"/>
      <c r="W99" s="9"/>
      <c r="X99" s="9"/>
      <c r="Y99" s="9"/>
      <c r="Z99" s="9"/>
      <c r="AA99" s="9"/>
      <c r="AB99" s="9"/>
    </row>
    <row r="100">
      <c r="A100" s="9"/>
      <c r="B100" s="9"/>
      <c r="C100" s="9"/>
      <c r="D100" s="9"/>
      <c r="E100" s="9"/>
      <c r="F100" s="435"/>
      <c r="G100" s="9"/>
      <c r="H100" s="9"/>
      <c r="I100" s="9"/>
      <c r="J100" s="9"/>
      <c r="K100" s="9"/>
      <c r="L100" s="9"/>
      <c r="M100" s="9"/>
      <c r="N100" s="9"/>
      <c r="O100" s="9"/>
      <c r="P100" s="9"/>
      <c r="Q100" s="9"/>
      <c r="R100" s="9"/>
      <c r="S100" s="436"/>
      <c r="T100" s="436"/>
      <c r="U100" s="436"/>
      <c r="V100" s="436"/>
      <c r="W100" s="9"/>
      <c r="X100" s="9"/>
      <c r="Y100" s="9"/>
      <c r="Z100" s="9"/>
      <c r="AA100" s="9"/>
      <c r="AB100" s="9"/>
    </row>
    <row r="101">
      <c r="A101" s="9"/>
      <c r="B101" s="9"/>
      <c r="C101" s="9"/>
      <c r="D101" s="9"/>
      <c r="E101" s="9"/>
      <c r="F101" s="435"/>
      <c r="G101" s="9"/>
      <c r="H101" s="9"/>
      <c r="I101" s="9"/>
      <c r="J101" s="9"/>
      <c r="K101" s="9"/>
      <c r="L101" s="9"/>
      <c r="M101" s="9"/>
      <c r="N101" s="9"/>
      <c r="O101" s="9"/>
      <c r="P101" s="9"/>
      <c r="Q101" s="9"/>
      <c r="R101" s="9"/>
      <c r="S101" s="436"/>
      <c r="T101" s="436"/>
      <c r="U101" s="436"/>
      <c r="V101" s="436"/>
      <c r="W101" s="9"/>
      <c r="X101" s="9"/>
      <c r="Y101" s="9"/>
      <c r="Z101" s="9"/>
      <c r="AA101" s="9"/>
      <c r="AB101" s="9"/>
    </row>
    <row r="102">
      <c r="A102" s="9"/>
      <c r="B102" s="9"/>
      <c r="C102" s="9"/>
      <c r="D102" s="9"/>
      <c r="E102" s="9"/>
      <c r="F102" s="435"/>
      <c r="G102" s="9"/>
      <c r="H102" s="9"/>
      <c r="I102" s="9"/>
      <c r="J102" s="9"/>
      <c r="K102" s="9"/>
      <c r="L102" s="9"/>
      <c r="M102" s="9"/>
      <c r="N102" s="9"/>
      <c r="O102" s="9"/>
      <c r="P102" s="9"/>
      <c r="Q102" s="9"/>
      <c r="R102" s="9"/>
      <c r="S102" s="436"/>
      <c r="T102" s="436"/>
      <c r="U102" s="436"/>
      <c r="V102" s="436"/>
      <c r="W102" s="9"/>
      <c r="X102" s="9"/>
      <c r="Y102" s="9"/>
      <c r="Z102" s="9"/>
      <c r="AA102" s="9"/>
      <c r="AB102" s="9"/>
    </row>
    <row r="103">
      <c r="A103" s="9"/>
      <c r="B103" s="9"/>
      <c r="C103" s="9"/>
      <c r="D103" s="9"/>
      <c r="E103" s="9"/>
      <c r="F103" s="435"/>
      <c r="G103" s="9"/>
      <c r="H103" s="9"/>
      <c r="I103" s="9"/>
      <c r="J103" s="9"/>
      <c r="K103" s="9"/>
      <c r="L103" s="9"/>
      <c r="M103" s="9"/>
      <c r="N103" s="9"/>
      <c r="O103" s="9"/>
      <c r="P103" s="9"/>
      <c r="Q103" s="9"/>
      <c r="R103" s="9"/>
      <c r="S103" s="436"/>
      <c r="T103" s="436"/>
      <c r="U103" s="436"/>
      <c r="V103" s="436"/>
      <c r="W103" s="9"/>
      <c r="X103" s="9"/>
      <c r="Y103" s="9"/>
      <c r="Z103" s="9"/>
      <c r="AA103" s="9"/>
      <c r="AB103" s="9"/>
    </row>
    <row r="104">
      <c r="A104" s="9"/>
      <c r="B104" s="9"/>
      <c r="C104" s="9"/>
      <c r="D104" s="9"/>
      <c r="E104" s="9"/>
      <c r="F104" s="435"/>
      <c r="G104" s="9"/>
      <c r="H104" s="9"/>
      <c r="I104" s="9"/>
      <c r="J104" s="9"/>
      <c r="K104" s="9"/>
      <c r="L104" s="9"/>
      <c r="M104" s="9"/>
      <c r="N104" s="9"/>
      <c r="O104" s="9"/>
      <c r="P104" s="9"/>
      <c r="Q104" s="9"/>
      <c r="R104" s="9"/>
      <c r="S104" s="436"/>
      <c r="T104" s="436"/>
      <c r="U104" s="436"/>
      <c r="V104" s="436"/>
      <c r="W104" s="9"/>
      <c r="X104" s="9"/>
      <c r="Y104" s="9"/>
      <c r="Z104" s="9"/>
      <c r="AA104" s="9"/>
      <c r="AB104" s="9"/>
    </row>
    <row r="105">
      <c r="A105" s="9"/>
      <c r="B105" s="9"/>
      <c r="C105" s="9"/>
      <c r="D105" s="9"/>
      <c r="E105" s="9"/>
      <c r="F105" s="435"/>
      <c r="G105" s="9"/>
      <c r="H105" s="9"/>
      <c r="I105" s="9"/>
      <c r="J105" s="9"/>
      <c r="K105" s="9"/>
      <c r="L105" s="9"/>
      <c r="M105" s="9"/>
      <c r="N105" s="9"/>
      <c r="O105" s="9"/>
      <c r="P105" s="9"/>
      <c r="Q105" s="9"/>
      <c r="R105" s="9"/>
      <c r="S105" s="436"/>
      <c r="T105" s="436"/>
      <c r="U105" s="436"/>
      <c r="V105" s="436"/>
      <c r="W105" s="9"/>
      <c r="X105" s="9"/>
      <c r="Y105" s="9"/>
      <c r="Z105" s="9"/>
      <c r="AA105" s="9"/>
      <c r="AB105" s="9"/>
    </row>
    <row r="106">
      <c r="A106" s="9"/>
      <c r="B106" s="9"/>
      <c r="C106" s="9"/>
      <c r="D106" s="9"/>
      <c r="E106" s="9"/>
      <c r="F106" s="435"/>
      <c r="G106" s="9"/>
      <c r="H106" s="9"/>
      <c r="I106" s="9"/>
      <c r="J106" s="9"/>
      <c r="K106" s="9"/>
      <c r="L106" s="9"/>
      <c r="M106" s="9"/>
      <c r="N106" s="9"/>
      <c r="O106" s="9"/>
      <c r="P106" s="9"/>
      <c r="Q106" s="9"/>
      <c r="R106" s="9"/>
      <c r="S106" s="436"/>
      <c r="T106" s="436"/>
      <c r="U106" s="436"/>
      <c r="V106" s="436"/>
      <c r="W106" s="9"/>
      <c r="X106" s="9"/>
      <c r="Y106" s="9"/>
      <c r="Z106" s="9"/>
      <c r="AA106" s="9"/>
      <c r="AB106" s="9"/>
    </row>
    <row r="107">
      <c r="A107" s="9"/>
      <c r="B107" s="9"/>
      <c r="C107" s="9"/>
      <c r="D107" s="9"/>
      <c r="E107" s="9"/>
      <c r="F107" s="435"/>
      <c r="G107" s="9"/>
      <c r="H107" s="9"/>
      <c r="I107" s="9"/>
      <c r="J107" s="9"/>
      <c r="K107" s="9"/>
      <c r="L107" s="9"/>
      <c r="M107" s="9"/>
      <c r="N107" s="9"/>
      <c r="O107" s="9"/>
      <c r="P107" s="9"/>
      <c r="Q107" s="9"/>
      <c r="R107" s="9"/>
      <c r="S107" s="436"/>
      <c r="T107" s="436"/>
      <c r="U107" s="436"/>
      <c r="V107" s="436"/>
      <c r="W107" s="9"/>
      <c r="X107" s="9"/>
      <c r="Y107" s="9"/>
      <c r="Z107" s="9"/>
      <c r="AA107" s="9"/>
      <c r="AB107" s="9"/>
    </row>
    <row r="108">
      <c r="A108" s="9"/>
      <c r="B108" s="9"/>
      <c r="C108" s="9"/>
      <c r="D108" s="9"/>
      <c r="E108" s="9"/>
      <c r="F108" s="435"/>
      <c r="G108" s="9"/>
      <c r="H108" s="9"/>
      <c r="I108" s="9"/>
      <c r="J108" s="9"/>
      <c r="K108" s="9"/>
      <c r="L108" s="9"/>
      <c r="M108" s="9"/>
      <c r="N108" s="9"/>
      <c r="O108" s="9"/>
      <c r="P108" s="9"/>
      <c r="Q108" s="9"/>
      <c r="R108" s="9"/>
      <c r="S108" s="436"/>
      <c r="T108" s="436"/>
      <c r="U108" s="436"/>
      <c r="V108" s="436"/>
      <c r="W108" s="9"/>
      <c r="X108" s="9"/>
      <c r="Y108" s="9"/>
      <c r="Z108" s="9"/>
      <c r="AA108" s="9"/>
      <c r="AB108" s="9"/>
    </row>
    <row r="109">
      <c r="A109" s="9"/>
      <c r="B109" s="9"/>
      <c r="C109" s="9"/>
      <c r="D109" s="9"/>
      <c r="E109" s="9"/>
      <c r="F109" s="435"/>
      <c r="G109" s="9"/>
      <c r="H109" s="9"/>
      <c r="I109" s="9"/>
      <c r="J109" s="9"/>
      <c r="K109" s="9"/>
      <c r="L109" s="9"/>
      <c r="M109" s="9"/>
      <c r="N109" s="9"/>
      <c r="O109" s="9"/>
      <c r="P109" s="9"/>
      <c r="Q109" s="9"/>
      <c r="R109" s="9"/>
      <c r="S109" s="436"/>
      <c r="T109" s="436"/>
      <c r="U109" s="436"/>
      <c r="V109" s="436"/>
      <c r="W109" s="9"/>
      <c r="X109" s="9"/>
      <c r="Y109" s="9"/>
      <c r="Z109" s="9"/>
      <c r="AA109" s="9"/>
      <c r="AB109" s="9"/>
    </row>
    <row r="110">
      <c r="A110" s="9"/>
      <c r="B110" s="9"/>
      <c r="C110" s="9"/>
      <c r="D110" s="9"/>
      <c r="E110" s="9"/>
      <c r="F110" s="435"/>
      <c r="G110" s="9"/>
      <c r="H110" s="9"/>
      <c r="I110" s="9"/>
      <c r="J110" s="9"/>
      <c r="K110" s="9"/>
      <c r="L110" s="9"/>
      <c r="M110" s="9"/>
      <c r="N110" s="9"/>
      <c r="O110" s="9"/>
      <c r="P110" s="9"/>
      <c r="Q110" s="9"/>
      <c r="R110" s="9"/>
      <c r="S110" s="436"/>
      <c r="T110" s="436"/>
      <c r="U110" s="436"/>
      <c r="V110" s="436"/>
      <c r="W110" s="9"/>
      <c r="X110" s="9"/>
      <c r="Y110" s="9"/>
      <c r="Z110" s="9"/>
      <c r="AA110" s="9"/>
      <c r="AB110" s="9"/>
    </row>
    <row r="111">
      <c r="A111" s="9"/>
      <c r="B111" s="9"/>
      <c r="C111" s="9"/>
      <c r="D111" s="9"/>
      <c r="E111" s="9"/>
      <c r="F111" s="435"/>
      <c r="G111" s="9"/>
      <c r="H111" s="9"/>
      <c r="I111" s="9"/>
      <c r="J111" s="9"/>
      <c r="K111" s="9"/>
      <c r="L111" s="9"/>
      <c r="M111" s="9"/>
      <c r="N111" s="9"/>
      <c r="O111" s="9"/>
      <c r="P111" s="9"/>
      <c r="Q111" s="9"/>
      <c r="R111" s="9"/>
      <c r="S111" s="436"/>
      <c r="T111" s="436"/>
      <c r="U111" s="436"/>
      <c r="V111" s="436"/>
      <c r="W111" s="9"/>
      <c r="X111" s="9"/>
      <c r="Y111" s="9"/>
      <c r="Z111" s="9"/>
      <c r="AA111" s="9"/>
      <c r="AB111" s="9"/>
    </row>
    <row r="112">
      <c r="A112" s="9"/>
      <c r="B112" s="9"/>
      <c r="C112" s="9"/>
      <c r="D112" s="9"/>
      <c r="E112" s="9"/>
      <c r="F112" s="435"/>
      <c r="G112" s="9"/>
      <c r="H112" s="9"/>
      <c r="I112" s="9"/>
      <c r="J112" s="9"/>
      <c r="K112" s="9"/>
      <c r="L112" s="9"/>
      <c r="M112" s="9"/>
      <c r="N112" s="9"/>
      <c r="O112" s="9"/>
      <c r="P112" s="9"/>
      <c r="Q112" s="9"/>
      <c r="R112" s="9"/>
      <c r="S112" s="436"/>
      <c r="T112" s="436"/>
      <c r="U112" s="436"/>
      <c r="V112" s="436"/>
      <c r="W112" s="9"/>
      <c r="X112" s="9"/>
      <c r="Y112" s="9"/>
      <c r="Z112" s="9"/>
      <c r="AA112" s="9"/>
      <c r="AB112" s="9"/>
    </row>
    <row r="113">
      <c r="A113" s="9"/>
      <c r="B113" s="9"/>
      <c r="C113" s="9"/>
      <c r="D113" s="9"/>
      <c r="E113" s="9"/>
      <c r="F113" s="435"/>
      <c r="G113" s="9"/>
      <c r="H113" s="9"/>
      <c r="I113" s="9"/>
      <c r="J113" s="9"/>
      <c r="K113" s="9"/>
      <c r="L113" s="9"/>
      <c r="M113" s="9"/>
      <c r="N113" s="9"/>
      <c r="O113" s="9"/>
      <c r="P113" s="9"/>
      <c r="Q113" s="9"/>
      <c r="R113" s="9"/>
      <c r="S113" s="436"/>
      <c r="T113" s="436"/>
      <c r="U113" s="436"/>
      <c r="V113" s="436"/>
      <c r="W113" s="9"/>
      <c r="X113" s="9"/>
      <c r="Y113" s="9"/>
      <c r="Z113" s="9"/>
      <c r="AA113" s="9"/>
      <c r="AB113" s="9"/>
    </row>
    <row r="114">
      <c r="A114" s="9"/>
      <c r="B114" s="9"/>
      <c r="C114" s="9"/>
      <c r="D114" s="9"/>
      <c r="E114" s="9"/>
      <c r="F114" s="435"/>
      <c r="G114" s="9"/>
      <c r="H114" s="9"/>
      <c r="I114" s="9"/>
      <c r="J114" s="9"/>
      <c r="K114" s="9"/>
      <c r="L114" s="9"/>
      <c r="M114" s="9"/>
      <c r="N114" s="9"/>
      <c r="O114" s="9"/>
      <c r="P114" s="9"/>
      <c r="Q114" s="9"/>
      <c r="R114" s="9"/>
      <c r="S114" s="436"/>
      <c r="T114" s="436"/>
      <c r="U114" s="436"/>
      <c r="V114" s="436"/>
      <c r="W114" s="9"/>
      <c r="X114" s="9"/>
      <c r="Y114" s="9"/>
      <c r="Z114" s="9"/>
      <c r="AA114" s="9"/>
      <c r="AB114" s="9"/>
    </row>
    <row r="115">
      <c r="A115" s="9"/>
      <c r="B115" s="9"/>
      <c r="C115" s="9"/>
      <c r="D115" s="9"/>
      <c r="E115" s="9"/>
      <c r="F115" s="435"/>
      <c r="G115" s="9"/>
      <c r="H115" s="9"/>
      <c r="I115" s="9"/>
      <c r="J115" s="9"/>
      <c r="K115" s="9"/>
      <c r="L115" s="9"/>
      <c r="M115" s="9"/>
      <c r="N115" s="9"/>
      <c r="O115" s="9"/>
      <c r="P115" s="9"/>
      <c r="Q115" s="9"/>
      <c r="R115" s="9"/>
      <c r="S115" s="436"/>
      <c r="T115" s="436"/>
      <c r="U115" s="436"/>
      <c r="V115" s="436"/>
      <c r="W115" s="9"/>
      <c r="X115" s="9"/>
      <c r="Y115" s="9"/>
      <c r="Z115" s="9"/>
      <c r="AA115" s="9"/>
      <c r="AB115" s="9"/>
    </row>
    <row r="116">
      <c r="A116" s="9"/>
      <c r="B116" s="9"/>
      <c r="C116" s="9"/>
      <c r="D116" s="9"/>
      <c r="E116" s="9"/>
      <c r="F116" s="435"/>
      <c r="G116" s="9"/>
      <c r="H116" s="9"/>
      <c r="I116" s="9"/>
      <c r="J116" s="9"/>
      <c r="K116" s="9"/>
      <c r="L116" s="9"/>
      <c r="M116" s="9"/>
      <c r="N116" s="9"/>
      <c r="O116" s="9"/>
      <c r="P116" s="9"/>
      <c r="Q116" s="9"/>
      <c r="R116" s="9"/>
      <c r="S116" s="436"/>
      <c r="T116" s="436"/>
      <c r="U116" s="436"/>
      <c r="V116" s="436"/>
      <c r="W116" s="9"/>
      <c r="X116" s="9"/>
      <c r="Y116" s="9"/>
      <c r="Z116" s="9"/>
      <c r="AA116" s="9"/>
      <c r="AB116" s="9"/>
    </row>
    <row r="117">
      <c r="A117" s="9"/>
      <c r="B117" s="9"/>
      <c r="C117" s="9"/>
      <c r="D117" s="9"/>
      <c r="E117" s="9"/>
      <c r="F117" s="435"/>
      <c r="G117" s="9"/>
      <c r="H117" s="9"/>
      <c r="I117" s="9"/>
      <c r="J117" s="9"/>
      <c r="K117" s="9"/>
      <c r="L117" s="9"/>
      <c r="M117" s="9"/>
      <c r="N117" s="9"/>
      <c r="O117" s="9"/>
      <c r="P117" s="9"/>
      <c r="Q117" s="9"/>
      <c r="R117" s="9"/>
      <c r="S117" s="436"/>
      <c r="T117" s="436"/>
      <c r="U117" s="436"/>
      <c r="V117" s="436"/>
      <c r="W117" s="9"/>
      <c r="X117" s="9"/>
      <c r="Y117" s="9"/>
      <c r="Z117" s="9"/>
      <c r="AA117" s="9"/>
      <c r="AB117" s="9"/>
    </row>
    <row r="118">
      <c r="A118" s="9"/>
      <c r="B118" s="9"/>
      <c r="C118" s="9"/>
      <c r="D118" s="9"/>
      <c r="E118" s="9"/>
      <c r="F118" s="435"/>
      <c r="G118" s="9"/>
      <c r="H118" s="9"/>
      <c r="I118" s="9"/>
      <c r="J118" s="9"/>
      <c r="K118" s="9"/>
      <c r="L118" s="9"/>
      <c r="M118" s="9"/>
      <c r="N118" s="9"/>
      <c r="O118" s="9"/>
      <c r="P118" s="9"/>
      <c r="Q118" s="9"/>
      <c r="R118" s="9"/>
      <c r="S118" s="436"/>
      <c r="T118" s="436"/>
      <c r="U118" s="436"/>
      <c r="V118" s="436"/>
      <c r="W118" s="9"/>
      <c r="X118" s="9"/>
      <c r="Y118" s="9"/>
      <c r="Z118" s="9"/>
      <c r="AA118" s="9"/>
      <c r="AB118" s="9"/>
    </row>
    <row r="119">
      <c r="A119" s="9"/>
      <c r="B119" s="9"/>
      <c r="C119" s="9"/>
      <c r="D119" s="9"/>
      <c r="E119" s="9"/>
      <c r="F119" s="435"/>
      <c r="G119" s="9"/>
      <c r="H119" s="9"/>
      <c r="I119" s="9"/>
      <c r="J119" s="9"/>
      <c r="K119" s="9"/>
      <c r="L119" s="9"/>
      <c r="M119" s="9"/>
      <c r="N119" s="9"/>
      <c r="O119" s="9"/>
      <c r="P119" s="9"/>
      <c r="Q119" s="9"/>
      <c r="R119" s="9"/>
      <c r="S119" s="436"/>
      <c r="T119" s="436"/>
      <c r="U119" s="436"/>
      <c r="V119" s="436"/>
      <c r="W119" s="9"/>
      <c r="X119" s="9"/>
      <c r="Y119" s="9"/>
      <c r="Z119" s="9"/>
      <c r="AA119" s="9"/>
      <c r="AB119" s="9"/>
    </row>
    <row r="120">
      <c r="A120" s="9"/>
      <c r="B120" s="9"/>
      <c r="C120" s="9"/>
      <c r="D120" s="9"/>
      <c r="E120" s="9"/>
      <c r="F120" s="435"/>
      <c r="G120" s="9"/>
      <c r="H120" s="9"/>
      <c r="I120" s="9"/>
      <c r="J120" s="9"/>
      <c r="K120" s="9"/>
      <c r="L120" s="9"/>
      <c r="M120" s="9"/>
      <c r="N120" s="9"/>
      <c r="O120" s="9"/>
      <c r="P120" s="9"/>
      <c r="Q120" s="9"/>
      <c r="R120" s="9"/>
      <c r="S120" s="436"/>
      <c r="T120" s="436"/>
      <c r="U120" s="436"/>
      <c r="V120" s="436"/>
      <c r="W120" s="9"/>
      <c r="X120" s="9"/>
      <c r="Y120" s="9"/>
      <c r="Z120" s="9"/>
      <c r="AA120" s="9"/>
      <c r="AB120" s="9"/>
    </row>
    <row r="121">
      <c r="A121" s="9"/>
      <c r="B121" s="9"/>
      <c r="C121" s="9"/>
      <c r="D121" s="9"/>
      <c r="E121" s="9"/>
      <c r="F121" s="435"/>
      <c r="G121" s="9"/>
      <c r="H121" s="9"/>
      <c r="I121" s="9"/>
      <c r="J121" s="9"/>
      <c r="K121" s="9"/>
      <c r="L121" s="9"/>
      <c r="M121" s="9"/>
      <c r="N121" s="9"/>
      <c r="O121" s="9"/>
      <c r="P121" s="9"/>
      <c r="Q121" s="9"/>
      <c r="R121" s="9"/>
      <c r="S121" s="436"/>
      <c r="T121" s="436"/>
      <c r="U121" s="436"/>
      <c r="V121" s="436"/>
      <c r="W121" s="9"/>
      <c r="X121" s="9"/>
      <c r="Y121" s="9"/>
      <c r="Z121" s="9"/>
      <c r="AA121" s="9"/>
      <c r="AB121" s="9"/>
    </row>
    <row r="122">
      <c r="A122" s="9"/>
      <c r="B122" s="9"/>
      <c r="C122" s="9"/>
      <c r="D122" s="9"/>
      <c r="E122" s="9"/>
      <c r="F122" s="435"/>
      <c r="G122" s="9"/>
      <c r="H122" s="9"/>
      <c r="I122" s="9"/>
      <c r="J122" s="9"/>
      <c r="K122" s="9"/>
      <c r="L122" s="9"/>
      <c r="M122" s="9"/>
      <c r="N122" s="9"/>
      <c r="O122" s="9"/>
      <c r="P122" s="9"/>
      <c r="Q122" s="9"/>
      <c r="R122" s="9"/>
      <c r="S122" s="436"/>
      <c r="T122" s="436"/>
      <c r="U122" s="436"/>
      <c r="V122" s="436"/>
      <c r="W122" s="9"/>
      <c r="X122" s="9"/>
      <c r="Y122" s="9"/>
      <c r="Z122" s="9"/>
      <c r="AA122" s="9"/>
      <c r="AB122" s="9"/>
    </row>
    <row r="123">
      <c r="A123" s="9"/>
      <c r="B123" s="9"/>
      <c r="C123" s="9"/>
      <c r="D123" s="9"/>
      <c r="E123" s="9"/>
      <c r="F123" s="435"/>
      <c r="G123" s="9"/>
      <c r="H123" s="9"/>
      <c r="I123" s="9"/>
      <c r="J123" s="9"/>
      <c r="K123" s="9"/>
      <c r="L123" s="9"/>
      <c r="M123" s="9"/>
      <c r="N123" s="9"/>
      <c r="O123" s="9"/>
      <c r="P123" s="9"/>
      <c r="Q123" s="9"/>
      <c r="R123" s="9"/>
      <c r="S123" s="436"/>
      <c r="T123" s="436"/>
      <c r="U123" s="436"/>
      <c r="V123" s="436"/>
      <c r="W123" s="9"/>
      <c r="X123" s="9"/>
      <c r="Y123" s="9"/>
      <c r="Z123" s="9"/>
      <c r="AA123" s="9"/>
      <c r="AB123" s="9"/>
    </row>
    <row r="124">
      <c r="A124" s="9"/>
      <c r="B124" s="9"/>
      <c r="C124" s="9"/>
      <c r="D124" s="9"/>
      <c r="E124" s="9"/>
      <c r="F124" s="435"/>
      <c r="G124" s="9"/>
      <c r="H124" s="9"/>
      <c r="I124" s="9"/>
      <c r="J124" s="9"/>
      <c r="K124" s="9"/>
      <c r="L124" s="9"/>
      <c r="M124" s="9"/>
      <c r="N124" s="9"/>
      <c r="O124" s="9"/>
      <c r="P124" s="9"/>
      <c r="Q124" s="9"/>
      <c r="R124" s="9"/>
      <c r="S124" s="436"/>
      <c r="T124" s="436"/>
      <c r="U124" s="436"/>
      <c r="V124" s="436"/>
      <c r="W124" s="9"/>
      <c r="X124" s="9"/>
      <c r="Y124" s="9"/>
      <c r="Z124" s="9"/>
      <c r="AA124" s="9"/>
      <c r="AB124" s="9"/>
    </row>
    <row r="125">
      <c r="A125" s="9"/>
      <c r="B125" s="9"/>
      <c r="C125" s="9"/>
      <c r="D125" s="9"/>
      <c r="E125" s="9"/>
      <c r="F125" s="435"/>
      <c r="G125" s="9"/>
      <c r="H125" s="9"/>
      <c r="I125" s="9"/>
      <c r="J125" s="9"/>
      <c r="K125" s="9"/>
      <c r="L125" s="9"/>
      <c r="M125" s="9"/>
      <c r="N125" s="9"/>
      <c r="O125" s="9"/>
      <c r="P125" s="9"/>
      <c r="Q125" s="9"/>
      <c r="R125" s="9"/>
      <c r="S125" s="436"/>
      <c r="T125" s="436"/>
      <c r="U125" s="436"/>
      <c r="V125" s="436"/>
      <c r="W125" s="9"/>
      <c r="X125" s="9"/>
      <c r="Y125" s="9"/>
      <c r="Z125" s="9"/>
      <c r="AA125" s="9"/>
      <c r="AB125" s="9"/>
    </row>
    <row r="126">
      <c r="A126" s="9"/>
      <c r="B126" s="9"/>
      <c r="C126" s="9"/>
      <c r="D126" s="9"/>
      <c r="E126" s="9"/>
      <c r="F126" s="435"/>
      <c r="G126" s="9"/>
      <c r="H126" s="9"/>
      <c r="I126" s="9"/>
      <c r="J126" s="9"/>
      <c r="K126" s="9"/>
      <c r="L126" s="9"/>
      <c r="M126" s="9"/>
      <c r="N126" s="9"/>
      <c r="O126" s="9"/>
      <c r="P126" s="9"/>
      <c r="Q126" s="9"/>
      <c r="R126" s="9"/>
      <c r="S126" s="436"/>
      <c r="T126" s="436"/>
      <c r="U126" s="436"/>
      <c r="V126" s="436"/>
      <c r="W126" s="9"/>
      <c r="X126" s="9"/>
      <c r="Y126" s="9"/>
      <c r="Z126" s="9"/>
      <c r="AA126" s="9"/>
      <c r="AB126" s="9"/>
    </row>
    <row r="127">
      <c r="A127" s="9"/>
      <c r="B127" s="9"/>
      <c r="C127" s="9"/>
      <c r="D127" s="9"/>
      <c r="E127" s="9"/>
      <c r="F127" s="435"/>
      <c r="G127" s="9"/>
      <c r="H127" s="9"/>
      <c r="I127" s="9"/>
      <c r="J127" s="9"/>
      <c r="K127" s="9"/>
      <c r="L127" s="9"/>
      <c r="M127" s="9"/>
      <c r="N127" s="9"/>
      <c r="O127" s="9"/>
      <c r="P127" s="9"/>
      <c r="Q127" s="9"/>
      <c r="R127" s="9"/>
      <c r="S127" s="436"/>
      <c r="T127" s="436"/>
      <c r="U127" s="436"/>
      <c r="V127" s="436"/>
      <c r="W127" s="9"/>
      <c r="X127" s="9"/>
      <c r="Y127" s="9"/>
      <c r="Z127" s="9"/>
      <c r="AA127" s="9"/>
      <c r="AB127" s="9"/>
    </row>
    <row r="128">
      <c r="A128" s="9"/>
      <c r="B128" s="9"/>
      <c r="C128" s="9"/>
      <c r="D128" s="9"/>
      <c r="E128" s="9"/>
      <c r="F128" s="435"/>
      <c r="G128" s="9"/>
      <c r="H128" s="9"/>
      <c r="I128" s="9"/>
      <c r="J128" s="9"/>
      <c r="K128" s="9"/>
      <c r="L128" s="9"/>
      <c r="M128" s="9"/>
      <c r="N128" s="9"/>
      <c r="O128" s="9"/>
      <c r="P128" s="9"/>
      <c r="Q128" s="9"/>
      <c r="R128" s="9"/>
      <c r="S128" s="436"/>
      <c r="T128" s="436"/>
      <c r="U128" s="436"/>
      <c r="V128" s="436"/>
      <c r="W128" s="9"/>
      <c r="X128" s="9"/>
      <c r="Y128" s="9"/>
      <c r="Z128" s="9"/>
      <c r="AA128" s="9"/>
      <c r="AB128" s="9"/>
    </row>
    <row r="129">
      <c r="A129" s="9"/>
      <c r="B129" s="9"/>
      <c r="C129" s="9"/>
      <c r="D129" s="9"/>
      <c r="E129" s="9"/>
      <c r="F129" s="435"/>
      <c r="G129" s="9"/>
      <c r="H129" s="9"/>
      <c r="I129" s="9"/>
      <c r="J129" s="9"/>
      <c r="K129" s="9"/>
      <c r="L129" s="9"/>
      <c r="M129" s="9"/>
      <c r="N129" s="9"/>
      <c r="O129" s="9"/>
      <c r="P129" s="9"/>
      <c r="Q129" s="9"/>
      <c r="R129" s="9"/>
      <c r="S129" s="436"/>
      <c r="T129" s="436"/>
      <c r="U129" s="436"/>
      <c r="V129" s="436"/>
      <c r="W129" s="9"/>
      <c r="X129" s="9"/>
      <c r="Y129" s="9"/>
      <c r="Z129" s="9"/>
      <c r="AA129" s="9"/>
      <c r="AB129" s="9"/>
    </row>
    <row r="130">
      <c r="A130" s="9"/>
      <c r="B130" s="9"/>
      <c r="C130" s="9"/>
      <c r="D130" s="9"/>
      <c r="E130" s="9"/>
      <c r="F130" s="435"/>
      <c r="G130" s="9"/>
      <c r="H130" s="9"/>
      <c r="I130" s="9"/>
      <c r="J130" s="9"/>
      <c r="K130" s="9"/>
      <c r="L130" s="9"/>
      <c r="M130" s="9"/>
      <c r="N130" s="9"/>
      <c r="O130" s="9"/>
      <c r="P130" s="9"/>
      <c r="Q130" s="9"/>
      <c r="R130" s="9"/>
      <c r="S130" s="436"/>
      <c r="T130" s="436"/>
      <c r="U130" s="436"/>
      <c r="V130" s="436"/>
      <c r="W130" s="9"/>
      <c r="X130" s="9"/>
      <c r="Y130" s="9"/>
      <c r="Z130" s="9"/>
      <c r="AA130" s="9"/>
      <c r="AB130" s="9"/>
    </row>
    <row r="131">
      <c r="A131" s="9"/>
      <c r="B131" s="9"/>
      <c r="C131" s="9"/>
      <c r="D131" s="9"/>
      <c r="E131" s="9"/>
      <c r="F131" s="435"/>
      <c r="G131" s="9"/>
      <c r="H131" s="9"/>
      <c r="I131" s="9"/>
      <c r="J131" s="9"/>
      <c r="K131" s="9"/>
      <c r="L131" s="9"/>
      <c r="M131" s="9"/>
      <c r="N131" s="9"/>
      <c r="O131" s="9"/>
      <c r="P131" s="9"/>
      <c r="Q131" s="9"/>
      <c r="R131" s="9"/>
      <c r="S131" s="436"/>
      <c r="T131" s="436"/>
      <c r="U131" s="436"/>
      <c r="V131" s="436"/>
      <c r="W131" s="9"/>
      <c r="X131" s="9"/>
      <c r="Y131" s="9"/>
      <c r="Z131" s="9"/>
      <c r="AA131" s="9"/>
      <c r="AB131" s="9"/>
    </row>
    <row r="132">
      <c r="A132" s="9"/>
      <c r="B132" s="9"/>
      <c r="C132" s="9"/>
      <c r="D132" s="9"/>
      <c r="E132" s="9"/>
      <c r="F132" s="435"/>
      <c r="G132" s="9"/>
      <c r="H132" s="9"/>
      <c r="I132" s="9"/>
      <c r="J132" s="9"/>
      <c r="K132" s="9"/>
      <c r="L132" s="9"/>
      <c r="M132" s="9"/>
      <c r="N132" s="9"/>
      <c r="O132" s="9"/>
      <c r="P132" s="9"/>
      <c r="Q132" s="9"/>
      <c r="R132" s="9"/>
      <c r="S132" s="436"/>
      <c r="T132" s="436"/>
      <c r="U132" s="436"/>
      <c r="V132" s="436"/>
      <c r="W132" s="9"/>
      <c r="X132" s="9"/>
      <c r="Y132" s="9"/>
      <c r="Z132" s="9"/>
      <c r="AA132" s="9"/>
      <c r="AB132" s="9"/>
    </row>
    <row r="133">
      <c r="A133" s="9"/>
      <c r="B133" s="9"/>
      <c r="C133" s="9"/>
      <c r="D133" s="9"/>
      <c r="E133" s="9"/>
      <c r="F133" s="435"/>
      <c r="G133" s="9"/>
      <c r="H133" s="9"/>
      <c r="I133" s="9"/>
      <c r="J133" s="9"/>
      <c r="K133" s="9"/>
      <c r="L133" s="9"/>
      <c r="M133" s="9"/>
      <c r="N133" s="9"/>
      <c r="O133" s="9"/>
      <c r="P133" s="9"/>
      <c r="Q133" s="9"/>
      <c r="R133" s="9"/>
      <c r="S133" s="436"/>
      <c r="T133" s="436"/>
      <c r="U133" s="436"/>
      <c r="V133" s="436"/>
      <c r="W133" s="9"/>
      <c r="X133" s="9"/>
      <c r="Y133" s="9"/>
      <c r="Z133" s="9"/>
      <c r="AA133" s="9"/>
      <c r="AB133" s="9"/>
    </row>
    <row r="134">
      <c r="A134" s="9"/>
      <c r="B134" s="9"/>
      <c r="C134" s="9"/>
      <c r="D134" s="9"/>
      <c r="E134" s="9"/>
      <c r="F134" s="435"/>
      <c r="G134" s="9"/>
      <c r="H134" s="9"/>
      <c r="I134" s="9"/>
      <c r="J134" s="9"/>
      <c r="K134" s="9"/>
      <c r="L134" s="9"/>
      <c r="M134" s="9"/>
      <c r="N134" s="9"/>
      <c r="O134" s="9"/>
      <c r="P134" s="9"/>
      <c r="Q134" s="9"/>
      <c r="R134" s="9"/>
      <c r="S134" s="436"/>
      <c r="T134" s="436"/>
      <c r="U134" s="436"/>
      <c r="V134" s="436"/>
      <c r="W134" s="9"/>
      <c r="X134" s="9"/>
      <c r="Y134" s="9"/>
      <c r="Z134" s="9"/>
      <c r="AA134" s="9"/>
      <c r="AB134" s="9"/>
    </row>
    <row r="135">
      <c r="A135" s="9"/>
      <c r="B135" s="9"/>
      <c r="C135" s="9"/>
      <c r="D135" s="9"/>
      <c r="E135" s="9"/>
      <c r="F135" s="435"/>
      <c r="G135" s="9"/>
      <c r="H135" s="9"/>
      <c r="I135" s="9"/>
      <c r="J135" s="9"/>
      <c r="K135" s="9"/>
      <c r="L135" s="9"/>
      <c r="M135" s="9"/>
      <c r="N135" s="9"/>
      <c r="O135" s="9"/>
      <c r="P135" s="9"/>
      <c r="Q135" s="9"/>
      <c r="R135" s="9"/>
      <c r="S135" s="436"/>
      <c r="T135" s="436"/>
      <c r="U135" s="436"/>
      <c r="V135" s="436"/>
      <c r="W135" s="9"/>
      <c r="X135" s="9"/>
      <c r="Y135" s="9"/>
      <c r="Z135" s="9"/>
      <c r="AA135" s="9"/>
      <c r="AB135" s="9"/>
    </row>
    <row r="136">
      <c r="A136" s="9"/>
      <c r="B136" s="9"/>
      <c r="C136" s="9"/>
      <c r="D136" s="9"/>
      <c r="E136" s="9"/>
      <c r="F136" s="435"/>
      <c r="G136" s="9"/>
      <c r="H136" s="9"/>
      <c r="I136" s="9"/>
      <c r="J136" s="9"/>
      <c r="K136" s="9"/>
      <c r="L136" s="9"/>
      <c r="M136" s="9"/>
      <c r="N136" s="9"/>
      <c r="O136" s="9"/>
      <c r="P136" s="9"/>
      <c r="Q136" s="9"/>
      <c r="R136" s="9"/>
      <c r="S136" s="436"/>
      <c r="T136" s="436"/>
      <c r="U136" s="436"/>
      <c r="V136" s="436"/>
      <c r="W136" s="9"/>
      <c r="X136" s="9"/>
      <c r="Y136" s="9"/>
      <c r="Z136" s="9"/>
      <c r="AA136" s="9"/>
      <c r="AB136" s="9"/>
    </row>
    <row r="137">
      <c r="A137" s="9"/>
      <c r="B137" s="9"/>
      <c r="C137" s="9"/>
      <c r="D137" s="9"/>
      <c r="E137" s="9"/>
      <c r="F137" s="435"/>
      <c r="G137" s="9"/>
      <c r="H137" s="9"/>
      <c r="I137" s="9"/>
      <c r="J137" s="9"/>
      <c r="K137" s="9"/>
      <c r="L137" s="9"/>
      <c r="M137" s="9"/>
      <c r="N137" s="9"/>
      <c r="O137" s="9"/>
      <c r="P137" s="9"/>
      <c r="Q137" s="9"/>
      <c r="R137" s="9"/>
      <c r="S137" s="436"/>
      <c r="T137" s="436"/>
      <c r="U137" s="436"/>
      <c r="V137" s="436"/>
      <c r="W137" s="9"/>
      <c r="X137" s="9"/>
      <c r="Y137" s="9"/>
      <c r="Z137" s="9"/>
      <c r="AA137" s="9"/>
      <c r="AB137" s="9"/>
    </row>
    <row r="138">
      <c r="A138" s="9"/>
      <c r="B138" s="9"/>
      <c r="C138" s="9"/>
      <c r="D138" s="9"/>
      <c r="E138" s="9"/>
      <c r="F138" s="435"/>
      <c r="G138" s="9"/>
      <c r="H138" s="9"/>
      <c r="I138" s="9"/>
      <c r="J138" s="9"/>
      <c r="K138" s="9"/>
      <c r="L138" s="9"/>
      <c r="M138" s="9"/>
      <c r="N138" s="9"/>
      <c r="O138" s="9"/>
      <c r="P138" s="9"/>
      <c r="Q138" s="9"/>
      <c r="R138" s="9"/>
      <c r="S138" s="436"/>
      <c r="T138" s="436"/>
      <c r="U138" s="436"/>
      <c r="V138" s="436"/>
      <c r="W138" s="9"/>
      <c r="X138" s="9"/>
      <c r="Y138" s="9"/>
      <c r="Z138" s="9"/>
      <c r="AA138" s="9"/>
      <c r="AB138" s="9"/>
    </row>
    <row r="139">
      <c r="A139" s="9"/>
      <c r="B139" s="9"/>
      <c r="C139" s="9"/>
      <c r="D139" s="9"/>
      <c r="E139" s="9"/>
      <c r="F139" s="435"/>
      <c r="G139" s="9"/>
      <c r="H139" s="9"/>
      <c r="I139" s="9"/>
      <c r="J139" s="9"/>
      <c r="K139" s="9"/>
      <c r="L139" s="9"/>
      <c r="M139" s="9"/>
      <c r="N139" s="9"/>
      <c r="O139" s="9"/>
      <c r="P139" s="9"/>
      <c r="Q139" s="9"/>
      <c r="R139" s="9"/>
      <c r="S139" s="436"/>
      <c r="T139" s="436"/>
      <c r="U139" s="436"/>
      <c r="V139" s="436"/>
      <c r="W139" s="9"/>
      <c r="X139" s="9"/>
      <c r="Y139" s="9"/>
      <c r="Z139" s="9"/>
      <c r="AA139" s="9"/>
      <c r="AB139" s="9"/>
    </row>
    <row r="140">
      <c r="A140" s="9"/>
      <c r="B140" s="9"/>
      <c r="C140" s="9"/>
      <c r="D140" s="9"/>
      <c r="E140" s="9"/>
      <c r="F140" s="435"/>
      <c r="G140" s="9"/>
      <c r="H140" s="9"/>
      <c r="I140" s="9"/>
      <c r="J140" s="9"/>
      <c r="K140" s="9"/>
      <c r="L140" s="9"/>
      <c r="M140" s="9"/>
      <c r="N140" s="9"/>
      <c r="O140" s="9"/>
      <c r="P140" s="9"/>
      <c r="Q140" s="9"/>
      <c r="R140" s="9"/>
      <c r="S140" s="436"/>
      <c r="T140" s="436"/>
      <c r="U140" s="436"/>
      <c r="V140" s="436"/>
      <c r="W140" s="9"/>
      <c r="X140" s="9"/>
      <c r="Y140" s="9"/>
      <c r="Z140" s="9"/>
      <c r="AA140" s="9"/>
      <c r="AB140" s="9"/>
    </row>
    <row r="141">
      <c r="A141" s="9"/>
      <c r="B141" s="9"/>
      <c r="C141" s="9"/>
      <c r="D141" s="9"/>
      <c r="E141" s="9"/>
      <c r="F141" s="435"/>
      <c r="G141" s="9"/>
      <c r="H141" s="9"/>
      <c r="I141" s="9"/>
      <c r="J141" s="9"/>
      <c r="K141" s="9"/>
      <c r="L141" s="9"/>
      <c r="M141" s="9"/>
      <c r="N141" s="9"/>
      <c r="O141" s="9"/>
      <c r="P141" s="9"/>
      <c r="Q141" s="9"/>
      <c r="R141" s="9"/>
      <c r="S141" s="436"/>
      <c r="T141" s="436"/>
      <c r="U141" s="436"/>
      <c r="V141" s="436"/>
      <c r="W141" s="9"/>
      <c r="X141" s="9"/>
      <c r="Y141" s="9"/>
      <c r="Z141" s="9"/>
      <c r="AA141" s="9"/>
      <c r="AB141" s="9"/>
    </row>
    <row r="142">
      <c r="A142" s="9"/>
      <c r="B142" s="9"/>
      <c r="C142" s="9"/>
      <c r="D142" s="9"/>
      <c r="E142" s="9"/>
      <c r="F142" s="435"/>
      <c r="G142" s="9"/>
      <c r="H142" s="9"/>
      <c r="I142" s="9"/>
      <c r="J142" s="9"/>
      <c r="K142" s="9"/>
      <c r="L142" s="9"/>
      <c r="M142" s="9"/>
      <c r="N142" s="9"/>
      <c r="O142" s="9"/>
      <c r="P142" s="9"/>
      <c r="Q142" s="9"/>
      <c r="R142" s="9"/>
      <c r="S142" s="436"/>
      <c r="T142" s="436"/>
      <c r="U142" s="436"/>
      <c r="V142" s="436"/>
      <c r="W142" s="9"/>
      <c r="X142" s="9"/>
      <c r="Y142" s="9"/>
      <c r="Z142" s="9"/>
      <c r="AA142" s="9"/>
      <c r="AB142" s="9"/>
    </row>
    <row r="143">
      <c r="A143" s="9"/>
      <c r="B143" s="9"/>
      <c r="C143" s="9"/>
      <c r="D143" s="9"/>
      <c r="E143" s="9"/>
      <c r="F143" s="435"/>
      <c r="G143" s="9"/>
      <c r="H143" s="9"/>
      <c r="I143" s="9"/>
      <c r="J143" s="9"/>
      <c r="K143" s="9"/>
      <c r="L143" s="9"/>
      <c r="M143" s="9"/>
      <c r="N143" s="9"/>
      <c r="O143" s="9"/>
      <c r="P143" s="9"/>
      <c r="Q143" s="9"/>
      <c r="R143" s="9"/>
      <c r="S143" s="436"/>
      <c r="T143" s="436"/>
      <c r="U143" s="436"/>
      <c r="V143" s="436"/>
      <c r="W143" s="9"/>
      <c r="X143" s="9"/>
      <c r="Y143" s="9"/>
      <c r="Z143" s="9"/>
      <c r="AA143" s="9"/>
      <c r="AB143" s="9"/>
    </row>
    <row r="144">
      <c r="A144" s="9"/>
      <c r="B144" s="9"/>
      <c r="C144" s="9"/>
      <c r="D144" s="9"/>
      <c r="E144" s="9"/>
      <c r="F144" s="435"/>
      <c r="G144" s="9"/>
      <c r="H144" s="9"/>
      <c r="I144" s="9"/>
      <c r="J144" s="9"/>
      <c r="K144" s="9"/>
      <c r="L144" s="9"/>
      <c r="M144" s="9"/>
      <c r="N144" s="9"/>
      <c r="O144" s="9"/>
      <c r="P144" s="9"/>
      <c r="Q144" s="9"/>
      <c r="R144" s="9"/>
      <c r="S144" s="436"/>
      <c r="T144" s="436"/>
      <c r="U144" s="436"/>
      <c r="V144" s="436"/>
      <c r="W144" s="9"/>
      <c r="X144" s="9"/>
      <c r="Y144" s="9"/>
      <c r="Z144" s="9"/>
      <c r="AA144" s="9"/>
      <c r="AB144" s="9"/>
    </row>
    <row r="145">
      <c r="A145" s="9"/>
      <c r="B145" s="9"/>
      <c r="C145" s="9"/>
      <c r="D145" s="9"/>
      <c r="E145" s="9"/>
      <c r="F145" s="435"/>
      <c r="G145" s="9"/>
      <c r="H145" s="9"/>
      <c r="I145" s="9"/>
      <c r="J145" s="9"/>
      <c r="K145" s="9"/>
      <c r="L145" s="9"/>
      <c r="M145" s="9"/>
      <c r="N145" s="9"/>
      <c r="O145" s="9"/>
      <c r="P145" s="9"/>
      <c r="Q145" s="9"/>
      <c r="R145" s="9"/>
      <c r="S145" s="436"/>
      <c r="T145" s="436"/>
      <c r="U145" s="436"/>
      <c r="V145" s="436"/>
      <c r="W145" s="9"/>
      <c r="X145" s="9"/>
      <c r="Y145" s="9"/>
      <c r="Z145" s="9"/>
      <c r="AA145" s="9"/>
      <c r="AB145" s="9"/>
    </row>
    <row r="146">
      <c r="A146" s="9"/>
      <c r="B146" s="9"/>
      <c r="C146" s="9"/>
      <c r="D146" s="9"/>
      <c r="E146" s="9"/>
      <c r="F146" s="435"/>
      <c r="G146" s="9"/>
      <c r="H146" s="9"/>
      <c r="I146" s="9"/>
      <c r="J146" s="9"/>
      <c r="K146" s="9"/>
      <c r="L146" s="9"/>
      <c r="M146" s="9"/>
      <c r="N146" s="9"/>
      <c r="O146" s="9"/>
      <c r="P146" s="9"/>
      <c r="Q146" s="9"/>
      <c r="R146" s="9"/>
      <c r="S146" s="436"/>
      <c r="T146" s="436"/>
      <c r="U146" s="436"/>
      <c r="V146" s="436"/>
      <c r="W146" s="9"/>
      <c r="X146" s="9"/>
      <c r="Y146" s="9"/>
      <c r="Z146" s="9"/>
      <c r="AA146" s="9"/>
      <c r="AB146" s="9"/>
    </row>
    <row r="147">
      <c r="A147" s="9"/>
      <c r="B147" s="9"/>
      <c r="C147" s="9"/>
      <c r="D147" s="9"/>
      <c r="E147" s="9"/>
      <c r="F147" s="435"/>
      <c r="G147" s="9"/>
      <c r="H147" s="9"/>
      <c r="I147" s="9"/>
      <c r="J147" s="9"/>
      <c r="K147" s="9"/>
      <c r="L147" s="9"/>
      <c r="M147" s="9"/>
      <c r="N147" s="9"/>
      <c r="O147" s="9"/>
      <c r="P147" s="9"/>
      <c r="Q147" s="9"/>
      <c r="R147" s="9"/>
      <c r="S147" s="436"/>
      <c r="T147" s="436"/>
      <c r="U147" s="436"/>
      <c r="V147" s="436"/>
      <c r="W147" s="9"/>
      <c r="X147" s="9"/>
      <c r="Y147" s="9"/>
      <c r="Z147" s="9"/>
      <c r="AA147" s="9"/>
      <c r="AB147" s="9"/>
    </row>
    <row r="148">
      <c r="A148" s="9"/>
      <c r="B148" s="9"/>
      <c r="C148" s="9"/>
      <c r="D148" s="9"/>
      <c r="E148" s="9"/>
      <c r="F148" s="435"/>
      <c r="G148" s="9"/>
      <c r="H148" s="9"/>
      <c r="I148" s="9"/>
      <c r="J148" s="9"/>
      <c r="K148" s="9"/>
      <c r="L148" s="9"/>
      <c r="M148" s="9"/>
      <c r="N148" s="9"/>
      <c r="O148" s="9"/>
      <c r="P148" s="9"/>
      <c r="Q148" s="9"/>
      <c r="R148" s="9"/>
      <c r="S148" s="436"/>
      <c r="T148" s="436"/>
      <c r="U148" s="436"/>
      <c r="V148" s="436"/>
      <c r="W148" s="9"/>
      <c r="X148" s="9"/>
      <c r="Y148" s="9"/>
      <c r="Z148" s="9"/>
      <c r="AA148" s="9"/>
      <c r="AB148" s="9"/>
    </row>
    <row r="149">
      <c r="A149" s="9"/>
      <c r="B149" s="9"/>
      <c r="C149" s="9"/>
      <c r="D149" s="9"/>
      <c r="E149" s="9"/>
      <c r="F149" s="435"/>
      <c r="G149" s="9"/>
      <c r="H149" s="9"/>
      <c r="I149" s="9"/>
      <c r="J149" s="9"/>
      <c r="K149" s="9"/>
      <c r="L149" s="9"/>
      <c r="M149" s="9"/>
      <c r="N149" s="9"/>
      <c r="O149" s="9"/>
      <c r="P149" s="9"/>
      <c r="Q149" s="9"/>
      <c r="R149" s="9"/>
      <c r="S149" s="436"/>
      <c r="T149" s="436"/>
      <c r="U149" s="436"/>
      <c r="V149" s="436"/>
      <c r="W149" s="9"/>
      <c r="X149" s="9"/>
      <c r="Y149" s="9"/>
      <c r="Z149" s="9"/>
      <c r="AA149" s="9"/>
      <c r="AB149" s="9"/>
    </row>
    <row r="150">
      <c r="A150" s="9"/>
      <c r="B150" s="9"/>
      <c r="C150" s="9"/>
      <c r="D150" s="9"/>
      <c r="E150" s="9"/>
      <c r="F150" s="435"/>
      <c r="G150" s="9"/>
      <c r="H150" s="9"/>
      <c r="I150" s="9"/>
      <c r="J150" s="9"/>
      <c r="K150" s="9"/>
      <c r="L150" s="9"/>
      <c r="M150" s="9"/>
      <c r="N150" s="9"/>
      <c r="O150" s="9"/>
      <c r="P150" s="9"/>
      <c r="Q150" s="9"/>
      <c r="R150" s="9"/>
      <c r="S150" s="436"/>
      <c r="T150" s="436"/>
      <c r="U150" s="436"/>
      <c r="V150" s="436"/>
      <c r="W150" s="9"/>
      <c r="X150" s="9"/>
      <c r="Y150" s="9"/>
      <c r="Z150" s="9"/>
      <c r="AA150" s="9"/>
      <c r="AB150" s="9"/>
    </row>
    <row r="151">
      <c r="A151" s="9"/>
      <c r="B151" s="9"/>
      <c r="C151" s="9"/>
      <c r="D151" s="9"/>
      <c r="E151" s="9"/>
      <c r="F151" s="435"/>
      <c r="G151" s="9"/>
      <c r="H151" s="9"/>
      <c r="I151" s="9"/>
      <c r="J151" s="9"/>
      <c r="K151" s="9"/>
      <c r="L151" s="9"/>
      <c r="M151" s="9"/>
      <c r="N151" s="9"/>
      <c r="O151" s="9"/>
      <c r="P151" s="9"/>
      <c r="Q151" s="9"/>
      <c r="R151" s="9"/>
      <c r="S151" s="436"/>
      <c r="T151" s="436"/>
      <c r="U151" s="436"/>
      <c r="V151" s="436"/>
      <c r="W151" s="9"/>
      <c r="X151" s="9"/>
      <c r="Y151" s="9"/>
      <c r="Z151" s="9"/>
      <c r="AA151" s="9"/>
      <c r="AB151" s="9"/>
    </row>
    <row r="152">
      <c r="A152" s="9"/>
      <c r="B152" s="9"/>
      <c r="C152" s="9"/>
      <c r="D152" s="9"/>
      <c r="E152" s="9"/>
      <c r="F152" s="435"/>
      <c r="G152" s="9"/>
      <c r="H152" s="9"/>
      <c r="I152" s="9"/>
      <c r="J152" s="9"/>
      <c r="K152" s="9"/>
      <c r="L152" s="9"/>
      <c r="M152" s="9"/>
      <c r="N152" s="9"/>
      <c r="O152" s="9"/>
      <c r="P152" s="9"/>
      <c r="Q152" s="9"/>
      <c r="R152" s="9"/>
      <c r="S152" s="436"/>
      <c r="T152" s="436"/>
      <c r="U152" s="436"/>
      <c r="V152" s="436"/>
      <c r="W152" s="9"/>
      <c r="X152" s="9"/>
      <c r="Y152" s="9"/>
      <c r="Z152" s="9"/>
      <c r="AA152" s="9"/>
      <c r="AB152" s="9"/>
    </row>
    <row r="153">
      <c r="A153" s="9"/>
      <c r="B153" s="9"/>
      <c r="C153" s="9"/>
      <c r="D153" s="9"/>
      <c r="E153" s="9"/>
      <c r="F153" s="435"/>
      <c r="G153" s="9"/>
      <c r="H153" s="9"/>
      <c r="I153" s="9"/>
      <c r="J153" s="9"/>
      <c r="K153" s="9"/>
      <c r="L153" s="9"/>
      <c r="M153" s="9"/>
      <c r="N153" s="9"/>
      <c r="O153" s="9"/>
      <c r="P153" s="9"/>
      <c r="Q153" s="9"/>
      <c r="R153" s="9"/>
      <c r="S153" s="436"/>
      <c r="T153" s="436"/>
      <c r="U153" s="436"/>
      <c r="V153" s="436"/>
      <c r="W153" s="9"/>
      <c r="X153" s="9"/>
      <c r="Y153" s="9"/>
      <c r="Z153" s="9"/>
      <c r="AA153" s="9"/>
      <c r="AB153" s="9"/>
    </row>
    <row r="154">
      <c r="A154" s="9"/>
      <c r="B154" s="9"/>
      <c r="C154" s="9"/>
      <c r="D154" s="9"/>
      <c r="E154" s="9"/>
      <c r="F154" s="435"/>
      <c r="G154" s="9"/>
      <c r="H154" s="9"/>
      <c r="I154" s="9"/>
      <c r="J154" s="9"/>
      <c r="K154" s="9"/>
      <c r="L154" s="9"/>
      <c r="M154" s="9"/>
      <c r="N154" s="9"/>
      <c r="O154" s="9"/>
      <c r="P154" s="9"/>
      <c r="Q154" s="9"/>
      <c r="R154" s="9"/>
      <c r="S154" s="436"/>
      <c r="T154" s="436"/>
      <c r="U154" s="436"/>
      <c r="V154" s="436"/>
      <c r="W154" s="9"/>
      <c r="X154" s="9"/>
      <c r="Y154" s="9"/>
      <c r="Z154" s="9"/>
      <c r="AA154" s="9"/>
      <c r="AB154" s="9"/>
    </row>
    <row r="155">
      <c r="A155" s="9"/>
      <c r="B155" s="9"/>
      <c r="C155" s="9"/>
      <c r="D155" s="9"/>
      <c r="E155" s="9"/>
      <c r="F155" s="435"/>
      <c r="G155" s="9"/>
      <c r="H155" s="9"/>
      <c r="I155" s="9"/>
      <c r="J155" s="9"/>
      <c r="K155" s="9"/>
      <c r="L155" s="9"/>
      <c r="M155" s="9"/>
      <c r="N155" s="9"/>
      <c r="O155" s="9"/>
      <c r="P155" s="9"/>
      <c r="Q155" s="9"/>
      <c r="R155" s="9"/>
      <c r="S155" s="436"/>
      <c r="T155" s="436"/>
      <c r="U155" s="436"/>
      <c r="V155" s="436"/>
      <c r="W155" s="9"/>
      <c r="X155" s="9"/>
      <c r="Y155" s="9"/>
      <c r="Z155" s="9"/>
      <c r="AA155" s="9"/>
      <c r="AB155" s="9"/>
    </row>
    <row r="156">
      <c r="A156" s="9"/>
      <c r="B156" s="9"/>
      <c r="C156" s="9"/>
      <c r="D156" s="9"/>
      <c r="E156" s="9"/>
      <c r="F156" s="435"/>
      <c r="G156" s="9"/>
      <c r="H156" s="9"/>
      <c r="I156" s="9"/>
      <c r="J156" s="9"/>
      <c r="K156" s="9"/>
      <c r="L156" s="9"/>
      <c r="M156" s="9"/>
      <c r="N156" s="9"/>
      <c r="O156" s="9"/>
      <c r="P156" s="9"/>
      <c r="Q156" s="9"/>
      <c r="R156" s="9"/>
      <c r="S156" s="436"/>
      <c r="T156" s="436"/>
      <c r="U156" s="436"/>
      <c r="V156" s="436"/>
      <c r="W156" s="9"/>
      <c r="X156" s="9"/>
      <c r="Y156" s="9"/>
      <c r="Z156" s="9"/>
      <c r="AA156" s="9"/>
      <c r="AB156" s="9"/>
    </row>
    <row r="157">
      <c r="A157" s="9"/>
      <c r="B157" s="9"/>
      <c r="C157" s="9"/>
      <c r="D157" s="9"/>
      <c r="E157" s="9"/>
      <c r="F157" s="435"/>
      <c r="G157" s="9"/>
      <c r="H157" s="9"/>
      <c r="I157" s="9"/>
      <c r="J157" s="9"/>
      <c r="K157" s="9"/>
      <c r="L157" s="9"/>
      <c r="M157" s="9"/>
      <c r="N157" s="9"/>
      <c r="O157" s="9"/>
      <c r="P157" s="9"/>
      <c r="Q157" s="9"/>
      <c r="R157" s="9"/>
      <c r="S157" s="436"/>
      <c r="T157" s="436"/>
      <c r="U157" s="436"/>
      <c r="V157" s="436"/>
      <c r="W157" s="9"/>
      <c r="X157" s="9"/>
      <c r="Y157" s="9"/>
      <c r="Z157" s="9"/>
      <c r="AA157" s="9"/>
      <c r="AB157" s="9"/>
    </row>
    <row r="158">
      <c r="A158" s="9"/>
      <c r="B158" s="9"/>
      <c r="C158" s="9"/>
      <c r="D158" s="9"/>
      <c r="E158" s="9"/>
      <c r="F158" s="435"/>
      <c r="G158" s="9"/>
      <c r="H158" s="9"/>
      <c r="I158" s="9"/>
      <c r="J158" s="9"/>
      <c r="K158" s="9"/>
      <c r="L158" s="9"/>
      <c r="M158" s="9"/>
      <c r="N158" s="9"/>
      <c r="O158" s="9"/>
      <c r="P158" s="9"/>
      <c r="Q158" s="9"/>
      <c r="R158" s="9"/>
      <c r="S158" s="436"/>
      <c r="T158" s="436"/>
      <c r="U158" s="436"/>
      <c r="V158" s="436"/>
      <c r="W158" s="9"/>
      <c r="X158" s="9"/>
      <c r="Y158" s="9"/>
      <c r="Z158" s="9"/>
      <c r="AA158" s="9"/>
      <c r="AB158" s="9"/>
    </row>
    <row r="159">
      <c r="A159" s="9"/>
      <c r="B159" s="9"/>
      <c r="C159" s="9"/>
      <c r="D159" s="9"/>
      <c r="E159" s="9"/>
      <c r="F159" s="435"/>
      <c r="G159" s="9"/>
      <c r="H159" s="9"/>
      <c r="I159" s="9"/>
      <c r="J159" s="9"/>
      <c r="K159" s="9"/>
      <c r="L159" s="9"/>
      <c r="M159" s="9"/>
      <c r="N159" s="9"/>
      <c r="O159" s="9"/>
      <c r="P159" s="9"/>
      <c r="Q159" s="9"/>
      <c r="R159" s="9"/>
      <c r="S159" s="436"/>
      <c r="T159" s="436"/>
      <c r="U159" s="436"/>
      <c r="V159" s="436"/>
      <c r="W159" s="9"/>
      <c r="X159" s="9"/>
      <c r="Y159" s="9"/>
      <c r="Z159" s="9"/>
      <c r="AA159" s="9"/>
      <c r="AB159" s="9"/>
    </row>
    <row r="160">
      <c r="A160" s="9"/>
      <c r="B160" s="9"/>
      <c r="C160" s="9"/>
      <c r="D160" s="9"/>
      <c r="E160" s="9"/>
      <c r="F160" s="435"/>
      <c r="G160" s="9"/>
      <c r="H160" s="9"/>
      <c r="I160" s="9"/>
      <c r="J160" s="9"/>
      <c r="K160" s="9"/>
      <c r="L160" s="9"/>
      <c r="M160" s="9"/>
      <c r="N160" s="9"/>
      <c r="O160" s="9"/>
      <c r="P160" s="9"/>
      <c r="Q160" s="9"/>
      <c r="R160" s="9"/>
      <c r="S160" s="436"/>
      <c r="T160" s="436"/>
      <c r="U160" s="436"/>
      <c r="V160" s="436"/>
      <c r="W160" s="9"/>
      <c r="X160" s="9"/>
      <c r="Y160" s="9"/>
      <c r="Z160" s="9"/>
      <c r="AA160" s="9"/>
      <c r="AB160" s="9"/>
    </row>
    <row r="161">
      <c r="A161" s="9"/>
      <c r="B161" s="9"/>
      <c r="C161" s="9"/>
      <c r="D161" s="9"/>
      <c r="E161" s="9"/>
      <c r="F161" s="435"/>
      <c r="G161" s="9"/>
      <c r="H161" s="9"/>
      <c r="I161" s="9"/>
      <c r="J161" s="9"/>
      <c r="K161" s="9"/>
      <c r="L161" s="9"/>
      <c r="M161" s="9"/>
      <c r="N161" s="9"/>
      <c r="O161" s="9"/>
      <c r="P161" s="9"/>
      <c r="Q161" s="9"/>
      <c r="R161" s="9"/>
      <c r="S161" s="436"/>
      <c r="T161" s="436"/>
      <c r="U161" s="436"/>
      <c r="V161" s="436"/>
      <c r="W161" s="9"/>
      <c r="X161" s="9"/>
      <c r="Y161" s="9"/>
      <c r="Z161" s="9"/>
      <c r="AA161" s="9"/>
      <c r="AB161" s="9"/>
    </row>
    <row r="162">
      <c r="A162" s="9"/>
      <c r="B162" s="9"/>
      <c r="C162" s="9"/>
      <c r="D162" s="9"/>
      <c r="E162" s="9"/>
      <c r="F162" s="435"/>
      <c r="G162" s="9"/>
      <c r="H162" s="9"/>
      <c r="I162" s="9"/>
      <c r="J162" s="9"/>
      <c r="K162" s="9"/>
      <c r="L162" s="9"/>
      <c r="M162" s="9"/>
      <c r="N162" s="9"/>
      <c r="O162" s="9"/>
      <c r="P162" s="9"/>
      <c r="Q162" s="9"/>
      <c r="R162" s="9"/>
      <c r="S162" s="436"/>
      <c r="T162" s="436"/>
      <c r="U162" s="436"/>
      <c r="V162" s="436"/>
      <c r="W162" s="9"/>
      <c r="X162" s="9"/>
      <c r="Y162" s="9"/>
      <c r="Z162" s="9"/>
      <c r="AA162" s="9"/>
      <c r="AB162" s="9"/>
    </row>
    <row r="163">
      <c r="A163" s="9"/>
      <c r="B163" s="9"/>
      <c r="C163" s="9"/>
      <c r="D163" s="9"/>
      <c r="E163" s="9"/>
      <c r="F163" s="435"/>
      <c r="G163" s="9"/>
      <c r="H163" s="9"/>
      <c r="I163" s="9"/>
      <c r="J163" s="9"/>
      <c r="K163" s="9"/>
      <c r="L163" s="9"/>
      <c r="M163" s="9"/>
      <c r="N163" s="9"/>
      <c r="O163" s="9"/>
      <c r="P163" s="9"/>
      <c r="Q163" s="9"/>
      <c r="R163" s="9"/>
      <c r="S163" s="436"/>
      <c r="T163" s="436"/>
      <c r="U163" s="436"/>
      <c r="V163" s="436"/>
      <c r="W163" s="9"/>
      <c r="X163" s="9"/>
      <c r="Y163" s="9"/>
      <c r="Z163" s="9"/>
      <c r="AA163" s="9"/>
      <c r="AB163" s="9"/>
    </row>
    <row r="164">
      <c r="A164" s="9"/>
      <c r="B164" s="9"/>
      <c r="C164" s="9"/>
      <c r="D164" s="9"/>
      <c r="E164" s="9"/>
      <c r="F164" s="435"/>
      <c r="G164" s="9"/>
      <c r="H164" s="9"/>
      <c r="I164" s="9"/>
      <c r="J164" s="9"/>
      <c r="K164" s="9"/>
      <c r="L164" s="9"/>
      <c r="M164" s="9"/>
      <c r="N164" s="9"/>
      <c r="O164" s="9"/>
      <c r="P164" s="9"/>
      <c r="Q164" s="9"/>
      <c r="R164" s="9"/>
      <c r="S164" s="436"/>
      <c r="T164" s="436"/>
      <c r="U164" s="436"/>
      <c r="V164" s="436"/>
      <c r="W164" s="9"/>
      <c r="X164" s="9"/>
      <c r="Y164" s="9"/>
      <c r="Z164" s="9"/>
      <c r="AA164" s="9"/>
      <c r="AB164" s="9"/>
    </row>
    <row r="165">
      <c r="A165" s="9"/>
      <c r="B165" s="9"/>
      <c r="C165" s="9"/>
      <c r="D165" s="9"/>
      <c r="E165" s="9"/>
      <c r="F165" s="435"/>
      <c r="G165" s="9"/>
      <c r="H165" s="9"/>
      <c r="I165" s="9"/>
      <c r="J165" s="9"/>
      <c r="K165" s="9"/>
      <c r="L165" s="9"/>
      <c r="M165" s="9"/>
      <c r="N165" s="9"/>
      <c r="O165" s="9"/>
      <c r="P165" s="9"/>
      <c r="Q165" s="9"/>
      <c r="R165" s="9"/>
      <c r="S165" s="436"/>
      <c r="T165" s="436"/>
      <c r="U165" s="436"/>
      <c r="V165" s="436"/>
      <c r="W165" s="9"/>
      <c r="X165" s="9"/>
      <c r="Y165" s="9"/>
      <c r="Z165" s="9"/>
      <c r="AA165" s="9"/>
      <c r="AB165" s="9"/>
    </row>
    <row r="166">
      <c r="A166" s="9"/>
      <c r="B166" s="9"/>
      <c r="C166" s="9"/>
      <c r="D166" s="9"/>
      <c r="E166" s="9"/>
      <c r="F166" s="435"/>
      <c r="G166" s="9"/>
      <c r="H166" s="9"/>
      <c r="I166" s="9"/>
      <c r="J166" s="9"/>
      <c r="K166" s="9"/>
      <c r="L166" s="9"/>
      <c r="M166" s="9"/>
      <c r="N166" s="9"/>
      <c r="O166" s="9"/>
      <c r="P166" s="9"/>
      <c r="Q166" s="9"/>
      <c r="R166" s="9"/>
      <c r="S166" s="436"/>
      <c r="T166" s="436"/>
      <c r="U166" s="436"/>
      <c r="V166" s="436"/>
      <c r="W166" s="9"/>
      <c r="X166" s="9"/>
      <c r="Y166" s="9"/>
      <c r="Z166" s="9"/>
      <c r="AA166" s="9"/>
      <c r="AB166" s="9"/>
    </row>
    <row r="167">
      <c r="A167" s="9"/>
      <c r="B167" s="9"/>
      <c r="C167" s="9"/>
      <c r="D167" s="9"/>
      <c r="E167" s="9"/>
      <c r="F167" s="435"/>
      <c r="G167" s="9"/>
      <c r="H167" s="9"/>
      <c r="I167" s="9"/>
      <c r="J167" s="9"/>
      <c r="K167" s="9"/>
      <c r="L167" s="9"/>
      <c r="M167" s="9"/>
      <c r="N167" s="9"/>
      <c r="O167" s="9"/>
      <c r="P167" s="9"/>
      <c r="Q167" s="9"/>
      <c r="R167" s="9"/>
      <c r="S167" s="436"/>
      <c r="T167" s="436"/>
      <c r="U167" s="436"/>
      <c r="V167" s="436"/>
      <c r="W167" s="9"/>
      <c r="X167" s="9"/>
      <c r="Y167" s="9"/>
      <c r="Z167" s="9"/>
      <c r="AA167" s="9"/>
      <c r="AB167" s="9"/>
    </row>
    <row r="168">
      <c r="A168" s="9"/>
      <c r="B168" s="9"/>
      <c r="C168" s="9"/>
      <c r="D168" s="9"/>
      <c r="E168" s="9"/>
      <c r="F168" s="435"/>
      <c r="G168" s="9"/>
      <c r="H168" s="9"/>
      <c r="I168" s="9"/>
      <c r="J168" s="9"/>
      <c r="K168" s="9"/>
      <c r="L168" s="9"/>
      <c r="M168" s="9"/>
      <c r="N168" s="9"/>
      <c r="O168" s="9"/>
      <c r="P168" s="9"/>
      <c r="Q168" s="9"/>
      <c r="R168" s="9"/>
      <c r="S168" s="436"/>
      <c r="T168" s="436"/>
      <c r="U168" s="436"/>
      <c r="V168" s="436"/>
      <c r="W168" s="9"/>
      <c r="X168" s="9"/>
      <c r="Y168" s="9"/>
      <c r="Z168" s="9"/>
      <c r="AA168" s="9"/>
      <c r="AB168" s="9"/>
    </row>
    <row r="169">
      <c r="A169" s="9"/>
      <c r="B169" s="9"/>
      <c r="C169" s="9"/>
      <c r="D169" s="9"/>
      <c r="E169" s="9"/>
      <c r="F169" s="435"/>
      <c r="G169" s="9"/>
      <c r="H169" s="9"/>
      <c r="I169" s="9"/>
      <c r="J169" s="9"/>
      <c r="K169" s="9"/>
      <c r="L169" s="9"/>
      <c r="M169" s="9"/>
      <c r="N169" s="9"/>
      <c r="O169" s="9"/>
      <c r="P169" s="9"/>
      <c r="Q169" s="9"/>
      <c r="R169" s="9"/>
      <c r="S169" s="436"/>
      <c r="T169" s="436"/>
      <c r="U169" s="436"/>
      <c r="V169" s="436"/>
      <c r="W169" s="9"/>
      <c r="X169" s="9"/>
      <c r="Y169" s="9"/>
      <c r="Z169" s="9"/>
      <c r="AA169" s="9"/>
      <c r="AB169" s="9"/>
    </row>
    <row r="170">
      <c r="A170" s="9"/>
      <c r="B170" s="9"/>
      <c r="C170" s="9"/>
      <c r="D170" s="9"/>
      <c r="E170" s="9"/>
      <c r="F170" s="435"/>
      <c r="G170" s="9"/>
      <c r="H170" s="9"/>
      <c r="I170" s="9"/>
      <c r="J170" s="9"/>
      <c r="K170" s="9"/>
      <c r="L170" s="9"/>
      <c r="M170" s="9"/>
      <c r="N170" s="9"/>
      <c r="O170" s="9"/>
      <c r="P170" s="9"/>
      <c r="Q170" s="9"/>
      <c r="R170" s="9"/>
      <c r="S170" s="436"/>
      <c r="T170" s="436"/>
      <c r="U170" s="436"/>
      <c r="V170" s="436"/>
      <c r="W170" s="9"/>
      <c r="X170" s="9"/>
      <c r="Y170" s="9"/>
      <c r="Z170" s="9"/>
      <c r="AA170" s="9"/>
      <c r="AB170" s="9"/>
    </row>
    <row r="171">
      <c r="A171" s="9"/>
      <c r="B171" s="9"/>
      <c r="C171" s="9"/>
      <c r="D171" s="9"/>
      <c r="E171" s="9"/>
      <c r="F171" s="435"/>
      <c r="G171" s="9"/>
      <c r="H171" s="9"/>
      <c r="I171" s="9"/>
      <c r="J171" s="9"/>
      <c r="K171" s="9"/>
      <c r="L171" s="9"/>
      <c r="M171" s="9"/>
      <c r="N171" s="9"/>
      <c r="O171" s="9"/>
      <c r="P171" s="9"/>
      <c r="Q171" s="9"/>
      <c r="R171" s="9"/>
      <c r="S171" s="436"/>
      <c r="T171" s="436"/>
      <c r="U171" s="436"/>
      <c r="V171" s="436"/>
      <c r="W171" s="9"/>
      <c r="X171" s="9"/>
      <c r="Y171" s="9"/>
      <c r="Z171" s="9"/>
      <c r="AA171" s="9"/>
      <c r="AB171" s="9"/>
    </row>
    <row r="172">
      <c r="A172" s="9"/>
      <c r="B172" s="9"/>
      <c r="C172" s="9"/>
      <c r="D172" s="9"/>
      <c r="E172" s="9"/>
      <c r="F172" s="435"/>
      <c r="G172" s="9"/>
      <c r="H172" s="9"/>
      <c r="I172" s="9"/>
      <c r="J172" s="9"/>
      <c r="K172" s="9"/>
      <c r="L172" s="9"/>
      <c r="M172" s="9"/>
      <c r="N172" s="9"/>
      <c r="O172" s="9"/>
      <c r="P172" s="9"/>
      <c r="Q172" s="9"/>
      <c r="R172" s="9"/>
      <c r="S172" s="436"/>
      <c r="T172" s="436"/>
      <c r="U172" s="436"/>
      <c r="V172" s="436"/>
      <c r="W172" s="9"/>
      <c r="X172" s="9"/>
      <c r="Y172" s="9"/>
      <c r="Z172" s="9"/>
      <c r="AA172" s="9"/>
      <c r="AB172" s="9"/>
    </row>
    <row r="173">
      <c r="A173" s="9"/>
      <c r="B173" s="9"/>
      <c r="C173" s="9"/>
      <c r="D173" s="9"/>
      <c r="E173" s="9"/>
      <c r="F173" s="435"/>
      <c r="G173" s="9"/>
      <c r="H173" s="9"/>
      <c r="I173" s="9"/>
      <c r="J173" s="9"/>
      <c r="K173" s="9"/>
      <c r="L173" s="9"/>
      <c r="M173" s="9"/>
      <c r="N173" s="9"/>
      <c r="O173" s="9"/>
      <c r="P173" s="9"/>
      <c r="Q173" s="9"/>
      <c r="R173" s="9"/>
      <c r="S173" s="436"/>
      <c r="T173" s="436"/>
      <c r="U173" s="436"/>
      <c r="V173" s="436"/>
      <c r="W173" s="9"/>
      <c r="X173" s="9"/>
      <c r="Y173" s="9"/>
      <c r="Z173" s="9"/>
      <c r="AA173" s="9"/>
      <c r="AB173" s="9"/>
    </row>
    <row r="174">
      <c r="A174" s="9"/>
      <c r="B174" s="9"/>
      <c r="C174" s="9"/>
      <c r="D174" s="9"/>
      <c r="E174" s="9"/>
      <c r="F174" s="435"/>
      <c r="G174" s="9"/>
      <c r="H174" s="9"/>
      <c r="I174" s="9"/>
      <c r="J174" s="9"/>
      <c r="K174" s="9"/>
      <c r="L174" s="9"/>
      <c r="M174" s="9"/>
      <c r="N174" s="9"/>
      <c r="O174" s="9"/>
      <c r="P174" s="9"/>
      <c r="Q174" s="9"/>
      <c r="R174" s="9"/>
      <c r="S174" s="436"/>
      <c r="T174" s="436"/>
      <c r="U174" s="436"/>
      <c r="V174" s="436"/>
      <c r="W174" s="9"/>
      <c r="X174" s="9"/>
      <c r="Y174" s="9"/>
      <c r="Z174" s="9"/>
      <c r="AA174" s="9"/>
      <c r="AB174" s="9"/>
    </row>
    <row r="175">
      <c r="A175" s="9"/>
      <c r="B175" s="9"/>
      <c r="C175" s="9"/>
      <c r="D175" s="9"/>
      <c r="E175" s="9"/>
      <c r="F175" s="435"/>
      <c r="G175" s="9"/>
      <c r="H175" s="9"/>
      <c r="I175" s="9"/>
      <c r="J175" s="9"/>
      <c r="K175" s="9"/>
      <c r="L175" s="9"/>
      <c r="M175" s="9"/>
      <c r="N175" s="9"/>
      <c r="O175" s="9"/>
      <c r="P175" s="9"/>
      <c r="Q175" s="9"/>
      <c r="R175" s="9"/>
      <c r="S175" s="436"/>
      <c r="T175" s="436"/>
      <c r="U175" s="436"/>
      <c r="V175" s="436"/>
      <c r="W175" s="9"/>
      <c r="X175" s="9"/>
      <c r="Y175" s="9"/>
      <c r="Z175" s="9"/>
      <c r="AA175" s="9"/>
      <c r="AB175" s="9"/>
    </row>
    <row r="176">
      <c r="A176" s="9"/>
      <c r="B176" s="9"/>
      <c r="C176" s="9"/>
      <c r="D176" s="9"/>
      <c r="E176" s="9"/>
      <c r="F176" s="435"/>
      <c r="G176" s="9"/>
      <c r="H176" s="9"/>
      <c r="I176" s="9"/>
      <c r="J176" s="9"/>
      <c r="K176" s="9"/>
      <c r="L176" s="9"/>
      <c r="M176" s="9"/>
      <c r="N176" s="9"/>
      <c r="O176" s="9"/>
      <c r="P176" s="9"/>
      <c r="Q176" s="9"/>
      <c r="R176" s="9"/>
      <c r="S176" s="436"/>
      <c r="T176" s="436"/>
      <c r="U176" s="436"/>
      <c r="V176" s="436"/>
      <c r="W176" s="9"/>
      <c r="X176" s="9"/>
      <c r="Y176" s="9"/>
      <c r="Z176" s="9"/>
      <c r="AA176" s="9"/>
      <c r="AB176" s="9"/>
    </row>
    <row r="177">
      <c r="A177" s="9"/>
      <c r="B177" s="9"/>
      <c r="C177" s="9"/>
      <c r="D177" s="9"/>
      <c r="E177" s="9"/>
      <c r="F177" s="435"/>
      <c r="G177" s="9"/>
      <c r="H177" s="9"/>
      <c r="I177" s="9"/>
      <c r="J177" s="9"/>
      <c r="K177" s="9"/>
      <c r="L177" s="9"/>
      <c r="M177" s="9"/>
      <c r="N177" s="9"/>
      <c r="O177" s="9"/>
      <c r="P177" s="9"/>
      <c r="Q177" s="9"/>
      <c r="R177" s="9"/>
      <c r="S177" s="436"/>
      <c r="T177" s="436"/>
      <c r="U177" s="436"/>
      <c r="V177" s="436"/>
      <c r="W177" s="9"/>
      <c r="X177" s="9"/>
      <c r="Y177" s="9"/>
      <c r="Z177" s="9"/>
      <c r="AA177" s="9"/>
      <c r="AB177" s="9"/>
    </row>
    <row r="178">
      <c r="A178" s="9"/>
      <c r="B178" s="9"/>
      <c r="C178" s="9"/>
      <c r="D178" s="9"/>
      <c r="E178" s="9"/>
      <c r="F178" s="435"/>
      <c r="G178" s="9"/>
      <c r="H178" s="9"/>
      <c r="I178" s="9"/>
      <c r="J178" s="9"/>
      <c r="K178" s="9"/>
      <c r="L178" s="9"/>
      <c r="M178" s="9"/>
      <c r="N178" s="9"/>
      <c r="O178" s="9"/>
      <c r="P178" s="9"/>
      <c r="Q178" s="9"/>
      <c r="R178" s="9"/>
      <c r="S178" s="436"/>
      <c r="T178" s="436"/>
      <c r="U178" s="436"/>
      <c r="V178" s="436"/>
      <c r="W178" s="9"/>
      <c r="X178" s="9"/>
      <c r="Y178" s="9"/>
      <c r="Z178" s="9"/>
      <c r="AA178" s="9"/>
      <c r="AB178" s="9"/>
    </row>
    <row r="179">
      <c r="A179" s="9"/>
      <c r="B179" s="9"/>
      <c r="C179" s="9"/>
      <c r="D179" s="9"/>
      <c r="E179" s="9"/>
      <c r="F179" s="435"/>
      <c r="G179" s="9"/>
      <c r="H179" s="9"/>
      <c r="I179" s="9"/>
      <c r="J179" s="9"/>
      <c r="K179" s="9"/>
      <c r="L179" s="9"/>
      <c r="M179" s="9"/>
      <c r="N179" s="9"/>
      <c r="O179" s="9"/>
      <c r="P179" s="9"/>
      <c r="Q179" s="9"/>
      <c r="R179" s="9"/>
      <c r="S179" s="436"/>
      <c r="T179" s="436"/>
      <c r="U179" s="436"/>
      <c r="V179" s="436"/>
      <c r="W179" s="9"/>
      <c r="X179" s="9"/>
      <c r="Y179" s="9"/>
      <c r="Z179" s="9"/>
      <c r="AA179" s="9"/>
      <c r="AB179" s="9"/>
    </row>
    <row r="180">
      <c r="A180" s="9"/>
      <c r="B180" s="9"/>
      <c r="C180" s="9"/>
      <c r="D180" s="9"/>
      <c r="E180" s="9"/>
      <c r="F180" s="435"/>
      <c r="G180" s="9"/>
      <c r="H180" s="9"/>
      <c r="I180" s="9"/>
      <c r="J180" s="9"/>
      <c r="K180" s="9"/>
      <c r="L180" s="9"/>
      <c r="M180" s="9"/>
      <c r="N180" s="9"/>
      <c r="O180" s="9"/>
      <c r="P180" s="9"/>
      <c r="Q180" s="9"/>
      <c r="R180" s="9"/>
      <c r="S180" s="436"/>
      <c r="T180" s="436"/>
      <c r="U180" s="436"/>
      <c r="V180" s="436"/>
      <c r="W180" s="9"/>
      <c r="X180" s="9"/>
      <c r="Y180" s="9"/>
      <c r="Z180" s="9"/>
      <c r="AA180" s="9"/>
      <c r="AB180" s="9"/>
    </row>
    <row r="181">
      <c r="A181" s="9"/>
      <c r="B181" s="9"/>
      <c r="C181" s="9"/>
      <c r="D181" s="9"/>
      <c r="E181" s="9"/>
      <c r="F181" s="435"/>
      <c r="G181" s="9"/>
      <c r="H181" s="9"/>
      <c r="I181" s="9"/>
      <c r="J181" s="9"/>
      <c r="K181" s="9"/>
      <c r="L181" s="9"/>
      <c r="M181" s="9"/>
      <c r="N181" s="9"/>
      <c r="O181" s="9"/>
      <c r="P181" s="9"/>
      <c r="Q181" s="9"/>
      <c r="R181" s="9"/>
      <c r="S181" s="436"/>
      <c r="T181" s="436"/>
      <c r="U181" s="436"/>
      <c r="V181" s="436"/>
      <c r="W181" s="9"/>
      <c r="X181" s="9"/>
      <c r="Y181" s="9"/>
      <c r="Z181" s="9"/>
      <c r="AA181" s="9"/>
      <c r="AB181" s="9"/>
    </row>
    <row r="182">
      <c r="A182" s="9"/>
      <c r="B182" s="9"/>
      <c r="C182" s="9"/>
      <c r="D182" s="9"/>
      <c r="E182" s="9"/>
      <c r="F182" s="435"/>
      <c r="G182" s="9"/>
      <c r="H182" s="9"/>
      <c r="I182" s="9"/>
      <c r="J182" s="9"/>
      <c r="K182" s="9"/>
      <c r="L182" s="9"/>
      <c r="M182" s="9"/>
      <c r="N182" s="9"/>
      <c r="O182" s="9"/>
      <c r="P182" s="9"/>
      <c r="Q182" s="9"/>
      <c r="R182" s="9"/>
      <c r="S182" s="436"/>
      <c r="T182" s="436"/>
      <c r="U182" s="436"/>
      <c r="V182" s="436"/>
      <c r="W182" s="9"/>
      <c r="X182" s="9"/>
      <c r="Y182" s="9"/>
      <c r="Z182" s="9"/>
      <c r="AA182" s="9"/>
      <c r="AB182" s="9"/>
    </row>
    <row r="183">
      <c r="A183" s="9"/>
      <c r="B183" s="9"/>
      <c r="C183" s="9"/>
      <c r="D183" s="9"/>
      <c r="E183" s="9"/>
      <c r="F183" s="435"/>
      <c r="G183" s="9"/>
      <c r="H183" s="9"/>
      <c r="I183" s="9"/>
      <c r="J183" s="9"/>
      <c r="K183" s="9"/>
      <c r="L183" s="9"/>
      <c r="M183" s="9"/>
      <c r="N183" s="9"/>
      <c r="O183" s="9"/>
      <c r="P183" s="9"/>
      <c r="Q183" s="9"/>
      <c r="R183" s="9"/>
      <c r="S183" s="436"/>
      <c r="T183" s="436"/>
      <c r="U183" s="436"/>
      <c r="V183" s="436"/>
      <c r="W183" s="9"/>
      <c r="X183" s="9"/>
      <c r="Y183" s="9"/>
      <c r="Z183" s="9"/>
      <c r="AA183" s="9"/>
      <c r="AB183" s="9"/>
    </row>
    <row r="184">
      <c r="A184" s="9"/>
      <c r="B184" s="9"/>
      <c r="C184" s="9"/>
      <c r="D184" s="9"/>
      <c r="E184" s="9"/>
      <c r="F184" s="435"/>
      <c r="G184" s="9"/>
      <c r="H184" s="9"/>
      <c r="I184" s="9"/>
      <c r="J184" s="9"/>
      <c r="K184" s="9"/>
      <c r="L184" s="9"/>
      <c r="M184" s="9"/>
      <c r="N184" s="9"/>
      <c r="O184" s="9"/>
      <c r="P184" s="9"/>
      <c r="Q184" s="9"/>
      <c r="R184" s="9"/>
      <c r="S184" s="436"/>
      <c r="T184" s="436"/>
      <c r="U184" s="436"/>
      <c r="V184" s="436"/>
      <c r="W184" s="9"/>
      <c r="X184" s="9"/>
      <c r="Y184" s="9"/>
      <c r="Z184" s="9"/>
      <c r="AA184" s="9"/>
      <c r="AB184" s="9"/>
    </row>
    <row r="185">
      <c r="A185" s="9"/>
      <c r="B185" s="9"/>
      <c r="C185" s="9"/>
      <c r="D185" s="9"/>
      <c r="E185" s="9"/>
      <c r="F185" s="435"/>
      <c r="G185" s="9"/>
      <c r="H185" s="9"/>
      <c r="I185" s="9"/>
      <c r="J185" s="9"/>
      <c r="K185" s="9"/>
      <c r="L185" s="9"/>
      <c r="M185" s="9"/>
      <c r="N185" s="9"/>
      <c r="O185" s="9"/>
      <c r="P185" s="9"/>
      <c r="Q185" s="9"/>
      <c r="R185" s="9"/>
      <c r="S185" s="436"/>
      <c r="T185" s="436"/>
      <c r="U185" s="436"/>
      <c r="V185" s="436"/>
      <c r="W185" s="9"/>
      <c r="X185" s="9"/>
      <c r="Y185" s="9"/>
      <c r="Z185" s="9"/>
      <c r="AA185" s="9"/>
      <c r="AB185" s="9"/>
    </row>
    <row r="186">
      <c r="A186" s="9"/>
      <c r="B186" s="9"/>
      <c r="C186" s="9"/>
      <c r="D186" s="9"/>
      <c r="E186" s="9"/>
      <c r="F186" s="435"/>
      <c r="G186" s="9"/>
      <c r="H186" s="9"/>
      <c r="I186" s="9"/>
      <c r="J186" s="9"/>
      <c r="K186" s="9"/>
      <c r="L186" s="9"/>
      <c r="M186" s="9"/>
      <c r="N186" s="9"/>
      <c r="O186" s="9"/>
      <c r="P186" s="9"/>
      <c r="Q186" s="9"/>
      <c r="R186" s="9"/>
      <c r="S186" s="436"/>
      <c r="T186" s="436"/>
      <c r="U186" s="436"/>
      <c r="V186" s="436"/>
      <c r="W186" s="9"/>
      <c r="X186" s="9"/>
      <c r="Y186" s="9"/>
      <c r="Z186" s="9"/>
      <c r="AA186" s="9"/>
      <c r="AB186" s="9"/>
    </row>
    <row r="187">
      <c r="A187" s="9"/>
      <c r="B187" s="9"/>
      <c r="C187" s="9"/>
      <c r="D187" s="9"/>
      <c r="E187" s="9"/>
      <c r="F187" s="435"/>
      <c r="G187" s="9"/>
      <c r="H187" s="9"/>
      <c r="I187" s="9"/>
      <c r="J187" s="9"/>
      <c r="K187" s="9"/>
      <c r="L187" s="9"/>
      <c r="M187" s="9"/>
      <c r="N187" s="9"/>
      <c r="O187" s="9"/>
      <c r="P187" s="9"/>
      <c r="Q187" s="9"/>
      <c r="R187" s="9"/>
      <c r="S187" s="436"/>
      <c r="T187" s="436"/>
      <c r="U187" s="436"/>
      <c r="V187" s="436"/>
      <c r="W187" s="9"/>
      <c r="X187" s="9"/>
      <c r="Y187" s="9"/>
      <c r="Z187" s="9"/>
      <c r="AA187" s="9"/>
      <c r="AB187" s="9"/>
    </row>
    <row r="188">
      <c r="A188" s="9"/>
      <c r="B188" s="9"/>
      <c r="C188" s="9"/>
      <c r="D188" s="9"/>
      <c r="E188" s="9"/>
      <c r="F188" s="435"/>
      <c r="G188" s="9"/>
      <c r="H188" s="9"/>
      <c r="I188" s="9"/>
      <c r="J188" s="9"/>
      <c r="K188" s="9"/>
      <c r="L188" s="9"/>
      <c r="M188" s="9"/>
      <c r="N188" s="9"/>
      <c r="O188" s="9"/>
      <c r="P188" s="9"/>
      <c r="Q188" s="9"/>
      <c r="R188" s="9"/>
      <c r="S188" s="436"/>
      <c r="T188" s="436"/>
      <c r="U188" s="436"/>
      <c r="V188" s="436"/>
      <c r="W188" s="9"/>
      <c r="X188" s="9"/>
      <c r="Y188" s="9"/>
      <c r="Z188" s="9"/>
      <c r="AA188" s="9"/>
      <c r="AB188" s="9"/>
    </row>
    <row r="189">
      <c r="A189" s="9"/>
      <c r="B189" s="9"/>
      <c r="C189" s="9"/>
      <c r="D189" s="9"/>
      <c r="E189" s="9"/>
      <c r="F189" s="435"/>
      <c r="G189" s="9"/>
      <c r="H189" s="9"/>
      <c r="I189" s="9"/>
      <c r="J189" s="9"/>
      <c r="K189" s="9"/>
      <c r="L189" s="9"/>
      <c r="M189" s="9"/>
      <c r="N189" s="9"/>
      <c r="O189" s="9"/>
      <c r="P189" s="9"/>
      <c r="Q189" s="9"/>
      <c r="R189" s="9"/>
      <c r="S189" s="436"/>
      <c r="T189" s="436"/>
      <c r="U189" s="436"/>
      <c r="V189" s="436"/>
      <c r="W189" s="9"/>
      <c r="X189" s="9"/>
      <c r="Y189" s="9"/>
      <c r="Z189" s="9"/>
      <c r="AA189" s="9"/>
      <c r="AB189" s="9"/>
    </row>
    <row r="190">
      <c r="A190" s="9"/>
      <c r="B190" s="9"/>
      <c r="C190" s="9"/>
      <c r="D190" s="9"/>
      <c r="E190" s="9"/>
      <c r="F190" s="435"/>
      <c r="G190" s="9"/>
      <c r="H190" s="9"/>
      <c r="I190" s="9"/>
      <c r="J190" s="9"/>
      <c r="K190" s="9"/>
      <c r="L190" s="9"/>
      <c r="M190" s="9"/>
      <c r="N190" s="9"/>
      <c r="O190" s="9"/>
      <c r="P190" s="9"/>
      <c r="Q190" s="9"/>
      <c r="R190" s="9"/>
      <c r="S190" s="436"/>
      <c r="T190" s="436"/>
      <c r="U190" s="436"/>
      <c r="V190" s="436"/>
      <c r="W190" s="9"/>
      <c r="X190" s="9"/>
      <c r="Y190" s="9"/>
      <c r="Z190" s="9"/>
      <c r="AA190" s="9"/>
      <c r="AB190" s="9"/>
    </row>
    <row r="191">
      <c r="A191" s="9"/>
      <c r="B191" s="9"/>
      <c r="C191" s="9"/>
      <c r="D191" s="9"/>
      <c r="E191" s="9"/>
      <c r="F191" s="435"/>
      <c r="G191" s="9"/>
      <c r="H191" s="9"/>
      <c r="I191" s="9"/>
      <c r="J191" s="9"/>
      <c r="K191" s="9"/>
      <c r="L191" s="9"/>
      <c r="M191" s="9"/>
      <c r="N191" s="9"/>
      <c r="O191" s="9"/>
      <c r="P191" s="9"/>
      <c r="Q191" s="9"/>
      <c r="R191" s="9"/>
      <c r="S191" s="436"/>
      <c r="T191" s="436"/>
      <c r="U191" s="436"/>
      <c r="V191" s="436"/>
      <c r="W191" s="9"/>
      <c r="X191" s="9"/>
      <c r="Y191" s="9"/>
      <c r="Z191" s="9"/>
      <c r="AA191" s="9"/>
      <c r="AB191" s="9"/>
    </row>
    <row r="192">
      <c r="A192" s="9"/>
      <c r="B192" s="9"/>
      <c r="C192" s="9"/>
      <c r="D192" s="9"/>
      <c r="E192" s="9"/>
      <c r="F192" s="435"/>
      <c r="G192" s="9"/>
      <c r="H192" s="9"/>
      <c r="I192" s="9"/>
      <c r="J192" s="9"/>
      <c r="K192" s="9"/>
      <c r="L192" s="9"/>
      <c r="M192" s="9"/>
      <c r="N192" s="9"/>
      <c r="O192" s="9"/>
      <c r="P192" s="9"/>
      <c r="Q192" s="9"/>
      <c r="R192" s="9"/>
      <c r="S192" s="436"/>
      <c r="T192" s="436"/>
      <c r="U192" s="436"/>
      <c r="V192" s="436"/>
      <c r="W192" s="9"/>
      <c r="X192" s="9"/>
      <c r="Y192" s="9"/>
      <c r="Z192" s="9"/>
      <c r="AA192" s="9"/>
      <c r="AB192" s="9"/>
    </row>
    <row r="193">
      <c r="A193" s="9"/>
      <c r="B193" s="9"/>
      <c r="C193" s="9"/>
      <c r="D193" s="9"/>
      <c r="E193" s="9"/>
      <c r="F193" s="435"/>
      <c r="G193" s="9"/>
      <c r="H193" s="9"/>
      <c r="I193" s="9"/>
      <c r="J193" s="9"/>
      <c r="K193" s="9"/>
      <c r="L193" s="9"/>
      <c r="M193" s="9"/>
      <c r="N193" s="9"/>
      <c r="O193" s="9"/>
      <c r="P193" s="9"/>
      <c r="Q193" s="9"/>
      <c r="R193" s="9"/>
      <c r="S193" s="436"/>
      <c r="T193" s="436"/>
      <c r="U193" s="436"/>
      <c r="V193" s="436"/>
      <c r="W193" s="9"/>
      <c r="X193" s="9"/>
      <c r="Y193" s="9"/>
      <c r="Z193" s="9"/>
      <c r="AA193" s="9"/>
      <c r="AB193" s="9"/>
    </row>
    <row r="194">
      <c r="A194" s="9"/>
      <c r="B194" s="9"/>
      <c r="C194" s="9"/>
      <c r="D194" s="9"/>
      <c r="E194" s="9"/>
      <c r="F194" s="435"/>
      <c r="G194" s="9"/>
      <c r="H194" s="9"/>
      <c r="I194" s="9"/>
      <c r="J194" s="9"/>
      <c r="K194" s="9"/>
      <c r="L194" s="9"/>
      <c r="M194" s="9"/>
      <c r="N194" s="9"/>
      <c r="O194" s="9"/>
      <c r="P194" s="9"/>
      <c r="Q194" s="9"/>
      <c r="R194" s="9"/>
      <c r="S194" s="436"/>
      <c r="T194" s="436"/>
      <c r="U194" s="436"/>
      <c r="V194" s="436"/>
      <c r="W194" s="9"/>
      <c r="X194" s="9"/>
      <c r="Y194" s="9"/>
      <c r="Z194" s="9"/>
      <c r="AA194" s="9"/>
      <c r="AB194" s="9"/>
    </row>
    <row r="195">
      <c r="A195" s="9"/>
      <c r="B195" s="9"/>
      <c r="C195" s="9"/>
      <c r="D195" s="9"/>
      <c r="E195" s="9"/>
      <c r="F195" s="435"/>
      <c r="G195" s="9"/>
      <c r="H195" s="9"/>
      <c r="I195" s="9"/>
      <c r="J195" s="9"/>
      <c r="K195" s="9"/>
      <c r="L195" s="9"/>
      <c r="M195" s="9"/>
      <c r="N195" s="9"/>
      <c r="O195" s="9"/>
      <c r="P195" s="9"/>
      <c r="Q195" s="9"/>
      <c r="R195" s="9"/>
      <c r="S195" s="436"/>
      <c r="T195" s="436"/>
      <c r="U195" s="436"/>
      <c r="V195" s="436"/>
      <c r="W195" s="9"/>
      <c r="X195" s="9"/>
      <c r="Y195" s="9"/>
      <c r="Z195" s="9"/>
      <c r="AA195" s="9"/>
      <c r="AB195" s="9"/>
    </row>
    <row r="196">
      <c r="A196" s="9"/>
      <c r="B196" s="9"/>
      <c r="C196" s="9"/>
      <c r="D196" s="9"/>
      <c r="E196" s="9"/>
      <c r="F196" s="435"/>
      <c r="G196" s="9"/>
      <c r="H196" s="9"/>
      <c r="I196" s="9"/>
      <c r="J196" s="9"/>
      <c r="K196" s="9"/>
      <c r="L196" s="9"/>
      <c r="M196" s="9"/>
      <c r="N196" s="9"/>
      <c r="O196" s="9"/>
      <c r="P196" s="9"/>
      <c r="Q196" s="9"/>
      <c r="R196" s="9"/>
      <c r="S196" s="436"/>
      <c r="T196" s="436"/>
      <c r="U196" s="436"/>
      <c r="V196" s="436"/>
      <c r="W196" s="9"/>
      <c r="X196" s="9"/>
      <c r="Y196" s="9"/>
      <c r="Z196" s="9"/>
      <c r="AA196" s="9"/>
      <c r="AB196" s="9"/>
    </row>
    <row r="197">
      <c r="A197" s="9"/>
      <c r="B197" s="9"/>
      <c r="C197" s="9"/>
      <c r="D197" s="9"/>
      <c r="E197" s="9"/>
      <c r="F197" s="435"/>
      <c r="G197" s="9"/>
      <c r="H197" s="9"/>
      <c r="I197" s="9"/>
      <c r="J197" s="9"/>
      <c r="K197" s="9"/>
      <c r="L197" s="9"/>
      <c r="M197" s="9"/>
      <c r="N197" s="9"/>
      <c r="O197" s="9"/>
      <c r="P197" s="9"/>
      <c r="Q197" s="9"/>
      <c r="R197" s="9"/>
      <c r="S197" s="436"/>
      <c r="T197" s="436"/>
      <c r="U197" s="436"/>
      <c r="V197" s="436"/>
      <c r="W197" s="9"/>
      <c r="X197" s="9"/>
      <c r="Y197" s="9"/>
      <c r="Z197" s="9"/>
      <c r="AA197" s="9"/>
      <c r="AB197" s="9"/>
    </row>
    <row r="198">
      <c r="A198" s="9"/>
      <c r="B198" s="9"/>
      <c r="C198" s="9"/>
      <c r="D198" s="9"/>
      <c r="E198" s="9"/>
      <c r="F198" s="435"/>
      <c r="G198" s="9"/>
      <c r="H198" s="9"/>
      <c r="I198" s="9"/>
      <c r="J198" s="9"/>
      <c r="K198" s="9"/>
      <c r="L198" s="9"/>
      <c r="M198" s="9"/>
      <c r="N198" s="9"/>
      <c r="O198" s="9"/>
      <c r="P198" s="9"/>
      <c r="Q198" s="9"/>
      <c r="R198" s="9"/>
      <c r="S198" s="436"/>
      <c r="T198" s="436"/>
      <c r="U198" s="436"/>
      <c r="V198" s="436"/>
      <c r="W198" s="9"/>
      <c r="X198" s="9"/>
      <c r="Y198" s="9"/>
      <c r="Z198" s="9"/>
      <c r="AA198" s="9"/>
      <c r="AB198" s="9"/>
    </row>
    <row r="199">
      <c r="A199" s="9"/>
      <c r="B199" s="9"/>
      <c r="C199" s="9"/>
      <c r="D199" s="9"/>
      <c r="E199" s="9"/>
      <c r="F199" s="435"/>
      <c r="G199" s="9"/>
      <c r="H199" s="9"/>
      <c r="I199" s="9"/>
      <c r="J199" s="9"/>
      <c r="K199" s="9"/>
      <c r="L199" s="9"/>
      <c r="M199" s="9"/>
      <c r="N199" s="9"/>
      <c r="O199" s="9"/>
      <c r="P199" s="9"/>
      <c r="Q199" s="9"/>
      <c r="R199" s="9"/>
      <c r="S199" s="436"/>
      <c r="T199" s="436"/>
      <c r="U199" s="436"/>
      <c r="V199" s="436"/>
      <c r="W199" s="9"/>
      <c r="X199" s="9"/>
      <c r="Y199" s="9"/>
      <c r="Z199" s="9"/>
      <c r="AA199" s="9"/>
      <c r="AB199" s="9"/>
    </row>
    <row r="200">
      <c r="A200" s="9"/>
      <c r="B200" s="9"/>
      <c r="C200" s="9"/>
      <c r="D200" s="9"/>
      <c r="E200" s="9"/>
      <c r="F200" s="435"/>
      <c r="G200" s="9"/>
      <c r="H200" s="9"/>
      <c r="I200" s="9"/>
      <c r="J200" s="9"/>
      <c r="K200" s="9"/>
      <c r="L200" s="9"/>
      <c r="M200" s="9"/>
      <c r="N200" s="9"/>
      <c r="O200" s="9"/>
      <c r="P200" s="9"/>
      <c r="Q200" s="9"/>
      <c r="R200" s="9"/>
      <c r="S200" s="436"/>
      <c r="T200" s="436"/>
      <c r="U200" s="436"/>
      <c r="V200" s="436"/>
      <c r="W200" s="9"/>
      <c r="X200" s="9"/>
      <c r="Y200" s="9"/>
      <c r="Z200" s="9"/>
      <c r="AA200" s="9"/>
      <c r="AB200" s="9"/>
    </row>
    <row r="201">
      <c r="A201" s="9"/>
      <c r="B201" s="9"/>
      <c r="C201" s="9"/>
      <c r="D201" s="9"/>
      <c r="E201" s="9"/>
      <c r="F201" s="435"/>
      <c r="G201" s="9"/>
      <c r="H201" s="9"/>
      <c r="I201" s="9"/>
      <c r="J201" s="9"/>
      <c r="K201" s="9"/>
      <c r="L201" s="9"/>
      <c r="M201" s="9"/>
      <c r="N201" s="9"/>
      <c r="O201" s="9"/>
      <c r="P201" s="9"/>
      <c r="Q201" s="9"/>
      <c r="R201" s="9"/>
      <c r="S201" s="436"/>
      <c r="T201" s="436"/>
      <c r="U201" s="436"/>
      <c r="V201" s="436"/>
      <c r="W201" s="9"/>
      <c r="X201" s="9"/>
      <c r="Y201" s="9"/>
      <c r="Z201" s="9"/>
      <c r="AA201" s="9"/>
      <c r="AB201" s="9"/>
    </row>
    <row r="202">
      <c r="A202" s="9"/>
      <c r="B202" s="9"/>
      <c r="C202" s="9"/>
      <c r="D202" s="9"/>
      <c r="E202" s="9"/>
      <c r="F202" s="435"/>
      <c r="G202" s="9"/>
      <c r="H202" s="9"/>
      <c r="I202" s="9"/>
      <c r="J202" s="9"/>
      <c r="K202" s="9"/>
      <c r="L202" s="9"/>
      <c r="M202" s="9"/>
      <c r="N202" s="9"/>
      <c r="O202" s="9"/>
      <c r="P202" s="9"/>
      <c r="Q202" s="9"/>
      <c r="R202" s="9"/>
      <c r="S202" s="436"/>
      <c r="T202" s="436"/>
      <c r="U202" s="436"/>
      <c r="V202" s="436"/>
      <c r="W202" s="9"/>
      <c r="X202" s="9"/>
      <c r="Y202" s="9"/>
      <c r="Z202" s="9"/>
      <c r="AA202" s="9"/>
      <c r="AB202" s="9"/>
    </row>
    <row r="203">
      <c r="A203" s="9"/>
      <c r="B203" s="9"/>
      <c r="C203" s="9"/>
      <c r="D203" s="9"/>
      <c r="E203" s="9"/>
      <c r="F203" s="435"/>
      <c r="G203" s="9"/>
      <c r="H203" s="9"/>
      <c r="I203" s="9"/>
      <c r="J203" s="9"/>
      <c r="K203" s="9"/>
      <c r="L203" s="9"/>
      <c r="M203" s="9"/>
      <c r="N203" s="9"/>
      <c r="O203" s="9"/>
      <c r="P203" s="9"/>
      <c r="Q203" s="9"/>
      <c r="R203" s="9"/>
      <c r="S203" s="436"/>
      <c r="T203" s="436"/>
      <c r="U203" s="436"/>
      <c r="V203" s="436"/>
      <c r="W203" s="9"/>
      <c r="X203" s="9"/>
      <c r="Y203" s="9"/>
      <c r="Z203" s="9"/>
      <c r="AA203" s="9"/>
      <c r="AB203" s="9"/>
    </row>
    <row r="204">
      <c r="A204" s="9"/>
      <c r="B204" s="9"/>
      <c r="C204" s="9"/>
      <c r="D204" s="9"/>
      <c r="E204" s="9"/>
      <c r="F204" s="435"/>
      <c r="G204" s="9"/>
      <c r="H204" s="9"/>
      <c r="I204" s="9"/>
      <c r="J204" s="9"/>
      <c r="K204" s="9"/>
      <c r="L204" s="9"/>
      <c r="M204" s="9"/>
      <c r="N204" s="9"/>
      <c r="O204" s="9"/>
      <c r="P204" s="9"/>
      <c r="Q204" s="9"/>
      <c r="R204" s="9"/>
      <c r="S204" s="436"/>
      <c r="T204" s="436"/>
      <c r="U204" s="436"/>
      <c r="V204" s="436"/>
      <c r="W204" s="9"/>
      <c r="X204" s="9"/>
      <c r="Y204" s="9"/>
      <c r="Z204" s="9"/>
      <c r="AA204" s="9"/>
      <c r="AB204" s="9"/>
    </row>
    <row r="205">
      <c r="A205" s="9"/>
      <c r="B205" s="9"/>
      <c r="C205" s="9"/>
      <c r="D205" s="9"/>
      <c r="E205" s="9"/>
      <c r="F205" s="435"/>
      <c r="G205" s="9"/>
      <c r="H205" s="9"/>
      <c r="I205" s="9"/>
      <c r="J205" s="9"/>
      <c r="K205" s="9"/>
      <c r="L205" s="9"/>
      <c r="M205" s="9"/>
      <c r="N205" s="9"/>
      <c r="O205" s="9"/>
      <c r="P205" s="9"/>
      <c r="Q205" s="9"/>
      <c r="R205" s="9"/>
      <c r="S205" s="436"/>
      <c r="T205" s="436"/>
      <c r="U205" s="436"/>
      <c r="V205" s="436"/>
      <c r="W205" s="9"/>
      <c r="X205" s="9"/>
      <c r="Y205" s="9"/>
      <c r="Z205" s="9"/>
      <c r="AA205" s="9"/>
      <c r="AB205" s="9"/>
    </row>
    <row r="206">
      <c r="A206" s="9"/>
      <c r="B206" s="9"/>
      <c r="C206" s="9"/>
      <c r="D206" s="9"/>
      <c r="E206" s="9"/>
      <c r="F206" s="435"/>
      <c r="G206" s="9"/>
      <c r="H206" s="9"/>
      <c r="I206" s="9"/>
      <c r="J206" s="9"/>
      <c r="K206" s="9"/>
      <c r="L206" s="9"/>
      <c r="M206" s="9"/>
      <c r="N206" s="9"/>
      <c r="O206" s="9"/>
      <c r="P206" s="9"/>
      <c r="Q206" s="9"/>
      <c r="R206" s="9"/>
      <c r="S206" s="436"/>
      <c r="T206" s="436"/>
      <c r="U206" s="436"/>
      <c r="V206" s="436"/>
      <c r="W206" s="9"/>
      <c r="X206" s="9"/>
      <c r="Y206" s="9"/>
      <c r="Z206" s="9"/>
      <c r="AA206" s="9"/>
      <c r="AB206" s="9"/>
    </row>
    <row r="207">
      <c r="A207" s="9"/>
      <c r="B207" s="9"/>
      <c r="C207" s="9"/>
      <c r="D207" s="9"/>
      <c r="E207" s="9"/>
      <c r="F207" s="435"/>
      <c r="G207" s="9"/>
      <c r="H207" s="9"/>
      <c r="I207" s="9"/>
      <c r="J207" s="9"/>
      <c r="K207" s="9"/>
      <c r="L207" s="9"/>
      <c r="M207" s="9"/>
      <c r="N207" s="9"/>
      <c r="O207" s="9"/>
      <c r="P207" s="9"/>
      <c r="Q207" s="9"/>
      <c r="R207" s="9"/>
      <c r="S207" s="436"/>
      <c r="T207" s="436"/>
      <c r="U207" s="436"/>
      <c r="V207" s="436"/>
      <c r="W207" s="9"/>
      <c r="X207" s="9"/>
      <c r="Y207" s="9"/>
      <c r="Z207" s="9"/>
      <c r="AA207" s="9"/>
      <c r="AB207" s="9"/>
    </row>
    <row r="208">
      <c r="A208" s="9"/>
      <c r="B208" s="9"/>
      <c r="C208" s="9"/>
      <c r="D208" s="9"/>
      <c r="E208" s="9"/>
      <c r="F208" s="435"/>
      <c r="G208" s="9"/>
      <c r="H208" s="9"/>
      <c r="I208" s="9"/>
      <c r="J208" s="9"/>
      <c r="K208" s="9"/>
      <c r="L208" s="9"/>
      <c r="M208" s="9"/>
      <c r="N208" s="9"/>
      <c r="O208" s="9"/>
      <c r="P208" s="9"/>
      <c r="Q208" s="9"/>
      <c r="R208" s="9"/>
      <c r="S208" s="436"/>
      <c r="T208" s="436"/>
      <c r="U208" s="436"/>
      <c r="V208" s="436"/>
      <c r="W208" s="9"/>
      <c r="X208" s="9"/>
      <c r="Y208" s="9"/>
      <c r="Z208" s="9"/>
      <c r="AA208" s="9"/>
      <c r="AB208" s="9"/>
    </row>
    <row r="209">
      <c r="A209" s="9"/>
      <c r="B209" s="9"/>
      <c r="C209" s="9"/>
      <c r="D209" s="9"/>
      <c r="E209" s="9"/>
      <c r="F209" s="435"/>
      <c r="G209" s="9"/>
      <c r="H209" s="9"/>
      <c r="I209" s="9"/>
      <c r="J209" s="9"/>
      <c r="K209" s="9"/>
      <c r="L209" s="9"/>
      <c r="M209" s="9"/>
      <c r="N209" s="9"/>
      <c r="O209" s="9"/>
      <c r="P209" s="9"/>
      <c r="Q209" s="9"/>
      <c r="R209" s="9"/>
      <c r="S209" s="436"/>
      <c r="T209" s="436"/>
      <c r="U209" s="436"/>
      <c r="V209" s="436"/>
      <c r="W209" s="9"/>
      <c r="X209" s="9"/>
      <c r="Y209" s="9"/>
      <c r="Z209" s="9"/>
      <c r="AA209" s="9"/>
      <c r="AB209" s="9"/>
    </row>
    <row r="210">
      <c r="A210" s="9"/>
      <c r="B210" s="9"/>
      <c r="C210" s="9"/>
      <c r="D210" s="9"/>
      <c r="E210" s="9"/>
      <c r="F210" s="435"/>
      <c r="G210" s="9"/>
      <c r="H210" s="9"/>
      <c r="I210" s="9"/>
      <c r="J210" s="9"/>
      <c r="K210" s="9"/>
      <c r="L210" s="9"/>
      <c r="M210" s="9"/>
      <c r="N210" s="9"/>
      <c r="O210" s="9"/>
      <c r="P210" s="9"/>
      <c r="Q210" s="9"/>
      <c r="R210" s="9"/>
      <c r="S210" s="436"/>
      <c r="T210" s="436"/>
      <c r="U210" s="436"/>
      <c r="V210" s="436"/>
      <c r="W210" s="9"/>
      <c r="X210" s="9"/>
      <c r="Y210" s="9"/>
      <c r="Z210" s="9"/>
      <c r="AA210" s="9"/>
      <c r="AB210" s="9"/>
    </row>
    <row r="211">
      <c r="A211" s="9"/>
      <c r="B211" s="9"/>
      <c r="C211" s="9"/>
      <c r="D211" s="9"/>
      <c r="E211" s="9"/>
      <c r="F211" s="435"/>
      <c r="G211" s="9"/>
      <c r="H211" s="9"/>
      <c r="I211" s="9"/>
      <c r="J211" s="9"/>
      <c r="K211" s="9"/>
      <c r="L211" s="9"/>
      <c r="M211" s="9"/>
      <c r="N211" s="9"/>
      <c r="O211" s="9"/>
      <c r="P211" s="9"/>
      <c r="Q211" s="9"/>
      <c r="R211" s="9"/>
      <c r="S211" s="436"/>
      <c r="T211" s="436"/>
      <c r="U211" s="436"/>
      <c r="V211" s="436"/>
      <c r="W211" s="9"/>
      <c r="X211" s="9"/>
      <c r="Y211" s="9"/>
      <c r="Z211" s="9"/>
      <c r="AA211" s="9"/>
      <c r="AB211" s="9"/>
    </row>
    <row r="212">
      <c r="A212" s="9"/>
      <c r="B212" s="9"/>
      <c r="C212" s="9"/>
      <c r="D212" s="9"/>
      <c r="E212" s="9"/>
      <c r="F212" s="435"/>
      <c r="G212" s="9"/>
      <c r="H212" s="9"/>
      <c r="I212" s="9"/>
      <c r="J212" s="9"/>
      <c r="K212" s="9"/>
      <c r="L212" s="9"/>
      <c r="M212" s="9"/>
      <c r="N212" s="9"/>
      <c r="O212" s="9"/>
      <c r="P212" s="9"/>
      <c r="Q212" s="9"/>
      <c r="R212" s="9"/>
      <c r="S212" s="436"/>
      <c r="T212" s="436"/>
      <c r="U212" s="436"/>
      <c r="V212" s="436"/>
      <c r="W212" s="9"/>
      <c r="X212" s="9"/>
      <c r="Y212" s="9"/>
      <c r="Z212" s="9"/>
      <c r="AA212" s="9"/>
      <c r="AB212" s="9"/>
    </row>
    <row r="213">
      <c r="A213" s="9"/>
      <c r="B213" s="9"/>
      <c r="C213" s="9"/>
      <c r="D213" s="9"/>
      <c r="E213" s="9"/>
      <c r="F213" s="435"/>
      <c r="G213" s="9"/>
      <c r="H213" s="9"/>
      <c r="I213" s="9"/>
      <c r="J213" s="9"/>
      <c r="K213" s="9"/>
      <c r="L213" s="9"/>
      <c r="M213" s="9"/>
      <c r="N213" s="9"/>
      <c r="O213" s="9"/>
      <c r="P213" s="9"/>
      <c r="Q213" s="9"/>
      <c r="R213" s="9"/>
      <c r="S213" s="436"/>
      <c r="T213" s="436"/>
      <c r="U213" s="436"/>
      <c r="V213" s="436"/>
      <c r="W213" s="9"/>
      <c r="X213" s="9"/>
      <c r="Y213" s="9"/>
      <c r="Z213" s="9"/>
      <c r="AA213" s="9"/>
      <c r="AB213" s="9"/>
    </row>
    <row r="214">
      <c r="A214" s="9"/>
      <c r="B214" s="9"/>
      <c r="C214" s="9"/>
      <c r="D214" s="9"/>
      <c r="E214" s="9"/>
      <c r="F214" s="435"/>
      <c r="G214" s="9"/>
      <c r="H214" s="9"/>
      <c r="I214" s="9"/>
      <c r="J214" s="9"/>
      <c r="K214" s="9"/>
      <c r="L214" s="9"/>
      <c r="M214" s="9"/>
      <c r="N214" s="9"/>
      <c r="O214" s="9"/>
      <c r="P214" s="9"/>
      <c r="Q214" s="9"/>
      <c r="R214" s="9"/>
      <c r="S214" s="436"/>
      <c r="T214" s="436"/>
      <c r="U214" s="436"/>
      <c r="V214" s="436"/>
      <c r="W214" s="9"/>
      <c r="X214" s="9"/>
      <c r="Y214" s="9"/>
      <c r="Z214" s="9"/>
      <c r="AA214" s="9"/>
      <c r="AB214" s="9"/>
    </row>
    <row r="215">
      <c r="A215" s="9"/>
      <c r="B215" s="9"/>
      <c r="C215" s="9"/>
      <c r="D215" s="9"/>
      <c r="E215" s="9"/>
      <c r="F215" s="435"/>
      <c r="G215" s="9"/>
      <c r="H215" s="9"/>
      <c r="I215" s="9"/>
      <c r="J215" s="9"/>
      <c r="K215" s="9"/>
      <c r="L215" s="9"/>
      <c r="M215" s="9"/>
      <c r="N215" s="9"/>
      <c r="O215" s="9"/>
      <c r="P215" s="9"/>
      <c r="Q215" s="9"/>
      <c r="R215" s="9"/>
      <c r="S215" s="436"/>
      <c r="T215" s="436"/>
      <c r="U215" s="436"/>
      <c r="V215" s="436"/>
      <c r="W215" s="9"/>
      <c r="X215" s="9"/>
      <c r="Y215" s="9"/>
      <c r="Z215" s="9"/>
      <c r="AA215" s="9"/>
      <c r="AB215" s="9"/>
    </row>
    <row r="216">
      <c r="A216" s="9"/>
      <c r="B216" s="9"/>
      <c r="C216" s="9"/>
      <c r="D216" s="9"/>
      <c r="E216" s="9"/>
      <c r="F216" s="435"/>
      <c r="G216" s="9"/>
      <c r="H216" s="9"/>
      <c r="I216" s="9"/>
      <c r="J216" s="9"/>
      <c r="K216" s="9"/>
      <c r="L216" s="9"/>
      <c r="M216" s="9"/>
      <c r="N216" s="9"/>
      <c r="O216" s="9"/>
      <c r="P216" s="9"/>
      <c r="Q216" s="9"/>
      <c r="R216" s="9"/>
      <c r="S216" s="436"/>
      <c r="T216" s="436"/>
      <c r="U216" s="436"/>
      <c r="V216" s="436"/>
      <c r="W216" s="9"/>
      <c r="X216" s="9"/>
      <c r="Y216" s="9"/>
      <c r="Z216" s="9"/>
      <c r="AA216" s="9"/>
      <c r="AB216" s="9"/>
    </row>
    <row r="217">
      <c r="A217" s="9"/>
      <c r="B217" s="9"/>
      <c r="C217" s="9"/>
      <c r="D217" s="9"/>
      <c r="E217" s="9"/>
      <c r="F217" s="435"/>
      <c r="G217" s="9"/>
      <c r="H217" s="9"/>
      <c r="I217" s="9"/>
      <c r="J217" s="9"/>
      <c r="K217" s="9"/>
      <c r="L217" s="9"/>
      <c r="M217" s="9"/>
      <c r="N217" s="9"/>
      <c r="O217" s="9"/>
      <c r="P217" s="9"/>
      <c r="Q217" s="9"/>
      <c r="R217" s="9"/>
      <c r="S217" s="436"/>
      <c r="T217" s="436"/>
      <c r="U217" s="436"/>
      <c r="V217" s="436"/>
      <c r="W217" s="9"/>
      <c r="X217" s="9"/>
      <c r="Y217" s="9"/>
      <c r="Z217" s="9"/>
      <c r="AA217" s="9"/>
      <c r="AB217" s="9"/>
    </row>
    <row r="218">
      <c r="A218" s="9"/>
      <c r="B218" s="9"/>
      <c r="C218" s="9"/>
      <c r="D218" s="9"/>
      <c r="E218" s="9"/>
      <c r="F218" s="435"/>
      <c r="G218" s="9"/>
      <c r="H218" s="9"/>
      <c r="I218" s="9"/>
      <c r="J218" s="9"/>
      <c r="K218" s="9"/>
      <c r="L218" s="9"/>
      <c r="M218" s="9"/>
      <c r="N218" s="9"/>
      <c r="O218" s="9"/>
      <c r="P218" s="9"/>
      <c r="Q218" s="9"/>
      <c r="R218" s="9"/>
      <c r="S218" s="436"/>
      <c r="T218" s="436"/>
      <c r="U218" s="436"/>
      <c r="V218" s="436"/>
      <c r="W218" s="9"/>
      <c r="X218" s="9"/>
      <c r="Y218" s="9"/>
      <c r="Z218" s="9"/>
      <c r="AA218" s="9"/>
      <c r="AB218" s="9"/>
    </row>
    <row r="219">
      <c r="A219" s="9"/>
      <c r="B219" s="9"/>
      <c r="C219" s="9"/>
      <c r="D219" s="9"/>
      <c r="E219" s="9"/>
      <c r="F219" s="435"/>
      <c r="G219" s="9"/>
      <c r="H219" s="9"/>
      <c r="I219" s="9"/>
      <c r="J219" s="9"/>
      <c r="K219" s="9"/>
      <c r="L219" s="9"/>
      <c r="M219" s="9"/>
      <c r="N219" s="9"/>
      <c r="O219" s="9"/>
      <c r="P219" s="9"/>
      <c r="Q219" s="9"/>
      <c r="R219" s="9"/>
      <c r="S219" s="436"/>
      <c r="T219" s="436"/>
      <c r="U219" s="436"/>
      <c r="V219" s="436"/>
      <c r="W219" s="9"/>
      <c r="X219" s="9"/>
      <c r="Y219" s="9"/>
      <c r="Z219" s="9"/>
      <c r="AA219" s="9"/>
      <c r="AB219" s="9"/>
    </row>
    <row r="220">
      <c r="A220" s="9"/>
      <c r="B220" s="9"/>
      <c r="C220" s="9"/>
      <c r="D220" s="9"/>
      <c r="E220" s="9"/>
      <c r="F220" s="435"/>
      <c r="G220" s="9"/>
      <c r="H220" s="9"/>
      <c r="I220" s="9"/>
      <c r="J220" s="9"/>
      <c r="K220" s="9"/>
      <c r="L220" s="9"/>
      <c r="M220" s="9"/>
      <c r="N220" s="9"/>
      <c r="O220" s="9"/>
      <c r="P220" s="9"/>
      <c r="Q220" s="9"/>
      <c r="R220" s="9"/>
      <c r="S220" s="436"/>
      <c r="T220" s="436"/>
      <c r="U220" s="436"/>
      <c r="V220" s="436"/>
      <c r="W220" s="9"/>
      <c r="X220" s="9"/>
      <c r="Y220" s="9"/>
      <c r="Z220" s="9"/>
      <c r="AA220" s="9"/>
      <c r="AB220" s="9"/>
    </row>
    <row r="221">
      <c r="A221" s="9"/>
      <c r="B221" s="9"/>
      <c r="C221" s="9"/>
      <c r="D221" s="9"/>
      <c r="E221" s="9"/>
      <c r="F221" s="435"/>
      <c r="G221" s="9"/>
      <c r="H221" s="9"/>
      <c r="I221" s="9"/>
      <c r="J221" s="9"/>
      <c r="K221" s="9"/>
      <c r="L221" s="9"/>
      <c r="M221" s="9"/>
      <c r="N221" s="9"/>
      <c r="O221" s="9"/>
      <c r="P221" s="9"/>
      <c r="Q221" s="9"/>
      <c r="R221" s="9"/>
      <c r="S221" s="436"/>
      <c r="T221" s="436"/>
      <c r="U221" s="436"/>
      <c r="V221" s="436"/>
      <c r="W221" s="9"/>
      <c r="X221" s="9"/>
      <c r="Y221" s="9"/>
      <c r="Z221" s="9"/>
      <c r="AA221" s="9"/>
      <c r="AB221" s="9"/>
    </row>
    <row r="222">
      <c r="A222" s="9"/>
      <c r="B222" s="9"/>
      <c r="C222" s="9"/>
      <c r="D222" s="9"/>
      <c r="E222" s="9"/>
      <c r="F222" s="435"/>
      <c r="G222" s="9"/>
      <c r="H222" s="9"/>
      <c r="I222" s="9"/>
      <c r="J222" s="9"/>
      <c r="K222" s="9"/>
      <c r="L222" s="9"/>
      <c r="M222" s="9"/>
      <c r="N222" s="9"/>
      <c r="O222" s="9"/>
      <c r="P222" s="9"/>
      <c r="Q222" s="9"/>
      <c r="R222" s="9"/>
      <c r="S222" s="436"/>
      <c r="T222" s="436"/>
      <c r="U222" s="436"/>
      <c r="V222" s="436"/>
      <c r="W222" s="9"/>
      <c r="X222" s="9"/>
      <c r="Y222" s="9"/>
      <c r="Z222" s="9"/>
      <c r="AA222" s="9"/>
      <c r="AB222" s="9"/>
    </row>
    <row r="223">
      <c r="A223" s="9"/>
      <c r="B223" s="9"/>
      <c r="C223" s="9"/>
      <c r="D223" s="9"/>
      <c r="E223" s="9"/>
      <c r="F223" s="435"/>
      <c r="G223" s="9"/>
      <c r="H223" s="9"/>
      <c r="I223" s="9"/>
      <c r="J223" s="9"/>
      <c r="K223" s="9"/>
      <c r="L223" s="9"/>
      <c r="M223" s="9"/>
      <c r="N223" s="9"/>
      <c r="O223" s="9"/>
      <c r="P223" s="9"/>
      <c r="Q223" s="9"/>
      <c r="R223" s="9"/>
      <c r="S223" s="436"/>
      <c r="T223" s="436"/>
      <c r="U223" s="436"/>
      <c r="V223" s="436"/>
      <c r="W223" s="9"/>
      <c r="X223" s="9"/>
      <c r="Y223" s="9"/>
      <c r="Z223" s="9"/>
      <c r="AA223" s="9"/>
      <c r="AB223" s="9"/>
    </row>
    <row r="224">
      <c r="A224" s="9"/>
      <c r="B224" s="9"/>
      <c r="C224" s="9"/>
      <c r="D224" s="9"/>
      <c r="E224" s="9"/>
      <c r="F224" s="435"/>
      <c r="G224" s="9"/>
      <c r="H224" s="9"/>
      <c r="I224" s="9"/>
      <c r="J224" s="9"/>
      <c r="K224" s="9"/>
      <c r="L224" s="9"/>
      <c r="M224" s="9"/>
      <c r="N224" s="9"/>
      <c r="O224" s="9"/>
      <c r="P224" s="9"/>
      <c r="Q224" s="9"/>
      <c r="R224" s="9"/>
      <c r="S224" s="436"/>
      <c r="T224" s="436"/>
      <c r="U224" s="436"/>
      <c r="V224" s="436"/>
      <c r="W224" s="9"/>
      <c r="X224" s="9"/>
      <c r="Y224" s="9"/>
      <c r="Z224" s="9"/>
      <c r="AA224" s="9"/>
      <c r="AB224" s="9"/>
    </row>
    <row r="225">
      <c r="A225" s="9"/>
      <c r="B225" s="9"/>
      <c r="C225" s="9"/>
      <c r="D225" s="9"/>
      <c r="E225" s="9"/>
      <c r="F225" s="435"/>
      <c r="G225" s="9"/>
      <c r="H225" s="9"/>
      <c r="I225" s="9"/>
      <c r="J225" s="9"/>
      <c r="K225" s="9"/>
      <c r="L225" s="9"/>
      <c r="M225" s="9"/>
      <c r="N225" s="9"/>
      <c r="O225" s="9"/>
      <c r="P225" s="9"/>
      <c r="Q225" s="9"/>
      <c r="R225" s="9"/>
      <c r="S225" s="436"/>
      <c r="T225" s="436"/>
      <c r="U225" s="436"/>
      <c r="V225" s="436"/>
      <c r="W225" s="9"/>
      <c r="X225" s="9"/>
      <c r="Y225" s="9"/>
      <c r="Z225" s="9"/>
      <c r="AA225" s="9"/>
      <c r="AB225" s="9"/>
    </row>
    <row r="226">
      <c r="A226" s="9"/>
      <c r="B226" s="9"/>
      <c r="C226" s="9"/>
      <c r="D226" s="9"/>
      <c r="E226" s="9"/>
      <c r="F226" s="435"/>
      <c r="G226" s="9"/>
      <c r="H226" s="9"/>
      <c r="I226" s="9"/>
      <c r="J226" s="9"/>
      <c r="K226" s="9"/>
      <c r="L226" s="9"/>
      <c r="M226" s="9"/>
      <c r="N226" s="9"/>
      <c r="O226" s="9"/>
      <c r="P226" s="9"/>
      <c r="Q226" s="9"/>
      <c r="R226" s="9"/>
      <c r="S226" s="436"/>
      <c r="T226" s="436"/>
      <c r="U226" s="436"/>
      <c r="V226" s="436"/>
      <c r="W226" s="9"/>
      <c r="X226" s="9"/>
      <c r="Y226" s="9"/>
      <c r="Z226" s="9"/>
      <c r="AA226" s="9"/>
      <c r="AB226" s="9"/>
    </row>
    <row r="227">
      <c r="A227" s="9"/>
      <c r="B227" s="9"/>
      <c r="C227" s="9"/>
      <c r="D227" s="9"/>
      <c r="E227" s="9"/>
      <c r="F227" s="435"/>
      <c r="G227" s="9"/>
      <c r="H227" s="9"/>
      <c r="I227" s="9"/>
      <c r="J227" s="9"/>
      <c r="K227" s="9"/>
      <c r="L227" s="9"/>
      <c r="M227" s="9"/>
      <c r="N227" s="9"/>
      <c r="O227" s="9"/>
      <c r="P227" s="9"/>
      <c r="Q227" s="9"/>
      <c r="R227" s="9"/>
      <c r="S227" s="436"/>
      <c r="T227" s="436"/>
      <c r="U227" s="436"/>
      <c r="V227" s="436"/>
      <c r="W227" s="9"/>
      <c r="X227" s="9"/>
      <c r="Y227" s="9"/>
      <c r="Z227" s="9"/>
      <c r="AA227" s="9"/>
      <c r="AB227" s="9"/>
    </row>
    <row r="228">
      <c r="A228" s="9"/>
      <c r="B228" s="9"/>
      <c r="C228" s="9"/>
      <c r="D228" s="9"/>
      <c r="E228" s="9"/>
      <c r="F228" s="435"/>
      <c r="G228" s="9"/>
      <c r="H228" s="9"/>
      <c r="I228" s="9"/>
      <c r="J228" s="9"/>
      <c r="K228" s="9"/>
      <c r="L228" s="9"/>
      <c r="M228" s="9"/>
      <c r="N228" s="9"/>
      <c r="O228" s="9"/>
      <c r="P228" s="9"/>
      <c r="Q228" s="9"/>
      <c r="R228" s="9"/>
      <c r="S228" s="436"/>
      <c r="T228" s="436"/>
      <c r="U228" s="436"/>
      <c r="V228" s="436"/>
      <c r="W228" s="9"/>
      <c r="X228" s="9"/>
      <c r="Y228" s="9"/>
      <c r="Z228" s="9"/>
      <c r="AA228" s="9"/>
      <c r="AB228" s="9"/>
    </row>
    <row r="229">
      <c r="A229" s="9"/>
      <c r="B229" s="9"/>
      <c r="C229" s="9"/>
      <c r="D229" s="9"/>
      <c r="E229" s="9"/>
      <c r="F229" s="435"/>
      <c r="G229" s="9"/>
      <c r="H229" s="9"/>
      <c r="I229" s="9"/>
      <c r="J229" s="9"/>
      <c r="K229" s="9"/>
      <c r="L229" s="9"/>
      <c r="M229" s="9"/>
      <c r="N229" s="9"/>
      <c r="O229" s="9"/>
      <c r="P229" s="9"/>
      <c r="Q229" s="9"/>
      <c r="R229" s="9"/>
      <c r="S229" s="436"/>
      <c r="T229" s="436"/>
      <c r="U229" s="436"/>
      <c r="V229" s="436"/>
      <c r="W229" s="9"/>
      <c r="X229" s="9"/>
      <c r="Y229" s="9"/>
      <c r="Z229" s="9"/>
      <c r="AA229" s="9"/>
      <c r="AB229" s="9"/>
    </row>
    <row r="230">
      <c r="A230" s="9"/>
      <c r="B230" s="9"/>
      <c r="C230" s="9"/>
      <c r="D230" s="9"/>
      <c r="E230" s="9"/>
      <c r="F230" s="435"/>
      <c r="G230" s="9"/>
      <c r="H230" s="9"/>
      <c r="I230" s="9"/>
      <c r="J230" s="9"/>
      <c r="K230" s="9"/>
      <c r="L230" s="9"/>
      <c r="M230" s="9"/>
      <c r="N230" s="9"/>
      <c r="O230" s="9"/>
      <c r="P230" s="9"/>
      <c r="Q230" s="9"/>
      <c r="R230" s="9"/>
      <c r="S230" s="436"/>
      <c r="T230" s="436"/>
      <c r="U230" s="436"/>
      <c r="V230" s="436"/>
      <c r="W230" s="9"/>
      <c r="X230" s="9"/>
      <c r="Y230" s="9"/>
      <c r="Z230" s="9"/>
      <c r="AA230" s="9"/>
      <c r="AB230" s="9"/>
    </row>
    <row r="231">
      <c r="A231" s="9"/>
      <c r="B231" s="9"/>
      <c r="C231" s="9"/>
      <c r="D231" s="9"/>
      <c r="E231" s="9"/>
      <c r="F231" s="435"/>
      <c r="G231" s="9"/>
      <c r="H231" s="9"/>
      <c r="I231" s="9"/>
      <c r="J231" s="9"/>
      <c r="K231" s="9"/>
      <c r="L231" s="9"/>
      <c r="M231" s="9"/>
      <c r="N231" s="9"/>
      <c r="O231" s="9"/>
      <c r="P231" s="9"/>
      <c r="Q231" s="9"/>
      <c r="R231" s="9"/>
      <c r="S231" s="436"/>
      <c r="T231" s="436"/>
      <c r="U231" s="436"/>
      <c r="V231" s="436"/>
      <c r="W231" s="9"/>
      <c r="X231" s="9"/>
      <c r="Y231" s="9"/>
      <c r="Z231" s="9"/>
      <c r="AA231" s="9"/>
      <c r="AB231" s="9"/>
    </row>
    <row r="232">
      <c r="A232" s="9"/>
      <c r="B232" s="9"/>
      <c r="C232" s="9"/>
      <c r="D232" s="9"/>
      <c r="E232" s="9"/>
      <c r="F232" s="435"/>
      <c r="G232" s="9"/>
      <c r="H232" s="9"/>
      <c r="I232" s="9"/>
      <c r="J232" s="9"/>
      <c r="K232" s="9"/>
      <c r="L232" s="9"/>
      <c r="M232" s="9"/>
      <c r="N232" s="9"/>
      <c r="O232" s="9"/>
      <c r="P232" s="9"/>
      <c r="Q232" s="9"/>
      <c r="R232" s="9"/>
      <c r="S232" s="436"/>
      <c r="T232" s="436"/>
      <c r="U232" s="436"/>
      <c r="V232" s="436"/>
      <c r="W232" s="9"/>
      <c r="X232" s="9"/>
      <c r="Y232" s="9"/>
      <c r="Z232" s="9"/>
      <c r="AA232" s="9"/>
      <c r="AB232" s="9"/>
    </row>
    <row r="233">
      <c r="A233" s="9"/>
      <c r="B233" s="9"/>
      <c r="C233" s="9"/>
      <c r="D233" s="9"/>
      <c r="E233" s="9"/>
      <c r="F233" s="435"/>
      <c r="G233" s="9"/>
      <c r="H233" s="9"/>
      <c r="I233" s="9"/>
      <c r="J233" s="9"/>
      <c r="K233" s="9"/>
      <c r="L233" s="9"/>
      <c r="M233" s="9"/>
      <c r="N233" s="9"/>
      <c r="O233" s="9"/>
      <c r="P233" s="9"/>
      <c r="Q233" s="9"/>
      <c r="R233" s="9"/>
      <c r="S233" s="436"/>
      <c r="T233" s="436"/>
      <c r="U233" s="436"/>
      <c r="V233" s="436"/>
      <c r="W233" s="9"/>
      <c r="X233" s="9"/>
      <c r="Y233" s="9"/>
      <c r="Z233" s="9"/>
      <c r="AA233" s="9"/>
      <c r="AB233" s="9"/>
    </row>
    <row r="234">
      <c r="A234" s="9"/>
      <c r="B234" s="9"/>
      <c r="C234" s="9"/>
      <c r="D234" s="9"/>
      <c r="E234" s="9"/>
      <c r="F234" s="435"/>
      <c r="G234" s="9"/>
      <c r="H234" s="9"/>
      <c r="I234" s="9"/>
      <c r="J234" s="9"/>
      <c r="K234" s="9"/>
      <c r="L234" s="9"/>
      <c r="M234" s="9"/>
      <c r="N234" s="9"/>
      <c r="O234" s="9"/>
      <c r="P234" s="9"/>
      <c r="Q234" s="9"/>
      <c r="R234" s="9"/>
      <c r="S234" s="436"/>
      <c r="T234" s="436"/>
      <c r="U234" s="436"/>
      <c r="V234" s="436"/>
      <c r="W234" s="9"/>
      <c r="X234" s="9"/>
      <c r="Y234" s="9"/>
      <c r="Z234" s="9"/>
      <c r="AA234" s="9"/>
      <c r="AB234" s="9"/>
    </row>
    <row r="235">
      <c r="A235" s="9"/>
      <c r="B235" s="9"/>
      <c r="C235" s="9"/>
      <c r="D235" s="9"/>
      <c r="E235" s="9"/>
      <c r="F235" s="435"/>
      <c r="G235" s="9"/>
      <c r="H235" s="9"/>
      <c r="I235" s="9"/>
      <c r="J235" s="9"/>
      <c r="K235" s="9"/>
      <c r="L235" s="9"/>
      <c r="M235" s="9"/>
      <c r="N235" s="9"/>
      <c r="O235" s="9"/>
      <c r="P235" s="9"/>
      <c r="Q235" s="9"/>
      <c r="R235" s="9"/>
      <c r="S235" s="436"/>
      <c r="T235" s="436"/>
      <c r="U235" s="436"/>
      <c r="V235" s="436"/>
      <c r="W235" s="9"/>
      <c r="X235" s="9"/>
      <c r="Y235" s="9"/>
      <c r="Z235" s="9"/>
      <c r="AA235" s="9"/>
      <c r="AB235" s="9"/>
    </row>
    <row r="236">
      <c r="A236" s="9"/>
      <c r="B236" s="9"/>
      <c r="C236" s="9"/>
      <c r="D236" s="9"/>
      <c r="E236" s="9"/>
      <c r="F236" s="435"/>
      <c r="G236" s="9"/>
      <c r="H236" s="9"/>
      <c r="I236" s="9"/>
      <c r="J236" s="9"/>
      <c r="K236" s="9"/>
      <c r="L236" s="9"/>
      <c r="M236" s="9"/>
      <c r="N236" s="9"/>
      <c r="O236" s="9"/>
      <c r="P236" s="9"/>
      <c r="Q236" s="9"/>
      <c r="R236" s="9"/>
      <c r="S236" s="436"/>
      <c r="T236" s="436"/>
      <c r="U236" s="436"/>
      <c r="V236" s="436"/>
      <c r="W236" s="9"/>
      <c r="X236" s="9"/>
      <c r="Y236" s="9"/>
      <c r="Z236" s="9"/>
      <c r="AA236" s="9"/>
      <c r="AB236" s="9"/>
    </row>
    <row r="237">
      <c r="A237" s="9"/>
      <c r="B237" s="9"/>
      <c r="C237" s="9"/>
      <c r="D237" s="9"/>
      <c r="E237" s="9"/>
      <c r="F237" s="435"/>
      <c r="G237" s="9"/>
      <c r="H237" s="9"/>
      <c r="I237" s="9"/>
      <c r="J237" s="9"/>
      <c r="K237" s="9"/>
      <c r="L237" s="9"/>
      <c r="M237" s="9"/>
      <c r="N237" s="9"/>
      <c r="O237" s="9"/>
      <c r="P237" s="9"/>
      <c r="Q237" s="9"/>
      <c r="R237" s="9"/>
      <c r="S237" s="436"/>
      <c r="T237" s="436"/>
      <c r="U237" s="436"/>
      <c r="V237" s="436"/>
      <c r="W237" s="9"/>
      <c r="X237" s="9"/>
      <c r="Y237" s="9"/>
      <c r="Z237" s="9"/>
      <c r="AA237" s="9"/>
      <c r="AB237" s="9"/>
    </row>
    <row r="238">
      <c r="A238" s="9"/>
      <c r="B238" s="9"/>
      <c r="C238" s="9"/>
      <c r="D238" s="9"/>
      <c r="E238" s="9"/>
      <c r="F238" s="435"/>
      <c r="G238" s="9"/>
      <c r="H238" s="9"/>
      <c r="I238" s="9"/>
      <c r="J238" s="9"/>
      <c r="K238" s="9"/>
      <c r="L238" s="9"/>
      <c r="M238" s="9"/>
      <c r="N238" s="9"/>
      <c r="O238" s="9"/>
      <c r="P238" s="9"/>
      <c r="Q238" s="9"/>
      <c r="R238" s="9"/>
      <c r="S238" s="436"/>
      <c r="T238" s="436"/>
      <c r="U238" s="436"/>
      <c r="V238" s="436"/>
      <c r="W238" s="9"/>
      <c r="X238" s="9"/>
      <c r="Y238" s="9"/>
      <c r="Z238" s="9"/>
      <c r="AA238" s="9"/>
      <c r="AB238" s="9"/>
    </row>
    <row r="239">
      <c r="A239" s="9"/>
      <c r="B239" s="9"/>
      <c r="C239" s="9"/>
      <c r="D239" s="9"/>
      <c r="E239" s="9"/>
      <c r="F239" s="435"/>
      <c r="G239" s="9"/>
      <c r="H239" s="9"/>
      <c r="I239" s="9"/>
      <c r="J239" s="9"/>
      <c r="K239" s="9"/>
      <c r="L239" s="9"/>
      <c r="M239" s="9"/>
      <c r="N239" s="9"/>
      <c r="O239" s="9"/>
      <c r="P239" s="9"/>
      <c r="Q239" s="9"/>
      <c r="R239" s="9"/>
      <c r="S239" s="436"/>
      <c r="T239" s="436"/>
      <c r="U239" s="436"/>
      <c r="V239" s="436"/>
      <c r="W239" s="9"/>
      <c r="X239" s="9"/>
      <c r="Y239" s="9"/>
      <c r="Z239" s="9"/>
      <c r="AA239" s="9"/>
      <c r="AB239" s="9"/>
    </row>
    <row r="240">
      <c r="A240" s="9"/>
      <c r="B240" s="9"/>
      <c r="C240" s="9"/>
      <c r="D240" s="9"/>
      <c r="E240" s="9"/>
      <c r="F240" s="435"/>
      <c r="G240" s="9"/>
      <c r="H240" s="9"/>
      <c r="I240" s="9"/>
      <c r="J240" s="9"/>
      <c r="K240" s="9"/>
      <c r="L240" s="9"/>
      <c r="M240" s="9"/>
      <c r="N240" s="9"/>
      <c r="O240" s="9"/>
      <c r="P240" s="9"/>
      <c r="Q240" s="9"/>
      <c r="R240" s="9"/>
      <c r="S240" s="436"/>
      <c r="T240" s="436"/>
      <c r="U240" s="436"/>
      <c r="V240" s="436"/>
      <c r="W240" s="9"/>
      <c r="X240" s="9"/>
      <c r="Y240" s="9"/>
      <c r="Z240" s="9"/>
      <c r="AA240" s="9"/>
      <c r="AB240" s="9"/>
    </row>
    <row r="241">
      <c r="A241" s="9"/>
      <c r="B241" s="9"/>
      <c r="C241" s="9"/>
      <c r="D241" s="9"/>
      <c r="E241" s="9"/>
      <c r="F241" s="435"/>
      <c r="G241" s="9"/>
      <c r="H241" s="9"/>
      <c r="I241" s="9"/>
      <c r="J241" s="9"/>
      <c r="K241" s="9"/>
      <c r="L241" s="9"/>
      <c r="M241" s="9"/>
      <c r="N241" s="9"/>
      <c r="O241" s="9"/>
      <c r="P241" s="9"/>
      <c r="Q241" s="9"/>
      <c r="R241" s="9"/>
      <c r="S241" s="436"/>
      <c r="T241" s="436"/>
      <c r="U241" s="436"/>
      <c r="V241" s="436"/>
      <c r="W241" s="9"/>
      <c r="X241" s="9"/>
      <c r="Y241" s="9"/>
      <c r="Z241" s="9"/>
      <c r="AA241" s="9"/>
      <c r="AB241" s="9"/>
    </row>
    <row r="242">
      <c r="A242" s="9"/>
      <c r="B242" s="9"/>
      <c r="C242" s="9"/>
      <c r="D242" s="9"/>
      <c r="E242" s="9"/>
      <c r="F242" s="435"/>
      <c r="G242" s="9"/>
      <c r="H242" s="9"/>
      <c r="I242" s="9"/>
      <c r="J242" s="9"/>
      <c r="K242" s="9"/>
      <c r="L242" s="9"/>
      <c r="M242" s="9"/>
      <c r="N242" s="9"/>
      <c r="O242" s="9"/>
      <c r="P242" s="9"/>
      <c r="Q242" s="9"/>
      <c r="R242" s="9"/>
      <c r="S242" s="436"/>
      <c r="T242" s="436"/>
      <c r="U242" s="436"/>
      <c r="V242" s="436"/>
      <c r="W242" s="9"/>
      <c r="X242" s="9"/>
      <c r="Y242" s="9"/>
      <c r="Z242" s="9"/>
      <c r="AA242" s="9"/>
      <c r="AB242" s="9"/>
    </row>
    <row r="243">
      <c r="A243" s="9"/>
      <c r="B243" s="9"/>
      <c r="C243" s="9"/>
      <c r="D243" s="9"/>
      <c r="E243" s="9"/>
      <c r="F243" s="435"/>
      <c r="G243" s="9"/>
      <c r="H243" s="9"/>
      <c r="I243" s="9"/>
      <c r="J243" s="9"/>
      <c r="K243" s="9"/>
      <c r="L243" s="9"/>
      <c r="M243" s="9"/>
      <c r="N243" s="9"/>
      <c r="O243" s="9"/>
      <c r="P243" s="9"/>
      <c r="Q243" s="9"/>
      <c r="R243" s="9"/>
      <c r="S243" s="436"/>
      <c r="T243" s="436"/>
      <c r="U243" s="436"/>
      <c r="V243" s="436"/>
      <c r="W243" s="9"/>
      <c r="X243" s="9"/>
      <c r="Y243" s="9"/>
      <c r="Z243" s="9"/>
      <c r="AA243" s="9"/>
      <c r="AB243" s="9"/>
    </row>
    <row r="244">
      <c r="A244" s="9"/>
      <c r="B244" s="9"/>
      <c r="C244" s="9"/>
      <c r="D244" s="9"/>
      <c r="E244" s="9"/>
      <c r="F244" s="435"/>
      <c r="G244" s="9"/>
      <c r="H244" s="9"/>
      <c r="I244" s="9"/>
      <c r="J244" s="9"/>
      <c r="K244" s="9"/>
      <c r="L244" s="9"/>
      <c r="M244" s="9"/>
      <c r="N244" s="9"/>
      <c r="O244" s="9"/>
      <c r="P244" s="9"/>
      <c r="Q244" s="9"/>
      <c r="R244" s="9"/>
      <c r="S244" s="436"/>
      <c r="T244" s="436"/>
      <c r="U244" s="436"/>
      <c r="V244" s="436"/>
      <c r="W244" s="9"/>
      <c r="X244" s="9"/>
      <c r="Y244" s="9"/>
      <c r="Z244" s="9"/>
      <c r="AA244" s="9"/>
      <c r="AB244" s="9"/>
    </row>
    <row r="245">
      <c r="A245" s="9"/>
      <c r="B245" s="9"/>
      <c r="C245" s="9"/>
      <c r="D245" s="9"/>
      <c r="E245" s="9"/>
      <c r="F245" s="435"/>
      <c r="G245" s="9"/>
      <c r="H245" s="9"/>
      <c r="I245" s="9"/>
      <c r="J245" s="9"/>
      <c r="K245" s="9"/>
      <c r="L245" s="9"/>
      <c r="M245" s="9"/>
      <c r="N245" s="9"/>
      <c r="O245" s="9"/>
      <c r="P245" s="9"/>
      <c r="Q245" s="9"/>
      <c r="R245" s="9"/>
      <c r="S245" s="436"/>
      <c r="T245" s="436"/>
      <c r="U245" s="436"/>
      <c r="V245" s="436"/>
      <c r="W245" s="9"/>
      <c r="X245" s="9"/>
      <c r="Y245" s="9"/>
      <c r="Z245" s="9"/>
      <c r="AA245" s="9"/>
      <c r="AB245" s="9"/>
    </row>
    <row r="246">
      <c r="A246" s="9"/>
      <c r="B246" s="9"/>
      <c r="C246" s="9"/>
      <c r="D246" s="9"/>
      <c r="E246" s="9"/>
      <c r="F246" s="435"/>
      <c r="G246" s="9"/>
      <c r="H246" s="9"/>
      <c r="I246" s="9"/>
      <c r="J246" s="9"/>
      <c r="K246" s="9"/>
      <c r="L246" s="9"/>
      <c r="M246" s="9"/>
      <c r="N246" s="9"/>
      <c r="O246" s="9"/>
      <c r="P246" s="9"/>
      <c r="Q246" s="9"/>
      <c r="R246" s="9"/>
      <c r="S246" s="436"/>
      <c r="T246" s="436"/>
      <c r="U246" s="436"/>
      <c r="V246" s="436"/>
      <c r="W246" s="9"/>
      <c r="X246" s="9"/>
      <c r="Y246" s="9"/>
      <c r="Z246" s="9"/>
      <c r="AA246" s="9"/>
      <c r="AB246" s="9"/>
    </row>
    <row r="247">
      <c r="A247" s="9"/>
      <c r="B247" s="9"/>
      <c r="C247" s="9"/>
      <c r="D247" s="9"/>
      <c r="E247" s="9"/>
      <c r="F247" s="435"/>
      <c r="G247" s="9"/>
      <c r="H247" s="9"/>
      <c r="I247" s="9"/>
      <c r="J247" s="9"/>
      <c r="K247" s="9"/>
      <c r="L247" s="9"/>
      <c r="M247" s="9"/>
      <c r="N247" s="9"/>
      <c r="O247" s="9"/>
      <c r="P247" s="9"/>
      <c r="Q247" s="9"/>
      <c r="R247" s="9"/>
      <c r="S247" s="436"/>
      <c r="T247" s="436"/>
      <c r="U247" s="436"/>
      <c r="V247" s="436"/>
      <c r="W247" s="9"/>
      <c r="X247" s="9"/>
      <c r="Y247" s="9"/>
      <c r="Z247" s="9"/>
      <c r="AA247" s="9"/>
      <c r="AB247" s="9"/>
    </row>
    <row r="248">
      <c r="A248" s="9"/>
      <c r="B248" s="9"/>
      <c r="C248" s="9"/>
      <c r="D248" s="9"/>
      <c r="E248" s="9"/>
      <c r="F248" s="435"/>
      <c r="G248" s="9"/>
      <c r="H248" s="9"/>
      <c r="I248" s="9"/>
      <c r="J248" s="9"/>
      <c r="K248" s="9"/>
      <c r="L248" s="9"/>
      <c r="M248" s="9"/>
      <c r="N248" s="9"/>
      <c r="O248" s="9"/>
      <c r="P248" s="9"/>
      <c r="Q248" s="9"/>
      <c r="R248" s="9"/>
      <c r="S248" s="436"/>
      <c r="T248" s="436"/>
      <c r="U248" s="436"/>
      <c r="V248" s="436"/>
      <c r="W248" s="9"/>
      <c r="X248" s="9"/>
      <c r="Y248" s="9"/>
      <c r="Z248" s="9"/>
      <c r="AA248" s="9"/>
      <c r="AB248" s="9"/>
    </row>
    <row r="249">
      <c r="A249" s="9"/>
      <c r="B249" s="9"/>
      <c r="C249" s="9"/>
      <c r="D249" s="9"/>
      <c r="E249" s="9"/>
      <c r="F249" s="435"/>
      <c r="G249" s="9"/>
      <c r="H249" s="9"/>
      <c r="I249" s="9"/>
      <c r="J249" s="9"/>
      <c r="K249" s="9"/>
      <c r="L249" s="9"/>
      <c r="M249" s="9"/>
      <c r="N249" s="9"/>
      <c r="O249" s="9"/>
      <c r="P249" s="9"/>
      <c r="Q249" s="9"/>
      <c r="R249" s="9"/>
      <c r="S249" s="436"/>
      <c r="T249" s="436"/>
      <c r="U249" s="436"/>
      <c r="V249" s="436"/>
      <c r="W249" s="9"/>
      <c r="X249" s="9"/>
      <c r="Y249" s="9"/>
      <c r="Z249" s="9"/>
      <c r="AA249" s="9"/>
      <c r="AB249" s="9"/>
    </row>
    <row r="250">
      <c r="A250" s="9"/>
      <c r="B250" s="9"/>
      <c r="C250" s="9"/>
      <c r="D250" s="9"/>
      <c r="E250" s="9"/>
      <c r="F250" s="435"/>
      <c r="G250" s="9"/>
      <c r="H250" s="9"/>
      <c r="I250" s="9"/>
      <c r="J250" s="9"/>
      <c r="K250" s="9"/>
      <c r="L250" s="9"/>
      <c r="M250" s="9"/>
      <c r="N250" s="9"/>
      <c r="O250" s="9"/>
      <c r="P250" s="9"/>
      <c r="Q250" s="9"/>
      <c r="R250" s="9"/>
      <c r="S250" s="436"/>
      <c r="T250" s="436"/>
      <c r="U250" s="436"/>
      <c r="V250" s="436"/>
      <c r="W250" s="9"/>
      <c r="X250" s="9"/>
      <c r="Y250" s="9"/>
      <c r="Z250" s="9"/>
      <c r="AA250" s="9"/>
      <c r="AB250" s="9"/>
    </row>
    <row r="251">
      <c r="A251" s="9"/>
      <c r="B251" s="9"/>
      <c r="C251" s="9"/>
      <c r="D251" s="9"/>
      <c r="E251" s="9"/>
      <c r="F251" s="435"/>
      <c r="G251" s="9"/>
      <c r="H251" s="9"/>
      <c r="I251" s="9"/>
      <c r="J251" s="9"/>
      <c r="K251" s="9"/>
      <c r="L251" s="9"/>
      <c r="M251" s="9"/>
      <c r="N251" s="9"/>
      <c r="O251" s="9"/>
      <c r="P251" s="9"/>
      <c r="Q251" s="9"/>
      <c r="R251" s="9"/>
      <c r="S251" s="436"/>
      <c r="T251" s="436"/>
      <c r="U251" s="436"/>
      <c r="V251" s="436"/>
      <c r="W251" s="9"/>
      <c r="X251" s="9"/>
      <c r="Y251" s="9"/>
      <c r="Z251" s="9"/>
      <c r="AA251" s="9"/>
      <c r="AB251" s="9"/>
    </row>
    <row r="252">
      <c r="A252" s="9"/>
      <c r="B252" s="9"/>
      <c r="C252" s="9"/>
      <c r="D252" s="9"/>
      <c r="E252" s="9"/>
      <c r="F252" s="435"/>
      <c r="G252" s="9"/>
      <c r="H252" s="9"/>
      <c r="I252" s="9"/>
      <c r="J252" s="9"/>
      <c r="K252" s="9"/>
      <c r="L252" s="9"/>
      <c r="M252" s="9"/>
      <c r="N252" s="9"/>
      <c r="O252" s="9"/>
      <c r="P252" s="9"/>
      <c r="Q252" s="9"/>
      <c r="R252" s="9"/>
      <c r="S252" s="436"/>
      <c r="T252" s="436"/>
      <c r="U252" s="436"/>
      <c r="V252" s="436"/>
      <c r="W252" s="9"/>
      <c r="X252" s="9"/>
      <c r="Y252" s="9"/>
      <c r="Z252" s="9"/>
      <c r="AA252" s="9"/>
      <c r="AB252" s="9"/>
    </row>
    <row r="253">
      <c r="A253" s="9"/>
      <c r="B253" s="9"/>
      <c r="C253" s="9"/>
      <c r="D253" s="9"/>
      <c r="E253" s="9"/>
      <c r="F253" s="435"/>
      <c r="G253" s="9"/>
      <c r="H253" s="9"/>
      <c r="I253" s="9"/>
      <c r="J253" s="9"/>
      <c r="K253" s="9"/>
      <c r="L253" s="9"/>
      <c r="M253" s="9"/>
      <c r="N253" s="9"/>
      <c r="O253" s="9"/>
      <c r="P253" s="9"/>
      <c r="Q253" s="9"/>
      <c r="R253" s="9"/>
      <c r="S253" s="436"/>
      <c r="T253" s="436"/>
      <c r="U253" s="436"/>
      <c r="V253" s="436"/>
      <c r="W253" s="9"/>
      <c r="X253" s="9"/>
      <c r="Y253" s="9"/>
      <c r="Z253" s="9"/>
      <c r="AA253" s="9"/>
      <c r="AB253" s="9"/>
    </row>
    <row r="254">
      <c r="A254" s="9"/>
      <c r="B254" s="9"/>
      <c r="C254" s="9"/>
      <c r="D254" s="9"/>
      <c r="E254" s="9"/>
      <c r="F254" s="435"/>
      <c r="G254" s="9"/>
      <c r="H254" s="9"/>
      <c r="I254" s="9"/>
      <c r="J254" s="9"/>
      <c r="K254" s="9"/>
      <c r="L254" s="9"/>
      <c r="M254" s="9"/>
      <c r="N254" s="9"/>
      <c r="O254" s="9"/>
      <c r="P254" s="9"/>
      <c r="Q254" s="9"/>
      <c r="R254" s="9"/>
      <c r="S254" s="436"/>
      <c r="T254" s="436"/>
      <c r="U254" s="436"/>
      <c r="V254" s="436"/>
      <c r="W254" s="9"/>
      <c r="X254" s="9"/>
      <c r="Y254" s="9"/>
      <c r="Z254" s="9"/>
      <c r="AA254" s="9"/>
      <c r="AB254" s="9"/>
    </row>
    <row r="255">
      <c r="A255" s="9"/>
      <c r="B255" s="9"/>
      <c r="C255" s="9"/>
      <c r="D255" s="9"/>
      <c r="E255" s="9"/>
      <c r="F255" s="435"/>
      <c r="G255" s="9"/>
      <c r="H255" s="9"/>
      <c r="I255" s="9"/>
      <c r="J255" s="9"/>
      <c r="K255" s="9"/>
      <c r="L255" s="9"/>
      <c r="M255" s="9"/>
      <c r="N255" s="9"/>
      <c r="O255" s="9"/>
      <c r="P255" s="9"/>
      <c r="Q255" s="9"/>
      <c r="R255" s="9"/>
      <c r="S255" s="436"/>
      <c r="T255" s="436"/>
      <c r="U255" s="436"/>
      <c r="V255" s="436"/>
      <c r="W255" s="9"/>
      <c r="X255" s="9"/>
      <c r="Y255" s="9"/>
      <c r="Z255" s="9"/>
      <c r="AA255" s="9"/>
      <c r="AB255" s="9"/>
    </row>
    <row r="256">
      <c r="A256" s="9"/>
      <c r="B256" s="9"/>
      <c r="C256" s="9"/>
      <c r="D256" s="9"/>
      <c r="E256" s="9"/>
      <c r="F256" s="435"/>
      <c r="G256" s="9"/>
      <c r="H256" s="9"/>
      <c r="I256" s="9"/>
      <c r="J256" s="9"/>
      <c r="K256" s="9"/>
      <c r="L256" s="9"/>
      <c r="M256" s="9"/>
      <c r="N256" s="9"/>
      <c r="O256" s="9"/>
      <c r="P256" s="9"/>
      <c r="Q256" s="9"/>
      <c r="R256" s="9"/>
      <c r="S256" s="436"/>
      <c r="T256" s="436"/>
      <c r="U256" s="436"/>
      <c r="V256" s="436"/>
      <c r="W256" s="9"/>
      <c r="X256" s="9"/>
      <c r="Y256" s="9"/>
      <c r="Z256" s="9"/>
      <c r="AA256" s="9"/>
      <c r="AB256" s="9"/>
    </row>
    <row r="257">
      <c r="A257" s="9"/>
      <c r="B257" s="9"/>
      <c r="C257" s="9"/>
      <c r="D257" s="9"/>
      <c r="E257" s="9"/>
      <c r="F257" s="435"/>
      <c r="G257" s="9"/>
      <c r="H257" s="9"/>
      <c r="I257" s="9"/>
      <c r="J257" s="9"/>
      <c r="K257" s="9"/>
      <c r="L257" s="9"/>
      <c r="M257" s="9"/>
      <c r="N257" s="9"/>
      <c r="O257" s="9"/>
      <c r="P257" s="9"/>
      <c r="Q257" s="9"/>
      <c r="R257" s="9"/>
      <c r="S257" s="436"/>
      <c r="T257" s="436"/>
      <c r="U257" s="436"/>
      <c r="V257" s="436"/>
      <c r="W257" s="9"/>
      <c r="X257" s="9"/>
      <c r="Y257" s="9"/>
      <c r="Z257" s="9"/>
      <c r="AA257" s="9"/>
      <c r="AB257" s="9"/>
    </row>
    <row r="258">
      <c r="A258" s="9"/>
      <c r="B258" s="9"/>
      <c r="C258" s="9"/>
      <c r="D258" s="9"/>
      <c r="E258" s="9"/>
      <c r="F258" s="435"/>
      <c r="G258" s="9"/>
      <c r="H258" s="9"/>
      <c r="I258" s="9"/>
      <c r="J258" s="9"/>
      <c r="K258" s="9"/>
      <c r="L258" s="9"/>
      <c r="M258" s="9"/>
      <c r="N258" s="9"/>
      <c r="O258" s="9"/>
      <c r="P258" s="9"/>
      <c r="Q258" s="9"/>
      <c r="R258" s="9"/>
      <c r="S258" s="436"/>
      <c r="T258" s="436"/>
      <c r="U258" s="436"/>
      <c r="V258" s="436"/>
      <c r="W258" s="9"/>
      <c r="X258" s="9"/>
      <c r="Y258" s="9"/>
      <c r="Z258" s="9"/>
      <c r="AA258" s="9"/>
      <c r="AB258" s="9"/>
    </row>
    <row r="259">
      <c r="A259" s="9"/>
      <c r="B259" s="9"/>
      <c r="C259" s="9"/>
      <c r="D259" s="9"/>
      <c r="E259" s="9"/>
      <c r="F259" s="435"/>
      <c r="G259" s="9"/>
      <c r="H259" s="9"/>
      <c r="I259" s="9"/>
      <c r="J259" s="9"/>
      <c r="K259" s="9"/>
      <c r="L259" s="9"/>
      <c r="M259" s="9"/>
      <c r="N259" s="9"/>
      <c r="O259" s="9"/>
      <c r="P259" s="9"/>
      <c r="Q259" s="9"/>
      <c r="R259" s="9"/>
      <c r="S259" s="436"/>
      <c r="T259" s="436"/>
      <c r="U259" s="436"/>
      <c r="V259" s="436"/>
      <c r="W259" s="9"/>
      <c r="X259" s="9"/>
      <c r="Y259" s="9"/>
      <c r="Z259" s="9"/>
      <c r="AA259" s="9"/>
      <c r="AB259" s="9"/>
    </row>
    <row r="260">
      <c r="A260" s="9"/>
      <c r="B260" s="9"/>
      <c r="C260" s="9"/>
      <c r="D260" s="9"/>
      <c r="E260" s="9"/>
      <c r="F260" s="435"/>
      <c r="G260" s="9"/>
      <c r="H260" s="9"/>
      <c r="I260" s="9"/>
      <c r="J260" s="9"/>
      <c r="K260" s="9"/>
      <c r="L260" s="9"/>
      <c r="M260" s="9"/>
      <c r="N260" s="9"/>
      <c r="O260" s="9"/>
      <c r="P260" s="9"/>
      <c r="Q260" s="9"/>
      <c r="R260" s="9"/>
      <c r="S260" s="436"/>
      <c r="T260" s="436"/>
      <c r="U260" s="436"/>
      <c r="V260" s="436"/>
      <c r="W260" s="9"/>
      <c r="X260" s="9"/>
      <c r="Y260" s="9"/>
      <c r="Z260" s="9"/>
      <c r="AA260" s="9"/>
      <c r="AB260" s="9"/>
    </row>
    <row r="261">
      <c r="A261" s="9"/>
      <c r="B261" s="9"/>
      <c r="C261" s="9"/>
      <c r="D261" s="9"/>
      <c r="E261" s="9"/>
      <c r="F261" s="435"/>
      <c r="G261" s="9"/>
      <c r="H261" s="9"/>
      <c r="I261" s="9"/>
      <c r="J261" s="9"/>
      <c r="K261" s="9"/>
      <c r="L261" s="9"/>
      <c r="M261" s="9"/>
      <c r="N261" s="9"/>
      <c r="O261" s="9"/>
      <c r="P261" s="9"/>
      <c r="Q261" s="9"/>
      <c r="R261" s="9"/>
      <c r="S261" s="436"/>
      <c r="T261" s="436"/>
      <c r="U261" s="436"/>
      <c r="V261" s="436"/>
      <c r="W261" s="9"/>
      <c r="X261" s="9"/>
      <c r="Y261" s="9"/>
      <c r="Z261" s="9"/>
      <c r="AA261" s="9"/>
      <c r="AB261" s="9"/>
    </row>
    <row r="262">
      <c r="A262" s="9"/>
      <c r="B262" s="9"/>
      <c r="C262" s="9"/>
      <c r="D262" s="9"/>
      <c r="E262" s="9"/>
      <c r="F262" s="435"/>
      <c r="G262" s="9"/>
      <c r="H262" s="9"/>
      <c r="I262" s="9"/>
      <c r="J262" s="9"/>
      <c r="K262" s="9"/>
      <c r="L262" s="9"/>
      <c r="M262" s="9"/>
      <c r="N262" s="9"/>
      <c r="O262" s="9"/>
      <c r="P262" s="9"/>
      <c r="Q262" s="9"/>
      <c r="R262" s="9"/>
      <c r="S262" s="436"/>
      <c r="T262" s="436"/>
      <c r="U262" s="436"/>
      <c r="V262" s="436"/>
      <c r="W262" s="9"/>
      <c r="X262" s="9"/>
      <c r="Y262" s="9"/>
      <c r="Z262" s="9"/>
      <c r="AA262" s="9"/>
      <c r="AB262" s="9"/>
    </row>
    <row r="263">
      <c r="A263" s="9"/>
      <c r="B263" s="9"/>
      <c r="C263" s="9"/>
      <c r="D263" s="9"/>
      <c r="E263" s="9"/>
      <c r="F263" s="435"/>
      <c r="G263" s="9"/>
      <c r="H263" s="9"/>
      <c r="I263" s="9"/>
      <c r="J263" s="9"/>
      <c r="K263" s="9"/>
      <c r="L263" s="9"/>
      <c r="M263" s="9"/>
      <c r="N263" s="9"/>
      <c r="O263" s="9"/>
      <c r="P263" s="9"/>
      <c r="Q263" s="9"/>
      <c r="R263" s="9"/>
      <c r="S263" s="436"/>
      <c r="T263" s="436"/>
      <c r="U263" s="436"/>
      <c r="V263" s="436"/>
      <c r="W263" s="9"/>
      <c r="X263" s="9"/>
      <c r="Y263" s="9"/>
      <c r="Z263" s="9"/>
      <c r="AA263" s="9"/>
      <c r="AB263" s="9"/>
    </row>
    <row r="264">
      <c r="A264" s="9"/>
      <c r="B264" s="9"/>
      <c r="C264" s="9"/>
      <c r="D264" s="9"/>
      <c r="E264" s="9"/>
      <c r="F264" s="435"/>
      <c r="G264" s="9"/>
      <c r="H264" s="9"/>
      <c r="I264" s="9"/>
      <c r="J264" s="9"/>
      <c r="K264" s="9"/>
      <c r="L264" s="9"/>
      <c r="M264" s="9"/>
      <c r="N264" s="9"/>
      <c r="O264" s="9"/>
      <c r="P264" s="9"/>
      <c r="Q264" s="9"/>
      <c r="R264" s="9"/>
      <c r="S264" s="436"/>
      <c r="T264" s="436"/>
      <c r="U264" s="436"/>
      <c r="V264" s="436"/>
      <c r="W264" s="9"/>
      <c r="X264" s="9"/>
      <c r="Y264" s="9"/>
      <c r="Z264" s="9"/>
      <c r="AA264" s="9"/>
      <c r="AB264" s="9"/>
    </row>
    <row r="265">
      <c r="A265" s="9"/>
      <c r="B265" s="9"/>
      <c r="C265" s="9"/>
      <c r="D265" s="9"/>
      <c r="E265" s="9"/>
      <c r="F265" s="435"/>
      <c r="G265" s="9"/>
      <c r="H265" s="9"/>
      <c r="I265" s="9"/>
      <c r="J265" s="9"/>
      <c r="K265" s="9"/>
      <c r="L265" s="9"/>
      <c r="M265" s="9"/>
      <c r="N265" s="9"/>
      <c r="O265" s="9"/>
      <c r="P265" s="9"/>
      <c r="Q265" s="9"/>
      <c r="R265" s="9"/>
      <c r="S265" s="436"/>
      <c r="T265" s="436"/>
      <c r="U265" s="436"/>
      <c r="V265" s="436"/>
      <c r="W265" s="9"/>
      <c r="X265" s="9"/>
      <c r="Y265" s="9"/>
      <c r="Z265" s="9"/>
      <c r="AA265" s="9"/>
      <c r="AB265" s="9"/>
    </row>
    <row r="266">
      <c r="A266" s="9"/>
      <c r="B266" s="9"/>
      <c r="C266" s="9"/>
      <c r="D266" s="9"/>
      <c r="E266" s="9"/>
      <c r="F266" s="435"/>
      <c r="G266" s="9"/>
      <c r="H266" s="9"/>
      <c r="I266" s="9"/>
      <c r="J266" s="9"/>
      <c r="K266" s="9"/>
      <c r="L266" s="9"/>
      <c r="M266" s="9"/>
      <c r="N266" s="9"/>
      <c r="O266" s="9"/>
      <c r="P266" s="9"/>
      <c r="Q266" s="9"/>
      <c r="R266" s="9"/>
      <c r="S266" s="436"/>
      <c r="T266" s="436"/>
      <c r="U266" s="436"/>
      <c r="V266" s="436"/>
      <c r="W266" s="9"/>
      <c r="X266" s="9"/>
      <c r="Y266" s="9"/>
      <c r="Z266" s="9"/>
      <c r="AA266" s="9"/>
      <c r="AB266" s="9"/>
    </row>
    <row r="267">
      <c r="A267" s="9"/>
      <c r="B267" s="9"/>
      <c r="C267" s="9"/>
      <c r="D267" s="9"/>
      <c r="E267" s="9"/>
      <c r="F267" s="435"/>
      <c r="G267" s="9"/>
      <c r="H267" s="9"/>
      <c r="I267" s="9"/>
      <c r="J267" s="9"/>
      <c r="K267" s="9"/>
      <c r="L267" s="9"/>
      <c r="M267" s="9"/>
      <c r="N267" s="9"/>
      <c r="O267" s="9"/>
      <c r="P267" s="9"/>
      <c r="Q267" s="9"/>
      <c r="R267" s="9"/>
      <c r="S267" s="436"/>
      <c r="T267" s="436"/>
      <c r="U267" s="436"/>
      <c r="V267" s="436"/>
      <c r="W267" s="9"/>
      <c r="X267" s="9"/>
      <c r="Y267" s="9"/>
      <c r="Z267" s="9"/>
      <c r="AA267" s="9"/>
      <c r="AB267" s="9"/>
    </row>
    <row r="268">
      <c r="A268" s="9"/>
      <c r="B268" s="9"/>
      <c r="C268" s="9"/>
      <c r="D268" s="9"/>
      <c r="E268" s="9"/>
      <c r="F268" s="435"/>
      <c r="G268" s="9"/>
      <c r="H268" s="9"/>
      <c r="I268" s="9"/>
      <c r="J268" s="9"/>
      <c r="K268" s="9"/>
      <c r="L268" s="9"/>
      <c r="M268" s="9"/>
      <c r="N268" s="9"/>
      <c r="O268" s="9"/>
      <c r="P268" s="9"/>
      <c r="Q268" s="9"/>
      <c r="R268" s="9"/>
      <c r="S268" s="436"/>
      <c r="T268" s="436"/>
      <c r="U268" s="436"/>
      <c r="V268" s="436"/>
      <c r="W268" s="9"/>
      <c r="X268" s="9"/>
      <c r="Y268" s="9"/>
      <c r="Z268" s="9"/>
      <c r="AA268" s="9"/>
      <c r="AB268" s="9"/>
    </row>
    <row r="269">
      <c r="A269" s="9"/>
      <c r="B269" s="9"/>
      <c r="C269" s="9"/>
      <c r="D269" s="9"/>
      <c r="E269" s="9"/>
      <c r="F269" s="435"/>
      <c r="G269" s="9"/>
      <c r="H269" s="9"/>
      <c r="I269" s="9"/>
      <c r="J269" s="9"/>
      <c r="K269" s="9"/>
      <c r="L269" s="9"/>
      <c r="M269" s="9"/>
      <c r="N269" s="9"/>
      <c r="O269" s="9"/>
      <c r="P269" s="9"/>
      <c r="Q269" s="9"/>
      <c r="R269" s="9"/>
      <c r="S269" s="436"/>
      <c r="T269" s="436"/>
      <c r="U269" s="436"/>
      <c r="V269" s="436"/>
      <c r="W269" s="9"/>
      <c r="X269" s="9"/>
      <c r="Y269" s="9"/>
      <c r="Z269" s="9"/>
      <c r="AA269" s="9"/>
      <c r="AB269" s="9"/>
    </row>
    <row r="270">
      <c r="A270" s="9"/>
      <c r="B270" s="9"/>
      <c r="C270" s="9"/>
      <c r="D270" s="9"/>
      <c r="E270" s="9"/>
      <c r="F270" s="435"/>
      <c r="G270" s="9"/>
      <c r="H270" s="9"/>
      <c r="I270" s="9"/>
      <c r="J270" s="9"/>
      <c r="K270" s="9"/>
      <c r="L270" s="9"/>
      <c r="M270" s="9"/>
      <c r="N270" s="9"/>
      <c r="O270" s="9"/>
      <c r="P270" s="9"/>
      <c r="Q270" s="9"/>
      <c r="R270" s="9"/>
      <c r="S270" s="436"/>
      <c r="T270" s="436"/>
      <c r="U270" s="436"/>
      <c r="V270" s="436"/>
      <c r="W270" s="9"/>
      <c r="X270" s="9"/>
      <c r="Y270" s="9"/>
      <c r="Z270" s="9"/>
      <c r="AA270" s="9"/>
      <c r="AB270" s="9"/>
    </row>
    <row r="271">
      <c r="A271" s="9"/>
      <c r="B271" s="9"/>
      <c r="C271" s="9"/>
      <c r="D271" s="9"/>
      <c r="E271" s="9"/>
      <c r="F271" s="435"/>
      <c r="G271" s="9"/>
      <c r="H271" s="9"/>
      <c r="I271" s="9"/>
      <c r="J271" s="9"/>
      <c r="K271" s="9"/>
      <c r="L271" s="9"/>
      <c r="M271" s="9"/>
      <c r="N271" s="9"/>
      <c r="O271" s="9"/>
      <c r="P271" s="9"/>
      <c r="Q271" s="9"/>
      <c r="R271" s="9"/>
      <c r="S271" s="436"/>
      <c r="T271" s="436"/>
      <c r="U271" s="436"/>
      <c r="V271" s="436"/>
      <c r="W271" s="9"/>
      <c r="X271" s="9"/>
      <c r="Y271" s="9"/>
      <c r="Z271" s="9"/>
      <c r="AA271" s="9"/>
      <c r="AB271" s="9"/>
    </row>
    <row r="272">
      <c r="A272" s="9"/>
      <c r="B272" s="9"/>
      <c r="C272" s="9"/>
      <c r="D272" s="9"/>
      <c r="E272" s="9"/>
      <c r="F272" s="435"/>
      <c r="G272" s="9"/>
      <c r="H272" s="9"/>
      <c r="I272" s="9"/>
      <c r="J272" s="9"/>
      <c r="K272" s="9"/>
      <c r="L272" s="9"/>
      <c r="M272" s="9"/>
      <c r="N272" s="9"/>
      <c r="O272" s="9"/>
      <c r="P272" s="9"/>
      <c r="Q272" s="9"/>
      <c r="R272" s="9"/>
      <c r="S272" s="436"/>
      <c r="T272" s="436"/>
      <c r="U272" s="436"/>
      <c r="V272" s="436"/>
      <c r="W272" s="9"/>
      <c r="X272" s="9"/>
      <c r="Y272" s="9"/>
      <c r="Z272" s="9"/>
      <c r="AA272" s="9"/>
      <c r="AB272" s="9"/>
    </row>
    <row r="273">
      <c r="A273" s="9"/>
      <c r="B273" s="9"/>
      <c r="C273" s="9"/>
      <c r="D273" s="9"/>
      <c r="E273" s="9"/>
      <c r="F273" s="435"/>
      <c r="G273" s="9"/>
      <c r="H273" s="9"/>
      <c r="I273" s="9"/>
      <c r="J273" s="9"/>
      <c r="K273" s="9"/>
      <c r="L273" s="9"/>
      <c r="M273" s="9"/>
      <c r="N273" s="9"/>
      <c r="O273" s="9"/>
      <c r="P273" s="9"/>
      <c r="Q273" s="9"/>
      <c r="R273" s="9"/>
      <c r="S273" s="436"/>
      <c r="T273" s="436"/>
      <c r="U273" s="436"/>
      <c r="V273" s="436"/>
      <c r="W273" s="9"/>
      <c r="X273" s="9"/>
      <c r="Y273" s="9"/>
      <c r="Z273" s="9"/>
      <c r="AA273" s="9"/>
      <c r="AB273" s="9"/>
    </row>
    <row r="274">
      <c r="A274" s="9"/>
      <c r="B274" s="9"/>
      <c r="C274" s="9"/>
      <c r="D274" s="9"/>
      <c r="E274" s="9"/>
      <c r="F274" s="435"/>
      <c r="G274" s="9"/>
      <c r="H274" s="9"/>
      <c r="I274" s="9"/>
      <c r="J274" s="9"/>
      <c r="K274" s="9"/>
      <c r="L274" s="9"/>
      <c r="M274" s="9"/>
      <c r="N274" s="9"/>
      <c r="O274" s="9"/>
      <c r="P274" s="9"/>
      <c r="Q274" s="9"/>
      <c r="R274" s="9"/>
      <c r="S274" s="436"/>
      <c r="T274" s="436"/>
      <c r="U274" s="436"/>
      <c r="V274" s="436"/>
      <c r="W274" s="9"/>
      <c r="X274" s="9"/>
      <c r="Y274" s="9"/>
      <c r="Z274" s="9"/>
      <c r="AA274" s="9"/>
      <c r="AB274" s="9"/>
    </row>
    <row r="275">
      <c r="A275" s="9"/>
      <c r="B275" s="9"/>
      <c r="C275" s="9"/>
      <c r="D275" s="9"/>
      <c r="E275" s="9"/>
      <c r="F275" s="435"/>
      <c r="G275" s="9"/>
      <c r="H275" s="9"/>
      <c r="I275" s="9"/>
      <c r="J275" s="9"/>
      <c r="K275" s="9"/>
      <c r="L275" s="9"/>
      <c r="M275" s="9"/>
      <c r="N275" s="9"/>
      <c r="O275" s="9"/>
      <c r="P275" s="9"/>
      <c r="Q275" s="9"/>
      <c r="R275" s="9"/>
      <c r="S275" s="436"/>
      <c r="T275" s="436"/>
      <c r="U275" s="436"/>
      <c r="V275" s="436"/>
      <c r="W275" s="9"/>
      <c r="X275" s="9"/>
      <c r="Y275" s="9"/>
      <c r="Z275" s="9"/>
      <c r="AA275" s="9"/>
      <c r="AB275" s="9"/>
    </row>
    <row r="276">
      <c r="A276" s="9"/>
      <c r="B276" s="9"/>
      <c r="C276" s="9"/>
      <c r="D276" s="9"/>
      <c r="E276" s="9"/>
      <c r="F276" s="435"/>
      <c r="G276" s="9"/>
      <c r="H276" s="9"/>
      <c r="I276" s="9"/>
      <c r="J276" s="9"/>
      <c r="K276" s="9"/>
      <c r="L276" s="9"/>
      <c r="M276" s="9"/>
      <c r="N276" s="9"/>
      <c r="O276" s="9"/>
      <c r="P276" s="9"/>
      <c r="Q276" s="9"/>
      <c r="R276" s="9"/>
      <c r="S276" s="436"/>
      <c r="T276" s="436"/>
      <c r="U276" s="436"/>
      <c r="V276" s="436"/>
      <c r="W276" s="9"/>
      <c r="X276" s="9"/>
      <c r="Y276" s="9"/>
      <c r="Z276" s="9"/>
      <c r="AA276" s="9"/>
      <c r="AB276" s="9"/>
    </row>
    <row r="277">
      <c r="A277" s="9"/>
      <c r="B277" s="9"/>
      <c r="C277" s="9"/>
      <c r="D277" s="9"/>
      <c r="E277" s="9"/>
      <c r="F277" s="435"/>
      <c r="G277" s="9"/>
      <c r="H277" s="9"/>
      <c r="I277" s="9"/>
      <c r="J277" s="9"/>
      <c r="K277" s="9"/>
      <c r="L277" s="9"/>
      <c r="M277" s="9"/>
      <c r="N277" s="9"/>
      <c r="O277" s="9"/>
      <c r="P277" s="9"/>
      <c r="Q277" s="9"/>
      <c r="R277" s="9"/>
      <c r="S277" s="436"/>
      <c r="T277" s="436"/>
      <c r="U277" s="436"/>
      <c r="V277" s="436"/>
      <c r="W277" s="9"/>
      <c r="X277" s="9"/>
      <c r="Y277" s="9"/>
      <c r="Z277" s="9"/>
      <c r="AA277" s="9"/>
      <c r="AB277" s="9"/>
    </row>
    <row r="278">
      <c r="A278" s="9"/>
      <c r="B278" s="9"/>
      <c r="C278" s="9"/>
      <c r="D278" s="9"/>
      <c r="E278" s="9"/>
      <c r="F278" s="435"/>
      <c r="G278" s="9"/>
      <c r="H278" s="9"/>
      <c r="I278" s="9"/>
      <c r="J278" s="9"/>
      <c r="K278" s="9"/>
      <c r="L278" s="9"/>
      <c r="M278" s="9"/>
      <c r="N278" s="9"/>
      <c r="O278" s="9"/>
      <c r="P278" s="9"/>
      <c r="Q278" s="9"/>
      <c r="R278" s="9"/>
      <c r="S278" s="436"/>
      <c r="T278" s="436"/>
      <c r="U278" s="436"/>
      <c r="V278" s="436"/>
      <c r="W278" s="9"/>
      <c r="X278" s="9"/>
      <c r="Y278" s="9"/>
      <c r="Z278" s="9"/>
      <c r="AA278" s="9"/>
      <c r="AB278" s="9"/>
    </row>
    <row r="279">
      <c r="A279" s="9"/>
      <c r="B279" s="9"/>
      <c r="C279" s="9"/>
      <c r="D279" s="9"/>
      <c r="E279" s="9"/>
      <c r="F279" s="435"/>
      <c r="G279" s="9"/>
      <c r="H279" s="9"/>
      <c r="I279" s="9"/>
      <c r="J279" s="9"/>
      <c r="K279" s="9"/>
      <c r="L279" s="9"/>
      <c r="M279" s="9"/>
      <c r="N279" s="9"/>
      <c r="O279" s="9"/>
      <c r="P279" s="9"/>
      <c r="Q279" s="9"/>
      <c r="R279" s="9"/>
      <c r="S279" s="436"/>
      <c r="T279" s="436"/>
      <c r="U279" s="436"/>
      <c r="V279" s="436"/>
      <c r="W279" s="9"/>
      <c r="X279" s="9"/>
      <c r="Y279" s="9"/>
      <c r="Z279" s="9"/>
      <c r="AA279" s="9"/>
      <c r="AB279" s="9"/>
    </row>
    <row r="280">
      <c r="A280" s="9"/>
      <c r="B280" s="9"/>
      <c r="C280" s="9"/>
      <c r="D280" s="9"/>
      <c r="E280" s="9"/>
      <c r="F280" s="435"/>
      <c r="G280" s="9"/>
      <c r="H280" s="9"/>
      <c r="I280" s="9"/>
      <c r="J280" s="9"/>
      <c r="K280" s="9"/>
      <c r="L280" s="9"/>
      <c r="M280" s="9"/>
      <c r="N280" s="9"/>
      <c r="O280" s="9"/>
      <c r="P280" s="9"/>
      <c r="Q280" s="9"/>
      <c r="R280" s="9"/>
      <c r="S280" s="436"/>
      <c r="T280" s="436"/>
      <c r="U280" s="436"/>
      <c r="V280" s="436"/>
      <c r="W280" s="9"/>
      <c r="X280" s="9"/>
      <c r="Y280" s="9"/>
      <c r="Z280" s="9"/>
      <c r="AA280" s="9"/>
      <c r="AB280" s="9"/>
    </row>
    <row r="281">
      <c r="A281" s="9"/>
      <c r="B281" s="9"/>
      <c r="C281" s="9"/>
      <c r="D281" s="9"/>
      <c r="E281" s="9"/>
      <c r="F281" s="435"/>
      <c r="G281" s="9"/>
      <c r="H281" s="9"/>
      <c r="I281" s="9"/>
      <c r="J281" s="9"/>
      <c r="K281" s="9"/>
      <c r="L281" s="9"/>
      <c r="M281" s="9"/>
      <c r="N281" s="9"/>
      <c r="O281" s="9"/>
      <c r="P281" s="9"/>
      <c r="Q281" s="9"/>
      <c r="R281" s="9"/>
      <c r="S281" s="436"/>
      <c r="T281" s="436"/>
      <c r="U281" s="436"/>
      <c r="V281" s="436"/>
      <c r="W281" s="9"/>
      <c r="X281" s="9"/>
      <c r="Y281" s="9"/>
      <c r="Z281" s="9"/>
      <c r="AA281" s="9"/>
      <c r="AB281" s="9"/>
    </row>
    <row r="282">
      <c r="A282" s="9"/>
      <c r="B282" s="9"/>
      <c r="C282" s="9"/>
      <c r="D282" s="9"/>
      <c r="E282" s="9"/>
      <c r="F282" s="435"/>
      <c r="G282" s="9"/>
      <c r="H282" s="9"/>
      <c r="I282" s="9"/>
      <c r="J282" s="9"/>
      <c r="K282" s="9"/>
      <c r="L282" s="9"/>
      <c r="M282" s="9"/>
      <c r="N282" s="9"/>
      <c r="O282" s="9"/>
      <c r="P282" s="9"/>
      <c r="Q282" s="9"/>
      <c r="R282" s="9"/>
      <c r="S282" s="436"/>
      <c r="T282" s="436"/>
      <c r="U282" s="436"/>
      <c r="V282" s="436"/>
      <c r="W282" s="9"/>
      <c r="X282" s="9"/>
      <c r="Y282" s="9"/>
      <c r="Z282" s="9"/>
      <c r="AA282" s="9"/>
      <c r="AB282" s="9"/>
    </row>
    <row r="283">
      <c r="A283" s="9"/>
      <c r="B283" s="9"/>
      <c r="C283" s="9"/>
      <c r="D283" s="9"/>
      <c r="E283" s="9"/>
      <c r="F283" s="435"/>
      <c r="G283" s="9"/>
      <c r="H283" s="9"/>
      <c r="I283" s="9"/>
      <c r="J283" s="9"/>
      <c r="K283" s="9"/>
      <c r="L283" s="9"/>
      <c r="M283" s="9"/>
      <c r="N283" s="9"/>
      <c r="O283" s="9"/>
      <c r="P283" s="9"/>
      <c r="Q283" s="9"/>
      <c r="R283" s="9"/>
      <c r="S283" s="436"/>
      <c r="T283" s="436"/>
      <c r="U283" s="436"/>
      <c r="V283" s="436"/>
      <c r="W283" s="9"/>
      <c r="X283" s="9"/>
      <c r="Y283" s="9"/>
      <c r="Z283" s="9"/>
      <c r="AA283" s="9"/>
      <c r="AB283" s="9"/>
    </row>
    <row r="284">
      <c r="A284" s="9"/>
      <c r="B284" s="9"/>
      <c r="C284" s="9"/>
      <c r="D284" s="9"/>
      <c r="E284" s="9"/>
      <c r="F284" s="435"/>
      <c r="G284" s="9"/>
      <c r="H284" s="9"/>
      <c r="I284" s="9"/>
      <c r="J284" s="9"/>
      <c r="K284" s="9"/>
      <c r="L284" s="9"/>
      <c r="M284" s="9"/>
      <c r="N284" s="9"/>
      <c r="O284" s="9"/>
      <c r="P284" s="9"/>
      <c r="Q284" s="9"/>
      <c r="R284" s="9"/>
      <c r="S284" s="436"/>
      <c r="T284" s="436"/>
      <c r="U284" s="436"/>
      <c r="V284" s="436"/>
      <c r="W284" s="9"/>
      <c r="X284" s="9"/>
      <c r="Y284" s="9"/>
      <c r="Z284" s="9"/>
      <c r="AA284" s="9"/>
      <c r="AB284" s="9"/>
    </row>
    <row r="285">
      <c r="A285" s="9"/>
      <c r="B285" s="9"/>
      <c r="C285" s="9"/>
      <c r="D285" s="9"/>
      <c r="E285" s="9"/>
      <c r="F285" s="435"/>
      <c r="G285" s="9"/>
      <c r="H285" s="9"/>
      <c r="I285" s="9"/>
      <c r="J285" s="9"/>
      <c r="K285" s="9"/>
      <c r="L285" s="9"/>
      <c r="M285" s="9"/>
      <c r="N285" s="9"/>
      <c r="O285" s="9"/>
      <c r="P285" s="9"/>
      <c r="Q285" s="9"/>
      <c r="R285" s="9"/>
      <c r="S285" s="436"/>
      <c r="T285" s="436"/>
      <c r="U285" s="436"/>
      <c r="V285" s="436"/>
      <c r="W285" s="9"/>
      <c r="X285" s="9"/>
      <c r="Y285" s="9"/>
      <c r="Z285" s="9"/>
      <c r="AA285" s="9"/>
      <c r="AB285" s="9"/>
    </row>
    <row r="286">
      <c r="A286" s="9"/>
      <c r="B286" s="9"/>
      <c r="C286" s="9"/>
      <c r="D286" s="9"/>
      <c r="E286" s="9"/>
      <c r="F286" s="435"/>
      <c r="G286" s="9"/>
      <c r="H286" s="9"/>
      <c r="I286" s="9"/>
      <c r="J286" s="9"/>
      <c r="K286" s="9"/>
      <c r="L286" s="9"/>
      <c r="M286" s="9"/>
      <c r="N286" s="9"/>
      <c r="O286" s="9"/>
      <c r="P286" s="9"/>
      <c r="Q286" s="9"/>
      <c r="R286" s="9"/>
      <c r="S286" s="436"/>
      <c r="T286" s="436"/>
      <c r="U286" s="436"/>
      <c r="V286" s="436"/>
      <c r="W286" s="9"/>
      <c r="X286" s="9"/>
      <c r="Y286" s="9"/>
      <c r="Z286" s="9"/>
      <c r="AA286" s="9"/>
      <c r="AB286" s="9"/>
    </row>
    <row r="287">
      <c r="A287" s="9"/>
      <c r="B287" s="9"/>
      <c r="C287" s="9"/>
      <c r="D287" s="9"/>
      <c r="E287" s="9"/>
      <c r="F287" s="435"/>
      <c r="G287" s="9"/>
      <c r="H287" s="9"/>
      <c r="I287" s="9"/>
      <c r="J287" s="9"/>
      <c r="K287" s="9"/>
      <c r="L287" s="9"/>
      <c r="M287" s="9"/>
      <c r="N287" s="9"/>
      <c r="O287" s="9"/>
      <c r="P287" s="9"/>
      <c r="Q287" s="9"/>
      <c r="R287" s="9"/>
      <c r="S287" s="436"/>
      <c r="T287" s="436"/>
      <c r="U287" s="436"/>
      <c r="V287" s="436"/>
      <c r="W287" s="9"/>
      <c r="X287" s="9"/>
      <c r="Y287" s="9"/>
      <c r="Z287" s="9"/>
      <c r="AA287" s="9"/>
      <c r="AB287" s="9"/>
    </row>
    <row r="288">
      <c r="A288" s="9"/>
      <c r="B288" s="9"/>
      <c r="C288" s="9"/>
      <c r="D288" s="9"/>
      <c r="E288" s="9"/>
      <c r="F288" s="435"/>
      <c r="G288" s="9"/>
      <c r="H288" s="9"/>
      <c r="I288" s="9"/>
      <c r="J288" s="9"/>
      <c r="K288" s="9"/>
      <c r="L288" s="9"/>
      <c r="M288" s="9"/>
      <c r="N288" s="9"/>
      <c r="O288" s="9"/>
      <c r="P288" s="9"/>
      <c r="Q288" s="9"/>
      <c r="R288" s="9"/>
      <c r="S288" s="436"/>
      <c r="T288" s="436"/>
      <c r="U288" s="436"/>
      <c r="V288" s="436"/>
      <c r="W288" s="9"/>
      <c r="X288" s="9"/>
      <c r="Y288" s="9"/>
      <c r="Z288" s="9"/>
      <c r="AA288" s="9"/>
      <c r="AB288" s="9"/>
    </row>
    <row r="289">
      <c r="A289" s="9"/>
      <c r="B289" s="9"/>
      <c r="C289" s="9"/>
      <c r="D289" s="9"/>
      <c r="E289" s="9"/>
      <c r="F289" s="435"/>
      <c r="G289" s="9"/>
      <c r="H289" s="9"/>
      <c r="I289" s="9"/>
      <c r="J289" s="9"/>
      <c r="K289" s="9"/>
      <c r="L289" s="9"/>
      <c r="M289" s="9"/>
      <c r="N289" s="9"/>
      <c r="O289" s="9"/>
      <c r="P289" s="9"/>
      <c r="Q289" s="9"/>
      <c r="R289" s="9"/>
      <c r="S289" s="436"/>
      <c r="T289" s="436"/>
      <c r="U289" s="436"/>
      <c r="V289" s="436"/>
      <c r="W289" s="9"/>
      <c r="X289" s="9"/>
      <c r="Y289" s="9"/>
      <c r="Z289" s="9"/>
      <c r="AA289" s="9"/>
      <c r="AB289" s="9"/>
    </row>
    <row r="290">
      <c r="A290" s="9"/>
      <c r="B290" s="9"/>
      <c r="C290" s="9"/>
      <c r="D290" s="9"/>
      <c r="E290" s="9"/>
      <c r="F290" s="435"/>
      <c r="G290" s="9"/>
      <c r="H290" s="9"/>
      <c r="I290" s="9"/>
      <c r="J290" s="9"/>
      <c r="K290" s="9"/>
      <c r="L290" s="9"/>
      <c r="M290" s="9"/>
      <c r="N290" s="9"/>
      <c r="O290" s="9"/>
      <c r="P290" s="9"/>
      <c r="Q290" s="9"/>
      <c r="R290" s="9"/>
      <c r="S290" s="436"/>
      <c r="T290" s="436"/>
      <c r="U290" s="436"/>
      <c r="V290" s="436"/>
      <c r="W290" s="9"/>
      <c r="X290" s="9"/>
      <c r="Y290" s="9"/>
      <c r="Z290" s="9"/>
      <c r="AA290" s="9"/>
      <c r="AB290" s="9"/>
    </row>
    <row r="291">
      <c r="A291" s="9"/>
      <c r="B291" s="9"/>
      <c r="C291" s="9"/>
      <c r="D291" s="9"/>
      <c r="E291" s="9"/>
      <c r="F291" s="435"/>
      <c r="G291" s="9"/>
      <c r="H291" s="9"/>
      <c r="I291" s="9"/>
      <c r="J291" s="9"/>
      <c r="K291" s="9"/>
      <c r="L291" s="9"/>
      <c r="M291" s="9"/>
      <c r="N291" s="9"/>
      <c r="O291" s="9"/>
      <c r="P291" s="9"/>
      <c r="Q291" s="9"/>
      <c r="R291" s="9"/>
      <c r="S291" s="436"/>
      <c r="T291" s="436"/>
      <c r="U291" s="436"/>
      <c r="V291" s="436"/>
      <c r="W291" s="9"/>
      <c r="X291" s="9"/>
      <c r="Y291" s="9"/>
      <c r="Z291" s="9"/>
      <c r="AA291" s="9"/>
      <c r="AB291" s="9"/>
    </row>
    <row r="292">
      <c r="A292" s="9"/>
      <c r="B292" s="9"/>
      <c r="C292" s="9"/>
      <c r="D292" s="9"/>
      <c r="E292" s="9"/>
      <c r="F292" s="435"/>
      <c r="G292" s="9"/>
      <c r="H292" s="9"/>
      <c r="I292" s="9"/>
      <c r="J292" s="9"/>
      <c r="K292" s="9"/>
      <c r="L292" s="9"/>
      <c r="M292" s="9"/>
      <c r="N292" s="9"/>
      <c r="O292" s="9"/>
      <c r="P292" s="9"/>
      <c r="Q292" s="9"/>
      <c r="R292" s="9"/>
      <c r="S292" s="436"/>
      <c r="T292" s="436"/>
      <c r="U292" s="436"/>
      <c r="V292" s="436"/>
      <c r="W292" s="9"/>
      <c r="X292" s="9"/>
      <c r="Y292" s="9"/>
      <c r="Z292" s="9"/>
      <c r="AA292" s="9"/>
      <c r="AB292" s="9"/>
    </row>
    <row r="293">
      <c r="A293" s="9"/>
      <c r="B293" s="9"/>
      <c r="C293" s="9"/>
      <c r="D293" s="9"/>
      <c r="E293" s="9"/>
      <c r="F293" s="435"/>
      <c r="G293" s="9"/>
      <c r="H293" s="9"/>
      <c r="I293" s="9"/>
      <c r="J293" s="9"/>
      <c r="K293" s="9"/>
      <c r="L293" s="9"/>
      <c r="M293" s="9"/>
      <c r="N293" s="9"/>
      <c r="O293" s="9"/>
      <c r="P293" s="9"/>
      <c r="Q293" s="9"/>
      <c r="R293" s="9"/>
      <c r="S293" s="436"/>
      <c r="T293" s="436"/>
      <c r="U293" s="436"/>
      <c r="V293" s="436"/>
      <c r="W293" s="9"/>
      <c r="X293" s="9"/>
      <c r="Y293" s="9"/>
      <c r="Z293" s="9"/>
      <c r="AA293" s="9"/>
      <c r="AB293" s="9"/>
    </row>
    <row r="294">
      <c r="A294" s="9"/>
      <c r="B294" s="9"/>
      <c r="C294" s="9"/>
      <c r="D294" s="9"/>
      <c r="E294" s="9"/>
      <c r="F294" s="435"/>
      <c r="G294" s="9"/>
      <c r="H294" s="9"/>
      <c r="I294" s="9"/>
      <c r="J294" s="9"/>
      <c r="K294" s="9"/>
      <c r="L294" s="9"/>
      <c r="M294" s="9"/>
      <c r="N294" s="9"/>
      <c r="O294" s="9"/>
      <c r="P294" s="9"/>
      <c r="Q294" s="9"/>
      <c r="R294" s="9"/>
      <c r="S294" s="436"/>
      <c r="T294" s="436"/>
      <c r="U294" s="436"/>
      <c r="V294" s="436"/>
      <c r="W294" s="9"/>
      <c r="X294" s="9"/>
      <c r="Y294" s="9"/>
      <c r="Z294" s="9"/>
      <c r="AA294" s="9"/>
      <c r="AB294" s="9"/>
    </row>
    <row r="295">
      <c r="A295" s="9"/>
      <c r="B295" s="9"/>
      <c r="C295" s="9"/>
      <c r="D295" s="9"/>
      <c r="E295" s="9"/>
      <c r="F295" s="435"/>
      <c r="G295" s="9"/>
      <c r="H295" s="9"/>
      <c r="I295" s="9"/>
      <c r="J295" s="9"/>
      <c r="K295" s="9"/>
      <c r="L295" s="9"/>
      <c r="M295" s="9"/>
      <c r="N295" s="9"/>
      <c r="O295" s="9"/>
      <c r="P295" s="9"/>
      <c r="Q295" s="9"/>
      <c r="R295" s="9"/>
      <c r="S295" s="436"/>
      <c r="T295" s="436"/>
      <c r="U295" s="436"/>
      <c r="V295" s="436"/>
      <c r="W295" s="9"/>
      <c r="X295" s="9"/>
      <c r="Y295" s="9"/>
      <c r="Z295" s="9"/>
      <c r="AA295" s="9"/>
      <c r="AB295" s="9"/>
    </row>
    <row r="296">
      <c r="A296" s="9"/>
      <c r="B296" s="9"/>
      <c r="C296" s="9"/>
      <c r="D296" s="9"/>
      <c r="E296" s="9"/>
      <c r="F296" s="435"/>
      <c r="G296" s="9"/>
      <c r="H296" s="9"/>
      <c r="I296" s="9"/>
      <c r="J296" s="9"/>
      <c r="K296" s="9"/>
      <c r="L296" s="9"/>
      <c r="M296" s="9"/>
      <c r="N296" s="9"/>
      <c r="O296" s="9"/>
      <c r="P296" s="9"/>
      <c r="Q296" s="9"/>
      <c r="R296" s="9"/>
      <c r="S296" s="436"/>
      <c r="T296" s="436"/>
      <c r="U296" s="436"/>
      <c r="V296" s="436"/>
      <c r="W296" s="9"/>
      <c r="X296" s="9"/>
      <c r="Y296" s="9"/>
      <c r="Z296" s="9"/>
      <c r="AA296" s="9"/>
      <c r="AB296" s="9"/>
    </row>
    <row r="297">
      <c r="A297" s="9"/>
      <c r="B297" s="9"/>
      <c r="C297" s="9"/>
      <c r="D297" s="9"/>
      <c r="E297" s="9"/>
      <c r="F297" s="435"/>
      <c r="G297" s="9"/>
      <c r="H297" s="9"/>
      <c r="I297" s="9"/>
      <c r="J297" s="9"/>
      <c r="K297" s="9"/>
      <c r="L297" s="9"/>
      <c r="M297" s="9"/>
      <c r="N297" s="9"/>
      <c r="O297" s="9"/>
      <c r="P297" s="9"/>
      <c r="Q297" s="9"/>
      <c r="R297" s="9"/>
      <c r="S297" s="436"/>
      <c r="T297" s="436"/>
      <c r="U297" s="436"/>
      <c r="V297" s="436"/>
      <c r="W297" s="9"/>
      <c r="X297" s="9"/>
      <c r="Y297" s="9"/>
      <c r="Z297" s="9"/>
      <c r="AA297" s="9"/>
      <c r="AB297" s="9"/>
    </row>
    <row r="298">
      <c r="A298" s="9"/>
      <c r="B298" s="9"/>
      <c r="C298" s="9"/>
      <c r="D298" s="9"/>
      <c r="E298" s="9"/>
      <c r="F298" s="435"/>
      <c r="G298" s="9"/>
      <c r="H298" s="9"/>
      <c r="I298" s="9"/>
      <c r="J298" s="9"/>
      <c r="K298" s="9"/>
      <c r="L298" s="9"/>
      <c r="M298" s="9"/>
      <c r="N298" s="9"/>
      <c r="O298" s="9"/>
      <c r="P298" s="9"/>
      <c r="Q298" s="9"/>
      <c r="R298" s="9"/>
      <c r="S298" s="436"/>
      <c r="T298" s="436"/>
      <c r="U298" s="436"/>
      <c r="V298" s="436"/>
      <c r="W298" s="9"/>
      <c r="X298" s="9"/>
      <c r="Y298" s="9"/>
      <c r="Z298" s="9"/>
      <c r="AA298" s="9"/>
      <c r="AB298" s="9"/>
    </row>
    <row r="299">
      <c r="A299" s="9"/>
      <c r="B299" s="9"/>
      <c r="C299" s="9"/>
      <c r="D299" s="9"/>
      <c r="E299" s="9"/>
      <c r="F299" s="435"/>
      <c r="G299" s="9"/>
      <c r="H299" s="9"/>
      <c r="I299" s="9"/>
      <c r="J299" s="9"/>
      <c r="K299" s="9"/>
      <c r="L299" s="9"/>
      <c r="M299" s="9"/>
      <c r="N299" s="9"/>
      <c r="O299" s="9"/>
      <c r="P299" s="9"/>
      <c r="Q299" s="9"/>
      <c r="R299" s="9"/>
      <c r="S299" s="436"/>
      <c r="T299" s="436"/>
      <c r="U299" s="436"/>
      <c r="V299" s="436"/>
      <c r="W299" s="9"/>
      <c r="X299" s="9"/>
      <c r="Y299" s="9"/>
      <c r="Z299" s="9"/>
      <c r="AA299" s="9"/>
      <c r="AB299" s="9"/>
    </row>
    <row r="300">
      <c r="A300" s="9"/>
      <c r="B300" s="9"/>
      <c r="C300" s="9"/>
      <c r="D300" s="9"/>
      <c r="E300" s="9"/>
      <c r="F300" s="435"/>
      <c r="G300" s="9"/>
      <c r="H300" s="9"/>
      <c r="I300" s="9"/>
      <c r="J300" s="9"/>
      <c r="K300" s="9"/>
      <c r="L300" s="9"/>
      <c r="M300" s="9"/>
      <c r="N300" s="9"/>
      <c r="O300" s="9"/>
      <c r="P300" s="9"/>
      <c r="Q300" s="9"/>
      <c r="R300" s="9"/>
      <c r="S300" s="436"/>
      <c r="T300" s="436"/>
      <c r="U300" s="436"/>
      <c r="V300" s="436"/>
      <c r="W300" s="9"/>
      <c r="X300" s="9"/>
      <c r="Y300" s="9"/>
      <c r="Z300" s="9"/>
      <c r="AA300" s="9"/>
      <c r="AB300" s="9"/>
    </row>
    <row r="301">
      <c r="A301" s="9"/>
      <c r="B301" s="9"/>
      <c r="C301" s="9"/>
      <c r="D301" s="9"/>
      <c r="E301" s="9"/>
      <c r="F301" s="435"/>
      <c r="G301" s="9"/>
      <c r="H301" s="9"/>
      <c r="I301" s="9"/>
      <c r="J301" s="9"/>
      <c r="K301" s="9"/>
      <c r="L301" s="9"/>
      <c r="M301" s="9"/>
      <c r="N301" s="9"/>
      <c r="O301" s="9"/>
      <c r="P301" s="9"/>
      <c r="Q301" s="9"/>
      <c r="R301" s="9"/>
      <c r="S301" s="436"/>
      <c r="T301" s="436"/>
      <c r="U301" s="436"/>
      <c r="V301" s="436"/>
      <c r="W301" s="9"/>
      <c r="X301" s="9"/>
      <c r="Y301" s="9"/>
      <c r="Z301" s="9"/>
      <c r="AA301" s="9"/>
      <c r="AB301" s="9"/>
    </row>
    <row r="302">
      <c r="A302" s="9"/>
      <c r="B302" s="9"/>
      <c r="C302" s="9"/>
      <c r="D302" s="9"/>
      <c r="E302" s="9"/>
      <c r="F302" s="435"/>
      <c r="G302" s="9"/>
      <c r="H302" s="9"/>
      <c r="I302" s="9"/>
      <c r="J302" s="9"/>
      <c r="K302" s="9"/>
      <c r="L302" s="9"/>
      <c r="M302" s="9"/>
      <c r="N302" s="9"/>
      <c r="O302" s="9"/>
      <c r="P302" s="9"/>
      <c r="Q302" s="9"/>
      <c r="R302" s="9"/>
      <c r="S302" s="436"/>
      <c r="T302" s="436"/>
      <c r="U302" s="436"/>
      <c r="V302" s="436"/>
      <c r="W302" s="9"/>
      <c r="X302" s="9"/>
      <c r="Y302" s="9"/>
      <c r="Z302" s="9"/>
      <c r="AA302" s="9"/>
      <c r="AB302" s="9"/>
    </row>
    <row r="303">
      <c r="A303" s="9"/>
      <c r="B303" s="9"/>
      <c r="C303" s="9"/>
      <c r="D303" s="9"/>
      <c r="E303" s="9"/>
      <c r="F303" s="435"/>
      <c r="G303" s="9"/>
      <c r="H303" s="9"/>
      <c r="I303" s="9"/>
      <c r="J303" s="9"/>
      <c r="K303" s="9"/>
      <c r="L303" s="9"/>
      <c r="M303" s="9"/>
      <c r="N303" s="9"/>
      <c r="O303" s="9"/>
      <c r="P303" s="9"/>
      <c r="Q303" s="9"/>
      <c r="R303" s="9"/>
      <c r="S303" s="436"/>
      <c r="T303" s="436"/>
      <c r="U303" s="436"/>
      <c r="V303" s="436"/>
      <c r="W303" s="9"/>
      <c r="X303" s="9"/>
      <c r="Y303" s="9"/>
      <c r="Z303" s="9"/>
      <c r="AA303" s="9"/>
      <c r="AB303" s="9"/>
    </row>
    <row r="304">
      <c r="A304" s="9"/>
      <c r="B304" s="9"/>
      <c r="C304" s="9"/>
      <c r="D304" s="9"/>
      <c r="E304" s="9"/>
      <c r="F304" s="435"/>
      <c r="G304" s="9"/>
      <c r="H304" s="9"/>
      <c r="I304" s="9"/>
      <c r="J304" s="9"/>
      <c r="K304" s="9"/>
      <c r="L304" s="9"/>
      <c r="M304" s="9"/>
      <c r="N304" s="9"/>
      <c r="O304" s="9"/>
      <c r="P304" s="9"/>
      <c r="Q304" s="9"/>
      <c r="R304" s="9"/>
      <c r="S304" s="436"/>
      <c r="T304" s="436"/>
      <c r="U304" s="436"/>
      <c r="V304" s="436"/>
      <c r="W304" s="9"/>
      <c r="X304" s="9"/>
      <c r="Y304" s="9"/>
      <c r="Z304" s="9"/>
      <c r="AA304" s="9"/>
      <c r="AB304" s="9"/>
    </row>
    <row r="305">
      <c r="A305" s="9"/>
      <c r="B305" s="9"/>
      <c r="C305" s="9"/>
      <c r="D305" s="9"/>
      <c r="E305" s="9"/>
      <c r="F305" s="435"/>
      <c r="G305" s="9"/>
      <c r="H305" s="9"/>
      <c r="I305" s="9"/>
      <c r="J305" s="9"/>
      <c r="K305" s="9"/>
      <c r="L305" s="9"/>
      <c r="M305" s="9"/>
      <c r="N305" s="9"/>
      <c r="O305" s="9"/>
      <c r="P305" s="9"/>
      <c r="Q305" s="9"/>
      <c r="R305" s="9"/>
      <c r="S305" s="436"/>
      <c r="T305" s="436"/>
      <c r="U305" s="436"/>
      <c r="V305" s="436"/>
      <c r="W305" s="9"/>
      <c r="X305" s="9"/>
      <c r="Y305" s="9"/>
      <c r="Z305" s="9"/>
      <c r="AA305" s="9"/>
      <c r="AB305" s="9"/>
    </row>
    <row r="306">
      <c r="A306" s="9"/>
      <c r="B306" s="9"/>
      <c r="C306" s="9"/>
      <c r="D306" s="9"/>
      <c r="E306" s="9"/>
      <c r="F306" s="435"/>
      <c r="G306" s="9"/>
      <c r="H306" s="9"/>
      <c r="I306" s="9"/>
      <c r="J306" s="9"/>
      <c r="K306" s="9"/>
      <c r="L306" s="9"/>
      <c r="M306" s="9"/>
      <c r="N306" s="9"/>
      <c r="O306" s="9"/>
      <c r="P306" s="9"/>
      <c r="Q306" s="9"/>
      <c r="R306" s="9"/>
      <c r="S306" s="436"/>
      <c r="T306" s="436"/>
      <c r="U306" s="436"/>
      <c r="V306" s="436"/>
      <c r="W306" s="9"/>
      <c r="X306" s="9"/>
      <c r="Y306" s="9"/>
      <c r="Z306" s="9"/>
      <c r="AA306" s="9"/>
      <c r="AB306" s="9"/>
    </row>
    <row r="307">
      <c r="A307" s="9"/>
      <c r="B307" s="9"/>
      <c r="C307" s="9"/>
      <c r="D307" s="9"/>
      <c r="E307" s="9"/>
      <c r="F307" s="435"/>
      <c r="G307" s="9"/>
      <c r="H307" s="9"/>
      <c r="I307" s="9"/>
      <c r="J307" s="9"/>
      <c r="K307" s="9"/>
      <c r="L307" s="9"/>
      <c r="M307" s="9"/>
      <c r="N307" s="9"/>
      <c r="O307" s="9"/>
      <c r="P307" s="9"/>
      <c r="Q307" s="9"/>
      <c r="R307" s="9"/>
      <c r="S307" s="436"/>
      <c r="T307" s="436"/>
      <c r="U307" s="436"/>
      <c r="V307" s="436"/>
      <c r="W307" s="9"/>
      <c r="X307" s="9"/>
      <c r="Y307" s="9"/>
      <c r="Z307" s="9"/>
      <c r="AA307" s="9"/>
      <c r="AB307" s="9"/>
    </row>
    <row r="308">
      <c r="A308" s="9"/>
      <c r="B308" s="9"/>
      <c r="C308" s="9"/>
      <c r="D308" s="9"/>
      <c r="E308" s="9"/>
      <c r="F308" s="435"/>
      <c r="G308" s="9"/>
      <c r="H308" s="9"/>
      <c r="I308" s="9"/>
      <c r="J308" s="9"/>
      <c r="K308" s="9"/>
      <c r="L308" s="9"/>
      <c r="M308" s="9"/>
      <c r="N308" s="9"/>
      <c r="O308" s="9"/>
      <c r="P308" s="9"/>
      <c r="Q308" s="9"/>
      <c r="R308" s="9"/>
      <c r="S308" s="436"/>
      <c r="T308" s="436"/>
      <c r="U308" s="436"/>
      <c r="V308" s="436"/>
      <c r="W308" s="9"/>
      <c r="X308" s="9"/>
      <c r="Y308" s="9"/>
      <c r="Z308" s="9"/>
      <c r="AA308" s="9"/>
      <c r="AB308" s="9"/>
    </row>
    <row r="309">
      <c r="A309" s="9"/>
      <c r="B309" s="9"/>
      <c r="C309" s="9"/>
      <c r="D309" s="9"/>
      <c r="E309" s="9"/>
      <c r="F309" s="435"/>
      <c r="G309" s="9"/>
      <c r="H309" s="9"/>
      <c r="I309" s="9"/>
      <c r="J309" s="9"/>
      <c r="K309" s="9"/>
      <c r="L309" s="9"/>
      <c r="M309" s="9"/>
      <c r="N309" s="9"/>
      <c r="O309" s="9"/>
      <c r="P309" s="9"/>
      <c r="Q309" s="9"/>
      <c r="R309" s="9"/>
      <c r="S309" s="436"/>
      <c r="T309" s="436"/>
      <c r="U309" s="436"/>
      <c r="V309" s="436"/>
      <c r="W309" s="9"/>
      <c r="X309" s="9"/>
      <c r="Y309" s="9"/>
      <c r="Z309" s="9"/>
      <c r="AA309" s="9"/>
      <c r="AB309" s="9"/>
    </row>
    <row r="310">
      <c r="A310" s="9"/>
      <c r="B310" s="9"/>
      <c r="C310" s="9"/>
      <c r="D310" s="9"/>
      <c r="E310" s="9"/>
      <c r="F310" s="435"/>
      <c r="G310" s="9"/>
      <c r="H310" s="9"/>
      <c r="I310" s="9"/>
      <c r="J310" s="9"/>
      <c r="K310" s="9"/>
      <c r="L310" s="9"/>
      <c r="M310" s="9"/>
      <c r="N310" s="9"/>
      <c r="O310" s="9"/>
      <c r="P310" s="9"/>
      <c r="Q310" s="9"/>
      <c r="R310" s="9"/>
      <c r="S310" s="436"/>
      <c r="T310" s="436"/>
      <c r="U310" s="436"/>
      <c r="V310" s="436"/>
      <c r="W310" s="9"/>
      <c r="X310" s="9"/>
      <c r="Y310" s="9"/>
      <c r="Z310" s="9"/>
      <c r="AA310" s="9"/>
      <c r="AB310" s="9"/>
    </row>
    <row r="311">
      <c r="A311" s="9"/>
      <c r="B311" s="9"/>
      <c r="C311" s="9"/>
      <c r="D311" s="9"/>
      <c r="E311" s="9"/>
      <c r="F311" s="435"/>
      <c r="G311" s="9"/>
      <c r="H311" s="9"/>
      <c r="I311" s="9"/>
      <c r="J311" s="9"/>
      <c r="K311" s="9"/>
      <c r="L311" s="9"/>
      <c r="M311" s="9"/>
      <c r="N311" s="9"/>
      <c r="O311" s="9"/>
      <c r="P311" s="9"/>
      <c r="Q311" s="9"/>
      <c r="R311" s="9"/>
      <c r="S311" s="436"/>
      <c r="T311" s="436"/>
      <c r="U311" s="436"/>
      <c r="V311" s="436"/>
      <c r="W311" s="9"/>
      <c r="X311" s="9"/>
      <c r="Y311" s="9"/>
      <c r="Z311" s="9"/>
      <c r="AA311" s="9"/>
      <c r="AB311" s="9"/>
    </row>
    <row r="312">
      <c r="A312" s="9"/>
      <c r="B312" s="9"/>
      <c r="C312" s="9"/>
      <c r="D312" s="9"/>
      <c r="E312" s="9"/>
      <c r="F312" s="435"/>
      <c r="G312" s="9"/>
      <c r="H312" s="9"/>
      <c r="I312" s="9"/>
      <c r="J312" s="9"/>
      <c r="K312" s="9"/>
      <c r="L312" s="9"/>
      <c r="M312" s="9"/>
      <c r="N312" s="9"/>
      <c r="O312" s="9"/>
      <c r="P312" s="9"/>
      <c r="Q312" s="9"/>
      <c r="R312" s="9"/>
      <c r="S312" s="436"/>
      <c r="T312" s="436"/>
      <c r="U312" s="436"/>
      <c r="V312" s="436"/>
      <c r="W312" s="9"/>
      <c r="X312" s="9"/>
      <c r="Y312" s="9"/>
      <c r="Z312" s="9"/>
      <c r="AA312" s="9"/>
      <c r="AB312" s="9"/>
    </row>
    <row r="313">
      <c r="A313" s="9"/>
      <c r="B313" s="9"/>
      <c r="C313" s="9"/>
      <c r="D313" s="9"/>
      <c r="E313" s="9"/>
      <c r="F313" s="435"/>
      <c r="G313" s="9"/>
      <c r="H313" s="9"/>
      <c r="I313" s="9"/>
      <c r="J313" s="9"/>
      <c r="K313" s="9"/>
      <c r="L313" s="9"/>
      <c r="M313" s="9"/>
      <c r="N313" s="9"/>
      <c r="O313" s="9"/>
      <c r="P313" s="9"/>
      <c r="Q313" s="9"/>
      <c r="R313" s="9"/>
      <c r="S313" s="436"/>
      <c r="T313" s="436"/>
      <c r="U313" s="436"/>
      <c r="V313" s="436"/>
      <c r="W313" s="9"/>
      <c r="X313" s="9"/>
      <c r="Y313" s="9"/>
      <c r="Z313" s="9"/>
      <c r="AA313" s="9"/>
      <c r="AB313" s="9"/>
    </row>
    <row r="314">
      <c r="A314" s="9"/>
      <c r="B314" s="9"/>
      <c r="C314" s="9"/>
      <c r="D314" s="9"/>
      <c r="E314" s="9"/>
      <c r="F314" s="435"/>
      <c r="G314" s="9"/>
      <c r="H314" s="9"/>
      <c r="I314" s="9"/>
      <c r="J314" s="9"/>
      <c r="K314" s="9"/>
      <c r="L314" s="9"/>
      <c r="M314" s="9"/>
      <c r="N314" s="9"/>
      <c r="O314" s="9"/>
      <c r="P314" s="9"/>
      <c r="Q314" s="9"/>
      <c r="R314" s="9"/>
      <c r="S314" s="436"/>
      <c r="T314" s="436"/>
      <c r="U314" s="436"/>
      <c r="V314" s="436"/>
      <c r="W314" s="9"/>
      <c r="X314" s="9"/>
      <c r="Y314" s="9"/>
      <c r="Z314" s="9"/>
      <c r="AA314" s="9"/>
      <c r="AB314" s="9"/>
    </row>
    <row r="315">
      <c r="A315" s="9"/>
      <c r="B315" s="9"/>
      <c r="C315" s="9"/>
      <c r="D315" s="9"/>
      <c r="E315" s="9"/>
      <c r="F315" s="435"/>
      <c r="G315" s="9"/>
      <c r="H315" s="9"/>
      <c r="I315" s="9"/>
      <c r="J315" s="9"/>
      <c r="K315" s="9"/>
      <c r="L315" s="9"/>
      <c r="M315" s="9"/>
      <c r="N315" s="9"/>
      <c r="O315" s="9"/>
      <c r="P315" s="9"/>
      <c r="Q315" s="9"/>
      <c r="R315" s="9"/>
      <c r="S315" s="436"/>
      <c r="T315" s="436"/>
      <c r="U315" s="436"/>
      <c r="V315" s="436"/>
      <c r="W315" s="9"/>
      <c r="X315" s="9"/>
      <c r="Y315" s="9"/>
      <c r="Z315" s="9"/>
      <c r="AA315" s="9"/>
      <c r="AB315" s="9"/>
    </row>
    <row r="316">
      <c r="A316" s="9"/>
      <c r="B316" s="9"/>
      <c r="C316" s="9"/>
      <c r="D316" s="9"/>
      <c r="E316" s="9"/>
      <c r="F316" s="435"/>
      <c r="G316" s="9"/>
      <c r="H316" s="9"/>
      <c r="I316" s="9"/>
      <c r="J316" s="9"/>
      <c r="K316" s="9"/>
      <c r="L316" s="9"/>
      <c r="M316" s="9"/>
      <c r="N316" s="9"/>
      <c r="O316" s="9"/>
      <c r="P316" s="9"/>
      <c r="Q316" s="9"/>
      <c r="R316" s="9"/>
      <c r="S316" s="436"/>
      <c r="T316" s="436"/>
      <c r="U316" s="436"/>
      <c r="V316" s="436"/>
      <c r="W316" s="9"/>
      <c r="X316" s="9"/>
      <c r="Y316" s="9"/>
      <c r="Z316" s="9"/>
      <c r="AA316" s="9"/>
      <c r="AB316" s="9"/>
    </row>
    <row r="317">
      <c r="A317" s="9"/>
      <c r="B317" s="9"/>
      <c r="C317" s="9"/>
      <c r="D317" s="9"/>
      <c r="E317" s="9"/>
      <c r="F317" s="435"/>
      <c r="G317" s="9"/>
      <c r="H317" s="9"/>
      <c r="I317" s="9"/>
      <c r="J317" s="9"/>
      <c r="K317" s="9"/>
      <c r="L317" s="9"/>
      <c r="M317" s="9"/>
      <c r="N317" s="9"/>
      <c r="O317" s="9"/>
      <c r="P317" s="9"/>
      <c r="Q317" s="9"/>
      <c r="R317" s="9"/>
      <c r="S317" s="436"/>
      <c r="T317" s="436"/>
      <c r="U317" s="436"/>
      <c r="V317" s="436"/>
      <c r="W317" s="9"/>
      <c r="X317" s="9"/>
      <c r="Y317" s="9"/>
      <c r="Z317" s="9"/>
      <c r="AA317" s="9"/>
      <c r="AB317" s="9"/>
    </row>
    <row r="318">
      <c r="A318" s="9"/>
      <c r="B318" s="9"/>
      <c r="C318" s="9"/>
      <c r="D318" s="9"/>
      <c r="E318" s="9"/>
      <c r="F318" s="435"/>
      <c r="G318" s="9"/>
      <c r="H318" s="9"/>
      <c r="I318" s="9"/>
      <c r="J318" s="9"/>
      <c r="K318" s="9"/>
      <c r="L318" s="9"/>
      <c r="M318" s="9"/>
      <c r="N318" s="9"/>
      <c r="O318" s="9"/>
      <c r="P318" s="9"/>
      <c r="Q318" s="9"/>
      <c r="R318" s="9"/>
      <c r="S318" s="436"/>
      <c r="T318" s="436"/>
      <c r="U318" s="436"/>
      <c r="V318" s="436"/>
      <c r="W318" s="9"/>
      <c r="X318" s="9"/>
      <c r="Y318" s="9"/>
      <c r="Z318" s="9"/>
      <c r="AA318" s="9"/>
      <c r="AB318" s="9"/>
    </row>
    <row r="319">
      <c r="A319" s="9"/>
      <c r="B319" s="9"/>
      <c r="C319" s="9"/>
      <c r="D319" s="9"/>
      <c r="E319" s="9"/>
      <c r="F319" s="435"/>
      <c r="G319" s="9"/>
      <c r="H319" s="9"/>
      <c r="I319" s="9"/>
      <c r="J319" s="9"/>
      <c r="K319" s="9"/>
      <c r="L319" s="9"/>
      <c r="M319" s="9"/>
      <c r="N319" s="9"/>
      <c r="O319" s="9"/>
      <c r="P319" s="9"/>
      <c r="Q319" s="9"/>
      <c r="R319" s="9"/>
      <c r="S319" s="436"/>
      <c r="T319" s="436"/>
      <c r="U319" s="436"/>
      <c r="V319" s="436"/>
      <c r="W319" s="9"/>
      <c r="X319" s="9"/>
      <c r="Y319" s="9"/>
      <c r="Z319" s="9"/>
      <c r="AA319" s="9"/>
      <c r="AB319" s="9"/>
    </row>
    <row r="320">
      <c r="A320" s="9"/>
      <c r="B320" s="9"/>
      <c r="C320" s="9"/>
      <c r="D320" s="9"/>
      <c r="E320" s="9"/>
      <c r="F320" s="435"/>
      <c r="G320" s="9"/>
      <c r="H320" s="9"/>
      <c r="I320" s="9"/>
      <c r="J320" s="9"/>
      <c r="K320" s="9"/>
      <c r="L320" s="9"/>
      <c r="M320" s="9"/>
      <c r="N320" s="9"/>
      <c r="O320" s="9"/>
      <c r="P320" s="9"/>
      <c r="Q320" s="9"/>
      <c r="R320" s="9"/>
      <c r="S320" s="436"/>
      <c r="T320" s="436"/>
      <c r="U320" s="436"/>
      <c r="V320" s="436"/>
      <c r="W320" s="9"/>
      <c r="X320" s="9"/>
      <c r="Y320" s="9"/>
      <c r="Z320" s="9"/>
      <c r="AA320" s="9"/>
      <c r="AB320" s="9"/>
    </row>
    <row r="321">
      <c r="A321" s="9"/>
      <c r="B321" s="9"/>
      <c r="C321" s="9"/>
      <c r="D321" s="9"/>
      <c r="E321" s="9"/>
      <c r="F321" s="435"/>
      <c r="G321" s="9"/>
      <c r="H321" s="9"/>
      <c r="I321" s="9"/>
      <c r="J321" s="9"/>
      <c r="K321" s="9"/>
      <c r="L321" s="9"/>
      <c r="M321" s="9"/>
      <c r="N321" s="9"/>
      <c r="O321" s="9"/>
      <c r="P321" s="9"/>
      <c r="Q321" s="9"/>
      <c r="R321" s="9"/>
      <c r="S321" s="436"/>
      <c r="T321" s="436"/>
      <c r="U321" s="436"/>
      <c r="V321" s="436"/>
      <c r="W321" s="9"/>
      <c r="X321" s="9"/>
      <c r="Y321" s="9"/>
      <c r="Z321" s="9"/>
      <c r="AA321" s="9"/>
      <c r="AB321" s="9"/>
    </row>
    <row r="322">
      <c r="A322" s="9"/>
      <c r="B322" s="9"/>
      <c r="C322" s="9"/>
      <c r="D322" s="9"/>
      <c r="E322" s="9"/>
      <c r="F322" s="435"/>
      <c r="G322" s="9"/>
      <c r="H322" s="9"/>
      <c r="I322" s="9"/>
      <c r="J322" s="9"/>
      <c r="K322" s="9"/>
      <c r="L322" s="9"/>
      <c r="M322" s="9"/>
      <c r="N322" s="9"/>
      <c r="O322" s="9"/>
      <c r="P322" s="9"/>
      <c r="Q322" s="9"/>
      <c r="R322" s="9"/>
      <c r="S322" s="436"/>
      <c r="T322" s="436"/>
      <c r="U322" s="436"/>
      <c r="V322" s="436"/>
      <c r="W322" s="9"/>
      <c r="X322" s="9"/>
      <c r="Y322" s="9"/>
      <c r="Z322" s="9"/>
      <c r="AA322" s="9"/>
      <c r="AB322" s="9"/>
    </row>
    <row r="323">
      <c r="A323" s="9"/>
      <c r="B323" s="9"/>
      <c r="C323" s="9"/>
      <c r="D323" s="9"/>
      <c r="E323" s="9"/>
      <c r="F323" s="435"/>
      <c r="G323" s="9"/>
      <c r="H323" s="9"/>
      <c r="I323" s="9"/>
      <c r="J323" s="9"/>
      <c r="K323" s="9"/>
      <c r="L323" s="9"/>
      <c r="M323" s="9"/>
      <c r="N323" s="9"/>
      <c r="O323" s="9"/>
      <c r="P323" s="9"/>
      <c r="Q323" s="9"/>
      <c r="R323" s="9"/>
      <c r="S323" s="436"/>
      <c r="T323" s="436"/>
      <c r="U323" s="436"/>
      <c r="V323" s="436"/>
      <c r="W323" s="9"/>
      <c r="X323" s="9"/>
      <c r="Y323" s="9"/>
      <c r="Z323" s="9"/>
      <c r="AA323" s="9"/>
      <c r="AB323" s="9"/>
    </row>
    <row r="324">
      <c r="A324" s="9"/>
      <c r="B324" s="9"/>
      <c r="C324" s="9"/>
      <c r="D324" s="9"/>
      <c r="E324" s="9"/>
      <c r="F324" s="435"/>
      <c r="G324" s="9"/>
      <c r="H324" s="9"/>
      <c r="I324" s="9"/>
      <c r="J324" s="9"/>
      <c r="K324" s="9"/>
      <c r="L324" s="9"/>
      <c r="M324" s="9"/>
      <c r="N324" s="9"/>
      <c r="O324" s="9"/>
      <c r="P324" s="9"/>
      <c r="Q324" s="9"/>
      <c r="R324" s="9"/>
      <c r="S324" s="436"/>
      <c r="T324" s="436"/>
      <c r="U324" s="436"/>
      <c r="V324" s="436"/>
      <c r="W324" s="9"/>
      <c r="X324" s="9"/>
      <c r="Y324" s="9"/>
      <c r="Z324" s="9"/>
      <c r="AA324" s="9"/>
      <c r="AB324" s="9"/>
    </row>
    <row r="325">
      <c r="A325" s="9"/>
      <c r="B325" s="9"/>
      <c r="C325" s="9"/>
      <c r="D325" s="9"/>
      <c r="E325" s="9"/>
      <c r="F325" s="435"/>
      <c r="G325" s="9"/>
      <c r="H325" s="9"/>
      <c r="I325" s="9"/>
      <c r="J325" s="9"/>
      <c r="K325" s="9"/>
      <c r="L325" s="9"/>
      <c r="M325" s="9"/>
      <c r="N325" s="9"/>
      <c r="O325" s="9"/>
      <c r="P325" s="9"/>
      <c r="Q325" s="9"/>
      <c r="R325" s="9"/>
      <c r="S325" s="436"/>
      <c r="T325" s="436"/>
      <c r="U325" s="436"/>
      <c r="V325" s="436"/>
      <c r="W325" s="9"/>
      <c r="X325" s="9"/>
      <c r="Y325" s="9"/>
      <c r="Z325" s="9"/>
      <c r="AA325" s="9"/>
      <c r="AB325" s="9"/>
    </row>
    <row r="326">
      <c r="A326" s="9"/>
      <c r="B326" s="9"/>
      <c r="C326" s="9"/>
      <c r="D326" s="9"/>
      <c r="E326" s="9"/>
      <c r="F326" s="435"/>
      <c r="G326" s="9"/>
      <c r="H326" s="9"/>
      <c r="I326" s="9"/>
      <c r="J326" s="9"/>
      <c r="K326" s="9"/>
      <c r="L326" s="9"/>
      <c r="M326" s="9"/>
      <c r="N326" s="9"/>
      <c r="O326" s="9"/>
      <c r="P326" s="9"/>
      <c r="Q326" s="9"/>
      <c r="R326" s="9"/>
      <c r="S326" s="436"/>
      <c r="T326" s="436"/>
      <c r="U326" s="436"/>
      <c r="V326" s="436"/>
      <c r="W326" s="9"/>
      <c r="X326" s="9"/>
      <c r="Y326" s="9"/>
      <c r="Z326" s="9"/>
      <c r="AA326" s="9"/>
      <c r="AB326" s="9"/>
    </row>
    <row r="327">
      <c r="A327" s="9"/>
      <c r="B327" s="9"/>
      <c r="C327" s="9"/>
      <c r="D327" s="9"/>
      <c r="E327" s="9"/>
      <c r="F327" s="435"/>
      <c r="G327" s="9"/>
      <c r="H327" s="9"/>
      <c r="I327" s="9"/>
      <c r="J327" s="9"/>
      <c r="K327" s="9"/>
      <c r="L327" s="9"/>
      <c r="M327" s="9"/>
      <c r="N327" s="9"/>
      <c r="O327" s="9"/>
      <c r="P327" s="9"/>
      <c r="Q327" s="9"/>
      <c r="R327" s="9"/>
      <c r="S327" s="436"/>
      <c r="T327" s="436"/>
      <c r="U327" s="436"/>
      <c r="V327" s="436"/>
      <c r="W327" s="9"/>
      <c r="X327" s="9"/>
      <c r="Y327" s="9"/>
      <c r="Z327" s="9"/>
      <c r="AA327" s="9"/>
      <c r="AB327" s="9"/>
    </row>
    <row r="328">
      <c r="A328" s="9"/>
      <c r="B328" s="9"/>
      <c r="C328" s="9"/>
      <c r="D328" s="9"/>
      <c r="E328" s="9"/>
      <c r="F328" s="435"/>
      <c r="G328" s="9"/>
      <c r="H328" s="9"/>
      <c r="I328" s="9"/>
      <c r="J328" s="9"/>
      <c r="K328" s="9"/>
      <c r="L328" s="9"/>
      <c r="M328" s="9"/>
      <c r="N328" s="9"/>
      <c r="O328" s="9"/>
      <c r="P328" s="9"/>
      <c r="Q328" s="9"/>
      <c r="R328" s="9"/>
      <c r="S328" s="436"/>
      <c r="T328" s="436"/>
      <c r="U328" s="436"/>
      <c r="V328" s="436"/>
      <c r="W328" s="9"/>
      <c r="X328" s="9"/>
      <c r="Y328" s="9"/>
      <c r="Z328" s="9"/>
      <c r="AA328" s="9"/>
      <c r="AB328" s="9"/>
    </row>
    <row r="329">
      <c r="A329" s="9"/>
      <c r="B329" s="9"/>
      <c r="C329" s="9"/>
      <c r="D329" s="9"/>
      <c r="E329" s="9"/>
      <c r="F329" s="435"/>
      <c r="G329" s="9"/>
      <c r="H329" s="9"/>
      <c r="I329" s="9"/>
      <c r="J329" s="9"/>
      <c r="K329" s="9"/>
      <c r="L329" s="9"/>
      <c r="M329" s="9"/>
      <c r="N329" s="9"/>
      <c r="O329" s="9"/>
      <c r="P329" s="9"/>
      <c r="Q329" s="9"/>
      <c r="R329" s="9"/>
      <c r="S329" s="436"/>
      <c r="T329" s="436"/>
      <c r="U329" s="436"/>
      <c r="V329" s="436"/>
      <c r="W329" s="9"/>
      <c r="X329" s="9"/>
      <c r="Y329" s="9"/>
      <c r="Z329" s="9"/>
      <c r="AA329" s="9"/>
      <c r="AB329" s="9"/>
    </row>
    <row r="330">
      <c r="A330" s="9"/>
      <c r="B330" s="9"/>
      <c r="C330" s="9"/>
      <c r="D330" s="9"/>
      <c r="E330" s="9"/>
      <c r="F330" s="435"/>
      <c r="G330" s="9"/>
      <c r="H330" s="9"/>
      <c r="I330" s="9"/>
      <c r="J330" s="9"/>
      <c r="K330" s="9"/>
      <c r="L330" s="9"/>
      <c r="M330" s="9"/>
      <c r="N330" s="9"/>
      <c r="O330" s="9"/>
      <c r="P330" s="9"/>
      <c r="Q330" s="9"/>
      <c r="R330" s="9"/>
      <c r="S330" s="436"/>
      <c r="T330" s="436"/>
      <c r="U330" s="436"/>
      <c r="V330" s="436"/>
      <c r="W330" s="9"/>
      <c r="X330" s="9"/>
      <c r="Y330" s="9"/>
      <c r="Z330" s="9"/>
      <c r="AA330" s="9"/>
      <c r="AB330" s="9"/>
    </row>
    <row r="331">
      <c r="A331" s="9"/>
      <c r="B331" s="9"/>
      <c r="C331" s="9"/>
      <c r="D331" s="9"/>
      <c r="E331" s="9"/>
      <c r="F331" s="435"/>
      <c r="G331" s="9"/>
      <c r="H331" s="9"/>
      <c r="I331" s="9"/>
      <c r="J331" s="9"/>
      <c r="K331" s="9"/>
      <c r="L331" s="9"/>
      <c r="M331" s="9"/>
      <c r="N331" s="9"/>
      <c r="O331" s="9"/>
      <c r="P331" s="9"/>
      <c r="Q331" s="9"/>
      <c r="R331" s="9"/>
      <c r="S331" s="436"/>
      <c r="T331" s="436"/>
      <c r="U331" s="436"/>
      <c r="V331" s="436"/>
      <c r="W331" s="9"/>
      <c r="X331" s="9"/>
      <c r="Y331" s="9"/>
      <c r="Z331" s="9"/>
      <c r="AA331" s="9"/>
      <c r="AB331" s="9"/>
    </row>
    <row r="332">
      <c r="A332" s="9"/>
      <c r="B332" s="9"/>
      <c r="C332" s="9"/>
      <c r="D332" s="9"/>
      <c r="E332" s="9"/>
      <c r="F332" s="435"/>
      <c r="G332" s="9"/>
      <c r="H332" s="9"/>
      <c r="I332" s="9"/>
      <c r="J332" s="9"/>
      <c r="K332" s="9"/>
      <c r="L332" s="9"/>
      <c r="M332" s="9"/>
      <c r="N332" s="9"/>
      <c r="O332" s="9"/>
      <c r="P332" s="9"/>
      <c r="Q332" s="9"/>
      <c r="R332" s="9"/>
      <c r="S332" s="436"/>
      <c r="T332" s="436"/>
      <c r="U332" s="436"/>
      <c r="V332" s="436"/>
      <c r="W332" s="9"/>
      <c r="X332" s="9"/>
      <c r="Y332" s="9"/>
      <c r="Z332" s="9"/>
      <c r="AA332" s="9"/>
      <c r="AB332" s="9"/>
    </row>
    <row r="333">
      <c r="A333" s="9"/>
      <c r="B333" s="9"/>
      <c r="C333" s="9"/>
      <c r="D333" s="9"/>
      <c r="E333" s="9"/>
      <c r="F333" s="435"/>
      <c r="G333" s="9"/>
      <c r="H333" s="9"/>
      <c r="I333" s="9"/>
      <c r="J333" s="9"/>
      <c r="K333" s="9"/>
      <c r="L333" s="9"/>
      <c r="M333" s="9"/>
      <c r="N333" s="9"/>
      <c r="O333" s="9"/>
      <c r="P333" s="9"/>
      <c r="Q333" s="9"/>
      <c r="R333" s="9"/>
      <c r="S333" s="436"/>
      <c r="T333" s="436"/>
      <c r="U333" s="436"/>
      <c r="V333" s="436"/>
      <c r="W333" s="9"/>
      <c r="X333" s="9"/>
      <c r="Y333" s="9"/>
      <c r="Z333" s="9"/>
      <c r="AA333" s="9"/>
      <c r="AB333" s="9"/>
    </row>
    <row r="334">
      <c r="A334" s="9"/>
      <c r="B334" s="9"/>
      <c r="C334" s="9"/>
      <c r="D334" s="9"/>
      <c r="E334" s="9"/>
      <c r="F334" s="435"/>
      <c r="G334" s="9"/>
      <c r="H334" s="9"/>
      <c r="I334" s="9"/>
      <c r="J334" s="9"/>
      <c r="K334" s="9"/>
      <c r="L334" s="9"/>
      <c r="M334" s="9"/>
      <c r="N334" s="9"/>
      <c r="O334" s="9"/>
      <c r="P334" s="9"/>
      <c r="Q334" s="9"/>
      <c r="R334" s="9"/>
      <c r="S334" s="436"/>
      <c r="T334" s="436"/>
      <c r="U334" s="436"/>
      <c r="V334" s="436"/>
      <c r="W334" s="9"/>
      <c r="X334" s="9"/>
      <c r="Y334" s="9"/>
      <c r="Z334" s="9"/>
      <c r="AA334" s="9"/>
      <c r="AB334" s="9"/>
    </row>
    <row r="335">
      <c r="A335" s="9"/>
      <c r="B335" s="9"/>
      <c r="C335" s="9"/>
      <c r="D335" s="9"/>
      <c r="E335" s="9"/>
      <c r="F335" s="435"/>
      <c r="G335" s="9"/>
      <c r="H335" s="9"/>
      <c r="I335" s="9"/>
      <c r="J335" s="9"/>
      <c r="K335" s="9"/>
      <c r="L335" s="9"/>
      <c r="M335" s="9"/>
      <c r="N335" s="9"/>
      <c r="O335" s="9"/>
      <c r="P335" s="9"/>
      <c r="Q335" s="9"/>
      <c r="R335" s="9"/>
      <c r="S335" s="436"/>
      <c r="T335" s="436"/>
      <c r="U335" s="436"/>
      <c r="V335" s="436"/>
      <c r="W335" s="9"/>
      <c r="X335" s="9"/>
      <c r="Y335" s="9"/>
      <c r="Z335" s="9"/>
      <c r="AA335" s="9"/>
      <c r="AB335" s="9"/>
    </row>
    <row r="336">
      <c r="A336" s="9"/>
      <c r="B336" s="9"/>
      <c r="C336" s="9"/>
      <c r="D336" s="9"/>
      <c r="E336" s="9"/>
      <c r="F336" s="435"/>
      <c r="G336" s="9"/>
      <c r="H336" s="9"/>
      <c r="I336" s="9"/>
      <c r="J336" s="9"/>
      <c r="K336" s="9"/>
      <c r="L336" s="9"/>
      <c r="M336" s="9"/>
      <c r="N336" s="9"/>
      <c r="O336" s="9"/>
      <c r="P336" s="9"/>
      <c r="Q336" s="9"/>
      <c r="R336" s="9"/>
      <c r="S336" s="436"/>
      <c r="T336" s="436"/>
      <c r="U336" s="436"/>
      <c r="V336" s="436"/>
      <c r="W336" s="9"/>
      <c r="X336" s="9"/>
      <c r="Y336" s="9"/>
      <c r="Z336" s="9"/>
      <c r="AA336" s="9"/>
      <c r="AB336" s="9"/>
    </row>
    <row r="337">
      <c r="A337" s="9"/>
      <c r="B337" s="9"/>
      <c r="C337" s="9"/>
      <c r="D337" s="9"/>
      <c r="E337" s="9"/>
      <c r="F337" s="435"/>
      <c r="G337" s="9"/>
      <c r="H337" s="9"/>
      <c r="I337" s="9"/>
      <c r="J337" s="9"/>
      <c r="K337" s="9"/>
      <c r="L337" s="9"/>
      <c r="M337" s="9"/>
      <c r="N337" s="9"/>
      <c r="O337" s="9"/>
      <c r="P337" s="9"/>
      <c r="Q337" s="9"/>
      <c r="R337" s="9"/>
      <c r="S337" s="436"/>
      <c r="T337" s="436"/>
      <c r="U337" s="436"/>
      <c r="V337" s="436"/>
      <c r="W337" s="9"/>
      <c r="X337" s="9"/>
      <c r="Y337" s="9"/>
      <c r="Z337" s="9"/>
      <c r="AA337" s="9"/>
      <c r="AB337" s="9"/>
    </row>
    <row r="338">
      <c r="A338" s="9"/>
      <c r="B338" s="9"/>
      <c r="C338" s="9"/>
      <c r="D338" s="9"/>
      <c r="E338" s="9"/>
      <c r="F338" s="435"/>
      <c r="G338" s="9"/>
      <c r="H338" s="9"/>
      <c r="I338" s="9"/>
      <c r="J338" s="9"/>
      <c r="K338" s="9"/>
      <c r="L338" s="9"/>
      <c r="M338" s="9"/>
      <c r="N338" s="9"/>
      <c r="O338" s="9"/>
      <c r="P338" s="9"/>
      <c r="Q338" s="9"/>
      <c r="R338" s="9"/>
      <c r="S338" s="436"/>
      <c r="T338" s="436"/>
      <c r="U338" s="436"/>
      <c r="V338" s="436"/>
      <c r="W338" s="9"/>
      <c r="X338" s="9"/>
      <c r="Y338" s="9"/>
      <c r="Z338" s="9"/>
      <c r="AA338" s="9"/>
      <c r="AB338" s="9"/>
    </row>
    <row r="339">
      <c r="A339" s="9"/>
      <c r="B339" s="9"/>
      <c r="C339" s="9"/>
      <c r="D339" s="9"/>
      <c r="E339" s="9"/>
      <c r="F339" s="435"/>
      <c r="G339" s="9"/>
      <c r="H339" s="9"/>
      <c r="I339" s="9"/>
      <c r="J339" s="9"/>
      <c r="K339" s="9"/>
      <c r="L339" s="9"/>
      <c r="M339" s="9"/>
      <c r="N339" s="9"/>
      <c r="O339" s="9"/>
      <c r="P339" s="9"/>
      <c r="Q339" s="9"/>
      <c r="R339" s="9"/>
      <c r="S339" s="436"/>
      <c r="T339" s="436"/>
      <c r="U339" s="436"/>
      <c r="V339" s="436"/>
      <c r="W339" s="9"/>
      <c r="X339" s="9"/>
      <c r="Y339" s="9"/>
      <c r="Z339" s="9"/>
      <c r="AA339" s="9"/>
      <c r="AB339" s="9"/>
    </row>
    <row r="340">
      <c r="A340" s="9"/>
      <c r="B340" s="9"/>
      <c r="C340" s="9"/>
      <c r="D340" s="9"/>
      <c r="E340" s="9"/>
      <c r="F340" s="435"/>
      <c r="G340" s="9"/>
      <c r="H340" s="9"/>
      <c r="I340" s="9"/>
      <c r="J340" s="9"/>
      <c r="K340" s="9"/>
      <c r="L340" s="9"/>
      <c r="M340" s="9"/>
      <c r="N340" s="9"/>
      <c r="O340" s="9"/>
      <c r="P340" s="9"/>
      <c r="Q340" s="9"/>
      <c r="R340" s="9"/>
      <c r="S340" s="436"/>
      <c r="T340" s="436"/>
      <c r="U340" s="436"/>
      <c r="V340" s="436"/>
      <c r="W340" s="9"/>
      <c r="X340" s="9"/>
      <c r="Y340" s="9"/>
      <c r="Z340" s="9"/>
      <c r="AA340" s="9"/>
      <c r="AB340" s="9"/>
    </row>
    <row r="341">
      <c r="A341" s="9"/>
      <c r="B341" s="9"/>
      <c r="C341" s="9"/>
      <c r="D341" s="9"/>
      <c r="E341" s="9"/>
      <c r="F341" s="435"/>
      <c r="G341" s="9"/>
      <c r="H341" s="9"/>
      <c r="I341" s="9"/>
      <c r="J341" s="9"/>
      <c r="K341" s="9"/>
      <c r="L341" s="9"/>
      <c r="M341" s="9"/>
      <c r="N341" s="9"/>
      <c r="O341" s="9"/>
      <c r="P341" s="9"/>
      <c r="Q341" s="9"/>
      <c r="R341" s="9"/>
      <c r="S341" s="436"/>
      <c r="T341" s="436"/>
      <c r="U341" s="436"/>
      <c r="V341" s="436"/>
      <c r="W341" s="9"/>
      <c r="X341" s="9"/>
      <c r="Y341" s="9"/>
      <c r="Z341" s="9"/>
      <c r="AA341" s="9"/>
      <c r="AB341" s="9"/>
    </row>
    <row r="342">
      <c r="A342" s="9"/>
      <c r="B342" s="9"/>
      <c r="C342" s="9"/>
      <c r="D342" s="9"/>
      <c r="E342" s="9"/>
      <c r="F342" s="435"/>
      <c r="G342" s="9"/>
      <c r="H342" s="9"/>
      <c r="I342" s="9"/>
      <c r="J342" s="9"/>
      <c r="K342" s="9"/>
      <c r="L342" s="9"/>
      <c r="M342" s="9"/>
      <c r="N342" s="9"/>
      <c r="O342" s="9"/>
      <c r="P342" s="9"/>
      <c r="Q342" s="9"/>
      <c r="R342" s="9"/>
      <c r="S342" s="436"/>
      <c r="T342" s="436"/>
      <c r="U342" s="436"/>
      <c r="V342" s="436"/>
      <c r="W342" s="9"/>
      <c r="X342" s="9"/>
      <c r="Y342" s="9"/>
      <c r="Z342" s="9"/>
      <c r="AA342" s="9"/>
      <c r="AB342" s="9"/>
    </row>
    <row r="343">
      <c r="A343" s="9"/>
      <c r="B343" s="9"/>
      <c r="C343" s="9"/>
      <c r="D343" s="9"/>
      <c r="E343" s="9"/>
      <c r="F343" s="435"/>
      <c r="G343" s="9"/>
      <c r="H343" s="9"/>
      <c r="I343" s="9"/>
      <c r="J343" s="9"/>
      <c r="K343" s="9"/>
      <c r="L343" s="9"/>
      <c r="M343" s="9"/>
      <c r="N343" s="9"/>
      <c r="O343" s="9"/>
      <c r="P343" s="9"/>
      <c r="Q343" s="9"/>
      <c r="R343" s="9"/>
      <c r="S343" s="436"/>
      <c r="T343" s="436"/>
      <c r="U343" s="436"/>
      <c r="V343" s="436"/>
      <c r="W343" s="9"/>
      <c r="X343" s="9"/>
      <c r="Y343" s="9"/>
      <c r="Z343" s="9"/>
      <c r="AA343" s="9"/>
      <c r="AB343" s="9"/>
    </row>
    <row r="344">
      <c r="A344" s="9"/>
      <c r="B344" s="9"/>
      <c r="C344" s="9"/>
      <c r="D344" s="9"/>
      <c r="E344" s="9"/>
      <c r="F344" s="435"/>
      <c r="G344" s="9"/>
      <c r="H344" s="9"/>
      <c r="I344" s="9"/>
      <c r="J344" s="9"/>
      <c r="K344" s="9"/>
      <c r="L344" s="9"/>
      <c r="M344" s="9"/>
      <c r="N344" s="9"/>
      <c r="O344" s="9"/>
      <c r="P344" s="9"/>
      <c r="Q344" s="9"/>
      <c r="R344" s="9"/>
      <c r="S344" s="436"/>
      <c r="T344" s="436"/>
      <c r="U344" s="436"/>
      <c r="V344" s="436"/>
      <c r="W344" s="9"/>
      <c r="X344" s="9"/>
      <c r="Y344" s="9"/>
      <c r="Z344" s="9"/>
      <c r="AA344" s="9"/>
      <c r="AB344" s="9"/>
    </row>
    <row r="345">
      <c r="A345" s="9"/>
      <c r="B345" s="9"/>
      <c r="C345" s="9"/>
      <c r="D345" s="9"/>
      <c r="E345" s="9"/>
      <c r="F345" s="435"/>
      <c r="G345" s="9"/>
      <c r="H345" s="9"/>
      <c r="I345" s="9"/>
      <c r="J345" s="9"/>
      <c r="K345" s="9"/>
      <c r="L345" s="9"/>
      <c r="M345" s="9"/>
      <c r="N345" s="9"/>
      <c r="O345" s="9"/>
      <c r="P345" s="9"/>
      <c r="Q345" s="9"/>
      <c r="R345" s="9"/>
      <c r="S345" s="436"/>
      <c r="T345" s="436"/>
      <c r="U345" s="436"/>
      <c r="V345" s="436"/>
      <c r="W345" s="9"/>
      <c r="X345" s="9"/>
      <c r="Y345" s="9"/>
      <c r="Z345" s="9"/>
      <c r="AA345" s="9"/>
      <c r="AB345" s="9"/>
    </row>
    <row r="346">
      <c r="A346" s="9"/>
      <c r="B346" s="9"/>
      <c r="C346" s="9"/>
      <c r="D346" s="9"/>
      <c r="E346" s="9"/>
      <c r="F346" s="435"/>
      <c r="G346" s="9"/>
      <c r="H346" s="9"/>
      <c r="I346" s="9"/>
      <c r="J346" s="9"/>
      <c r="K346" s="9"/>
      <c r="L346" s="9"/>
      <c r="M346" s="9"/>
      <c r="N346" s="9"/>
      <c r="O346" s="9"/>
      <c r="P346" s="9"/>
      <c r="Q346" s="9"/>
      <c r="R346" s="9"/>
      <c r="S346" s="436"/>
      <c r="T346" s="436"/>
      <c r="U346" s="436"/>
      <c r="V346" s="436"/>
      <c r="W346" s="9"/>
      <c r="X346" s="9"/>
      <c r="Y346" s="9"/>
      <c r="Z346" s="9"/>
      <c r="AA346" s="9"/>
      <c r="AB346" s="9"/>
    </row>
    <row r="347">
      <c r="A347" s="9"/>
      <c r="B347" s="9"/>
      <c r="C347" s="9"/>
      <c r="D347" s="9"/>
      <c r="E347" s="9"/>
      <c r="F347" s="435"/>
      <c r="G347" s="9"/>
      <c r="H347" s="9"/>
      <c r="I347" s="9"/>
      <c r="J347" s="9"/>
      <c r="K347" s="9"/>
      <c r="L347" s="9"/>
      <c r="M347" s="9"/>
      <c r="N347" s="9"/>
      <c r="O347" s="9"/>
      <c r="P347" s="9"/>
      <c r="Q347" s="9"/>
      <c r="R347" s="9"/>
      <c r="S347" s="436"/>
      <c r="T347" s="436"/>
      <c r="U347" s="436"/>
      <c r="V347" s="436"/>
      <c r="W347" s="9"/>
      <c r="X347" s="9"/>
      <c r="Y347" s="9"/>
      <c r="Z347" s="9"/>
      <c r="AA347" s="9"/>
      <c r="AB347" s="9"/>
    </row>
    <row r="348">
      <c r="A348" s="9"/>
      <c r="B348" s="9"/>
      <c r="C348" s="9"/>
      <c r="D348" s="9"/>
      <c r="E348" s="9"/>
      <c r="F348" s="435"/>
      <c r="G348" s="9"/>
      <c r="H348" s="9"/>
      <c r="I348" s="9"/>
      <c r="J348" s="9"/>
      <c r="K348" s="9"/>
      <c r="L348" s="9"/>
      <c r="M348" s="9"/>
      <c r="N348" s="9"/>
      <c r="O348" s="9"/>
      <c r="P348" s="9"/>
      <c r="Q348" s="9"/>
      <c r="R348" s="9"/>
      <c r="S348" s="436"/>
      <c r="T348" s="436"/>
      <c r="U348" s="436"/>
      <c r="V348" s="436"/>
      <c r="W348" s="9"/>
      <c r="X348" s="9"/>
      <c r="Y348" s="9"/>
      <c r="Z348" s="9"/>
      <c r="AA348" s="9"/>
      <c r="AB348" s="9"/>
    </row>
    <row r="349">
      <c r="A349" s="9"/>
      <c r="B349" s="9"/>
      <c r="C349" s="9"/>
      <c r="D349" s="9"/>
      <c r="E349" s="9"/>
      <c r="F349" s="435"/>
      <c r="G349" s="9"/>
      <c r="H349" s="9"/>
      <c r="I349" s="9"/>
      <c r="J349" s="9"/>
      <c r="K349" s="9"/>
      <c r="L349" s="9"/>
      <c r="M349" s="9"/>
      <c r="N349" s="9"/>
      <c r="O349" s="9"/>
      <c r="P349" s="9"/>
      <c r="Q349" s="9"/>
      <c r="R349" s="9"/>
      <c r="S349" s="436"/>
      <c r="T349" s="436"/>
      <c r="U349" s="436"/>
      <c r="V349" s="436"/>
      <c r="W349" s="9"/>
      <c r="X349" s="9"/>
      <c r="Y349" s="9"/>
      <c r="Z349" s="9"/>
      <c r="AA349" s="9"/>
      <c r="AB349" s="9"/>
    </row>
    <row r="350">
      <c r="A350" s="9"/>
      <c r="B350" s="9"/>
      <c r="C350" s="9"/>
      <c r="D350" s="9"/>
      <c r="E350" s="9"/>
      <c r="F350" s="435"/>
      <c r="G350" s="9"/>
      <c r="H350" s="9"/>
      <c r="I350" s="9"/>
      <c r="J350" s="9"/>
      <c r="K350" s="9"/>
      <c r="L350" s="9"/>
      <c r="M350" s="9"/>
      <c r="N350" s="9"/>
      <c r="O350" s="9"/>
      <c r="P350" s="9"/>
      <c r="Q350" s="9"/>
      <c r="R350" s="9"/>
      <c r="S350" s="436"/>
      <c r="T350" s="436"/>
      <c r="U350" s="436"/>
      <c r="V350" s="436"/>
      <c r="W350" s="9"/>
      <c r="X350" s="9"/>
      <c r="Y350" s="9"/>
      <c r="Z350" s="9"/>
      <c r="AA350" s="9"/>
      <c r="AB350" s="9"/>
    </row>
    <row r="351">
      <c r="A351" s="9"/>
      <c r="B351" s="9"/>
      <c r="C351" s="9"/>
      <c r="D351" s="9"/>
      <c r="E351" s="9"/>
      <c r="F351" s="435"/>
      <c r="G351" s="9"/>
      <c r="H351" s="9"/>
      <c r="I351" s="9"/>
      <c r="J351" s="9"/>
      <c r="K351" s="9"/>
      <c r="L351" s="9"/>
      <c r="M351" s="9"/>
      <c r="N351" s="9"/>
      <c r="O351" s="9"/>
      <c r="P351" s="9"/>
      <c r="Q351" s="9"/>
      <c r="R351" s="9"/>
      <c r="S351" s="436"/>
      <c r="T351" s="436"/>
      <c r="U351" s="436"/>
      <c r="V351" s="436"/>
      <c r="W351" s="9"/>
      <c r="X351" s="9"/>
      <c r="Y351" s="9"/>
      <c r="Z351" s="9"/>
      <c r="AA351" s="9"/>
      <c r="AB351" s="9"/>
    </row>
    <row r="352">
      <c r="A352" s="9"/>
      <c r="B352" s="9"/>
      <c r="C352" s="9"/>
      <c r="D352" s="9"/>
      <c r="E352" s="9"/>
      <c r="F352" s="435"/>
      <c r="G352" s="9"/>
      <c r="H352" s="9"/>
      <c r="I352" s="9"/>
      <c r="J352" s="9"/>
      <c r="K352" s="9"/>
      <c r="L352" s="9"/>
      <c r="M352" s="9"/>
      <c r="N352" s="9"/>
      <c r="O352" s="9"/>
      <c r="P352" s="9"/>
      <c r="Q352" s="9"/>
      <c r="R352" s="9"/>
      <c r="S352" s="436"/>
      <c r="T352" s="436"/>
      <c r="U352" s="436"/>
      <c r="V352" s="436"/>
      <c r="W352" s="9"/>
      <c r="X352" s="9"/>
      <c r="Y352" s="9"/>
      <c r="Z352" s="9"/>
      <c r="AA352" s="9"/>
      <c r="AB352" s="9"/>
    </row>
    <row r="353">
      <c r="A353" s="9"/>
      <c r="B353" s="9"/>
      <c r="C353" s="9"/>
      <c r="D353" s="9"/>
      <c r="E353" s="9"/>
      <c r="F353" s="435"/>
      <c r="G353" s="9"/>
      <c r="H353" s="9"/>
      <c r="I353" s="9"/>
      <c r="J353" s="9"/>
      <c r="K353" s="9"/>
      <c r="L353" s="9"/>
      <c r="M353" s="9"/>
      <c r="N353" s="9"/>
      <c r="O353" s="9"/>
      <c r="P353" s="9"/>
      <c r="Q353" s="9"/>
      <c r="R353" s="9"/>
      <c r="S353" s="436"/>
      <c r="T353" s="436"/>
      <c r="U353" s="436"/>
      <c r="V353" s="436"/>
      <c r="W353" s="9"/>
      <c r="X353" s="9"/>
      <c r="Y353" s="9"/>
      <c r="Z353" s="9"/>
      <c r="AA353" s="9"/>
      <c r="AB353" s="9"/>
    </row>
    <row r="354">
      <c r="A354" s="9"/>
      <c r="B354" s="9"/>
      <c r="C354" s="9"/>
      <c r="D354" s="9"/>
      <c r="E354" s="9"/>
      <c r="F354" s="435"/>
      <c r="G354" s="9"/>
      <c r="H354" s="9"/>
      <c r="I354" s="9"/>
      <c r="J354" s="9"/>
      <c r="K354" s="9"/>
      <c r="L354" s="9"/>
      <c r="M354" s="9"/>
      <c r="N354" s="9"/>
      <c r="O354" s="9"/>
      <c r="P354" s="9"/>
      <c r="Q354" s="9"/>
      <c r="R354" s="9"/>
      <c r="S354" s="436"/>
      <c r="T354" s="436"/>
      <c r="U354" s="436"/>
      <c r="V354" s="436"/>
      <c r="W354" s="9"/>
      <c r="X354" s="9"/>
      <c r="Y354" s="9"/>
      <c r="Z354" s="9"/>
      <c r="AA354" s="9"/>
      <c r="AB354" s="9"/>
    </row>
    <row r="355">
      <c r="A355" s="9"/>
      <c r="B355" s="9"/>
      <c r="C355" s="9"/>
      <c r="D355" s="9"/>
      <c r="E355" s="9"/>
      <c r="F355" s="435"/>
      <c r="G355" s="9"/>
      <c r="H355" s="9"/>
      <c r="I355" s="9"/>
      <c r="J355" s="9"/>
      <c r="K355" s="9"/>
      <c r="L355" s="9"/>
      <c r="M355" s="9"/>
      <c r="N355" s="9"/>
      <c r="O355" s="9"/>
      <c r="P355" s="9"/>
      <c r="Q355" s="9"/>
      <c r="R355" s="9"/>
      <c r="S355" s="436"/>
      <c r="T355" s="436"/>
      <c r="U355" s="436"/>
      <c r="V355" s="436"/>
      <c r="W355" s="9"/>
      <c r="X355" s="9"/>
      <c r="Y355" s="9"/>
      <c r="Z355" s="9"/>
      <c r="AA355" s="9"/>
      <c r="AB355" s="9"/>
    </row>
    <row r="356">
      <c r="A356" s="9"/>
      <c r="B356" s="9"/>
      <c r="C356" s="9"/>
      <c r="D356" s="9"/>
      <c r="E356" s="9"/>
      <c r="F356" s="435"/>
      <c r="G356" s="9"/>
      <c r="H356" s="9"/>
      <c r="I356" s="9"/>
      <c r="J356" s="9"/>
      <c r="K356" s="9"/>
      <c r="L356" s="9"/>
      <c r="M356" s="9"/>
      <c r="N356" s="9"/>
      <c r="O356" s="9"/>
      <c r="P356" s="9"/>
      <c r="Q356" s="9"/>
      <c r="R356" s="9"/>
      <c r="S356" s="436"/>
      <c r="T356" s="436"/>
      <c r="U356" s="436"/>
      <c r="V356" s="436"/>
      <c r="W356" s="9"/>
      <c r="X356" s="9"/>
      <c r="Y356" s="9"/>
      <c r="Z356" s="9"/>
      <c r="AA356" s="9"/>
      <c r="AB356" s="9"/>
    </row>
    <row r="357">
      <c r="A357" s="9"/>
      <c r="B357" s="9"/>
      <c r="C357" s="9"/>
      <c r="D357" s="9"/>
      <c r="E357" s="9"/>
      <c r="F357" s="435"/>
      <c r="G357" s="9"/>
      <c r="H357" s="9"/>
      <c r="I357" s="9"/>
      <c r="J357" s="9"/>
      <c r="K357" s="9"/>
      <c r="L357" s="9"/>
      <c r="M357" s="9"/>
      <c r="N357" s="9"/>
      <c r="O357" s="9"/>
      <c r="P357" s="9"/>
      <c r="Q357" s="9"/>
      <c r="R357" s="9"/>
      <c r="S357" s="436"/>
      <c r="T357" s="436"/>
      <c r="U357" s="436"/>
      <c r="V357" s="436"/>
      <c r="W357" s="9"/>
      <c r="X357" s="9"/>
      <c r="Y357" s="9"/>
      <c r="Z357" s="9"/>
      <c r="AA357" s="9"/>
      <c r="AB357" s="9"/>
    </row>
    <row r="358">
      <c r="A358" s="9"/>
      <c r="B358" s="9"/>
      <c r="C358" s="9"/>
      <c r="D358" s="9"/>
      <c r="E358" s="9"/>
      <c r="F358" s="435"/>
      <c r="G358" s="9"/>
      <c r="H358" s="9"/>
      <c r="I358" s="9"/>
      <c r="J358" s="9"/>
      <c r="K358" s="9"/>
      <c r="L358" s="9"/>
      <c r="M358" s="9"/>
      <c r="N358" s="9"/>
      <c r="O358" s="9"/>
      <c r="P358" s="9"/>
      <c r="Q358" s="9"/>
      <c r="R358" s="9"/>
      <c r="S358" s="436"/>
      <c r="T358" s="436"/>
      <c r="U358" s="436"/>
      <c r="V358" s="436"/>
      <c r="W358" s="9"/>
      <c r="X358" s="9"/>
      <c r="Y358" s="9"/>
      <c r="Z358" s="9"/>
      <c r="AA358" s="9"/>
      <c r="AB358" s="9"/>
    </row>
    <row r="359">
      <c r="A359" s="9"/>
      <c r="B359" s="9"/>
      <c r="C359" s="9"/>
      <c r="D359" s="9"/>
      <c r="E359" s="9"/>
      <c r="F359" s="435"/>
      <c r="G359" s="9"/>
      <c r="H359" s="9"/>
      <c r="I359" s="9"/>
      <c r="J359" s="9"/>
      <c r="K359" s="9"/>
      <c r="L359" s="9"/>
      <c r="M359" s="9"/>
      <c r="N359" s="9"/>
      <c r="O359" s="9"/>
      <c r="P359" s="9"/>
      <c r="Q359" s="9"/>
      <c r="R359" s="9"/>
      <c r="S359" s="436"/>
      <c r="T359" s="436"/>
      <c r="U359" s="436"/>
      <c r="V359" s="436"/>
      <c r="W359" s="9"/>
      <c r="X359" s="9"/>
      <c r="Y359" s="9"/>
      <c r="Z359" s="9"/>
      <c r="AA359" s="9"/>
      <c r="AB359" s="9"/>
    </row>
    <row r="360">
      <c r="A360" s="9"/>
      <c r="B360" s="9"/>
      <c r="C360" s="9"/>
      <c r="D360" s="9"/>
      <c r="E360" s="9"/>
      <c r="F360" s="435"/>
      <c r="G360" s="9"/>
      <c r="H360" s="9"/>
      <c r="I360" s="9"/>
      <c r="J360" s="9"/>
      <c r="K360" s="9"/>
      <c r="L360" s="9"/>
      <c r="M360" s="9"/>
      <c r="N360" s="9"/>
      <c r="O360" s="9"/>
      <c r="P360" s="9"/>
      <c r="Q360" s="9"/>
      <c r="R360" s="9"/>
      <c r="S360" s="436"/>
      <c r="T360" s="436"/>
      <c r="U360" s="436"/>
      <c r="V360" s="436"/>
      <c r="W360" s="9"/>
      <c r="X360" s="9"/>
      <c r="Y360" s="9"/>
      <c r="Z360" s="9"/>
      <c r="AA360" s="9"/>
      <c r="AB360" s="9"/>
    </row>
    <row r="361">
      <c r="A361" s="9"/>
      <c r="B361" s="9"/>
      <c r="C361" s="9"/>
      <c r="D361" s="9"/>
      <c r="E361" s="9"/>
      <c r="F361" s="435"/>
      <c r="G361" s="9"/>
      <c r="H361" s="9"/>
      <c r="I361" s="9"/>
      <c r="J361" s="9"/>
      <c r="K361" s="9"/>
      <c r="L361" s="9"/>
      <c r="M361" s="9"/>
      <c r="N361" s="9"/>
      <c r="O361" s="9"/>
      <c r="P361" s="9"/>
      <c r="Q361" s="9"/>
      <c r="R361" s="9"/>
      <c r="S361" s="436"/>
      <c r="T361" s="436"/>
      <c r="U361" s="436"/>
      <c r="V361" s="436"/>
      <c r="W361" s="9"/>
      <c r="X361" s="9"/>
      <c r="Y361" s="9"/>
      <c r="Z361" s="9"/>
      <c r="AA361" s="9"/>
      <c r="AB361" s="9"/>
    </row>
    <row r="362">
      <c r="A362" s="9"/>
      <c r="B362" s="9"/>
      <c r="C362" s="9"/>
      <c r="D362" s="9"/>
      <c r="E362" s="9"/>
      <c r="F362" s="435"/>
      <c r="G362" s="9"/>
      <c r="H362" s="9"/>
      <c r="I362" s="9"/>
      <c r="J362" s="9"/>
      <c r="K362" s="9"/>
      <c r="L362" s="9"/>
      <c r="M362" s="9"/>
      <c r="N362" s="9"/>
      <c r="O362" s="9"/>
      <c r="P362" s="9"/>
      <c r="Q362" s="9"/>
      <c r="R362" s="9"/>
      <c r="S362" s="436"/>
      <c r="T362" s="436"/>
      <c r="U362" s="436"/>
      <c r="V362" s="436"/>
      <c r="W362" s="9"/>
      <c r="X362" s="9"/>
      <c r="Y362" s="9"/>
      <c r="Z362" s="9"/>
      <c r="AA362" s="9"/>
      <c r="AB362" s="9"/>
    </row>
    <row r="363">
      <c r="A363" s="9"/>
      <c r="B363" s="9"/>
      <c r="C363" s="9"/>
      <c r="D363" s="9"/>
      <c r="E363" s="9"/>
      <c r="F363" s="435"/>
      <c r="G363" s="9"/>
      <c r="H363" s="9"/>
      <c r="I363" s="9"/>
      <c r="J363" s="9"/>
      <c r="K363" s="9"/>
      <c r="L363" s="9"/>
      <c r="M363" s="9"/>
      <c r="N363" s="9"/>
      <c r="O363" s="9"/>
      <c r="P363" s="9"/>
      <c r="Q363" s="9"/>
      <c r="R363" s="9"/>
      <c r="S363" s="436"/>
      <c r="T363" s="436"/>
      <c r="U363" s="436"/>
      <c r="V363" s="436"/>
      <c r="W363" s="9"/>
      <c r="X363" s="9"/>
      <c r="Y363" s="9"/>
      <c r="Z363" s="9"/>
      <c r="AA363" s="9"/>
      <c r="AB363" s="9"/>
    </row>
    <row r="364">
      <c r="A364" s="9"/>
      <c r="B364" s="9"/>
      <c r="C364" s="9"/>
      <c r="D364" s="9"/>
      <c r="E364" s="9"/>
      <c r="F364" s="435"/>
      <c r="G364" s="9"/>
      <c r="H364" s="9"/>
      <c r="I364" s="9"/>
      <c r="J364" s="9"/>
      <c r="K364" s="9"/>
      <c r="L364" s="9"/>
      <c r="M364" s="9"/>
      <c r="N364" s="9"/>
      <c r="O364" s="9"/>
      <c r="P364" s="9"/>
      <c r="Q364" s="9"/>
      <c r="R364" s="9"/>
      <c r="S364" s="436"/>
      <c r="T364" s="436"/>
      <c r="U364" s="436"/>
      <c r="V364" s="436"/>
      <c r="W364" s="9"/>
      <c r="X364" s="9"/>
      <c r="Y364" s="9"/>
      <c r="Z364" s="9"/>
      <c r="AA364" s="9"/>
      <c r="AB364" s="9"/>
    </row>
    <row r="365">
      <c r="A365" s="9"/>
      <c r="B365" s="9"/>
      <c r="C365" s="9"/>
      <c r="D365" s="9"/>
      <c r="E365" s="9"/>
      <c r="F365" s="435"/>
      <c r="G365" s="9"/>
      <c r="H365" s="9"/>
      <c r="I365" s="9"/>
      <c r="J365" s="9"/>
      <c r="K365" s="9"/>
      <c r="L365" s="9"/>
      <c r="M365" s="9"/>
      <c r="N365" s="9"/>
      <c r="O365" s="9"/>
      <c r="P365" s="9"/>
      <c r="Q365" s="9"/>
      <c r="R365" s="9"/>
      <c r="S365" s="436"/>
      <c r="T365" s="436"/>
      <c r="U365" s="436"/>
      <c r="V365" s="436"/>
      <c r="W365" s="9"/>
      <c r="X365" s="9"/>
      <c r="Y365" s="9"/>
      <c r="Z365" s="9"/>
      <c r="AA365" s="9"/>
      <c r="AB365" s="9"/>
    </row>
    <row r="366">
      <c r="A366" s="9"/>
      <c r="B366" s="9"/>
      <c r="C366" s="9"/>
      <c r="D366" s="9"/>
      <c r="E366" s="9"/>
      <c r="F366" s="435"/>
      <c r="G366" s="9"/>
      <c r="H366" s="9"/>
      <c r="I366" s="9"/>
      <c r="J366" s="9"/>
      <c r="K366" s="9"/>
      <c r="L366" s="9"/>
      <c r="M366" s="9"/>
      <c r="N366" s="9"/>
      <c r="O366" s="9"/>
      <c r="P366" s="9"/>
      <c r="Q366" s="9"/>
      <c r="R366" s="9"/>
      <c r="S366" s="436"/>
      <c r="T366" s="436"/>
      <c r="U366" s="436"/>
      <c r="V366" s="436"/>
      <c r="W366" s="9"/>
      <c r="X366" s="9"/>
      <c r="Y366" s="9"/>
      <c r="Z366" s="9"/>
      <c r="AA366" s="9"/>
      <c r="AB366" s="9"/>
    </row>
    <row r="367">
      <c r="A367" s="9"/>
      <c r="B367" s="9"/>
      <c r="C367" s="9"/>
      <c r="D367" s="9"/>
      <c r="E367" s="9"/>
      <c r="F367" s="435"/>
      <c r="G367" s="9"/>
      <c r="H367" s="9"/>
      <c r="I367" s="9"/>
      <c r="J367" s="9"/>
      <c r="K367" s="9"/>
      <c r="L367" s="9"/>
      <c r="M367" s="9"/>
      <c r="N367" s="9"/>
      <c r="O367" s="9"/>
      <c r="P367" s="9"/>
      <c r="Q367" s="9"/>
      <c r="R367" s="9"/>
      <c r="S367" s="436"/>
      <c r="T367" s="436"/>
      <c r="U367" s="436"/>
      <c r="V367" s="436"/>
      <c r="W367" s="9"/>
      <c r="X367" s="9"/>
      <c r="Y367" s="9"/>
      <c r="Z367" s="9"/>
      <c r="AA367" s="9"/>
      <c r="AB367" s="9"/>
    </row>
    <row r="368">
      <c r="A368" s="9"/>
      <c r="B368" s="9"/>
      <c r="C368" s="9"/>
      <c r="D368" s="9"/>
      <c r="E368" s="9"/>
      <c r="F368" s="435"/>
      <c r="G368" s="9"/>
      <c r="H368" s="9"/>
      <c r="I368" s="9"/>
      <c r="J368" s="9"/>
      <c r="K368" s="9"/>
      <c r="L368" s="9"/>
      <c r="M368" s="9"/>
      <c r="N368" s="9"/>
      <c r="O368" s="9"/>
      <c r="P368" s="9"/>
      <c r="Q368" s="9"/>
      <c r="R368" s="9"/>
      <c r="S368" s="436"/>
      <c r="T368" s="436"/>
      <c r="U368" s="436"/>
      <c r="V368" s="436"/>
      <c r="W368" s="9"/>
      <c r="X368" s="9"/>
      <c r="Y368" s="9"/>
      <c r="Z368" s="9"/>
      <c r="AA368" s="9"/>
      <c r="AB368" s="9"/>
    </row>
    <row r="369">
      <c r="A369" s="9"/>
      <c r="B369" s="9"/>
      <c r="C369" s="9"/>
      <c r="D369" s="9"/>
      <c r="E369" s="9"/>
      <c r="F369" s="435"/>
      <c r="G369" s="9"/>
      <c r="H369" s="9"/>
      <c r="I369" s="9"/>
      <c r="J369" s="9"/>
      <c r="K369" s="9"/>
      <c r="L369" s="9"/>
      <c r="M369" s="9"/>
      <c r="N369" s="9"/>
      <c r="O369" s="9"/>
      <c r="P369" s="9"/>
      <c r="Q369" s="9"/>
      <c r="R369" s="9"/>
      <c r="S369" s="436"/>
      <c r="T369" s="436"/>
      <c r="U369" s="436"/>
      <c r="V369" s="436"/>
      <c r="W369" s="9"/>
      <c r="X369" s="9"/>
      <c r="Y369" s="9"/>
      <c r="Z369" s="9"/>
      <c r="AA369" s="9"/>
      <c r="AB369" s="9"/>
    </row>
    <row r="370">
      <c r="A370" s="9"/>
      <c r="B370" s="9"/>
      <c r="C370" s="9"/>
      <c r="D370" s="9"/>
      <c r="E370" s="9"/>
      <c r="F370" s="435"/>
      <c r="G370" s="9"/>
      <c r="H370" s="9"/>
      <c r="I370" s="9"/>
      <c r="J370" s="9"/>
      <c r="K370" s="9"/>
      <c r="L370" s="9"/>
      <c r="M370" s="9"/>
      <c r="N370" s="9"/>
      <c r="O370" s="9"/>
      <c r="P370" s="9"/>
      <c r="Q370" s="9"/>
      <c r="R370" s="9"/>
      <c r="S370" s="436"/>
      <c r="T370" s="436"/>
      <c r="U370" s="436"/>
      <c r="V370" s="436"/>
      <c r="W370" s="9"/>
      <c r="X370" s="9"/>
      <c r="Y370" s="9"/>
      <c r="Z370" s="9"/>
      <c r="AA370" s="9"/>
      <c r="AB370" s="9"/>
    </row>
    <row r="371">
      <c r="A371" s="9"/>
      <c r="B371" s="9"/>
      <c r="C371" s="9"/>
      <c r="D371" s="9"/>
      <c r="E371" s="9"/>
      <c r="F371" s="435"/>
      <c r="G371" s="9"/>
      <c r="H371" s="9"/>
      <c r="I371" s="9"/>
      <c r="J371" s="9"/>
      <c r="K371" s="9"/>
      <c r="L371" s="9"/>
      <c r="M371" s="9"/>
      <c r="N371" s="9"/>
      <c r="O371" s="9"/>
      <c r="P371" s="9"/>
      <c r="Q371" s="9"/>
      <c r="R371" s="9"/>
      <c r="S371" s="436"/>
      <c r="T371" s="436"/>
      <c r="U371" s="436"/>
      <c r="V371" s="436"/>
      <c r="W371" s="9"/>
      <c r="X371" s="9"/>
      <c r="Y371" s="9"/>
      <c r="Z371" s="9"/>
      <c r="AA371" s="9"/>
      <c r="AB371" s="9"/>
    </row>
    <row r="372">
      <c r="A372" s="9"/>
      <c r="B372" s="9"/>
      <c r="C372" s="9"/>
      <c r="D372" s="9"/>
      <c r="E372" s="9"/>
      <c r="F372" s="435"/>
      <c r="G372" s="9"/>
      <c r="H372" s="9"/>
      <c r="I372" s="9"/>
      <c r="J372" s="9"/>
      <c r="K372" s="9"/>
      <c r="L372" s="9"/>
      <c r="M372" s="9"/>
      <c r="N372" s="9"/>
      <c r="O372" s="9"/>
      <c r="P372" s="9"/>
      <c r="Q372" s="9"/>
      <c r="R372" s="9"/>
      <c r="S372" s="436"/>
      <c r="T372" s="436"/>
      <c r="U372" s="436"/>
      <c r="V372" s="436"/>
      <c r="W372" s="9"/>
      <c r="X372" s="9"/>
      <c r="Y372" s="9"/>
      <c r="Z372" s="9"/>
      <c r="AA372" s="9"/>
      <c r="AB372" s="9"/>
    </row>
    <row r="373">
      <c r="A373" s="9"/>
      <c r="B373" s="9"/>
      <c r="C373" s="9"/>
      <c r="D373" s="9"/>
      <c r="E373" s="9"/>
      <c r="F373" s="435"/>
      <c r="G373" s="9"/>
      <c r="H373" s="9"/>
      <c r="I373" s="9"/>
      <c r="J373" s="9"/>
      <c r="K373" s="9"/>
      <c r="L373" s="9"/>
      <c r="M373" s="9"/>
      <c r="N373" s="9"/>
      <c r="O373" s="9"/>
      <c r="P373" s="9"/>
      <c r="Q373" s="9"/>
      <c r="R373" s="9"/>
      <c r="S373" s="436"/>
      <c r="T373" s="436"/>
      <c r="U373" s="436"/>
      <c r="V373" s="436"/>
      <c r="W373" s="9"/>
      <c r="X373" s="9"/>
      <c r="Y373" s="9"/>
      <c r="Z373" s="9"/>
      <c r="AA373" s="9"/>
      <c r="AB373" s="9"/>
    </row>
    <row r="374">
      <c r="A374" s="9"/>
      <c r="B374" s="9"/>
      <c r="C374" s="9"/>
      <c r="D374" s="9"/>
      <c r="E374" s="9"/>
      <c r="F374" s="435"/>
      <c r="G374" s="9"/>
      <c r="H374" s="9"/>
      <c r="I374" s="9"/>
      <c r="J374" s="9"/>
      <c r="K374" s="9"/>
      <c r="L374" s="9"/>
      <c r="M374" s="9"/>
      <c r="N374" s="9"/>
      <c r="O374" s="9"/>
      <c r="P374" s="9"/>
      <c r="Q374" s="9"/>
      <c r="R374" s="9"/>
      <c r="S374" s="436"/>
      <c r="T374" s="436"/>
      <c r="U374" s="436"/>
      <c r="V374" s="436"/>
      <c r="W374" s="9"/>
      <c r="X374" s="9"/>
      <c r="Y374" s="9"/>
      <c r="Z374" s="9"/>
      <c r="AA374" s="9"/>
      <c r="AB374" s="9"/>
    </row>
    <row r="375">
      <c r="A375" s="9"/>
      <c r="B375" s="9"/>
      <c r="C375" s="9"/>
      <c r="D375" s="9"/>
      <c r="E375" s="9"/>
      <c r="F375" s="435"/>
      <c r="G375" s="9"/>
      <c r="H375" s="9"/>
      <c r="I375" s="9"/>
      <c r="J375" s="9"/>
      <c r="K375" s="9"/>
      <c r="L375" s="9"/>
      <c r="M375" s="9"/>
      <c r="N375" s="9"/>
      <c r="O375" s="9"/>
      <c r="P375" s="9"/>
      <c r="Q375" s="9"/>
      <c r="R375" s="9"/>
      <c r="S375" s="436"/>
      <c r="T375" s="436"/>
      <c r="U375" s="436"/>
      <c r="V375" s="436"/>
      <c r="W375" s="9"/>
      <c r="X375" s="9"/>
      <c r="Y375" s="9"/>
      <c r="Z375" s="9"/>
      <c r="AA375" s="9"/>
      <c r="AB375" s="9"/>
    </row>
    <row r="376">
      <c r="A376" s="9"/>
      <c r="B376" s="9"/>
      <c r="C376" s="9"/>
      <c r="D376" s="9"/>
      <c r="E376" s="9"/>
      <c r="F376" s="435"/>
      <c r="G376" s="9"/>
      <c r="H376" s="9"/>
      <c r="I376" s="9"/>
      <c r="J376" s="9"/>
      <c r="K376" s="9"/>
      <c r="L376" s="9"/>
      <c r="M376" s="9"/>
      <c r="N376" s="9"/>
      <c r="O376" s="9"/>
      <c r="P376" s="9"/>
      <c r="Q376" s="9"/>
      <c r="R376" s="9"/>
      <c r="S376" s="436"/>
      <c r="T376" s="436"/>
      <c r="U376" s="436"/>
      <c r="V376" s="436"/>
      <c r="W376" s="9"/>
      <c r="X376" s="9"/>
      <c r="Y376" s="9"/>
      <c r="Z376" s="9"/>
      <c r="AA376" s="9"/>
      <c r="AB376" s="9"/>
    </row>
    <row r="377">
      <c r="A377" s="9"/>
      <c r="B377" s="9"/>
      <c r="C377" s="9"/>
      <c r="D377" s="9"/>
      <c r="E377" s="9"/>
      <c r="F377" s="435"/>
      <c r="G377" s="9"/>
      <c r="H377" s="9"/>
      <c r="I377" s="9"/>
      <c r="J377" s="9"/>
      <c r="K377" s="9"/>
      <c r="L377" s="9"/>
      <c r="M377" s="9"/>
      <c r="N377" s="9"/>
      <c r="O377" s="9"/>
      <c r="P377" s="9"/>
      <c r="Q377" s="9"/>
      <c r="R377" s="9"/>
      <c r="S377" s="436"/>
      <c r="T377" s="436"/>
      <c r="U377" s="436"/>
      <c r="V377" s="436"/>
      <c r="W377" s="9"/>
      <c r="X377" s="9"/>
      <c r="Y377" s="9"/>
      <c r="Z377" s="9"/>
      <c r="AA377" s="9"/>
      <c r="AB377" s="9"/>
    </row>
    <row r="378">
      <c r="A378" s="9"/>
      <c r="B378" s="9"/>
      <c r="C378" s="9"/>
      <c r="D378" s="9"/>
      <c r="E378" s="9"/>
      <c r="F378" s="435"/>
      <c r="G378" s="9"/>
      <c r="H378" s="9"/>
      <c r="I378" s="9"/>
      <c r="J378" s="9"/>
      <c r="K378" s="9"/>
      <c r="L378" s="9"/>
      <c r="M378" s="9"/>
      <c r="N378" s="9"/>
      <c r="O378" s="9"/>
      <c r="P378" s="9"/>
      <c r="Q378" s="9"/>
      <c r="R378" s="9"/>
      <c r="S378" s="436"/>
      <c r="T378" s="436"/>
      <c r="U378" s="436"/>
      <c r="V378" s="436"/>
      <c r="W378" s="9"/>
      <c r="X378" s="9"/>
      <c r="Y378" s="9"/>
      <c r="Z378" s="9"/>
      <c r="AA378" s="9"/>
      <c r="AB378" s="9"/>
    </row>
    <row r="379">
      <c r="A379" s="9"/>
      <c r="B379" s="9"/>
      <c r="C379" s="9"/>
      <c r="D379" s="9"/>
      <c r="E379" s="9"/>
      <c r="F379" s="435"/>
      <c r="G379" s="9"/>
      <c r="H379" s="9"/>
      <c r="I379" s="9"/>
      <c r="J379" s="9"/>
      <c r="K379" s="9"/>
      <c r="L379" s="9"/>
      <c r="M379" s="9"/>
      <c r="N379" s="9"/>
      <c r="O379" s="9"/>
      <c r="P379" s="9"/>
      <c r="Q379" s="9"/>
      <c r="R379" s="9"/>
      <c r="S379" s="436"/>
      <c r="T379" s="436"/>
      <c r="U379" s="436"/>
      <c r="V379" s="436"/>
      <c r="W379" s="9"/>
      <c r="X379" s="9"/>
      <c r="Y379" s="9"/>
      <c r="Z379" s="9"/>
      <c r="AA379" s="9"/>
      <c r="AB379" s="9"/>
    </row>
    <row r="380">
      <c r="A380" s="9"/>
      <c r="B380" s="9"/>
      <c r="C380" s="9"/>
      <c r="D380" s="9"/>
      <c r="E380" s="9"/>
      <c r="F380" s="435"/>
      <c r="G380" s="9"/>
      <c r="H380" s="9"/>
      <c r="I380" s="9"/>
      <c r="J380" s="9"/>
      <c r="K380" s="9"/>
      <c r="L380" s="9"/>
      <c r="M380" s="9"/>
      <c r="N380" s="9"/>
      <c r="O380" s="9"/>
      <c r="P380" s="9"/>
      <c r="Q380" s="9"/>
      <c r="R380" s="9"/>
      <c r="S380" s="436"/>
      <c r="T380" s="436"/>
      <c r="U380" s="436"/>
      <c r="V380" s="436"/>
      <c r="W380" s="9"/>
      <c r="X380" s="9"/>
      <c r="Y380" s="9"/>
      <c r="Z380" s="9"/>
      <c r="AA380" s="9"/>
      <c r="AB380" s="9"/>
    </row>
    <row r="381">
      <c r="A381" s="9"/>
      <c r="B381" s="9"/>
      <c r="C381" s="9"/>
      <c r="D381" s="9"/>
      <c r="E381" s="9"/>
      <c r="F381" s="435"/>
      <c r="G381" s="9"/>
      <c r="H381" s="9"/>
      <c r="I381" s="9"/>
      <c r="J381" s="9"/>
      <c r="K381" s="9"/>
      <c r="L381" s="9"/>
      <c r="M381" s="9"/>
      <c r="N381" s="9"/>
      <c r="O381" s="9"/>
      <c r="P381" s="9"/>
      <c r="Q381" s="9"/>
      <c r="R381" s="9"/>
      <c r="S381" s="436"/>
      <c r="T381" s="436"/>
      <c r="U381" s="436"/>
      <c r="V381" s="436"/>
      <c r="W381" s="9"/>
      <c r="X381" s="9"/>
      <c r="Y381" s="9"/>
      <c r="Z381" s="9"/>
      <c r="AA381" s="9"/>
      <c r="AB381" s="9"/>
    </row>
    <row r="382">
      <c r="A382" s="9"/>
      <c r="B382" s="9"/>
      <c r="C382" s="9"/>
      <c r="D382" s="9"/>
      <c r="E382" s="9"/>
      <c r="F382" s="435"/>
      <c r="G382" s="9"/>
      <c r="H382" s="9"/>
      <c r="I382" s="9"/>
      <c r="J382" s="9"/>
      <c r="K382" s="9"/>
      <c r="L382" s="9"/>
      <c r="M382" s="9"/>
      <c r="N382" s="9"/>
      <c r="O382" s="9"/>
      <c r="P382" s="9"/>
      <c r="Q382" s="9"/>
      <c r="R382" s="9"/>
      <c r="S382" s="436"/>
      <c r="T382" s="436"/>
      <c r="U382" s="436"/>
      <c r="V382" s="436"/>
      <c r="W382" s="9"/>
      <c r="X382" s="9"/>
      <c r="Y382" s="9"/>
      <c r="Z382" s="9"/>
      <c r="AA382" s="9"/>
      <c r="AB382" s="9"/>
    </row>
    <row r="383">
      <c r="A383" s="9"/>
      <c r="B383" s="9"/>
      <c r="C383" s="9"/>
      <c r="D383" s="9"/>
      <c r="E383" s="9"/>
      <c r="F383" s="435"/>
      <c r="G383" s="9"/>
      <c r="H383" s="9"/>
      <c r="I383" s="9"/>
      <c r="J383" s="9"/>
      <c r="K383" s="9"/>
      <c r="L383" s="9"/>
      <c r="M383" s="9"/>
      <c r="N383" s="9"/>
      <c r="O383" s="9"/>
      <c r="P383" s="9"/>
      <c r="Q383" s="9"/>
      <c r="R383" s="9"/>
      <c r="S383" s="436"/>
      <c r="T383" s="436"/>
      <c r="U383" s="436"/>
      <c r="V383" s="436"/>
      <c r="W383" s="9"/>
      <c r="X383" s="9"/>
      <c r="Y383" s="9"/>
      <c r="Z383" s="9"/>
      <c r="AA383" s="9"/>
      <c r="AB383" s="9"/>
    </row>
    <row r="384">
      <c r="A384" s="9"/>
      <c r="B384" s="9"/>
      <c r="C384" s="9"/>
      <c r="D384" s="9"/>
      <c r="E384" s="9"/>
      <c r="F384" s="435"/>
      <c r="G384" s="9"/>
      <c r="H384" s="9"/>
      <c r="I384" s="9"/>
      <c r="J384" s="9"/>
      <c r="K384" s="9"/>
      <c r="L384" s="9"/>
      <c r="M384" s="9"/>
      <c r="N384" s="9"/>
      <c r="O384" s="9"/>
      <c r="P384" s="9"/>
      <c r="Q384" s="9"/>
      <c r="R384" s="9"/>
      <c r="S384" s="436"/>
      <c r="T384" s="436"/>
      <c r="U384" s="436"/>
      <c r="V384" s="436"/>
      <c r="W384" s="9"/>
      <c r="X384" s="9"/>
      <c r="Y384" s="9"/>
      <c r="Z384" s="9"/>
      <c r="AA384" s="9"/>
      <c r="AB384" s="9"/>
    </row>
    <row r="385">
      <c r="A385" s="9"/>
      <c r="B385" s="9"/>
      <c r="C385" s="9"/>
      <c r="D385" s="9"/>
      <c r="E385" s="9"/>
      <c r="F385" s="435"/>
      <c r="G385" s="9"/>
      <c r="H385" s="9"/>
      <c r="I385" s="9"/>
      <c r="J385" s="9"/>
      <c r="K385" s="9"/>
      <c r="L385" s="9"/>
      <c r="M385" s="9"/>
      <c r="N385" s="9"/>
      <c r="O385" s="9"/>
      <c r="P385" s="9"/>
      <c r="Q385" s="9"/>
      <c r="R385" s="9"/>
      <c r="S385" s="436"/>
      <c r="T385" s="436"/>
      <c r="U385" s="436"/>
      <c r="V385" s="436"/>
      <c r="W385" s="9"/>
      <c r="X385" s="9"/>
      <c r="Y385" s="9"/>
      <c r="Z385" s="9"/>
      <c r="AA385" s="9"/>
      <c r="AB385" s="9"/>
    </row>
    <row r="386">
      <c r="A386" s="9"/>
      <c r="B386" s="9"/>
      <c r="C386" s="9"/>
      <c r="D386" s="9"/>
      <c r="E386" s="9"/>
      <c r="F386" s="435"/>
      <c r="G386" s="9"/>
      <c r="H386" s="9"/>
      <c r="I386" s="9"/>
      <c r="J386" s="9"/>
      <c r="K386" s="9"/>
      <c r="L386" s="9"/>
      <c r="M386" s="9"/>
      <c r="N386" s="9"/>
      <c r="O386" s="9"/>
      <c r="P386" s="9"/>
      <c r="Q386" s="9"/>
      <c r="R386" s="9"/>
      <c r="S386" s="436"/>
      <c r="T386" s="436"/>
      <c r="U386" s="436"/>
      <c r="V386" s="436"/>
      <c r="W386" s="9"/>
      <c r="X386" s="9"/>
      <c r="Y386" s="9"/>
      <c r="Z386" s="9"/>
      <c r="AA386" s="9"/>
      <c r="AB386" s="9"/>
    </row>
    <row r="387">
      <c r="A387" s="9"/>
      <c r="B387" s="9"/>
      <c r="C387" s="9"/>
      <c r="D387" s="9"/>
      <c r="E387" s="9"/>
      <c r="F387" s="435"/>
      <c r="G387" s="9"/>
      <c r="H387" s="9"/>
      <c r="I387" s="9"/>
      <c r="J387" s="9"/>
      <c r="K387" s="9"/>
      <c r="L387" s="9"/>
      <c r="M387" s="9"/>
      <c r="N387" s="9"/>
      <c r="O387" s="9"/>
      <c r="P387" s="9"/>
      <c r="Q387" s="9"/>
      <c r="R387" s="9"/>
      <c r="S387" s="436"/>
      <c r="T387" s="436"/>
      <c r="U387" s="436"/>
      <c r="V387" s="436"/>
      <c r="W387" s="9"/>
      <c r="X387" s="9"/>
      <c r="Y387" s="9"/>
      <c r="Z387" s="9"/>
      <c r="AA387" s="9"/>
      <c r="AB387" s="9"/>
    </row>
    <row r="388">
      <c r="A388" s="9"/>
      <c r="B388" s="9"/>
      <c r="C388" s="9"/>
      <c r="D388" s="9"/>
      <c r="E388" s="9"/>
      <c r="F388" s="435"/>
      <c r="G388" s="9"/>
      <c r="H388" s="9"/>
      <c r="I388" s="9"/>
      <c r="J388" s="9"/>
      <c r="K388" s="9"/>
      <c r="L388" s="9"/>
      <c r="M388" s="9"/>
      <c r="N388" s="9"/>
      <c r="O388" s="9"/>
      <c r="P388" s="9"/>
      <c r="Q388" s="9"/>
      <c r="R388" s="9"/>
      <c r="S388" s="436"/>
      <c r="T388" s="436"/>
      <c r="U388" s="436"/>
      <c r="V388" s="436"/>
      <c r="W388" s="9"/>
      <c r="X388" s="9"/>
      <c r="Y388" s="9"/>
      <c r="Z388" s="9"/>
      <c r="AA388" s="9"/>
      <c r="AB388" s="9"/>
    </row>
    <row r="389">
      <c r="A389" s="9"/>
      <c r="B389" s="9"/>
      <c r="C389" s="9"/>
      <c r="D389" s="9"/>
      <c r="E389" s="9"/>
      <c r="F389" s="435"/>
      <c r="G389" s="9"/>
      <c r="H389" s="9"/>
      <c r="I389" s="9"/>
      <c r="J389" s="9"/>
      <c r="K389" s="9"/>
      <c r="L389" s="9"/>
      <c r="M389" s="9"/>
      <c r="N389" s="9"/>
      <c r="O389" s="9"/>
      <c r="P389" s="9"/>
      <c r="Q389" s="9"/>
      <c r="R389" s="9"/>
      <c r="S389" s="436"/>
      <c r="T389" s="436"/>
      <c r="U389" s="436"/>
      <c r="V389" s="436"/>
      <c r="W389" s="9"/>
      <c r="X389" s="9"/>
      <c r="Y389" s="9"/>
      <c r="Z389" s="9"/>
      <c r="AA389" s="9"/>
      <c r="AB389" s="9"/>
    </row>
    <row r="390">
      <c r="A390" s="9"/>
      <c r="B390" s="9"/>
      <c r="C390" s="9"/>
      <c r="D390" s="9"/>
      <c r="E390" s="9"/>
      <c r="F390" s="435"/>
      <c r="G390" s="9"/>
      <c r="H390" s="9"/>
      <c r="I390" s="9"/>
      <c r="J390" s="9"/>
      <c r="K390" s="9"/>
      <c r="L390" s="9"/>
      <c r="M390" s="9"/>
      <c r="N390" s="9"/>
      <c r="O390" s="9"/>
      <c r="P390" s="9"/>
      <c r="Q390" s="9"/>
      <c r="R390" s="9"/>
      <c r="S390" s="436"/>
      <c r="T390" s="436"/>
      <c r="U390" s="436"/>
      <c r="V390" s="436"/>
      <c r="W390" s="9"/>
      <c r="X390" s="9"/>
      <c r="Y390" s="9"/>
      <c r="Z390" s="9"/>
      <c r="AA390" s="9"/>
      <c r="AB390" s="9"/>
    </row>
    <row r="391">
      <c r="A391" s="9"/>
      <c r="B391" s="9"/>
      <c r="C391" s="9"/>
      <c r="D391" s="9"/>
      <c r="E391" s="9"/>
      <c r="F391" s="435"/>
      <c r="G391" s="9"/>
      <c r="H391" s="9"/>
      <c r="I391" s="9"/>
      <c r="J391" s="9"/>
      <c r="K391" s="9"/>
      <c r="L391" s="9"/>
      <c r="M391" s="9"/>
      <c r="N391" s="9"/>
      <c r="O391" s="9"/>
      <c r="P391" s="9"/>
      <c r="Q391" s="9"/>
      <c r="R391" s="9"/>
      <c r="S391" s="436"/>
      <c r="T391" s="436"/>
      <c r="U391" s="436"/>
      <c r="V391" s="436"/>
      <c r="W391" s="9"/>
      <c r="X391" s="9"/>
      <c r="Y391" s="9"/>
      <c r="Z391" s="9"/>
      <c r="AA391" s="9"/>
      <c r="AB391" s="9"/>
    </row>
    <row r="392">
      <c r="A392" s="9"/>
      <c r="B392" s="9"/>
      <c r="C392" s="9"/>
      <c r="D392" s="9"/>
      <c r="E392" s="9"/>
      <c r="F392" s="435"/>
      <c r="G392" s="9"/>
      <c r="H392" s="9"/>
      <c r="I392" s="9"/>
      <c r="J392" s="9"/>
      <c r="K392" s="9"/>
      <c r="L392" s="9"/>
      <c r="M392" s="9"/>
      <c r="N392" s="9"/>
      <c r="O392" s="9"/>
      <c r="P392" s="9"/>
      <c r="Q392" s="9"/>
      <c r="R392" s="9"/>
      <c r="S392" s="436"/>
      <c r="T392" s="436"/>
      <c r="U392" s="436"/>
      <c r="V392" s="436"/>
      <c r="W392" s="9"/>
      <c r="X392" s="9"/>
      <c r="Y392" s="9"/>
      <c r="Z392" s="9"/>
      <c r="AA392" s="9"/>
      <c r="AB392" s="9"/>
    </row>
    <row r="393">
      <c r="A393" s="9"/>
      <c r="B393" s="9"/>
      <c r="C393" s="9"/>
      <c r="D393" s="9"/>
      <c r="E393" s="9"/>
      <c r="F393" s="435"/>
      <c r="G393" s="9"/>
      <c r="H393" s="9"/>
      <c r="I393" s="9"/>
      <c r="J393" s="9"/>
      <c r="K393" s="9"/>
      <c r="L393" s="9"/>
      <c r="M393" s="9"/>
      <c r="N393" s="9"/>
      <c r="O393" s="9"/>
      <c r="P393" s="9"/>
      <c r="Q393" s="9"/>
      <c r="R393" s="9"/>
      <c r="S393" s="436"/>
      <c r="T393" s="436"/>
      <c r="U393" s="436"/>
      <c r="V393" s="436"/>
      <c r="W393" s="9"/>
      <c r="X393" s="9"/>
      <c r="Y393" s="9"/>
      <c r="Z393" s="9"/>
      <c r="AA393" s="9"/>
      <c r="AB393" s="9"/>
    </row>
    <row r="394">
      <c r="A394" s="9"/>
      <c r="B394" s="9"/>
      <c r="C394" s="9"/>
      <c r="D394" s="9"/>
      <c r="E394" s="9"/>
      <c r="F394" s="435"/>
      <c r="G394" s="9"/>
      <c r="H394" s="9"/>
      <c r="I394" s="9"/>
      <c r="J394" s="9"/>
      <c r="K394" s="9"/>
      <c r="L394" s="9"/>
      <c r="M394" s="9"/>
      <c r="N394" s="9"/>
      <c r="O394" s="9"/>
      <c r="P394" s="9"/>
      <c r="Q394" s="9"/>
      <c r="R394" s="9"/>
      <c r="S394" s="436"/>
      <c r="T394" s="436"/>
      <c r="U394" s="436"/>
      <c r="V394" s="436"/>
      <c r="W394" s="9"/>
      <c r="X394" s="9"/>
      <c r="Y394" s="9"/>
      <c r="Z394" s="9"/>
      <c r="AA394" s="9"/>
      <c r="AB394" s="9"/>
    </row>
    <row r="395">
      <c r="A395" s="9"/>
      <c r="B395" s="9"/>
      <c r="C395" s="9"/>
      <c r="D395" s="9"/>
      <c r="E395" s="9"/>
      <c r="F395" s="435"/>
      <c r="G395" s="9"/>
      <c r="H395" s="9"/>
      <c r="I395" s="9"/>
      <c r="J395" s="9"/>
      <c r="K395" s="9"/>
      <c r="L395" s="9"/>
      <c r="M395" s="9"/>
      <c r="N395" s="9"/>
      <c r="O395" s="9"/>
      <c r="P395" s="9"/>
      <c r="Q395" s="9"/>
      <c r="R395" s="9"/>
      <c r="S395" s="436"/>
      <c r="T395" s="436"/>
      <c r="U395" s="436"/>
      <c r="V395" s="436"/>
      <c r="W395" s="9"/>
      <c r="X395" s="9"/>
      <c r="Y395" s="9"/>
      <c r="Z395" s="9"/>
      <c r="AA395" s="9"/>
      <c r="AB395" s="9"/>
    </row>
    <row r="396">
      <c r="A396" s="9"/>
      <c r="B396" s="9"/>
      <c r="C396" s="9"/>
      <c r="D396" s="9"/>
      <c r="E396" s="9"/>
      <c r="F396" s="435"/>
      <c r="G396" s="9"/>
      <c r="H396" s="9"/>
      <c r="I396" s="9"/>
      <c r="J396" s="9"/>
      <c r="K396" s="9"/>
      <c r="L396" s="9"/>
      <c r="M396" s="9"/>
      <c r="N396" s="9"/>
      <c r="O396" s="9"/>
      <c r="P396" s="9"/>
      <c r="Q396" s="9"/>
      <c r="R396" s="9"/>
      <c r="S396" s="436"/>
      <c r="T396" s="436"/>
      <c r="U396" s="436"/>
      <c r="V396" s="436"/>
      <c r="W396" s="9"/>
      <c r="X396" s="9"/>
      <c r="Y396" s="9"/>
      <c r="Z396" s="9"/>
      <c r="AA396" s="9"/>
      <c r="AB396" s="9"/>
    </row>
    <row r="397">
      <c r="A397" s="9"/>
      <c r="B397" s="9"/>
      <c r="C397" s="9"/>
      <c r="D397" s="9"/>
      <c r="E397" s="9"/>
      <c r="F397" s="435"/>
      <c r="G397" s="9"/>
      <c r="H397" s="9"/>
      <c r="I397" s="9"/>
      <c r="J397" s="9"/>
      <c r="K397" s="9"/>
      <c r="L397" s="9"/>
      <c r="M397" s="9"/>
      <c r="N397" s="9"/>
      <c r="O397" s="9"/>
      <c r="P397" s="9"/>
      <c r="Q397" s="9"/>
      <c r="R397" s="9"/>
      <c r="S397" s="436"/>
      <c r="T397" s="436"/>
      <c r="U397" s="436"/>
      <c r="V397" s="436"/>
      <c r="W397" s="9"/>
      <c r="X397" s="9"/>
      <c r="Y397" s="9"/>
      <c r="Z397" s="9"/>
      <c r="AA397" s="9"/>
      <c r="AB397" s="9"/>
    </row>
    <row r="398">
      <c r="A398" s="9"/>
      <c r="B398" s="9"/>
      <c r="C398" s="9"/>
      <c r="D398" s="9"/>
      <c r="E398" s="9"/>
      <c r="F398" s="435"/>
      <c r="G398" s="9"/>
      <c r="H398" s="9"/>
      <c r="I398" s="9"/>
      <c r="J398" s="9"/>
      <c r="K398" s="9"/>
      <c r="L398" s="9"/>
      <c r="M398" s="9"/>
      <c r="N398" s="9"/>
      <c r="O398" s="9"/>
      <c r="P398" s="9"/>
      <c r="Q398" s="9"/>
      <c r="R398" s="9"/>
      <c r="S398" s="436"/>
      <c r="T398" s="436"/>
      <c r="U398" s="436"/>
      <c r="V398" s="436"/>
      <c r="W398" s="9"/>
      <c r="X398" s="9"/>
      <c r="Y398" s="9"/>
      <c r="Z398" s="9"/>
      <c r="AA398" s="9"/>
      <c r="AB398" s="9"/>
    </row>
    <row r="399">
      <c r="A399" s="9"/>
      <c r="B399" s="9"/>
      <c r="C399" s="9"/>
      <c r="D399" s="9"/>
      <c r="E399" s="9"/>
      <c r="F399" s="435"/>
      <c r="G399" s="9"/>
      <c r="H399" s="9"/>
      <c r="I399" s="9"/>
      <c r="J399" s="9"/>
      <c r="K399" s="9"/>
      <c r="L399" s="9"/>
      <c r="M399" s="9"/>
      <c r="N399" s="9"/>
      <c r="O399" s="9"/>
      <c r="P399" s="9"/>
      <c r="Q399" s="9"/>
      <c r="R399" s="9"/>
      <c r="S399" s="436"/>
      <c r="T399" s="436"/>
      <c r="U399" s="436"/>
      <c r="V399" s="436"/>
      <c r="W399" s="9"/>
      <c r="X399" s="9"/>
      <c r="Y399" s="9"/>
      <c r="Z399" s="9"/>
      <c r="AA399" s="9"/>
      <c r="AB399" s="9"/>
    </row>
    <row r="400">
      <c r="A400" s="9"/>
      <c r="B400" s="9"/>
      <c r="C400" s="9"/>
      <c r="D400" s="9"/>
      <c r="E400" s="9"/>
      <c r="F400" s="435"/>
      <c r="G400" s="9"/>
      <c r="H400" s="9"/>
      <c r="I400" s="9"/>
      <c r="J400" s="9"/>
      <c r="K400" s="9"/>
      <c r="L400" s="9"/>
      <c r="M400" s="9"/>
      <c r="N400" s="9"/>
      <c r="O400" s="9"/>
      <c r="P400" s="9"/>
      <c r="Q400" s="9"/>
      <c r="R400" s="9"/>
      <c r="S400" s="436"/>
      <c r="T400" s="436"/>
      <c r="U400" s="436"/>
      <c r="V400" s="436"/>
      <c r="W400" s="9"/>
      <c r="X400" s="9"/>
      <c r="Y400" s="9"/>
      <c r="Z400" s="9"/>
      <c r="AA400" s="9"/>
      <c r="AB400" s="9"/>
    </row>
    <row r="401">
      <c r="A401" s="9"/>
      <c r="B401" s="9"/>
      <c r="C401" s="9"/>
      <c r="D401" s="9"/>
      <c r="E401" s="9"/>
      <c r="F401" s="435"/>
      <c r="G401" s="9"/>
      <c r="H401" s="9"/>
      <c r="I401" s="9"/>
      <c r="J401" s="9"/>
      <c r="K401" s="9"/>
      <c r="L401" s="9"/>
      <c r="M401" s="9"/>
      <c r="N401" s="9"/>
      <c r="O401" s="9"/>
      <c r="P401" s="9"/>
      <c r="Q401" s="9"/>
      <c r="R401" s="9"/>
      <c r="S401" s="436"/>
      <c r="T401" s="436"/>
      <c r="U401" s="436"/>
      <c r="V401" s="436"/>
      <c r="W401" s="9"/>
      <c r="X401" s="9"/>
      <c r="Y401" s="9"/>
      <c r="Z401" s="9"/>
      <c r="AA401" s="9"/>
      <c r="AB401" s="9"/>
    </row>
    <row r="402">
      <c r="A402" s="9"/>
      <c r="B402" s="9"/>
      <c r="C402" s="9"/>
      <c r="D402" s="9"/>
      <c r="E402" s="9"/>
      <c r="F402" s="435"/>
      <c r="G402" s="9"/>
      <c r="H402" s="9"/>
      <c r="I402" s="9"/>
      <c r="J402" s="9"/>
      <c r="K402" s="9"/>
      <c r="L402" s="9"/>
      <c r="M402" s="9"/>
      <c r="N402" s="9"/>
      <c r="O402" s="9"/>
      <c r="P402" s="9"/>
      <c r="Q402" s="9"/>
      <c r="R402" s="9"/>
      <c r="S402" s="436"/>
      <c r="T402" s="436"/>
      <c r="U402" s="436"/>
      <c r="V402" s="436"/>
      <c r="W402" s="9"/>
      <c r="X402" s="9"/>
      <c r="Y402" s="9"/>
      <c r="Z402" s="9"/>
      <c r="AA402" s="9"/>
      <c r="AB402" s="9"/>
    </row>
    <row r="403">
      <c r="A403" s="9"/>
      <c r="B403" s="9"/>
      <c r="C403" s="9"/>
      <c r="D403" s="9"/>
      <c r="E403" s="9"/>
      <c r="F403" s="435"/>
      <c r="G403" s="9"/>
      <c r="H403" s="9"/>
      <c r="I403" s="9"/>
      <c r="J403" s="9"/>
      <c r="K403" s="9"/>
      <c r="L403" s="9"/>
      <c r="M403" s="9"/>
      <c r="N403" s="9"/>
      <c r="O403" s="9"/>
      <c r="P403" s="9"/>
      <c r="Q403" s="9"/>
      <c r="R403" s="9"/>
      <c r="S403" s="436"/>
      <c r="T403" s="436"/>
      <c r="U403" s="436"/>
      <c r="V403" s="436"/>
      <c r="W403" s="9"/>
      <c r="X403" s="9"/>
      <c r="Y403" s="9"/>
      <c r="Z403" s="9"/>
      <c r="AA403" s="9"/>
      <c r="AB403" s="9"/>
    </row>
    <row r="404">
      <c r="A404" s="9"/>
      <c r="B404" s="9"/>
      <c r="C404" s="9"/>
      <c r="D404" s="9"/>
      <c r="E404" s="9"/>
      <c r="F404" s="435"/>
      <c r="G404" s="9"/>
      <c r="H404" s="9"/>
      <c r="I404" s="9"/>
      <c r="J404" s="9"/>
      <c r="K404" s="9"/>
      <c r="L404" s="9"/>
      <c r="M404" s="9"/>
      <c r="N404" s="9"/>
      <c r="O404" s="9"/>
      <c r="P404" s="9"/>
      <c r="Q404" s="9"/>
      <c r="R404" s="9"/>
      <c r="S404" s="436"/>
      <c r="T404" s="436"/>
      <c r="U404" s="436"/>
      <c r="V404" s="436"/>
      <c r="W404" s="9"/>
      <c r="X404" s="9"/>
      <c r="Y404" s="9"/>
      <c r="Z404" s="9"/>
      <c r="AA404" s="9"/>
      <c r="AB404" s="9"/>
    </row>
    <row r="405">
      <c r="A405" s="9"/>
      <c r="B405" s="9"/>
      <c r="C405" s="9"/>
      <c r="D405" s="9"/>
      <c r="E405" s="9"/>
      <c r="F405" s="435"/>
      <c r="G405" s="9"/>
      <c r="H405" s="9"/>
      <c r="I405" s="9"/>
      <c r="J405" s="9"/>
      <c r="K405" s="9"/>
      <c r="L405" s="9"/>
      <c r="M405" s="9"/>
      <c r="N405" s="9"/>
      <c r="O405" s="9"/>
      <c r="P405" s="9"/>
      <c r="Q405" s="9"/>
      <c r="R405" s="9"/>
      <c r="S405" s="436"/>
      <c r="T405" s="436"/>
      <c r="U405" s="436"/>
      <c r="V405" s="436"/>
      <c r="W405" s="9"/>
      <c r="X405" s="9"/>
      <c r="Y405" s="9"/>
      <c r="Z405" s="9"/>
      <c r="AA405" s="9"/>
      <c r="AB405" s="9"/>
    </row>
    <row r="406">
      <c r="A406" s="9"/>
      <c r="B406" s="9"/>
      <c r="C406" s="9"/>
      <c r="D406" s="9"/>
      <c r="E406" s="9"/>
      <c r="F406" s="435"/>
      <c r="G406" s="9"/>
      <c r="H406" s="9"/>
      <c r="I406" s="9"/>
      <c r="J406" s="9"/>
      <c r="K406" s="9"/>
      <c r="L406" s="9"/>
      <c r="M406" s="9"/>
      <c r="N406" s="9"/>
      <c r="O406" s="9"/>
      <c r="P406" s="9"/>
      <c r="Q406" s="9"/>
      <c r="R406" s="9"/>
      <c r="S406" s="436"/>
      <c r="T406" s="436"/>
      <c r="U406" s="436"/>
      <c r="V406" s="436"/>
      <c r="W406" s="9"/>
      <c r="X406" s="9"/>
      <c r="Y406" s="9"/>
      <c r="Z406" s="9"/>
      <c r="AA406" s="9"/>
      <c r="AB406" s="9"/>
    </row>
    <row r="407">
      <c r="A407" s="9"/>
      <c r="B407" s="9"/>
      <c r="C407" s="9"/>
      <c r="D407" s="9"/>
      <c r="E407" s="9"/>
      <c r="F407" s="435"/>
      <c r="G407" s="9"/>
      <c r="H407" s="9"/>
      <c r="I407" s="9"/>
      <c r="J407" s="9"/>
      <c r="K407" s="9"/>
      <c r="L407" s="9"/>
      <c r="M407" s="9"/>
      <c r="N407" s="9"/>
      <c r="O407" s="9"/>
      <c r="P407" s="9"/>
      <c r="Q407" s="9"/>
      <c r="R407" s="9"/>
      <c r="S407" s="436"/>
      <c r="T407" s="436"/>
      <c r="U407" s="436"/>
      <c r="V407" s="436"/>
      <c r="W407" s="9"/>
      <c r="X407" s="9"/>
      <c r="Y407" s="9"/>
      <c r="Z407" s="9"/>
      <c r="AA407" s="9"/>
      <c r="AB407" s="9"/>
    </row>
    <row r="408">
      <c r="A408" s="9"/>
      <c r="B408" s="9"/>
      <c r="C408" s="9"/>
      <c r="D408" s="9"/>
      <c r="E408" s="9"/>
      <c r="F408" s="435"/>
      <c r="G408" s="9"/>
      <c r="H408" s="9"/>
      <c r="I408" s="9"/>
      <c r="J408" s="9"/>
      <c r="K408" s="9"/>
      <c r="L408" s="9"/>
      <c r="M408" s="9"/>
      <c r="N408" s="9"/>
      <c r="O408" s="9"/>
      <c r="P408" s="9"/>
      <c r="Q408" s="9"/>
      <c r="R408" s="9"/>
      <c r="S408" s="436"/>
      <c r="T408" s="436"/>
      <c r="U408" s="436"/>
      <c r="V408" s="436"/>
      <c r="W408" s="9"/>
      <c r="X408" s="9"/>
      <c r="Y408" s="9"/>
      <c r="Z408" s="9"/>
      <c r="AA408" s="9"/>
      <c r="AB408" s="9"/>
    </row>
    <row r="409">
      <c r="A409" s="9"/>
      <c r="B409" s="9"/>
      <c r="C409" s="9"/>
      <c r="D409" s="9"/>
      <c r="E409" s="9"/>
      <c r="F409" s="435"/>
      <c r="G409" s="9"/>
      <c r="H409" s="9"/>
      <c r="I409" s="9"/>
      <c r="J409" s="9"/>
      <c r="K409" s="9"/>
      <c r="L409" s="9"/>
      <c r="M409" s="9"/>
      <c r="N409" s="9"/>
      <c r="O409" s="9"/>
      <c r="P409" s="9"/>
      <c r="Q409" s="9"/>
      <c r="R409" s="9"/>
      <c r="S409" s="436"/>
      <c r="T409" s="436"/>
      <c r="U409" s="436"/>
      <c r="V409" s="436"/>
      <c r="W409" s="9"/>
      <c r="X409" s="9"/>
      <c r="Y409" s="9"/>
      <c r="Z409" s="9"/>
      <c r="AA409" s="9"/>
      <c r="AB409" s="9"/>
    </row>
    <row r="410">
      <c r="A410" s="9"/>
      <c r="B410" s="9"/>
      <c r="C410" s="9"/>
      <c r="D410" s="9"/>
      <c r="E410" s="9"/>
      <c r="F410" s="435"/>
      <c r="G410" s="9"/>
      <c r="H410" s="9"/>
      <c r="I410" s="9"/>
      <c r="J410" s="9"/>
      <c r="K410" s="9"/>
      <c r="L410" s="9"/>
      <c r="M410" s="9"/>
      <c r="N410" s="9"/>
      <c r="O410" s="9"/>
      <c r="P410" s="9"/>
      <c r="Q410" s="9"/>
      <c r="R410" s="9"/>
      <c r="S410" s="436"/>
      <c r="T410" s="436"/>
      <c r="U410" s="436"/>
      <c r="V410" s="436"/>
      <c r="W410" s="9"/>
      <c r="X410" s="9"/>
      <c r="Y410" s="9"/>
      <c r="Z410" s="9"/>
      <c r="AA410" s="9"/>
      <c r="AB410" s="9"/>
    </row>
    <row r="411">
      <c r="A411" s="9"/>
      <c r="B411" s="9"/>
      <c r="C411" s="9"/>
      <c r="D411" s="9"/>
      <c r="E411" s="9"/>
      <c r="F411" s="435"/>
      <c r="G411" s="9"/>
      <c r="H411" s="9"/>
      <c r="I411" s="9"/>
      <c r="J411" s="9"/>
      <c r="K411" s="9"/>
      <c r="L411" s="9"/>
      <c r="M411" s="9"/>
      <c r="N411" s="9"/>
      <c r="O411" s="9"/>
      <c r="P411" s="9"/>
      <c r="Q411" s="9"/>
      <c r="R411" s="9"/>
      <c r="S411" s="436"/>
      <c r="T411" s="436"/>
      <c r="U411" s="436"/>
      <c r="V411" s="436"/>
      <c r="W411" s="9"/>
      <c r="X411" s="9"/>
      <c r="Y411" s="9"/>
      <c r="Z411" s="9"/>
      <c r="AA411" s="9"/>
      <c r="AB411" s="9"/>
    </row>
    <row r="412">
      <c r="A412" s="9"/>
      <c r="B412" s="9"/>
      <c r="C412" s="9"/>
      <c r="D412" s="9"/>
      <c r="E412" s="9"/>
      <c r="F412" s="435"/>
      <c r="G412" s="9"/>
      <c r="H412" s="9"/>
      <c r="I412" s="9"/>
      <c r="J412" s="9"/>
      <c r="K412" s="9"/>
      <c r="L412" s="9"/>
      <c r="M412" s="9"/>
      <c r="N412" s="9"/>
      <c r="O412" s="9"/>
      <c r="P412" s="9"/>
      <c r="Q412" s="9"/>
      <c r="R412" s="9"/>
      <c r="S412" s="436"/>
      <c r="T412" s="436"/>
      <c r="U412" s="436"/>
      <c r="V412" s="436"/>
      <c r="W412" s="9"/>
      <c r="X412" s="9"/>
      <c r="Y412" s="9"/>
      <c r="Z412" s="9"/>
      <c r="AA412" s="9"/>
      <c r="AB412" s="9"/>
    </row>
    <row r="413">
      <c r="A413" s="9"/>
      <c r="B413" s="9"/>
      <c r="C413" s="9"/>
      <c r="D413" s="9"/>
      <c r="E413" s="9"/>
      <c r="F413" s="435"/>
      <c r="G413" s="9"/>
      <c r="H413" s="9"/>
      <c r="I413" s="9"/>
      <c r="J413" s="9"/>
      <c r="K413" s="9"/>
      <c r="L413" s="9"/>
      <c r="M413" s="9"/>
      <c r="N413" s="9"/>
      <c r="O413" s="9"/>
      <c r="P413" s="9"/>
      <c r="Q413" s="9"/>
      <c r="R413" s="9"/>
      <c r="S413" s="436"/>
      <c r="T413" s="436"/>
      <c r="U413" s="436"/>
      <c r="V413" s="436"/>
      <c r="W413" s="9"/>
      <c r="X413" s="9"/>
      <c r="Y413" s="9"/>
      <c r="Z413" s="9"/>
      <c r="AA413" s="9"/>
      <c r="AB413" s="9"/>
    </row>
    <row r="414">
      <c r="A414" s="9"/>
      <c r="B414" s="9"/>
      <c r="C414" s="9"/>
      <c r="D414" s="9"/>
      <c r="E414" s="9"/>
      <c r="F414" s="435"/>
      <c r="G414" s="9"/>
      <c r="H414" s="9"/>
      <c r="I414" s="9"/>
      <c r="J414" s="9"/>
      <c r="K414" s="9"/>
      <c r="L414" s="9"/>
      <c r="M414" s="9"/>
      <c r="N414" s="9"/>
      <c r="O414" s="9"/>
      <c r="P414" s="9"/>
      <c r="Q414" s="9"/>
      <c r="R414" s="9"/>
      <c r="S414" s="436"/>
      <c r="T414" s="436"/>
      <c r="U414" s="436"/>
      <c r="V414" s="436"/>
      <c r="W414" s="9"/>
      <c r="X414" s="9"/>
      <c r="Y414" s="9"/>
      <c r="Z414" s="9"/>
      <c r="AA414" s="9"/>
      <c r="AB414" s="9"/>
    </row>
    <row r="415">
      <c r="A415" s="9"/>
      <c r="B415" s="9"/>
      <c r="C415" s="9"/>
      <c r="D415" s="9"/>
      <c r="E415" s="9"/>
      <c r="F415" s="435"/>
      <c r="G415" s="9"/>
      <c r="H415" s="9"/>
      <c r="I415" s="9"/>
      <c r="J415" s="9"/>
      <c r="K415" s="9"/>
      <c r="L415" s="9"/>
      <c r="M415" s="9"/>
      <c r="N415" s="9"/>
      <c r="O415" s="9"/>
      <c r="P415" s="9"/>
      <c r="Q415" s="9"/>
      <c r="R415" s="9"/>
      <c r="S415" s="436"/>
      <c r="T415" s="436"/>
      <c r="U415" s="436"/>
      <c r="V415" s="436"/>
      <c r="W415" s="9"/>
      <c r="X415" s="9"/>
      <c r="Y415" s="9"/>
      <c r="Z415" s="9"/>
      <c r="AA415" s="9"/>
      <c r="AB415" s="9"/>
    </row>
    <row r="416">
      <c r="A416" s="9"/>
      <c r="B416" s="9"/>
      <c r="C416" s="9"/>
      <c r="D416" s="9"/>
      <c r="E416" s="9"/>
      <c r="F416" s="435"/>
      <c r="G416" s="9"/>
      <c r="H416" s="9"/>
      <c r="I416" s="9"/>
      <c r="J416" s="9"/>
      <c r="K416" s="9"/>
      <c r="L416" s="9"/>
      <c r="M416" s="9"/>
      <c r="N416" s="9"/>
      <c r="O416" s="9"/>
      <c r="P416" s="9"/>
      <c r="Q416" s="9"/>
      <c r="R416" s="9"/>
      <c r="S416" s="436"/>
      <c r="T416" s="436"/>
      <c r="U416" s="436"/>
      <c r="V416" s="436"/>
      <c r="W416" s="9"/>
      <c r="X416" s="9"/>
      <c r="Y416" s="9"/>
      <c r="Z416" s="9"/>
      <c r="AA416" s="9"/>
      <c r="AB416" s="9"/>
    </row>
    <row r="417">
      <c r="A417" s="9"/>
      <c r="B417" s="9"/>
      <c r="C417" s="9"/>
      <c r="D417" s="9"/>
      <c r="E417" s="9"/>
      <c r="F417" s="435"/>
      <c r="G417" s="9"/>
      <c r="H417" s="9"/>
      <c r="I417" s="9"/>
      <c r="J417" s="9"/>
      <c r="K417" s="9"/>
      <c r="L417" s="9"/>
      <c r="M417" s="9"/>
      <c r="N417" s="9"/>
      <c r="O417" s="9"/>
      <c r="P417" s="9"/>
      <c r="Q417" s="9"/>
      <c r="R417" s="9"/>
      <c r="S417" s="436"/>
      <c r="T417" s="436"/>
      <c r="U417" s="436"/>
      <c r="V417" s="436"/>
      <c r="W417" s="9"/>
      <c r="X417" s="9"/>
      <c r="Y417" s="9"/>
      <c r="Z417" s="9"/>
      <c r="AA417" s="9"/>
      <c r="AB417" s="9"/>
    </row>
    <row r="418">
      <c r="A418" s="9"/>
      <c r="B418" s="9"/>
      <c r="C418" s="9"/>
      <c r="D418" s="9"/>
      <c r="E418" s="9"/>
      <c r="F418" s="435"/>
      <c r="G418" s="9"/>
      <c r="H418" s="9"/>
      <c r="I418" s="9"/>
      <c r="J418" s="9"/>
      <c r="K418" s="9"/>
      <c r="L418" s="9"/>
      <c r="M418" s="9"/>
      <c r="N418" s="9"/>
      <c r="O418" s="9"/>
      <c r="P418" s="9"/>
      <c r="Q418" s="9"/>
      <c r="R418" s="9"/>
      <c r="S418" s="436"/>
      <c r="T418" s="436"/>
      <c r="U418" s="436"/>
      <c r="V418" s="436"/>
      <c r="W418" s="9"/>
      <c r="X418" s="9"/>
      <c r="Y418" s="9"/>
      <c r="Z418" s="9"/>
      <c r="AA418" s="9"/>
      <c r="AB418" s="9"/>
    </row>
    <row r="419">
      <c r="A419" s="9"/>
      <c r="B419" s="9"/>
      <c r="C419" s="9"/>
      <c r="D419" s="9"/>
      <c r="E419" s="9"/>
      <c r="F419" s="435"/>
      <c r="G419" s="9"/>
      <c r="H419" s="9"/>
      <c r="I419" s="9"/>
      <c r="J419" s="9"/>
      <c r="K419" s="9"/>
      <c r="L419" s="9"/>
      <c r="M419" s="9"/>
      <c r="N419" s="9"/>
      <c r="O419" s="9"/>
      <c r="P419" s="9"/>
      <c r="Q419" s="9"/>
      <c r="R419" s="9"/>
      <c r="S419" s="436"/>
      <c r="T419" s="436"/>
      <c r="U419" s="436"/>
      <c r="V419" s="436"/>
      <c r="W419" s="9"/>
      <c r="X419" s="9"/>
      <c r="Y419" s="9"/>
      <c r="Z419" s="9"/>
      <c r="AA419" s="9"/>
      <c r="AB419" s="9"/>
    </row>
    <row r="420">
      <c r="A420" s="9"/>
      <c r="B420" s="9"/>
      <c r="C420" s="9"/>
      <c r="D420" s="9"/>
      <c r="E420" s="9"/>
      <c r="F420" s="435"/>
      <c r="G420" s="9"/>
      <c r="H420" s="9"/>
      <c r="I420" s="9"/>
      <c r="J420" s="9"/>
      <c r="K420" s="9"/>
      <c r="L420" s="9"/>
      <c r="M420" s="9"/>
      <c r="N420" s="9"/>
      <c r="O420" s="9"/>
      <c r="P420" s="9"/>
      <c r="Q420" s="9"/>
      <c r="R420" s="9"/>
      <c r="S420" s="436"/>
      <c r="T420" s="436"/>
      <c r="U420" s="436"/>
      <c r="V420" s="436"/>
      <c r="W420" s="9"/>
      <c r="X420" s="9"/>
      <c r="Y420" s="9"/>
      <c r="Z420" s="9"/>
      <c r="AA420" s="9"/>
      <c r="AB420" s="9"/>
    </row>
    <row r="421">
      <c r="A421" s="9"/>
      <c r="B421" s="9"/>
      <c r="C421" s="9"/>
      <c r="D421" s="9"/>
      <c r="E421" s="9"/>
      <c r="F421" s="435"/>
      <c r="G421" s="9"/>
      <c r="H421" s="9"/>
      <c r="I421" s="9"/>
      <c r="J421" s="9"/>
      <c r="K421" s="9"/>
      <c r="L421" s="9"/>
      <c r="M421" s="9"/>
      <c r="N421" s="9"/>
      <c r="O421" s="9"/>
      <c r="P421" s="9"/>
      <c r="Q421" s="9"/>
      <c r="R421" s="9"/>
      <c r="S421" s="436"/>
      <c r="T421" s="436"/>
      <c r="U421" s="436"/>
      <c r="V421" s="436"/>
      <c r="W421" s="9"/>
      <c r="X421" s="9"/>
      <c r="Y421" s="9"/>
      <c r="Z421" s="9"/>
      <c r="AA421" s="9"/>
      <c r="AB421" s="9"/>
    </row>
    <row r="422">
      <c r="A422" s="9"/>
      <c r="B422" s="9"/>
      <c r="C422" s="9"/>
      <c r="D422" s="9"/>
      <c r="E422" s="9"/>
      <c r="F422" s="435"/>
      <c r="G422" s="9"/>
      <c r="H422" s="9"/>
      <c r="I422" s="9"/>
      <c r="J422" s="9"/>
      <c r="K422" s="9"/>
      <c r="L422" s="9"/>
      <c r="M422" s="9"/>
      <c r="N422" s="9"/>
      <c r="O422" s="9"/>
      <c r="P422" s="9"/>
      <c r="Q422" s="9"/>
      <c r="R422" s="9"/>
      <c r="S422" s="436"/>
      <c r="T422" s="436"/>
      <c r="U422" s="436"/>
      <c r="V422" s="436"/>
      <c r="W422" s="9"/>
      <c r="X422" s="9"/>
      <c r="Y422" s="9"/>
      <c r="Z422" s="9"/>
      <c r="AA422" s="9"/>
      <c r="AB422" s="9"/>
    </row>
    <row r="423">
      <c r="A423" s="9"/>
      <c r="B423" s="9"/>
      <c r="C423" s="9"/>
      <c r="D423" s="9"/>
      <c r="E423" s="9"/>
      <c r="F423" s="435"/>
      <c r="G423" s="9"/>
      <c r="H423" s="9"/>
      <c r="I423" s="9"/>
      <c r="J423" s="9"/>
      <c r="K423" s="9"/>
      <c r="L423" s="9"/>
      <c r="M423" s="9"/>
      <c r="N423" s="9"/>
      <c r="O423" s="9"/>
      <c r="P423" s="9"/>
      <c r="Q423" s="9"/>
      <c r="R423" s="9"/>
      <c r="S423" s="436"/>
      <c r="T423" s="436"/>
      <c r="U423" s="436"/>
      <c r="V423" s="436"/>
      <c r="W423" s="9"/>
      <c r="X423" s="9"/>
      <c r="Y423" s="9"/>
      <c r="Z423" s="9"/>
      <c r="AA423" s="9"/>
      <c r="AB423" s="9"/>
    </row>
    <row r="424">
      <c r="A424" s="9"/>
      <c r="B424" s="9"/>
      <c r="C424" s="9"/>
      <c r="D424" s="9"/>
      <c r="E424" s="9"/>
      <c r="F424" s="435"/>
      <c r="G424" s="9"/>
      <c r="H424" s="9"/>
      <c r="I424" s="9"/>
      <c r="J424" s="9"/>
      <c r="K424" s="9"/>
      <c r="L424" s="9"/>
      <c r="M424" s="9"/>
      <c r="N424" s="9"/>
      <c r="O424" s="9"/>
      <c r="P424" s="9"/>
      <c r="Q424" s="9"/>
      <c r="R424" s="9"/>
      <c r="S424" s="436"/>
      <c r="T424" s="436"/>
      <c r="U424" s="436"/>
      <c r="V424" s="436"/>
      <c r="W424" s="9"/>
      <c r="X424" s="9"/>
      <c r="Y424" s="9"/>
      <c r="Z424" s="9"/>
      <c r="AA424" s="9"/>
      <c r="AB424" s="9"/>
    </row>
    <row r="425">
      <c r="A425" s="9"/>
      <c r="B425" s="9"/>
      <c r="C425" s="9"/>
      <c r="D425" s="9"/>
      <c r="E425" s="9"/>
      <c r="F425" s="435"/>
      <c r="G425" s="9"/>
      <c r="H425" s="9"/>
      <c r="I425" s="9"/>
      <c r="J425" s="9"/>
      <c r="K425" s="9"/>
      <c r="L425" s="9"/>
      <c r="M425" s="9"/>
      <c r="N425" s="9"/>
      <c r="O425" s="9"/>
      <c r="P425" s="9"/>
      <c r="Q425" s="9"/>
      <c r="R425" s="9"/>
      <c r="S425" s="436"/>
      <c r="T425" s="436"/>
      <c r="U425" s="436"/>
      <c r="V425" s="436"/>
      <c r="W425" s="9"/>
      <c r="X425" s="9"/>
      <c r="Y425" s="9"/>
      <c r="Z425" s="9"/>
      <c r="AA425" s="9"/>
      <c r="AB425" s="9"/>
    </row>
    <row r="426">
      <c r="A426" s="9"/>
      <c r="B426" s="9"/>
      <c r="C426" s="9"/>
      <c r="D426" s="9"/>
      <c r="E426" s="9"/>
      <c r="F426" s="435"/>
      <c r="G426" s="9"/>
      <c r="H426" s="9"/>
      <c r="I426" s="9"/>
      <c r="J426" s="9"/>
      <c r="K426" s="9"/>
      <c r="L426" s="9"/>
      <c r="M426" s="9"/>
      <c r="N426" s="9"/>
      <c r="O426" s="9"/>
      <c r="P426" s="9"/>
      <c r="Q426" s="9"/>
      <c r="R426" s="9"/>
      <c r="S426" s="436"/>
      <c r="T426" s="436"/>
      <c r="U426" s="436"/>
      <c r="V426" s="436"/>
      <c r="W426" s="9"/>
      <c r="X426" s="9"/>
      <c r="Y426" s="9"/>
      <c r="Z426" s="9"/>
      <c r="AA426" s="9"/>
      <c r="AB426" s="9"/>
    </row>
    <row r="427">
      <c r="A427" s="9"/>
      <c r="B427" s="9"/>
      <c r="C427" s="9"/>
      <c r="D427" s="9"/>
      <c r="E427" s="9"/>
      <c r="F427" s="435"/>
      <c r="G427" s="9"/>
      <c r="H427" s="9"/>
      <c r="I427" s="9"/>
      <c r="J427" s="9"/>
      <c r="K427" s="9"/>
      <c r="L427" s="9"/>
      <c r="M427" s="9"/>
      <c r="N427" s="9"/>
      <c r="O427" s="9"/>
      <c r="P427" s="9"/>
      <c r="Q427" s="9"/>
      <c r="R427" s="9"/>
      <c r="S427" s="436"/>
      <c r="T427" s="436"/>
      <c r="U427" s="436"/>
      <c r="V427" s="436"/>
      <c r="W427" s="9"/>
      <c r="X427" s="9"/>
      <c r="Y427" s="9"/>
      <c r="Z427" s="9"/>
      <c r="AA427" s="9"/>
      <c r="AB427" s="9"/>
    </row>
    <row r="428">
      <c r="A428" s="9"/>
      <c r="B428" s="9"/>
      <c r="C428" s="9"/>
      <c r="D428" s="9"/>
      <c r="E428" s="9"/>
      <c r="F428" s="435"/>
      <c r="G428" s="9"/>
      <c r="H428" s="9"/>
      <c r="I428" s="9"/>
      <c r="J428" s="9"/>
      <c r="K428" s="9"/>
      <c r="L428" s="9"/>
      <c r="M428" s="9"/>
      <c r="N428" s="9"/>
      <c r="O428" s="9"/>
      <c r="P428" s="9"/>
      <c r="Q428" s="9"/>
      <c r="R428" s="9"/>
      <c r="S428" s="436"/>
      <c r="T428" s="436"/>
      <c r="U428" s="436"/>
      <c r="V428" s="436"/>
      <c r="W428" s="9"/>
      <c r="X428" s="9"/>
      <c r="Y428" s="9"/>
      <c r="Z428" s="9"/>
      <c r="AA428" s="9"/>
      <c r="AB428" s="9"/>
    </row>
    <row r="429">
      <c r="A429" s="9"/>
      <c r="B429" s="9"/>
      <c r="C429" s="9"/>
      <c r="D429" s="9"/>
      <c r="E429" s="9"/>
      <c r="F429" s="435"/>
      <c r="G429" s="9"/>
      <c r="H429" s="9"/>
      <c r="I429" s="9"/>
      <c r="J429" s="9"/>
      <c r="K429" s="9"/>
      <c r="L429" s="9"/>
      <c r="M429" s="9"/>
      <c r="N429" s="9"/>
      <c r="O429" s="9"/>
      <c r="P429" s="9"/>
      <c r="Q429" s="9"/>
      <c r="R429" s="9"/>
      <c r="S429" s="436"/>
      <c r="T429" s="436"/>
      <c r="U429" s="436"/>
      <c r="V429" s="436"/>
      <c r="W429" s="9"/>
      <c r="X429" s="9"/>
      <c r="Y429" s="9"/>
      <c r="Z429" s="9"/>
      <c r="AA429" s="9"/>
      <c r="AB429" s="9"/>
    </row>
    <row r="430">
      <c r="A430" s="9"/>
      <c r="B430" s="9"/>
      <c r="C430" s="9"/>
      <c r="D430" s="9"/>
      <c r="E430" s="9"/>
      <c r="F430" s="435"/>
      <c r="G430" s="9"/>
      <c r="H430" s="9"/>
      <c r="I430" s="9"/>
      <c r="J430" s="9"/>
      <c r="K430" s="9"/>
      <c r="L430" s="9"/>
      <c r="M430" s="9"/>
      <c r="N430" s="9"/>
      <c r="O430" s="9"/>
      <c r="P430" s="9"/>
      <c r="Q430" s="9"/>
      <c r="R430" s="9"/>
      <c r="S430" s="436"/>
      <c r="T430" s="436"/>
      <c r="U430" s="436"/>
      <c r="V430" s="436"/>
      <c r="W430" s="9"/>
      <c r="X430" s="9"/>
      <c r="Y430" s="9"/>
      <c r="Z430" s="9"/>
      <c r="AA430" s="9"/>
      <c r="AB430" s="9"/>
    </row>
    <row r="431">
      <c r="A431" s="9"/>
      <c r="B431" s="9"/>
      <c r="C431" s="9"/>
      <c r="D431" s="9"/>
      <c r="E431" s="9"/>
      <c r="F431" s="435"/>
      <c r="G431" s="9"/>
      <c r="H431" s="9"/>
      <c r="I431" s="9"/>
      <c r="J431" s="9"/>
      <c r="K431" s="9"/>
      <c r="L431" s="9"/>
      <c r="M431" s="9"/>
      <c r="N431" s="9"/>
      <c r="O431" s="9"/>
      <c r="P431" s="9"/>
      <c r="Q431" s="9"/>
      <c r="R431" s="9"/>
      <c r="S431" s="436"/>
      <c r="T431" s="436"/>
      <c r="U431" s="436"/>
      <c r="V431" s="436"/>
      <c r="W431" s="9"/>
      <c r="X431" s="9"/>
      <c r="Y431" s="9"/>
      <c r="Z431" s="9"/>
      <c r="AA431" s="9"/>
      <c r="AB431" s="9"/>
    </row>
    <row r="432">
      <c r="A432" s="9"/>
      <c r="B432" s="9"/>
      <c r="C432" s="9"/>
      <c r="D432" s="9"/>
      <c r="E432" s="9"/>
      <c r="F432" s="435"/>
      <c r="G432" s="9"/>
      <c r="H432" s="9"/>
      <c r="I432" s="9"/>
      <c r="J432" s="9"/>
      <c r="K432" s="9"/>
      <c r="L432" s="9"/>
      <c r="M432" s="9"/>
      <c r="N432" s="9"/>
      <c r="O432" s="9"/>
      <c r="P432" s="9"/>
      <c r="Q432" s="9"/>
      <c r="R432" s="9"/>
      <c r="S432" s="436"/>
      <c r="T432" s="436"/>
      <c r="U432" s="436"/>
      <c r="V432" s="436"/>
      <c r="W432" s="9"/>
      <c r="X432" s="9"/>
      <c r="Y432" s="9"/>
      <c r="Z432" s="9"/>
      <c r="AA432" s="9"/>
      <c r="AB432" s="9"/>
    </row>
    <row r="433">
      <c r="A433" s="9"/>
      <c r="B433" s="9"/>
      <c r="C433" s="9"/>
      <c r="D433" s="9"/>
      <c r="E433" s="9"/>
      <c r="F433" s="435"/>
      <c r="G433" s="9"/>
      <c r="H433" s="9"/>
      <c r="I433" s="9"/>
      <c r="J433" s="9"/>
      <c r="K433" s="9"/>
      <c r="L433" s="9"/>
      <c r="M433" s="9"/>
      <c r="N433" s="9"/>
      <c r="O433" s="9"/>
      <c r="P433" s="9"/>
      <c r="Q433" s="9"/>
      <c r="R433" s="9"/>
      <c r="S433" s="436"/>
      <c r="T433" s="436"/>
      <c r="U433" s="436"/>
      <c r="V433" s="436"/>
      <c r="W433" s="9"/>
      <c r="X433" s="9"/>
      <c r="Y433" s="9"/>
      <c r="Z433" s="9"/>
      <c r="AA433" s="9"/>
      <c r="AB433" s="9"/>
    </row>
    <row r="434">
      <c r="A434" s="9"/>
      <c r="B434" s="9"/>
      <c r="C434" s="9"/>
      <c r="D434" s="9"/>
      <c r="E434" s="9"/>
      <c r="F434" s="435"/>
      <c r="G434" s="9"/>
      <c r="H434" s="9"/>
      <c r="I434" s="9"/>
      <c r="J434" s="9"/>
      <c r="K434" s="9"/>
      <c r="L434" s="9"/>
      <c r="M434" s="9"/>
      <c r="N434" s="9"/>
      <c r="O434" s="9"/>
      <c r="P434" s="9"/>
      <c r="Q434" s="9"/>
      <c r="R434" s="9"/>
      <c r="S434" s="436"/>
      <c r="T434" s="436"/>
      <c r="U434" s="436"/>
      <c r="V434" s="436"/>
      <c r="W434" s="9"/>
      <c r="X434" s="9"/>
      <c r="Y434" s="9"/>
      <c r="Z434" s="9"/>
      <c r="AA434" s="9"/>
      <c r="AB434" s="9"/>
    </row>
    <row r="435">
      <c r="A435" s="9"/>
      <c r="B435" s="9"/>
      <c r="C435" s="9"/>
      <c r="D435" s="9"/>
      <c r="E435" s="9"/>
      <c r="F435" s="435"/>
      <c r="G435" s="9"/>
      <c r="H435" s="9"/>
      <c r="I435" s="9"/>
      <c r="J435" s="9"/>
      <c r="K435" s="9"/>
      <c r="L435" s="9"/>
      <c r="M435" s="9"/>
      <c r="N435" s="9"/>
      <c r="O435" s="9"/>
      <c r="P435" s="9"/>
      <c r="Q435" s="9"/>
      <c r="R435" s="9"/>
      <c r="S435" s="436"/>
      <c r="T435" s="436"/>
      <c r="U435" s="436"/>
      <c r="V435" s="436"/>
      <c r="W435" s="9"/>
      <c r="X435" s="9"/>
      <c r="Y435" s="9"/>
      <c r="Z435" s="9"/>
      <c r="AA435" s="9"/>
      <c r="AB435" s="9"/>
    </row>
    <row r="436">
      <c r="A436" s="9"/>
      <c r="B436" s="9"/>
      <c r="C436" s="9"/>
      <c r="D436" s="9"/>
      <c r="E436" s="9"/>
      <c r="F436" s="435"/>
      <c r="G436" s="9"/>
      <c r="H436" s="9"/>
      <c r="I436" s="9"/>
      <c r="J436" s="9"/>
      <c r="K436" s="9"/>
      <c r="L436" s="9"/>
      <c r="M436" s="9"/>
      <c r="N436" s="9"/>
      <c r="O436" s="9"/>
      <c r="P436" s="9"/>
      <c r="Q436" s="9"/>
      <c r="R436" s="9"/>
      <c r="S436" s="436"/>
      <c r="T436" s="436"/>
      <c r="U436" s="436"/>
      <c r="V436" s="436"/>
      <c r="W436" s="9"/>
      <c r="X436" s="9"/>
      <c r="Y436" s="9"/>
      <c r="Z436" s="9"/>
      <c r="AA436" s="9"/>
      <c r="AB436" s="9"/>
    </row>
    <row r="437">
      <c r="A437" s="9"/>
      <c r="B437" s="9"/>
      <c r="C437" s="9"/>
      <c r="D437" s="9"/>
      <c r="E437" s="9"/>
      <c r="F437" s="435"/>
      <c r="G437" s="9"/>
      <c r="H437" s="9"/>
      <c r="I437" s="9"/>
      <c r="J437" s="9"/>
      <c r="K437" s="9"/>
      <c r="L437" s="9"/>
      <c r="M437" s="9"/>
      <c r="N437" s="9"/>
      <c r="O437" s="9"/>
      <c r="P437" s="9"/>
      <c r="Q437" s="9"/>
      <c r="R437" s="9"/>
      <c r="S437" s="436"/>
      <c r="T437" s="436"/>
      <c r="U437" s="436"/>
      <c r="V437" s="436"/>
      <c r="W437" s="9"/>
      <c r="X437" s="9"/>
      <c r="Y437" s="9"/>
      <c r="Z437" s="9"/>
      <c r="AA437" s="9"/>
      <c r="AB437" s="9"/>
    </row>
    <row r="438">
      <c r="A438" s="9"/>
      <c r="B438" s="9"/>
      <c r="C438" s="9"/>
      <c r="D438" s="9"/>
      <c r="E438" s="9"/>
      <c r="F438" s="435"/>
      <c r="G438" s="9"/>
      <c r="H438" s="9"/>
      <c r="I438" s="9"/>
      <c r="J438" s="9"/>
      <c r="K438" s="9"/>
      <c r="L438" s="9"/>
      <c r="M438" s="9"/>
      <c r="N438" s="9"/>
      <c r="O438" s="9"/>
      <c r="P438" s="9"/>
      <c r="Q438" s="9"/>
      <c r="R438" s="9"/>
      <c r="S438" s="436"/>
      <c r="T438" s="436"/>
      <c r="U438" s="436"/>
      <c r="V438" s="436"/>
      <c r="W438" s="9"/>
      <c r="X438" s="9"/>
      <c r="Y438" s="9"/>
      <c r="Z438" s="9"/>
      <c r="AA438" s="9"/>
      <c r="AB438" s="9"/>
    </row>
    <row r="439">
      <c r="A439" s="9"/>
      <c r="B439" s="9"/>
      <c r="C439" s="9"/>
      <c r="D439" s="9"/>
      <c r="E439" s="9"/>
      <c r="F439" s="435"/>
      <c r="G439" s="9"/>
      <c r="H439" s="9"/>
      <c r="I439" s="9"/>
      <c r="J439" s="9"/>
      <c r="K439" s="9"/>
      <c r="L439" s="9"/>
      <c r="M439" s="9"/>
      <c r="N439" s="9"/>
      <c r="O439" s="9"/>
      <c r="P439" s="9"/>
      <c r="Q439" s="9"/>
      <c r="R439" s="9"/>
      <c r="S439" s="436"/>
      <c r="T439" s="436"/>
      <c r="U439" s="436"/>
      <c r="V439" s="436"/>
      <c r="W439" s="9"/>
      <c r="X439" s="9"/>
      <c r="Y439" s="9"/>
      <c r="Z439" s="9"/>
      <c r="AA439" s="9"/>
      <c r="AB439" s="9"/>
    </row>
    <row r="440">
      <c r="A440" s="9"/>
      <c r="B440" s="9"/>
      <c r="C440" s="9"/>
      <c r="D440" s="9"/>
      <c r="E440" s="9"/>
      <c r="F440" s="435"/>
      <c r="G440" s="9"/>
      <c r="H440" s="9"/>
      <c r="I440" s="9"/>
      <c r="J440" s="9"/>
      <c r="K440" s="9"/>
      <c r="L440" s="9"/>
      <c r="M440" s="9"/>
      <c r="N440" s="9"/>
      <c r="O440" s="9"/>
      <c r="P440" s="9"/>
      <c r="Q440" s="9"/>
      <c r="R440" s="9"/>
      <c r="S440" s="436"/>
      <c r="T440" s="436"/>
      <c r="U440" s="436"/>
      <c r="V440" s="436"/>
      <c r="W440" s="9"/>
      <c r="X440" s="9"/>
      <c r="Y440" s="9"/>
      <c r="Z440" s="9"/>
      <c r="AA440" s="9"/>
      <c r="AB440" s="9"/>
    </row>
    <row r="441">
      <c r="A441" s="9"/>
      <c r="B441" s="9"/>
      <c r="C441" s="9"/>
      <c r="D441" s="9"/>
      <c r="E441" s="9"/>
      <c r="F441" s="435"/>
      <c r="G441" s="9"/>
      <c r="H441" s="9"/>
      <c r="I441" s="9"/>
      <c r="J441" s="9"/>
      <c r="K441" s="9"/>
      <c r="L441" s="9"/>
      <c r="M441" s="9"/>
      <c r="N441" s="9"/>
      <c r="O441" s="9"/>
      <c r="P441" s="9"/>
      <c r="Q441" s="9"/>
      <c r="R441" s="9"/>
      <c r="S441" s="436"/>
      <c r="T441" s="436"/>
      <c r="U441" s="436"/>
      <c r="V441" s="436"/>
      <c r="W441" s="9"/>
      <c r="X441" s="9"/>
      <c r="Y441" s="9"/>
      <c r="Z441" s="9"/>
      <c r="AA441" s="9"/>
      <c r="AB441" s="9"/>
    </row>
    <row r="442">
      <c r="A442" s="9"/>
      <c r="B442" s="9"/>
      <c r="C442" s="9"/>
      <c r="D442" s="9"/>
      <c r="E442" s="9"/>
      <c r="F442" s="435"/>
      <c r="G442" s="9"/>
      <c r="H442" s="9"/>
      <c r="I442" s="9"/>
      <c r="J442" s="9"/>
      <c r="K442" s="9"/>
      <c r="L442" s="9"/>
      <c r="M442" s="9"/>
      <c r="N442" s="9"/>
      <c r="O442" s="9"/>
      <c r="P442" s="9"/>
      <c r="Q442" s="9"/>
      <c r="R442" s="9"/>
      <c r="S442" s="436"/>
      <c r="T442" s="436"/>
      <c r="U442" s="436"/>
      <c r="V442" s="436"/>
      <c r="W442" s="9"/>
      <c r="X442" s="9"/>
      <c r="Y442" s="9"/>
      <c r="Z442" s="9"/>
      <c r="AA442" s="9"/>
      <c r="AB442" s="9"/>
    </row>
    <row r="443">
      <c r="A443" s="9"/>
      <c r="B443" s="9"/>
      <c r="C443" s="9"/>
      <c r="D443" s="9"/>
      <c r="E443" s="9"/>
      <c r="F443" s="435"/>
      <c r="G443" s="9"/>
      <c r="H443" s="9"/>
      <c r="I443" s="9"/>
      <c r="J443" s="9"/>
      <c r="K443" s="9"/>
      <c r="L443" s="9"/>
      <c r="M443" s="9"/>
      <c r="N443" s="9"/>
      <c r="O443" s="9"/>
      <c r="P443" s="9"/>
      <c r="Q443" s="9"/>
      <c r="R443" s="9"/>
      <c r="S443" s="436"/>
      <c r="T443" s="436"/>
      <c r="U443" s="436"/>
      <c r="V443" s="436"/>
      <c r="W443" s="9"/>
      <c r="X443" s="9"/>
      <c r="Y443" s="9"/>
      <c r="Z443" s="9"/>
      <c r="AA443" s="9"/>
      <c r="AB443" s="9"/>
    </row>
    <row r="444">
      <c r="A444" s="9"/>
      <c r="B444" s="9"/>
      <c r="C444" s="9"/>
      <c r="D444" s="9"/>
      <c r="E444" s="9"/>
      <c r="F444" s="435"/>
      <c r="G444" s="9"/>
      <c r="H444" s="9"/>
      <c r="I444" s="9"/>
      <c r="J444" s="9"/>
      <c r="K444" s="9"/>
      <c r="L444" s="9"/>
      <c r="M444" s="9"/>
      <c r="N444" s="9"/>
      <c r="O444" s="9"/>
      <c r="P444" s="9"/>
      <c r="Q444" s="9"/>
      <c r="R444" s="9"/>
      <c r="S444" s="436"/>
      <c r="T444" s="436"/>
      <c r="U444" s="436"/>
      <c r="V444" s="436"/>
      <c r="W444" s="9"/>
      <c r="X444" s="9"/>
      <c r="Y444" s="9"/>
      <c r="Z444" s="9"/>
      <c r="AA444" s="9"/>
      <c r="AB444" s="9"/>
    </row>
    <row r="445">
      <c r="A445" s="9"/>
      <c r="B445" s="9"/>
      <c r="C445" s="9"/>
      <c r="D445" s="9"/>
      <c r="E445" s="9"/>
      <c r="F445" s="435"/>
      <c r="G445" s="9"/>
      <c r="H445" s="9"/>
      <c r="I445" s="9"/>
      <c r="J445" s="9"/>
      <c r="K445" s="9"/>
      <c r="L445" s="9"/>
      <c r="M445" s="9"/>
      <c r="N445" s="9"/>
      <c r="O445" s="9"/>
      <c r="P445" s="9"/>
      <c r="Q445" s="9"/>
      <c r="R445" s="9"/>
      <c r="S445" s="436"/>
      <c r="T445" s="436"/>
      <c r="U445" s="436"/>
      <c r="V445" s="436"/>
      <c r="W445" s="9"/>
      <c r="X445" s="9"/>
      <c r="Y445" s="9"/>
      <c r="Z445" s="9"/>
      <c r="AA445" s="9"/>
      <c r="AB445" s="9"/>
    </row>
    <row r="446">
      <c r="A446" s="9"/>
      <c r="B446" s="9"/>
      <c r="C446" s="9"/>
      <c r="D446" s="9"/>
      <c r="E446" s="9"/>
      <c r="F446" s="435"/>
      <c r="G446" s="9"/>
      <c r="H446" s="9"/>
      <c r="I446" s="9"/>
      <c r="J446" s="9"/>
      <c r="K446" s="9"/>
      <c r="L446" s="9"/>
      <c r="M446" s="9"/>
      <c r="N446" s="9"/>
      <c r="O446" s="9"/>
      <c r="P446" s="9"/>
      <c r="Q446" s="9"/>
      <c r="R446" s="9"/>
      <c r="S446" s="436"/>
      <c r="T446" s="436"/>
      <c r="U446" s="436"/>
      <c r="V446" s="436"/>
      <c r="W446" s="9"/>
      <c r="X446" s="9"/>
      <c r="Y446" s="9"/>
      <c r="Z446" s="9"/>
      <c r="AA446" s="9"/>
      <c r="AB446" s="9"/>
    </row>
    <row r="447">
      <c r="A447" s="9"/>
      <c r="B447" s="9"/>
      <c r="C447" s="9"/>
      <c r="D447" s="9"/>
      <c r="E447" s="9"/>
      <c r="F447" s="435"/>
      <c r="G447" s="9"/>
      <c r="H447" s="9"/>
      <c r="I447" s="9"/>
      <c r="J447" s="9"/>
      <c r="K447" s="9"/>
      <c r="L447" s="9"/>
      <c r="M447" s="9"/>
      <c r="N447" s="9"/>
      <c r="O447" s="9"/>
      <c r="P447" s="9"/>
      <c r="Q447" s="9"/>
      <c r="R447" s="9"/>
      <c r="S447" s="436"/>
      <c r="T447" s="436"/>
      <c r="U447" s="436"/>
      <c r="V447" s="436"/>
      <c r="W447" s="9"/>
      <c r="X447" s="9"/>
      <c r="Y447" s="9"/>
      <c r="Z447" s="9"/>
      <c r="AA447" s="9"/>
      <c r="AB447" s="9"/>
    </row>
    <row r="448">
      <c r="A448" s="9"/>
      <c r="B448" s="9"/>
      <c r="C448" s="9"/>
      <c r="D448" s="9"/>
      <c r="E448" s="9"/>
      <c r="F448" s="435"/>
      <c r="G448" s="9"/>
      <c r="H448" s="9"/>
      <c r="I448" s="9"/>
      <c r="J448" s="9"/>
      <c r="K448" s="9"/>
      <c r="L448" s="9"/>
      <c r="M448" s="9"/>
      <c r="N448" s="9"/>
      <c r="O448" s="9"/>
      <c r="P448" s="9"/>
      <c r="Q448" s="9"/>
      <c r="R448" s="9"/>
      <c r="S448" s="436"/>
      <c r="T448" s="436"/>
      <c r="U448" s="436"/>
      <c r="V448" s="436"/>
      <c r="W448" s="9"/>
      <c r="X448" s="9"/>
      <c r="Y448" s="9"/>
      <c r="Z448" s="9"/>
      <c r="AA448" s="9"/>
      <c r="AB448" s="9"/>
    </row>
    <row r="449">
      <c r="A449" s="9"/>
      <c r="B449" s="9"/>
      <c r="C449" s="9"/>
      <c r="D449" s="9"/>
      <c r="E449" s="9"/>
      <c r="F449" s="435"/>
      <c r="G449" s="9"/>
      <c r="H449" s="9"/>
      <c r="I449" s="9"/>
      <c r="J449" s="9"/>
      <c r="K449" s="9"/>
      <c r="L449" s="9"/>
      <c r="M449" s="9"/>
      <c r="N449" s="9"/>
      <c r="O449" s="9"/>
      <c r="P449" s="9"/>
      <c r="Q449" s="9"/>
      <c r="R449" s="9"/>
      <c r="S449" s="436"/>
      <c r="T449" s="436"/>
      <c r="U449" s="436"/>
      <c r="V449" s="436"/>
      <c r="W449" s="9"/>
      <c r="X449" s="9"/>
      <c r="Y449" s="9"/>
      <c r="Z449" s="9"/>
      <c r="AA449" s="9"/>
      <c r="AB449" s="9"/>
    </row>
    <row r="450">
      <c r="A450" s="9"/>
      <c r="B450" s="9"/>
      <c r="C450" s="9"/>
      <c r="D450" s="9"/>
      <c r="E450" s="9"/>
      <c r="F450" s="435"/>
      <c r="G450" s="9"/>
      <c r="H450" s="9"/>
      <c r="I450" s="9"/>
      <c r="J450" s="9"/>
      <c r="K450" s="9"/>
      <c r="L450" s="9"/>
      <c r="M450" s="9"/>
      <c r="N450" s="9"/>
      <c r="O450" s="9"/>
      <c r="P450" s="9"/>
      <c r="Q450" s="9"/>
      <c r="R450" s="9"/>
      <c r="S450" s="436"/>
      <c r="T450" s="436"/>
      <c r="U450" s="436"/>
      <c r="V450" s="436"/>
      <c r="W450" s="9"/>
      <c r="X450" s="9"/>
      <c r="Y450" s="9"/>
      <c r="Z450" s="9"/>
      <c r="AA450" s="9"/>
      <c r="AB450" s="9"/>
    </row>
    <row r="451">
      <c r="A451" s="9"/>
      <c r="B451" s="9"/>
      <c r="C451" s="9"/>
      <c r="D451" s="9"/>
      <c r="E451" s="9"/>
      <c r="F451" s="435"/>
      <c r="G451" s="9"/>
      <c r="H451" s="9"/>
      <c r="I451" s="9"/>
      <c r="J451" s="9"/>
      <c r="K451" s="9"/>
      <c r="L451" s="9"/>
      <c r="M451" s="9"/>
      <c r="N451" s="9"/>
      <c r="O451" s="9"/>
      <c r="P451" s="9"/>
      <c r="Q451" s="9"/>
      <c r="R451" s="9"/>
      <c r="S451" s="436"/>
      <c r="T451" s="436"/>
      <c r="U451" s="436"/>
      <c r="V451" s="436"/>
      <c r="W451" s="9"/>
      <c r="X451" s="9"/>
      <c r="Y451" s="9"/>
      <c r="Z451" s="9"/>
      <c r="AA451" s="9"/>
      <c r="AB451" s="9"/>
    </row>
    <row r="452">
      <c r="A452" s="9"/>
      <c r="B452" s="9"/>
      <c r="C452" s="9"/>
      <c r="D452" s="9"/>
      <c r="E452" s="9"/>
      <c r="F452" s="435"/>
      <c r="G452" s="9"/>
      <c r="H452" s="9"/>
      <c r="I452" s="9"/>
      <c r="J452" s="9"/>
      <c r="K452" s="9"/>
      <c r="L452" s="9"/>
      <c r="M452" s="9"/>
      <c r="N452" s="9"/>
      <c r="O452" s="9"/>
      <c r="P452" s="9"/>
      <c r="Q452" s="9"/>
      <c r="R452" s="9"/>
      <c r="S452" s="436"/>
      <c r="T452" s="436"/>
      <c r="U452" s="436"/>
      <c r="V452" s="436"/>
      <c r="W452" s="9"/>
      <c r="X452" s="9"/>
      <c r="Y452" s="9"/>
      <c r="Z452" s="9"/>
      <c r="AA452" s="9"/>
      <c r="AB452" s="9"/>
    </row>
    <row r="453">
      <c r="A453" s="9"/>
      <c r="B453" s="9"/>
      <c r="C453" s="9"/>
      <c r="D453" s="9"/>
      <c r="E453" s="9"/>
      <c r="F453" s="435"/>
      <c r="G453" s="9"/>
      <c r="H453" s="9"/>
      <c r="I453" s="9"/>
      <c r="J453" s="9"/>
      <c r="K453" s="9"/>
      <c r="L453" s="9"/>
      <c r="M453" s="9"/>
      <c r="N453" s="9"/>
      <c r="O453" s="9"/>
      <c r="P453" s="9"/>
      <c r="Q453" s="9"/>
      <c r="R453" s="9"/>
      <c r="S453" s="436"/>
      <c r="T453" s="436"/>
      <c r="U453" s="436"/>
      <c r="V453" s="436"/>
      <c r="W453" s="9"/>
      <c r="X453" s="9"/>
      <c r="Y453" s="9"/>
      <c r="Z453" s="9"/>
      <c r="AA453" s="9"/>
      <c r="AB453" s="9"/>
    </row>
    <row r="454">
      <c r="A454" s="9"/>
      <c r="B454" s="9"/>
      <c r="C454" s="9"/>
      <c r="D454" s="9"/>
      <c r="E454" s="9"/>
      <c r="F454" s="435"/>
      <c r="G454" s="9"/>
      <c r="H454" s="9"/>
      <c r="I454" s="9"/>
      <c r="J454" s="9"/>
      <c r="K454" s="9"/>
      <c r="L454" s="9"/>
      <c r="M454" s="9"/>
      <c r="N454" s="9"/>
      <c r="O454" s="9"/>
      <c r="P454" s="9"/>
      <c r="Q454" s="9"/>
      <c r="R454" s="9"/>
      <c r="S454" s="436"/>
      <c r="T454" s="436"/>
      <c r="U454" s="436"/>
      <c r="V454" s="436"/>
      <c r="W454" s="9"/>
      <c r="X454" s="9"/>
      <c r="Y454" s="9"/>
      <c r="Z454" s="9"/>
      <c r="AA454" s="9"/>
      <c r="AB454" s="9"/>
    </row>
    <row r="455">
      <c r="A455" s="9"/>
      <c r="B455" s="9"/>
      <c r="C455" s="9"/>
      <c r="D455" s="9"/>
      <c r="E455" s="9"/>
      <c r="F455" s="435"/>
      <c r="G455" s="9"/>
      <c r="H455" s="9"/>
      <c r="I455" s="9"/>
      <c r="J455" s="9"/>
      <c r="K455" s="9"/>
      <c r="L455" s="9"/>
      <c r="M455" s="9"/>
      <c r="N455" s="9"/>
      <c r="O455" s="9"/>
      <c r="P455" s="9"/>
      <c r="Q455" s="9"/>
      <c r="R455" s="9"/>
      <c r="S455" s="436"/>
      <c r="T455" s="436"/>
      <c r="U455" s="436"/>
      <c r="V455" s="436"/>
      <c r="W455" s="9"/>
      <c r="X455" s="9"/>
      <c r="Y455" s="9"/>
      <c r="Z455" s="9"/>
      <c r="AA455" s="9"/>
      <c r="AB455" s="9"/>
    </row>
    <row r="456">
      <c r="A456" s="9"/>
      <c r="B456" s="9"/>
      <c r="C456" s="9"/>
      <c r="D456" s="9"/>
      <c r="E456" s="9"/>
      <c r="F456" s="435"/>
      <c r="G456" s="9"/>
      <c r="H456" s="9"/>
      <c r="I456" s="9"/>
      <c r="J456" s="9"/>
      <c r="K456" s="9"/>
      <c r="L456" s="9"/>
      <c r="M456" s="9"/>
      <c r="N456" s="9"/>
      <c r="O456" s="9"/>
      <c r="P456" s="9"/>
      <c r="Q456" s="9"/>
      <c r="R456" s="9"/>
      <c r="S456" s="436"/>
      <c r="T456" s="436"/>
      <c r="U456" s="436"/>
      <c r="V456" s="436"/>
      <c r="W456" s="9"/>
      <c r="X456" s="9"/>
      <c r="Y456" s="9"/>
      <c r="Z456" s="9"/>
      <c r="AA456" s="9"/>
      <c r="AB456" s="9"/>
    </row>
    <row r="457">
      <c r="A457" s="9"/>
      <c r="B457" s="9"/>
      <c r="C457" s="9"/>
      <c r="D457" s="9"/>
      <c r="E457" s="9"/>
      <c r="F457" s="435"/>
      <c r="G457" s="9"/>
      <c r="H457" s="9"/>
      <c r="I457" s="9"/>
      <c r="J457" s="9"/>
      <c r="K457" s="9"/>
      <c r="L457" s="9"/>
      <c r="M457" s="9"/>
      <c r="N457" s="9"/>
      <c r="O457" s="9"/>
      <c r="P457" s="9"/>
      <c r="Q457" s="9"/>
      <c r="R457" s="9"/>
      <c r="S457" s="436"/>
      <c r="T457" s="436"/>
      <c r="U457" s="436"/>
      <c r="V457" s="436"/>
      <c r="W457" s="9"/>
      <c r="X457" s="9"/>
      <c r="Y457" s="9"/>
      <c r="Z457" s="9"/>
      <c r="AA457" s="9"/>
      <c r="AB457" s="9"/>
    </row>
    <row r="458">
      <c r="A458" s="9"/>
      <c r="B458" s="9"/>
      <c r="C458" s="9"/>
      <c r="D458" s="9"/>
      <c r="E458" s="9"/>
      <c r="F458" s="435"/>
      <c r="G458" s="9"/>
      <c r="H458" s="9"/>
      <c r="I458" s="9"/>
      <c r="J458" s="9"/>
      <c r="K458" s="9"/>
      <c r="L458" s="9"/>
      <c r="M458" s="9"/>
      <c r="N458" s="9"/>
      <c r="O458" s="9"/>
      <c r="P458" s="9"/>
      <c r="Q458" s="9"/>
      <c r="R458" s="9"/>
      <c r="S458" s="436"/>
      <c r="T458" s="436"/>
      <c r="U458" s="436"/>
      <c r="V458" s="436"/>
      <c r="W458" s="9"/>
      <c r="X458" s="9"/>
      <c r="Y458" s="9"/>
      <c r="Z458" s="9"/>
      <c r="AA458" s="9"/>
      <c r="AB458" s="9"/>
    </row>
    <row r="459">
      <c r="A459" s="9"/>
      <c r="B459" s="9"/>
      <c r="C459" s="9"/>
      <c r="D459" s="9"/>
      <c r="E459" s="9"/>
      <c r="F459" s="435"/>
      <c r="G459" s="9"/>
      <c r="H459" s="9"/>
      <c r="I459" s="9"/>
      <c r="J459" s="9"/>
      <c r="K459" s="9"/>
      <c r="L459" s="9"/>
      <c r="M459" s="9"/>
      <c r="N459" s="9"/>
      <c r="O459" s="9"/>
      <c r="P459" s="9"/>
      <c r="Q459" s="9"/>
      <c r="R459" s="9"/>
      <c r="S459" s="436"/>
      <c r="T459" s="436"/>
      <c r="U459" s="436"/>
      <c r="V459" s="436"/>
      <c r="W459" s="9"/>
      <c r="X459" s="9"/>
      <c r="Y459" s="9"/>
      <c r="Z459" s="9"/>
      <c r="AA459" s="9"/>
      <c r="AB459" s="9"/>
    </row>
    <row r="460">
      <c r="A460" s="9"/>
      <c r="B460" s="9"/>
      <c r="C460" s="9"/>
      <c r="D460" s="9"/>
      <c r="E460" s="9"/>
      <c r="F460" s="435"/>
      <c r="G460" s="9"/>
      <c r="H460" s="9"/>
      <c r="I460" s="9"/>
      <c r="J460" s="9"/>
      <c r="K460" s="9"/>
      <c r="L460" s="9"/>
      <c r="M460" s="9"/>
      <c r="N460" s="9"/>
      <c r="O460" s="9"/>
      <c r="P460" s="9"/>
      <c r="Q460" s="9"/>
      <c r="R460" s="9"/>
      <c r="S460" s="436"/>
      <c r="T460" s="436"/>
      <c r="U460" s="436"/>
      <c r="V460" s="436"/>
      <c r="W460" s="9"/>
      <c r="X460" s="9"/>
      <c r="Y460" s="9"/>
      <c r="Z460" s="9"/>
      <c r="AA460" s="9"/>
      <c r="AB460" s="9"/>
    </row>
    <row r="461">
      <c r="A461" s="9"/>
      <c r="B461" s="9"/>
      <c r="C461" s="9"/>
      <c r="D461" s="9"/>
      <c r="E461" s="9"/>
      <c r="F461" s="435"/>
      <c r="G461" s="9"/>
      <c r="H461" s="9"/>
      <c r="I461" s="9"/>
      <c r="J461" s="9"/>
      <c r="K461" s="9"/>
      <c r="L461" s="9"/>
      <c r="M461" s="9"/>
      <c r="N461" s="9"/>
      <c r="O461" s="9"/>
      <c r="P461" s="9"/>
      <c r="Q461" s="9"/>
      <c r="R461" s="9"/>
      <c r="S461" s="436"/>
      <c r="T461" s="436"/>
      <c r="U461" s="436"/>
      <c r="V461" s="436"/>
      <c r="W461" s="9"/>
      <c r="X461" s="9"/>
      <c r="Y461" s="9"/>
      <c r="Z461" s="9"/>
      <c r="AA461" s="9"/>
      <c r="AB461" s="9"/>
    </row>
    <row r="462">
      <c r="A462" s="9"/>
      <c r="B462" s="9"/>
      <c r="C462" s="9"/>
      <c r="D462" s="9"/>
      <c r="E462" s="9"/>
      <c r="F462" s="435"/>
      <c r="G462" s="9"/>
      <c r="H462" s="9"/>
      <c r="I462" s="9"/>
      <c r="J462" s="9"/>
      <c r="K462" s="9"/>
      <c r="L462" s="9"/>
      <c r="M462" s="9"/>
      <c r="N462" s="9"/>
      <c r="O462" s="9"/>
      <c r="P462" s="9"/>
      <c r="Q462" s="9"/>
      <c r="R462" s="9"/>
      <c r="S462" s="436"/>
      <c r="T462" s="436"/>
      <c r="U462" s="436"/>
      <c r="V462" s="436"/>
      <c r="W462" s="9"/>
      <c r="X462" s="9"/>
      <c r="Y462" s="9"/>
      <c r="Z462" s="9"/>
      <c r="AA462" s="9"/>
      <c r="AB462" s="9"/>
    </row>
    <row r="463">
      <c r="A463" s="9"/>
      <c r="B463" s="9"/>
      <c r="C463" s="9"/>
      <c r="D463" s="9"/>
      <c r="E463" s="9"/>
      <c r="F463" s="435"/>
      <c r="G463" s="9"/>
      <c r="H463" s="9"/>
      <c r="I463" s="9"/>
      <c r="J463" s="9"/>
      <c r="K463" s="9"/>
      <c r="L463" s="9"/>
      <c r="M463" s="9"/>
      <c r="N463" s="9"/>
      <c r="O463" s="9"/>
      <c r="P463" s="9"/>
      <c r="Q463" s="9"/>
      <c r="R463" s="9"/>
      <c r="S463" s="436"/>
      <c r="T463" s="436"/>
      <c r="U463" s="436"/>
      <c r="V463" s="436"/>
      <c r="W463" s="9"/>
      <c r="X463" s="9"/>
      <c r="Y463" s="9"/>
      <c r="Z463" s="9"/>
      <c r="AA463" s="9"/>
      <c r="AB463" s="9"/>
    </row>
    <row r="464">
      <c r="A464" s="9"/>
      <c r="B464" s="9"/>
      <c r="C464" s="9"/>
      <c r="D464" s="9"/>
      <c r="E464" s="9"/>
      <c r="F464" s="435"/>
      <c r="G464" s="9"/>
      <c r="H464" s="9"/>
      <c r="I464" s="9"/>
      <c r="J464" s="9"/>
      <c r="K464" s="9"/>
      <c r="L464" s="9"/>
      <c r="M464" s="9"/>
      <c r="N464" s="9"/>
      <c r="O464" s="9"/>
      <c r="P464" s="9"/>
      <c r="Q464" s="9"/>
      <c r="R464" s="9"/>
      <c r="S464" s="436"/>
      <c r="T464" s="436"/>
      <c r="U464" s="436"/>
      <c r="V464" s="436"/>
      <c r="W464" s="9"/>
      <c r="X464" s="9"/>
      <c r="Y464" s="9"/>
      <c r="Z464" s="9"/>
      <c r="AA464" s="9"/>
      <c r="AB464" s="9"/>
    </row>
    <row r="465">
      <c r="A465" s="9"/>
      <c r="B465" s="9"/>
      <c r="C465" s="9"/>
      <c r="D465" s="9"/>
      <c r="E465" s="9"/>
      <c r="F465" s="435"/>
      <c r="G465" s="9"/>
      <c r="H465" s="9"/>
      <c r="I465" s="9"/>
      <c r="J465" s="9"/>
      <c r="K465" s="9"/>
      <c r="L465" s="9"/>
      <c r="M465" s="9"/>
      <c r="N465" s="9"/>
      <c r="O465" s="9"/>
      <c r="P465" s="9"/>
      <c r="Q465" s="9"/>
      <c r="R465" s="9"/>
      <c r="S465" s="436"/>
      <c r="T465" s="436"/>
      <c r="U465" s="436"/>
      <c r="V465" s="436"/>
      <c r="W465" s="9"/>
      <c r="X465" s="9"/>
      <c r="Y465" s="9"/>
      <c r="Z465" s="9"/>
      <c r="AA465" s="9"/>
      <c r="AB465" s="9"/>
    </row>
    <row r="466">
      <c r="A466" s="9"/>
      <c r="B466" s="9"/>
      <c r="C466" s="9"/>
      <c r="D466" s="9"/>
      <c r="E466" s="9"/>
      <c r="F466" s="435"/>
      <c r="G466" s="9"/>
      <c r="H466" s="9"/>
      <c r="I466" s="9"/>
      <c r="J466" s="9"/>
      <c r="K466" s="9"/>
      <c r="L466" s="9"/>
      <c r="M466" s="9"/>
      <c r="N466" s="9"/>
      <c r="O466" s="9"/>
      <c r="P466" s="9"/>
      <c r="Q466" s="9"/>
      <c r="R466" s="9"/>
      <c r="S466" s="436"/>
      <c r="T466" s="436"/>
      <c r="U466" s="436"/>
      <c r="V466" s="436"/>
      <c r="W466" s="9"/>
      <c r="X466" s="9"/>
      <c r="Y466" s="9"/>
      <c r="Z466" s="9"/>
      <c r="AA466" s="9"/>
      <c r="AB466" s="9"/>
    </row>
    <row r="467">
      <c r="A467" s="9"/>
      <c r="B467" s="9"/>
      <c r="C467" s="9"/>
      <c r="D467" s="9"/>
      <c r="E467" s="9"/>
      <c r="F467" s="435"/>
      <c r="G467" s="9"/>
      <c r="H467" s="9"/>
      <c r="I467" s="9"/>
      <c r="J467" s="9"/>
      <c r="K467" s="9"/>
      <c r="L467" s="9"/>
      <c r="M467" s="9"/>
      <c r="N467" s="9"/>
      <c r="O467" s="9"/>
      <c r="P467" s="9"/>
      <c r="Q467" s="9"/>
      <c r="R467" s="9"/>
      <c r="S467" s="436"/>
      <c r="T467" s="436"/>
      <c r="U467" s="436"/>
      <c r="V467" s="436"/>
      <c r="W467" s="9"/>
      <c r="X467" s="9"/>
      <c r="Y467" s="9"/>
      <c r="Z467" s="9"/>
      <c r="AA467" s="9"/>
      <c r="AB467" s="9"/>
    </row>
    <row r="468">
      <c r="A468" s="9"/>
      <c r="B468" s="9"/>
      <c r="C468" s="9"/>
      <c r="D468" s="9"/>
      <c r="E468" s="9"/>
      <c r="F468" s="435"/>
      <c r="G468" s="9"/>
      <c r="H468" s="9"/>
      <c r="I468" s="9"/>
      <c r="J468" s="9"/>
      <c r="K468" s="9"/>
      <c r="L468" s="9"/>
      <c r="M468" s="9"/>
      <c r="N468" s="9"/>
      <c r="O468" s="9"/>
      <c r="P468" s="9"/>
      <c r="Q468" s="9"/>
      <c r="R468" s="9"/>
      <c r="S468" s="436"/>
      <c r="T468" s="436"/>
      <c r="U468" s="436"/>
      <c r="V468" s="436"/>
      <c r="W468" s="9"/>
      <c r="X468" s="9"/>
      <c r="Y468" s="9"/>
      <c r="Z468" s="9"/>
      <c r="AA468" s="9"/>
      <c r="AB468" s="9"/>
    </row>
    <row r="469">
      <c r="A469" s="9"/>
      <c r="B469" s="9"/>
      <c r="C469" s="9"/>
      <c r="D469" s="9"/>
      <c r="E469" s="9"/>
      <c r="F469" s="435"/>
      <c r="G469" s="9"/>
      <c r="H469" s="9"/>
      <c r="I469" s="9"/>
      <c r="J469" s="9"/>
      <c r="K469" s="9"/>
      <c r="L469" s="9"/>
      <c r="M469" s="9"/>
      <c r="N469" s="9"/>
      <c r="O469" s="9"/>
      <c r="P469" s="9"/>
      <c r="Q469" s="9"/>
      <c r="R469" s="9"/>
      <c r="S469" s="436"/>
      <c r="T469" s="436"/>
      <c r="U469" s="436"/>
      <c r="V469" s="436"/>
      <c r="W469" s="9"/>
      <c r="X469" s="9"/>
      <c r="Y469" s="9"/>
      <c r="Z469" s="9"/>
      <c r="AA469" s="9"/>
      <c r="AB469" s="9"/>
    </row>
    <row r="470">
      <c r="A470" s="9"/>
      <c r="B470" s="9"/>
      <c r="C470" s="9"/>
      <c r="D470" s="9"/>
      <c r="E470" s="9"/>
      <c r="F470" s="435"/>
      <c r="G470" s="9"/>
      <c r="H470" s="9"/>
      <c r="I470" s="9"/>
      <c r="J470" s="9"/>
      <c r="K470" s="9"/>
      <c r="L470" s="9"/>
      <c r="M470" s="9"/>
      <c r="N470" s="9"/>
      <c r="O470" s="9"/>
      <c r="P470" s="9"/>
      <c r="Q470" s="9"/>
      <c r="R470" s="9"/>
      <c r="S470" s="436"/>
      <c r="T470" s="436"/>
      <c r="U470" s="436"/>
      <c r="V470" s="436"/>
      <c r="W470" s="9"/>
      <c r="X470" s="9"/>
      <c r="Y470" s="9"/>
      <c r="Z470" s="9"/>
      <c r="AA470" s="9"/>
      <c r="AB470" s="9"/>
    </row>
    <row r="471">
      <c r="A471" s="9"/>
      <c r="B471" s="9"/>
      <c r="C471" s="9"/>
      <c r="D471" s="9"/>
      <c r="E471" s="9"/>
      <c r="F471" s="435"/>
      <c r="G471" s="9"/>
      <c r="H471" s="9"/>
      <c r="I471" s="9"/>
      <c r="J471" s="9"/>
      <c r="K471" s="9"/>
      <c r="L471" s="9"/>
      <c r="M471" s="9"/>
      <c r="N471" s="9"/>
      <c r="O471" s="9"/>
      <c r="P471" s="9"/>
      <c r="Q471" s="9"/>
      <c r="R471" s="9"/>
      <c r="S471" s="436"/>
      <c r="T471" s="436"/>
      <c r="U471" s="436"/>
      <c r="V471" s="436"/>
      <c r="W471" s="9"/>
      <c r="X471" s="9"/>
      <c r="Y471" s="9"/>
      <c r="Z471" s="9"/>
      <c r="AA471" s="9"/>
      <c r="AB471" s="9"/>
    </row>
    <row r="472">
      <c r="A472" s="9"/>
      <c r="B472" s="9"/>
      <c r="C472" s="9"/>
      <c r="D472" s="9"/>
      <c r="E472" s="9"/>
      <c r="F472" s="435"/>
      <c r="G472" s="9"/>
      <c r="H472" s="9"/>
      <c r="I472" s="9"/>
      <c r="J472" s="9"/>
      <c r="K472" s="9"/>
      <c r="L472" s="9"/>
      <c r="M472" s="9"/>
      <c r="N472" s="9"/>
      <c r="O472" s="9"/>
      <c r="P472" s="9"/>
      <c r="Q472" s="9"/>
      <c r="R472" s="9"/>
      <c r="S472" s="436"/>
      <c r="T472" s="436"/>
      <c r="U472" s="436"/>
      <c r="V472" s="436"/>
      <c r="W472" s="9"/>
      <c r="X472" s="9"/>
      <c r="Y472" s="9"/>
      <c r="Z472" s="9"/>
      <c r="AA472" s="9"/>
      <c r="AB472" s="9"/>
    </row>
    <row r="473">
      <c r="A473" s="9"/>
      <c r="B473" s="9"/>
      <c r="C473" s="9"/>
      <c r="D473" s="9"/>
      <c r="E473" s="9"/>
      <c r="F473" s="435"/>
      <c r="G473" s="9"/>
      <c r="H473" s="9"/>
      <c r="I473" s="9"/>
      <c r="J473" s="9"/>
      <c r="K473" s="9"/>
      <c r="L473" s="9"/>
      <c r="M473" s="9"/>
      <c r="N473" s="9"/>
      <c r="O473" s="9"/>
      <c r="P473" s="9"/>
      <c r="Q473" s="9"/>
      <c r="R473" s="9"/>
      <c r="S473" s="436"/>
      <c r="T473" s="436"/>
      <c r="U473" s="436"/>
      <c r="V473" s="436"/>
      <c r="W473" s="9"/>
      <c r="X473" s="9"/>
      <c r="Y473" s="9"/>
      <c r="Z473" s="9"/>
      <c r="AA473" s="9"/>
      <c r="AB473" s="9"/>
    </row>
    <row r="474">
      <c r="A474" s="9"/>
      <c r="B474" s="9"/>
      <c r="C474" s="9"/>
      <c r="D474" s="9"/>
      <c r="E474" s="9"/>
      <c r="F474" s="435"/>
      <c r="G474" s="9"/>
      <c r="H474" s="9"/>
      <c r="I474" s="9"/>
      <c r="J474" s="9"/>
      <c r="K474" s="9"/>
      <c r="L474" s="9"/>
      <c r="M474" s="9"/>
      <c r="N474" s="9"/>
      <c r="O474" s="9"/>
      <c r="P474" s="9"/>
      <c r="Q474" s="9"/>
      <c r="R474" s="9"/>
      <c r="S474" s="436"/>
      <c r="T474" s="436"/>
      <c r="U474" s="436"/>
      <c r="V474" s="436"/>
      <c r="W474" s="9"/>
      <c r="X474" s="9"/>
      <c r="Y474" s="9"/>
      <c r="Z474" s="9"/>
      <c r="AA474" s="9"/>
      <c r="AB474" s="9"/>
    </row>
    <row r="475">
      <c r="A475" s="9"/>
      <c r="B475" s="9"/>
      <c r="C475" s="9"/>
      <c r="D475" s="9"/>
      <c r="E475" s="9"/>
      <c r="F475" s="435"/>
      <c r="G475" s="9"/>
      <c r="H475" s="9"/>
      <c r="I475" s="9"/>
      <c r="J475" s="9"/>
      <c r="K475" s="9"/>
      <c r="L475" s="9"/>
      <c r="M475" s="9"/>
      <c r="N475" s="9"/>
      <c r="O475" s="9"/>
      <c r="P475" s="9"/>
      <c r="Q475" s="9"/>
      <c r="R475" s="9"/>
      <c r="S475" s="436"/>
      <c r="T475" s="436"/>
      <c r="U475" s="436"/>
      <c r="V475" s="436"/>
      <c r="W475" s="9"/>
      <c r="X475" s="9"/>
      <c r="Y475" s="9"/>
      <c r="Z475" s="9"/>
      <c r="AA475" s="9"/>
      <c r="AB475" s="9"/>
    </row>
    <row r="476">
      <c r="A476" s="9"/>
      <c r="B476" s="9"/>
      <c r="C476" s="9"/>
      <c r="D476" s="9"/>
      <c r="E476" s="9"/>
      <c r="F476" s="435"/>
      <c r="G476" s="9"/>
      <c r="H476" s="9"/>
      <c r="I476" s="9"/>
      <c r="J476" s="9"/>
      <c r="K476" s="9"/>
      <c r="L476" s="9"/>
      <c r="M476" s="9"/>
      <c r="N476" s="9"/>
      <c r="O476" s="9"/>
      <c r="P476" s="9"/>
      <c r="Q476" s="9"/>
      <c r="R476" s="9"/>
      <c r="S476" s="436"/>
      <c r="T476" s="436"/>
      <c r="U476" s="436"/>
      <c r="V476" s="436"/>
      <c r="W476" s="9"/>
      <c r="X476" s="9"/>
      <c r="Y476" s="9"/>
      <c r="Z476" s="9"/>
      <c r="AA476" s="9"/>
      <c r="AB476" s="9"/>
    </row>
    <row r="477">
      <c r="A477" s="9"/>
      <c r="B477" s="9"/>
      <c r="C477" s="9"/>
      <c r="D477" s="9"/>
      <c r="E477" s="9"/>
      <c r="F477" s="435"/>
      <c r="G477" s="9"/>
      <c r="H477" s="9"/>
      <c r="I477" s="9"/>
      <c r="J477" s="9"/>
      <c r="K477" s="9"/>
      <c r="L477" s="9"/>
      <c r="M477" s="9"/>
      <c r="N477" s="9"/>
      <c r="O477" s="9"/>
      <c r="P477" s="9"/>
      <c r="Q477" s="9"/>
      <c r="R477" s="9"/>
      <c r="S477" s="436"/>
      <c r="T477" s="436"/>
      <c r="U477" s="436"/>
      <c r="V477" s="436"/>
      <c r="W477" s="9"/>
      <c r="X477" s="9"/>
      <c r="Y477" s="9"/>
      <c r="Z477" s="9"/>
      <c r="AA477" s="9"/>
      <c r="AB477" s="9"/>
    </row>
    <row r="478">
      <c r="A478" s="9"/>
      <c r="B478" s="9"/>
      <c r="C478" s="9"/>
      <c r="D478" s="9"/>
      <c r="E478" s="9"/>
      <c r="F478" s="435"/>
      <c r="G478" s="9"/>
      <c r="H478" s="9"/>
      <c r="I478" s="9"/>
      <c r="J478" s="9"/>
      <c r="K478" s="9"/>
      <c r="L478" s="9"/>
      <c r="M478" s="9"/>
      <c r="N478" s="9"/>
      <c r="O478" s="9"/>
      <c r="P478" s="9"/>
      <c r="Q478" s="9"/>
      <c r="R478" s="9"/>
      <c r="S478" s="436"/>
      <c r="T478" s="436"/>
      <c r="U478" s="436"/>
      <c r="V478" s="436"/>
      <c r="W478" s="9"/>
      <c r="X478" s="9"/>
      <c r="Y478" s="9"/>
      <c r="Z478" s="9"/>
      <c r="AA478" s="9"/>
      <c r="AB478" s="9"/>
    </row>
    <row r="479">
      <c r="A479" s="9"/>
      <c r="B479" s="9"/>
      <c r="C479" s="9"/>
      <c r="D479" s="9"/>
      <c r="E479" s="9"/>
      <c r="F479" s="435"/>
      <c r="G479" s="9"/>
      <c r="H479" s="9"/>
      <c r="I479" s="9"/>
      <c r="J479" s="9"/>
      <c r="K479" s="9"/>
      <c r="L479" s="9"/>
      <c r="M479" s="9"/>
      <c r="N479" s="9"/>
      <c r="O479" s="9"/>
      <c r="P479" s="9"/>
      <c r="Q479" s="9"/>
      <c r="R479" s="9"/>
      <c r="S479" s="436"/>
      <c r="T479" s="436"/>
      <c r="U479" s="436"/>
      <c r="V479" s="436"/>
      <c r="W479" s="9"/>
      <c r="X479" s="9"/>
      <c r="Y479" s="9"/>
      <c r="Z479" s="9"/>
      <c r="AA479" s="9"/>
      <c r="AB479" s="9"/>
    </row>
    <row r="480">
      <c r="A480" s="9"/>
      <c r="B480" s="9"/>
      <c r="C480" s="9"/>
      <c r="D480" s="9"/>
      <c r="E480" s="9"/>
      <c r="F480" s="435"/>
      <c r="G480" s="9"/>
      <c r="H480" s="9"/>
      <c r="I480" s="9"/>
      <c r="J480" s="9"/>
      <c r="K480" s="9"/>
      <c r="L480" s="9"/>
      <c r="M480" s="9"/>
      <c r="N480" s="9"/>
      <c r="O480" s="9"/>
      <c r="P480" s="9"/>
      <c r="Q480" s="9"/>
      <c r="R480" s="9"/>
      <c r="S480" s="436"/>
      <c r="T480" s="436"/>
      <c r="U480" s="436"/>
      <c r="V480" s="436"/>
      <c r="W480" s="9"/>
      <c r="X480" s="9"/>
      <c r="Y480" s="9"/>
      <c r="Z480" s="9"/>
      <c r="AA480" s="9"/>
      <c r="AB480" s="9"/>
    </row>
    <row r="481">
      <c r="A481" s="9"/>
      <c r="B481" s="9"/>
      <c r="C481" s="9"/>
      <c r="D481" s="9"/>
      <c r="E481" s="9"/>
      <c r="F481" s="435"/>
      <c r="G481" s="9"/>
      <c r="H481" s="9"/>
      <c r="I481" s="9"/>
      <c r="J481" s="9"/>
      <c r="K481" s="9"/>
      <c r="L481" s="9"/>
      <c r="M481" s="9"/>
      <c r="N481" s="9"/>
      <c r="O481" s="9"/>
      <c r="P481" s="9"/>
      <c r="Q481" s="9"/>
      <c r="R481" s="9"/>
      <c r="S481" s="436"/>
      <c r="T481" s="436"/>
      <c r="U481" s="436"/>
      <c r="V481" s="436"/>
      <c r="W481" s="9"/>
      <c r="X481" s="9"/>
      <c r="Y481" s="9"/>
      <c r="Z481" s="9"/>
      <c r="AA481" s="9"/>
      <c r="AB481" s="9"/>
    </row>
    <row r="482">
      <c r="A482" s="9"/>
      <c r="B482" s="9"/>
      <c r="C482" s="9"/>
      <c r="D482" s="9"/>
      <c r="E482" s="9"/>
      <c r="F482" s="435"/>
      <c r="G482" s="9"/>
      <c r="H482" s="9"/>
      <c r="I482" s="9"/>
      <c r="J482" s="9"/>
      <c r="K482" s="9"/>
      <c r="L482" s="9"/>
      <c r="M482" s="9"/>
      <c r="N482" s="9"/>
      <c r="O482" s="9"/>
      <c r="P482" s="9"/>
      <c r="Q482" s="9"/>
      <c r="R482" s="9"/>
      <c r="S482" s="436"/>
      <c r="T482" s="436"/>
      <c r="U482" s="436"/>
      <c r="V482" s="436"/>
      <c r="W482" s="9"/>
      <c r="X482" s="9"/>
      <c r="Y482" s="9"/>
      <c r="Z482" s="9"/>
      <c r="AA482" s="9"/>
      <c r="AB482" s="9"/>
    </row>
    <row r="483">
      <c r="A483" s="9"/>
      <c r="B483" s="9"/>
      <c r="C483" s="9"/>
      <c r="D483" s="9"/>
      <c r="E483" s="9"/>
      <c r="F483" s="435"/>
      <c r="G483" s="9"/>
      <c r="H483" s="9"/>
      <c r="I483" s="9"/>
      <c r="J483" s="9"/>
      <c r="K483" s="9"/>
      <c r="L483" s="9"/>
      <c r="M483" s="9"/>
      <c r="N483" s="9"/>
      <c r="O483" s="9"/>
      <c r="P483" s="9"/>
      <c r="Q483" s="9"/>
      <c r="R483" s="9"/>
      <c r="S483" s="436"/>
      <c r="T483" s="436"/>
      <c r="U483" s="436"/>
      <c r="V483" s="436"/>
      <c r="W483" s="9"/>
      <c r="X483" s="9"/>
      <c r="Y483" s="9"/>
      <c r="Z483" s="9"/>
      <c r="AA483" s="9"/>
      <c r="AB483" s="9"/>
    </row>
    <row r="484">
      <c r="A484" s="9"/>
      <c r="B484" s="9"/>
      <c r="C484" s="9"/>
      <c r="D484" s="9"/>
      <c r="E484" s="9"/>
      <c r="F484" s="435"/>
      <c r="G484" s="9"/>
      <c r="H484" s="9"/>
      <c r="I484" s="9"/>
      <c r="J484" s="9"/>
      <c r="K484" s="9"/>
      <c r="L484" s="9"/>
      <c r="M484" s="9"/>
      <c r="N484" s="9"/>
      <c r="O484" s="9"/>
      <c r="P484" s="9"/>
      <c r="Q484" s="9"/>
      <c r="R484" s="9"/>
      <c r="S484" s="436"/>
      <c r="T484" s="436"/>
      <c r="U484" s="436"/>
      <c r="V484" s="436"/>
      <c r="W484" s="9"/>
      <c r="X484" s="9"/>
      <c r="Y484" s="9"/>
      <c r="Z484" s="9"/>
      <c r="AA484" s="9"/>
      <c r="AB484" s="9"/>
    </row>
    <row r="485">
      <c r="A485" s="9"/>
      <c r="B485" s="9"/>
      <c r="C485" s="9"/>
      <c r="D485" s="9"/>
      <c r="E485" s="9"/>
      <c r="F485" s="435"/>
      <c r="G485" s="9"/>
      <c r="H485" s="9"/>
      <c r="I485" s="9"/>
      <c r="J485" s="9"/>
      <c r="K485" s="9"/>
      <c r="L485" s="9"/>
      <c r="M485" s="9"/>
      <c r="N485" s="9"/>
      <c r="O485" s="9"/>
      <c r="P485" s="9"/>
      <c r="Q485" s="9"/>
      <c r="R485" s="9"/>
      <c r="S485" s="436"/>
      <c r="T485" s="436"/>
      <c r="U485" s="436"/>
      <c r="V485" s="436"/>
      <c r="W485" s="9"/>
      <c r="X485" s="9"/>
      <c r="Y485" s="9"/>
      <c r="Z485" s="9"/>
      <c r="AA485" s="9"/>
      <c r="AB485" s="9"/>
    </row>
    <row r="486">
      <c r="A486" s="9"/>
      <c r="B486" s="9"/>
      <c r="C486" s="9"/>
      <c r="D486" s="9"/>
      <c r="E486" s="9"/>
      <c r="F486" s="435"/>
      <c r="G486" s="9"/>
      <c r="H486" s="9"/>
      <c r="I486" s="9"/>
      <c r="J486" s="9"/>
      <c r="K486" s="9"/>
      <c r="L486" s="9"/>
      <c r="M486" s="9"/>
      <c r="N486" s="9"/>
      <c r="O486" s="9"/>
      <c r="P486" s="9"/>
      <c r="Q486" s="9"/>
      <c r="R486" s="9"/>
      <c r="S486" s="436"/>
      <c r="T486" s="436"/>
      <c r="U486" s="436"/>
      <c r="V486" s="436"/>
      <c r="W486" s="9"/>
      <c r="X486" s="9"/>
      <c r="Y486" s="9"/>
      <c r="Z486" s="9"/>
      <c r="AA486" s="9"/>
      <c r="AB486" s="9"/>
    </row>
    <row r="487">
      <c r="A487" s="9"/>
      <c r="B487" s="9"/>
      <c r="C487" s="9"/>
      <c r="D487" s="9"/>
      <c r="E487" s="9"/>
      <c r="F487" s="435"/>
      <c r="G487" s="9"/>
      <c r="H487" s="9"/>
      <c r="I487" s="9"/>
      <c r="J487" s="9"/>
      <c r="K487" s="9"/>
      <c r="L487" s="9"/>
      <c r="M487" s="9"/>
      <c r="N487" s="9"/>
      <c r="O487" s="9"/>
      <c r="P487" s="9"/>
      <c r="Q487" s="9"/>
      <c r="R487" s="9"/>
      <c r="S487" s="436"/>
      <c r="T487" s="436"/>
      <c r="U487" s="436"/>
      <c r="V487" s="436"/>
      <c r="W487" s="9"/>
      <c r="X487" s="9"/>
      <c r="Y487" s="9"/>
      <c r="Z487" s="9"/>
      <c r="AA487" s="9"/>
      <c r="AB487" s="9"/>
    </row>
    <row r="488">
      <c r="A488" s="9"/>
      <c r="B488" s="9"/>
      <c r="C488" s="9"/>
      <c r="D488" s="9"/>
      <c r="E488" s="9"/>
      <c r="F488" s="435"/>
      <c r="G488" s="9"/>
      <c r="H488" s="9"/>
      <c r="I488" s="9"/>
      <c r="J488" s="9"/>
      <c r="K488" s="9"/>
      <c r="L488" s="9"/>
      <c r="M488" s="9"/>
      <c r="N488" s="9"/>
      <c r="O488" s="9"/>
      <c r="P488" s="9"/>
      <c r="Q488" s="9"/>
      <c r="R488" s="9"/>
      <c r="S488" s="436"/>
      <c r="T488" s="436"/>
      <c r="U488" s="436"/>
      <c r="V488" s="436"/>
      <c r="W488" s="9"/>
      <c r="X488" s="9"/>
      <c r="Y488" s="9"/>
      <c r="Z488" s="9"/>
      <c r="AA488" s="9"/>
      <c r="AB488" s="9"/>
    </row>
    <row r="489">
      <c r="A489" s="9"/>
      <c r="B489" s="9"/>
      <c r="C489" s="9"/>
      <c r="D489" s="9"/>
      <c r="E489" s="9"/>
      <c r="F489" s="435"/>
      <c r="G489" s="9"/>
      <c r="H489" s="9"/>
      <c r="I489" s="9"/>
      <c r="J489" s="9"/>
      <c r="K489" s="9"/>
      <c r="L489" s="9"/>
      <c r="M489" s="9"/>
      <c r="N489" s="9"/>
      <c r="O489" s="9"/>
      <c r="P489" s="9"/>
      <c r="Q489" s="9"/>
      <c r="R489" s="9"/>
      <c r="S489" s="436"/>
      <c r="T489" s="436"/>
      <c r="U489" s="436"/>
      <c r="V489" s="436"/>
      <c r="W489" s="9"/>
      <c r="X489" s="9"/>
      <c r="Y489" s="9"/>
      <c r="Z489" s="9"/>
      <c r="AA489" s="9"/>
      <c r="AB489" s="9"/>
    </row>
    <row r="490">
      <c r="A490" s="9"/>
      <c r="B490" s="9"/>
      <c r="C490" s="9"/>
      <c r="D490" s="9"/>
      <c r="E490" s="9"/>
      <c r="F490" s="435"/>
      <c r="G490" s="9"/>
      <c r="H490" s="9"/>
      <c r="I490" s="9"/>
      <c r="J490" s="9"/>
      <c r="K490" s="9"/>
      <c r="L490" s="9"/>
      <c r="M490" s="9"/>
      <c r="N490" s="9"/>
      <c r="O490" s="9"/>
      <c r="P490" s="9"/>
      <c r="Q490" s="9"/>
      <c r="R490" s="9"/>
      <c r="S490" s="436"/>
      <c r="T490" s="436"/>
      <c r="U490" s="436"/>
      <c r="V490" s="436"/>
      <c r="W490" s="9"/>
      <c r="X490" s="9"/>
      <c r="Y490" s="9"/>
      <c r="Z490" s="9"/>
      <c r="AA490" s="9"/>
      <c r="AB490" s="9"/>
    </row>
    <row r="491">
      <c r="A491" s="9"/>
      <c r="B491" s="9"/>
      <c r="C491" s="9"/>
      <c r="D491" s="9"/>
      <c r="E491" s="9"/>
      <c r="F491" s="435"/>
      <c r="G491" s="9"/>
      <c r="H491" s="9"/>
      <c r="I491" s="9"/>
      <c r="J491" s="9"/>
      <c r="K491" s="9"/>
      <c r="L491" s="9"/>
      <c r="M491" s="9"/>
      <c r="N491" s="9"/>
      <c r="O491" s="9"/>
      <c r="P491" s="9"/>
      <c r="Q491" s="9"/>
      <c r="R491" s="9"/>
      <c r="S491" s="436"/>
      <c r="T491" s="436"/>
      <c r="U491" s="436"/>
      <c r="V491" s="436"/>
      <c r="W491" s="9"/>
      <c r="X491" s="9"/>
      <c r="Y491" s="9"/>
      <c r="Z491" s="9"/>
      <c r="AA491" s="9"/>
      <c r="AB491" s="9"/>
    </row>
    <row r="492">
      <c r="A492" s="9"/>
      <c r="B492" s="9"/>
      <c r="C492" s="9"/>
      <c r="D492" s="9"/>
      <c r="E492" s="9"/>
      <c r="F492" s="435"/>
      <c r="G492" s="9"/>
      <c r="H492" s="9"/>
      <c r="I492" s="9"/>
      <c r="J492" s="9"/>
      <c r="K492" s="9"/>
      <c r="L492" s="9"/>
      <c r="M492" s="9"/>
      <c r="N492" s="9"/>
      <c r="O492" s="9"/>
      <c r="P492" s="9"/>
      <c r="Q492" s="9"/>
      <c r="R492" s="9"/>
      <c r="S492" s="436"/>
      <c r="T492" s="436"/>
      <c r="U492" s="436"/>
      <c r="V492" s="436"/>
      <c r="W492" s="9"/>
      <c r="X492" s="9"/>
      <c r="Y492" s="9"/>
      <c r="Z492" s="9"/>
      <c r="AA492" s="9"/>
      <c r="AB492" s="9"/>
    </row>
    <row r="493">
      <c r="A493" s="9"/>
      <c r="B493" s="9"/>
      <c r="C493" s="9"/>
      <c r="D493" s="9"/>
      <c r="E493" s="9"/>
      <c r="F493" s="435"/>
      <c r="G493" s="9"/>
      <c r="H493" s="9"/>
      <c r="I493" s="9"/>
      <c r="J493" s="9"/>
      <c r="K493" s="9"/>
      <c r="L493" s="9"/>
      <c r="M493" s="9"/>
      <c r="N493" s="9"/>
      <c r="O493" s="9"/>
      <c r="P493" s="9"/>
      <c r="Q493" s="9"/>
      <c r="R493" s="9"/>
      <c r="S493" s="436"/>
      <c r="T493" s="436"/>
      <c r="U493" s="436"/>
      <c r="V493" s="436"/>
      <c r="W493" s="9"/>
      <c r="X493" s="9"/>
      <c r="Y493" s="9"/>
      <c r="Z493" s="9"/>
      <c r="AA493" s="9"/>
      <c r="AB493" s="9"/>
    </row>
    <row r="494">
      <c r="A494" s="9"/>
      <c r="B494" s="9"/>
      <c r="C494" s="9"/>
      <c r="D494" s="9"/>
      <c r="E494" s="9"/>
      <c r="F494" s="435"/>
      <c r="G494" s="9"/>
      <c r="H494" s="9"/>
      <c r="I494" s="9"/>
      <c r="J494" s="9"/>
      <c r="K494" s="9"/>
      <c r="L494" s="9"/>
      <c r="M494" s="9"/>
      <c r="N494" s="9"/>
      <c r="O494" s="9"/>
      <c r="P494" s="9"/>
      <c r="Q494" s="9"/>
      <c r="R494" s="9"/>
      <c r="S494" s="436"/>
      <c r="T494" s="436"/>
      <c r="U494" s="436"/>
      <c r="V494" s="436"/>
      <c r="W494" s="9"/>
      <c r="X494" s="9"/>
      <c r="Y494" s="9"/>
      <c r="Z494" s="9"/>
      <c r="AA494" s="9"/>
      <c r="AB494" s="9"/>
    </row>
    <row r="495">
      <c r="A495" s="9"/>
      <c r="B495" s="9"/>
      <c r="C495" s="9"/>
      <c r="D495" s="9"/>
      <c r="E495" s="9"/>
      <c r="F495" s="435"/>
      <c r="G495" s="9"/>
      <c r="H495" s="9"/>
      <c r="I495" s="9"/>
      <c r="J495" s="9"/>
      <c r="K495" s="9"/>
      <c r="L495" s="9"/>
      <c r="M495" s="9"/>
      <c r="N495" s="9"/>
      <c r="O495" s="9"/>
      <c r="P495" s="9"/>
      <c r="Q495" s="9"/>
      <c r="R495" s="9"/>
      <c r="S495" s="436"/>
      <c r="T495" s="436"/>
      <c r="U495" s="436"/>
      <c r="V495" s="436"/>
      <c r="W495" s="9"/>
      <c r="X495" s="9"/>
      <c r="Y495" s="9"/>
      <c r="Z495" s="9"/>
      <c r="AA495" s="9"/>
      <c r="AB495" s="9"/>
    </row>
    <row r="496">
      <c r="A496" s="9"/>
      <c r="B496" s="9"/>
      <c r="C496" s="9"/>
      <c r="D496" s="9"/>
      <c r="E496" s="9"/>
      <c r="F496" s="435"/>
      <c r="G496" s="9"/>
      <c r="H496" s="9"/>
      <c r="I496" s="9"/>
      <c r="J496" s="9"/>
      <c r="K496" s="9"/>
      <c r="L496" s="9"/>
      <c r="M496" s="9"/>
      <c r="N496" s="9"/>
      <c r="O496" s="9"/>
      <c r="P496" s="9"/>
      <c r="Q496" s="9"/>
      <c r="R496" s="9"/>
      <c r="S496" s="436"/>
      <c r="T496" s="436"/>
      <c r="U496" s="436"/>
      <c r="V496" s="436"/>
      <c r="W496" s="9"/>
      <c r="X496" s="9"/>
      <c r="Y496" s="9"/>
      <c r="Z496" s="9"/>
      <c r="AA496" s="9"/>
      <c r="AB496" s="9"/>
    </row>
    <row r="497">
      <c r="A497" s="9"/>
      <c r="B497" s="9"/>
      <c r="C497" s="9"/>
      <c r="D497" s="9"/>
      <c r="E497" s="9"/>
      <c r="F497" s="435"/>
      <c r="G497" s="9"/>
      <c r="H497" s="9"/>
      <c r="I497" s="9"/>
      <c r="J497" s="9"/>
      <c r="K497" s="9"/>
      <c r="L497" s="9"/>
      <c r="M497" s="9"/>
      <c r="N497" s="9"/>
      <c r="O497" s="9"/>
      <c r="P497" s="9"/>
      <c r="Q497" s="9"/>
      <c r="R497" s="9"/>
      <c r="S497" s="436"/>
      <c r="T497" s="436"/>
      <c r="U497" s="436"/>
      <c r="V497" s="436"/>
      <c r="W497" s="9"/>
      <c r="X497" s="9"/>
      <c r="Y497" s="9"/>
      <c r="Z497" s="9"/>
      <c r="AA497" s="9"/>
      <c r="AB497" s="9"/>
    </row>
    <row r="498">
      <c r="A498" s="9"/>
      <c r="B498" s="9"/>
      <c r="C498" s="9"/>
      <c r="D498" s="9"/>
      <c r="E498" s="9"/>
      <c r="F498" s="435"/>
      <c r="G498" s="9"/>
      <c r="H498" s="9"/>
      <c r="I498" s="9"/>
      <c r="J498" s="9"/>
      <c r="K498" s="9"/>
      <c r="L498" s="9"/>
      <c r="M498" s="9"/>
      <c r="N498" s="9"/>
      <c r="O498" s="9"/>
      <c r="P498" s="9"/>
      <c r="Q498" s="9"/>
      <c r="R498" s="9"/>
      <c r="S498" s="436"/>
      <c r="T498" s="436"/>
      <c r="U498" s="436"/>
      <c r="V498" s="436"/>
      <c r="W498" s="9"/>
      <c r="X498" s="9"/>
      <c r="Y498" s="9"/>
      <c r="Z498" s="9"/>
      <c r="AA498" s="9"/>
      <c r="AB498" s="9"/>
    </row>
    <row r="499">
      <c r="A499" s="9"/>
      <c r="B499" s="9"/>
      <c r="C499" s="9"/>
      <c r="D499" s="9"/>
      <c r="E499" s="9"/>
      <c r="F499" s="435"/>
      <c r="G499" s="9"/>
      <c r="H499" s="9"/>
      <c r="I499" s="9"/>
      <c r="J499" s="9"/>
      <c r="K499" s="9"/>
      <c r="L499" s="9"/>
      <c r="M499" s="9"/>
      <c r="N499" s="9"/>
      <c r="O499" s="9"/>
      <c r="P499" s="9"/>
      <c r="Q499" s="9"/>
      <c r="R499" s="9"/>
      <c r="S499" s="436"/>
      <c r="T499" s="436"/>
      <c r="U499" s="436"/>
      <c r="V499" s="436"/>
      <c r="W499" s="9"/>
      <c r="X499" s="9"/>
      <c r="Y499" s="9"/>
      <c r="Z499" s="9"/>
      <c r="AA499" s="9"/>
      <c r="AB499" s="9"/>
    </row>
    <row r="500">
      <c r="A500" s="9"/>
      <c r="B500" s="9"/>
      <c r="C500" s="9"/>
      <c r="D500" s="9"/>
      <c r="E500" s="9"/>
      <c r="F500" s="435"/>
      <c r="G500" s="9"/>
      <c r="H500" s="9"/>
      <c r="I500" s="9"/>
      <c r="J500" s="9"/>
      <c r="K500" s="9"/>
      <c r="L500" s="9"/>
      <c r="M500" s="9"/>
      <c r="N500" s="9"/>
      <c r="O500" s="9"/>
      <c r="P500" s="9"/>
      <c r="Q500" s="9"/>
      <c r="R500" s="9"/>
      <c r="S500" s="436"/>
      <c r="T500" s="436"/>
      <c r="U500" s="436"/>
      <c r="V500" s="436"/>
      <c r="W500" s="9"/>
      <c r="X500" s="9"/>
      <c r="Y500" s="9"/>
      <c r="Z500" s="9"/>
      <c r="AA500" s="9"/>
      <c r="AB500" s="9"/>
    </row>
    <row r="501">
      <c r="A501" s="9"/>
      <c r="B501" s="9"/>
      <c r="C501" s="9"/>
      <c r="D501" s="9"/>
      <c r="E501" s="9"/>
      <c r="F501" s="435"/>
      <c r="G501" s="9"/>
      <c r="H501" s="9"/>
      <c r="I501" s="9"/>
      <c r="J501" s="9"/>
      <c r="K501" s="9"/>
      <c r="L501" s="9"/>
      <c r="M501" s="9"/>
      <c r="N501" s="9"/>
      <c r="O501" s="9"/>
      <c r="P501" s="9"/>
      <c r="Q501" s="9"/>
      <c r="R501" s="9"/>
      <c r="S501" s="436"/>
      <c r="T501" s="436"/>
      <c r="U501" s="436"/>
      <c r="V501" s="436"/>
      <c r="W501" s="9"/>
      <c r="X501" s="9"/>
      <c r="Y501" s="9"/>
      <c r="Z501" s="9"/>
      <c r="AA501" s="9"/>
      <c r="AB501" s="9"/>
    </row>
    <row r="502">
      <c r="A502" s="9"/>
      <c r="B502" s="9"/>
      <c r="C502" s="9"/>
      <c r="D502" s="9"/>
      <c r="E502" s="9"/>
      <c r="F502" s="435"/>
      <c r="G502" s="9"/>
      <c r="H502" s="9"/>
      <c r="I502" s="9"/>
      <c r="J502" s="9"/>
      <c r="K502" s="9"/>
      <c r="L502" s="9"/>
      <c r="M502" s="9"/>
      <c r="N502" s="9"/>
      <c r="O502" s="9"/>
      <c r="P502" s="9"/>
      <c r="Q502" s="9"/>
      <c r="R502" s="9"/>
      <c r="S502" s="436"/>
      <c r="T502" s="436"/>
      <c r="U502" s="436"/>
      <c r="V502" s="436"/>
      <c r="W502" s="9"/>
      <c r="X502" s="9"/>
      <c r="Y502" s="9"/>
      <c r="Z502" s="9"/>
      <c r="AA502" s="9"/>
      <c r="AB502" s="9"/>
    </row>
    <row r="503">
      <c r="A503" s="9"/>
      <c r="B503" s="9"/>
      <c r="C503" s="9"/>
      <c r="D503" s="9"/>
      <c r="E503" s="9"/>
      <c r="F503" s="435"/>
      <c r="G503" s="9"/>
      <c r="H503" s="9"/>
      <c r="I503" s="9"/>
      <c r="J503" s="9"/>
      <c r="K503" s="9"/>
      <c r="L503" s="9"/>
      <c r="M503" s="9"/>
      <c r="N503" s="9"/>
      <c r="O503" s="9"/>
      <c r="P503" s="9"/>
      <c r="Q503" s="9"/>
      <c r="R503" s="9"/>
      <c r="S503" s="436"/>
      <c r="T503" s="436"/>
      <c r="U503" s="436"/>
      <c r="V503" s="436"/>
      <c r="W503" s="9"/>
      <c r="X503" s="9"/>
      <c r="Y503" s="9"/>
      <c r="Z503" s="9"/>
      <c r="AA503" s="9"/>
      <c r="AB503" s="9"/>
    </row>
    <row r="504">
      <c r="A504" s="9"/>
      <c r="B504" s="9"/>
      <c r="C504" s="9"/>
      <c r="D504" s="9"/>
      <c r="E504" s="9"/>
      <c r="F504" s="435"/>
      <c r="G504" s="9"/>
      <c r="H504" s="9"/>
      <c r="I504" s="9"/>
      <c r="J504" s="9"/>
      <c r="K504" s="9"/>
      <c r="L504" s="9"/>
      <c r="M504" s="9"/>
      <c r="N504" s="9"/>
      <c r="O504" s="9"/>
      <c r="P504" s="9"/>
      <c r="Q504" s="9"/>
      <c r="R504" s="9"/>
      <c r="S504" s="436"/>
      <c r="T504" s="436"/>
      <c r="U504" s="436"/>
      <c r="V504" s="436"/>
      <c r="W504" s="9"/>
      <c r="X504" s="9"/>
      <c r="Y504" s="9"/>
      <c r="Z504" s="9"/>
      <c r="AA504" s="9"/>
      <c r="AB504" s="9"/>
    </row>
    <row r="505">
      <c r="A505" s="9"/>
      <c r="B505" s="9"/>
      <c r="C505" s="9"/>
      <c r="D505" s="9"/>
      <c r="E505" s="9"/>
      <c r="F505" s="435"/>
      <c r="G505" s="9"/>
      <c r="H505" s="9"/>
      <c r="I505" s="9"/>
      <c r="J505" s="9"/>
      <c r="K505" s="9"/>
      <c r="L505" s="9"/>
      <c r="M505" s="9"/>
      <c r="N505" s="9"/>
      <c r="O505" s="9"/>
      <c r="P505" s="9"/>
      <c r="Q505" s="9"/>
      <c r="R505" s="9"/>
      <c r="S505" s="436"/>
      <c r="T505" s="436"/>
      <c r="U505" s="436"/>
      <c r="V505" s="436"/>
      <c r="W505" s="9"/>
      <c r="X505" s="9"/>
      <c r="Y505" s="9"/>
      <c r="Z505" s="9"/>
      <c r="AA505" s="9"/>
      <c r="AB505" s="9"/>
    </row>
    <row r="506">
      <c r="A506" s="9"/>
      <c r="B506" s="9"/>
      <c r="C506" s="9"/>
      <c r="D506" s="9"/>
      <c r="E506" s="9"/>
      <c r="F506" s="435"/>
      <c r="G506" s="9"/>
      <c r="H506" s="9"/>
      <c r="I506" s="9"/>
      <c r="J506" s="9"/>
      <c r="K506" s="9"/>
      <c r="L506" s="9"/>
      <c r="M506" s="9"/>
      <c r="N506" s="9"/>
      <c r="O506" s="9"/>
      <c r="P506" s="9"/>
      <c r="Q506" s="9"/>
      <c r="R506" s="9"/>
      <c r="S506" s="436"/>
      <c r="T506" s="436"/>
      <c r="U506" s="436"/>
      <c r="V506" s="436"/>
      <c r="W506" s="9"/>
      <c r="X506" s="9"/>
      <c r="Y506" s="9"/>
      <c r="Z506" s="9"/>
      <c r="AA506" s="9"/>
      <c r="AB506" s="9"/>
    </row>
    <row r="507">
      <c r="A507" s="9"/>
      <c r="B507" s="9"/>
      <c r="C507" s="9"/>
      <c r="D507" s="9"/>
      <c r="E507" s="9"/>
      <c r="F507" s="435"/>
      <c r="G507" s="9"/>
      <c r="H507" s="9"/>
      <c r="I507" s="9"/>
      <c r="J507" s="9"/>
      <c r="K507" s="9"/>
      <c r="L507" s="9"/>
      <c r="M507" s="9"/>
      <c r="N507" s="9"/>
      <c r="O507" s="9"/>
      <c r="P507" s="9"/>
      <c r="Q507" s="9"/>
      <c r="R507" s="9"/>
      <c r="S507" s="436"/>
      <c r="T507" s="436"/>
      <c r="U507" s="436"/>
      <c r="V507" s="436"/>
      <c r="W507" s="9"/>
      <c r="X507" s="9"/>
      <c r="Y507" s="9"/>
      <c r="Z507" s="9"/>
      <c r="AA507" s="9"/>
      <c r="AB507" s="9"/>
    </row>
    <row r="508">
      <c r="A508" s="9"/>
      <c r="B508" s="9"/>
      <c r="C508" s="9"/>
      <c r="D508" s="9"/>
      <c r="E508" s="9"/>
      <c r="F508" s="435"/>
      <c r="G508" s="9"/>
      <c r="H508" s="9"/>
      <c r="I508" s="9"/>
      <c r="J508" s="9"/>
      <c r="K508" s="9"/>
      <c r="L508" s="9"/>
      <c r="M508" s="9"/>
      <c r="N508" s="9"/>
      <c r="O508" s="9"/>
      <c r="P508" s="9"/>
      <c r="Q508" s="9"/>
      <c r="R508" s="9"/>
      <c r="S508" s="436"/>
      <c r="T508" s="436"/>
      <c r="U508" s="436"/>
      <c r="V508" s="436"/>
      <c r="W508" s="9"/>
      <c r="X508" s="9"/>
      <c r="Y508" s="9"/>
      <c r="Z508" s="9"/>
      <c r="AA508" s="9"/>
      <c r="AB508" s="9"/>
    </row>
    <row r="509">
      <c r="A509" s="9"/>
      <c r="B509" s="9"/>
      <c r="C509" s="9"/>
      <c r="D509" s="9"/>
      <c r="E509" s="9"/>
      <c r="F509" s="435"/>
      <c r="G509" s="9"/>
      <c r="H509" s="9"/>
      <c r="I509" s="9"/>
      <c r="J509" s="9"/>
      <c r="K509" s="9"/>
      <c r="L509" s="9"/>
      <c r="M509" s="9"/>
      <c r="N509" s="9"/>
      <c r="O509" s="9"/>
      <c r="P509" s="9"/>
      <c r="Q509" s="9"/>
      <c r="R509" s="9"/>
      <c r="S509" s="436"/>
      <c r="T509" s="436"/>
      <c r="U509" s="436"/>
      <c r="V509" s="436"/>
      <c r="W509" s="9"/>
      <c r="X509" s="9"/>
      <c r="Y509" s="9"/>
      <c r="Z509" s="9"/>
      <c r="AA509" s="9"/>
      <c r="AB509" s="9"/>
    </row>
    <row r="510">
      <c r="A510" s="9"/>
      <c r="B510" s="9"/>
      <c r="C510" s="9"/>
      <c r="D510" s="9"/>
      <c r="E510" s="9"/>
      <c r="F510" s="435"/>
      <c r="G510" s="9"/>
      <c r="H510" s="9"/>
      <c r="I510" s="9"/>
      <c r="J510" s="9"/>
      <c r="K510" s="9"/>
      <c r="L510" s="9"/>
      <c r="M510" s="9"/>
      <c r="N510" s="9"/>
      <c r="O510" s="9"/>
      <c r="P510" s="9"/>
      <c r="Q510" s="9"/>
      <c r="R510" s="9"/>
      <c r="S510" s="436"/>
      <c r="T510" s="436"/>
      <c r="U510" s="436"/>
      <c r="V510" s="436"/>
      <c r="W510" s="9"/>
      <c r="X510" s="9"/>
      <c r="Y510" s="9"/>
      <c r="Z510" s="9"/>
      <c r="AA510" s="9"/>
      <c r="AB510" s="9"/>
    </row>
    <row r="511">
      <c r="A511" s="9"/>
      <c r="B511" s="9"/>
      <c r="C511" s="9"/>
      <c r="D511" s="9"/>
      <c r="E511" s="9"/>
      <c r="F511" s="435"/>
      <c r="G511" s="9"/>
      <c r="H511" s="9"/>
      <c r="I511" s="9"/>
      <c r="J511" s="9"/>
      <c r="K511" s="9"/>
      <c r="L511" s="9"/>
      <c r="M511" s="9"/>
      <c r="N511" s="9"/>
      <c r="O511" s="9"/>
      <c r="P511" s="9"/>
      <c r="Q511" s="9"/>
      <c r="R511" s="9"/>
      <c r="S511" s="436"/>
      <c r="T511" s="436"/>
      <c r="U511" s="436"/>
      <c r="V511" s="436"/>
      <c r="W511" s="9"/>
      <c r="X511" s="9"/>
      <c r="Y511" s="9"/>
      <c r="Z511" s="9"/>
      <c r="AA511" s="9"/>
      <c r="AB511" s="9"/>
    </row>
    <row r="512">
      <c r="A512" s="9"/>
      <c r="B512" s="9"/>
      <c r="C512" s="9"/>
      <c r="D512" s="9"/>
      <c r="E512" s="9"/>
      <c r="F512" s="435"/>
      <c r="G512" s="9"/>
      <c r="H512" s="9"/>
      <c r="I512" s="9"/>
      <c r="J512" s="9"/>
      <c r="K512" s="9"/>
      <c r="L512" s="9"/>
      <c r="M512" s="9"/>
      <c r="N512" s="9"/>
      <c r="O512" s="9"/>
      <c r="P512" s="9"/>
      <c r="Q512" s="9"/>
      <c r="R512" s="9"/>
      <c r="S512" s="436"/>
      <c r="T512" s="436"/>
      <c r="U512" s="436"/>
      <c r="V512" s="436"/>
      <c r="W512" s="9"/>
      <c r="X512" s="9"/>
      <c r="Y512" s="9"/>
      <c r="Z512" s="9"/>
      <c r="AA512" s="9"/>
      <c r="AB512" s="9"/>
    </row>
    <row r="513">
      <c r="A513" s="9"/>
      <c r="B513" s="9"/>
      <c r="C513" s="9"/>
      <c r="D513" s="9"/>
      <c r="E513" s="9"/>
      <c r="F513" s="435"/>
      <c r="G513" s="9"/>
      <c r="H513" s="9"/>
      <c r="I513" s="9"/>
      <c r="J513" s="9"/>
      <c r="K513" s="9"/>
      <c r="L513" s="9"/>
      <c r="M513" s="9"/>
      <c r="N513" s="9"/>
      <c r="O513" s="9"/>
      <c r="P513" s="9"/>
      <c r="Q513" s="9"/>
      <c r="R513" s="9"/>
      <c r="S513" s="436"/>
      <c r="T513" s="436"/>
      <c r="U513" s="436"/>
      <c r="V513" s="436"/>
      <c r="W513" s="9"/>
      <c r="X513" s="9"/>
      <c r="Y513" s="9"/>
      <c r="Z513" s="9"/>
      <c r="AA513" s="9"/>
      <c r="AB513" s="9"/>
    </row>
    <row r="514">
      <c r="A514" s="9"/>
      <c r="B514" s="9"/>
      <c r="C514" s="9"/>
      <c r="D514" s="9"/>
      <c r="E514" s="9"/>
      <c r="F514" s="435"/>
      <c r="G514" s="9"/>
      <c r="H514" s="9"/>
      <c r="I514" s="9"/>
      <c r="J514" s="9"/>
      <c r="K514" s="9"/>
      <c r="L514" s="9"/>
      <c r="M514" s="9"/>
      <c r="N514" s="9"/>
      <c r="O514" s="9"/>
      <c r="P514" s="9"/>
      <c r="Q514" s="9"/>
      <c r="R514" s="9"/>
      <c r="S514" s="436"/>
      <c r="T514" s="436"/>
      <c r="U514" s="436"/>
      <c r="V514" s="436"/>
      <c r="W514" s="9"/>
      <c r="X514" s="9"/>
      <c r="Y514" s="9"/>
      <c r="Z514" s="9"/>
      <c r="AA514" s="9"/>
      <c r="AB514" s="9"/>
    </row>
    <row r="515">
      <c r="A515" s="9"/>
      <c r="B515" s="9"/>
      <c r="C515" s="9"/>
      <c r="D515" s="9"/>
      <c r="E515" s="9"/>
      <c r="F515" s="435"/>
      <c r="G515" s="9"/>
      <c r="H515" s="9"/>
      <c r="I515" s="9"/>
      <c r="J515" s="9"/>
      <c r="K515" s="9"/>
      <c r="L515" s="9"/>
      <c r="M515" s="9"/>
      <c r="N515" s="9"/>
      <c r="O515" s="9"/>
      <c r="P515" s="9"/>
      <c r="Q515" s="9"/>
      <c r="R515" s="9"/>
      <c r="S515" s="436"/>
      <c r="T515" s="436"/>
      <c r="U515" s="436"/>
      <c r="V515" s="436"/>
      <c r="W515" s="9"/>
      <c r="X515" s="9"/>
      <c r="Y515" s="9"/>
      <c r="Z515" s="9"/>
      <c r="AA515" s="9"/>
      <c r="AB515" s="9"/>
    </row>
    <row r="516">
      <c r="A516" s="9"/>
      <c r="B516" s="9"/>
      <c r="C516" s="9"/>
      <c r="D516" s="9"/>
      <c r="E516" s="9"/>
      <c r="F516" s="435"/>
      <c r="G516" s="9"/>
      <c r="H516" s="9"/>
      <c r="I516" s="9"/>
      <c r="J516" s="9"/>
      <c r="K516" s="9"/>
      <c r="L516" s="9"/>
      <c r="M516" s="9"/>
      <c r="N516" s="9"/>
      <c r="O516" s="9"/>
      <c r="P516" s="9"/>
      <c r="Q516" s="9"/>
      <c r="R516" s="9"/>
      <c r="S516" s="436"/>
      <c r="T516" s="436"/>
      <c r="U516" s="436"/>
      <c r="V516" s="436"/>
      <c r="W516" s="9"/>
      <c r="X516" s="9"/>
      <c r="Y516" s="9"/>
      <c r="Z516" s="9"/>
      <c r="AA516" s="9"/>
      <c r="AB516" s="9"/>
    </row>
    <row r="517">
      <c r="A517" s="9"/>
      <c r="B517" s="9"/>
      <c r="C517" s="9"/>
      <c r="D517" s="9"/>
      <c r="E517" s="9"/>
      <c r="F517" s="435"/>
      <c r="G517" s="9"/>
      <c r="H517" s="9"/>
      <c r="I517" s="9"/>
      <c r="J517" s="9"/>
      <c r="K517" s="9"/>
      <c r="L517" s="9"/>
      <c r="M517" s="9"/>
      <c r="N517" s="9"/>
      <c r="O517" s="9"/>
      <c r="P517" s="9"/>
      <c r="Q517" s="9"/>
      <c r="R517" s="9"/>
      <c r="S517" s="436"/>
      <c r="T517" s="436"/>
      <c r="U517" s="436"/>
      <c r="V517" s="436"/>
      <c r="W517" s="9"/>
      <c r="X517" s="9"/>
      <c r="Y517" s="9"/>
      <c r="Z517" s="9"/>
      <c r="AA517" s="9"/>
      <c r="AB517" s="9"/>
    </row>
    <row r="518">
      <c r="A518" s="9"/>
      <c r="B518" s="9"/>
      <c r="C518" s="9"/>
      <c r="D518" s="9"/>
      <c r="E518" s="9"/>
      <c r="F518" s="435"/>
      <c r="G518" s="9"/>
      <c r="H518" s="9"/>
      <c r="I518" s="9"/>
      <c r="J518" s="9"/>
      <c r="K518" s="9"/>
      <c r="L518" s="9"/>
      <c r="M518" s="9"/>
      <c r="N518" s="9"/>
      <c r="O518" s="9"/>
      <c r="P518" s="9"/>
      <c r="Q518" s="9"/>
      <c r="R518" s="9"/>
      <c r="S518" s="436"/>
      <c r="T518" s="436"/>
      <c r="U518" s="436"/>
      <c r="V518" s="436"/>
      <c r="W518" s="9"/>
      <c r="X518" s="9"/>
      <c r="Y518" s="9"/>
      <c r="Z518" s="9"/>
      <c r="AA518" s="9"/>
      <c r="AB518" s="9"/>
    </row>
    <row r="519">
      <c r="A519" s="9"/>
      <c r="B519" s="9"/>
      <c r="C519" s="9"/>
      <c r="D519" s="9"/>
      <c r="E519" s="9"/>
      <c r="F519" s="435"/>
      <c r="G519" s="9"/>
      <c r="H519" s="9"/>
      <c r="I519" s="9"/>
      <c r="J519" s="9"/>
      <c r="K519" s="9"/>
      <c r="L519" s="9"/>
      <c r="M519" s="9"/>
      <c r="N519" s="9"/>
      <c r="O519" s="9"/>
      <c r="P519" s="9"/>
      <c r="Q519" s="9"/>
      <c r="R519" s="9"/>
      <c r="S519" s="436"/>
      <c r="T519" s="436"/>
      <c r="U519" s="436"/>
      <c r="V519" s="436"/>
      <c r="W519" s="9"/>
      <c r="X519" s="9"/>
      <c r="Y519" s="9"/>
      <c r="Z519" s="9"/>
      <c r="AA519" s="9"/>
      <c r="AB519" s="9"/>
    </row>
    <row r="520">
      <c r="A520" s="9"/>
      <c r="B520" s="9"/>
      <c r="C520" s="9"/>
      <c r="D520" s="9"/>
      <c r="E520" s="9"/>
      <c r="F520" s="435"/>
      <c r="G520" s="9"/>
      <c r="H520" s="9"/>
      <c r="I520" s="9"/>
      <c r="J520" s="9"/>
      <c r="K520" s="9"/>
      <c r="L520" s="9"/>
      <c r="M520" s="9"/>
      <c r="N520" s="9"/>
      <c r="O520" s="9"/>
      <c r="P520" s="9"/>
      <c r="Q520" s="9"/>
      <c r="R520" s="9"/>
      <c r="S520" s="436"/>
      <c r="T520" s="436"/>
      <c r="U520" s="436"/>
      <c r="V520" s="436"/>
      <c r="W520" s="9"/>
      <c r="X520" s="9"/>
      <c r="Y520" s="9"/>
      <c r="Z520" s="9"/>
      <c r="AA520" s="9"/>
      <c r="AB520" s="9"/>
    </row>
    <row r="521">
      <c r="A521" s="9"/>
      <c r="B521" s="9"/>
      <c r="C521" s="9"/>
      <c r="D521" s="9"/>
      <c r="E521" s="9"/>
      <c r="F521" s="435"/>
      <c r="G521" s="9"/>
      <c r="H521" s="9"/>
      <c r="I521" s="9"/>
      <c r="J521" s="9"/>
      <c r="K521" s="9"/>
      <c r="L521" s="9"/>
      <c r="M521" s="9"/>
      <c r="N521" s="9"/>
      <c r="O521" s="9"/>
      <c r="P521" s="9"/>
      <c r="Q521" s="9"/>
      <c r="R521" s="9"/>
      <c r="S521" s="436"/>
      <c r="T521" s="436"/>
      <c r="U521" s="436"/>
      <c r="V521" s="436"/>
      <c r="W521" s="9"/>
      <c r="X521" s="9"/>
      <c r="Y521" s="9"/>
      <c r="Z521" s="9"/>
      <c r="AA521" s="9"/>
      <c r="AB521" s="9"/>
    </row>
    <row r="522">
      <c r="A522" s="9"/>
      <c r="B522" s="9"/>
      <c r="C522" s="9"/>
      <c r="D522" s="9"/>
      <c r="E522" s="9"/>
      <c r="F522" s="435"/>
      <c r="G522" s="9"/>
      <c r="H522" s="9"/>
      <c r="I522" s="9"/>
      <c r="J522" s="9"/>
      <c r="K522" s="9"/>
      <c r="L522" s="9"/>
      <c r="M522" s="9"/>
      <c r="N522" s="9"/>
      <c r="O522" s="9"/>
      <c r="P522" s="9"/>
      <c r="Q522" s="9"/>
      <c r="R522" s="9"/>
      <c r="S522" s="436"/>
      <c r="T522" s="436"/>
      <c r="U522" s="436"/>
      <c r="V522" s="436"/>
      <c r="W522" s="9"/>
      <c r="X522" s="9"/>
      <c r="Y522" s="9"/>
      <c r="Z522" s="9"/>
      <c r="AA522" s="9"/>
      <c r="AB522" s="9"/>
    </row>
    <row r="523">
      <c r="A523" s="9"/>
      <c r="B523" s="9"/>
      <c r="C523" s="9"/>
      <c r="D523" s="9"/>
      <c r="E523" s="9"/>
      <c r="F523" s="435"/>
      <c r="G523" s="9"/>
      <c r="H523" s="9"/>
      <c r="I523" s="9"/>
      <c r="J523" s="9"/>
      <c r="K523" s="9"/>
      <c r="L523" s="9"/>
      <c r="M523" s="9"/>
      <c r="N523" s="9"/>
      <c r="O523" s="9"/>
      <c r="P523" s="9"/>
      <c r="Q523" s="9"/>
      <c r="R523" s="9"/>
      <c r="S523" s="436"/>
      <c r="T523" s="436"/>
      <c r="U523" s="436"/>
      <c r="V523" s="436"/>
      <c r="W523" s="9"/>
      <c r="X523" s="9"/>
      <c r="Y523" s="9"/>
      <c r="Z523" s="9"/>
      <c r="AA523" s="9"/>
      <c r="AB523" s="9"/>
    </row>
    <row r="524">
      <c r="A524" s="9"/>
      <c r="B524" s="9"/>
      <c r="C524" s="9"/>
      <c r="D524" s="9"/>
      <c r="E524" s="9"/>
      <c r="F524" s="435"/>
      <c r="G524" s="9"/>
      <c r="H524" s="9"/>
      <c r="I524" s="9"/>
      <c r="J524" s="9"/>
      <c r="K524" s="9"/>
      <c r="L524" s="9"/>
      <c r="M524" s="9"/>
      <c r="N524" s="9"/>
      <c r="O524" s="9"/>
      <c r="P524" s="9"/>
      <c r="Q524" s="9"/>
      <c r="R524" s="9"/>
      <c r="S524" s="436"/>
      <c r="T524" s="436"/>
      <c r="U524" s="436"/>
      <c r="V524" s="436"/>
      <c r="W524" s="9"/>
      <c r="X524" s="9"/>
      <c r="Y524" s="9"/>
      <c r="Z524" s="9"/>
      <c r="AA524" s="9"/>
      <c r="AB524" s="9"/>
    </row>
    <row r="525">
      <c r="A525" s="9"/>
      <c r="B525" s="9"/>
      <c r="C525" s="9"/>
      <c r="D525" s="9"/>
      <c r="E525" s="9"/>
      <c r="F525" s="435"/>
      <c r="G525" s="9"/>
      <c r="H525" s="9"/>
      <c r="I525" s="9"/>
      <c r="J525" s="9"/>
      <c r="K525" s="9"/>
      <c r="L525" s="9"/>
      <c r="M525" s="9"/>
      <c r="N525" s="9"/>
      <c r="O525" s="9"/>
      <c r="P525" s="9"/>
      <c r="Q525" s="9"/>
      <c r="R525" s="9"/>
      <c r="S525" s="436"/>
      <c r="T525" s="436"/>
      <c r="U525" s="436"/>
      <c r="V525" s="436"/>
      <c r="W525" s="9"/>
      <c r="X525" s="9"/>
      <c r="Y525" s="9"/>
      <c r="Z525" s="9"/>
      <c r="AA525" s="9"/>
      <c r="AB525" s="9"/>
    </row>
    <row r="526">
      <c r="A526" s="9"/>
      <c r="B526" s="9"/>
      <c r="C526" s="9"/>
      <c r="D526" s="9"/>
      <c r="E526" s="9"/>
      <c r="F526" s="435"/>
      <c r="G526" s="9"/>
      <c r="H526" s="9"/>
      <c r="I526" s="9"/>
      <c r="J526" s="9"/>
      <c r="K526" s="9"/>
      <c r="L526" s="9"/>
      <c r="M526" s="9"/>
      <c r="N526" s="9"/>
      <c r="O526" s="9"/>
      <c r="P526" s="9"/>
      <c r="Q526" s="9"/>
      <c r="R526" s="9"/>
      <c r="S526" s="436"/>
      <c r="T526" s="436"/>
      <c r="U526" s="436"/>
      <c r="V526" s="436"/>
      <c r="W526" s="9"/>
      <c r="X526" s="9"/>
      <c r="Y526" s="9"/>
      <c r="Z526" s="9"/>
      <c r="AA526" s="9"/>
      <c r="AB526" s="9"/>
    </row>
    <row r="527">
      <c r="A527" s="9"/>
      <c r="B527" s="9"/>
      <c r="C527" s="9"/>
      <c r="D527" s="9"/>
      <c r="E527" s="9"/>
      <c r="F527" s="435"/>
      <c r="G527" s="9"/>
      <c r="H527" s="9"/>
      <c r="I527" s="9"/>
      <c r="J527" s="9"/>
      <c r="K527" s="9"/>
      <c r="L527" s="9"/>
      <c r="M527" s="9"/>
      <c r="N527" s="9"/>
      <c r="O527" s="9"/>
      <c r="P527" s="9"/>
      <c r="Q527" s="9"/>
      <c r="R527" s="9"/>
      <c r="S527" s="436"/>
      <c r="T527" s="436"/>
      <c r="U527" s="436"/>
      <c r="V527" s="436"/>
      <c r="W527" s="9"/>
      <c r="X527" s="9"/>
      <c r="Y527" s="9"/>
      <c r="Z527" s="9"/>
      <c r="AA527" s="9"/>
      <c r="AB527" s="9"/>
    </row>
    <row r="528">
      <c r="A528" s="9"/>
      <c r="B528" s="9"/>
      <c r="C528" s="9"/>
      <c r="D528" s="9"/>
      <c r="E528" s="9"/>
      <c r="F528" s="435"/>
      <c r="G528" s="9"/>
      <c r="H528" s="9"/>
      <c r="I528" s="9"/>
      <c r="J528" s="9"/>
      <c r="K528" s="9"/>
      <c r="L528" s="9"/>
      <c r="M528" s="9"/>
      <c r="N528" s="9"/>
      <c r="O528" s="9"/>
      <c r="P528" s="9"/>
      <c r="Q528" s="9"/>
      <c r="R528" s="9"/>
      <c r="S528" s="436"/>
      <c r="T528" s="436"/>
      <c r="U528" s="436"/>
      <c r="V528" s="436"/>
      <c r="W528" s="9"/>
      <c r="X528" s="9"/>
      <c r="Y528" s="9"/>
      <c r="Z528" s="9"/>
      <c r="AA528" s="9"/>
      <c r="AB528" s="9"/>
    </row>
    <row r="529">
      <c r="A529" s="9"/>
      <c r="B529" s="9"/>
      <c r="C529" s="9"/>
      <c r="D529" s="9"/>
      <c r="E529" s="9"/>
      <c r="F529" s="435"/>
      <c r="G529" s="9"/>
      <c r="H529" s="9"/>
      <c r="I529" s="9"/>
      <c r="J529" s="9"/>
      <c r="K529" s="9"/>
      <c r="L529" s="9"/>
      <c r="M529" s="9"/>
      <c r="N529" s="9"/>
      <c r="O529" s="9"/>
      <c r="P529" s="9"/>
      <c r="Q529" s="9"/>
      <c r="R529" s="9"/>
      <c r="S529" s="436"/>
      <c r="T529" s="436"/>
      <c r="U529" s="436"/>
      <c r="V529" s="436"/>
      <c r="W529" s="9"/>
      <c r="X529" s="9"/>
      <c r="Y529" s="9"/>
      <c r="Z529" s="9"/>
      <c r="AA529" s="9"/>
      <c r="AB529" s="9"/>
    </row>
    <row r="530">
      <c r="A530" s="9"/>
      <c r="B530" s="9"/>
      <c r="C530" s="9"/>
      <c r="D530" s="9"/>
      <c r="E530" s="9"/>
      <c r="F530" s="435"/>
      <c r="G530" s="9"/>
      <c r="H530" s="9"/>
      <c r="I530" s="9"/>
      <c r="J530" s="9"/>
      <c r="K530" s="9"/>
      <c r="L530" s="9"/>
      <c r="M530" s="9"/>
      <c r="N530" s="9"/>
      <c r="O530" s="9"/>
      <c r="P530" s="9"/>
      <c r="Q530" s="9"/>
      <c r="R530" s="9"/>
      <c r="S530" s="436"/>
      <c r="T530" s="436"/>
      <c r="U530" s="436"/>
      <c r="V530" s="436"/>
      <c r="W530" s="9"/>
      <c r="X530" s="9"/>
      <c r="Y530" s="9"/>
      <c r="Z530" s="9"/>
      <c r="AA530" s="9"/>
      <c r="AB530" s="9"/>
    </row>
    <row r="531">
      <c r="A531" s="9"/>
      <c r="B531" s="9"/>
      <c r="C531" s="9"/>
      <c r="D531" s="9"/>
      <c r="E531" s="9"/>
      <c r="F531" s="435"/>
      <c r="G531" s="9"/>
      <c r="H531" s="9"/>
      <c r="I531" s="9"/>
      <c r="J531" s="9"/>
      <c r="K531" s="9"/>
      <c r="L531" s="9"/>
      <c r="M531" s="9"/>
      <c r="N531" s="9"/>
      <c r="O531" s="9"/>
      <c r="P531" s="9"/>
      <c r="Q531" s="9"/>
      <c r="R531" s="9"/>
      <c r="S531" s="436"/>
      <c r="T531" s="436"/>
      <c r="U531" s="436"/>
      <c r="V531" s="436"/>
      <c r="W531" s="9"/>
      <c r="X531" s="9"/>
      <c r="Y531" s="9"/>
      <c r="Z531" s="9"/>
      <c r="AA531" s="9"/>
      <c r="AB531" s="9"/>
    </row>
    <row r="532">
      <c r="A532" s="9"/>
      <c r="B532" s="9"/>
      <c r="C532" s="9"/>
      <c r="D532" s="9"/>
      <c r="E532" s="9"/>
      <c r="F532" s="435"/>
      <c r="G532" s="9"/>
      <c r="H532" s="9"/>
      <c r="I532" s="9"/>
      <c r="J532" s="9"/>
      <c r="K532" s="9"/>
      <c r="L532" s="9"/>
      <c r="M532" s="9"/>
      <c r="N532" s="9"/>
      <c r="O532" s="9"/>
      <c r="P532" s="9"/>
      <c r="Q532" s="9"/>
      <c r="R532" s="9"/>
      <c r="S532" s="436"/>
      <c r="T532" s="436"/>
      <c r="U532" s="436"/>
      <c r="V532" s="436"/>
      <c r="W532" s="9"/>
      <c r="X532" s="9"/>
      <c r="Y532" s="9"/>
      <c r="Z532" s="9"/>
      <c r="AA532" s="9"/>
      <c r="AB532" s="9"/>
    </row>
    <row r="533">
      <c r="A533" s="9"/>
      <c r="B533" s="9"/>
      <c r="C533" s="9"/>
      <c r="D533" s="9"/>
      <c r="E533" s="9"/>
      <c r="F533" s="435"/>
      <c r="G533" s="9"/>
      <c r="H533" s="9"/>
      <c r="I533" s="9"/>
      <c r="J533" s="9"/>
      <c r="K533" s="9"/>
      <c r="L533" s="9"/>
      <c r="M533" s="9"/>
      <c r="N533" s="9"/>
      <c r="O533" s="9"/>
      <c r="P533" s="9"/>
      <c r="Q533" s="9"/>
      <c r="R533" s="9"/>
      <c r="S533" s="436"/>
      <c r="T533" s="436"/>
      <c r="U533" s="436"/>
      <c r="V533" s="436"/>
      <c r="W533" s="9"/>
      <c r="X533" s="9"/>
      <c r="Y533" s="9"/>
      <c r="Z533" s="9"/>
      <c r="AA533" s="9"/>
      <c r="AB533" s="9"/>
    </row>
    <row r="534">
      <c r="A534" s="9"/>
      <c r="B534" s="9"/>
      <c r="C534" s="9"/>
      <c r="D534" s="9"/>
      <c r="E534" s="9"/>
      <c r="F534" s="435"/>
      <c r="G534" s="9"/>
      <c r="H534" s="9"/>
      <c r="I534" s="9"/>
      <c r="J534" s="9"/>
      <c r="K534" s="9"/>
      <c r="L534" s="9"/>
      <c r="M534" s="9"/>
      <c r="N534" s="9"/>
      <c r="O534" s="9"/>
      <c r="P534" s="9"/>
      <c r="Q534" s="9"/>
      <c r="R534" s="9"/>
      <c r="S534" s="436"/>
      <c r="T534" s="436"/>
      <c r="U534" s="436"/>
      <c r="V534" s="436"/>
      <c r="W534" s="9"/>
      <c r="X534" s="9"/>
      <c r="Y534" s="9"/>
      <c r="Z534" s="9"/>
      <c r="AA534" s="9"/>
      <c r="AB534" s="9"/>
    </row>
    <row r="535">
      <c r="A535" s="9"/>
      <c r="B535" s="9"/>
      <c r="C535" s="9"/>
      <c r="D535" s="9"/>
      <c r="E535" s="9"/>
      <c r="F535" s="435"/>
      <c r="G535" s="9"/>
      <c r="H535" s="9"/>
      <c r="I535" s="9"/>
      <c r="J535" s="9"/>
      <c r="K535" s="9"/>
      <c r="L535" s="9"/>
      <c r="M535" s="9"/>
      <c r="N535" s="9"/>
      <c r="O535" s="9"/>
      <c r="P535" s="9"/>
      <c r="Q535" s="9"/>
      <c r="R535" s="9"/>
      <c r="S535" s="436"/>
      <c r="T535" s="436"/>
      <c r="U535" s="436"/>
      <c r="V535" s="436"/>
      <c r="W535" s="9"/>
      <c r="X535" s="9"/>
      <c r="Y535" s="9"/>
      <c r="Z535" s="9"/>
      <c r="AA535" s="9"/>
      <c r="AB535" s="9"/>
    </row>
    <row r="536">
      <c r="A536" s="9"/>
      <c r="B536" s="9"/>
      <c r="C536" s="9"/>
      <c r="D536" s="9"/>
      <c r="E536" s="9"/>
      <c r="F536" s="435"/>
      <c r="G536" s="9"/>
      <c r="H536" s="9"/>
      <c r="I536" s="9"/>
      <c r="J536" s="9"/>
      <c r="K536" s="9"/>
      <c r="L536" s="9"/>
      <c r="M536" s="9"/>
      <c r="N536" s="9"/>
      <c r="O536" s="9"/>
      <c r="P536" s="9"/>
      <c r="Q536" s="9"/>
      <c r="R536" s="9"/>
      <c r="S536" s="436"/>
      <c r="T536" s="436"/>
      <c r="U536" s="436"/>
      <c r="V536" s="436"/>
      <c r="W536" s="9"/>
      <c r="X536" s="9"/>
      <c r="Y536" s="9"/>
      <c r="Z536" s="9"/>
      <c r="AA536" s="9"/>
      <c r="AB536" s="9"/>
    </row>
    <row r="537">
      <c r="A537" s="9"/>
      <c r="B537" s="9"/>
      <c r="C537" s="9"/>
      <c r="D537" s="9"/>
      <c r="E537" s="9"/>
      <c r="F537" s="435"/>
      <c r="G537" s="9"/>
      <c r="H537" s="9"/>
      <c r="I537" s="9"/>
      <c r="J537" s="9"/>
      <c r="K537" s="9"/>
      <c r="L537" s="9"/>
      <c r="M537" s="9"/>
      <c r="N537" s="9"/>
      <c r="O537" s="9"/>
      <c r="P537" s="9"/>
      <c r="Q537" s="9"/>
      <c r="R537" s="9"/>
      <c r="S537" s="436"/>
      <c r="T537" s="436"/>
      <c r="U537" s="436"/>
      <c r="V537" s="436"/>
      <c r="W537" s="9"/>
      <c r="X537" s="9"/>
      <c r="Y537" s="9"/>
      <c r="Z537" s="9"/>
      <c r="AA537" s="9"/>
      <c r="AB537" s="9"/>
    </row>
    <row r="538">
      <c r="A538" s="9"/>
      <c r="B538" s="9"/>
      <c r="C538" s="9"/>
      <c r="D538" s="9"/>
      <c r="E538" s="9"/>
      <c r="F538" s="435"/>
      <c r="G538" s="9"/>
      <c r="H538" s="9"/>
      <c r="I538" s="9"/>
      <c r="J538" s="9"/>
      <c r="K538" s="9"/>
      <c r="L538" s="9"/>
      <c r="M538" s="9"/>
      <c r="N538" s="9"/>
      <c r="O538" s="9"/>
      <c r="P538" s="9"/>
      <c r="Q538" s="9"/>
      <c r="R538" s="9"/>
      <c r="S538" s="436"/>
      <c r="T538" s="436"/>
      <c r="U538" s="436"/>
      <c r="V538" s="436"/>
      <c r="W538" s="9"/>
      <c r="X538" s="9"/>
      <c r="Y538" s="9"/>
      <c r="Z538" s="9"/>
      <c r="AA538" s="9"/>
      <c r="AB538" s="9"/>
    </row>
    <row r="539">
      <c r="A539" s="9"/>
      <c r="B539" s="9"/>
      <c r="C539" s="9"/>
      <c r="D539" s="9"/>
      <c r="E539" s="9"/>
      <c r="F539" s="435"/>
      <c r="G539" s="9"/>
      <c r="H539" s="9"/>
      <c r="I539" s="9"/>
      <c r="J539" s="9"/>
      <c r="K539" s="9"/>
      <c r="L539" s="9"/>
      <c r="M539" s="9"/>
      <c r="N539" s="9"/>
      <c r="O539" s="9"/>
      <c r="P539" s="9"/>
      <c r="Q539" s="9"/>
      <c r="R539" s="9"/>
      <c r="S539" s="436"/>
      <c r="T539" s="436"/>
      <c r="U539" s="436"/>
      <c r="V539" s="436"/>
      <c r="W539" s="9"/>
      <c r="X539" s="9"/>
      <c r="Y539" s="9"/>
      <c r="Z539" s="9"/>
      <c r="AA539" s="9"/>
      <c r="AB539" s="9"/>
    </row>
    <row r="540">
      <c r="A540" s="9"/>
      <c r="B540" s="9"/>
      <c r="C540" s="9"/>
      <c r="D540" s="9"/>
      <c r="E540" s="9"/>
      <c r="F540" s="435"/>
      <c r="G540" s="9"/>
      <c r="H540" s="9"/>
      <c r="I540" s="9"/>
      <c r="J540" s="9"/>
      <c r="K540" s="9"/>
      <c r="L540" s="9"/>
      <c r="M540" s="9"/>
      <c r="N540" s="9"/>
      <c r="O540" s="9"/>
      <c r="P540" s="9"/>
      <c r="Q540" s="9"/>
      <c r="R540" s="9"/>
      <c r="S540" s="436"/>
      <c r="T540" s="436"/>
      <c r="U540" s="436"/>
      <c r="V540" s="436"/>
      <c r="W540" s="9"/>
      <c r="X540" s="9"/>
      <c r="Y540" s="9"/>
      <c r="Z540" s="9"/>
      <c r="AA540" s="9"/>
      <c r="AB540" s="9"/>
    </row>
    <row r="541">
      <c r="A541" s="9"/>
      <c r="B541" s="9"/>
      <c r="C541" s="9"/>
      <c r="D541" s="9"/>
      <c r="E541" s="9"/>
      <c r="F541" s="435"/>
      <c r="G541" s="9"/>
      <c r="H541" s="9"/>
      <c r="I541" s="9"/>
      <c r="J541" s="9"/>
      <c r="K541" s="9"/>
      <c r="L541" s="9"/>
      <c r="M541" s="9"/>
      <c r="N541" s="9"/>
      <c r="O541" s="9"/>
      <c r="P541" s="9"/>
      <c r="Q541" s="9"/>
      <c r="R541" s="9"/>
      <c r="S541" s="436"/>
      <c r="T541" s="436"/>
      <c r="U541" s="436"/>
      <c r="V541" s="436"/>
      <c r="W541" s="9"/>
      <c r="X541" s="9"/>
      <c r="Y541" s="9"/>
      <c r="Z541" s="9"/>
      <c r="AA541" s="9"/>
      <c r="AB541" s="9"/>
    </row>
    <row r="542">
      <c r="A542" s="9"/>
      <c r="B542" s="9"/>
      <c r="C542" s="9"/>
      <c r="D542" s="9"/>
      <c r="E542" s="9"/>
      <c r="F542" s="435"/>
      <c r="G542" s="9"/>
      <c r="H542" s="9"/>
      <c r="I542" s="9"/>
      <c r="J542" s="9"/>
      <c r="K542" s="9"/>
      <c r="L542" s="9"/>
      <c r="M542" s="9"/>
      <c r="N542" s="9"/>
      <c r="O542" s="9"/>
      <c r="P542" s="9"/>
      <c r="Q542" s="9"/>
      <c r="R542" s="9"/>
      <c r="S542" s="436"/>
      <c r="T542" s="436"/>
      <c r="U542" s="436"/>
      <c r="V542" s="436"/>
      <c r="W542" s="9"/>
      <c r="X542" s="9"/>
      <c r="Y542" s="9"/>
      <c r="Z542" s="9"/>
      <c r="AA542" s="9"/>
      <c r="AB542" s="9"/>
    </row>
    <row r="543">
      <c r="A543" s="9"/>
      <c r="B543" s="9"/>
      <c r="C543" s="9"/>
      <c r="D543" s="9"/>
      <c r="E543" s="9"/>
      <c r="F543" s="435"/>
      <c r="G543" s="9"/>
      <c r="H543" s="9"/>
      <c r="I543" s="9"/>
      <c r="J543" s="9"/>
      <c r="K543" s="9"/>
      <c r="L543" s="9"/>
      <c r="M543" s="9"/>
      <c r="N543" s="9"/>
      <c r="O543" s="9"/>
      <c r="P543" s="9"/>
      <c r="Q543" s="9"/>
      <c r="R543" s="9"/>
      <c r="S543" s="436"/>
      <c r="T543" s="436"/>
      <c r="U543" s="436"/>
      <c r="V543" s="436"/>
      <c r="W543" s="9"/>
      <c r="X543" s="9"/>
      <c r="Y543" s="9"/>
      <c r="Z543" s="9"/>
      <c r="AA543" s="9"/>
      <c r="AB543" s="9"/>
    </row>
    <row r="544">
      <c r="A544" s="9"/>
      <c r="B544" s="9"/>
      <c r="C544" s="9"/>
      <c r="D544" s="9"/>
      <c r="E544" s="9"/>
      <c r="F544" s="435"/>
      <c r="G544" s="9"/>
      <c r="H544" s="9"/>
      <c r="I544" s="9"/>
      <c r="J544" s="9"/>
      <c r="K544" s="9"/>
      <c r="L544" s="9"/>
      <c r="M544" s="9"/>
      <c r="N544" s="9"/>
      <c r="O544" s="9"/>
      <c r="P544" s="9"/>
      <c r="Q544" s="9"/>
      <c r="R544" s="9"/>
      <c r="S544" s="436"/>
      <c r="T544" s="436"/>
      <c r="U544" s="436"/>
      <c r="V544" s="436"/>
      <c r="W544" s="9"/>
      <c r="X544" s="9"/>
      <c r="Y544" s="9"/>
      <c r="Z544" s="9"/>
      <c r="AA544" s="9"/>
      <c r="AB544" s="9"/>
    </row>
    <row r="545">
      <c r="A545" s="9"/>
      <c r="B545" s="9"/>
      <c r="C545" s="9"/>
      <c r="D545" s="9"/>
      <c r="E545" s="9"/>
      <c r="F545" s="435"/>
      <c r="G545" s="9"/>
      <c r="H545" s="9"/>
      <c r="I545" s="9"/>
      <c r="J545" s="9"/>
      <c r="K545" s="9"/>
      <c r="L545" s="9"/>
      <c r="M545" s="9"/>
      <c r="N545" s="9"/>
      <c r="O545" s="9"/>
      <c r="P545" s="9"/>
      <c r="Q545" s="9"/>
      <c r="R545" s="9"/>
      <c r="S545" s="436"/>
      <c r="T545" s="436"/>
      <c r="U545" s="436"/>
      <c r="V545" s="436"/>
      <c r="W545" s="9"/>
      <c r="X545" s="9"/>
      <c r="Y545" s="9"/>
      <c r="Z545" s="9"/>
      <c r="AA545" s="9"/>
      <c r="AB545" s="9"/>
    </row>
    <row r="546">
      <c r="A546" s="9"/>
      <c r="B546" s="9"/>
      <c r="C546" s="9"/>
      <c r="D546" s="9"/>
      <c r="E546" s="9"/>
      <c r="F546" s="435"/>
      <c r="G546" s="9"/>
      <c r="H546" s="9"/>
      <c r="I546" s="9"/>
      <c r="J546" s="9"/>
      <c r="K546" s="9"/>
      <c r="L546" s="9"/>
      <c r="M546" s="9"/>
      <c r="N546" s="9"/>
      <c r="O546" s="9"/>
      <c r="P546" s="9"/>
      <c r="Q546" s="9"/>
      <c r="R546" s="9"/>
      <c r="S546" s="436"/>
      <c r="T546" s="436"/>
      <c r="U546" s="436"/>
      <c r="V546" s="436"/>
      <c r="W546" s="9"/>
      <c r="X546" s="9"/>
      <c r="Y546" s="9"/>
      <c r="Z546" s="9"/>
      <c r="AA546" s="9"/>
      <c r="AB546" s="9"/>
    </row>
    <row r="547">
      <c r="A547" s="9"/>
      <c r="B547" s="9"/>
      <c r="C547" s="9"/>
      <c r="D547" s="9"/>
      <c r="E547" s="9"/>
      <c r="F547" s="435"/>
      <c r="G547" s="9"/>
      <c r="H547" s="9"/>
      <c r="I547" s="9"/>
      <c r="J547" s="9"/>
      <c r="K547" s="9"/>
      <c r="L547" s="9"/>
      <c r="M547" s="9"/>
      <c r="N547" s="9"/>
      <c r="O547" s="9"/>
      <c r="P547" s="9"/>
      <c r="Q547" s="9"/>
      <c r="R547" s="9"/>
      <c r="S547" s="436"/>
      <c r="T547" s="436"/>
      <c r="U547" s="436"/>
      <c r="V547" s="436"/>
      <c r="W547" s="9"/>
      <c r="X547" s="9"/>
      <c r="Y547" s="9"/>
      <c r="Z547" s="9"/>
      <c r="AA547" s="9"/>
      <c r="AB547" s="9"/>
    </row>
    <row r="548">
      <c r="A548" s="9"/>
      <c r="B548" s="9"/>
      <c r="C548" s="9"/>
      <c r="D548" s="9"/>
      <c r="E548" s="9"/>
      <c r="F548" s="435"/>
      <c r="G548" s="9"/>
      <c r="H548" s="9"/>
      <c r="I548" s="9"/>
      <c r="J548" s="9"/>
      <c r="K548" s="9"/>
      <c r="L548" s="9"/>
      <c r="M548" s="9"/>
      <c r="N548" s="9"/>
      <c r="O548" s="9"/>
      <c r="P548" s="9"/>
      <c r="Q548" s="9"/>
      <c r="R548" s="9"/>
      <c r="S548" s="436"/>
      <c r="T548" s="436"/>
      <c r="U548" s="436"/>
      <c r="V548" s="436"/>
      <c r="W548" s="9"/>
      <c r="X548" s="9"/>
      <c r="Y548" s="9"/>
      <c r="Z548" s="9"/>
      <c r="AA548" s="9"/>
      <c r="AB548" s="9"/>
    </row>
    <row r="549">
      <c r="A549" s="9"/>
      <c r="B549" s="9"/>
      <c r="C549" s="9"/>
      <c r="D549" s="9"/>
      <c r="E549" s="9"/>
      <c r="F549" s="435"/>
      <c r="G549" s="9"/>
      <c r="H549" s="9"/>
      <c r="I549" s="9"/>
      <c r="J549" s="9"/>
      <c r="K549" s="9"/>
      <c r="L549" s="9"/>
      <c r="M549" s="9"/>
      <c r="N549" s="9"/>
      <c r="O549" s="9"/>
      <c r="P549" s="9"/>
      <c r="Q549" s="9"/>
      <c r="R549" s="9"/>
      <c r="S549" s="436"/>
      <c r="T549" s="436"/>
      <c r="U549" s="436"/>
      <c r="V549" s="436"/>
      <c r="W549" s="9"/>
      <c r="X549" s="9"/>
      <c r="Y549" s="9"/>
      <c r="Z549" s="9"/>
      <c r="AA549" s="9"/>
      <c r="AB549" s="9"/>
    </row>
    <row r="550">
      <c r="A550" s="9"/>
      <c r="B550" s="9"/>
      <c r="C550" s="9"/>
      <c r="D550" s="9"/>
      <c r="E550" s="9"/>
      <c r="F550" s="435"/>
      <c r="G550" s="9"/>
      <c r="H550" s="9"/>
      <c r="I550" s="9"/>
      <c r="J550" s="9"/>
      <c r="K550" s="9"/>
      <c r="L550" s="9"/>
      <c r="M550" s="9"/>
      <c r="N550" s="9"/>
      <c r="O550" s="9"/>
      <c r="P550" s="9"/>
      <c r="Q550" s="9"/>
      <c r="R550" s="9"/>
      <c r="S550" s="436"/>
      <c r="T550" s="436"/>
      <c r="U550" s="436"/>
      <c r="V550" s="436"/>
      <c r="W550" s="9"/>
      <c r="X550" s="9"/>
      <c r="Y550" s="9"/>
      <c r="Z550" s="9"/>
      <c r="AA550" s="9"/>
      <c r="AB550" s="9"/>
    </row>
    <row r="551">
      <c r="A551" s="9"/>
      <c r="B551" s="9"/>
      <c r="C551" s="9"/>
      <c r="D551" s="9"/>
      <c r="E551" s="9"/>
      <c r="F551" s="435"/>
      <c r="G551" s="9"/>
      <c r="H551" s="9"/>
      <c r="I551" s="9"/>
      <c r="J551" s="9"/>
      <c r="K551" s="9"/>
      <c r="L551" s="9"/>
      <c r="M551" s="9"/>
      <c r="N551" s="9"/>
      <c r="O551" s="9"/>
      <c r="P551" s="9"/>
      <c r="Q551" s="9"/>
      <c r="R551" s="9"/>
      <c r="S551" s="436"/>
      <c r="T551" s="436"/>
      <c r="U551" s="436"/>
      <c r="V551" s="436"/>
      <c r="W551" s="9"/>
      <c r="X551" s="9"/>
      <c r="Y551" s="9"/>
      <c r="Z551" s="9"/>
      <c r="AA551" s="9"/>
      <c r="AB551" s="9"/>
    </row>
    <row r="552">
      <c r="A552" s="9"/>
      <c r="B552" s="9"/>
      <c r="C552" s="9"/>
      <c r="D552" s="9"/>
      <c r="E552" s="9"/>
      <c r="F552" s="435"/>
      <c r="G552" s="9"/>
      <c r="H552" s="9"/>
      <c r="I552" s="9"/>
      <c r="J552" s="9"/>
      <c r="K552" s="9"/>
      <c r="L552" s="9"/>
      <c r="M552" s="9"/>
      <c r="N552" s="9"/>
      <c r="O552" s="9"/>
      <c r="P552" s="9"/>
      <c r="Q552" s="9"/>
      <c r="R552" s="9"/>
      <c r="S552" s="436"/>
      <c r="T552" s="436"/>
      <c r="U552" s="436"/>
      <c r="V552" s="436"/>
      <c r="W552" s="9"/>
      <c r="X552" s="9"/>
      <c r="Y552" s="9"/>
      <c r="Z552" s="9"/>
      <c r="AA552" s="9"/>
      <c r="AB552" s="9"/>
    </row>
    <row r="553">
      <c r="A553" s="9"/>
      <c r="B553" s="9"/>
      <c r="C553" s="9"/>
      <c r="D553" s="9"/>
      <c r="E553" s="9"/>
      <c r="F553" s="435"/>
      <c r="G553" s="9"/>
      <c r="H553" s="9"/>
      <c r="I553" s="9"/>
      <c r="J553" s="9"/>
      <c r="K553" s="9"/>
      <c r="L553" s="9"/>
      <c r="M553" s="9"/>
      <c r="N553" s="9"/>
      <c r="O553" s="9"/>
      <c r="P553" s="9"/>
      <c r="Q553" s="9"/>
      <c r="R553" s="9"/>
      <c r="S553" s="436"/>
      <c r="T553" s="436"/>
      <c r="U553" s="436"/>
      <c r="V553" s="436"/>
      <c r="W553" s="9"/>
      <c r="X553" s="9"/>
      <c r="Y553" s="9"/>
      <c r="Z553" s="9"/>
      <c r="AA553" s="9"/>
      <c r="AB553" s="9"/>
    </row>
    <row r="554">
      <c r="A554" s="9"/>
      <c r="B554" s="9"/>
      <c r="C554" s="9"/>
      <c r="D554" s="9"/>
      <c r="E554" s="9"/>
      <c r="F554" s="435"/>
      <c r="G554" s="9"/>
      <c r="H554" s="9"/>
      <c r="I554" s="9"/>
      <c r="J554" s="9"/>
      <c r="K554" s="9"/>
      <c r="L554" s="9"/>
      <c r="M554" s="9"/>
      <c r="N554" s="9"/>
      <c r="O554" s="9"/>
      <c r="P554" s="9"/>
      <c r="Q554" s="9"/>
      <c r="R554" s="9"/>
      <c r="S554" s="436"/>
      <c r="T554" s="436"/>
      <c r="U554" s="436"/>
      <c r="V554" s="436"/>
      <c r="W554" s="9"/>
      <c r="X554" s="9"/>
      <c r="Y554" s="9"/>
      <c r="Z554" s="9"/>
      <c r="AA554" s="9"/>
      <c r="AB554" s="9"/>
    </row>
    <row r="555">
      <c r="A555" s="9"/>
      <c r="B555" s="9"/>
      <c r="C555" s="9"/>
      <c r="D555" s="9"/>
      <c r="E555" s="9"/>
      <c r="F555" s="435"/>
      <c r="G555" s="9"/>
      <c r="H555" s="9"/>
      <c r="I555" s="9"/>
      <c r="J555" s="9"/>
      <c r="K555" s="9"/>
      <c r="L555" s="9"/>
      <c r="M555" s="9"/>
      <c r="N555" s="9"/>
      <c r="O555" s="9"/>
      <c r="P555" s="9"/>
      <c r="Q555" s="9"/>
      <c r="R555" s="9"/>
      <c r="S555" s="436"/>
      <c r="T555" s="436"/>
      <c r="U555" s="436"/>
      <c r="V555" s="436"/>
      <c r="W555" s="9"/>
      <c r="X555" s="9"/>
      <c r="Y555" s="9"/>
      <c r="Z555" s="9"/>
      <c r="AA555" s="9"/>
      <c r="AB555" s="9"/>
    </row>
    <row r="556">
      <c r="A556" s="9"/>
      <c r="B556" s="9"/>
      <c r="C556" s="9"/>
      <c r="D556" s="9"/>
      <c r="E556" s="9"/>
      <c r="F556" s="435"/>
      <c r="G556" s="9"/>
      <c r="H556" s="9"/>
      <c r="I556" s="9"/>
      <c r="J556" s="9"/>
      <c r="K556" s="9"/>
      <c r="L556" s="9"/>
      <c r="M556" s="9"/>
      <c r="N556" s="9"/>
      <c r="O556" s="9"/>
      <c r="P556" s="9"/>
      <c r="Q556" s="9"/>
      <c r="R556" s="9"/>
      <c r="S556" s="436"/>
      <c r="T556" s="436"/>
      <c r="U556" s="436"/>
      <c r="V556" s="436"/>
      <c r="W556" s="9"/>
      <c r="X556" s="9"/>
      <c r="Y556" s="9"/>
      <c r="Z556" s="9"/>
      <c r="AA556" s="9"/>
      <c r="AB556" s="9"/>
    </row>
    <row r="557">
      <c r="A557" s="9"/>
      <c r="B557" s="9"/>
      <c r="C557" s="9"/>
      <c r="D557" s="9"/>
      <c r="E557" s="9"/>
      <c r="F557" s="435"/>
      <c r="G557" s="9"/>
      <c r="H557" s="9"/>
      <c r="I557" s="9"/>
      <c r="J557" s="9"/>
      <c r="K557" s="9"/>
      <c r="L557" s="9"/>
      <c r="M557" s="9"/>
      <c r="N557" s="9"/>
      <c r="O557" s="9"/>
      <c r="P557" s="9"/>
      <c r="Q557" s="9"/>
      <c r="R557" s="9"/>
      <c r="S557" s="436"/>
      <c r="T557" s="436"/>
      <c r="U557" s="436"/>
      <c r="V557" s="436"/>
      <c r="W557" s="9"/>
      <c r="X557" s="9"/>
      <c r="Y557" s="9"/>
      <c r="Z557" s="9"/>
      <c r="AA557" s="9"/>
      <c r="AB557" s="9"/>
    </row>
    <row r="558">
      <c r="A558" s="9"/>
      <c r="B558" s="9"/>
      <c r="C558" s="9"/>
      <c r="D558" s="9"/>
      <c r="E558" s="9"/>
      <c r="F558" s="435"/>
      <c r="G558" s="9"/>
      <c r="H558" s="9"/>
      <c r="I558" s="9"/>
      <c r="J558" s="9"/>
      <c r="K558" s="9"/>
      <c r="L558" s="9"/>
      <c r="M558" s="9"/>
      <c r="N558" s="9"/>
      <c r="O558" s="9"/>
      <c r="P558" s="9"/>
      <c r="Q558" s="9"/>
      <c r="R558" s="9"/>
      <c r="S558" s="436"/>
      <c r="T558" s="436"/>
      <c r="U558" s="436"/>
      <c r="V558" s="436"/>
      <c r="W558" s="9"/>
      <c r="X558" s="9"/>
      <c r="Y558" s="9"/>
      <c r="Z558" s="9"/>
      <c r="AA558" s="9"/>
      <c r="AB558" s="9"/>
    </row>
    <row r="559">
      <c r="A559" s="9"/>
      <c r="B559" s="9"/>
      <c r="C559" s="9"/>
      <c r="D559" s="9"/>
      <c r="E559" s="9"/>
      <c r="F559" s="435"/>
      <c r="G559" s="9"/>
      <c r="H559" s="9"/>
      <c r="I559" s="9"/>
      <c r="J559" s="9"/>
      <c r="K559" s="9"/>
      <c r="L559" s="9"/>
      <c r="M559" s="9"/>
      <c r="N559" s="9"/>
      <c r="O559" s="9"/>
      <c r="P559" s="9"/>
      <c r="Q559" s="9"/>
      <c r="R559" s="9"/>
      <c r="S559" s="436"/>
      <c r="T559" s="436"/>
      <c r="U559" s="436"/>
      <c r="V559" s="436"/>
      <c r="W559" s="9"/>
      <c r="X559" s="9"/>
      <c r="Y559" s="9"/>
      <c r="Z559" s="9"/>
      <c r="AA559" s="9"/>
      <c r="AB559" s="9"/>
    </row>
    <row r="560">
      <c r="A560" s="9"/>
      <c r="B560" s="9"/>
      <c r="C560" s="9"/>
      <c r="D560" s="9"/>
      <c r="E560" s="9"/>
      <c r="F560" s="435"/>
      <c r="G560" s="9"/>
      <c r="H560" s="9"/>
      <c r="I560" s="9"/>
      <c r="J560" s="9"/>
      <c r="K560" s="9"/>
      <c r="L560" s="9"/>
      <c r="M560" s="9"/>
      <c r="N560" s="9"/>
      <c r="O560" s="9"/>
      <c r="P560" s="9"/>
      <c r="Q560" s="9"/>
      <c r="R560" s="9"/>
      <c r="S560" s="436"/>
      <c r="T560" s="436"/>
      <c r="U560" s="436"/>
      <c r="V560" s="436"/>
      <c r="W560" s="9"/>
      <c r="X560" s="9"/>
      <c r="Y560" s="9"/>
      <c r="Z560" s="9"/>
      <c r="AA560" s="9"/>
      <c r="AB560" s="9"/>
    </row>
    <row r="561">
      <c r="A561" s="9"/>
      <c r="B561" s="9"/>
      <c r="C561" s="9"/>
      <c r="D561" s="9"/>
      <c r="E561" s="9"/>
      <c r="F561" s="435"/>
      <c r="G561" s="9"/>
      <c r="H561" s="9"/>
      <c r="I561" s="9"/>
      <c r="J561" s="9"/>
      <c r="K561" s="9"/>
      <c r="L561" s="9"/>
      <c r="M561" s="9"/>
      <c r="N561" s="9"/>
      <c r="O561" s="9"/>
      <c r="P561" s="9"/>
      <c r="Q561" s="9"/>
      <c r="R561" s="9"/>
      <c r="S561" s="436"/>
      <c r="T561" s="436"/>
      <c r="U561" s="436"/>
      <c r="V561" s="436"/>
      <c r="W561" s="9"/>
      <c r="X561" s="9"/>
      <c r="Y561" s="9"/>
      <c r="Z561" s="9"/>
      <c r="AA561" s="9"/>
      <c r="AB561" s="9"/>
    </row>
    <row r="562">
      <c r="A562" s="9"/>
      <c r="B562" s="9"/>
      <c r="C562" s="9"/>
      <c r="D562" s="9"/>
      <c r="E562" s="9"/>
      <c r="F562" s="435"/>
      <c r="G562" s="9"/>
      <c r="H562" s="9"/>
      <c r="I562" s="9"/>
      <c r="J562" s="9"/>
      <c r="K562" s="9"/>
      <c r="L562" s="9"/>
      <c r="M562" s="9"/>
      <c r="N562" s="9"/>
      <c r="O562" s="9"/>
      <c r="P562" s="9"/>
      <c r="Q562" s="9"/>
      <c r="R562" s="9"/>
      <c r="S562" s="436"/>
      <c r="T562" s="436"/>
      <c r="U562" s="436"/>
      <c r="V562" s="436"/>
      <c r="W562" s="9"/>
      <c r="X562" s="9"/>
      <c r="Y562" s="9"/>
      <c r="Z562" s="9"/>
      <c r="AA562" s="9"/>
      <c r="AB562" s="9"/>
    </row>
    <row r="563">
      <c r="A563" s="9"/>
      <c r="B563" s="9"/>
      <c r="C563" s="9"/>
      <c r="D563" s="9"/>
      <c r="E563" s="9"/>
      <c r="F563" s="435"/>
      <c r="G563" s="9"/>
      <c r="H563" s="9"/>
      <c r="I563" s="9"/>
      <c r="J563" s="9"/>
      <c r="K563" s="9"/>
      <c r="L563" s="9"/>
      <c r="M563" s="9"/>
      <c r="N563" s="9"/>
      <c r="O563" s="9"/>
      <c r="P563" s="9"/>
      <c r="Q563" s="9"/>
      <c r="R563" s="9"/>
      <c r="S563" s="436"/>
      <c r="T563" s="436"/>
      <c r="U563" s="436"/>
      <c r="V563" s="436"/>
      <c r="W563" s="9"/>
      <c r="X563" s="9"/>
      <c r="Y563" s="9"/>
      <c r="Z563" s="9"/>
      <c r="AA563" s="9"/>
      <c r="AB563" s="9"/>
    </row>
    <row r="564">
      <c r="A564" s="9"/>
      <c r="B564" s="9"/>
      <c r="C564" s="9"/>
      <c r="D564" s="9"/>
      <c r="E564" s="9"/>
      <c r="F564" s="435"/>
      <c r="G564" s="9"/>
      <c r="H564" s="9"/>
      <c r="I564" s="9"/>
      <c r="J564" s="9"/>
      <c r="K564" s="9"/>
      <c r="L564" s="9"/>
      <c r="M564" s="9"/>
      <c r="N564" s="9"/>
      <c r="O564" s="9"/>
      <c r="P564" s="9"/>
      <c r="Q564" s="9"/>
      <c r="R564" s="9"/>
      <c r="S564" s="436"/>
      <c r="T564" s="436"/>
      <c r="U564" s="436"/>
      <c r="V564" s="436"/>
      <c r="W564" s="9"/>
      <c r="X564" s="9"/>
      <c r="Y564" s="9"/>
      <c r="Z564" s="9"/>
      <c r="AA564" s="9"/>
      <c r="AB564" s="9"/>
    </row>
    <row r="565">
      <c r="A565" s="9"/>
      <c r="B565" s="9"/>
      <c r="C565" s="9"/>
      <c r="D565" s="9"/>
      <c r="E565" s="9"/>
      <c r="F565" s="435"/>
      <c r="G565" s="9"/>
      <c r="H565" s="9"/>
      <c r="I565" s="9"/>
      <c r="J565" s="9"/>
      <c r="K565" s="9"/>
      <c r="L565" s="9"/>
      <c r="M565" s="9"/>
      <c r="N565" s="9"/>
      <c r="O565" s="9"/>
      <c r="P565" s="9"/>
      <c r="Q565" s="9"/>
      <c r="R565" s="9"/>
      <c r="S565" s="436"/>
      <c r="T565" s="436"/>
      <c r="U565" s="436"/>
      <c r="V565" s="436"/>
      <c r="W565" s="9"/>
      <c r="X565" s="9"/>
      <c r="Y565" s="9"/>
      <c r="Z565" s="9"/>
      <c r="AA565" s="9"/>
      <c r="AB565" s="9"/>
    </row>
    <row r="566">
      <c r="A566" s="9"/>
      <c r="B566" s="9"/>
      <c r="C566" s="9"/>
      <c r="D566" s="9"/>
      <c r="E566" s="9"/>
      <c r="F566" s="435"/>
      <c r="G566" s="9"/>
      <c r="H566" s="9"/>
      <c r="I566" s="9"/>
      <c r="J566" s="9"/>
      <c r="K566" s="9"/>
      <c r="L566" s="9"/>
      <c r="M566" s="9"/>
      <c r="N566" s="9"/>
      <c r="O566" s="9"/>
      <c r="P566" s="9"/>
      <c r="Q566" s="9"/>
      <c r="R566" s="9"/>
      <c r="S566" s="436"/>
      <c r="T566" s="436"/>
      <c r="U566" s="436"/>
      <c r="V566" s="436"/>
      <c r="W566" s="9"/>
      <c r="X566" s="9"/>
      <c r="Y566" s="9"/>
      <c r="Z566" s="9"/>
      <c r="AA566" s="9"/>
      <c r="AB566" s="9"/>
    </row>
    <row r="567">
      <c r="A567" s="9"/>
      <c r="B567" s="9"/>
      <c r="C567" s="9"/>
      <c r="D567" s="9"/>
      <c r="E567" s="9"/>
      <c r="F567" s="435"/>
      <c r="G567" s="9"/>
      <c r="H567" s="9"/>
      <c r="I567" s="9"/>
      <c r="J567" s="9"/>
      <c r="K567" s="9"/>
      <c r="L567" s="9"/>
      <c r="M567" s="9"/>
      <c r="N567" s="9"/>
      <c r="O567" s="9"/>
      <c r="P567" s="9"/>
      <c r="Q567" s="9"/>
      <c r="R567" s="9"/>
      <c r="S567" s="436"/>
      <c r="T567" s="436"/>
      <c r="U567" s="436"/>
      <c r="V567" s="436"/>
      <c r="W567" s="9"/>
      <c r="X567" s="9"/>
      <c r="Y567" s="9"/>
      <c r="Z567" s="9"/>
      <c r="AA567" s="9"/>
      <c r="AB567" s="9"/>
    </row>
    <row r="568">
      <c r="A568" s="9"/>
      <c r="B568" s="9"/>
      <c r="C568" s="9"/>
      <c r="D568" s="9"/>
      <c r="E568" s="9"/>
      <c r="F568" s="435"/>
      <c r="G568" s="9"/>
      <c r="H568" s="9"/>
      <c r="I568" s="9"/>
      <c r="J568" s="9"/>
      <c r="K568" s="9"/>
      <c r="L568" s="9"/>
      <c r="M568" s="9"/>
      <c r="N568" s="9"/>
      <c r="O568" s="9"/>
      <c r="P568" s="9"/>
      <c r="Q568" s="9"/>
      <c r="R568" s="9"/>
      <c r="S568" s="436"/>
      <c r="T568" s="436"/>
      <c r="U568" s="436"/>
      <c r="V568" s="436"/>
      <c r="W568" s="9"/>
      <c r="X568" s="9"/>
      <c r="Y568" s="9"/>
      <c r="Z568" s="9"/>
      <c r="AA568" s="9"/>
      <c r="AB568" s="9"/>
    </row>
    <row r="569">
      <c r="A569" s="9"/>
      <c r="B569" s="9"/>
      <c r="C569" s="9"/>
      <c r="D569" s="9"/>
      <c r="E569" s="9"/>
      <c r="F569" s="435"/>
      <c r="G569" s="9"/>
      <c r="H569" s="9"/>
      <c r="I569" s="9"/>
      <c r="J569" s="9"/>
      <c r="K569" s="9"/>
      <c r="L569" s="9"/>
      <c r="M569" s="9"/>
      <c r="N569" s="9"/>
      <c r="O569" s="9"/>
      <c r="P569" s="9"/>
      <c r="Q569" s="9"/>
      <c r="R569" s="9"/>
      <c r="S569" s="436"/>
      <c r="T569" s="436"/>
      <c r="U569" s="436"/>
      <c r="V569" s="436"/>
      <c r="W569" s="9"/>
      <c r="X569" s="9"/>
      <c r="Y569" s="9"/>
      <c r="Z569" s="9"/>
      <c r="AA569" s="9"/>
      <c r="AB569" s="9"/>
    </row>
    <row r="570">
      <c r="A570" s="9"/>
      <c r="B570" s="9"/>
      <c r="C570" s="9"/>
      <c r="D570" s="9"/>
      <c r="E570" s="9"/>
      <c r="F570" s="435"/>
      <c r="G570" s="9"/>
      <c r="H570" s="9"/>
      <c r="I570" s="9"/>
      <c r="J570" s="9"/>
      <c r="K570" s="9"/>
      <c r="L570" s="9"/>
      <c r="M570" s="9"/>
      <c r="N570" s="9"/>
      <c r="O570" s="9"/>
      <c r="P570" s="9"/>
      <c r="Q570" s="9"/>
      <c r="R570" s="9"/>
      <c r="S570" s="436"/>
      <c r="T570" s="436"/>
      <c r="U570" s="436"/>
      <c r="V570" s="436"/>
      <c r="W570" s="9"/>
      <c r="X570" s="9"/>
      <c r="Y570" s="9"/>
      <c r="Z570" s="9"/>
      <c r="AA570" s="9"/>
      <c r="AB570" s="9"/>
    </row>
    <row r="571">
      <c r="A571" s="9"/>
      <c r="B571" s="9"/>
      <c r="C571" s="9"/>
      <c r="D571" s="9"/>
      <c r="E571" s="9"/>
      <c r="F571" s="435"/>
      <c r="G571" s="9"/>
      <c r="H571" s="9"/>
      <c r="I571" s="9"/>
      <c r="J571" s="9"/>
      <c r="K571" s="9"/>
      <c r="L571" s="9"/>
      <c r="M571" s="9"/>
      <c r="N571" s="9"/>
      <c r="O571" s="9"/>
      <c r="P571" s="9"/>
      <c r="Q571" s="9"/>
      <c r="R571" s="9"/>
      <c r="S571" s="436"/>
      <c r="T571" s="436"/>
      <c r="U571" s="436"/>
      <c r="V571" s="436"/>
      <c r="W571" s="9"/>
      <c r="X571" s="9"/>
      <c r="Y571" s="9"/>
      <c r="Z571" s="9"/>
      <c r="AA571" s="9"/>
      <c r="AB571" s="9"/>
    </row>
    <row r="572">
      <c r="A572" s="9"/>
      <c r="B572" s="9"/>
      <c r="C572" s="9"/>
      <c r="D572" s="9"/>
      <c r="E572" s="9"/>
      <c r="F572" s="435"/>
      <c r="G572" s="9"/>
      <c r="H572" s="9"/>
      <c r="I572" s="9"/>
      <c r="J572" s="9"/>
      <c r="K572" s="9"/>
      <c r="L572" s="9"/>
      <c r="M572" s="9"/>
      <c r="N572" s="9"/>
      <c r="O572" s="9"/>
      <c r="P572" s="9"/>
      <c r="Q572" s="9"/>
      <c r="R572" s="9"/>
      <c r="S572" s="436"/>
      <c r="T572" s="436"/>
      <c r="U572" s="436"/>
      <c r="V572" s="436"/>
      <c r="W572" s="9"/>
      <c r="X572" s="9"/>
      <c r="Y572" s="9"/>
      <c r="Z572" s="9"/>
      <c r="AA572" s="9"/>
      <c r="AB572" s="9"/>
    </row>
    <row r="573">
      <c r="A573" s="9"/>
      <c r="B573" s="9"/>
      <c r="C573" s="9"/>
      <c r="D573" s="9"/>
      <c r="E573" s="9"/>
      <c r="F573" s="435"/>
      <c r="G573" s="9"/>
      <c r="H573" s="9"/>
      <c r="I573" s="9"/>
      <c r="J573" s="9"/>
      <c r="K573" s="9"/>
      <c r="L573" s="9"/>
      <c r="M573" s="9"/>
      <c r="N573" s="9"/>
      <c r="O573" s="9"/>
      <c r="P573" s="9"/>
      <c r="Q573" s="9"/>
      <c r="R573" s="9"/>
      <c r="S573" s="436"/>
      <c r="T573" s="436"/>
      <c r="U573" s="436"/>
      <c r="V573" s="436"/>
      <c r="W573" s="9"/>
      <c r="X573" s="9"/>
      <c r="Y573" s="9"/>
      <c r="Z573" s="9"/>
      <c r="AA573" s="9"/>
      <c r="AB573" s="9"/>
    </row>
    <row r="574">
      <c r="A574" s="9"/>
      <c r="B574" s="9"/>
      <c r="C574" s="9"/>
      <c r="D574" s="9"/>
      <c r="E574" s="9"/>
      <c r="F574" s="435"/>
      <c r="G574" s="9"/>
      <c r="H574" s="9"/>
      <c r="I574" s="9"/>
      <c r="J574" s="9"/>
      <c r="K574" s="9"/>
      <c r="L574" s="9"/>
      <c r="M574" s="9"/>
      <c r="N574" s="9"/>
      <c r="O574" s="9"/>
      <c r="P574" s="9"/>
      <c r="Q574" s="9"/>
      <c r="R574" s="9"/>
      <c r="S574" s="436"/>
      <c r="T574" s="436"/>
      <c r="U574" s="436"/>
      <c r="V574" s="436"/>
      <c r="W574" s="9"/>
      <c r="X574" s="9"/>
      <c r="Y574" s="9"/>
      <c r="Z574" s="9"/>
      <c r="AA574" s="9"/>
      <c r="AB574" s="9"/>
    </row>
    <row r="575">
      <c r="A575" s="9"/>
      <c r="B575" s="9"/>
      <c r="C575" s="9"/>
      <c r="D575" s="9"/>
      <c r="E575" s="9"/>
      <c r="F575" s="435"/>
      <c r="G575" s="9"/>
      <c r="H575" s="9"/>
      <c r="I575" s="9"/>
      <c r="J575" s="9"/>
      <c r="K575" s="9"/>
      <c r="L575" s="9"/>
      <c r="M575" s="9"/>
      <c r="N575" s="9"/>
      <c r="O575" s="9"/>
      <c r="P575" s="9"/>
      <c r="Q575" s="9"/>
      <c r="R575" s="9"/>
      <c r="S575" s="436"/>
      <c r="T575" s="436"/>
      <c r="U575" s="436"/>
      <c r="V575" s="436"/>
      <c r="W575" s="9"/>
      <c r="X575" s="9"/>
      <c r="Y575" s="9"/>
      <c r="Z575" s="9"/>
      <c r="AA575" s="9"/>
      <c r="AB575" s="9"/>
    </row>
    <row r="576">
      <c r="A576" s="9"/>
      <c r="B576" s="9"/>
      <c r="C576" s="9"/>
      <c r="D576" s="9"/>
      <c r="E576" s="9"/>
      <c r="F576" s="435"/>
      <c r="G576" s="9"/>
      <c r="H576" s="9"/>
      <c r="I576" s="9"/>
      <c r="J576" s="9"/>
      <c r="K576" s="9"/>
      <c r="L576" s="9"/>
      <c r="M576" s="9"/>
      <c r="N576" s="9"/>
      <c r="O576" s="9"/>
      <c r="P576" s="9"/>
      <c r="Q576" s="9"/>
      <c r="R576" s="9"/>
      <c r="S576" s="436"/>
      <c r="T576" s="436"/>
      <c r="U576" s="436"/>
      <c r="V576" s="436"/>
      <c r="W576" s="9"/>
      <c r="X576" s="9"/>
      <c r="Y576" s="9"/>
      <c r="Z576" s="9"/>
      <c r="AA576" s="9"/>
      <c r="AB576" s="9"/>
    </row>
    <row r="577">
      <c r="A577" s="9"/>
      <c r="B577" s="9"/>
      <c r="C577" s="9"/>
      <c r="D577" s="9"/>
      <c r="E577" s="9"/>
      <c r="F577" s="435"/>
      <c r="G577" s="9"/>
      <c r="H577" s="9"/>
      <c r="I577" s="9"/>
      <c r="J577" s="9"/>
      <c r="K577" s="9"/>
      <c r="L577" s="9"/>
      <c r="M577" s="9"/>
      <c r="N577" s="9"/>
      <c r="O577" s="9"/>
      <c r="P577" s="9"/>
      <c r="Q577" s="9"/>
      <c r="R577" s="9"/>
      <c r="S577" s="436"/>
      <c r="T577" s="436"/>
      <c r="U577" s="436"/>
      <c r="V577" s="436"/>
      <c r="W577" s="9"/>
      <c r="X577" s="9"/>
      <c r="Y577" s="9"/>
      <c r="Z577" s="9"/>
      <c r="AA577" s="9"/>
      <c r="AB577" s="9"/>
    </row>
    <row r="578">
      <c r="A578" s="9"/>
      <c r="B578" s="9"/>
      <c r="C578" s="9"/>
      <c r="D578" s="9"/>
      <c r="E578" s="9"/>
      <c r="F578" s="435"/>
      <c r="G578" s="9"/>
      <c r="H578" s="9"/>
      <c r="I578" s="9"/>
      <c r="J578" s="9"/>
      <c r="K578" s="9"/>
      <c r="L578" s="9"/>
      <c r="M578" s="9"/>
      <c r="N578" s="9"/>
      <c r="O578" s="9"/>
      <c r="P578" s="9"/>
      <c r="Q578" s="9"/>
      <c r="R578" s="9"/>
      <c r="S578" s="436"/>
      <c r="T578" s="436"/>
      <c r="U578" s="436"/>
      <c r="V578" s="436"/>
      <c r="W578" s="9"/>
      <c r="X578" s="9"/>
      <c r="Y578" s="9"/>
      <c r="Z578" s="9"/>
      <c r="AA578" s="9"/>
      <c r="AB578" s="9"/>
    </row>
    <row r="579">
      <c r="A579" s="9"/>
      <c r="B579" s="9"/>
      <c r="C579" s="9"/>
      <c r="D579" s="9"/>
      <c r="E579" s="9"/>
      <c r="F579" s="435"/>
      <c r="G579" s="9"/>
      <c r="H579" s="9"/>
      <c r="I579" s="9"/>
      <c r="J579" s="9"/>
      <c r="K579" s="9"/>
      <c r="L579" s="9"/>
      <c r="M579" s="9"/>
      <c r="N579" s="9"/>
      <c r="O579" s="9"/>
      <c r="P579" s="9"/>
      <c r="Q579" s="9"/>
      <c r="R579" s="9"/>
      <c r="S579" s="436"/>
      <c r="T579" s="436"/>
      <c r="U579" s="436"/>
      <c r="V579" s="436"/>
      <c r="W579" s="9"/>
      <c r="X579" s="9"/>
      <c r="Y579" s="9"/>
      <c r="Z579" s="9"/>
      <c r="AA579" s="9"/>
      <c r="AB579" s="9"/>
    </row>
    <row r="580">
      <c r="A580" s="9"/>
      <c r="B580" s="9"/>
      <c r="C580" s="9"/>
      <c r="D580" s="9"/>
      <c r="E580" s="9"/>
      <c r="F580" s="435"/>
      <c r="G580" s="9"/>
      <c r="H580" s="9"/>
      <c r="I580" s="9"/>
      <c r="J580" s="9"/>
      <c r="K580" s="9"/>
      <c r="L580" s="9"/>
      <c r="M580" s="9"/>
      <c r="N580" s="9"/>
      <c r="O580" s="9"/>
      <c r="P580" s="9"/>
      <c r="Q580" s="9"/>
      <c r="R580" s="9"/>
      <c r="S580" s="436"/>
      <c r="T580" s="436"/>
      <c r="U580" s="436"/>
      <c r="V580" s="436"/>
      <c r="W580" s="9"/>
      <c r="X580" s="9"/>
      <c r="Y580" s="9"/>
      <c r="Z580" s="9"/>
      <c r="AA580" s="9"/>
      <c r="AB580" s="9"/>
    </row>
    <row r="581">
      <c r="A581" s="9"/>
      <c r="B581" s="9"/>
      <c r="C581" s="9"/>
      <c r="D581" s="9"/>
      <c r="E581" s="9"/>
      <c r="F581" s="435"/>
      <c r="G581" s="9"/>
      <c r="H581" s="9"/>
      <c r="I581" s="9"/>
      <c r="J581" s="9"/>
      <c r="K581" s="9"/>
      <c r="L581" s="9"/>
      <c r="M581" s="9"/>
      <c r="N581" s="9"/>
      <c r="O581" s="9"/>
      <c r="P581" s="9"/>
      <c r="Q581" s="9"/>
      <c r="R581" s="9"/>
      <c r="S581" s="436"/>
      <c r="T581" s="436"/>
      <c r="U581" s="436"/>
      <c r="V581" s="436"/>
      <c r="W581" s="9"/>
      <c r="X581" s="9"/>
      <c r="Y581" s="9"/>
      <c r="Z581" s="9"/>
      <c r="AA581" s="9"/>
      <c r="AB581" s="9"/>
    </row>
    <row r="582">
      <c r="A582" s="9"/>
      <c r="B582" s="9"/>
      <c r="C582" s="9"/>
      <c r="D582" s="9"/>
      <c r="E582" s="9"/>
      <c r="F582" s="435"/>
      <c r="G582" s="9"/>
      <c r="H582" s="9"/>
      <c r="I582" s="9"/>
      <c r="J582" s="9"/>
      <c r="K582" s="9"/>
      <c r="L582" s="9"/>
      <c r="M582" s="9"/>
      <c r="N582" s="9"/>
      <c r="O582" s="9"/>
      <c r="P582" s="9"/>
      <c r="Q582" s="9"/>
      <c r="R582" s="9"/>
      <c r="S582" s="436"/>
      <c r="T582" s="436"/>
      <c r="U582" s="436"/>
      <c r="V582" s="436"/>
      <c r="W582" s="9"/>
      <c r="X582" s="9"/>
      <c r="Y582" s="9"/>
      <c r="Z582" s="9"/>
      <c r="AA582" s="9"/>
      <c r="AB582" s="9"/>
    </row>
    <row r="583">
      <c r="A583" s="9"/>
      <c r="B583" s="9"/>
      <c r="C583" s="9"/>
      <c r="D583" s="9"/>
      <c r="E583" s="9"/>
      <c r="F583" s="435"/>
      <c r="G583" s="9"/>
      <c r="H583" s="9"/>
      <c r="I583" s="9"/>
      <c r="J583" s="9"/>
      <c r="K583" s="9"/>
      <c r="L583" s="9"/>
      <c r="M583" s="9"/>
      <c r="N583" s="9"/>
      <c r="O583" s="9"/>
      <c r="P583" s="9"/>
      <c r="Q583" s="9"/>
      <c r="R583" s="9"/>
      <c r="S583" s="436"/>
      <c r="T583" s="436"/>
      <c r="U583" s="436"/>
      <c r="V583" s="436"/>
      <c r="W583" s="9"/>
      <c r="X583" s="9"/>
      <c r="Y583" s="9"/>
      <c r="Z583" s="9"/>
      <c r="AA583" s="9"/>
      <c r="AB583" s="9"/>
    </row>
    <row r="584">
      <c r="A584" s="9"/>
      <c r="B584" s="9"/>
      <c r="C584" s="9"/>
      <c r="D584" s="9"/>
      <c r="E584" s="9"/>
      <c r="F584" s="435"/>
      <c r="G584" s="9"/>
      <c r="H584" s="9"/>
      <c r="I584" s="9"/>
      <c r="J584" s="9"/>
      <c r="K584" s="9"/>
      <c r="L584" s="9"/>
      <c r="M584" s="9"/>
      <c r="N584" s="9"/>
      <c r="O584" s="9"/>
      <c r="P584" s="9"/>
      <c r="Q584" s="9"/>
      <c r="R584" s="9"/>
      <c r="S584" s="436"/>
      <c r="T584" s="436"/>
      <c r="U584" s="436"/>
      <c r="V584" s="436"/>
      <c r="W584" s="9"/>
      <c r="X584" s="9"/>
      <c r="Y584" s="9"/>
      <c r="Z584" s="9"/>
      <c r="AA584" s="9"/>
      <c r="AB584" s="9"/>
    </row>
    <row r="585">
      <c r="A585" s="9"/>
      <c r="B585" s="9"/>
      <c r="C585" s="9"/>
      <c r="D585" s="9"/>
      <c r="E585" s="9"/>
      <c r="F585" s="435"/>
      <c r="G585" s="9"/>
      <c r="H585" s="9"/>
      <c r="I585" s="9"/>
      <c r="J585" s="9"/>
      <c r="K585" s="9"/>
      <c r="L585" s="9"/>
      <c r="M585" s="9"/>
      <c r="N585" s="9"/>
      <c r="O585" s="9"/>
      <c r="P585" s="9"/>
      <c r="Q585" s="9"/>
      <c r="R585" s="9"/>
      <c r="S585" s="436"/>
      <c r="T585" s="436"/>
      <c r="U585" s="436"/>
      <c r="V585" s="436"/>
      <c r="W585" s="9"/>
      <c r="X585" s="9"/>
      <c r="Y585" s="9"/>
      <c r="Z585" s="9"/>
      <c r="AA585" s="9"/>
      <c r="AB585" s="9"/>
    </row>
    <row r="586">
      <c r="A586" s="9"/>
      <c r="B586" s="9"/>
      <c r="C586" s="9"/>
      <c r="D586" s="9"/>
      <c r="E586" s="9"/>
      <c r="F586" s="435"/>
      <c r="G586" s="9"/>
      <c r="H586" s="9"/>
      <c r="I586" s="9"/>
      <c r="J586" s="9"/>
      <c r="K586" s="9"/>
      <c r="L586" s="9"/>
      <c r="M586" s="9"/>
      <c r="N586" s="9"/>
      <c r="O586" s="9"/>
      <c r="P586" s="9"/>
      <c r="Q586" s="9"/>
      <c r="R586" s="9"/>
      <c r="S586" s="436"/>
      <c r="T586" s="436"/>
      <c r="U586" s="436"/>
      <c r="V586" s="436"/>
      <c r="W586" s="9"/>
      <c r="X586" s="9"/>
      <c r="Y586" s="9"/>
      <c r="Z586" s="9"/>
      <c r="AA586" s="9"/>
      <c r="AB586" s="9"/>
    </row>
    <row r="587">
      <c r="A587" s="9"/>
      <c r="B587" s="9"/>
      <c r="C587" s="9"/>
      <c r="D587" s="9"/>
      <c r="E587" s="9"/>
      <c r="F587" s="435"/>
      <c r="G587" s="9"/>
      <c r="H587" s="9"/>
      <c r="I587" s="9"/>
      <c r="J587" s="9"/>
      <c r="K587" s="9"/>
      <c r="L587" s="9"/>
      <c r="M587" s="9"/>
      <c r="N587" s="9"/>
      <c r="O587" s="9"/>
      <c r="P587" s="9"/>
      <c r="Q587" s="9"/>
      <c r="R587" s="9"/>
      <c r="S587" s="436"/>
      <c r="T587" s="436"/>
      <c r="U587" s="436"/>
      <c r="V587" s="436"/>
      <c r="W587" s="9"/>
      <c r="X587" s="9"/>
      <c r="Y587" s="9"/>
      <c r="Z587" s="9"/>
      <c r="AA587" s="9"/>
      <c r="AB587" s="9"/>
    </row>
    <row r="588">
      <c r="A588" s="9"/>
      <c r="B588" s="9"/>
      <c r="C588" s="9"/>
      <c r="D588" s="9"/>
      <c r="E588" s="9"/>
      <c r="F588" s="435"/>
      <c r="G588" s="9"/>
      <c r="H588" s="9"/>
      <c r="I588" s="9"/>
      <c r="J588" s="9"/>
      <c r="K588" s="9"/>
      <c r="L588" s="9"/>
      <c r="M588" s="9"/>
      <c r="N588" s="9"/>
      <c r="O588" s="9"/>
      <c r="P588" s="9"/>
      <c r="Q588" s="9"/>
      <c r="R588" s="9"/>
      <c r="S588" s="436"/>
      <c r="T588" s="436"/>
      <c r="U588" s="436"/>
      <c r="V588" s="436"/>
      <c r="W588" s="9"/>
      <c r="X588" s="9"/>
      <c r="Y588" s="9"/>
      <c r="Z588" s="9"/>
      <c r="AA588" s="9"/>
      <c r="AB588" s="9"/>
    </row>
    <row r="589">
      <c r="A589" s="9"/>
      <c r="B589" s="9"/>
      <c r="C589" s="9"/>
      <c r="D589" s="9"/>
      <c r="E589" s="9"/>
      <c r="F589" s="435"/>
      <c r="G589" s="9"/>
      <c r="H589" s="9"/>
      <c r="I589" s="9"/>
      <c r="J589" s="9"/>
      <c r="K589" s="9"/>
      <c r="L589" s="9"/>
      <c r="M589" s="9"/>
      <c r="N589" s="9"/>
      <c r="O589" s="9"/>
      <c r="P589" s="9"/>
      <c r="Q589" s="9"/>
      <c r="R589" s="9"/>
      <c r="S589" s="436"/>
      <c r="T589" s="436"/>
      <c r="U589" s="436"/>
      <c r="V589" s="436"/>
      <c r="W589" s="9"/>
      <c r="X589" s="9"/>
      <c r="Y589" s="9"/>
      <c r="Z589" s="9"/>
      <c r="AA589" s="9"/>
      <c r="AB589" s="9"/>
    </row>
    <row r="590">
      <c r="A590" s="9"/>
      <c r="B590" s="9"/>
      <c r="C590" s="9"/>
      <c r="D590" s="9"/>
      <c r="E590" s="9"/>
      <c r="F590" s="435"/>
      <c r="G590" s="9"/>
      <c r="H590" s="9"/>
      <c r="I590" s="9"/>
      <c r="J590" s="9"/>
      <c r="K590" s="9"/>
      <c r="L590" s="9"/>
      <c r="M590" s="9"/>
      <c r="N590" s="9"/>
      <c r="O590" s="9"/>
      <c r="P590" s="9"/>
      <c r="Q590" s="9"/>
      <c r="R590" s="9"/>
      <c r="S590" s="436"/>
      <c r="T590" s="436"/>
      <c r="U590" s="436"/>
      <c r="V590" s="436"/>
      <c r="W590" s="9"/>
      <c r="X590" s="9"/>
      <c r="Y590" s="9"/>
      <c r="Z590" s="9"/>
      <c r="AA590" s="9"/>
      <c r="AB590" s="9"/>
    </row>
    <row r="591">
      <c r="A591" s="9"/>
      <c r="B591" s="9"/>
      <c r="C591" s="9"/>
      <c r="D591" s="9"/>
      <c r="E591" s="9"/>
      <c r="F591" s="435"/>
      <c r="G591" s="9"/>
      <c r="H591" s="9"/>
      <c r="I591" s="9"/>
      <c r="J591" s="9"/>
      <c r="K591" s="9"/>
      <c r="L591" s="9"/>
      <c r="M591" s="9"/>
      <c r="N591" s="9"/>
      <c r="O591" s="9"/>
      <c r="P591" s="9"/>
      <c r="Q591" s="9"/>
      <c r="R591" s="9"/>
      <c r="S591" s="436"/>
      <c r="T591" s="436"/>
      <c r="U591" s="436"/>
      <c r="V591" s="436"/>
      <c r="W591" s="9"/>
      <c r="X591" s="9"/>
      <c r="Y591" s="9"/>
      <c r="Z591" s="9"/>
      <c r="AA591" s="9"/>
      <c r="AB591" s="9"/>
    </row>
    <row r="592">
      <c r="A592" s="9"/>
      <c r="B592" s="9"/>
      <c r="C592" s="9"/>
      <c r="D592" s="9"/>
      <c r="E592" s="9"/>
      <c r="F592" s="435"/>
      <c r="G592" s="9"/>
      <c r="H592" s="9"/>
      <c r="I592" s="9"/>
      <c r="J592" s="9"/>
      <c r="K592" s="9"/>
      <c r="L592" s="9"/>
      <c r="M592" s="9"/>
      <c r="N592" s="9"/>
      <c r="O592" s="9"/>
      <c r="P592" s="9"/>
      <c r="Q592" s="9"/>
      <c r="R592" s="9"/>
      <c r="S592" s="436"/>
      <c r="T592" s="436"/>
      <c r="U592" s="436"/>
      <c r="V592" s="436"/>
      <c r="W592" s="9"/>
      <c r="X592" s="9"/>
      <c r="Y592" s="9"/>
      <c r="Z592" s="9"/>
      <c r="AA592" s="9"/>
      <c r="AB592" s="9"/>
    </row>
    <row r="593">
      <c r="A593" s="9"/>
      <c r="B593" s="9"/>
      <c r="C593" s="9"/>
      <c r="D593" s="9"/>
      <c r="E593" s="9"/>
      <c r="F593" s="435"/>
      <c r="G593" s="9"/>
      <c r="H593" s="9"/>
      <c r="I593" s="9"/>
      <c r="J593" s="9"/>
      <c r="K593" s="9"/>
      <c r="L593" s="9"/>
      <c r="M593" s="9"/>
      <c r="N593" s="9"/>
      <c r="O593" s="9"/>
      <c r="P593" s="9"/>
      <c r="Q593" s="9"/>
      <c r="R593" s="9"/>
      <c r="S593" s="436"/>
      <c r="T593" s="436"/>
      <c r="U593" s="436"/>
      <c r="V593" s="436"/>
      <c r="W593" s="9"/>
      <c r="X593" s="9"/>
      <c r="Y593" s="9"/>
      <c r="Z593" s="9"/>
      <c r="AA593" s="9"/>
      <c r="AB593" s="9"/>
    </row>
    <row r="594">
      <c r="A594" s="9"/>
      <c r="B594" s="9"/>
      <c r="C594" s="9"/>
      <c r="D594" s="9"/>
      <c r="E594" s="9"/>
      <c r="F594" s="435"/>
      <c r="G594" s="9"/>
      <c r="H594" s="9"/>
      <c r="I594" s="9"/>
      <c r="J594" s="9"/>
      <c r="K594" s="9"/>
      <c r="L594" s="9"/>
      <c r="M594" s="9"/>
      <c r="N594" s="9"/>
      <c r="O594" s="9"/>
      <c r="P594" s="9"/>
      <c r="Q594" s="9"/>
      <c r="R594" s="9"/>
      <c r="S594" s="436"/>
      <c r="T594" s="436"/>
      <c r="U594" s="436"/>
      <c r="V594" s="436"/>
      <c r="W594" s="9"/>
      <c r="X594" s="9"/>
      <c r="Y594" s="9"/>
      <c r="Z594" s="9"/>
      <c r="AA594" s="9"/>
      <c r="AB594" s="9"/>
    </row>
    <row r="595">
      <c r="A595" s="9"/>
      <c r="B595" s="9"/>
      <c r="C595" s="9"/>
      <c r="D595" s="9"/>
      <c r="E595" s="9"/>
      <c r="F595" s="435"/>
      <c r="G595" s="9"/>
      <c r="H595" s="9"/>
      <c r="I595" s="9"/>
      <c r="J595" s="9"/>
      <c r="K595" s="9"/>
      <c r="L595" s="9"/>
      <c r="M595" s="9"/>
      <c r="N595" s="9"/>
      <c r="O595" s="9"/>
      <c r="P595" s="9"/>
      <c r="Q595" s="9"/>
      <c r="R595" s="9"/>
      <c r="S595" s="436"/>
      <c r="T595" s="436"/>
      <c r="U595" s="436"/>
      <c r="V595" s="436"/>
      <c r="W595" s="9"/>
      <c r="X595" s="9"/>
      <c r="Y595" s="9"/>
      <c r="Z595" s="9"/>
      <c r="AA595" s="9"/>
      <c r="AB595" s="9"/>
    </row>
    <row r="596">
      <c r="A596" s="9"/>
      <c r="B596" s="9"/>
      <c r="C596" s="9"/>
      <c r="D596" s="9"/>
      <c r="E596" s="9"/>
      <c r="F596" s="435"/>
      <c r="G596" s="9"/>
      <c r="H596" s="9"/>
      <c r="I596" s="9"/>
      <c r="J596" s="9"/>
      <c r="K596" s="9"/>
      <c r="L596" s="9"/>
      <c r="M596" s="9"/>
      <c r="N596" s="9"/>
      <c r="O596" s="9"/>
      <c r="P596" s="9"/>
      <c r="Q596" s="9"/>
      <c r="R596" s="9"/>
      <c r="S596" s="436"/>
      <c r="T596" s="436"/>
      <c r="U596" s="436"/>
      <c r="V596" s="436"/>
      <c r="W596" s="9"/>
      <c r="X596" s="9"/>
      <c r="Y596" s="9"/>
      <c r="Z596" s="9"/>
      <c r="AA596" s="9"/>
      <c r="AB596" s="9"/>
    </row>
    <row r="597">
      <c r="A597" s="9"/>
      <c r="B597" s="9"/>
      <c r="C597" s="9"/>
      <c r="D597" s="9"/>
      <c r="E597" s="9"/>
      <c r="F597" s="435"/>
      <c r="G597" s="9"/>
      <c r="H597" s="9"/>
      <c r="I597" s="9"/>
      <c r="J597" s="9"/>
      <c r="K597" s="9"/>
      <c r="L597" s="9"/>
      <c r="M597" s="9"/>
      <c r="N597" s="9"/>
      <c r="O597" s="9"/>
      <c r="P597" s="9"/>
      <c r="Q597" s="9"/>
      <c r="R597" s="9"/>
      <c r="S597" s="436"/>
      <c r="T597" s="436"/>
      <c r="U597" s="436"/>
      <c r="V597" s="436"/>
      <c r="W597" s="9"/>
      <c r="X597" s="9"/>
      <c r="Y597" s="9"/>
      <c r="Z597" s="9"/>
      <c r="AA597" s="9"/>
      <c r="AB597" s="9"/>
    </row>
    <row r="598">
      <c r="A598" s="9"/>
      <c r="B598" s="9"/>
      <c r="C598" s="9"/>
      <c r="D598" s="9"/>
      <c r="E598" s="9"/>
      <c r="F598" s="435"/>
      <c r="G598" s="9"/>
      <c r="H598" s="9"/>
      <c r="I598" s="9"/>
      <c r="J598" s="9"/>
      <c r="K598" s="9"/>
      <c r="L598" s="9"/>
      <c r="M598" s="9"/>
      <c r="N598" s="9"/>
      <c r="O598" s="9"/>
      <c r="P598" s="9"/>
      <c r="Q598" s="9"/>
      <c r="R598" s="9"/>
      <c r="S598" s="436"/>
      <c r="T598" s="436"/>
      <c r="U598" s="436"/>
      <c r="V598" s="436"/>
      <c r="W598" s="9"/>
      <c r="X598" s="9"/>
      <c r="Y598" s="9"/>
      <c r="Z598" s="9"/>
      <c r="AA598" s="9"/>
      <c r="AB598" s="9"/>
    </row>
    <row r="599">
      <c r="A599" s="9"/>
      <c r="B599" s="9"/>
      <c r="C599" s="9"/>
      <c r="D599" s="9"/>
      <c r="E599" s="9"/>
      <c r="F599" s="435"/>
      <c r="G599" s="9"/>
      <c r="H599" s="9"/>
      <c r="I599" s="9"/>
      <c r="J599" s="9"/>
      <c r="K599" s="9"/>
      <c r="L599" s="9"/>
      <c r="M599" s="9"/>
      <c r="N599" s="9"/>
      <c r="O599" s="9"/>
      <c r="P599" s="9"/>
      <c r="Q599" s="9"/>
      <c r="R599" s="9"/>
      <c r="S599" s="436"/>
      <c r="T599" s="436"/>
      <c r="U599" s="436"/>
      <c r="V599" s="436"/>
      <c r="W599" s="9"/>
      <c r="X599" s="9"/>
      <c r="Y599" s="9"/>
      <c r="Z599" s="9"/>
      <c r="AA599" s="9"/>
      <c r="AB599" s="9"/>
    </row>
    <row r="600">
      <c r="A600" s="9"/>
      <c r="B600" s="9"/>
      <c r="C600" s="9"/>
      <c r="D600" s="9"/>
      <c r="E600" s="9"/>
      <c r="F600" s="435"/>
      <c r="G600" s="9"/>
      <c r="H600" s="9"/>
      <c r="I600" s="9"/>
      <c r="J600" s="9"/>
      <c r="K600" s="9"/>
      <c r="L600" s="9"/>
      <c r="M600" s="9"/>
      <c r="N600" s="9"/>
      <c r="O600" s="9"/>
      <c r="P600" s="9"/>
      <c r="Q600" s="9"/>
      <c r="R600" s="9"/>
      <c r="S600" s="436"/>
      <c r="T600" s="436"/>
      <c r="U600" s="436"/>
      <c r="V600" s="436"/>
      <c r="W600" s="9"/>
      <c r="X600" s="9"/>
      <c r="Y600" s="9"/>
      <c r="Z600" s="9"/>
      <c r="AA600" s="9"/>
      <c r="AB600" s="9"/>
    </row>
    <row r="601">
      <c r="A601" s="9"/>
      <c r="B601" s="9"/>
      <c r="C601" s="9"/>
      <c r="D601" s="9"/>
      <c r="E601" s="9"/>
      <c r="F601" s="435"/>
      <c r="G601" s="9"/>
      <c r="H601" s="9"/>
      <c r="I601" s="9"/>
      <c r="J601" s="9"/>
      <c r="K601" s="9"/>
      <c r="L601" s="9"/>
      <c r="M601" s="9"/>
      <c r="N601" s="9"/>
      <c r="O601" s="9"/>
      <c r="P601" s="9"/>
      <c r="Q601" s="9"/>
      <c r="R601" s="9"/>
      <c r="S601" s="436"/>
      <c r="T601" s="436"/>
      <c r="U601" s="436"/>
      <c r="V601" s="436"/>
      <c r="W601" s="9"/>
      <c r="X601" s="9"/>
      <c r="Y601" s="9"/>
      <c r="Z601" s="9"/>
      <c r="AA601" s="9"/>
      <c r="AB601" s="9"/>
    </row>
    <row r="602">
      <c r="A602" s="9"/>
      <c r="B602" s="9"/>
      <c r="C602" s="9"/>
      <c r="D602" s="9"/>
      <c r="E602" s="9"/>
      <c r="F602" s="435"/>
      <c r="G602" s="9"/>
      <c r="H602" s="9"/>
      <c r="I602" s="9"/>
      <c r="J602" s="9"/>
      <c r="K602" s="9"/>
      <c r="L602" s="9"/>
      <c r="M602" s="9"/>
      <c r="N602" s="9"/>
      <c r="O602" s="9"/>
      <c r="P602" s="9"/>
      <c r="Q602" s="9"/>
      <c r="R602" s="9"/>
      <c r="S602" s="436"/>
      <c r="T602" s="436"/>
      <c r="U602" s="436"/>
      <c r="V602" s="436"/>
      <c r="W602" s="9"/>
      <c r="X602" s="9"/>
      <c r="Y602" s="9"/>
      <c r="Z602" s="9"/>
      <c r="AA602" s="9"/>
      <c r="AB602" s="9"/>
    </row>
    <row r="603">
      <c r="A603" s="9"/>
      <c r="B603" s="9"/>
      <c r="C603" s="9"/>
      <c r="D603" s="9"/>
      <c r="E603" s="9"/>
      <c r="F603" s="435"/>
      <c r="G603" s="9"/>
      <c r="H603" s="9"/>
      <c r="I603" s="9"/>
      <c r="J603" s="9"/>
      <c r="K603" s="9"/>
      <c r="L603" s="9"/>
      <c r="M603" s="9"/>
      <c r="N603" s="9"/>
      <c r="O603" s="9"/>
      <c r="P603" s="9"/>
      <c r="Q603" s="9"/>
      <c r="R603" s="9"/>
      <c r="S603" s="436"/>
      <c r="T603" s="436"/>
      <c r="U603" s="436"/>
      <c r="V603" s="436"/>
      <c r="W603" s="9"/>
      <c r="X603" s="9"/>
      <c r="Y603" s="9"/>
      <c r="Z603" s="9"/>
      <c r="AA603" s="9"/>
      <c r="AB603" s="9"/>
    </row>
    <row r="604">
      <c r="A604" s="9"/>
      <c r="B604" s="9"/>
      <c r="C604" s="9"/>
      <c r="D604" s="9"/>
      <c r="E604" s="9"/>
      <c r="F604" s="435"/>
      <c r="G604" s="9"/>
      <c r="H604" s="9"/>
      <c r="I604" s="9"/>
      <c r="J604" s="9"/>
      <c r="K604" s="9"/>
      <c r="L604" s="9"/>
      <c r="M604" s="9"/>
      <c r="N604" s="9"/>
      <c r="O604" s="9"/>
      <c r="P604" s="9"/>
      <c r="Q604" s="9"/>
      <c r="R604" s="9"/>
      <c r="S604" s="436"/>
      <c r="T604" s="436"/>
      <c r="U604" s="436"/>
      <c r="V604" s="436"/>
      <c r="W604" s="9"/>
      <c r="X604" s="9"/>
      <c r="Y604" s="9"/>
      <c r="Z604" s="9"/>
      <c r="AA604" s="9"/>
      <c r="AB604" s="9"/>
    </row>
    <row r="605">
      <c r="A605" s="9"/>
      <c r="B605" s="9"/>
      <c r="C605" s="9"/>
      <c r="D605" s="9"/>
      <c r="E605" s="9"/>
      <c r="F605" s="435"/>
      <c r="G605" s="9"/>
      <c r="H605" s="9"/>
      <c r="I605" s="9"/>
      <c r="J605" s="9"/>
      <c r="K605" s="9"/>
      <c r="L605" s="9"/>
      <c r="M605" s="9"/>
      <c r="N605" s="9"/>
      <c r="O605" s="9"/>
      <c r="P605" s="9"/>
      <c r="Q605" s="9"/>
      <c r="R605" s="9"/>
      <c r="S605" s="436"/>
      <c r="T605" s="436"/>
      <c r="U605" s="436"/>
      <c r="V605" s="436"/>
      <c r="W605" s="9"/>
      <c r="X605" s="9"/>
      <c r="Y605" s="9"/>
      <c r="Z605" s="9"/>
      <c r="AA605" s="9"/>
      <c r="AB605" s="9"/>
    </row>
    <row r="606">
      <c r="A606" s="9"/>
      <c r="B606" s="9"/>
      <c r="C606" s="9"/>
      <c r="D606" s="9"/>
      <c r="E606" s="9"/>
      <c r="F606" s="435"/>
      <c r="G606" s="9"/>
      <c r="H606" s="9"/>
      <c r="I606" s="9"/>
      <c r="J606" s="9"/>
      <c r="K606" s="9"/>
      <c r="L606" s="9"/>
      <c r="M606" s="9"/>
      <c r="N606" s="9"/>
      <c r="O606" s="9"/>
      <c r="P606" s="9"/>
      <c r="Q606" s="9"/>
      <c r="R606" s="9"/>
      <c r="S606" s="436"/>
      <c r="T606" s="436"/>
      <c r="U606" s="436"/>
      <c r="V606" s="436"/>
      <c r="W606" s="9"/>
      <c r="X606" s="9"/>
      <c r="Y606" s="9"/>
      <c r="Z606" s="9"/>
      <c r="AA606" s="9"/>
      <c r="AB606" s="9"/>
    </row>
    <row r="607">
      <c r="A607" s="9"/>
      <c r="B607" s="9"/>
      <c r="C607" s="9"/>
      <c r="D607" s="9"/>
      <c r="E607" s="9"/>
      <c r="F607" s="435"/>
      <c r="G607" s="9"/>
      <c r="H607" s="9"/>
      <c r="I607" s="9"/>
      <c r="J607" s="9"/>
      <c r="K607" s="9"/>
      <c r="L607" s="9"/>
      <c r="M607" s="9"/>
      <c r="N607" s="9"/>
      <c r="O607" s="9"/>
      <c r="P607" s="9"/>
      <c r="Q607" s="9"/>
      <c r="R607" s="9"/>
      <c r="S607" s="436"/>
      <c r="T607" s="436"/>
      <c r="U607" s="436"/>
      <c r="V607" s="436"/>
      <c r="W607" s="9"/>
      <c r="X607" s="9"/>
      <c r="Y607" s="9"/>
      <c r="Z607" s="9"/>
      <c r="AA607" s="9"/>
      <c r="AB607" s="9"/>
    </row>
    <row r="608">
      <c r="A608" s="9"/>
      <c r="B608" s="9"/>
      <c r="C608" s="9"/>
      <c r="D608" s="9"/>
      <c r="E608" s="9"/>
      <c r="F608" s="435"/>
      <c r="G608" s="9"/>
      <c r="H608" s="9"/>
      <c r="I608" s="9"/>
      <c r="J608" s="9"/>
      <c r="K608" s="9"/>
      <c r="L608" s="9"/>
      <c r="M608" s="9"/>
      <c r="N608" s="9"/>
      <c r="O608" s="9"/>
      <c r="P608" s="9"/>
      <c r="Q608" s="9"/>
      <c r="R608" s="9"/>
      <c r="S608" s="436"/>
      <c r="T608" s="436"/>
      <c r="U608" s="436"/>
      <c r="V608" s="436"/>
      <c r="W608" s="9"/>
      <c r="X608" s="9"/>
      <c r="Y608" s="9"/>
      <c r="Z608" s="9"/>
      <c r="AA608" s="9"/>
      <c r="AB608" s="9"/>
    </row>
    <row r="609">
      <c r="A609" s="9"/>
      <c r="B609" s="9"/>
      <c r="C609" s="9"/>
      <c r="D609" s="9"/>
      <c r="E609" s="9"/>
      <c r="F609" s="435"/>
      <c r="G609" s="9"/>
      <c r="H609" s="9"/>
      <c r="I609" s="9"/>
      <c r="J609" s="9"/>
      <c r="K609" s="9"/>
      <c r="L609" s="9"/>
      <c r="M609" s="9"/>
      <c r="N609" s="9"/>
      <c r="O609" s="9"/>
      <c r="P609" s="9"/>
      <c r="Q609" s="9"/>
      <c r="R609" s="9"/>
      <c r="S609" s="436"/>
      <c r="T609" s="436"/>
      <c r="U609" s="436"/>
      <c r="V609" s="436"/>
      <c r="W609" s="9"/>
      <c r="X609" s="9"/>
      <c r="Y609" s="9"/>
      <c r="Z609" s="9"/>
      <c r="AA609" s="9"/>
      <c r="AB609" s="9"/>
    </row>
    <row r="610">
      <c r="A610" s="9"/>
      <c r="B610" s="9"/>
      <c r="C610" s="9"/>
      <c r="D610" s="9"/>
      <c r="E610" s="9"/>
      <c r="F610" s="435"/>
      <c r="G610" s="9"/>
      <c r="H610" s="9"/>
      <c r="I610" s="9"/>
      <c r="J610" s="9"/>
      <c r="K610" s="9"/>
      <c r="L610" s="9"/>
      <c r="M610" s="9"/>
      <c r="N610" s="9"/>
      <c r="O610" s="9"/>
      <c r="P610" s="9"/>
      <c r="Q610" s="9"/>
      <c r="R610" s="9"/>
      <c r="S610" s="436"/>
      <c r="T610" s="436"/>
      <c r="U610" s="436"/>
      <c r="V610" s="436"/>
      <c r="W610" s="9"/>
      <c r="X610" s="9"/>
      <c r="Y610" s="9"/>
      <c r="Z610" s="9"/>
      <c r="AA610" s="9"/>
      <c r="AB610" s="9"/>
    </row>
    <row r="611">
      <c r="A611" s="9"/>
      <c r="B611" s="9"/>
      <c r="C611" s="9"/>
      <c r="D611" s="9"/>
      <c r="E611" s="9"/>
      <c r="F611" s="435"/>
      <c r="G611" s="9"/>
      <c r="H611" s="9"/>
      <c r="I611" s="9"/>
      <c r="J611" s="9"/>
      <c r="K611" s="9"/>
      <c r="L611" s="9"/>
      <c r="M611" s="9"/>
      <c r="N611" s="9"/>
      <c r="O611" s="9"/>
      <c r="P611" s="9"/>
      <c r="Q611" s="9"/>
      <c r="R611" s="9"/>
      <c r="S611" s="436"/>
      <c r="T611" s="436"/>
      <c r="U611" s="436"/>
      <c r="V611" s="436"/>
      <c r="W611" s="9"/>
      <c r="X611" s="9"/>
      <c r="Y611" s="9"/>
      <c r="Z611" s="9"/>
      <c r="AA611" s="9"/>
      <c r="AB611" s="9"/>
    </row>
    <row r="612">
      <c r="A612" s="9"/>
      <c r="B612" s="9"/>
      <c r="C612" s="9"/>
      <c r="D612" s="9"/>
      <c r="E612" s="9"/>
      <c r="F612" s="435"/>
      <c r="G612" s="9"/>
      <c r="H612" s="9"/>
      <c r="I612" s="9"/>
      <c r="J612" s="9"/>
      <c r="K612" s="9"/>
      <c r="L612" s="9"/>
      <c r="M612" s="9"/>
      <c r="N612" s="9"/>
      <c r="O612" s="9"/>
      <c r="P612" s="9"/>
      <c r="Q612" s="9"/>
      <c r="R612" s="9"/>
      <c r="S612" s="436"/>
      <c r="T612" s="436"/>
      <c r="U612" s="436"/>
      <c r="V612" s="436"/>
      <c r="W612" s="9"/>
      <c r="X612" s="9"/>
      <c r="Y612" s="9"/>
      <c r="Z612" s="9"/>
      <c r="AA612" s="9"/>
      <c r="AB612" s="9"/>
    </row>
    <row r="613">
      <c r="A613" s="9"/>
      <c r="B613" s="9"/>
      <c r="C613" s="9"/>
      <c r="D613" s="9"/>
      <c r="E613" s="9"/>
      <c r="F613" s="435"/>
      <c r="G613" s="9"/>
      <c r="H613" s="9"/>
      <c r="I613" s="9"/>
      <c r="J613" s="9"/>
      <c r="K613" s="9"/>
      <c r="L613" s="9"/>
      <c r="M613" s="9"/>
      <c r="N613" s="9"/>
      <c r="O613" s="9"/>
      <c r="P613" s="9"/>
      <c r="Q613" s="9"/>
      <c r="R613" s="9"/>
      <c r="S613" s="436"/>
      <c r="T613" s="436"/>
      <c r="U613" s="436"/>
      <c r="V613" s="436"/>
      <c r="W613" s="9"/>
      <c r="X613" s="9"/>
      <c r="Y613" s="9"/>
      <c r="Z613" s="9"/>
      <c r="AA613" s="9"/>
      <c r="AB613" s="9"/>
    </row>
    <row r="614">
      <c r="A614" s="9"/>
      <c r="B614" s="9"/>
      <c r="C614" s="9"/>
      <c r="D614" s="9"/>
      <c r="E614" s="9"/>
      <c r="F614" s="435"/>
      <c r="G614" s="9"/>
      <c r="H614" s="9"/>
      <c r="I614" s="9"/>
      <c r="J614" s="9"/>
      <c r="K614" s="9"/>
      <c r="L614" s="9"/>
      <c r="M614" s="9"/>
      <c r="N614" s="9"/>
      <c r="O614" s="9"/>
      <c r="P614" s="9"/>
      <c r="Q614" s="9"/>
      <c r="R614" s="9"/>
      <c r="S614" s="436"/>
      <c r="T614" s="436"/>
      <c r="U614" s="436"/>
      <c r="V614" s="436"/>
      <c r="W614" s="9"/>
      <c r="X614" s="9"/>
      <c r="Y614" s="9"/>
      <c r="Z614" s="9"/>
      <c r="AA614" s="9"/>
      <c r="AB614" s="9"/>
    </row>
    <row r="615">
      <c r="A615" s="9"/>
      <c r="B615" s="9"/>
      <c r="C615" s="9"/>
      <c r="D615" s="9"/>
      <c r="E615" s="9"/>
      <c r="F615" s="435"/>
      <c r="G615" s="9"/>
      <c r="H615" s="9"/>
      <c r="I615" s="9"/>
      <c r="J615" s="9"/>
      <c r="K615" s="9"/>
      <c r="L615" s="9"/>
      <c r="M615" s="9"/>
      <c r="N615" s="9"/>
      <c r="O615" s="9"/>
      <c r="P615" s="9"/>
      <c r="Q615" s="9"/>
      <c r="R615" s="9"/>
      <c r="S615" s="436"/>
      <c r="T615" s="436"/>
      <c r="U615" s="436"/>
      <c r="V615" s="436"/>
      <c r="W615" s="9"/>
      <c r="X615" s="9"/>
      <c r="Y615" s="9"/>
      <c r="Z615" s="9"/>
      <c r="AA615" s="9"/>
      <c r="AB615" s="9"/>
    </row>
    <row r="616">
      <c r="A616" s="9"/>
      <c r="B616" s="9"/>
      <c r="C616" s="9"/>
      <c r="D616" s="9"/>
      <c r="E616" s="9"/>
      <c r="F616" s="435"/>
      <c r="G616" s="9"/>
      <c r="H616" s="9"/>
      <c r="I616" s="9"/>
      <c r="J616" s="9"/>
      <c r="K616" s="9"/>
      <c r="L616" s="9"/>
      <c r="M616" s="9"/>
      <c r="N616" s="9"/>
      <c r="O616" s="9"/>
      <c r="P616" s="9"/>
      <c r="Q616" s="9"/>
      <c r="R616" s="9"/>
      <c r="S616" s="436"/>
      <c r="T616" s="436"/>
      <c r="U616" s="436"/>
      <c r="V616" s="436"/>
      <c r="W616" s="9"/>
      <c r="X616" s="9"/>
      <c r="Y616" s="9"/>
      <c r="Z616" s="9"/>
      <c r="AA616" s="9"/>
      <c r="AB616" s="9"/>
    </row>
    <row r="617">
      <c r="A617" s="9"/>
      <c r="B617" s="9"/>
      <c r="C617" s="9"/>
      <c r="D617" s="9"/>
      <c r="E617" s="9"/>
      <c r="F617" s="435"/>
      <c r="G617" s="9"/>
      <c r="H617" s="9"/>
      <c r="I617" s="9"/>
      <c r="J617" s="9"/>
      <c r="K617" s="9"/>
      <c r="L617" s="9"/>
      <c r="M617" s="9"/>
      <c r="N617" s="9"/>
      <c r="O617" s="9"/>
      <c r="P617" s="9"/>
      <c r="Q617" s="9"/>
      <c r="R617" s="9"/>
      <c r="S617" s="436"/>
      <c r="T617" s="436"/>
      <c r="U617" s="436"/>
      <c r="V617" s="436"/>
      <c r="W617" s="9"/>
      <c r="X617" s="9"/>
      <c r="Y617" s="9"/>
      <c r="Z617" s="9"/>
      <c r="AA617" s="9"/>
      <c r="AB617" s="9"/>
    </row>
    <row r="618">
      <c r="A618" s="9"/>
      <c r="B618" s="9"/>
      <c r="C618" s="9"/>
      <c r="D618" s="9"/>
      <c r="E618" s="9"/>
      <c r="F618" s="435"/>
      <c r="G618" s="9"/>
      <c r="H618" s="9"/>
      <c r="I618" s="9"/>
      <c r="J618" s="9"/>
      <c r="K618" s="9"/>
      <c r="L618" s="9"/>
      <c r="M618" s="9"/>
      <c r="N618" s="9"/>
      <c r="O618" s="9"/>
      <c r="P618" s="9"/>
      <c r="Q618" s="9"/>
      <c r="R618" s="9"/>
      <c r="S618" s="436"/>
      <c r="T618" s="436"/>
      <c r="U618" s="436"/>
      <c r="V618" s="436"/>
      <c r="W618" s="9"/>
      <c r="X618" s="9"/>
      <c r="Y618" s="9"/>
      <c r="Z618" s="9"/>
      <c r="AA618" s="9"/>
      <c r="AB618" s="9"/>
    </row>
    <row r="619">
      <c r="A619" s="9"/>
      <c r="B619" s="9"/>
      <c r="C619" s="9"/>
      <c r="D619" s="9"/>
      <c r="E619" s="9"/>
      <c r="F619" s="435"/>
      <c r="G619" s="9"/>
      <c r="H619" s="9"/>
      <c r="I619" s="9"/>
      <c r="J619" s="9"/>
      <c r="K619" s="9"/>
      <c r="L619" s="9"/>
      <c r="M619" s="9"/>
      <c r="N619" s="9"/>
      <c r="O619" s="9"/>
      <c r="P619" s="9"/>
      <c r="Q619" s="9"/>
      <c r="R619" s="9"/>
      <c r="S619" s="436"/>
      <c r="T619" s="436"/>
      <c r="U619" s="436"/>
      <c r="V619" s="436"/>
      <c r="W619" s="9"/>
      <c r="X619" s="9"/>
      <c r="Y619" s="9"/>
      <c r="Z619" s="9"/>
      <c r="AA619" s="9"/>
      <c r="AB619" s="9"/>
    </row>
    <row r="620">
      <c r="A620" s="9"/>
      <c r="B620" s="9"/>
      <c r="C620" s="9"/>
      <c r="D620" s="9"/>
      <c r="E620" s="9"/>
      <c r="F620" s="435"/>
      <c r="G620" s="9"/>
      <c r="H620" s="9"/>
      <c r="I620" s="9"/>
      <c r="J620" s="9"/>
      <c r="K620" s="9"/>
      <c r="L620" s="9"/>
      <c r="M620" s="9"/>
      <c r="N620" s="9"/>
      <c r="O620" s="9"/>
      <c r="P620" s="9"/>
      <c r="Q620" s="9"/>
      <c r="R620" s="9"/>
      <c r="S620" s="436"/>
      <c r="T620" s="436"/>
      <c r="U620" s="436"/>
      <c r="V620" s="436"/>
      <c r="W620" s="9"/>
      <c r="X620" s="9"/>
      <c r="Y620" s="9"/>
      <c r="Z620" s="9"/>
      <c r="AA620" s="9"/>
      <c r="AB620" s="9"/>
    </row>
    <row r="621">
      <c r="A621" s="9"/>
      <c r="B621" s="9"/>
      <c r="C621" s="9"/>
      <c r="D621" s="9"/>
      <c r="E621" s="9"/>
      <c r="F621" s="435"/>
      <c r="G621" s="9"/>
      <c r="H621" s="9"/>
      <c r="I621" s="9"/>
      <c r="J621" s="9"/>
      <c r="K621" s="9"/>
      <c r="L621" s="9"/>
      <c r="M621" s="9"/>
      <c r="N621" s="9"/>
      <c r="O621" s="9"/>
      <c r="P621" s="9"/>
      <c r="Q621" s="9"/>
      <c r="R621" s="9"/>
      <c r="S621" s="436"/>
      <c r="T621" s="436"/>
      <c r="U621" s="436"/>
      <c r="V621" s="436"/>
      <c r="W621" s="9"/>
      <c r="X621" s="9"/>
      <c r="Y621" s="9"/>
      <c r="Z621" s="9"/>
      <c r="AA621" s="9"/>
      <c r="AB621" s="9"/>
    </row>
    <row r="622">
      <c r="A622" s="9"/>
      <c r="B622" s="9"/>
      <c r="C622" s="9"/>
      <c r="D622" s="9"/>
      <c r="E622" s="9"/>
      <c r="F622" s="435"/>
      <c r="G622" s="9"/>
      <c r="H622" s="9"/>
      <c r="I622" s="9"/>
      <c r="J622" s="9"/>
      <c r="K622" s="9"/>
      <c r="L622" s="9"/>
      <c r="M622" s="9"/>
      <c r="N622" s="9"/>
      <c r="O622" s="9"/>
      <c r="P622" s="9"/>
      <c r="Q622" s="9"/>
      <c r="R622" s="9"/>
      <c r="S622" s="436"/>
      <c r="T622" s="436"/>
      <c r="U622" s="436"/>
      <c r="V622" s="436"/>
      <c r="W622" s="9"/>
      <c r="X622" s="9"/>
      <c r="Y622" s="9"/>
      <c r="Z622" s="9"/>
      <c r="AA622" s="9"/>
      <c r="AB622" s="9"/>
    </row>
    <row r="623">
      <c r="A623" s="9"/>
      <c r="B623" s="9"/>
      <c r="C623" s="9"/>
      <c r="D623" s="9"/>
      <c r="E623" s="9"/>
      <c r="F623" s="435"/>
      <c r="G623" s="9"/>
      <c r="H623" s="9"/>
      <c r="I623" s="9"/>
      <c r="J623" s="9"/>
      <c r="K623" s="9"/>
      <c r="L623" s="9"/>
      <c r="M623" s="9"/>
      <c r="N623" s="9"/>
      <c r="O623" s="9"/>
      <c r="P623" s="9"/>
      <c r="Q623" s="9"/>
      <c r="R623" s="9"/>
      <c r="S623" s="436"/>
      <c r="T623" s="436"/>
      <c r="U623" s="436"/>
      <c r="V623" s="436"/>
      <c r="W623" s="9"/>
      <c r="X623" s="9"/>
      <c r="Y623" s="9"/>
      <c r="Z623" s="9"/>
      <c r="AA623" s="9"/>
      <c r="AB623" s="9"/>
    </row>
    <row r="624">
      <c r="A624" s="9"/>
      <c r="B624" s="9"/>
      <c r="C624" s="9"/>
      <c r="D624" s="9"/>
      <c r="E624" s="9"/>
      <c r="F624" s="435"/>
      <c r="G624" s="9"/>
      <c r="H624" s="9"/>
      <c r="I624" s="9"/>
      <c r="J624" s="9"/>
      <c r="K624" s="9"/>
      <c r="L624" s="9"/>
      <c r="M624" s="9"/>
      <c r="N624" s="9"/>
      <c r="O624" s="9"/>
      <c r="P624" s="9"/>
      <c r="Q624" s="9"/>
      <c r="R624" s="9"/>
      <c r="S624" s="436"/>
      <c r="T624" s="436"/>
      <c r="U624" s="436"/>
      <c r="V624" s="436"/>
      <c r="W624" s="9"/>
      <c r="X624" s="9"/>
      <c r="Y624" s="9"/>
      <c r="Z624" s="9"/>
      <c r="AA624" s="9"/>
      <c r="AB624" s="9"/>
    </row>
    <row r="625">
      <c r="A625" s="9"/>
      <c r="B625" s="9"/>
      <c r="C625" s="9"/>
      <c r="D625" s="9"/>
      <c r="E625" s="9"/>
      <c r="F625" s="435"/>
      <c r="G625" s="9"/>
      <c r="H625" s="9"/>
      <c r="I625" s="9"/>
      <c r="J625" s="9"/>
      <c r="K625" s="9"/>
      <c r="L625" s="9"/>
      <c r="M625" s="9"/>
      <c r="N625" s="9"/>
      <c r="O625" s="9"/>
      <c r="P625" s="9"/>
      <c r="Q625" s="9"/>
      <c r="R625" s="9"/>
      <c r="S625" s="436"/>
      <c r="T625" s="436"/>
      <c r="U625" s="436"/>
      <c r="V625" s="436"/>
      <c r="W625" s="9"/>
      <c r="X625" s="9"/>
      <c r="Y625" s="9"/>
      <c r="Z625" s="9"/>
      <c r="AA625" s="9"/>
      <c r="AB625" s="9"/>
    </row>
    <row r="626">
      <c r="A626" s="9"/>
      <c r="B626" s="9"/>
      <c r="C626" s="9"/>
      <c r="D626" s="9"/>
      <c r="E626" s="9"/>
      <c r="F626" s="435"/>
      <c r="G626" s="9"/>
      <c r="H626" s="9"/>
      <c r="I626" s="9"/>
      <c r="J626" s="9"/>
      <c r="K626" s="9"/>
      <c r="L626" s="9"/>
      <c r="M626" s="9"/>
      <c r="N626" s="9"/>
      <c r="O626" s="9"/>
      <c r="P626" s="9"/>
      <c r="Q626" s="9"/>
      <c r="R626" s="9"/>
      <c r="S626" s="436"/>
      <c r="T626" s="436"/>
      <c r="U626" s="436"/>
      <c r="V626" s="436"/>
      <c r="W626" s="9"/>
      <c r="X626" s="9"/>
      <c r="Y626" s="9"/>
      <c r="Z626" s="9"/>
      <c r="AA626" s="9"/>
      <c r="AB626" s="9"/>
    </row>
    <row r="627">
      <c r="A627" s="9"/>
      <c r="B627" s="9"/>
      <c r="C627" s="9"/>
      <c r="D627" s="9"/>
      <c r="E627" s="9"/>
      <c r="F627" s="435"/>
      <c r="G627" s="9"/>
      <c r="H627" s="9"/>
      <c r="I627" s="9"/>
      <c r="J627" s="9"/>
      <c r="K627" s="9"/>
      <c r="L627" s="9"/>
      <c r="M627" s="9"/>
      <c r="N627" s="9"/>
      <c r="O627" s="9"/>
      <c r="P627" s="9"/>
      <c r="Q627" s="9"/>
      <c r="R627" s="9"/>
      <c r="S627" s="436"/>
      <c r="T627" s="436"/>
      <c r="U627" s="436"/>
      <c r="V627" s="436"/>
      <c r="W627" s="9"/>
      <c r="X627" s="9"/>
      <c r="Y627" s="9"/>
      <c r="Z627" s="9"/>
      <c r="AA627" s="9"/>
      <c r="AB627" s="9"/>
    </row>
    <row r="628">
      <c r="A628" s="9"/>
      <c r="B628" s="9"/>
      <c r="C628" s="9"/>
      <c r="D628" s="9"/>
      <c r="E628" s="9"/>
      <c r="F628" s="435"/>
      <c r="G628" s="9"/>
      <c r="H628" s="9"/>
      <c r="I628" s="9"/>
      <c r="J628" s="9"/>
      <c r="K628" s="9"/>
      <c r="L628" s="9"/>
      <c r="M628" s="9"/>
      <c r="N628" s="9"/>
      <c r="O628" s="9"/>
      <c r="P628" s="9"/>
      <c r="Q628" s="9"/>
      <c r="R628" s="9"/>
      <c r="S628" s="436"/>
      <c r="T628" s="436"/>
      <c r="U628" s="436"/>
      <c r="V628" s="436"/>
      <c r="W628" s="9"/>
      <c r="X628" s="9"/>
      <c r="Y628" s="9"/>
      <c r="Z628" s="9"/>
      <c r="AA628" s="9"/>
      <c r="AB628" s="9"/>
    </row>
    <row r="629">
      <c r="A629" s="9"/>
      <c r="B629" s="9"/>
      <c r="C629" s="9"/>
      <c r="D629" s="9"/>
      <c r="E629" s="9"/>
      <c r="F629" s="435"/>
      <c r="G629" s="9"/>
      <c r="H629" s="9"/>
      <c r="I629" s="9"/>
      <c r="J629" s="9"/>
      <c r="K629" s="9"/>
      <c r="L629" s="9"/>
      <c r="M629" s="9"/>
      <c r="N629" s="9"/>
      <c r="O629" s="9"/>
      <c r="P629" s="9"/>
      <c r="Q629" s="9"/>
      <c r="R629" s="9"/>
      <c r="S629" s="436"/>
      <c r="T629" s="436"/>
      <c r="U629" s="436"/>
      <c r="V629" s="436"/>
      <c r="W629" s="9"/>
      <c r="X629" s="9"/>
      <c r="Y629" s="9"/>
      <c r="Z629" s="9"/>
      <c r="AA629" s="9"/>
      <c r="AB629" s="9"/>
    </row>
    <row r="630">
      <c r="A630" s="9"/>
      <c r="B630" s="9"/>
      <c r="C630" s="9"/>
      <c r="D630" s="9"/>
      <c r="E630" s="9"/>
      <c r="F630" s="435"/>
      <c r="G630" s="9"/>
      <c r="H630" s="9"/>
      <c r="I630" s="9"/>
      <c r="J630" s="9"/>
      <c r="K630" s="9"/>
      <c r="L630" s="9"/>
      <c r="M630" s="9"/>
      <c r="N630" s="9"/>
      <c r="O630" s="9"/>
      <c r="P630" s="9"/>
      <c r="Q630" s="9"/>
      <c r="R630" s="9"/>
      <c r="S630" s="436"/>
      <c r="T630" s="436"/>
      <c r="U630" s="436"/>
      <c r="V630" s="436"/>
      <c r="W630" s="9"/>
      <c r="X630" s="9"/>
      <c r="Y630" s="9"/>
      <c r="Z630" s="9"/>
      <c r="AA630" s="9"/>
      <c r="AB630" s="9"/>
    </row>
    <row r="631">
      <c r="A631" s="9"/>
      <c r="B631" s="9"/>
      <c r="C631" s="9"/>
      <c r="D631" s="9"/>
      <c r="E631" s="9"/>
      <c r="F631" s="435"/>
      <c r="G631" s="9"/>
      <c r="H631" s="9"/>
      <c r="I631" s="9"/>
      <c r="J631" s="9"/>
      <c r="K631" s="9"/>
      <c r="L631" s="9"/>
      <c r="M631" s="9"/>
      <c r="N631" s="9"/>
      <c r="O631" s="9"/>
      <c r="P631" s="9"/>
      <c r="Q631" s="9"/>
      <c r="R631" s="9"/>
      <c r="S631" s="436"/>
      <c r="T631" s="436"/>
      <c r="U631" s="436"/>
      <c r="V631" s="436"/>
      <c r="W631" s="9"/>
      <c r="X631" s="9"/>
      <c r="Y631" s="9"/>
      <c r="Z631" s="9"/>
      <c r="AA631" s="9"/>
      <c r="AB631" s="9"/>
    </row>
    <row r="632">
      <c r="A632" s="9"/>
      <c r="B632" s="9"/>
      <c r="C632" s="9"/>
      <c r="D632" s="9"/>
      <c r="E632" s="9"/>
      <c r="F632" s="435"/>
      <c r="G632" s="9"/>
      <c r="H632" s="9"/>
      <c r="I632" s="9"/>
      <c r="J632" s="9"/>
      <c r="K632" s="9"/>
      <c r="L632" s="9"/>
      <c r="M632" s="9"/>
      <c r="N632" s="9"/>
      <c r="O632" s="9"/>
      <c r="P632" s="9"/>
      <c r="Q632" s="9"/>
      <c r="R632" s="9"/>
      <c r="S632" s="436"/>
      <c r="T632" s="436"/>
      <c r="U632" s="436"/>
      <c r="V632" s="436"/>
      <c r="W632" s="9"/>
      <c r="X632" s="9"/>
      <c r="Y632" s="9"/>
      <c r="Z632" s="9"/>
      <c r="AA632" s="9"/>
      <c r="AB632" s="9"/>
    </row>
    <row r="633">
      <c r="A633" s="9"/>
      <c r="B633" s="9"/>
      <c r="C633" s="9"/>
      <c r="D633" s="9"/>
      <c r="E633" s="9"/>
      <c r="F633" s="435"/>
      <c r="G633" s="9"/>
      <c r="H633" s="9"/>
      <c r="I633" s="9"/>
      <c r="J633" s="9"/>
      <c r="K633" s="9"/>
      <c r="L633" s="9"/>
      <c r="M633" s="9"/>
      <c r="N633" s="9"/>
      <c r="O633" s="9"/>
      <c r="P633" s="9"/>
      <c r="Q633" s="9"/>
      <c r="R633" s="9"/>
      <c r="S633" s="436"/>
      <c r="T633" s="436"/>
      <c r="U633" s="436"/>
      <c r="V633" s="436"/>
      <c r="W633" s="9"/>
      <c r="X633" s="9"/>
      <c r="Y633" s="9"/>
      <c r="Z633" s="9"/>
      <c r="AA633" s="9"/>
      <c r="AB633" s="9"/>
    </row>
    <row r="634">
      <c r="A634" s="9"/>
      <c r="B634" s="9"/>
      <c r="C634" s="9"/>
      <c r="D634" s="9"/>
      <c r="E634" s="9"/>
      <c r="F634" s="435"/>
      <c r="G634" s="9"/>
      <c r="H634" s="9"/>
      <c r="I634" s="9"/>
      <c r="J634" s="9"/>
      <c r="K634" s="9"/>
      <c r="L634" s="9"/>
      <c r="M634" s="9"/>
      <c r="N634" s="9"/>
      <c r="O634" s="9"/>
      <c r="P634" s="9"/>
      <c r="Q634" s="9"/>
      <c r="R634" s="9"/>
      <c r="S634" s="436"/>
      <c r="T634" s="436"/>
      <c r="U634" s="436"/>
      <c r="V634" s="436"/>
      <c r="W634" s="9"/>
      <c r="X634" s="9"/>
      <c r="Y634" s="9"/>
      <c r="Z634" s="9"/>
      <c r="AA634" s="9"/>
      <c r="AB634" s="9"/>
    </row>
    <row r="635">
      <c r="A635" s="9"/>
      <c r="B635" s="9"/>
      <c r="C635" s="9"/>
      <c r="D635" s="9"/>
      <c r="E635" s="9"/>
      <c r="F635" s="435"/>
      <c r="G635" s="9"/>
      <c r="H635" s="9"/>
      <c r="I635" s="9"/>
      <c r="J635" s="9"/>
      <c r="K635" s="9"/>
      <c r="L635" s="9"/>
      <c r="M635" s="9"/>
      <c r="N635" s="9"/>
      <c r="O635" s="9"/>
      <c r="P635" s="9"/>
      <c r="Q635" s="9"/>
      <c r="R635" s="9"/>
      <c r="S635" s="436"/>
      <c r="T635" s="436"/>
      <c r="U635" s="436"/>
      <c r="V635" s="436"/>
      <c r="W635" s="9"/>
      <c r="X635" s="9"/>
      <c r="Y635" s="9"/>
      <c r="Z635" s="9"/>
      <c r="AA635" s="9"/>
      <c r="AB635" s="9"/>
    </row>
    <row r="636">
      <c r="A636" s="9"/>
      <c r="B636" s="9"/>
      <c r="C636" s="9"/>
      <c r="D636" s="9"/>
      <c r="E636" s="9"/>
      <c r="F636" s="435"/>
      <c r="G636" s="9"/>
      <c r="H636" s="9"/>
      <c r="I636" s="9"/>
      <c r="J636" s="9"/>
      <c r="K636" s="9"/>
      <c r="L636" s="9"/>
      <c r="M636" s="9"/>
      <c r="N636" s="9"/>
      <c r="O636" s="9"/>
      <c r="P636" s="9"/>
      <c r="Q636" s="9"/>
      <c r="R636" s="9"/>
      <c r="S636" s="436"/>
      <c r="T636" s="436"/>
      <c r="U636" s="436"/>
      <c r="V636" s="436"/>
      <c r="W636" s="9"/>
      <c r="X636" s="9"/>
      <c r="Y636" s="9"/>
      <c r="Z636" s="9"/>
      <c r="AA636" s="9"/>
      <c r="AB636" s="9"/>
    </row>
    <row r="637">
      <c r="A637" s="9"/>
      <c r="B637" s="9"/>
      <c r="C637" s="9"/>
      <c r="D637" s="9"/>
      <c r="E637" s="9"/>
      <c r="F637" s="435"/>
      <c r="G637" s="9"/>
      <c r="H637" s="9"/>
      <c r="I637" s="9"/>
      <c r="J637" s="9"/>
      <c r="K637" s="9"/>
      <c r="L637" s="9"/>
      <c r="M637" s="9"/>
      <c r="N637" s="9"/>
      <c r="O637" s="9"/>
      <c r="P637" s="9"/>
      <c r="Q637" s="9"/>
      <c r="R637" s="9"/>
      <c r="S637" s="436"/>
      <c r="T637" s="436"/>
      <c r="U637" s="436"/>
      <c r="V637" s="436"/>
      <c r="W637" s="9"/>
      <c r="X637" s="9"/>
      <c r="Y637" s="9"/>
      <c r="Z637" s="9"/>
      <c r="AA637" s="9"/>
      <c r="AB637" s="9"/>
    </row>
    <row r="638">
      <c r="A638" s="9"/>
      <c r="B638" s="9"/>
      <c r="C638" s="9"/>
      <c r="D638" s="9"/>
      <c r="E638" s="9"/>
      <c r="F638" s="435"/>
      <c r="G638" s="9"/>
      <c r="H638" s="9"/>
      <c r="I638" s="9"/>
      <c r="J638" s="9"/>
      <c r="K638" s="9"/>
      <c r="L638" s="9"/>
      <c r="M638" s="9"/>
      <c r="N638" s="9"/>
      <c r="O638" s="9"/>
      <c r="P638" s="9"/>
      <c r="Q638" s="9"/>
      <c r="R638" s="9"/>
      <c r="S638" s="436"/>
      <c r="T638" s="436"/>
      <c r="U638" s="436"/>
      <c r="V638" s="436"/>
      <c r="W638" s="9"/>
      <c r="X638" s="9"/>
      <c r="Y638" s="9"/>
      <c r="Z638" s="9"/>
      <c r="AA638" s="9"/>
      <c r="AB638" s="9"/>
    </row>
    <row r="639">
      <c r="A639" s="9"/>
      <c r="B639" s="9"/>
      <c r="C639" s="9"/>
      <c r="D639" s="9"/>
      <c r="E639" s="9"/>
      <c r="F639" s="435"/>
      <c r="G639" s="9"/>
      <c r="H639" s="9"/>
      <c r="I639" s="9"/>
      <c r="J639" s="9"/>
      <c r="K639" s="9"/>
      <c r="L639" s="9"/>
      <c r="M639" s="9"/>
      <c r="N639" s="9"/>
      <c r="O639" s="9"/>
      <c r="P639" s="9"/>
      <c r="Q639" s="9"/>
      <c r="R639" s="9"/>
      <c r="S639" s="436"/>
      <c r="T639" s="436"/>
      <c r="U639" s="436"/>
      <c r="V639" s="436"/>
      <c r="W639" s="9"/>
      <c r="X639" s="9"/>
      <c r="Y639" s="9"/>
      <c r="Z639" s="9"/>
      <c r="AA639" s="9"/>
      <c r="AB639" s="9"/>
    </row>
    <row r="640">
      <c r="A640" s="9"/>
      <c r="B640" s="9"/>
      <c r="C640" s="9"/>
      <c r="D640" s="9"/>
      <c r="E640" s="9"/>
      <c r="F640" s="435"/>
      <c r="G640" s="9"/>
      <c r="H640" s="9"/>
      <c r="I640" s="9"/>
      <c r="J640" s="9"/>
      <c r="K640" s="9"/>
      <c r="L640" s="9"/>
      <c r="M640" s="9"/>
      <c r="N640" s="9"/>
      <c r="O640" s="9"/>
      <c r="P640" s="9"/>
      <c r="Q640" s="9"/>
      <c r="R640" s="9"/>
      <c r="S640" s="436"/>
      <c r="T640" s="436"/>
      <c r="U640" s="436"/>
      <c r="V640" s="436"/>
      <c r="W640" s="9"/>
      <c r="X640" s="9"/>
      <c r="Y640" s="9"/>
      <c r="Z640" s="9"/>
      <c r="AA640" s="9"/>
      <c r="AB640" s="9"/>
    </row>
    <row r="641">
      <c r="A641" s="9"/>
      <c r="B641" s="9"/>
      <c r="C641" s="9"/>
      <c r="D641" s="9"/>
      <c r="E641" s="9"/>
      <c r="F641" s="435"/>
      <c r="G641" s="9"/>
      <c r="H641" s="9"/>
      <c r="I641" s="9"/>
      <c r="J641" s="9"/>
      <c r="K641" s="9"/>
      <c r="L641" s="9"/>
      <c r="M641" s="9"/>
      <c r="N641" s="9"/>
      <c r="O641" s="9"/>
      <c r="P641" s="9"/>
      <c r="Q641" s="9"/>
      <c r="R641" s="9"/>
      <c r="S641" s="436"/>
      <c r="T641" s="436"/>
      <c r="U641" s="436"/>
      <c r="V641" s="436"/>
      <c r="W641" s="9"/>
      <c r="X641" s="9"/>
      <c r="Y641" s="9"/>
      <c r="Z641" s="9"/>
      <c r="AA641" s="9"/>
      <c r="AB641" s="9"/>
    </row>
    <row r="642">
      <c r="A642" s="9"/>
      <c r="B642" s="9"/>
      <c r="C642" s="9"/>
      <c r="D642" s="9"/>
      <c r="E642" s="9"/>
      <c r="F642" s="435"/>
      <c r="G642" s="9"/>
      <c r="H642" s="9"/>
      <c r="I642" s="9"/>
      <c r="J642" s="9"/>
      <c r="K642" s="9"/>
      <c r="L642" s="9"/>
      <c r="M642" s="9"/>
      <c r="N642" s="9"/>
      <c r="O642" s="9"/>
      <c r="P642" s="9"/>
      <c r="Q642" s="9"/>
      <c r="R642" s="9"/>
      <c r="S642" s="436"/>
      <c r="T642" s="436"/>
      <c r="U642" s="436"/>
      <c r="V642" s="436"/>
      <c r="W642" s="9"/>
      <c r="X642" s="9"/>
      <c r="Y642" s="9"/>
      <c r="Z642" s="9"/>
      <c r="AA642" s="9"/>
      <c r="AB642" s="9"/>
    </row>
    <row r="643">
      <c r="A643" s="9"/>
      <c r="B643" s="9"/>
      <c r="C643" s="9"/>
      <c r="D643" s="9"/>
      <c r="E643" s="9"/>
      <c r="F643" s="435"/>
      <c r="G643" s="9"/>
      <c r="H643" s="9"/>
      <c r="I643" s="9"/>
      <c r="J643" s="9"/>
      <c r="K643" s="9"/>
      <c r="L643" s="9"/>
      <c r="M643" s="9"/>
      <c r="N643" s="9"/>
      <c r="O643" s="9"/>
      <c r="P643" s="9"/>
      <c r="Q643" s="9"/>
      <c r="R643" s="9"/>
      <c r="S643" s="436"/>
      <c r="T643" s="436"/>
      <c r="U643" s="436"/>
      <c r="V643" s="436"/>
      <c r="W643" s="9"/>
      <c r="X643" s="9"/>
      <c r="Y643" s="9"/>
      <c r="Z643" s="9"/>
      <c r="AA643" s="9"/>
      <c r="AB643" s="9"/>
    </row>
    <row r="644">
      <c r="A644" s="9"/>
      <c r="B644" s="9"/>
      <c r="C644" s="9"/>
      <c r="D644" s="9"/>
      <c r="E644" s="9"/>
      <c r="F644" s="435"/>
      <c r="G644" s="9"/>
      <c r="H644" s="9"/>
      <c r="I644" s="9"/>
      <c r="J644" s="9"/>
      <c r="K644" s="9"/>
      <c r="L644" s="9"/>
      <c r="M644" s="9"/>
      <c r="N644" s="9"/>
      <c r="O644" s="9"/>
      <c r="P644" s="9"/>
      <c r="Q644" s="9"/>
      <c r="R644" s="9"/>
      <c r="S644" s="436"/>
      <c r="T644" s="436"/>
      <c r="U644" s="436"/>
      <c r="V644" s="436"/>
      <c r="W644" s="9"/>
      <c r="X644" s="9"/>
      <c r="Y644" s="9"/>
      <c r="Z644" s="9"/>
      <c r="AA644" s="9"/>
      <c r="AB644" s="9"/>
    </row>
    <row r="645">
      <c r="A645" s="9"/>
      <c r="B645" s="9"/>
      <c r="C645" s="9"/>
      <c r="D645" s="9"/>
      <c r="E645" s="9"/>
      <c r="F645" s="435"/>
      <c r="G645" s="9"/>
      <c r="H645" s="9"/>
      <c r="I645" s="9"/>
      <c r="J645" s="9"/>
      <c r="K645" s="9"/>
      <c r="L645" s="9"/>
      <c r="M645" s="9"/>
      <c r="N645" s="9"/>
      <c r="O645" s="9"/>
      <c r="P645" s="9"/>
      <c r="Q645" s="9"/>
      <c r="R645" s="9"/>
      <c r="S645" s="436"/>
      <c r="T645" s="436"/>
      <c r="U645" s="436"/>
      <c r="V645" s="436"/>
      <c r="W645" s="9"/>
      <c r="X645" s="9"/>
      <c r="Y645" s="9"/>
      <c r="Z645" s="9"/>
      <c r="AA645" s="9"/>
      <c r="AB645" s="9"/>
    </row>
    <row r="646">
      <c r="A646" s="9"/>
      <c r="B646" s="9"/>
      <c r="C646" s="9"/>
      <c r="D646" s="9"/>
      <c r="E646" s="9"/>
      <c r="F646" s="435"/>
      <c r="G646" s="9"/>
      <c r="H646" s="9"/>
      <c r="I646" s="9"/>
      <c r="J646" s="9"/>
      <c r="K646" s="9"/>
      <c r="L646" s="9"/>
      <c r="M646" s="9"/>
      <c r="N646" s="9"/>
      <c r="O646" s="9"/>
      <c r="P646" s="9"/>
      <c r="Q646" s="9"/>
      <c r="R646" s="9"/>
      <c r="S646" s="436"/>
      <c r="T646" s="436"/>
      <c r="U646" s="436"/>
      <c r="V646" s="436"/>
      <c r="W646" s="9"/>
      <c r="X646" s="9"/>
      <c r="Y646" s="9"/>
      <c r="Z646" s="9"/>
      <c r="AA646" s="9"/>
      <c r="AB646" s="9"/>
    </row>
    <row r="647">
      <c r="A647" s="9"/>
      <c r="B647" s="9"/>
      <c r="C647" s="9"/>
      <c r="D647" s="9"/>
      <c r="E647" s="9"/>
      <c r="F647" s="435"/>
      <c r="G647" s="9"/>
      <c r="H647" s="9"/>
      <c r="I647" s="9"/>
      <c r="J647" s="9"/>
      <c r="K647" s="9"/>
      <c r="L647" s="9"/>
      <c r="M647" s="9"/>
      <c r="N647" s="9"/>
      <c r="O647" s="9"/>
      <c r="P647" s="9"/>
      <c r="Q647" s="9"/>
      <c r="R647" s="9"/>
      <c r="S647" s="436"/>
      <c r="T647" s="436"/>
      <c r="U647" s="436"/>
      <c r="V647" s="436"/>
      <c r="W647" s="9"/>
      <c r="X647" s="9"/>
      <c r="Y647" s="9"/>
      <c r="Z647" s="9"/>
      <c r="AA647" s="9"/>
      <c r="AB647" s="9"/>
    </row>
    <row r="648">
      <c r="A648" s="9"/>
      <c r="B648" s="9"/>
      <c r="C648" s="9"/>
      <c r="D648" s="9"/>
      <c r="E648" s="9"/>
      <c r="F648" s="435"/>
      <c r="G648" s="9"/>
      <c r="H648" s="9"/>
      <c r="I648" s="9"/>
      <c r="J648" s="9"/>
      <c r="K648" s="9"/>
      <c r="L648" s="9"/>
      <c r="M648" s="9"/>
      <c r="N648" s="9"/>
      <c r="O648" s="9"/>
      <c r="P648" s="9"/>
      <c r="Q648" s="9"/>
      <c r="R648" s="9"/>
      <c r="S648" s="436"/>
      <c r="T648" s="436"/>
      <c r="U648" s="436"/>
      <c r="V648" s="436"/>
      <c r="W648" s="9"/>
      <c r="X648" s="9"/>
      <c r="Y648" s="9"/>
      <c r="Z648" s="9"/>
      <c r="AA648" s="9"/>
      <c r="AB648" s="9"/>
    </row>
    <row r="649">
      <c r="A649" s="9"/>
      <c r="B649" s="9"/>
      <c r="C649" s="9"/>
      <c r="D649" s="9"/>
      <c r="E649" s="9"/>
      <c r="F649" s="435"/>
      <c r="G649" s="9"/>
      <c r="H649" s="9"/>
      <c r="I649" s="9"/>
      <c r="J649" s="9"/>
      <c r="K649" s="9"/>
      <c r="L649" s="9"/>
      <c r="M649" s="9"/>
      <c r="N649" s="9"/>
      <c r="O649" s="9"/>
      <c r="P649" s="9"/>
      <c r="Q649" s="9"/>
      <c r="R649" s="9"/>
      <c r="S649" s="436"/>
      <c r="T649" s="436"/>
      <c r="U649" s="436"/>
      <c r="V649" s="436"/>
      <c r="W649" s="9"/>
      <c r="X649" s="9"/>
      <c r="Y649" s="9"/>
      <c r="Z649" s="9"/>
      <c r="AA649" s="9"/>
      <c r="AB649" s="9"/>
    </row>
    <row r="650">
      <c r="A650" s="9"/>
      <c r="B650" s="9"/>
      <c r="C650" s="9"/>
      <c r="D650" s="9"/>
      <c r="E650" s="9"/>
      <c r="F650" s="435"/>
      <c r="G650" s="9"/>
      <c r="H650" s="9"/>
      <c r="I650" s="9"/>
      <c r="J650" s="9"/>
      <c r="K650" s="9"/>
      <c r="L650" s="9"/>
      <c r="M650" s="9"/>
      <c r="N650" s="9"/>
      <c r="O650" s="9"/>
      <c r="P650" s="9"/>
      <c r="Q650" s="9"/>
      <c r="R650" s="9"/>
      <c r="S650" s="436"/>
      <c r="T650" s="436"/>
      <c r="U650" s="436"/>
      <c r="V650" s="436"/>
      <c r="W650" s="9"/>
      <c r="X650" s="9"/>
      <c r="Y650" s="9"/>
      <c r="Z650" s="9"/>
      <c r="AA650" s="9"/>
      <c r="AB650" s="9"/>
    </row>
    <row r="651">
      <c r="A651" s="9"/>
      <c r="B651" s="9"/>
      <c r="C651" s="9"/>
      <c r="D651" s="9"/>
      <c r="E651" s="9"/>
      <c r="F651" s="435"/>
      <c r="G651" s="9"/>
      <c r="H651" s="9"/>
      <c r="I651" s="9"/>
      <c r="J651" s="9"/>
      <c r="K651" s="9"/>
      <c r="L651" s="9"/>
      <c r="M651" s="9"/>
      <c r="N651" s="9"/>
      <c r="O651" s="9"/>
      <c r="P651" s="9"/>
      <c r="Q651" s="9"/>
      <c r="R651" s="9"/>
      <c r="S651" s="436"/>
      <c r="T651" s="436"/>
      <c r="U651" s="436"/>
      <c r="V651" s="436"/>
      <c r="W651" s="9"/>
      <c r="X651" s="9"/>
      <c r="Y651" s="9"/>
      <c r="Z651" s="9"/>
      <c r="AA651" s="9"/>
      <c r="AB651" s="9"/>
    </row>
    <row r="652">
      <c r="A652" s="9"/>
      <c r="B652" s="9"/>
      <c r="C652" s="9"/>
      <c r="D652" s="9"/>
      <c r="E652" s="9"/>
      <c r="F652" s="435"/>
      <c r="G652" s="9"/>
      <c r="H652" s="9"/>
      <c r="I652" s="9"/>
      <c r="J652" s="9"/>
      <c r="K652" s="9"/>
      <c r="L652" s="9"/>
      <c r="M652" s="9"/>
      <c r="N652" s="9"/>
      <c r="O652" s="9"/>
      <c r="P652" s="9"/>
      <c r="Q652" s="9"/>
      <c r="R652" s="9"/>
      <c r="S652" s="436"/>
      <c r="T652" s="436"/>
      <c r="U652" s="436"/>
      <c r="V652" s="436"/>
      <c r="W652" s="9"/>
      <c r="X652" s="9"/>
      <c r="Y652" s="9"/>
      <c r="Z652" s="9"/>
      <c r="AA652" s="9"/>
      <c r="AB652" s="9"/>
    </row>
    <row r="653">
      <c r="A653" s="9"/>
      <c r="B653" s="9"/>
      <c r="C653" s="9"/>
      <c r="D653" s="9"/>
      <c r="E653" s="9"/>
      <c r="F653" s="435"/>
      <c r="G653" s="9"/>
      <c r="H653" s="9"/>
      <c r="I653" s="9"/>
      <c r="J653" s="9"/>
      <c r="K653" s="9"/>
      <c r="L653" s="9"/>
      <c r="M653" s="9"/>
      <c r="N653" s="9"/>
      <c r="O653" s="9"/>
      <c r="P653" s="9"/>
      <c r="Q653" s="9"/>
      <c r="R653" s="9"/>
      <c r="S653" s="436"/>
      <c r="T653" s="436"/>
      <c r="U653" s="436"/>
      <c r="V653" s="436"/>
      <c r="W653" s="9"/>
      <c r="X653" s="9"/>
      <c r="Y653" s="9"/>
      <c r="Z653" s="9"/>
      <c r="AA653" s="9"/>
      <c r="AB653" s="9"/>
    </row>
    <row r="654">
      <c r="A654" s="9"/>
      <c r="B654" s="9"/>
      <c r="C654" s="9"/>
      <c r="D654" s="9"/>
      <c r="E654" s="9"/>
      <c r="F654" s="435"/>
      <c r="G654" s="9"/>
      <c r="H654" s="9"/>
      <c r="I654" s="9"/>
      <c r="J654" s="9"/>
      <c r="K654" s="9"/>
      <c r="L654" s="9"/>
      <c r="M654" s="9"/>
      <c r="N654" s="9"/>
      <c r="O654" s="9"/>
      <c r="P654" s="9"/>
      <c r="Q654" s="9"/>
      <c r="R654" s="9"/>
      <c r="S654" s="436"/>
      <c r="T654" s="436"/>
      <c r="U654" s="436"/>
      <c r="V654" s="436"/>
      <c r="W654" s="9"/>
      <c r="X654" s="9"/>
      <c r="Y654" s="9"/>
      <c r="Z654" s="9"/>
      <c r="AA654" s="9"/>
      <c r="AB654" s="9"/>
    </row>
    <row r="655">
      <c r="A655" s="9"/>
      <c r="B655" s="9"/>
      <c r="C655" s="9"/>
      <c r="D655" s="9"/>
      <c r="E655" s="9"/>
      <c r="F655" s="435"/>
      <c r="G655" s="9"/>
      <c r="H655" s="9"/>
      <c r="I655" s="9"/>
      <c r="J655" s="9"/>
      <c r="K655" s="9"/>
      <c r="L655" s="9"/>
      <c r="M655" s="9"/>
      <c r="N655" s="9"/>
      <c r="O655" s="9"/>
      <c r="P655" s="9"/>
      <c r="Q655" s="9"/>
      <c r="R655" s="9"/>
      <c r="S655" s="436"/>
      <c r="T655" s="436"/>
      <c r="U655" s="436"/>
      <c r="V655" s="436"/>
      <c r="W655" s="9"/>
      <c r="X655" s="9"/>
      <c r="Y655" s="9"/>
      <c r="Z655" s="9"/>
      <c r="AA655" s="9"/>
      <c r="AB655" s="9"/>
    </row>
    <row r="656">
      <c r="A656" s="9"/>
      <c r="B656" s="9"/>
      <c r="C656" s="9"/>
      <c r="D656" s="9"/>
      <c r="E656" s="9"/>
      <c r="F656" s="435"/>
      <c r="G656" s="9"/>
      <c r="H656" s="9"/>
      <c r="I656" s="9"/>
      <c r="J656" s="9"/>
      <c r="K656" s="9"/>
      <c r="L656" s="9"/>
      <c r="M656" s="9"/>
      <c r="N656" s="9"/>
      <c r="O656" s="9"/>
      <c r="P656" s="9"/>
      <c r="Q656" s="9"/>
      <c r="R656" s="9"/>
      <c r="S656" s="436"/>
      <c r="T656" s="436"/>
      <c r="U656" s="436"/>
      <c r="V656" s="436"/>
      <c r="W656" s="9"/>
      <c r="X656" s="9"/>
      <c r="Y656" s="9"/>
      <c r="Z656" s="9"/>
      <c r="AA656" s="9"/>
      <c r="AB656" s="9"/>
    </row>
    <row r="657">
      <c r="A657" s="9"/>
      <c r="B657" s="9"/>
      <c r="C657" s="9"/>
      <c r="D657" s="9"/>
      <c r="E657" s="9"/>
      <c r="F657" s="435"/>
      <c r="G657" s="9"/>
      <c r="H657" s="9"/>
      <c r="I657" s="9"/>
      <c r="J657" s="9"/>
      <c r="K657" s="9"/>
      <c r="L657" s="9"/>
      <c r="M657" s="9"/>
      <c r="N657" s="9"/>
      <c r="O657" s="9"/>
      <c r="P657" s="9"/>
      <c r="Q657" s="9"/>
      <c r="R657" s="9"/>
      <c r="S657" s="436"/>
      <c r="T657" s="436"/>
      <c r="U657" s="436"/>
      <c r="V657" s="436"/>
      <c r="W657" s="9"/>
      <c r="X657" s="9"/>
      <c r="Y657" s="9"/>
      <c r="Z657" s="9"/>
      <c r="AA657" s="9"/>
      <c r="AB657" s="9"/>
    </row>
    <row r="658">
      <c r="A658" s="9"/>
      <c r="B658" s="9"/>
      <c r="C658" s="9"/>
      <c r="D658" s="9"/>
      <c r="E658" s="9"/>
      <c r="F658" s="435"/>
      <c r="G658" s="9"/>
      <c r="H658" s="9"/>
      <c r="I658" s="9"/>
      <c r="J658" s="9"/>
      <c r="K658" s="9"/>
      <c r="L658" s="9"/>
      <c r="M658" s="9"/>
      <c r="N658" s="9"/>
      <c r="O658" s="9"/>
      <c r="P658" s="9"/>
      <c r="Q658" s="9"/>
      <c r="R658" s="9"/>
      <c r="S658" s="436"/>
      <c r="T658" s="436"/>
      <c r="U658" s="436"/>
      <c r="V658" s="436"/>
      <c r="W658" s="9"/>
      <c r="X658" s="9"/>
      <c r="Y658" s="9"/>
      <c r="Z658" s="9"/>
      <c r="AA658" s="9"/>
      <c r="AB658" s="9"/>
    </row>
    <row r="659">
      <c r="A659" s="9"/>
      <c r="B659" s="9"/>
      <c r="C659" s="9"/>
      <c r="D659" s="9"/>
      <c r="E659" s="9"/>
      <c r="F659" s="435"/>
      <c r="G659" s="9"/>
      <c r="H659" s="9"/>
      <c r="I659" s="9"/>
      <c r="J659" s="9"/>
      <c r="K659" s="9"/>
      <c r="L659" s="9"/>
      <c r="M659" s="9"/>
      <c r="N659" s="9"/>
      <c r="O659" s="9"/>
      <c r="P659" s="9"/>
      <c r="Q659" s="9"/>
      <c r="R659" s="9"/>
      <c r="S659" s="436"/>
      <c r="T659" s="436"/>
      <c r="U659" s="436"/>
      <c r="V659" s="436"/>
      <c r="W659" s="9"/>
      <c r="X659" s="9"/>
      <c r="Y659" s="9"/>
      <c r="Z659" s="9"/>
      <c r="AA659" s="9"/>
      <c r="AB659" s="9"/>
    </row>
    <row r="660">
      <c r="A660" s="9"/>
      <c r="B660" s="9"/>
      <c r="C660" s="9"/>
      <c r="D660" s="9"/>
      <c r="E660" s="9"/>
      <c r="F660" s="435"/>
      <c r="G660" s="9"/>
      <c r="H660" s="9"/>
      <c r="I660" s="9"/>
      <c r="J660" s="9"/>
      <c r="K660" s="9"/>
      <c r="L660" s="9"/>
      <c r="M660" s="9"/>
      <c r="N660" s="9"/>
      <c r="O660" s="9"/>
      <c r="P660" s="9"/>
      <c r="Q660" s="9"/>
      <c r="R660" s="9"/>
      <c r="S660" s="436"/>
      <c r="T660" s="436"/>
      <c r="U660" s="436"/>
      <c r="V660" s="436"/>
      <c r="W660" s="9"/>
      <c r="X660" s="9"/>
      <c r="Y660" s="9"/>
      <c r="Z660" s="9"/>
      <c r="AA660" s="9"/>
      <c r="AB660" s="9"/>
    </row>
    <row r="661">
      <c r="A661" s="9"/>
      <c r="B661" s="9"/>
      <c r="C661" s="9"/>
      <c r="D661" s="9"/>
      <c r="E661" s="9"/>
      <c r="F661" s="435"/>
      <c r="G661" s="9"/>
      <c r="H661" s="9"/>
      <c r="I661" s="9"/>
      <c r="J661" s="9"/>
      <c r="K661" s="9"/>
      <c r="L661" s="9"/>
      <c r="M661" s="9"/>
      <c r="N661" s="9"/>
      <c r="O661" s="9"/>
      <c r="P661" s="9"/>
      <c r="Q661" s="9"/>
      <c r="R661" s="9"/>
      <c r="S661" s="436"/>
      <c r="T661" s="436"/>
      <c r="U661" s="436"/>
      <c r="V661" s="436"/>
      <c r="W661" s="9"/>
      <c r="X661" s="9"/>
      <c r="Y661" s="9"/>
      <c r="Z661" s="9"/>
      <c r="AA661" s="9"/>
      <c r="AB661" s="9"/>
    </row>
    <row r="662">
      <c r="A662" s="9"/>
      <c r="B662" s="9"/>
      <c r="C662" s="9"/>
      <c r="D662" s="9"/>
      <c r="E662" s="9"/>
      <c r="F662" s="435"/>
      <c r="G662" s="9"/>
      <c r="H662" s="9"/>
      <c r="I662" s="9"/>
      <c r="J662" s="9"/>
      <c r="K662" s="9"/>
      <c r="L662" s="9"/>
      <c r="M662" s="9"/>
      <c r="N662" s="9"/>
      <c r="O662" s="9"/>
      <c r="P662" s="9"/>
      <c r="Q662" s="9"/>
      <c r="R662" s="9"/>
      <c r="S662" s="436"/>
      <c r="T662" s="436"/>
      <c r="U662" s="436"/>
      <c r="V662" s="436"/>
      <c r="W662" s="9"/>
      <c r="X662" s="9"/>
      <c r="Y662" s="9"/>
      <c r="Z662" s="9"/>
      <c r="AA662" s="9"/>
      <c r="AB662" s="9"/>
    </row>
    <row r="663">
      <c r="A663" s="9"/>
      <c r="B663" s="9"/>
      <c r="C663" s="9"/>
      <c r="D663" s="9"/>
      <c r="E663" s="9"/>
      <c r="F663" s="435"/>
      <c r="G663" s="9"/>
      <c r="H663" s="9"/>
      <c r="I663" s="9"/>
      <c r="J663" s="9"/>
      <c r="K663" s="9"/>
      <c r="L663" s="9"/>
      <c r="M663" s="9"/>
      <c r="N663" s="9"/>
      <c r="O663" s="9"/>
      <c r="P663" s="9"/>
      <c r="Q663" s="9"/>
      <c r="R663" s="9"/>
      <c r="S663" s="436"/>
      <c r="T663" s="436"/>
      <c r="U663" s="436"/>
      <c r="V663" s="436"/>
      <c r="W663" s="9"/>
      <c r="X663" s="9"/>
      <c r="Y663" s="9"/>
      <c r="Z663" s="9"/>
      <c r="AA663" s="9"/>
      <c r="AB663" s="9"/>
    </row>
    <row r="664">
      <c r="A664" s="9"/>
      <c r="B664" s="9"/>
      <c r="C664" s="9"/>
      <c r="D664" s="9"/>
      <c r="E664" s="9"/>
      <c r="F664" s="435"/>
      <c r="G664" s="9"/>
      <c r="H664" s="9"/>
      <c r="I664" s="9"/>
      <c r="J664" s="9"/>
      <c r="K664" s="9"/>
      <c r="L664" s="9"/>
      <c r="M664" s="9"/>
      <c r="N664" s="9"/>
      <c r="O664" s="9"/>
      <c r="P664" s="9"/>
      <c r="Q664" s="9"/>
      <c r="R664" s="9"/>
      <c r="S664" s="436"/>
      <c r="T664" s="436"/>
      <c r="U664" s="436"/>
      <c r="V664" s="436"/>
      <c r="W664" s="9"/>
      <c r="X664" s="9"/>
      <c r="Y664" s="9"/>
      <c r="Z664" s="9"/>
      <c r="AA664" s="9"/>
      <c r="AB664" s="9"/>
    </row>
    <row r="665">
      <c r="A665" s="9"/>
      <c r="B665" s="9"/>
      <c r="C665" s="9"/>
      <c r="D665" s="9"/>
      <c r="E665" s="9"/>
      <c r="F665" s="435"/>
      <c r="G665" s="9"/>
      <c r="H665" s="9"/>
      <c r="I665" s="9"/>
      <c r="J665" s="9"/>
      <c r="K665" s="9"/>
      <c r="L665" s="9"/>
      <c r="M665" s="9"/>
      <c r="N665" s="9"/>
      <c r="O665" s="9"/>
      <c r="P665" s="9"/>
      <c r="Q665" s="9"/>
      <c r="R665" s="9"/>
      <c r="S665" s="436"/>
      <c r="T665" s="436"/>
      <c r="U665" s="436"/>
      <c r="V665" s="436"/>
      <c r="W665" s="9"/>
      <c r="X665" s="9"/>
      <c r="Y665" s="9"/>
      <c r="Z665" s="9"/>
      <c r="AA665" s="9"/>
      <c r="AB665" s="9"/>
    </row>
    <row r="666">
      <c r="A666" s="9"/>
      <c r="B666" s="9"/>
      <c r="C666" s="9"/>
      <c r="D666" s="9"/>
      <c r="E666" s="9"/>
      <c r="F666" s="435"/>
      <c r="G666" s="9"/>
      <c r="H666" s="9"/>
      <c r="I666" s="9"/>
      <c r="J666" s="9"/>
      <c r="K666" s="9"/>
      <c r="L666" s="9"/>
      <c r="M666" s="9"/>
      <c r="N666" s="9"/>
      <c r="O666" s="9"/>
      <c r="P666" s="9"/>
      <c r="Q666" s="9"/>
      <c r="R666" s="9"/>
      <c r="S666" s="436"/>
      <c r="T666" s="436"/>
      <c r="U666" s="436"/>
      <c r="V666" s="436"/>
      <c r="W666" s="9"/>
      <c r="X666" s="9"/>
      <c r="Y666" s="9"/>
      <c r="Z666" s="9"/>
      <c r="AA666" s="9"/>
      <c r="AB666" s="9"/>
    </row>
    <row r="667">
      <c r="A667" s="9"/>
      <c r="B667" s="9"/>
      <c r="C667" s="9"/>
      <c r="D667" s="9"/>
      <c r="E667" s="9"/>
      <c r="F667" s="435"/>
      <c r="G667" s="9"/>
      <c r="H667" s="9"/>
      <c r="I667" s="9"/>
      <c r="J667" s="9"/>
      <c r="K667" s="9"/>
      <c r="L667" s="9"/>
      <c r="M667" s="9"/>
      <c r="N667" s="9"/>
      <c r="O667" s="9"/>
      <c r="P667" s="9"/>
      <c r="Q667" s="9"/>
      <c r="R667" s="9"/>
      <c r="S667" s="436"/>
      <c r="T667" s="436"/>
      <c r="U667" s="436"/>
      <c r="V667" s="436"/>
      <c r="W667" s="9"/>
      <c r="X667" s="9"/>
      <c r="Y667" s="9"/>
      <c r="Z667" s="9"/>
      <c r="AA667" s="9"/>
      <c r="AB667" s="9"/>
    </row>
    <row r="668">
      <c r="A668" s="9"/>
      <c r="B668" s="9"/>
      <c r="C668" s="9"/>
      <c r="D668" s="9"/>
      <c r="E668" s="9"/>
      <c r="F668" s="435"/>
      <c r="G668" s="9"/>
      <c r="H668" s="9"/>
      <c r="I668" s="9"/>
      <c r="J668" s="9"/>
      <c r="K668" s="9"/>
      <c r="L668" s="9"/>
      <c r="M668" s="9"/>
      <c r="N668" s="9"/>
      <c r="O668" s="9"/>
      <c r="P668" s="9"/>
      <c r="Q668" s="9"/>
      <c r="R668" s="9"/>
      <c r="S668" s="436"/>
      <c r="T668" s="436"/>
      <c r="U668" s="436"/>
      <c r="V668" s="436"/>
      <c r="W668" s="9"/>
      <c r="X668" s="9"/>
      <c r="Y668" s="9"/>
      <c r="Z668" s="9"/>
      <c r="AA668" s="9"/>
      <c r="AB668" s="9"/>
    </row>
    <row r="669">
      <c r="A669" s="9"/>
      <c r="B669" s="9"/>
      <c r="C669" s="9"/>
      <c r="D669" s="9"/>
      <c r="E669" s="9"/>
      <c r="F669" s="435"/>
      <c r="G669" s="9"/>
      <c r="H669" s="9"/>
      <c r="I669" s="9"/>
      <c r="J669" s="9"/>
      <c r="K669" s="9"/>
      <c r="L669" s="9"/>
      <c r="M669" s="9"/>
      <c r="N669" s="9"/>
      <c r="O669" s="9"/>
      <c r="P669" s="9"/>
      <c r="Q669" s="9"/>
      <c r="R669" s="9"/>
      <c r="S669" s="436"/>
      <c r="T669" s="436"/>
      <c r="U669" s="436"/>
      <c r="V669" s="436"/>
      <c r="W669" s="9"/>
      <c r="X669" s="9"/>
      <c r="Y669" s="9"/>
      <c r="Z669" s="9"/>
      <c r="AA669" s="9"/>
      <c r="AB669" s="9"/>
    </row>
    <row r="670">
      <c r="A670" s="9"/>
      <c r="B670" s="9"/>
      <c r="C670" s="9"/>
      <c r="D670" s="9"/>
      <c r="E670" s="9"/>
      <c r="F670" s="435"/>
      <c r="G670" s="9"/>
      <c r="H670" s="9"/>
      <c r="I670" s="9"/>
      <c r="J670" s="9"/>
      <c r="K670" s="9"/>
      <c r="L670" s="9"/>
      <c r="M670" s="9"/>
      <c r="N670" s="9"/>
      <c r="O670" s="9"/>
      <c r="P670" s="9"/>
      <c r="Q670" s="9"/>
      <c r="R670" s="9"/>
      <c r="S670" s="436"/>
      <c r="T670" s="436"/>
      <c r="U670" s="436"/>
      <c r="V670" s="436"/>
      <c r="W670" s="9"/>
      <c r="X670" s="9"/>
      <c r="Y670" s="9"/>
      <c r="Z670" s="9"/>
      <c r="AA670" s="9"/>
      <c r="AB670" s="9"/>
    </row>
    <row r="671">
      <c r="A671" s="9"/>
      <c r="B671" s="9"/>
      <c r="C671" s="9"/>
      <c r="D671" s="9"/>
      <c r="E671" s="9"/>
      <c r="F671" s="435"/>
      <c r="G671" s="9"/>
      <c r="H671" s="9"/>
      <c r="I671" s="9"/>
      <c r="J671" s="9"/>
      <c r="K671" s="9"/>
      <c r="L671" s="9"/>
      <c r="M671" s="9"/>
      <c r="N671" s="9"/>
      <c r="O671" s="9"/>
      <c r="P671" s="9"/>
      <c r="Q671" s="9"/>
      <c r="R671" s="9"/>
      <c r="S671" s="436"/>
      <c r="T671" s="436"/>
      <c r="U671" s="436"/>
      <c r="V671" s="436"/>
      <c r="W671" s="9"/>
      <c r="X671" s="9"/>
      <c r="Y671" s="9"/>
      <c r="Z671" s="9"/>
      <c r="AA671" s="9"/>
      <c r="AB671" s="9"/>
    </row>
    <row r="672">
      <c r="A672" s="9"/>
      <c r="B672" s="9"/>
      <c r="C672" s="9"/>
      <c r="D672" s="9"/>
      <c r="E672" s="9"/>
      <c r="F672" s="435"/>
      <c r="G672" s="9"/>
      <c r="H672" s="9"/>
      <c r="I672" s="9"/>
      <c r="J672" s="9"/>
      <c r="K672" s="9"/>
      <c r="L672" s="9"/>
      <c r="M672" s="9"/>
      <c r="N672" s="9"/>
      <c r="O672" s="9"/>
      <c r="P672" s="9"/>
      <c r="Q672" s="9"/>
      <c r="R672" s="9"/>
      <c r="S672" s="436"/>
      <c r="T672" s="436"/>
      <c r="U672" s="436"/>
      <c r="V672" s="436"/>
      <c r="W672" s="9"/>
      <c r="X672" s="9"/>
      <c r="Y672" s="9"/>
      <c r="Z672" s="9"/>
      <c r="AA672" s="9"/>
      <c r="AB672" s="9"/>
    </row>
    <row r="673">
      <c r="A673" s="9"/>
      <c r="B673" s="9"/>
      <c r="C673" s="9"/>
      <c r="D673" s="9"/>
      <c r="E673" s="9"/>
      <c r="F673" s="435"/>
      <c r="G673" s="9"/>
      <c r="H673" s="9"/>
      <c r="I673" s="9"/>
      <c r="J673" s="9"/>
      <c r="K673" s="9"/>
      <c r="L673" s="9"/>
      <c r="M673" s="9"/>
      <c r="N673" s="9"/>
      <c r="O673" s="9"/>
      <c r="P673" s="9"/>
      <c r="Q673" s="9"/>
      <c r="R673" s="9"/>
      <c r="S673" s="436"/>
      <c r="T673" s="436"/>
      <c r="U673" s="436"/>
      <c r="V673" s="436"/>
      <c r="W673" s="9"/>
      <c r="X673" s="9"/>
      <c r="Y673" s="9"/>
      <c r="Z673" s="9"/>
      <c r="AA673" s="9"/>
      <c r="AB673" s="9"/>
    </row>
    <row r="674">
      <c r="A674" s="9"/>
      <c r="B674" s="9"/>
      <c r="C674" s="9"/>
      <c r="D674" s="9"/>
      <c r="E674" s="9"/>
      <c r="F674" s="435"/>
      <c r="G674" s="9"/>
      <c r="H674" s="9"/>
      <c r="I674" s="9"/>
      <c r="J674" s="9"/>
      <c r="K674" s="9"/>
      <c r="L674" s="9"/>
      <c r="M674" s="9"/>
      <c r="N674" s="9"/>
      <c r="O674" s="9"/>
      <c r="P674" s="9"/>
      <c r="Q674" s="9"/>
      <c r="R674" s="9"/>
      <c r="S674" s="436"/>
      <c r="T674" s="436"/>
      <c r="U674" s="436"/>
      <c r="V674" s="436"/>
      <c r="W674" s="9"/>
      <c r="X674" s="9"/>
      <c r="Y674" s="9"/>
      <c r="Z674" s="9"/>
      <c r="AA674" s="9"/>
      <c r="AB674" s="9"/>
    </row>
    <row r="675">
      <c r="A675" s="9"/>
      <c r="B675" s="9"/>
      <c r="C675" s="9"/>
      <c r="D675" s="9"/>
      <c r="E675" s="9"/>
      <c r="F675" s="435"/>
      <c r="G675" s="9"/>
      <c r="H675" s="9"/>
      <c r="I675" s="9"/>
      <c r="J675" s="9"/>
      <c r="K675" s="9"/>
      <c r="L675" s="9"/>
      <c r="M675" s="9"/>
      <c r="N675" s="9"/>
      <c r="O675" s="9"/>
      <c r="P675" s="9"/>
      <c r="Q675" s="9"/>
      <c r="R675" s="9"/>
      <c r="S675" s="436"/>
      <c r="T675" s="436"/>
      <c r="U675" s="436"/>
      <c r="V675" s="436"/>
      <c r="W675" s="9"/>
      <c r="X675" s="9"/>
      <c r="Y675" s="9"/>
      <c r="Z675" s="9"/>
      <c r="AA675" s="9"/>
      <c r="AB675" s="9"/>
    </row>
    <row r="676">
      <c r="A676" s="9"/>
      <c r="B676" s="9"/>
      <c r="C676" s="9"/>
      <c r="D676" s="9"/>
      <c r="E676" s="9"/>
      <c r="F676" s="435"/>
      <c r="G676" s="9"/>
      <c r="H676" s="9"/>
      <c r="I676" s="9"/>
      <c r="J676" s="9"/>
      <c r="K676" s="9"/>
      <c r="L676" s="9"/>
      <c r="M676" s="9"/>
      <c r="N676" s="9"/>
      <c r="O676" s="9"/>
      <c r="P676" s="9"/>
      <c r="Q676" s="9"/>
      <c r="R676" s="9"/>
      <c r="S676" s="436"/>
      <c r="T676" s="436"/>
      <c r="U676" s="436"/>
      <c r="V676" s="436"/>
      <c r="W676" s="9"/>
      <c r="X676" s="9"/>
      <c r="Y676" s="9"/>
      <c r="Z676" s="9"/>
      <c r="AA676" s="9"/>
      <c r="AB676" s="9"/>
    </row>
    <row r="677">
      <c r="A677" s="9"/>
      <c r="B677" s="9"/>
      <c r="C677" s="9"/>
      <c r="D677" s="9"/>
      <c r="E677" s="9"/>
      <c r="F677" s="435"/>
      <c r="G677" s="9"/>
      <c r="H677" s="9"/>
      <c r="I677" s="9"/>
      <c r="J677" s="9"/>
      <c r="K677" s="9"/>
      <c r="L677" s="9"/>
      <c r="M677" s="9"/>
      <c r="N677" s="9"/>
      <c r="O677" s="9"/>
      <c r="P677" s="9"/>
      <c r="Q677" s="9"/>
      <c r="R677" s="9"/>
      <c r="S677" s="436"/>
      <c r="T677" s="436"/>
      <c r="U677" s="436"/>
      <c r="V677" s="436"/>
      <c r="W677" s="9"/>
      <c r="X677" s="9"/>
      <c r="Y677" s="9"/>
      <c r="Z677" s="9"/>
      <c r="AA677" s="9"/>
      <c r="AB677" s="9"/>
    </row>
    <row r="678">
      <c r="A678" s="9"/>
      <c r="B678" s="9"/>
      <c r="C678" s="9"/>
      <c r="D678" s="9"/>
      <c r="E678" s="9"/>
      <c r="F678" s="435"/>
      <c r="G678" s="9"/>
      <c r="H678" s="9"/>
      <c r="I678" s="9"/>
      <c r="J678" s="9"/>
      <c r="K678" s="9"/>
      <c r="L678" s="9"/>
      <c r="M678" s="9"/>
      <c r="N678" s="9"/>
      <c r="O678" s="9"/>
      <c r="P678" s="9"/>
      <c r="Q678" s="9"/>
      <c r="R678" s="9"/>
      <c r="S678" s="436"/>
      <c r="T678" s="436"/>
      <c r="U678" s="436"/>
      <c r="V678" s="436"/>
      <c r="W678" s="9"/>
      <c r="X678" s="9"/>
      <c r="Y678" s="9"/>
      <c r="Z678" s="9"/>
      <c r="AA678" s="9"/>
      <c r="AB678" s="9"/>
    </row>
    <row r="679">
      <c r="A679" s="9"/>
      <c r="B679" s="9"/>
      <c r="C679" s="9"/>
      <c r="D679" s="9"/>
      <c r="E679" s="9"/>
      <c r="F679" s="435"/>
      <c r="G679" s="9"/>
      <c r="H679" s="9"/>
      <c r="I679" s="9"/>
      <c r="J679" s="9"/>
      <c r="K679" s="9"/>
      <c r="L679" s="9"/>
      <c r="M679" s="9"/>
      <c r="N679" s="9"/>
      <c r="O679" s="9"/>
      <c r="P679" s="9"/>
      <c r="Q679" s="9"/>
      <c r="R679" s="9"/>
      <c r="S679" s="436"/>
      <c r="T679" s="436"/>
      <c r="U679" s="436"/>
      <c r="V679" s="436"/>
      <c r="W679" s="9"/>
      <c r="X679" s="9"/>
      <c r="Y679" s="9"/>
      <c r="Z679" s="9"/>
      <c r="AA679" s="9"/>
      <c r="AB679" s="9"/>
    </row>
    <row r="680">
      <c r="A680" s="9"/>
      <c r="B680" s="9"/>
      <c r="C680" s="9"/>
      <c r="D680" s="9"/>
      <c r="E680" s="9"/>
      <c r="F680" s="435"/>
      <c r="G680" s="9"/>
      <c r="H680" s="9"/>
      <c r="I680" s="9"/>
      <c r="J680" s="9"/>
      <c r="K680" s="9"/>
      <c r="L680" s="9"/>
      <c r="M680" s="9"/>
      <c r="N680" s="9"/>
      <c r="O680" s="9"/>
      <c r="P680" s="9"/>
      <c r="Q680" s="9"/>
      <c r="R680" s="9"/>
      <c r="S680" s="436"/>
      <c r="T680" s="436"/>
      <c r="U680" s="436"/>
      <c r="V680" s="436"/>
      <c r="W680" s="9"/>
      <c r="X680" s="9"/>
      <c r="Y680" s="9"/>
      <c r="Z680" s="9"/>
      <c r="AA680" s="9"/>
      <c r="AB680" s="9"/>
    </row>
    <row r="681">
      <c r="A681" s="9"/>
      <c r="B681" s="9"/>
      <c r="C681" s="9"/>
      <c r="D681" s="9"/>
      <c r="E681" s="9"/>
      <c r="F681" s="435"/>
      <c r="G681" s="9"/>
      <c r="H681" s="9"/>
      <c r="I681" s="9"/>
      <c r="J681" s="9"/>
      <c r="K681" s="9"/>
      <c r="L681" s="9"/>
      <c r="M681" s="9"/>
      <c r="N681" s="9"/>
      <c r="O681" s="9"/>
      <c r="P681" s="9"/>
      <c r="Q681" s="9"/>
      <c r="R681" s="9"/>
      <c r="S681" s="436"/>
      <c r="T681" s="436"/>
      <c r="U681" s="436"/>
      <c r="V681" s="436"/>
      <c r="W681" s="9"/>
      <c r="X681" s="9"/>
      <c r="Y681" s="9"/>
      <c r="Z681" s="9"/>
      <c r="AA681" s="9"/>
      <c r="AB681" s="9"/>
    </row>
    <row r="682">
      <c r="A682" s="9"/>
      <c r="B682" s="9"/>
      <c r="C682" s="9"/>
      <c r="D682" s="9"/>
      <c r="E682" s="9"/>
      <c r="F682" s="435"/>
      <c r="G682" s="9"/>
      <c r="H682" s="9"/>
      <c r="I682" s="9"/>
      <c r="J682" s="9"/>
      <c r="K682" s="9"/>
      <c r="L682" s="9"/>
      <c r="M682" s="9"/>
      <c r="N682" s="9"/>
      <c r="O682" s="9"/>
      <c r="P682" s="9"/>
      <c r="Q682" s="9"/>
      <c r="R682" s="9"/>
      <c r="S682" s="436"/>
      <c r="T682" s="436"/>
      <c r="U682" s="436"/>
      <c r="V682" s="436"/>
      <c r="W682" s="9"/>
      <c r="X682" s="9"/>
      <c r="Y682" s="9"/>
      <c r="Z682" s="9"/>
      <c r="AA682" s="9"/>
      <c r="AB682" s="9"/>
    </row>
    <row r="683">
      <c r="A683" s="9"/>
      <c r="B683" s="9"/>
      <c r="C683" s="9"/>
      <c r="D683" s="9"/>
      <c r="E683" s="9"/>
      <c r="F683" s="435"/>
      <c r="G683" s="9"/>
      <c r="H683" s="9"/>
      <c r="I683" s="9"/>
      <c r="J683" s="9"/>
      <c r="K683" s="9"/>
      <c r="L683" s="9"/>
      <c r="M683" s="9"/>
      <c r="N683" s="9"/>
      <c r="O683" s="9"/>
      <c r="P683" s="9"/>
      <c r="Q683" s="9"/>
      <c r="R683" s="9"/>
      <c r="S683" s="436"/>
      <c r="T683" s="436"/>
      <c r="U683" s="436"/>
      <c r="V683" s="436"/>
      <c r="W683" s="9"/>
      <c r="X683" s="9"/>
      <c r="Y683" s="9"/>
      <c r="Z683" s="9"/>
      <c r="AA683" s="9"/>
      <c r="AB683" s="9"/>
    </row>
    <row r="684">
      <c r="A684" s="9"/>
      <c r="B684" s="9"/>
      <c r="C684" s="9"/>
      <c r="D684" s="9"/>
      <c r="E684" s="9"/>
      <c r="F684" s="435"/>
      <c r="G684" s="9"/>
      <c r="H684" s="9"/>
      <c r="I684" s="9"/>
      <c r="J684" s="9"/>
      <c r="K684" s="9"/>
      <c r="L684" s="9"/>
      <c r="M684" s="9"/>
      <c r="N684" s="9"/>
      <c r="O684" s="9"/>
      <c r="P684" s="9"/>
      <c r="Q684" s="9"/>
      <c r="R684" s="9"/>
      <c r="S684" s="436"/>
      <c r="T684" s="436"/>
      <c r="U684" s="436"/>
      <c r="V684" s="436"/>
      <c r="W684" s="9"/>
      <c r="X684" s="9"/>
      <c r="Y684" s="9"/>
      <c r="Z684" s="9"/>
      <c r="AA684" s="9"/>
      <c r="AB684" s="9"/>
    </row>
    <row r="685">
      <c r="A685" s="9"/>
      <c r="B685" s="9"/>
      <c r="C685" s="9"/>
      <c r="D685" s="9"/>
      <c r="E685" s="9"/>
      <c r="F685" s="435"/>
      <c r="G685" s="9"/>
      <c r="H685" s="9"/>
      <c r="I685" s="9"/>
      <c r="J685" s="9"/>
      <c r="K685" s="9"/>
      <c r="L685" s="9"/>
      <c r="M685" s="9"/>
      <c r="N685" s="9"/>
      <c r="O685" s="9"/>
      <c r="P685" s="9"/>
      <c r="Q685" s="9"/>
      <c r="R685" s="9"/>
      <c r="S685" s="436"/>
      <c r="T685" s="436"/>
      <c r="U685" s="436"/>
      <c r="V685" s="436"/>
      <c r="W685" s="9"/>
      <c r="X685" s="9"/>
      <c r="Y685" s="9"/>
      <c r="Z685" s="9"/>
      <c r="AA685" s="9"/>
      <c r="AB685" s="9"/>
    </row>
    <row r="686">
      <c r="A686" s="9"/>
      <c r="B686" s="9"/>
      <c r="C686" s="9"/>
      <c r="D686" s="9"/>
      <c r="E686" s="9"/>
      <c r="F686" s="435"/>
      <c r="G686" s="9"/>
      <c r="H686" s="9"/>
      <c r="I686" s="9"/>
      <c r="J686" s="9"/>
      <c r="K686" s="9"/>
      <c r="L686" s="9"/>
      <c r="M686" s="9"/>
      <c r="N686" s="9"/>
      <c r="O686" s="9"/>
      <c r="P686" s="9"/>
      <c r="Q686" s="9"/>
      <c r="R686" s="9"/>
      <c r="S686" s="436"/>
      <c r="T686" s="436"/>
      <c r="U686" s="436"/>
      <c r="V686" s="436"/>
      <c r="W686" s="9"/>
      <c r="X686" s="9"/>
      <c r="Y686" s="9"/>
      <c r="Z686" s="9"/>
      <c r="AA686" s="9"/>
      <c r="AB686" s="9"/>
    </row>
    <row r="687">
      <c r="A687" s="9"/>
      <c r="B687" s="9"/>
      <c r="C687" s="9"/>
      <c r="D687" s="9"/>
      <c r="E687" s="9"/>
      <c r="F687" s="435"/>
      <c r="G687" s="9"/>
      <c r="H687" s="9"/>
      <c r="I687" s="9"/>
      <c r="J687" s="9"/>
      <c r="K687" s="9"/>
      <c r="L687" s="9"/>
      <c r="M687" s="9"/>
      <c r="N687" s="9"/>
      <c r="O687" s="9"/>
      <c r="P687" s="9"/>
      <c r="Q687" s="9"/>
      <c r="R687" s="9"/>
      <c r="S687" s="436"/>
      <c r="T687" s="436"/>
      <c r="U687" s="436"/>
      <c r="V687" s="436"/>
      <c r="W687" s="9"/>
      <c r="X687" s="9"/>
      <c r="Y687" s="9"/>
      <c r="Z687" s="9"/>
      <c r="AA687" s="9"/>
      <c r="AB687" s="9"/>
    </row>
    <row r="688">
      <c r="A688" s="9"/>
      <c r="B688" s="9"/>
      <c r="C688" s="9"/>
      <c r="D688" s="9"/>
      <c r="E688" s="9"/>
      <c r="F688" s="435"/>
      <c r="G688" s="9"/>
      <c r="H688" s="9"/>
      <c r="I688" s="9"/>
      <c r="J688" s="9"/>
      <c r="K688" s="9"/>
      <c r="L688" s="9"/>
      <c r="M688" s="9"/>
      <c r="N688" s="9"/>
      <c r="O688" s="9"/>
      <c r="P688" s="9"/>
      <c r="Q688" s="9"/>
      <c r="R688" s="9"/>
      <c r="S688" s="436"/>
      <c r="T688" s="436"/>
      <c r="U688" s="436"/>
      <c r="V688" s="436"/>
      <c r="W688" s="9"/>
      <c r="X688" s="9"/>
      <c r="Y688" s="9"/>
      <c r="Z688" s="9"/>
      <c r="AA688" s="9"/>
      <c r="AB688" s="9"/>
    </row>
    <row r="689">
      <c r="A689" s="9"/>
      <c r="B689" s="9"/>
      <c r="C689" s="9"/>
      <c r="D689" s="9"/>
      <c r="E689" s="9"/>
      <c r="F689" s="435"/>
      <c r="G689" s="9"/>
      <c r="H689" s="9"/>
      <c r="I689" s="9"/>
      <c r="J689" s="9"/>
      <c r="K689" s="9"/>
      <c r="L689" s="9"/>
      <c r="M689" s="9"/>
      <c r="N689" s="9"/>
      <c r="O689" s="9"/>
      <c r="P689" s="9"/>
      <c r="Q689" s="9"/>
      <c r="R689" s="9"/>
      <c r="S689" s="436"/>
      <c r="T689" s="436"/>
      <c r="U689" s="436"/>
      <c r="V689" s="436"/>
      <c r="W689" s="9"/>
      <c r="X689" s="9"/>
      <c r="Y689" s="9"/>
      <c r="Z689" s="9"/>
      <c r="AA689" s="9"/>
      <c r="AB689" s="9"/>
    </row>
    <row r="690">
      <c r="A690" s="9"/>
      <c r="B690" s="9"/>
      <c r="C690" s="9"/>
      <c r="D690" s="9"/>
      <c r="E690" s="9"/>
      <c r="F690" s="435"/>
      <c r="G690" s="9"/>
      <c r="H690" s="9"/>
      <c r="I690" s="9"/>
      <c r="J690" s="9"/>
      <c r="K690" s="9"/>
      <c r="L690" s="9"/>
      <c r="M690" s="9"/>
      <c r="N690" s="9"/>
      <c r="O690" s="9"/>
      <c r="P690" s="9"/>
      <c r="Q690" s="9"/>
      <c r="R690" s="9"/>
      <c r="S690" s="436"/>
      <c r="T690" s="436"/>
      <c r="U690" s="436"/>
      <c r="V690" s="436"/>
      <c r="W690" s="9"/>
      <c r="X690" s="9"/>
      <c r="Y690" s="9"/>
      <c r="Z690" s="9"/>
      <c r="AA690" s="9"/>
      <c r="AB690" s="9"/>
    </row>
    <row r="691">
      <c r="A691" s="9"/>
      <c r="B691" s="9"/>
      <c r="C691" s="9"/>
      <c r="D691" s="9"/>
      <c r="E691" s="9"/>
      <c r="F691" s="435"/>
      <c r="G691" s="9"/>
      <c r="H691" s="9"/>
      <c r="I691" s="9"/>
      <c r="J691" s="9"/>
      <c r="K691" s="9"/>
      <c r="L691" s="9"/>
      <c r="M691" s="9"/>
      <c r="N691" s="9"/>
      <c r="O691" s="9"/>
      <c r="P691" s="9"/>
      <c r="Q691" s="9"/>
      <c r="R691" s="9"/>
      <c r="S691" s="436"/>
      <c r="T691" s="436"/>
      <c r="U691" s="436"/>
      <c r="V691" s="436"/>
      <c r="W691" s="9"/>
      <c r="X691" s="9"/>
      <c r="Y691" s="9"/>
      <c r="Z691" s="9"/>
      <c r="AA691" s="9"/>
      <c r="AB691" s="9"/>
    </row>
    <row r="692">
      <c r="A692" s="9"/>
      <c r="B692" s="9"/>
      <c r="C692" s="9"/>
      <c r="D692" s="9"/>
      <c r="E692" s="9"/>
      <c r="F692" s="435"/>
      <c r="G692" s="9"/>
      <c r="H692" s="9"/>
      <c r="I692" s="9"/>
      <c r="J692" s="9"/>
      <c r="K692" s="9"/>
      <c r="L692" s="9"/>
      <c r="M692" s="9"/>
      <c r="N692" s="9"/>
      <c r="O692" s="9"/>
      <c r="P692" s="9"/>
      <c r="Q692" s="9"/>
      <c r="R692" s="9"/>
      <c r="S692" s="436"/>
      <c r="T692" s="436"/>
      <c r="U692" s="436"/>
      <c r="V692" s="436"/>
      <c r="W692" s="9"/>
      <c r="X692" s="9"/>
      <c r="Y692" s="9"/>
      <c r="Z692" s="9"/>
      <c r="AA692" s="9"/>
      <c r="AB692" s="9"/>
    </row>
    <row r="693">
      <c r="A693" s="9"/>
      <c r="B693" s="9"/>
      <c r="C693" s="9"/>
      <c r="D693" s="9"/>
      <c r="E693" s="9"/>
      <c r="F693" s="435"/>
      <c r="G693" s="9"/>
      <c r="H693" s="9"/>
      <c r="I693" s="9"/>
      <c r="J693" s="9"/>
      <c r="K693" s="9"/>
      <c r="L693" s="9"/>
      <c r="M693" s="9"/>
      <c r="N693" s="9"/>
      <c r="O693" s="9"/>
      <c r="P693" s="9"/>
      <c r="Q693" s="9"/>
      <c r="R693" s="9"/>
      <c r="S693" s="436"/>
      <c r="T693" s="436"/>
      <c r="U693" s="436"/>
      <c r="V693" s="436"/>
      <c r="W693" s="9"/>
      <c r="X693" s="9"/>
      <c r="Y693" s="9"/>
      <c r="Z693" s="9"/>
      <c r="AA693" s="9"/>
      <c r="AB693" s="9"/>
    </row>
    <row r="694">
      <c r="A694" s="9"/>
      <c r="B694" s="9"/>
      <c r="C694" s="9"/>
      <c r="D694" s="9"/>
      <c r="E694" s="9"/>
      <c r="F694" s="435"/>
      <c r="G694" s="9"/>
      <c r="H694" s="9"/>
      <c r="I694" s="9"/>
      <c r="J694" s="9"/>
      <c r="K694" s="9"/>
      <c r="L694" s="9"/>
      <c r="M694" s="9"/>
      <c r="N694" s="9"/>
      <c r="O694" s="9"/>
      <c r="P694" s="9"/>
      <c r="Q694" s="9"/>
      <c r="R694" s="9"/>
      <c r="S694" s="436"/>
      <c r="T694" s="436"/>
      <c r="U694" s="436"/>
      <c r="V694" s="436"/>
      <c r="W694" s="9"/>
      <c r="X694" s="9"/>
      <c r="Y694" s="9"/>
      <c r="Z694" s="9"/>
      <c r="AA694" s="9"/>
      <c r="AB694" s="9"/>
    </row>
    <row r="695">
      <c r="A695" s="9"/>
      <c r="B695" s="9"/>
      <c r="C695" s="9"/>
      <c r="D695" s="9"/>
      <c r="E695" s="9"/>
      <c r="F695" s="435"/>
      <c r="G695" s="9"/>
      <c r="H695" s="9"/>
      <c r="I695" s="9"/>
      <c r="J695" s="9"/>
      <c r="K695" s="9"/>
      <c r="L695" s="9"/>
      <c r="M695" s="9"/>
      <c r="N695" s="9"/>
      <c r="O695" s="9"/>
      <c r="P695" s="9"/>
      <c r="Q695" s="9"/>
      <c r="R695" s="9"/>
      <c r="S695" s="436"/>
      <c r="T695" s="436"/>
      <c r="U695" s="436"/>
      <c r="V695" s="436"/>
      <c r="W695" s="9"/>
      <c r="X695" s="9"/>
      <c r="Y695" s="9"/>
      <c r="Z695" s="9"/>
      <c r="AA695" s="9"/>
      <c r="AB695" s="9"/>
    </row>
    <row r="696">
      <c r="A696" s="9"/>
      <c r="B696" s="9"/>
      <c r="C696" s="9"/>
      <c r="D696" s="9"/>
      <c r="E696" s="9"/>
      <c r="F696" s="435"/>
      <c r="G696" s="9"/>
      <c r="H696" s="9"/>
      <c r="I696" s="9"/>
      <c r="J696" s="9"/>
      <c r="K696" s="9"/>
      <c r="L696" s="9"/>
      <c r="M696" s="9"/>
      <c r="N696" s="9"/>
      <c r="O696" s="9"/>
      <c r="P696" s="9"/>
      <c r="Q696" s="9"/>
      <c r="R696" s="9"/>
      <c r="S696" s="436"/>
      <c r="T696" s="436"/>
      <c r="U696" s="436"/>
      <c r="V696" s="436"/>
      <c r="W696" s="9"/>
      <c r="X696" s="9"/>
      <c r="Y696" s="9"/>
      <c r="Z696" s="9"/>
      <c r="AA696" s="9"/>
      <c r="AB696" s="9"/>
    </row>
    <row r="697">
      <c r="A697" s="9"/>
      <c r="B697" s="9"/>
      <c r="C697" s="9"/>
      <c r="D697" s="9"/>
      <c r="E697" s="9"/>
      <c r="F697" s="435"/>
      <c r="G697" s="9"/>
      <c r="H697" s="9"/>
      <c r="I697" s="9"/>
      <c r="J697" s="9"/>
      <c r="K697" s="9"/>
      <c r="L697" s="9"/>
      <c r="M697" s="9"/>
      <c r="N697" s="9"/>
      <c r="O697" s="9"/>
      <c r="P697" s="9"/>
      <c r="Q697" s="9"/>
      <c r="R697" s="9"/>
      <c r="S697" s="436"/>
      <c r="T697" s="436"/>
      <c r="U697" s="436"/>
      <c r="V697" s="436"/>
      <c r="W697" s="9"/>
      <c r="X697" s="9"/>
      <c r="Y697" s="9"/>
      <c r="Z697" s="9"/>
      <c r="AA697" s="9"/>
      <c r="AB697" s="9"/>
    </row>
    <row r="698">
      <c r="A698" s="9"/>
      <c r="B698" s="9"/>
      <c r="C698" s="9"/>
      <c r="D698" s="9"/>
      <c r="E698" s="9"/>
      <c r="F698" s="435"/>
      <c r="G698" s="9"/>
      <c r="H698" s="9"/>
      <c r="I698" s="9"/>
      <c r="J698" s="9"/>
      <c r="K698" s="9"/>
      <c r="L698" s="9"/>
      <c r="M698" s="9"/>
      <c r="N698" s="9"/>
      <c r="O698" s="9"/>
      <c r="P698" s="9"/>
      <c r="Q698" s="9"/>
      <c r="R698" s="9"/>
      <c r="S698" s="436"/>
      <c r="T698" s="436"/>
      <c r="U698" s="436"/>
      <c r="V698" s="436"/>
      <c r="W698" s="9"/>
      <c r="X698" s="9"/>
      <c r="Y698" s="9"/>
      <c r="Z698" s="9"/>
      <c r="AA698" s="9"/>
      <c r="AB698" s="9"/>
    </row>
    <row r="699">
      <c r="A699" s="9"/>
      <c r="B699" s="9"/>
      <c r="C699" s="9"/>
      <c r="D699" s="9"/>
      <c r="E699" s="9"/>
      <c r="F699" s="435"/>
      <c r="G699" s="9"/>
      <c r="H699" s="9"/>
      <c r="I699" s="9"/>
      <c r="J699" s="9"/>
      <c r="K699" s="9"/>
      <c r="L699" s="9"/>
      <c r="M699" s="9"/>
      <c r="N699" s="9"/>
      <c r="O699" s="9"/>
      <c r="P699" s="9"/>
      <c r="Q699" s="9"/>
      <c r="R699" s="9"/>
      <c r="S699" s="436"/>
      <c r="T699" s="436"/>
      <c r="U699" s="436"/>
      <c r="V699" s="436"/>
      <c r="W699" s="9"/>
      <c r="X699" s="9"/>
      <c r="Y699" s="9"/>
      <c r="Z699" s="9"/>
      <c r="AA699" s="9"/>
      <c r="AB699" s="9"/>
    </row>
    <row r="700">
      <c r="A700" s="9"/>
      <c r="B700" s="9"/>
      <c r="C700" s="9"/>
      <c r="D700" s="9"/>
      <c r="E700" s="9"/>
      <c r="F700" s="435"/>
      <c r="G700" s="9"/>
      <c r="H700" s="9"/>
      <c r="I700" s="9"/>
      <c r="J700" s="9"/>
      <c r="K700" s="9"/>
      <c r="L700" s="9"/>
      <c r="M700" s="9"/>
      <c r="N700" s="9"/>
      <c r="O700" s="9"/>
      <c r="P700" s="9"/>
      <c r="Q700" s="9"/>
      <c r="R700" s="9"/>
      <c r="S700" s="436"/>
      <c r="T700" s="436"/>
      <c r="U700" s="436"/>
      <c r="V700" s="436"/>
      <c r="W700" s="9"/>
      <c r="X700" s="9"/>
      <c r="Y700" s="9"/>
      <c r="Z700" s="9"/>
      <c r="AA700" s="9"/>
      <c r="AB700" s="9"/>
    </row>
    <row r="701">
      <c r="A701" s="9"/>
      <c r="B701" s="9"/>
      <c r="C701" s="9"/>
      <c r="D701" s="9"/>
      <c r="E701" s="9"/>
      <c r="F701" s="435"/>
      <c r="G701" s="9"/>
      <c r="H701" s="9"/>
      <c r="I701" s="9"/>
      <c r="J701" s="9"/>
      <c r="K701" s="9"/>
      <c r="L701" s="9"/>
      <c r="M701" s="9"/>
      <c r="N701" s="9"/>
      <c r="O701" s="9"/>
      <c r="P701" s="9"/>
      <c r="Q701" s="9"/>
      <c r="R701" s="9"/>
      <c r="S701" s="436"/>
      <c r="T701" s="436"/>
      <c r="U701" s="436"/>
      <c r="V701" s="436"/>
      <c r="W701" s="9"/>
      <c r="X701" s="9"/>
      <c r="Y701" s="9"/>
      <c r="Z701" s="9"/>
      <c r="AA701" s="9"/>
      <c r="AB701" s="9"/>
    </row>
    <row r="702">
      <c r="A702" s="9"/>
      <c r="B702" s="9"/>
      <c r="C702" s="9"/>
      <c r="D702" s="9"/>
      <c r="E702" s="9"/>
      <c r="F702" s="435"/>
      <c r="G702" s="9"/>
      <c r="H702" s="9"/>
      <c r="I702" s="9"/>
      <c r="J702" s="9"/>
      <c r="K702" s="9"/>
      <c r="L702" s="9"/>
      <c r="M702" s="9"/>
      <c r="N702" s="9"/>
      <c r="O702" s="9"/>
      <c r="P702" s="9"/>
      <c r="Q702" s="9"/>
      <c r="R702" s="9"/>
      <c r="S702" s="436"/>
      <c r="T702" s="436"/>
      <c r="U702" s="436"/>
      <c r="V702" s="436"/>
      <c r="W702" s="9"/>
      <c r="X702" s="9"/>
      <c r="Y702" s="9"/>
      <c r="Z702" s="9"/>
      <c r="AA702" s="9"/>
      <c r="AB702" s="9"/>
    </row>
    <row r="703">
      <c r="A703" s="9"/>
      <c r="B703" s="9"/>
      <c r="C703" s="9"/>
      <c r="D703" s="9"/>
      <c r="E703" s="9"/>
      <c r="F703" s="435"/>
      <c r="G703" s="9"/>
      <c r="H703" s="9"/>
      <c r="I703" s="9"/>
      <c r="J703" s="9"/>
      <c r="K703" s="9"/>
      <c r="L703" s="9"/>
      <c r="M703" s="9"/>
      <c r="N703" s="9"/>
      <c r="O703" s="9"/>
      <c r="P703" s="9"/>
      <c r="Q703" s="9"/>
      <c r="R703" s="9"/>
      <c r="S703" s="436"/>
      <c r="T703" s="436"/>
      <c r="U703" s="436"/>
      <c r="V703" s="436"/>
      <c r="W703" s="9"/>
      <c r="X703" s="9"/>
      <c r="Y703" s="9"/>
      <c r="Z703" s="9"/>
      <c r="AA703" s="9"/>
      <c r="AB703" s="9"/>
    </row>
    <row r="704">
      <c r="A704" s="9"/>
      <c r="B704" s="9"/>
      <c r="C704" s="9"/>
      <c r="D704" s="9"/>
      <c r="E704" s="9"/>
      <c r="F704" s="435"/>
      <c r="G704" s="9"/>
      <c r="H704" s="9"/>
      <c r="I704" s="9"/>
      <c r="J704" s="9"/>
      <c r="K704" s="9"/>
      <c r="L704" s="9"/>
      <c r="M704" s="9"/>
      <c r="N704" s="9"/>
      <c r="O704" s="9"/>
      <c r="P704" s="9"/>
      <c r="Q704" s="9"/>
      <c r="R704" s="9"/>
      <c r="S704" s="436"/>
      <c r="T704" s="436"/>
      <c r="U704" s="436"/>
      <c r="V704" s="436"/>
      <c r="W704" s="9"/>
      <c r="X704" s="9"/>
      <c r="Y704" s="9"/>
      <c r="Z704" s="9"/>
      <c r="AA704" s="9"/>
      <c r="AB704" s="9"/>
    </row>
    <row r="705">
      <c r="A705" s="9"/>
      <c r="B705" s="9"/>
      <c r="C705" s="9"/>
      <c r="D705" s="9"/>
      <c r="E705" s="9"/>
      <c r="F705" s="435"/>
      <c r="G705" s="9"/>
      <c r="H705" s="9"/>
      <c r="I705" s="9"/>
      <c r="J705" s="9"/>
      <c r="K705" s="9"/>
      <c r="L705" s="9"/>
      <c r="M705" s="9"/>
      <c r="N705" s="9"/>
      <c r="O705" s="9"/>
      <c r="P705" s="9"/>
      <c r="Q705" s="9"/>
      <c r="R705" s="9"/>
      <c r="S705" s="436"/>
      <c r="T705" s="436"/>
      <c r="U705" s="436"/>
      <c r="V705" s="436"/>
      <c r="W705" s="9"/>
      <c r="X705" s="9"/>
      <c r="Y705" s="9"/>
      <c r="Z705" s="9"/>
      <c r="AA705" s="9"/>
      <c r="AB705" s="9"/>
    </row>
    <row r="706">
      <c r="A706" s="9"/>
      <c r="B706" s="9"/>
      <c r="C706" s="9"/>
      <c r="D706" s="9"/>
      <c r="E706" s="9"/>
      <c r="F706" s="435"/>
      <c r="G706" s="9"/>
      <c r="H706" s="9"/>
      <c r="I706" s="9"/>
      <c r="J706" s="9"/>
      <c r="K706" s="9"/>
      <c r="L706" s="9"/>
      <c r="M706" s="9"/>
      <c r="N706" s="9"/>
      <c r="O706" s="9"/>
      <c r="P706" s="9"/>
      <c r="Q706" s="9"/>
      <c r="R706" s="9"/>
      <c r="S706" s="436"/>
      <c r="T706" s="436"/>
      <c r="U706" s="436"/>
      <c r="V706" s="436"/>
      <c r="W706" s="9"/>
      <c r="X706" s="9"/>
      <c r="Y706" s="9"/>
      <c r="Z706" s="9"/>
      <c r="AA706" s="9"/>
      <c r="AB706" s="9"/>
    </row>
    <row r="707">
      <c r="A707" s="9"/>
      <c r="B707" s="9"/>
      <c r="C707" s="9"/>
      <c r="D707" s="9"/>
      <c r="E707" s="9"/>
      <c r="F707" s="435"/>
      <c r="G707" s="9"/>
      <c r="H707" s="9"/>
      <c r="I707" s="9"/>
      <c r="J707" s="9"/>
      <c r="K707" s="9"/>
      <c r="L707" s="9"/>
      <c r="M707" s="9"/>
      <c r="N707" s="9"/>
      <c r="O707" s="9"/>
      <c r="P707" s="9"/>
      <c r="Q707" s="9"/>
      <c r="R707" s="9"/>
      <c r="S707" s="436"/>
      <c r="T707" s="436"/>
      <c r="U707" s="436"/>
      <c r="V707" s="436"/>
      <c r="W707" s="9"/>
      <c r="X707" s="9"/>
      <c r="Y707" s="9"/>
      <c r="Z707" s="9"/>
      <c r="AA707" s="9"/>
      <c r="AB707" s="9"/>
    </row>
    <row r="708">
      <c r="A708" s="9"/>
      <c r="B708" s="9"/>
      <c r="C708" s="9"/>
      <c r="D708" s="9"/>
      <c r="E708" s="9"/>
      <c r="F708" s="435"/>
      <c r="G708" s="9"/>
      <c r="H708" s="9"/>
      <c r="I708" s="9"/>
      <c r="J708" s="9"/>
      <c r="K708" s="9"/>
      <c r="L708" s="9"/>
      <c r="M708" s="9"/>
      <c r="N708" s="9"/>
      <c r="O708" s="9"/>
      <c r="P708" s="9"/>
      <c r="Q708" s="9"/>
      <c r="R708" s="9"/>
      <c r="S708" s="436"/>
      <c r="T708" s="436"/>
      <c r="U708" s="436"/>
      <c r="V708" s="436"/>
      <c r="W708" s="9"/>
      <c r="X708" s="9"/>
      <c r="Y708" s="9"/>
      <c r="Z708" s="9"/>
      <c r="AA708" s="9"/>
      <c r="AB708" s="9"/>
    </row>
    <row r="709">
      <c r="A709" s="9"/>
      <c r="B709" s="9"/>
      <c r="C709" s="9"/>
      <c r="D709" s="9"/>
      <c r="E709" s="9"/>
      <c r="F709" s="435"/>
      <c r="G709" s="9"/>
      <c r="H709" s="9"/>
      <c r="I709" s="9"/>
      <c r="J709" s="9"/>
      <c r="K709" s="9"/>
      <c r="L709" s="9"/>
      <c r="M709" s="9"/>
      <c r="N709" s="9"/>
      <c r="O709" s="9"/>
      <c r="P709" s="9"/>
      <c r="Q709" s="9"/>
      <c r="R709" s="9"/>
      <c r="S709" s="436"/>
      <c r="T709" s="436"/>
      <c r="U709" s="436"/>
      <c r="V709" s="436"/>
      <c r="W709" s="9"/>
      <c r="X709" s="9"/>
      <c r="Y709" s="9"/>
      <c r="Z709" s="9"/>
      <c r="AA709" s="9"/>
      <c r="AB709" s="9"/>
    </row>
    <row r="710">
      <c r="A710" s="9"/>
      <c r="B710" s="9"/>
      <c r="C710" s="9"/>
      <c r="D710" s="9"/>
      <c r="E710" s="9"/>
      <c r="F710" s="435"/>
      <c r="G710" s="9"/>
      <c r="H710" s="9"/>
      <c r="I710" s="9"/>
      <c r="J710" s="9"/>
      <c r="K710" s="9"/>
      <c r="L710" s="9"/>
      <c r="M710" s="9"/>
      <c r="N710" s="9"/>
      <c r="O710" s="9"/>
      <c r="P710" s="9"/>
      <c r="Q710" s="9"/>
      <c r="R710" s="9"/>
      <c r="S710" s="436"/>
      <c r="T710" s="436"/>
      <c r="U710" s="436"/>
      <c r="V710" s="436"/>
      <c r="W710" s="9"/>
      <c r="X710" s="9"/>
      <c r="Y710" s="9"/>
      <c r="Z710" s="9"/>
      <c r="AA710" s="9"/>
      <c r="AB710" s="9"/>
    </row>
    <row r="711">
      <c r="A711" s="9"/>
      <c r="B711" s="9"/>
      <c r="C711" s="9"/>
      <c r="D711" s="9"/>
      <c r="E711" s="9"/>
      <c r="F711" s="435"/>
      <c r="G711" s="9"/>
      <c r="H711" s="9"/>
      <c r="I711" s="9"/>
      <c r="J711" s="9"/>
      <c r="K711" s="9"/>
      <c r="L711" s="9"/>
      <c r="M711" s="9"/>
      <c r="N711" s="9"/>
      <c r="O711" s="9"/>
      <c r="P711" s="9"/>
      <c r="Q711" s="9"/>
      <c r="R711" s="9"/>
      <c r="S711" s="436"/>
      <c r="T711" s="436"/>
      <c r="U711" s="436"/>
      <c r="V711" s="436"/>
      <c r="W711" s="9"/>
      <c r="X711" s="9"/>
      <c r="Y711" s="9"/>
      <c r="Z711" s="9"/>
      <c r="AA711" s="9"/>
      <c r="AB711" s="9"/>
    </row>
    <row r="712">
      <c r="A712" s="9"/>
      <c r="B712" s="9"/>
      <c r="C712" s="9"/>
      <c r="D712" s="9"/>
      <c r="E712" s="9"/>
      <c r="F712" s="435"/>
      <c r="G712" s="9"/>
      <c r="H712" s="9"/>
      <c r="I712" s="9"/>
      <c r="J712" s="9"/>
      <c r="K712" s="9"/>
      <c r="L712" s="9"/>
      <c r="M712" s="9"/>
      <c r="N712" s="9"/>
      <c r="O712" s="9"/>
      <c r="P712" s="9"/>
      <c r="Q712" s="9"/>
      <c r="R712" s="9"/>
      <c r="S712" s="436"/>
      <c r="T712" s="436"/>
      <c r="U712" s="436"/>
      <c r="V712" s="436"/>
      <c r="W712" s="9"/>
      <c r="X712" s="9"/>
      <c r="Y712" s="9"/>
      <c r="Z712" s="9"/>
      <c r="AA712" s="9"/>
      <c r="AB712" s="9"/>
    </row>
    <row r="713">
      <c r="A713" s="9"/>
      <c r="B713" s="9"/>
      <c r="C713" s="9"/>
      <c r="D713" s="9"/>
      <c r="E713" s="9"/>
      <c r="F713" s="435"/>
      <c r="G713" s="9"/>
      <c r="H713" s="9"/>
      <c r="I713" s="9"/>
      <c r="J713" s="9"/>
      <c r="K713" s="9"/>
      <c r="L713" s="9"/>
      <c r="M713" s="9"/>
      <c r="N713" s="9"/>
      <c r="O713" s="9"/>
      <c r="P713" s="9"/>
      <c r="Q713" s="9"/>
      <c r="R713" s="9"/>
      <c r="S713" s="436"/>
      <c r="T713" s="436"/>
      <c r="U713" s="436"/>
      <c r="V713" s="436"/>
      <c r="W713" s="9"/>
      <c r="X713" s="9"/>
      <c r="Y713" s="9"/>
      <c r="Z713" s="9"/>
      <c r="AA713" s="9"/>
      <c r="AB713" s="9"/>
    </row>
    <row r="714">
      <c r="A714" s="9"/>
      <c r="B714" s="9"/>
      <c r="C714" s="9"/>
      <c r="D714" s="9"/>
      <c r="E714" s="9"/>
      <c r="F714" s="435"/>
      <c r="G714" s="9"/>
      <c r="H714" s="9"/>
      <c r="I714" s="9"/>
      <c r="J714" s="9"/>
      <c r="K714" s="9"/>
      <c r="L714" s="9"/>
      <c r="M714" s="9"/>
      <c r="N714" s="9"/>
      <c r="O714" s="9"/>
      <c r="P714" s="9"/>
      <c r="Q714" s="9"/>
      <c r="R714" s="9"/>
      <c r="S714" s="436"/>
      <c r="T714" s="436"/>
      <c r="U714" s="436"/>
      <c r="V714" s="436"/>
      <c r="W714" s="9"/>
      <c r="X714" s="9"/>
      <c r="Y714" s="9"/>
      <c r="Z714" s="9"/>
      <c r="AA714" s="9"/>
      <c r="AB714" s="9"/>
    </row>
    <row r="715">
      <c r="A715" s="9"/>
      <c r="B715" s="9"/>
      <c r="C715" s="9"/>
      <c r="D715" s="9"/>
      <c r="E715" s="9"/>
      <c r="F715" s="435"/>
      <c r="G715" s="9"/>
      <c r="H715" s="9"/>
      <c r="I715" s="9"/>
      <c r="J715" s="9"/>
      <c r="K715" s="9"/>
      <c r="L715" s="9"/>
      <c r="M715" s="9"/>
      <c r="N715" s="9"/>
      <c r="O715" s="9"/>
      <c r="P715" s="9"/>
      <c r="Q715" s="9"/>
      <c r="R715" s="9"/>
      <c r="S715" s="436"/>
      <c r="T715" s="436"/>
      <c r="U715" s="436"/>
      <c r="V715" s="436"/>
      <c r="W715" s="9"/>
      <c r="X715" s="9"/>
      <c r="Y715" s="9"/>
      <c r="Z715" s="9"/>
      <c r="AA715" s="9"/>
      <c r="AB715" s="9"/>
    </row>
    <row r="716">
      <c r="A716" s="9"/>
      <c r="B716" s="9"/>
      <c r="C716" s="9"/>
      <c r="D716" s="9"/>
      <c r="E716" s="9"/>
      <c r="F716" s="435"/>
      <c r="G716" s="9"/>
      <c r="H716" s="9"/>
      <c r="I716" s="9"/>
      <c r="J716" s="9"/>
      <c r="K716" s="9"/>
      <c r="L716" s="9"/>
      <c r="M716" s="9"/>
      <c r="N716" s="9"/>
      <c r="O716" s="9"/>
      <c r="P716" s="9"/>
      <c r="Q716" s="9"/>
      <c r="R716" s="9"/>
      <c r="S716" s="436"/>
      <c r="T716" s="436"/>
      <c r="U716" s="436"/>
      <c r="V716" s="436"/>
      <c r="W716" s="9"/>
      <c r="X716" s="9"/>
      <c r="Y716" s="9"/>
      <c r="Z716" s="9"/>
      <c r="AA716" s="9"/>
      <c r="AB716" s="9"/>
    </row>
    <row r="717">
      <c r="A717" s="9"/>
      <c r="B717" s="9"/>
      <c r="C717" s="9"/>
      <c r="D717" s="9"/>
      <c r="E717" s="9"/>
      <c r="F717" s="435"/>
      <c r="G717" s="9"/>
      <c r="H717" s="9"/>
      <c r="I717" s="9"/>
      <c r="J717" s="9"/>
      <c r="K717" s="9"/>
      <c r="L717" s="9"/>
      <c r="M717" s="9"/>
      <c r="N717" s="9"/>
      <c r="O717" s="9"/>
      <c r="P717" s="9"/>
      <c r="Q717" s="9"/>
      <c r="R717" s="9"/>
      <c r="S717" s="436"/>
      <c r="T717" s="436"/>
      <c r="U717" s="436"/>
      <c r="V717" s="436"/>
      <c r="W717" s="9"/>
      <c r="X717" s="9"/>
      <c r="Y717" s="9"/>
      <c r="Z717" s="9"/>
      <c r="AA717" s="9"/>
      <c r="AB717" s="9"/>
    </row>
    <row r="718">
      <c r="A718" s="9"/>
      <c r="B718" s="9"/>
      <c r="C718" s="9"/>
      <c r="D718" s="9"/>
      <c r="E718" s="9"/>
      <c r="F718" s="435"/>
      <c r="G718" s="9"/>
      <c r="H718" s="9"/>
      <c r="I718" s="9"/>
      <c r="J718" s="9"/>
      <c r="K718" s="9"/>
      <c r="L718" s="9"/>
      <c r="M718" s="9"/>
      <c r="N718" s="9"/>
      <c r="O718" s="9"/>
      <c r="P718" s="9"/>
      <c r="Q718" s="9"/>
      <c r="R718" s="9"/>
      <c r="S718" s="436"/>
      <c r="T718" s="436"/>
      <c r="U718" s="436"/>
      <c r="V718" s="436"/>
      <c r="W718" s="9"/>
      <c r="X718" s="9"/>
      <c r="Y718" s="9"/>
      <c r="Z718" s="9"/>
      <c r="AA718" s="9"/>
      <c r="AB718" s="9"/>
    </row>
    <row r="719">
      <c r="A719" s="9"/>
      <c r="B719" s="9"/>
      <c r="C719" s="9"/>
      <c r="D719" s="9"/>
      <c r="E719" s="9"/>
      <c r="F719" s="435"/>
      <c r="G719" s="9"/>
      <c r="H719" s="9"/>
      <c r="I719" s="9"/>
      <c r="J719" s="9"/>
      <c r="K719" s="9"/>
      <c r="L719" s="9"/>
      <c r="M719" s="9"/>
      <c r="N719" s="9"/>
      <c r="O719" s="9"/>
      <c r="P719" s="9"/>
      <c r="Q719" s="9"/>
      <c r="R719" s="9"/>
      <c r="S719" s="436"/>
      <c r="T719" s="436"/>
      <c r="U719" s="436"/>
      <c r="V719" s="436"/>
      <c r="W719" s="9"/>
      <c r="X719" s="9"/>
      <c r="Y719" s="9"/>
      <c r="Z719" s="9"/>
      <c r="AA719" s="9"/>
      <c r="AB719" s="9"/>
    </row>
    <row r="720">
      <c r="A720" s="9"/>
      <c r="B720" s="9"/>
      <c r="C720" s="9"/>
      <c r="D720" s="9"/>
      <c r="E720" s="9"/>
      <c r="F720" s="435"/>
      <c r="G720" s="9"/>
      <c r="H720" s="9"/>
      <c r="I720" s="9"/>
      <c r="J720" s="9"/>
      <c r="K720" s="9"/>
      <c r="L720" s="9"/>
      <c r="M720" s="9"/>
      <c r="N720" s="9"/>
      <c r="O720" s="9"/>
      <c r="P720" s="9"/>
      <c r="Q720" s="9"/>
      <c r="R720" s="9"/>
      <c r="S720" s="436"/>
      <c r="T720" s="436"/>
      <c r="U720" s="436"/>
      <c r="V720" s="436"/>
      <c r="W720" s="9"/>
      <c r="X720" s="9"/>
      <c r="Y720" s="9"/>
      <c r="Z720" s="9"/>
      <c r="AA720" s="9"/>
      <c r="AB720" s="9"/>
    </row>
    <row r="721">
      <c r="A721" s="9"/>
      <c r="B721" s="9"/>
      <c r="C721" s="9"/>
      <c r="D721" s="9"/>
      <c r="E721" s="9"/>
      <c r="F721" s="435"/>
      <c r="G721" s="9"/>
      <c r="H721" s="9"/>
      <c r="I721" s="9"/>
      <c r="J721" s="9"/>
      <c r="K721" s="9"/>
      <c r="L721" s="9"/>
      <c r="M721" s="9"/>
      <c r="N721" s="9"/>
      <c r="O721" s="9"/>
      <c r="P721" s="9"/>
      <c r="Q721" s="9"/>
      <c r="R721" s="9"/>
      <c r="S721" s="436"/>
      <c r="T721" s="436"/>
      <c r="U721" s="436"/>
      <c r="V721" s="436"/>
      <c r="W721" s="9"/>
      <c r="X721" s="9"/>
      <c r="Y721" s="9"/>
      <c r="Z721" s="9"/>
      <c r="AA721" s="9"/>
      <c r="AB721" s="9"/>
    </row>
    <row r="722">
      <c r="A722" s="9"/>
      <c r="B722" s="9"/>
      <c r="C722" s="9"/>
      <c r="D722" s="9"/>
      <c r="E722" s="9"/>
      <c r="F722" s="435"/>
      <c r="G722" s="9"/>
      <c r="H722" s="9"/>
      <c r="I722" s="9"/>
      <c r="J722" s="9"/>
      <c r="K722" s="9"/>
      <c r="L722" s="9"/>
      <c r="M722" s="9"/>
      <c r="N722" s="9"/>
      <c r="O722" s="9"/>
      <c r="P722" s="9"/>
      <c r="Q722" s="9"/>
      <c r="R722" s="9"/>
      <c r="S722" s="436"/>
      <c r="T722" s="436"/>
      <c r="U722" s="436"/>
      <c r="V722" s="436"/>
      <c r="W722" s="9"/>
      <c r="X722" s="9"/>
      <c r="Y722" s="9"/>
      <c r="Z722" s="9"/>
      <c r="AA722" s="9"/>
      <c r="AB722" s="9"/>
    </row>
    <row r="723">
      <c r="A723" s="9"/>
      <c r="B723" s="9"/>
      <c r="C723" s="9"/>
      <c r="D723" s="9"/>
      <c r="E723" s="9"/>
      <c r="F723" s="435"/>
      <c r="G723" s="9"/>
      <c r="H723" s="9"/>
      <c r="I723" s="9"/>
      <c r="J723" s="9"/>
      <c r="K723" s="9"/>
      <c r="L723" s="9"/>
      <c r="M723" s="9"/>
      <c r="N723" s="9"/>
      <c r="O723" s="9"/>
      <c r="P723" s="9"/>
      <c r="Q723" s="9"/>
      <c r="R723" s="9"/>
      <c r="S723" s="436"/>
      <c r="T723" s="436"/>
      <c r="U723" s="436"/>
      <c r="V723" s="436"/>
      <c r="W723" s="9"/>
      <c r="X723" s="9"/>
      <c r="Y723" s="9"/>
      <c r="Z723" s="9"/>
      <c r="AA723" s="9"/>
      <c r="AB723" s="9"/>
    </row>
    <row r="724">
      <c r="A724" s="9"/>
      <c r="B724" s="9"/>
      <c r="C724" s="9"/>
      <c r="D724" s="9"/>
      <c r="E724" s="9"/>
      <c r="F724" s="435"/>
      <c r="G724" s="9"/>
      <c r="H724" s="9"/>
      <c r="I724" s="9"/>
      <c r="J724" s="9"/>
      <c r="K724" s="9"/>
      <c r="L724" s="9"/>
      <c r="M724" s="9"/>
      <c r="N724" s="9"/>
      <c r="O724" s="9"/>
      <c r="P724" s="9"/>
      <c r="Q724" s="9"/>
      <c r="R724" s="9"/>
      <c r="S724" s="436"/>
      <c r="T724" s="436"/>
      <c r="U724" s="436"/>
      <c r="V724" s="436"/>
      <c r="W724" s="9"/>
      <c r="X724" s="9"/>
      <c r="Y724" s="9"/>
      <c r="Z724" s="9"/>
      <c r="AA724" s="9"/>
      <c r="AB724" s="9"/>
    </row>
    <row r="725">
      <c r="A725" s="9"/>
      <c r="B725" s="9"/>
      <c r="C725" s="9"/>
      <c r="D725" s="9"/>
      <c r="E725" s="9"/>
      <c r="F725" s="435"/>
      <c r="G725" s="9"/>
      <c r="H725" s="9"/>
      <c r="I725" s="9"/>
      <c r="J725" s="9"/>
      <c r="K725" s="9"/>
      <c r="L725" s="9"/>
      <c r="M725" s="9"/>
      <c r="N725" s="9"/>
      <c r="O725" s="9"/>
      <c r="P725" s="9"/>
      <c r="Q725" s="9"/>
      <c r="R725" s="9"/>
      <c r="S725" s="436"/>
      <c r="T725" s="436"/>
      <c r="U725" s="436"/>
      <c r="V725" s="436"/>
      <c r="W725" s="9"/>
      <c r="X725" s="9"/>
      <c r="Y725" s="9"/>
      <c r="Z725" s="9"/>
      <c r="AA725" s="9"/>
      <c r="AB725" s="9"/>
    </row>
    <row r="726">
      <c r="A726" s="9"/>
      <c r="B726" s="9"/>
      <c r="C726" s="9"/>
      <c r="D726" s="9"/>
      <c r="E726" s="9"/>
      <c r="F726" s="435"/>
      <c r="G726" s="9"/>
      <c r="H726" s="9"/>
      <c r="I726" s="9"/>
      <c r="J726" s="9"/>
      <c r="K726" s="9"/>
      <c r="L726" s="9"/>
      <c r="M726" s="9"/>
      <c r="N726" s="9"/>
      <c r="O726" s="9"/>
      <c r="P726" s="9"/>
      <c r="Q726" s="9"/>
      <c r="R726" s="9"/>
      <c r="S726" s="436"/>
      <c r="T726" s="436"/>
      <c r="U726" s="436"/>
      <c r="V726" s="436"/>
      <c r="W726" s="9"/>
      <c r="X726" s="9"/>
      <c r="Y726" s="9"/>
      <c r="Z726" s="9"/>
      <c r="AA726" s="9"/>
      <c r="AB726" s="9"/>
    </row>
    <row r="727">
      <c r="A727" s="9"/>
      <c r="B727" s="9"/>
      <c r="C727" s="9"/>
      <c r="D727" s="9"/>
      <c r="E727" s="9"/>
      <c r="F727" s="435"/>
      <c r="G727" s="9"/>
      <c r="H727" s="9"/>
      <c r="I727" s="9"/>
      <c r="J727" s="9"/>
      <c r="K727" s="9"/>
      <c r="L727" s="9"/>
      <c r="M727" s="9"/>
      <c r="N727" s="9"/>
      <c r="O727" s="9"/>
      <c r="P727" s="9"/>
      <c r="Q727" s="9"/>
      <c r="R727" s="9"/>
      <c r="S727" s="436"/>
      <c r="T727" s="436"/>
      <c r="U727" s="436"/>
      <c r="V727" s="436"/>
      <c r="W727" s="9"/>
      <c r="X727" s="9"/>
      <c r="Y727" s="9"/>
      <c r="Z727" s="9"/>
      <c r="AA727" s="9"/>
      <c r="AB727" s="9"/>
    </row>
    <row r="728">
      <c r="A728" s="9"/>
      <c r="B728" s="9"/>
      <c r="C728" s="9"/>
      <c r="D728" s="9"/>
      <c r="E728" s="9"/>
      <c r="F728" s="435"/>
      <c r="G728" s="9"/>
      <c r="H728" s="9"/>
      <c r="I728" s="9"/>
      <c r="J728" s="9"/>
      <c r="K728" s="9"/>
      <c r="L728" s="9"/>
      <c r="M728" s="9"/>
      <c r="N728" s="9"/>
      <c r="O728" s="9"/>
      <c r="P728" s="9"/>
      <c r="Q728" s="9"/>
      <c r="R728" s="9"/>
      <c r="S728" s="436"/>
      <c r="T728" s="436"/>
      <c r="U728" s="436"/>
      <c r="V728" s="436"/>
      <c r="W728" s="9"/>
      <c r="X728" s="9"/>
      <c r="Y728" s="9"/>
      <c r="Z728" s="9"/>
      <c r="AA728" s="9"/>
      <c r="AB728" s="9"/>
    </row>
    <row r="729">
      <c r="A729" s="9"/>
      <c r="B729" s="9"/>
      <c r="C729" s="9"/>
      <c r="D729" s="9"/>
      <c r="E729" s="9"/>
      <c r="F729" s="435"/>
      <c r="G729" s="9"/>
      <c r="H729" s="9"/>
      <c r="I729" s="9"/>
      <c r="J729" s="9"/>
      <c r="K729" s="9"/>
      <c r="L729" s="9"/>
      <c r="M729" s="9"/>
      <c r="N729" s="9"/>
      <c r="O729" s="9"/>
      <c r="P729" s="9"/>
      <c r="Q729" s="9"/>
      <c r="R729" s="9"/>
      <c r="S729" s="436"/>
      <c r="T729" s="436"/>
      <c r="U729" s="436"/>
      <c r="V729" s="436"/>
      <c r="W729" s="9"/>
      <c r="X729" s="9"/>
      <c r="Y729" s="9"/>
      <c r="Z729" s="9"/>
      <c r="AA729" s="9"/>
      <c r="AB729" s="9"/>
    </row>
    <row r="730">
      <c r="A730" s="9"/>
      <c r="B730" s="9"/>
      <c r="C730" s="9"/>
      <c r="D730" s="9"/>
      <c r="E730" s="9"/>
      <c r="F730" s="435"/>
      <c r="G730" s="9"/>
      <c r="H730" s="9"/>
      <c r="I730" s="9"/>
      <c r="J730" s="9"/>
      <c r="K730" s="9"/>
      <c r="L730" s="9"/>
      <c r="M730" s="9"/>
      <c r="N730" s="9"/>
      <c r="O730" s="9"/>
      <c r="P730" s="9"/>
      <c r="Q730" s="9"/>
      <c r="R730" s="9"/>
      <c r="S730" s="436"/>
      <c r="T730" s="436"/>
      <c r="U730" s="436"/>
      <c r="V730" s="436"/>
      <c r="W730" s="9"/>
      <c r="X730" s="9"/>
      <c r="Y730" s="9"/>
      <c r="Z730" s="9"/>
      <c r="AA730" s="9"/>
      <c r="AB730" s="9"/>
    </row>
    <row r="731">
      <c r="A731" s="9"/>
      <c r="B731" s="9"/>
      <c r="C731" s="9"/>
      <c r="D731" s="9"/>
      <c r="E731" s="9"/>
      <c r="F731" s="435"/>
      <c r="G731" s="9"/>
      <c r="H731" s="9"/>
      <c r="I731" s="9"/>
      <c r="J731" s="9"/>
      <c r="K731" s="9"/>
      <c r="L731" s="9"/>
      <c r="M731" s="9"/>
      <c r="N731" s="9"/>
      <c r="O731" s="9"/>
      <c r="P731" s="9"/>
      <c r="Q731" s="9"/>
      <c r="R731" s="9"/>
      <c r="S731" s="436"/>
      <c r="T731" s="436"/>
      <c r="U731" s="436"/>
      <c r="V731" s="436"/>
      <c r="W731" s="9"/>
      <c r="X731" s="9"/>
      <c r="Y731" s="9"/>
      <c r="Z731" s="9"/>
      <c r="AA731" s="9"/>
      <c r="AB731" s="9"/>
    </row>
    <row r="732">
      <c r="A732" s="9"/>
      <c r="B732" s="9"/>
      <c r="C732" s="9"/>
      <c r="D732" s="9"/>
      <c r="E732" s="9"/>
      <c r="F732" s="435"/>
      <c r="G732" s="9"/>
      <c r="H732" s="9"/>
      <c r="I732" s="9"/>
      <c r="J732" s="9"/>
      <c r="K732" s="9"/>
      <c r="L732" s="9"/>
      <c r="M732" s="9"/>
      <c r="N732" s="9"/>
      <c r="O732" s="9"/>
      <c r="P732" s="9"/>
      <c r="Q732" s="9"/>
      <c r="R732" s="9"/>
      <c r="S732" s="436"/>
      <c r="T732" s="436"/>
      <c r="U732" s="436"/>
      <c r="V732" s="436"/>
      <c r="W732" s="9"/>
      <c r="X732" s="9"/>
      <c r="Y732" s="9"/>
      <c r="Z732" s="9"/>
      <c r="AA732" s="9"/>
      <c r="AB732" s="9"/>
    </row>
    <row r="733">
      <c r="A733" s="9"/>
      <c r="B733" s="9"/>
      <c r="C733" s="9"/>
      <c r="D733" s="9"/>
      <c r="E733" s="9"/>
      <c r="F733" s="435"/>
      <c r="G733" s="9"/>
      <c r="H733" s="9"/>
      <c r="I733" s="9"/>
      <c r="J733" s="9"/>
      <c r="K733" s="9"/>
      <c r="L733" s="9"/>
      <c r="M733" s="9"/>
      <c r="N733" s="9"/>
      <c r="O733" s="9"/>
      <c r="P733" s="9"/>
      <c r="Q733" s="9"/>
      <c r="R733" s="9"/>
      <c r="S733" s="436"/>
      <c r="T733" s="436"/>
      <c r="U733" s="436"/>
      <c r="V733" s="436"/>
      <c r="W733" s="9"/>
      <c r="X733" s="9"/>
      <c r="Y733" s="9"/>
      <c r="Z733" s="9"/>
      <c r="AA733" s="9"/>
      <c r="AB733" s="9"/>
    </row>
    <row r="734">
      <c r="A734" s="9"/>
      <c r="B734" s="9"/>
      <c r="C734" s="9"/>
      <c r="D734" s="9"/>
      <c r="E734" s="9"/>
      <c r="F734" s="435"/>
      <c r="G734" s="9"/>
      <c r="H734" s="9"/>
      <c r="I734" s="9"/>
      <c r="J734" s="9"/>
      <c r="K734" s="9"/>
      <c r="L734" s="9"/>
      <c r="M734" s="9"/>
      <c r="N734" s="9"/>
      <c r="O734" s="9"/>
      <c r="P734" s="9"/>
      <c r="Q734" s="9"/>
      <c r="R734" s="9"/>
      <c r="S734" s="436"/>
      <c r="T734" s="436"/>
      <c r="U734" s="436"/>
      <c r="V734" s="436"/>
      <c r="W734" s="9"/>
      <c r="X734" s="9"/>
      <c r="Y734" s="9"/>
      <c r="Z734" s="9"/>
      <c r="AA734" s="9"/>
      <c r="AB734" s="9"/>
    </row>
    <row r="735">
      <c r="A735" s="9"/>
      <c r="B735" s="9"/>
      <c r="C735" s="9"/>
      <c r="D735" s="9"/>
      <c r="E735" s="9"/>
      <c r="F735" s="435"/>
      <c r="G735" s="9"/>
      <c r="H735" s="9"/>
      <c r="I735" s="9"/>
      <c r="J735" s="9"/>
      <c r="K735" s="9"/>
      <c r="L735" s="9"/>
      <c r="M735" s="9"/>
      <c r="N735" s="9"/>
      <c r="O735" s="9"/>
      <c r="P735" s="9"/>
      <c r="Q735" s="9"/>
      <c r="R735" s="9"/>
      <c r="S735" s="436"/>
      <c r="T735" s="436"/>
      <c r="U735" s="436"/>
      <c r="V735" s="436"/>
      <c r="W735" s="9"/>
      <c r="X735" s="9"/>
      <c r="Y735" s="9"/>
      <c r="Z735" s="9"/>
      <c r="AA735" s="9"/>
      <c r="AB735" s="9"/>
    </row>
    <row r="736">
      <c r="A736" s="9"/>
      <c r="B736" s="9"/>
      <c r="C736" s="9"/>
      <c r="D736" s="9"/>
      <c r="E736" s="9"/>
      <c r="F736" s="435"/>
      <c r="G736" s="9"/>
      <c r="H736" s="9"/>
      <c r="I736" s="9"/>
      <c r="J736" s="9"/>
      <c r="K736" s="9"/>
      <c r="L736" s="9"/>
      <c r="M736" s="9"/>
      <c r="N736" s="9"/>
      <c r="O736" s="9"/>
      <c r="P736" s="9"/>
      <c r="Q736" s="9"/>
      <c r="R736" s="9"/>
      <c r="S736" s="436"/>
      <c r="T736" s="436"/>
      <c r="U736" s="436"/>
      <c r="V736" s="436"/>
      <c r="W736" s="9"/>
      <c r="X736" s="9"/>
      <c r="Y736" s="9"/>
      <c r="Z736" s="9"/>
      <c r="AA736" s="9"/>
      <c r="AB736" s="9"/>
    </row>
    <row r="737">
      <c r="A737" s="9"/>
      <c r="B737" s="9"/>
      <c r="C737" s="9"/>
      <c r="D737" s="9"/>
      <c r="E737" s="9"/>
      <c r="F737" s="435"/>
      <c r="G737" s="9"/>
      <c r="H737" s="9"/>
      <c r="I737" s="9"/>
      <c r="J737" s="9"/>
      <c r="K737" s="9"/>
      <c r="L737" s="9"/>
      <c r="M737" s="9"/>
      <c r="N737" s="9"/>
      <c r="O737" s="9"/>
      <c r="P737" s="9"/>
      <c r="Q737" s="9"/>
      <c r="R737" s="9"/>
      <c r="S737" s="436"/>
      <c r="T737" s="436"/>
      <c r="U737" s="436"/>
      <c r="V737" s="436"/>
      <c r="W737" s="9"/>
      <c r="X737" s="9"/>
      <c r="Y737" s="9"/>
      <c r="Z737" s="9"/>
      <c r="AA737" s="9"/>
      <c r="AB737" s="9"/>
    </row>
    <row r="738">
      <c r="A738" s="9"/>
      <c r="B738" s="9"/>
      <c r="C738" s="9"/>
      <c r="D738" s="9"/>
      <c r="E738" s="9"/>
      <c r="F738" s="435"/>
      <c r="G738" s="9"/>
      <c r="H738" s="9"/>
      <c r="I738" s="9"/>
      <c r="J738" s="9"/>
      <c r="K738" s="9"/>
      <c r="L738" s="9"/>
      <c r="M738" s="9"/>
      <c r="N738" s="9"/>
      <c r="O738" s="9"/>
      <c r="P738" s="9"/>
      <c r="Q738" s="9"/>
      <c r="R738" s="9"/>
      <c r="S738" s="436"/>
      <c r="T738" s="436"/>
      <c r="U738" s="436"/>
      <c r="V738" s="436"/>
      <c r="W738" s="9"/>
      <c r="X738" s="9"/>
      <c r="Y738" s="9"/>
      <c r="Z738" s="9"/>
      <c r="AA738" s="9"/>
      <c r="AB738" s="9"/>
    </row>
    <row r="739">
      <c r="A739" s="9"/>
      <c r="B739" s="9"/>
      <c r="C739" s="9"/>
      <c r="D739" s="9"/>
      <c r="E739" s="9"/>
      <c r="F739" s="435"/>
      <c r="G739" s="9"/>
      <c r="H739" s="9"/>
      <c r="I739" s="9"/>
      <c r="J739" s="9"/>
      <c r="K739" s="9"/>
      <c r="L739" s="9"/>
      <c r="M739" s="9"/>
      <c r="N739" s="9"/>
      <c r="O739" s="9"/>
      <c r="P739" s="9"/>
      <c r="Q739" s="9"/>
      <c r="R739" s="9"/>
      <c r="S739" s="436"/>
      <c r="T739" s="436"/>
      <c r="U739" s="436"/>
      <c r="V739" s="436"/>
      <c r="W739" s="9"/>
      <c r="X739" s="9"/>
      <c r="Y739" s="9"/>
      <c r="Z739" s="9"/>
      <c r="AA739" s="9"/>
      <c r="AB739" s="9"/>
    </row>
    <row r="740">
      <c r="A740" s="9"/>
      <c r="B740" s="9"/>
      <c r="C740" s="9"/>
      <c r="D740" s="9"/>
      <c r="E740" s="9"/>
      <c r="F740" s="435"/>
      <c r="G740" s="9"/>
      <c r="H740" s="9"/>
      <c r="I740" s="9"/>
      <c r="J740" s="9"/>
      <c r="K740" s="9"/>
      <c r="L740" s="9"/>
      <c r="M740" s="9"/>
      <c r="N740" s="9"/>
      <c r="O740" s="9"/>
      <c r="P740" s="9"/>
      <c r="Q740" s="9"/>
      <c r="R740" s="9"/>
      <c r="S740" s="436"/>
      <c r="T740" s="436"/>
      <c r="U740" s="436"/>
      <c r="V740" s="436"/>
      <c r="W740" s="9"/>
      <c r="X740" s="9"/>
      <c r="Y740" s="9"/>
      <c r="Z740" s="9"/>
      <c r="AA740" s="9"/>
      <c r="AB740" s="9"/>
    </row>
    <row r="741">
      <c r="A741" s="9"/>
      <c r="B741" s="9"/>
      <c r="C741" s="9"/>
      <c r="D741" s="9"/>
      <c r="E741" s="9"/>
      <c r="F741" s="435"/>
      <c r="G741" s="9"/>
      <c r="H741" s="9"/>
      <c r="I741" s="9"/>
      <c r="J741" s="9"/>
      <c r="K741" s="9"/>
      <c r="L741" s="9"/>
      <c r="M741" s="9"/>
      <c r="N741" s="9"/>
      <c r="O741" s="9"/>
      <c r="P741" s="9"/>
      <c r="Q741" s="9"/>
      <c r="R741" s="9"/>
      <c r="S741" s="436"/>
      <c r="T741" s="436"/>
      <c r="U741" s="436"/>
      <c r="V741" s="436"/>
      <c r="W741" s="9"/>
      <c r="X741" s="9"/>
      <c r="Y741" s="9"/>
      <c r="Z741" s="9"/>
      <c r="AA741" s="9"/>
      <c r="AB741" s="9"/>
    </row>
    <row r="742">
      <c r="A742" s="9"/>
      <c r="B742" s="9"/>
      <c r="C742" s="9"/>
      <c r="D742" s="9"/>
      <c r="E742" s="9"/>
      <c r="F742" s="435"/>
      <c r="G742" s="9"/>
      <c r="H742" s="9"/>
      <c r="I742" s="9"/>
      <c r="J742" s="9"/>
      <c r="K742" s="9"/>
      <c r="L742" s="9"/>
      <c r="M742" s="9"/>
      <c r="N742" s="9"/>
      <c r="O742" s="9"/>
      <c r="P742" s="9"/>
      <c r="Q742" s="9"/>
      <c r="R742" s="9"/>
      <c r="S742" s="436"/>
      <c r="T742" s="436"/>
      <c r="U742" s="436"/>
      <c r="V742" s="436"/>
      <c r="W742" s="9"/>
      <c r="X742" s="9"/>
      <c r="Y742" s="9"/>
      <c r="Z742" s="9"/>
      <c r="AA742" s="9"/>
      <c r="AB742" s="9"/>
    </row>
    <row r="743">
      <c r="A743" s="9"/>
      <c r="B743" s="9"/>
      <c r="C743" s="9"/>
      <c r="D743" s="9"/>
      <c r="E743" s="9"/>
      <c r="F743" s="435"/>
      <c r="G743" s="9"/>
      <c r="H743" s="9"/>
      <c r="I743" s="9"/>
      <c r="J743" s="9"/>
      <c r="K743" s="9"/>
      <c r="L743" s="9"/>
      <c r="M743" s="9"/>
      <c r="N743" s="9"/>
      <c r="O743" s="9"/>
      <c r="P743" s="9"/>
      <c r="Q743" s="9"/>
      <c r="R743" s="9"/>
      <c r="S743" s="436"/>
      <c r="T743" s="436"/>
      <c r="U743" s="436"/>
      <c r="V743" s="436"/>
      <c r="W743" s="9"/>
      <c r="X743" s="9"/>
      <c r="Y743" s="9"/>
      <c r="Z743" s="9"/>
      <c r="AA743" s="9"/>
      <c r="AB743" s="9"/>
    </row>
    <row r="744">
      <c r="A744" s="9"/>
      <c r="B744" s="9"/>
      <c r="C744" s="9"/>
      <c r="D744" s="9"/>
      <c r="E744" s="9"/>
      <c r="F744" s="435"/>
      <c r="G744" s="9"/>
      <c r="H744" s="9"/>
      <c r="I744" s="9"/>
      <c r="J744" s="9"/>
      <c r="K744" s="9"/>
      <c r="L744" s="9"/>
      <c r="M744" s="9"/>
      <c r="N744" s="9"/>
      <c r="O744" s="9"/>
      <c r="P744" s="9"/>
      <c r="Q744" s="9"/>
      <c r="R744" s="9"/>
      <c r="S744" s="436"/>
      <c r="T744" s="436"/>
      <c r="U744" s="436"/>
      <c r="V744" s="436"/>
      <c r="W744" s="9"/>
      <c r="X744" s="9"/>
      <c r="Y744" s="9"/>
      <c r="Z744" s="9"/>
      <c r="AA744" s="9"/>
      <c r="AB744" s="9"/>
    </row>
    <row r="745">
      <c r="A745" s="9"/>
      <c r="B745" s="9"/>
      <c r="C745" s="9"/>
      <c r="D745" s="9"/>
      <c r="E745" s="9"/>
      <c r="F745" s="435"/>
      <c r="G745" s="9"/>
      <c r="H745" s="9"/>
      <c r="I745" s="9"/>
      <c r="J745" s="9"/>
      <c r="K745" s="9"/>
      <c r="L745" s="9"/>
      <c r="M745" s="9"/>
      <c r="N745" s="9"/>
      <c r="O745" s="9"/>
      <c r="P745" s="9"/>
      <c r="Q745" s="9"/>
      <c r="R745" s="9"/>
      <c r="S745" s="436"/>
      <c r="T745" s="436"/>
      <c r="U745" s="436"/>
      <c r="V745" s="436"/>
      <c r="W745" s="9"/>
      <c r="X745" s="9"/>
      <c r="Y745" s="9"/>
      <c r="Z745" s="9"/>
      <c r="AA745" s="9"/>
      <c r="AB745" s="9"/>
    </row>
    <row r="746">
      <c r="A746" s="9"/>
      <c r="B746" s="9"/>
      <c r="C746" s="9"/>
      <c r="D746" s="9"/>
      <c r="E746" s="9"/>
      <c r="F746" s="435"/>
      <c r="G746" s="9"/>
      <c r="H746" s="9"/>
      <c r="I746" s="9"/>
      <c r="J746" s="9"/>
      <c r="K746" s="9"/>
      <c r="L746" s="9"/>
      <c r="M746" s="9"/>
      <c r="N746" s="9"/>
      <c r="O746" s="9"/>
      <c r="P746" s="9"/>
      <c r="Q746" s="9"/>
      <c r="R746" s="9"/>
      <c r="S746" s="436"/>
      <c r="T746" s="436"/>
      <c r="U746" s="436"/>
      <c r="V746" s="436"/>
      <c r="W746" s="9"/>
      <c r="X746" s="9"/>
      <c r="Y746" s="9"/>
      <c r="Z746" s="9"/>
      <c r="AA746" s="9"/>
      <c r="AB746" s="9"/>
    </row>
    <row r="747">
      <c r="A747" s="9"/>
      <c r="B747" s="9"/>
      <c r="C747" s="9"/>
      <c r="D747" s="9"/>
      <c r="E747" s="9"/>
      <c r="F747" s="435"/>
      <c r="G747" s="9"/>
      <c r="H747" s="9"/>
      <c r="I747" s="9"/>
      <c r="J747" s="9"/>
      <c r="K747" s="9"/>
      <c r="L747" s="9"/>
      <c r="M747" s="9"/>
      <c r="N747" s="9"/>
      <c r="O747" s="9"/>
      <c r="P747" s="9"/>
      <c r="Q747" s="9"/>
      <c r="R747" s="9"/>
      <c r="S747" s="436"/>
      <c r="T747" s="436"/>
      <c r="U747" s="436"/>
      <c r="V747" s="436"/>
      <c r="W747" s="9"/>
      <c r="X747" s="9"/>
      <c r="Y747" s="9"/>
      <c r="Z747" s="9"/>
      <c r="AA747" s="9"/>
      <c r="AB747" s="9"/>
    </row>
    <row r="748">
      <c r="A748" s="9"/>
      <c r="B748" s="9"/>
      <c r="C748" s="9"/>
      <c r="D748" s="9"/>
      <c r="E748" s="9"/>
      <c r="F748" s="435"/>
      <c r="G748" s="9"/>
      <c r="H748" s="9"/>
      <c r="I748" s="9"/>
      <c r="J748" s="9"/>
      <c r="K748" s="9"/>
      <c r="L748" s="9"/>
      <c r="M748" s="9"/>
      <c r="N748" s="9"/>
      <c r="O748" s="9"/>
      <c r="P748" s="9"/>
      <c r="Q748" s="9"/>
      <c r="R748" s="9"/>
      <c r="S748" s="436"/>
      <c r="T748" s="436"/>
      <c r="U748" s="436"/>
      <c r="V748" s="436"/>
      <c r="W748" s="9"/>
      <c r="X748" s="9"/>
      <c r="Y748" s="9"/>
      <c r="Z748" s="9"/>
      <c r="AA748" s="9"/>
      <c r="AB748" s="9"/>
    </row>
    <row r="749">
      <c r="A749" s="9"/>
      <c r="B749" s="9"/>
      <c r="C749" s="9"/>
      <c r="D749" s="9"/>
      <c r="E749" s="9"/>
      <c r="F749" s="435"/>
      <c r="G749" s="9"/>
      <c r="H749" s="9"/>
      <c r="I749" s="9"/>
      <c r="J749" s="9"/>
      <c r="K749" s="9"/>
      <c r="L749" s="9"/>
      <c r="M749" s="9"/>
      <c r="N749" s="9"/>
      <c r="O749" s="9"/>
      <c r="P749" s="9"/>
      <c r="Q749" s="9"/>
      <c r="R749" s="9"/>
      <c r="S749" s="436"/>
      <c r="T749" s="436"/>
      <c r="U749" s="436"/>
      <c r="V749" s="436"/>
      <c r="W749" s="9"/>
      <c r="X749" s="9"/>
      <c r="Y749" s="9"/>
      <c r="Z749" s="9"/>
      <c r="AA749" s="9"/>
      <c r="AB749" s="9"/>
    </row>
    <row r="750">
      <c r="A750" s="9"/>
      <c r="B750" s="9"/>
      <c r="C750" s="9"/>
      <c r="D750" s="9"/>
      <c r="E750" s="9"/>
      <c r="F750" s="435"/>
      <c r="G750" s="9"/>
      <c r="H750" s="9"/>
      <c r="I750" s="9"/>
      <c r="J750" s="9"/>
      <c r="K750" s="9"/>
      <c r="L750" s="9"/>
      <c r="M750" s="9"/>
      <c r="N750" s="9"/>
      <c r="O750" s="9"/>
      <c r="P750" s="9"/>
      <c r="Q750" s="9"/>
      <c r="R750" s="9"/>
      <c r="S750" s="436"/>
      <c r="T750" s="436"/>
      <c r="U750" s="436"/>
      <c r="V750" s="436"/>
      <c r="W750" s="9"/>
      <c r="X750" s="9"/>
      <c r="Y750" s="9"/>
      <c r="Z750" s="9"/>
      <c r="AA750" s="9"/>
      <c r="AB750" s="9"/>
    </row>
    <row r="751">
      <c r="A751" s="9"/>
      <c r="B751" s="9"/>
      <c r="C751" s="9"/>
      <c r="D751" s="9"/>
      <c r="E751" s="9"/>
      <c r="F751" s="435"/>
      <c r="G751" s="9"/>
      <c r="H751" s="9"/>
      <c r="I751" s="9"/>
      <c r="J751" s="9"/>
      <c r="K751" s="9"/>
      <c r="L751" s="9"/>
      <c r="M751" s="9"/>
      <c r="N751" s="9"/>
      <c r="O751" s="9"/>
      <c r="P751" s="9"/>
      <c r="Q751" s="9"/>
      <c r="R751" s="9"/>
      <c r="S751" s="436"/>
      <c r="T751" s="436"/>
      <c r="U751" s="436"/>
      <c r="V751" s="436"/>
      <c r="W751" s="9"/>
      <c r="X751" s="9"/>
      <c r="Y751" s="9"/>
      <c r="Z751" s="9"/>
      <c r="AA751" s="9"/>
      <c r="AB751" s="9"/>
    </row>
    <row r="752">
      <c r="A752" s="9"/>
      <c r="B752" s="9"/>
      <c r="C752" s="9"/>
      <c r="D752" s="9"/>
      <c r="E752" s="9"/>
      <c r="F752" s="435"/>
      <c r="G752" s="9"/>
      <c r="H752" s="9"/>
      <c r="I752" s="9"/>
      <c r="J752" s="9"/>
      <c r="K752" s="9"/>
      <c r="L752" s="9"/>
      <c r="M752" s="9"/>
      <c r="N752" s="9"/>
      <c r="O752" s="9"/>
      <c r="P752" s="9"/>
      <c r="Q752" s="9"/>
      <c r="R752" s="9"/>
      <c r="S752" s="436"/>
      <c r="T752" s="436"/>
      <c r="U752" s="436"/>
      <c r="V752" s="436"/>
      <c r="W752" s="9"/>
      <c r="X752" s="9"/>
      <c r="Y752" s="9"/>
      <c r="Z752" s="9"/>
      <c r="AA752" s="9"/>
      <c r="AB752" s="9"/>
    </row>
    <row r="753">
      <c r="A753" s="9"/>
      <c r="B753" s="9"/>
      <c r="C753" s="9"/>
      <c r="D753" s="9"/>
      <c r="E753" s="9"/>
      <c r="F753" s="435"/>
      <c r="G753" s="9"/>
      <c r="H753" s="9"/>
      <c r="I753" s="9"/>
      <c r="J753" s="9"/>
      <c r="K753" s="9"/>
      <c r="L753" s="9"/>
      <c r="M753" s="9"/>
      <c r="N753" s="9"/>
      <c r="O753" s="9"/>
      <c r="P753" s="9"/>
      <c r="Q753" s="9"/>
      <c r="R753" s="9"/>
      <c r="S753" s="436"/>
      <c r="T753" s="436"/>
      <c r="U753" s="436"/>
      <c r="V753" s="436"/>
      <c r="W753" s="9"/>
      <c r="X753" s="9"/>
      <c r="Y753" s="9"/>
      <c r="Z753" s="9"/>
      <c r="AA753" s="9"/>
      <c r="AB753" s="9"/>
    </row>
    <row r="754">
      <c r="A754" s="9"/>
      <c r="B754" s="9"/>
      <c r="C754" s="9"/>
      <c r="D754" s="9"/>
      <c r="E754" s="9"/>
      <c r="F754" s="435"/>
      <c r="G754" s="9"/>
      <c r="H754" s="9"/>
      <c r="I754" s="9"/>
      <c r="J754" s="9"/>
      <c r="K754" s="9"/>
      <c r="L754" s="9"/>
      <c r="M754" s="9"/>
      <c r="N754" s="9"/>
      <c r="O754" s="9"/>
      <c r="P754" s="9"/>
      <c r="Q754" s="9"/>
      <c r="R754" s="9"/>
      <c r="S754" s="436"/>
      <c r="T754" s="436"/>
      <c r="U754" s="436"/>
      <c r="V754" s="436"/>
      <c r="W754" s="9"/>
      <c r="X754" s="9"/>
      <c r="Y754" s="9"/>
      <c r="Z754" s="9"/>
      <c r="AA754" s="9"/>
      <c r="AB754" s="9"/>
    </row>
    <row r="755">
      <c r="A755" s="9"/>
      <c r="B755" s="9"/>
      <c r="C755" s="9"/>
      <c r="D755" s="9"/>
      <c r="E755" s="9"/>
      <c r="F755" s="435"/>
      <c r="G755" s="9"/>
      <c r="H755" s="9"/>
      <c r="I755" s="9"/>
      <c r="J755" s="9"/>
      <c r="K755" s="9"/>
      <c r="L755" s="9"/>
      <c r="M755" s="9"/>
      <c r="N755" s="9"/>
      <c r="O755" s="9"/>
      <c r="P755" s="9"/>
      <c r="Q755" s="9"/>
      <c r="R755" s="9"/>
      <c r="S755" s="436"/>
      <c r="T755" s="436"/>
      <c r="U755" s="436"/>
      <c r="V755" s="436"/>
      <c r="W755" s="9"/>
      <c r="X755" s="9"/>
      <c r="Y755" s="9"/>
      <c r="Z755" s="9"/>
      <c r="AA755" s="9"/>
      <c r="AB755" s="9"/>
    </row>
    <row r="756">
      <c r="A756" s="9"/>
      <c r="B756" s="9"/>
      <c r="C756" s="9"/>
      <c r="D756" s="9"/>
      <c r="E756" s="9"/>
      <c r="F756" s="435"/>
      <c r="G756" s="9"/>
      <c r="H756" s="9"/>
      <c r="I756" s="9"/>
      <c r="J756" s="9"/>
      <c r="K756" s="9"/>
      <c r="L756" s="9"/>
      <c r="M756" s="9"/>
      <c r="N756" s="9"/>
      <c r="O756" s="9"/>
      <c r="P756" s="9"/>
      <c r="Q756" s="9"/>
      <c r="R756" s="9"/>
      <c r="S756" s="436"/>
      <c r="T756" s="436"/>
      <c r="U756" s="436"/>
      <c r="V756" s="436"/>
      <c r="W756" s="9"/>
      <c r="X756" s="9"/>
      <c r="Y756" s="9"/>
      <c r="Z756" s="9"/>
      <c r="AA756" s="9"/>
      <c r="AB756" s="9"/>
    </row>
    <row r="757">
      <c r="A757" s="9"/>
      <c r="B757" s="9"/>
      <c r="C757" s="9"/>
      <c r="D757" s="9"/>
      <c r="E757" s="9"/>
      <c r="F757" s="435"/>
      <c r="G757" s="9"/>
      <c r="H757" s="9"/>
      <c r="I757" s="9"/>
      <c r="J757" s="9"/>
      <c r="K757" s="9"/>
      <c r="L757" s="9"/>
      <c r="M757" s="9"/>
      <c r="N757" s="9"/>
      <c r="O757" s="9"/>
      <c r="P757" s="9"/>
      <c r="Q757" s="9"/>
      <c r="R757" s="9"/>
      <c r="S757" s="436"/>
      <c r="T757" s="436"/>
      <c r="U757" s="436"/>
      <c r="V757" s="436"/>
      <c r="W757" s="9"/>
      <c r="X757" s="9"/>
      <c r="Y757" s="9"/>
      <c r="Z757" s="9"/>
      <c r="AA757" s="9"/>
      <c r="AB757" s="9"/>
    </row>
    <row r="758">
      <c r="A758" s="9"/>
      <c r="B758" s="9"/>
      <c r="C758" s="9"/>
      <c r="D758" s="9"/>
      <c r="E758" s="9"/>
      <c r="F758" s="435"/>
      <c r="G758" s="9"/>
      <c r="H758" s="9"/>
      <c r="I758" s="9"/>
      <c r="J758" s="9"/>
      <c r="K758" s="9"/>
      <c r="L758" s="9"/>
      <c r="M758" s="9"/>
      <c r="N758" s="9"/>
      <c r="O758" s="9"/>
      <c r="P758" s="9"/>
      <c r="Q758" s="9"/>
      <c r="R758" s="9"/>
      <c r="S758" s="436"/>
      <c r="T758" s="436"/>
      <c r="U758" s="436"/>
      <c r="V758" s="436"/>
      <c r="W758" s="9"/>
      <c r="X758" s="9"/>
      <c r="Y758" s="9"/>
      <c r="Z758" s="9"/>
      <c r="AA758" s="9"/>
      <c r="AB758" s="9"/>
    </row>
    <row r="759">
      <c r="A759" s="9"/>
      <c r="B759" s="9"/>
      <c r="C759" s="9"/>
      <c r="D759" s="9"/>
      <c r="E759" s="9"/>
      <c r="F759" s="435"/>
      <c r="G759" s="9"/>
      <c r="H759" s="9"/>
      <c r="I759" s="9"/>
      <c r="J759" s="9"/>
      <c r="K759" s="9"/>
      <c r="L759" s="9"/>
      <c r="M759" s="9"/>
      <c r="N759" s="9"/>
      <c r="O759" s="9"/>
      <c r="P759" s="9"/>
      <c r="Q759" s="9"/>
      <c r="R759" s="9"/>
      <c r="S759" s="436"/>
      <c r="T759" s="436"/>
      <c r="U759" s="436"/>
      <c r="V759" s="436"/>
      <c r="W759" s="9"/>
      <c r="X759" s="9"/>
      <c r="Y759" s="9"/>
      <c r="Z759" s="9"/>
      <c r="AA759" s="9"/>
      <c r="AB759" s="9"/>
    </row>
    <row r="760">
      <c r="A760" s="9"/>
      <c r="B760" s="9"/>
      <c r="C760" s="9"/>
      <c r="D760" s="9"/>
      <c r="E760" s="9"/>
      <c r="F760" s="435"/>
      <c r="G760" s="9"/>
      <c r="H760" s="9"/>
      <c r="I760" s="9"/>
      <c r="J760" s="9"/>
      <c r="K760" s="9"/>
      <c r="L760" s="9"/>
      <c r="M760" s="9"/>
      <c r="N760" s="9"/>
      <c r="O760" s="9"/>
      <c r="P760" s="9"/>
      <c r="Q760" s="9"/>
      <c r="R760" s="9"/>
      <c r="S760" s="436"/>
      <c r="T760" s="436"/>
      <c r="U760" s="436"/>
      <c r="V760" s="436"/>
      <c r="W760" s="9"/>
      <c r="X760" s="9"/>
      <c r="Y760" s="9"/>
      <c r="Z760" s="9"/>
      <c r="AA760" s="9"/>
      <c r="AB760" s="9"/>
    </row>
    <row r="761">
      <c r="A761" s="9"/>
      <c r="B761" s="9"/>
      <c r="C761" s="9"/>
      <c r="D761" s="9"/>
      <c r="E761" s="9"/>
      <c r="F761" s="435"/>
      <c r="G761" s="9"/>
      <c r="H761" s="9"/>
      <c r="I761" s="9"/>
      <c r="J761" s="9"/>
      <c r="K761" s="9"/>
      <c r="L761" s="9"/>
      <c r="M761" s="9"/>
      <c r="N761" s="9"/>
      <c r="O761" s="9"/>
      <c r="P761" s="9"/>
      <c r="Q761" s="9"/>
      <c r="R761" s="9"/>
      <c r="S761" s="436"/>
      <c r="T761" s="436"/>
      <c r="U761" s="436"/>
      <c r="V761" s="436"/>
      <c r="W761" s="9"/>
      <c r="X761" s="9"/>
      <c r="Y761" s="9"/>
      <c r="Z761" s="9"/>
      <c r="AA761" s="9"/>
      <c r="AB761" s="9"/>
    </row>
    <row r="762">
      <c r="A762" s="9"/>
      <c r="B762" s="9"/>
      <c r="C762" s="9"/>
      <c r="D762" s="9"/>
      <c r="E762" s="9"/>
      <c r="F762" s="435"/>
      <c r="G762" s="9"/>
      <c r="H762" s="9"/>
      <c r="I762" s="9"/>
      <c r="J762" s="9"/>
      <c r="K762" s="9"/>
      <c r="L762" s="9"/>
      <c r="M762" s="9"/>
      <c r="N762" s="9"/>
      <c r="O762" s="9"/>
      <c r="P762" s="9"/>
      <c r="Q762" s="9"/>
      <c r="R762" s="9"/>
      <c r="S762" s="436"/>
      <c r="T762" s="436"/>
      <c r="U762" s="436"/>
      <c r="V762" s="436"/>
      <c r="W762" s="9"/>
      <c r="X762" s="9"/>
      <c r="Y762" s="9"/>
      <c r="Z762" s="9"/>
      <c r="AA762" s="9"/>
      <c r="AB762" s="9"/>
    </row>
    <row r="763">
      <c r="A763" s="9"/>
      <c r="B763" s="9"/>
      <c r="C763" s="9"/>
      <c r="D763" s="9"/>
      <c r="E763" s="9"/>
      <c r="F763" s="435"/>
      <c r="G763" s="9"/>
      <c r="H763" s="9"/>
      <c r="I763" s="9"/>
      <c r="J763" s="9"/>
      <c r="K763" s="9"/>
      <c r="L763" s="9"/>
      <c r="M763" s="9"/>
      <c r="N763" s="9"/>
      <c r="O763" s="9"/>
      <c r="P763" s="9"/>
      <c r="Q763" s="9"/>
      <c r="R763" s="9"/>
      <c r="S763" s="436"/>
      <c r="T763" s="436"/>
      <c r="U763" s="436"/>
      <c r="V763" s="436"/>
      <c r="W763" s="9"/>
      <c r="X763" s="9"/>
      <c r="Y763" s="9"/>
      <c r="Z763" s="9"/>
      <c r="AA763" s="9"/>
      <c r="AB763" s="9"/>
    </row>
    <row r="764">
      <c r="A764" s="9"/>
      <c r="B764" s="9"/>
      <c r="C764" s="9"/>
      <c r="D764" s="9"/>
      <c r="E764" s="9"/>
      <c r="F764" s="435"/>
      <c r="G764" s="9"/>
      <c r="H764" s="9"/>
      <c r="I764" s="9"/>
      <c r="J764" s="9"/>
      <c r="K764" s="9"/>
      <c r="L764" s="9"/>
      <c r="M764" s="9"/>
      <c r="N764" s="9"/>
      <c r="O764" s="9"/>
      <c r="P764" s="9"/>
      <c r="Q764" s="9"/>
      <c r="R764" s="9"/>
      <c r="S764" s="436"/>
      <c r="T764" s="436"/>
      <c r="U764" s="436"/>
      <c r="V764" s="436"/>
      <c r="W764" s="9"/>
      <c r="X764" s="9"/>
      <c r="Y764" s="9"/>
      <c r="Z764" s="9"/>
      <c r="AA764" s="9"/>
      <c r="AB764" s="9"/>
    </row>
    <row r="765">
      <c r="A765" s="9"/>
      <c r="B765" s="9"/>
      <c r="C765" s="9"/>
      <c r="D765" s="9"/>
      <c r="E765" s="9"/>
      <c r="F765" s="435"/>
      <c r="G765" s="9"/>
      <c r="H765" s="9"/>
      <c r="I765" s="9"/>
      <c r="J765" s="9"/>
      <c r="K765" s="9"/>
      <c r="L765" s="9"/>
      <c r="M765" s="9"/>
      <c r="N765" s="9"/>
      <c r="O765" s="9"/>
      <c r="P765" s="9"/>
      <c r="Q765" s="9"/>
      <c r="R765" s="9"/>
      <c r="S765" s="436"/>
      <c r="T765" s="436"/>
      <c r="U765" s="436"/>
      <c r="V765" s="436"/>
      <c r="W765" s="9"/>
      <c r="X765" s="9"/>
      <c r="Y765" s="9"/>
      <c r="Z765" s="9"/>
      <c r="AA765" s="9"/>
      <c r="AB765" s="9"/>
    </row>
    <row r="766">
      <c r="A766" s="9"/>
      <c r="B766" s="9"/>
      <c r="C766" s="9"/>
      <c r="D766" s="9"/>
      <c r="E766" s="9"/>
      <c r="F766" s="435"/>
      <c r="G766" s="9"/>
      <c r="H766" s="9"/>
      <c r="I766" s="9"/>
      <c r="J766" s="9"/>
      <c r="K766" s="9"/>
      <c r="L766" s="9"/>
      <c r="M766" s="9"/>
      <c r="N766" s="9"/>
      <c r="O766" s="9"/>
      <c r="P766" s="9"/>
      <c r="Q766" s="9"/>
      <c r="R766" s="9"/>
      <c r="S766" s="436"/>
      <c r="T766" s="436"/>
      <c r="U766" s="436"/>
      <c r="V766" s="436"/>
      <c r="W766" s="9"/>
      <c r="X766" s="9"/>
      <c r="Y766" s="9"/>
      <c r="Z766" s="9"/>
      <c r="AA766" s="9"/>
      <c r="AB766" s="9"/>
    </row>
    <row r="767">
      <c r="A767" s="9"/>
      <c r="B767" s="9"/>
      <c r="C767" s="9"/>
      <c r="D767" s="9"/>
      <c r="E767" s="9"/>
      <c r="F767" s="435"/>
      <c r="G767" s="9"/>
      <c r="H767" s="9"/>
      <c r="I767" s="9"/>
      <c r="J767" s="9"/>
      <c r="K767" s="9"/>
      <c r="L767" s="9"/>
      <c r="M767" s="9"/>
      <c r="N767" s="9"/>
      <c r="O767" s="9"/>
      <c r="P767" s="9"/>
      <c r="Q767" s="9"/>
      <c r="R767" s="9"/>
      <c r="S767" s="436"/>
      <c r="T767" s="436"/>
      <c r="U767" s="436"/>
      <c r="V767" s="436"/>
      <c r="W767" s="9"/>
      <c r="X767" s="9"/>
      <c r="Y767" s="9"/>
      <c r="Z767" s="9"/>
      <c r="AA767" s="9"/>
      <c r="AB767" s="9"/>
    </row>
    <row r="768">
      <c r="A768" s="9"/>
      <c r="B768" s="9"/>
      <c r="C768" s="9"/>
      <c r="D768" s="9"/>
      <c r="E768" s="9"/>
      <c r="F768" s="435"/>
      <c r="G768" s="9"/>
      <c r="H768" s="9"/>
      <c r="I768" s="9"/>
      <c r="J768" s="9"/>
      <c r="K768" s="9"/>
      <c r="L768" s="9"/>
      <c r="M768" s="9"/>
      <c r="N768" s="9"/>
      <c r="O768" s="9"/>
      <c r="P768" s="9"/>
      <c r="Q768" s="9"/>
      <c r="R768" s="9"/>
      <c r="S768" s="436"/>
      <c r="T768" s="436"/>
      <c r="U768" s="436"/>
      <c r="V768" s="436"/>
      <c r="W768" s="9"/>
      <c r="X768" s="9"/>
      <c r="Y768" s="9"/>
      <c r="Z768" s="9"/>
      <c r="AA768" s="9"/>
      <c r="AB768" s="9"/>
    </row>
    <row r="769">
      <c r="A769" s="9"/>
      <c r="B769" s="9"/>
      <c r="C769" s="9"/>
      <c r="D769" s="9"/>
      <c r="E769" s="9"/>
      <c r="F769" s="435"/>
      <c r="G769" s="9"/>
      <c r="H769" s="9"/>
      <c r="I769" s="9"/>
      <c r="J769" s="9"/>
      <c r="K769" s="9"/>
      <c r="L769" s="9"/>
      <c r="M769" s="9"/>
      <c r="N769" s="9"/>
      <c r="O769" s="9"/>
      <c r="P769" s="9"/>
      <c r="Q769" s="9"/>
      <c r="R769" s="9"/>
      <c r="S769" s="436"/>
      <c r="T769" s="436"/>
      <c r="U769" s="436"/>
      <c r="V769" s="436"/>
      <c r="W769" s="9"/>
      <c r="X769" s="9"/>
      <c r="Y769" s="9"/>
      <c r="Z769" s="9"/>
      <c r="AA769" s="9"/>
      <c r="AB769" s="9"/>
    </row>
    <row r="770">
      <c r="A770" s="9"/>
      <c r="B770" s="9"/>
      <c r="C770" s="9"/>
      <c r="D770" s="9"/>
      <c r="E770" s="9"/>
      <c r="F770" s="435"/>
      <c r="G770" s="9"/>
      <c r="H770" s="9"/>
      <c r="I770" s="9"/>
      <c r="J770" s="9"/>
      <c r="K770" s="9"/>
      <c r="L770" s="9"/>
      <c r="M770" s="9"/>
      <c r="N770" s="9"/>
      <c r="O770" s="9"/>
      <c r="P770" s="9"/>
      <c r="Q770" s="9"/>
      <c r="R770" s="9"/>
      <c r="S770" s="436"/>
      <c r="T770" s="436"/>
      <c r="U770" s="436"/>
      <c r="V770" s="436"/>
      <c r="W770" s="9"/>
      <c r="X770" s="9"/>
      <c r="Y770" s="9"/>
      <c r="Z770" s="9"/>
      <c r="AA770" s="9"/>
      <c r="AB770" s="9"/>
    </row>
    <row r="771">
      <c r="A771" s="9"/>
      <c r="B771" s="9"/>
      <c r="C771" s="9"/>
      <c r="D771" s="9"/>
      <c r="E771" s="9"/>
      <c r="F771" s="435"/>
      <c r="G771" s="9"/>
      <c r="H771" s="9"/>
      <c r="I771" s="9"/>
      <c r="J771" s="9"/>
      <c r="K771" s="9"/>
      <c r="L771" s="9"/>
      <c r="M771" s="9"/>
      <c r="N771" s="9"/>
      <c r="O771" s="9"/>
      <c r="P771" s="9"/>
      <c r="Q771" s="9"/>
      <c r="R771" s="9"/>
      <c r="S771" s="436"/>
      <c r="T771" s="436"/>
      <c r="U771" s="436"/>
      <c r="V771" s="436"/>
      <c r="W771" s="9"/>
      <c r="X771" s="9"/>
      <c r="Y771" s="9"/>
      <c r="Z771" s="9"/>
      <c r="AA771" s="9"/>
      <c r="AB771" s="9"/>
    </row>
    <row r="772">
      <c r="A772" s="9"/>
      <c r="B772" s="9"/>
      <c r="C772" s="9"/>
      <c r="D772" s="9"/>
      <c r="E772" s="9"/>
      <c r="F772" s="435"/>
      <c r="G772" s="9"/>
      <c r="H772" s="9"/>
      <c r="I772" s="9"/>
      <c r="J772" s="9"/>
      <c r="K772" s="9"/>
      <c r="L772" s="9"/>
      <c r="M772" s="9"/>
      <c r="N772" s="9"/>
      <c r="O772" s="9"/>
      <c r="P772" s="9"/>
      <c r="Q772" s="9"/>
      <c r="R772" s="9"/>
      <c r="S772" s="436"/>
      <c r="T772" s="436"/>
      <c r="U772" s="436"/>
      <c r="V772" s="436"/>
      <c r="W772" s="9"/>
      <c r="X772" s="9"/>
      <c r="Y772" s="9"/>
      <c r="Z772" s="9"/>
      <c r="AA772" s="9"/>
      <c r="AB772" s="9"/>
    </row>
    <row r="773">
      <c r="A773" s="9"/>
      <c r="B773" s="9"/>
      <c r="C773" s="9"/>
      <c r="D773" s="9"/>
      <c r="E773" s="9"/>
      <c r="F773" s="435"/>
      <c r="G773" s="9"/>
      <c r="H773" s="9"/>
      <c r="I773" s="9"/>
      <c r="J773" s="9"/>
      <c r="K773" s="9"/>
      <c r="L773" s="9"/>
      <c r="M773" s="9"/>
      <c r="N773" s="9"/>
      <c r="O773" s="9"/>
      <c r="P773" s="9"/>
      <c r="Q773" s="9"/>
      <c r="R773" s="9"/>
      <c r="S773" s="436"/>
      <c r="T773" s="436"/>
      <c r="U773" s="436"/>
      <c r="V773" s="436"/>
      <c r="W773" s="9"/>
      <c r="X773" s="9"/>
      <c r="Y773" s="9"/>
      <c r="Z773" s="9"/>
      <c r="AA773" s="9"/>
      <c r="AB773" s="9"/>
    </row>
    <row r="774">
      <c r="A774" s="9"/>
      <c r="B774" s="9"/>
      <c r="C774" s="9"/>
      <c r="D774" s="9"/>
      <c r="E774" s="9"/>
      <c r="F774" s="435"/>
      <c r="G774" s="9"/>
      <c r="H774" s="9"/>
      <c r="I774" s="9"/>
      <c r="J774" s="9"/>
      <c r="K774" s="9"/>
      <c r="L774" s="9"/>
      <c r="M774" s="9"/>
      <c r="N774" s="9"/>
      <c r="O774" s="9"/>
      <c r="P774" s="9"/>
      <c r="Q774" s="9"/>
      <c r="R774" s="9"/>
      <c r="S774" s="436"/>
      <c r="T774" s="436"/>
      <c r="U774" s="436"/>
      <c r="V774" s="436"/>
      <c r="W774" s="9"/>
      <c r="X774" s="9"/>
      <c r="Y774" s="9"/>
      <c r="Z774" s="9"/>
      <c r="AA774" s="9"/>
      <c r="AB774" s="9"/>
    </row>
    <row r="775">
      <c r="A775" s="9"/>
      <c r="B775" s="9"/>
      <c r="C775" s="9"/>
      <c r="D775" s="9"/>
      <c r="E775" s="9"/>
      <c r="F775" s="435"/>
      <c r="G775" s="9"/>
      <c r="H775" s="9"/>
      <c r="I775" s="9"/>
      <c r="J775" s="9"/>
      <c r="K775" s="9"/>
      <c r="L775" s="9"/>
      <c r="M775" s="9"/>
      <c r="N775" s="9"/>
      <c r="O775" s="9"/>
      <c r="P775" s="9"/>
      <c r="Q775" s="9"/>
      <c r="R775" s="9"/>
      <c r="S775" s="436"/>
      <c r="T775" s="436"/>
      <c r="U775" s="436"/>
      <c r="V775" s="436"/>
      <c r="W775" s="9"/>
      <c r="X775" s="9"/>
      <c r="Y775" s="9"/>
      <c r="Z775" s="9"/>
      <c r="AA775" s="9"/>
      <c r="AB775" s="9"/>
    </row>
    <row r="776">
      <c r="A776" s="9"/>
      <c r="B776" s="9"/>
      <c r="C776" s="9"/>
      <c r="D776" s="9"/>
      <c r="E776" s="9"/>
      <c r="F776" s="435"/>
      <c r="G776" s="9"/>
      <c r="H776" s="9"/>
      <c r="I776" s="9"/>
      <c r="J776" s="9"/>
      <c r="K776" s="9"/>
      <c r="L776" s="9"/>
      <c r="M776" s="9"/>
      <c r="N776" s="9"/>
      <c r="O776" s="9"/>
      <c r="P776" s="9"/>
      <c r="Q776" s="9"/>
      <c r="R776" s="9"/>
      <c r="S776" s="436"/>
      <c r="T776" s="436"/>
      <c r="U776" s="436"/>
      <c r="V776" s="436"/>
      <c r="W776" s="9"/>
      <c r="X776" s="9"/>
      <c r="Y776" s="9"/>
      <c r="Z776" s="9"/>
      <c r="AA776" s="9"/>
      <c r="AB776" s="9"/>
    </row>
    <row r="777">
      <c r="A777" s="9"/>
      <c r="B777" s="9"/>
      <c r="C777" s="9"/>
      <c r="D777" s="9"/>
      <c r="E777" s="9"/>
      <c r="F777" s="435"/>
      <c r="G777" s="9"/>
      <c r="H777" s="9"/>
      <c r="I777" s="9"/>
      <c r="J777" s="9"/>
      <c r="K777" s="9"/>
      <c r="L777" s="9"/>
      <c r="M777" s="9"/>
      <c r="N777" s="9"/>
      <c r="O777" s="9"/>
      <c r="P777" s="9"/>
      <c r="Q777" s="9"/>
      <c r="R777" s="9"/>
      <c r="S777" s="436"/>
      <c r="T777" s="436"/>
      <c r="U777" s="436"/>
      <c r="V777" s="436"/>
      <c r="W777" s="9"/>
      <c r="X777" s="9"/>
      <c r="Y777" s="9"/>
      <c r="Z777" s="9"/>
      <c r="AA777" s="9"/>
      <c r="AB777" s="9"/>
    </row>
    <row r="778">
      <c r="A778" s="9"/>
      <c r="B778" s="9"/>
      <c r="C778" s="9"/>
      <c r="D778" s="9"/>
      <c r="E778" s="9"/>
      <c r="F778" s="435"/>
      <c r="G778" s="9"/>
      <c r="H778" s="9"/>
      <c r="I778" s="9"/>
      <c r="J778" s="9"/>
      <c r="K778" s="9"/>
      <c r="L778" s="9"/>
      <c r="M778" s="9"/>
      <c r="N778" s="9"/>
      <c r="O778" s="9"/>
      <c r="P778" s="9"/>
      <c r="Q778" s="9"/>
      <c r="R778" s="9"/>
      <c r="S778" s="436"/>
      <c r="T778" s="436"/>
      <c r="U778" s="436"/>
      <c r="V778" s="436"/>
      <c r="W778" s="9"/>
      <c r="X778" s="9"/>
      <c r="Y778" s="9"/>
      <c r="Z778" s="9"/>
      <c r="AA778" s="9"/>
      <c r="AB778" s="9"/>
    </row>
    <row r="779">
      <c r="A779" s="9"/>
      <c r="B779" s="9"/>
      <c r="C779" s="9"/>
      <c r="D779" s="9"/>
      <c r="E779" s="9"/>
      <c r="F779" s="435"/>
      <c r="G779" s="9"/>
      <c r="H779" s="9"/>
      <c r="I779" s="9"/>
      <c r="J779" s="9"/>
      <c r="K779" s="9"/>
      <c r="L779" s="9"/>
      <c r="M779" s="9"/>
      <c r="N779" s="9"/>
      <c r="O779" s="9"/>
      <c r="P779" s="9"/>
      <c r="Q779" s="9"/>
      <c r="R779" s="9"/>
      <c r="S779" s="436"/>
      <c r="T779" s="436"/>
      <c r="U779" s="436"/>
      <c r="V779" s="436"/>
      <c r="W779" s="9"/>
      <c r="X779" s="9"/>
      <c r="Y779" s="9"/>
      <c r="Z779" s="9"/>
      <c r="AA779" s="9"/>
      <c r="AB779" s="9"/>
    </row>
    <row r="780">
      <c r="A780" s="9"/>
      <c r="B780" s="9"/>
      <c r="C780" s="9"/>
      <c r="D780" s="9"/>
      <c r="E780" s="9"/>
      <c r="F780" s="435"/>
      <c r="G780" s="9"/>
      <c r="H780" s="9"/>
      <c r="I780" s="9"/>
      <c r="J780" s="9"/>
      <c r="K780" s="9"/>
      <c r="L780" s="9"/>
      <c r="M780" s="9"/>
      <c r="N780" s="9"/>
      <c r="O780" s="9"/>
      <c r="P780" s="9"/>
      <c r="Q780" s="9"/>
      <c r="R780" s="9"/>
      <c r="S780" s="436"/>
      <c r="T780" s="436"/>
      <c r="U780" s="436"/>
      <c r="V780" s="436"/>
      <c r="W780" s="9"/>
      <c r="X780" s="9"/>
      <c r="Y780" s="9"/>
      <c r="Z780" s="9"/>
      <c r="AA780" s="9"/>
      <c r="AB780" s="9"/>
    </row>
    <row r="781">
      <c r="A781" s="9"/>
      <c r="B781" s="9"/>
      <c r="C781" s="9"/>
      <c r="D781" s="9"/>
      <c r="E781" s="9"/>
      <c r="F781" s="435"/>
      <c r="G781" s="9"/>
      <c r="H781" s="9"/>
      <c r="I781" s="9"/>
      <c r="J781" s="9"/>
      <c r="K781" s="9"/>
      <c r="L781" s="9"/>
      <c r="M781" s="9"/>
      <c r="N781" s="9"/>
      <c r="O781" s="9"/>
      <c r="P781" s="9"/>
      <c r="Q781" s="9"/>
      <c r="R781" s="9"/>
      <c r="S781" s="436"/>
      <c r="T781" s="436"/>
      <c r="U781" s="436"/>
      <c r="V781" s="436"/>
      <c r="W781" s="9"/>
      <c r="X781" s="9"/>
      <c r="Y781" s="9"/>
      <c r="Z781" s="9"/>
      <c r="AA781" s="9"/>
      <c r="AB781" s="9"/>
    </row>
    <row r="782">
      <c r="A782" s="9"/>
      <c r="B782" s="9"/>
      <c r="C782" s="9"/>
      <c r="D782" s="9"/>
      <c r="E782" s="9"/>
      <c r="F782" s="435"/>
      <c r="G782" s="9"/>
      <c r="H782" s="9"/>
      <c r="I782" s="9"/>
      <c r="J782" s="9"/>
      <c r="K782" s="9"/>
      <c r="L782" s="9"/>
      <c r="M782" s="9"/>
      <c r="N782" s="9"/>
      <c r="O782" s="9"/>
      <c r="P782" s="9"/>
      <c r="Q782" s="9"/>
      <c r="R782" s="9"/>
      <c r="S782" s="436"/>
      <c r="T782" s="436"/>
      <c r="U782" s="436"/>
      <c r="V782" s="436"/>
      <c r="W782" s="9"/>
      <c r="X782" s="9"/>
      <c r="Y782" s="9"/>
      <c r="Z782" s="9"/>
      <c r="AA782" s="9"/>
      <c r="AB782" s="9"/>
    </row>
    <row r="783">
      <c r="A783" s="9"/>
      <c r="B783" s="9"/>
      <c r="C783" s="9"/>
      <c r="D783" s="9"/>
      <c r="E783" s="9"/>
      <c r="F783" s="435"/>
      <c r="G783" s="9"/>
      <c r="H783" s="9"/>
      <c r="I783" s="9"/>
      <c r="J783" s="9"/>
      <c r="K783" s="9"/>
      <c r="L783" s="9"/>
      <c r="M783" s="9"/>
      <c r="N783" s="9"/>
      <c r="O783" s="9"/>
      <c r="P783" s="9"/>
      <c r="Q783" s="9"/>
      <c r="R783" s="9"/>
      <c r="S783" s="436"/>
      <c r="T783" s="436"/>
      <c r="U783" s="436"/>
      <c r="V783" s="436"/>
      <c r="W783" s="9"/>
      <c r="X783" s="9"/>
      <c r="Y783" s="9"/>
      <c r="Z783" s="9"/>
      <c r="AA783" s="9"/>
      <c r="AB783" s="9"/>
    </row>
    <row r="784">
      <c r="A784" s="9"/>
      <c r="B784" s="9"/>
      <c r="C784" s="9"/>
      <c r="D784" s="9"/>
      <c r="E784" s="9"/>
      <c r="F784" s="435"/>
      <c r="G784" s="9"/>
      <c r="H784" s="9"/>
      <c r="I784" s="9"/>
      <c r="J784" s="9"/>
      <c r="K784" s="9"/>
      <c r="L784" s="9"/>
      <c r="M784" s="9"/>
      <c r="N784" s="9"/>
      <c r="O784" s="9"/>
      <c r="P784" s="9"/>
      <c r="Q784" s="9"/>
      <c r="R784" s="9"/>
      <c r="S784" s="436"/>
      <c r="T784" s="436"/>
      <c r="U784" s="436"/>
      <c r="V784" s="436"/>
      <c r="W784" s="9"/>
      <c r="X784" s="9"/>
      <c r="Y784" s="9"/>
      <c r="Z784" s="9"/>
      <c r="AA784" s="9"/>
      <c r="AB784" s="9"/>
    </row>
    <row r="785">
      <c r="A785" s="9"/>
      <c r="B785" s="9"/>
      <c r="C785" s="9"/>
      <c r="D785" s="9"/>
      <c r="E785" s="9"/>
      <c r="F785" s="435"/>
      <c r="G785" s="9"/>
      <c r="H785" s="9"/>
      <c r="I785" s="9"/>
      <c r="J785" s="9"/>
      <c r="K785" s="9"/>
      <c r="L785" s="9"/>
      <c r="M785" s="9"/>
      <c r="N785" s="9"/>
      <c r="O785" s="9"/>
      <c r="P785" s="9"/>
      <c r="Q785" s="9"/>
      <c r="R785" s="9"/>
      <c r="S785" s="436"/>
      <c r="T785" s="436"/>
      <c r="U785" s="436"/>
      <c r="V785" s="436"/>
      <c r="W785" s="9"/>
      <c r="X785" s="9"/>
      <c r="Y785" s="9"/>
      <c r="Z785" s="9"/>
      <c r="AA785" s="9"/>
      <c r="AB785" s="9"/>
    </row>
    <row r="786">
      <c r="A786" s="9"/>
      <c r="B786" s="9"/>
      <c r="C786" s="9"/>
      <c r="D786" s="9"/>
      <c r="E786" s="9"/>
      <c r="F786" s="435"/>
      <c r="G786" s="9"/>
      <c r="H786" s="9"/>
      <c r="I786" s="9"/>
      <c r="J786" s="9"/>
      <c r="K786" s="9"/>
      <c r="L786" s="9"/>
      <c r="M786" s="9"/>
      <c r="N786" s="9"/>
      <c r="O786" s="9"/>
      <c r="P786" s="9"/>
      <c r="Q786" s="9"/>
      <c r="R786" s="9"/>
      <c r="S786" s="436"/>
      <c r="T786" s="436"/>
      <c r="U786" s="436"/>
      <c r="V786" s="436"/>
      <c r="W786" s="9"/>
      <c r="X786" s="9"/>
      <c r="Y786" s="9"/>
      <c r="Z786" s="9"/>
      <c r="AA786" s="9"/>
      <c r="AB786" s="9"/>
    </row>
    <row r="787">
      <c r="A787" s="9"/>
      <c r="B787" s="9"/>
      <c r="C787" s="9"/>
      <c r="D787" s="9"/>
      <c r="E787" s="9"/>
      <c r="F787" s="435"/>
      <c r="G787" s="9"/>
      <c r="H787" s="9"/>
      <c r="I787" s="9"/>
      <c r="J787" s="9"/>
      <c r="K787" s="9"/>
      <c r="L787" s="9"/>
      <c r="M787" s="9"/>
      <c r="N787" s="9"/>
      <c r="O787" s="9"/>
      <c r="P787" s="9"/>
      <c r="Q787" s="9"/>
      <c r="R787" s="9"/>
      <c r="S787" s="436"/>
      <c r="T787" s="436"/>
      <c r="U787" s="436"/>
      <c r="V787" s="436"/>
      <c r="W787" s="9"/>
      <c r="X787" s="9"/>
      <c r="Y787" s="9"/>
      <c r="Z787" s="9"/>
      <c r="AA787" s="9"/>
      <c r="AB787" s="9"/>
    </row>
    <row r="788">
      <c r="A788" s="9"/>
      <c r="B788" s="9"/>
      <c r="C788" s="9"/>
      <c r="D788" s="9"/>
      <c r="E788" s="9"/>
      <c r="F788" s="435"/>
      <c r="G788" s="9"/>
      <c r="H788" s="9"/>
      <c r="I788" s="9"/>
      <c r="J788" s="9"/>
      <c r="K788" s="9"/>
      <c r="L788" s="9"/>
      <c r="M788" s="9"/>
      <c r="N788" s="9"/>
      <c r="O788" s="9"/>
      <c r="P788" s="9"/>
      <c r="Q788" s="9"/>
      <c r="R788" s="9"/>
      <c r="S788" s="436"/>
      <c r="T788" s="436"/>
      <c r="U788" s="436"/>
      <c r="V788" s="436"/>
      <c r="W788" s="9"/>
      <c r="X788" s="9"/>
      <c r="Y788" s="9"/>
      <c r="Z788" s="9"/>
      <c r="AA788" s="9"/>
      <c r="AB788" s="9"/>
    </row>
    <row r="789">
      <c r="A789" s="9"/>
      <c r="B789" s="9"/>
      <c r="C789" s="9"/>
      <c r="D789" s="9"/>
      <c r="E789" s="9"/>
      <c r="F789" s="435"/>
      <c r="G789" s="9"/>
      <c r="H789" s="9"/>
      <c r="I789" s="9"/>
      <c r="J789" s="9"/>
      <c r="K789" s="9"/>
      <c r="L789" s="9"/>
      <c r="M789" s="9"/>
      <c r="N789" s="9"/>
      <c r="O789" s="9"/>
      <c r="P789" s="9"/>
      <c r="Q789" s="9"/>
      <c r="R789" s="9"/>
      <c r="S789" s="436"/>
      <c r="T789" s="436"/>
      <c r="U789" s="436"/>
      <c r="V789" s="436"/>
      <c r="W789" s="9"/>
      <c r="X789" s="9"/>
      <c r="Y789" s="9"/>
      <c r="Z789" s="9"/>
      <c r="AA789" s="9"/>
      <c r="AB789" s="9"/>
    </row>
    <row r="790">
      <c r="A790" s="9"/>
      <c r="B790" s="9"/>
      <c r="C790" s="9"/>
      <c r="D790" s="9"/>
      <c r="E790" s="9"/>
      <c r="F790" s="435"/>
      <c r="G790" s="9"/>
      <c r="H790" s="9"/>
      <c r="I790" s="9"/>
      <c r="J790" s="9"/>
      <c r="K790" s="9"/>
      <c r="L790" s="9"/>
      <c r="M790" s="9"/>
      <c r="N790" s="9"/>
      <c r="O790" s="9"/>
      <c r="P790" s="9"/>
      <c r="Q790" s="9"/>
      <c r="R790" s="9"/>
      <c r="S790" s="436"/>
      <c r="T790" s="436"/>
      <c r="U790" s="436"/>
      <c r="V790" s="436"/>
      <c r="W790" s="9"/>
      <c r="X790" s="9"/>
      <c r="Y790" s="9"/>
      <c r="Z790" s="9"/>
      <c r="AA790" s="9"/>
      <c r="AB790" s="9"/>
    </row>
    <row r="791">
      <c r="A791" s="9"/>
      <c r="B791" s="9"/>
      <c r="C791" s="9"/>
      <c r="D791" s="9"/>
      <c r="E791" s="9"/>
      <c r="F791" s="435"/>
      <c r="G791" s="9"/>
      <c r="H791" s="9"/>
      <c r="I791" s="9"/>
      <c r="J791" s="9"/>
      <c r="K791" s="9"/>
      <c r="L791" s="9"/>
      <c r="M791" s="9"/>
      <c r="N791" s="9"/>
      <c r="O791" s="9"/>
      <c r="P791" s="9"/>
      <c r="Q791" s="9"/>
      <c r="R791" s="9"/>
      <c r="S791" s="436"/>
      <c r="T791" s="436"/>
      <c r="U791" s="436"/>
      <c r="V791" s="436"/>
      <c r="W791" s="9"/>
      <c r="X791" s="9"/>
      <c r="Y791" s="9"/>
      <c r="Z791" s="9"/>
      <c r="AA791" s="9"/>
      <c r="AB791" s="9"/>
    </row>
    <row r="792">
      <c r="A792" s="9"/>
      <c r="B792" s="9"/>
      <c r="C792" s="9"/>
      <c r="D792" s="9"/>
      <c r="E792" s="9"/>
      <c r="F792" s="435"/>
      <c r="G792" s="9"/>
      <c r="H792" s="9"/>
      <c r="I792" s="9"/>
      <c r="J792" s="9"/>
      <c r="K792" s="9"/>
      <c r="L792" s="9"/>
      <c r="M792" s="9"/>
      <c r="N792" s="9"/>
      <c r="O792" s="9"/>
      <c r="P792" s="9"/>
      <c r="Q792" s="9"/>
      <c r="R792" s="9"/>
      <c r="S792" s="436"/>
      <c r="T792" s="436"/>
      <c r="U792" s="436"/>
      <c r="V792" s="436"/>
      <c r="W792" s="9"/>
      <c r="X792" s="9"/>
      <c r="Y792" s="9"/>
      <c r="Z792" s="9"/>
      <c r="AA792" s="9"/>
      <c r="AB792" s="9"/>
    </row>
    <row r="793">
      <c r="A793" s="9"/>
      <c r="B793" s="9"/>
      <c r="C793" s="9"/>
      <c r="D793" s="9"/>
      <c r="E793" s="9"/>
      <c r="F793" s="435"/>
      <c r="G793" s="9"/>
      <c r="H793" s="9"/>
      <c r="I793" s="9"/>
      <c r="J793" s="9"/>
      <c r="K793" s="9"/>
      <c r="L793" s="9"/>
      <c r="M793" s="9"/>
      <c r="N793" s="9"/>
      <c r="O793" s="9"/>
      <c r="P793" s="9"/>
      <c r="Q793" s="9"/>
      <c r="R793" s="9"/>
      <c r="S793" s="436"/>
      <c r="T793" s="436"/>
      <c r="U793" s="436"/>
      <c r="V793" s="436"/>
      <c r="W793" s="9"/>
      <c r="X793" s="9"/>
      <c r="Y793" s="9"/>
      <c r="Z793" s="9"/>
      <c r="AA793" s="9"/>
      <c r="AB793" s="9"/>
    </row>
    <row r="794">
      <c r="A794" s="9"/>
      <c r="B794" s="9"/>
      <c r="C794" s="9"/>
      <c r="D794" s="9"/>
      <c r="E794" s="9"/>
      <c r="F794" s="435"/>
      <c r="G794" s="9"/>
      <c r="H794" s="9"/>
      <c r="I794" s="9"/>
      <c r="J794" s="9"/>
      <c r="K794" s="9"/>
      <c r="L794" s="9"/>
      <c r="M794" s="9"/>
      <c r="N794" s="9"/>
      <c r="O794" s="9"/>
      <c r="P794" s="9"/>
      <c r="Q794" s="9"/>
      <c r="R794" s="9"/>
      <c r="S794" s="436"/>
      <c r="T794" s="436"/>
      <c r="U794" s="436"/>
      <c r="V794" s="436"/>
      <c r="W794" s="9"/>
      <c r="X794" s="9"/>
      <c r="Y794" s="9"/>
      <c r="Z794" s="9"/>
      <c r="AA794" s="9"/>
      <c r="AB794" s="9"/>
    </row>
    <row r="795">
      <c r="A795" s="9"/>
      <c r="B795" s="9"/>
      <c r="C795" s="9"/>
      <c r="D795" s="9"/>
      <c r="E795" s="9"/>
      <c r="F795" s="435"/>
      <c r="G795" s="9"/>
      <c r="H795" s="9"/>
      <c r="I795" s="9"/>
      <c r="J795" s="9"/>
      <c r="K795" s="9"/>
      <c r="L795" s="9"/>
      <c r="M795" s="9"/>
      <c r="N795" s="9"/>
      <c r="O795" s="9"/>
      <c r="P795" s="9"/>
      <c r="Q795" s="9"/>
      <c r="R795" s="9"/>
      <c r="S795" s="436"/>
      <c r="T795" s="436"/>
      <c r="U795" s="436"/>
      <c r="V795" s="436"/>
      <c r="W795" s="9"/>
      <c r="X795" s="9"/>
      <c r="Y795" s="9"/>
      <c r="Z795" s="9"/>
      <c r="AA795" s="9"/>
      <c r="AB795" s="9"/>
    </row>
    <row r="796">
      <c r="A796" s="9"/>
      <c r="B796" s="9"/>
      <c r="C796" s="9"/>
      <c r="D796" s="9"/>
      <c r="E796" s="9"/>
      <c r="F796" s="435"/>
      <c r="G796" s="9"/>
      <c r="H796" s="9"/>
      <c r="I796" s="9"/>
      <c r="J796" s="9"/>
      <c r="K796" s="9"/>
      <c r="L796" s="9"/>
      <c r="M796" s="9"/>
      <c r="N796" s="9"/>
      <c r="O796" s="9"/>
      <c r="P796" s="9"/>
      <c r="Q796" s="9"/>
      <c r="R796" s="9"/>
      <c r="S796" s="436"/>
      <c r="T796" s="436"/>
      <c r="U796" s="436"/>
      <c r="V796" s="436"/>
      <c r="W796" s="9"/>
      <c r="X796" s="9"/>
      <c r="Y796" s="9"/>
      <c r="Z796" s="9"/>
      <c r="AA796" s="9"/>
      <c r="AB796" s="9"/>
    </row>
    <row r="797">
      <c r="A797" s="9"/>
      <c r="B797" s="9"/>
      <c r="C797" s="9"/>
      <c r="D797" s="9"/>
      <c r="E797" s="9"/>
      <c r="F797" s="435"/>
      <c r="G797" s="9"/>
      <c r="H797" s="9"/>
      <c r="I797" s="9"/>
      <c r="J797" s="9"/>
      <c r="K797" s="9"/>
      <c r="L797" s="9"/>
      <c r="M797" s="9"/>
      <c r="N797" s="9"/>
      <c r="O797" s="9"/>
      <c r="P797" s="9"/>
      <c r="Q797" s="9"/>
      <c r="R797" s="9"/>
      <c r="S797" s="436"/>
      <c r="T797" s="436"/>
      <c r="U797" s="436"/>
      <c r="V797" s="436"/>
      <c r="W797" s="9"/>
      <c r="X797" s="9"/>
      <c r="Y797" s="9"/>
      <c r="Z797" s="9"/>
      <c r="AA797" s="9"/>
      <c r="AB797" s="9"/>
    </row>
    <row r="798">
      <c r="A798" s="9"/>
      <c r="B798" s="9"/>
      <c r="C798" s="9"/>
      <c r="D798" s="9"/>
      <c r="E798" s="9"/>
      <c r="F798" s="435"/>
      <c r="G798" s="9"/>
      <c r="H798" s="9"/>
      <c r="I798" s="9"/>
      <c r="J798" s="9"/>
      <c r="K798" s="9"/>
      <c r="L798" s="9"/>
      <c r="M798" s="9"/>
      <c r="N798" s="9"/>
      <c r="O798" s="9"/>
      <c r="P798" s="9"/>
      <c r="Q798" s="9"/>
      <c r="R798" s="9"/>
      <c r="S798" s="436"/>
      <c r="T798" s="436"/>
      <c r="U798" s="436"/>
      <c r="V798" s="436"/>
      <c r="W798" s="9"/>
      <c r="X798" s="9"/>
      <c r="Y798" s="9"/>
      <c r="Z798" s="9"/>
      <c r="AA798" s="9"/>
      <c r="AB798" s="9"/>
    </row>
    <row r="799">
      <c r="A799" s="9"/>
      <c r="B799" s="9"/>
      <c r="C799" s="9"/>
      <c r="D799" s="9"/>
      <c r="E799" s="9"/>
      <c r="F799" s="435"/>
      <c r="G799" s="9"/>
      <c r="H799" s="9"/>
      <c r="I799" s="9"/>
      <c r="J799" s="9"/>
      <c r="K799" s="9"/>
      <c r="L799" s="9"/>
      <c r="M799" s="9"/>
      <c r="N799" s="9"/>
      <c r="O799" s="9"/>
      <c r="P799" s="9"/>
      <c r="Q799" s="9"/>
      <c r="R799" s="9"/>
      <c r="S799" s="436"/>
      <c r="T799" s="436"/>
      <c r="U799" s="436"/>
      <c r="V799" s="436"/>
      <c r="W799" s="9"/>
      <c r="X799" s="9"/>
      <c r="Y799" s="9"/>
      <c r="Z799" s="9"/>
      <c r="AA799" s="9"/>
      <c r="AB799" s="9"/>
    </row>
    <row r="800">
      <c r="A800" s="9"/>
      <c r="B800" s="9"/>
      <c r="C800" s="9"/>
      <c r="D800" s="9"/>
      <c r="E800" s="9"/>
      <c r="F800" s="435"/>
      <c r="G800" s="9"/>
      <c r="H800" s="9"/>
      <c r="I800" s="9"/>
      <c r="J800" s="9"/>
      <c r="K800" s="9"/>
      <c r="L800" s="9"/>
      <c r="M800" s="9"/>
      <c r="N800" s="9"/>
      <c r="O800" s="9"/>
      <c r="P800" s="9"/>
      <c r="Q800" s="9"/>
      <c r="R800" s="9"/>
      <c r="S800" s="436"/>
      <c r="T800" s="436"/>
      <c r="U800" s="436"/>
      <c r="V800" s="436"/>
      <c r="W800" s="9"/>
      <c r="X800" s="9"/>
      <c r="Y800" s="9"/>
      <c r="Z800" s="9"/>
      <c r="AA800" s="9"/>
      <c r="AB800" s="9"/>
    </row>
    <row r="801">
      <c r="A801" s="9"/>
      <c r="B801" s="9"/>
      <c r="C801" s="9"/>
      <c r="D801" s="9"/>
      <c r="E801" s="9"/>
      <c r="F801" s="435"/>
      <c r="G801" s="9"/>
      <c r="H801" s="9"/>
      <c r="I801" s="9"/>
      <c r="J801" s="9"/>
      <c r="K801" s="9"/>
      <c r="L801" s="9"/>
      <c r="M801" s="9"/>
      <c r="N801" s="9"/>
      <c r="O801" s="9"/>
      <c r="P801" s="9"/>
      <c r="Q801" s="9"/>
      <c r="R801" s="9"/>
      <c r="S801" s="436"/>
      <c r="T801" s="436"/>
      <c r="U801" s="436"/>
      <c r="V801" s="436"/>
      <c r="W801" s="9"/>
      <c r="X801" s="9"/>
      <c r="Y801" s="9"/>
      <c r="Z801" s="9"/>
      <c r="AA801" s="9"/>
      <c r="AB801" s="9"/>
    </row>
    <row r="802">
      <c r="A802" s="9"/>
      <c r="B802" s="9"/>
      <c r="C802" s="9"/>
      <c r="D802" s="9"/>
      <c r="E802" s="9"/>
      <c r="F802" s="435"/>
      <c r="G802" s="9"/>
      <c r="H802" s="9"/>
      <c r="I802" s="9"/>
      <c r="J802" s="9"/>
      <c r="K802" s="9"/>
      <c r="L802" s="9"/>
      <c r="M802" s="9"/>
      <c r="N802" s="9"/>
      <c r="O802" s="9"/>
      <c r="P802" s="9"/>
      <c r="Q802" s="9"/>
      <c r="R802" s="9"/>
      <c r="S802" s="436"/>
      <c r="T802" s="436"/>
      <c r="U802" s="436"/>
      <c r="V802" s="436"/>
      <c r="W802" s="9"/>
      <c r="X802" s="9"/>
      <c r="Y802" s="9"/>
      <c r="Z802" s="9"/>
      <c r="AA802" s="9"/>
      <c r="AB802" s="9"/>
    </row>
    <row r="803">
      <c r="A803" s="9"/>
      <c r="B803" s="9"/>
      <c r="C803" s="9"/>
      <c r="D803" s="9"/>
      <c r="E803" s="9"/>
      <c r="F803" s="435"/>
      <c r="G803" s="9"/>
      <c r="H803" s="9"/>
      <c r="I803" s="9"/>
      <c r="J803" s="9"/>
      <c r="K803" s="9"/>
      <c r="L803" s="9"/>
      <c r="M803" s="9"/>
      <c r="N803" s="9"/>
      <c r="O803" s="9"/>
      <c r="P803" s="9"/>
      <c r="Q803" s="9"/>
      <c r="R803" s="9"/>
      <c r="S803" s="436"/>
      <c r="T803" s="436"/>
      <c r="U803" s="436"/>
      <c r="V803" s="436"/>
      <c r="W803" s="9"/>
      <c r="X803" s="9"/>
      <c r="Y803" s="9"/>
      <c r="Z803" s="9"/>
      <c r="AA803" s="9"/>
      <c r="AB803" s="9"/>
    </row>
    <row r="804">
      <c r="A804" s="9"/>
      <c r="B804" s="9"/>
      <c r="C804" s="9"/>
      <c r="D804" s="9"/>
      <c r="E804" s="9"/>
      <c r="F804" s="435"/>
      <c r="G804" s="9"/>
      <c r="H804" s="9"/>
      <c r="I804" s="9"/>
      <c r="J804" s="9"/>
      <c r="K804" s="9"/>
      <c r="L804" s="9"/>
      <c r="M804" s="9"/>
      <c r="N804" s="9"/>
      <c r="O804" s="9"/>
      <c r="P804" s="9"/>
      <c r="Q804" s="9"/>
      <c r="R804" s="9"/>
      <c r="S804" s="436"/>
      <c r="T804" s="436"/>
      <c r="U804" s="436"/>
      <c r="V804" s="436"/>
      <c r="W804" s="9"/>
      <c r="X804" s="9"/>
      <c r="Y804" s="9"/>
      <c r="Z804" s="9"/>
      <c r="AA804" s="9"/>
      <c r="AB804" s="9"/>
    </row>
    <row r="805">
      <c r="A805" s="9"/>
      <c r="B805" s="9"/>
      <c r="C805" s="9"/>
      <c r="D805" s="9"/>
      <c r="E805" s="9"/>
      <c r="F805" s="435"/>
      <c r="G805" s="9"/>
      <c r="H805" s="9"/>
      <c r="I805" s="9"/>
      <c r="J805" s="9"/>
      <c r="K805" s="9"/>
      <c r="L805" s="9"/>
      <c r="M805" s="9"/>
      <c r="N805" s="9"/>
      <c r="O805" s="9"/>
      <c r="P805" s="9"/>
      <c r="Q805" s="9"/>
      <c r="R805" s="9"/>
      <c r="S805" s="436"/>
      <c r="T805" s="436"/>
      <c r="U805" s="436"/>
      <c r="V805" s="436"/>
      <c r="W805" s="9"/>
      <c r="X805" s="9"/>
      <c r="Y805" s="9"/>
      <c r="Z805" s="9"/>
      <c r="AA805" s="9"/>
      <c r="AB805" s="9"/>
    </row>
    <row r="806">
      <c r="A806" s="9"/>
      <c r="B806" s="9"/>
      <c r="C806" s="9"/>
      <c r="D806" s="9"/>
      <c r="E806" s="9"/>
      <c r="F806" s="435"/>
      <c r="G806" s="9"/>
      <c r="H806" s="9"/>
      <c r="I806" s="9"/>
      <c r="J806" s="9"/>
      <c r="K806" s="9"/>
      <c r="L806" s="9"/>
      <c r="M806" s="9"/>
      <c r="N806" s="9"/>
      <c r="O806" s="9"/>
      <c r="P806" s="9"/>
      <c r="Q806" s="9"/>
      <c r="R806" s="9"/>
      <c r="S806" s="436"/>
      <c r="T806" s="436"/>
      <c r="U806" s="436"/>
      <c r="V806" s="436"/>
      <c r="W806" s="9"/>
      <c r="X806" s="9"/>
      <c r="Y806" s="9"/>
      <c r="Z806" s="9"/>
      <c r="AA806" s="9"/>
      <c r="AB806" s="9"/>
    </row>
    <row r="807">
      <c r="A807" s="9"/>
      <c r="B807" s="9"/>
      <c r="C807" s="9"/>
      <c r="D807" s="9"/>
      <c r="E807" s="9"/>
      <c r="F807" s="435"/>
      <c r="G807" s="9"/>
      <c r="H807" s="9"/>
      <c r="I807" s="9"/>
      <c r="J807" s="9"/>
      <c r="K807" s="9"/>
      <c r="L807" s="9"/>
      <c r="M807" s="9"/>
      <c r="N807" s="9"/>
      <c r="O807" s="9"/>
      <c r="P807" s="9"/>
      <c r="Q807" s="9"/>
      <c r="R807" s="9"/>
      <c r="S807" s="436"/>
      <c r="T807" s="436"/>
      <c r="U807" s="436"/>
      <c r="V807" s="436"/>
      <c r="W807" s="9"/>
      <c r="X807" s="9"/>
      <c r="Y807" s="9"/>
      <c r="Z807" s="9"/>
      <c r="AA807" s="9"/>
      <c r="AB807" s="9"/>
    </row>
    <row r="808">
      <c r="A808" s="9"/>
      <c r="B808" s="9"/>
      <c r="C808" s="9"/>
      <c r="D808" s="9"/>
      <c r="E808" s="9"/>
      <c r="F808" s="435"/>
      <c r="G808" s="9"/>
      <c r="H808" s="9"/>
      <c r="I808" s="9"/>
      <c r="J808" s="9"/>
      <c r="K808" s="9"/>
      <c r="L808" s="9"/>
      <c r="M808" s="9"/>
      <c r="N808" s="9"/>
      <c r="O808" s="9"/>
      <c r="P808" s="9"/>
      <c r="Q808" s="9"/>
      <c r="R808" s="9"/>
      <c r="S808" s="436"/>
      <c r="T808" s="436"/>
      <c r="U808" s="436"/>
      <c r="V808" s="436"/>
      <c r="W808" s="9"/>
      <c r="X808" s="9"/>
      <c r="Y808" s="9"/>
      <c r="Z808" s="9"/>
      <c r="AA808" s="9"/>
      <c r="AB808" s="9"/>
    </row>
    <row r="809">
      <c r="A809" s="9"/>
      <c r="B809" s="9"/>
      <c r="C809" s="9"/>
      <c r="D809" s="9"/>
      <c r="E809" s="9"/>
      <c r="F809" s="435"/>
      <c r="G809" s="9"/>
      <c r="H809" s="9"/>
      <c r="I809" s="9"/>
      <c r="J809" s="9"/>
      <c r="K809" s="9"/>
      <c r="L809" s="9"/>
      <c r="M809" s="9"/>
      <c r="N809" s="9"/>
      <c r="O809" s="9"/>
      <c r="P809" s="9"/>
      <c r="Q809" s="9"/>
      <c r="R809" s="9"/>
      <c r="S809" s="436"/>
      <c r="T809" s="436"/>
      <c r="U809" s="436"/>
      <c r="V809" s="436"/>
      <c r="W809" s="9"/>
      <c r="X809" s="9"/>
      <c r="Y809" s="9"/>
      <c r="Z809" s="9"/>
      <c r="AA809" s="9"/>
      <c r="AB809" s="9"/>
    </row>
    <row r="810">
      <c r="A810" s="9"/>
      <c r="B810" s="9"/>
      <c r="C810" s="9"/>
      <c r="D810" s="9"/>
      <c r="E810" s="9"/>
      <c r="F810" s="435"/>
      <c r="G810" s="9"/>
      <c r="H810" s="9"/>
      <c r="I810" s="9"/>
      <c r="J810" s="9"/>
      <c r="K810" s="9"/>
      <c r="L810" s="9"/>
      <c r="M810" s="9"/>
      <c r="N810" s="9"/>
      <c r="O810" s="9"/>
      <c r="P810" s="9"/>
      <c r="Q810" s="9"/>
      <c r="R810" s="9"/>
      <c r="S810" s="436"/>
      <c r="T810" s="436"/>
      <c r="U810" s="436"/>
      <c r="V810" s="436"/>
      <c r="W810" s="9"/>
      <c r="X810" s="9"/>
      <c r="Y810" s="9"/>
      <c r="Z810" s="9"/>
      <c r="AA810" s="9"/>
      <c r="AB810" s="9"/>
    </row>
    <row r="811">
      <c r="A811" s="9"/>
      <c r="B811" s="9"/>
      <c r="C811" s="9"/>
      <c r="D811" s="9"/>
      <c r="E811" s="9"/>
      <c r="F811" s="435"/>
      <c r="G811" s="9"/>
      <c r="H811" s="9"/>
      <c r="I811" s="9"/>
      <c r="J811" s="9"/>
      <c r="K811" s="9"/>
      <c r="L811" s="9"/>
      <c r="M811" s="9"/>
      <c r="N811" s="9"/>
      <c r="O811" s="9"/>
      <c r="P811" s="9"/>
      <c r="Q811" s="9"/>
      <c r="R811" s="9"/>
      <c r="S811" s="436"/>
      <c r="T811" s="436"/>
      <c r="U811" s="436"/>
      <c r="V811" s="436"/>
      <c r="W811" s="9"/>
      <c r="X811" s="9"/>
      <c r="Y811" s="9"/>
      <c r="Z811" s="9"/>
      <c r="AA811" s="9"/>
      <c r="AB811" s="9"/>
    </row>
    <row r="812">
      <c r="A812" s="9"/>
      <c r="B812" s="9"/>
      <c r="C812" s="9"/>
      <c r="D812" s="9"/>
      <c r="E812" s="9"/>
      <c r="F812" s="435"/>
      <c r="G812" s="9"/>
      <c r="H812" s="9"/>
      <c r="I812" s="9"/>
      <c r="J812" s="9"/>
      <c r="K812" s="9"/>
      <c r="L812" s="9"/>
      <c r="M812" s="9"/>
      <c r="N812" s="9"/>
      <c r="O812" s="9"/>
      <c r="P812" s="9"/>
      <c r="Q812" s="9"/>
      <c r="R812" s="9"/>
      <c r="S812" s="436"/>
      <c r="T812" s="436"/>
      <c r="U812" s="436"/>
      <c r="V812" s="436"/>
      <c r="W812" s="9"/>
      <c r="X812" s="9"/>
      <c r="Y812" s="9"/>
      <c r="Z812" s="9"/>
      <c r="AA812" s="9"/>
      <c r="AB812" s="9"/>
    </row>
    <row r="813">
      <c r="A813" s="9"/>
      <c r="B813" s="9"/>
      <c r="C813" s="9"/>
      <c r="D813" s="9"/>
      <c r="E813" s="9"/>
      <c r="F813" s="435"/>
      <c r="G813" s="9"/>
      <c r="H813" s="9"/>
      <c r="I813" s="9"/>
      <c r="J813" s="9"/>
      <c r="K813" s="9"/>
      <c r="L813" s="9"/>
      <c r="M813" s="9"/>
      <c r="N813" s="9"/>
      <c r="O813" s="9"/>
      <c r="P813" s="9"/>
      <c r="Q813" s="9"/>
      <c r="R813" s="9"/>
      <c r="S813" s="436"/>
      <c r="T813" s="436"/>
      <c r="U813" s="436"/>
      <c r="V813" s="436"/>
      <c r="W813" s="9"/>
      <c r="X813" s="9"/>
      <c r="Y813" s="9"/>
      <c r="Z813" s="9"/>
      <c r="AA813" s="9"/>
      <c r="AB813" s="9"/>
    </row>
    <row r="814">
      <c r="A814" s="9"/>
      <c r="B814" s="9"/>
      <c r="C814" s="9"/>
      <c r="D814" s="9"/>
      <c r="E814" s="9"/>
      <c r="F814" s="435"/>
      <c r="G814" s="9"/>
      <c r="H814" s="9"/>
      <c r="I814" s="9"/>
      <c r="J814" s="9"/>
      <c r="K814" s="9"/>
      <c r="L814" s="9"/>
      <c r="M814" s="9"/>
      <c r="N814" s="9"/>
      <c r="O814" s="9"/>
      <c r="P814" s="9"/>
      <c r="Q814" s="9"/>
      <c r="R814" s="9"/>
      <c r="S814" s="436"/>
      <c r="T814" s="436"/>
      <c r="U814" s="436"/>
      <c r="V814" s="436"/>
      <c r="W814" s="9"/>
      <c r="X814" s="9"/>
      <c r="Y814" s="9"/>
      <c r="Z814" s="9"/>
      <c r="AA814" s="9"/>
      <c r="AB814" s="9"/>
    </row>
    <row r="815">
      <c r="A815" s="9"/>
      <c r="B815" s="9"/>
      <c r="C815" s="9"/>
      <c r="D815" s="9"/>
      <c r="E815" s="9"/>
      <c r="F815" s="435"/>
      <c r="G815" s="9"/>
      <c r="H815" s="9"/>
      <c r="I815" s="9"/>
      <c r="J815" s="9"/>
      <c r="K815" s="9"/>
      <c r="L815" s="9"/>
      <c r="M815" s="9"/>
      <c r="N815" s="9"/>
      <c r="O815" s="9"/>
      <c r="P815" s="9"/>
      <c r="Q815" s="9"/>
      <c r="R815" s="9"/>
      <c r="S815" s="436"/>
      <c r="T815" s="436"/>
      <c r="U815" s="436"/>
      <c r="V815" s="436"/>
      <c r="W815" s="9"/>
      <c r="X815" s="9"/>
      <c r="Y815" s="9"/>
      <c r="Z815" s="9"/>
      <c r="AA815" s="9"/>
      <c r="AB815" s="9"/>
    </row>
    <row r="816">
      <c r="A816" s="9"/>
      <c r="B816" s="9"/>
      <c r="C816" s="9"/>
      <c r="D816" s="9"/>
      <c r="E816" s="9"/>
      <c r="F816" s="435"/>
      <c r="G816" s="9"/>
      <c r="H816" s="9"/>
      <c r="I816" s="9"/>
      <c r="J816" s="9"/>
      <c r="K816" s="9"/>
      <c r="L816" s="9"/>
      <c r="M816" s="9"/>
      <c r="N816" s="9"/>
      <c r="O816" s="9"/>
      <c r="P816" s="9"/>
      <c r="Q816" s="9"/>
      <c r="R816" s="9"/>
      <c r="S816" s="436"/>
      <c r="T816" s="436"/>
      <c r="U816" s="436"/>
      <c r="V816" s="436"/>
      <c r="W816" s="9"/>
      <c r="X816" s="9"/>
      <c r="Y816" s="9"/>
      <c r="Z816" s="9"/>
      <c r="AA816" s="9"/>
      <c r="AB816" s="9"/>
    </row>
    <row r="817">
      <c r="A817" s="9"/>
      <c r="B817" s="9"/>
      <c r="C817" s="9"/>
      <c r="D817" s="9"/>
      <c r="E817" s="9"/>
      <c r="F817" s="435"/>
      <c r="G817" s="9"/>
      <c r="H817" s="9"/>
      <c r="I817" s="9"/>
      <c r="J817" s="9"/>
      <c r="K817" s="9"/>
      <c r="L817" s="9"/>
      <c r="M817" s="9"/>
      <c r="N817" s="9"/>
      <c r="O817" s="9"/>
      <c r="P817" s="9"/>
      <c r="Q817" s="9"/>
      <c r="R817" s="9"/>
      <c r="S817" s="436"/>
      <c r="T817" s="436"/>
      <c r="U817" s="436"/>
      <c r="V817" s="436"/>
      <c r="W817" s="9"/>
      <c r="X817" s="9"/>
      <c r="Y817" s="9"/>
      <c r="Z817" s="9"/>
      <c r="AA817" s="9"/>
      <c r="AB817" s="9"/>
    </row>
    <row r="818">
      <c r="A818" s="9"/>
      <c r="B818" s="9"/>
      <c r="C818" s="9"/>
      <c r="D818" s="9"/>
      <c r="E818" s="9"/>
      <c r="F818" s="435"/>
      <c r="G818" s="9"/>
      <c r="H818" s="9"/>
      <c r="I818" s="9"/>
      <c r="J818" s="9"/>
      <c r="K818" s="9"/>
      <c r="L818" s="9"/>
      <c r="M818" s="9"/>
      <c r="N818" s="9"/>
      <c r="O818" s="9"/>
      <c r="P818" s="9"/>
      <c r="Q818" s="9"/>
      <c r="R818" s="9"/>
      <c r="S818" s="436"/>
      <c r="T818" s="436"/>
      <c r="U818" s="436"/>
      <c r="V818" s="436"/>
      <c r="W818" s="9"/>
      <c r="X818" s="9"/>
      <c r="Y818" s="9"/>
      <c r="Z818" s="9"/>
      <c r="AA818" s="9"/>
      <c r="AB818" s="9"/>
    </row>
    <row r="819">
      <c r="A819" s="9"/>
      <c r="B819" s="9"/>
      <c r="C819" s="9"/>
      <c r="D819" s="9"/>
      <c r="E819" s="9"/>
      <c r="F819" s="435"/>
      <c r="G819" s="9"/>
      <c r="H819" s="9"/>
      <c r="I819" s="9"/>
      <c r="J819" s="9"/>
      <c r="K819" s="9"/>
      <c r="L819" s="9"/>
      <c r="M819" s="9"/>
      <c r="N819" s="9"/>
      <c r="O819" s="9"/>
      <c r="P819" s="9"/>
      <c r="Q819" s="9"/>
      <c r="R819" s="9"/>
      <c r="S819" s="436"/>
      <c r="T819" s="436"/>
      <c r="U819" s="436"/>
      <c r="V819" s="436"/>
      <c r="W819" s="9"/>
      <c r="X819" s="9"/>
      <c r="Y819" s="9"/>
      <c r="Z819" s="9"/>
      <c r="AA819" s="9"/>
      <c r="AB819" s="9"/>
    </row>
    <row r="820">
      <c r="A820" s="9"/>
      <c r="B820" s="9"/>
      <c r="C820" s="9"/>
      <c r="D820" s="9"/>
      <c r="E820" s="9"/>
      <c r="F820" s="435"/>
      <c r="G820" s="9"/>
      <c r="H820" s="9"/>
      <c r="I820" s="9"/>
      <c r="J820" s="9"/>
      <c r="K820" s="9"/>
      <c r="L820" s="9"/>
      <c r="M820" s="9"/>
      <c r="N820" s="9"/>
      <c r="O820" s="9"/>
      <c r="P820" s="9"/>
      <c r="Q820" s="9"/>
      <c r="R820" s="9"/>
      <c r="S820" s="436"/>
      <c r="T820" s="436"/>
      <c r="U820" s="436"/>
      <c r="V820" s="436"/>
      <c r="W820" s="9"/>
      <c r="X820" s="9"/>
      <c r="Y820" s="9"/>
      <c r="Z820" s="9"/>
      <c r="AA820" s="9"/>
      <c r="AB820" s="9"/>
    </row>
    <row r="821">
      <c r="A821" s="9"/>
      <c r="B821" s="9"/>
      <c r="C821" s="9"/>
      <c r="D821" s="9"/>
      <c r="E821" s="9"/>
      <c r="F821" s="435"/>
      <c r="G821" s="9"/>
      <c r="H821" s="9"/>
      <c r="I821" s="9"/>
      <c r="J821" s="9"/>
      <c r="K821" s="9"/>
      <c r="L821" s="9"/>
      <c r="M821" s="9"/>
      <c r="N821" s="9"/>
      <c r="O821" s="9"/>
      <c r="P821" s="9"/>
      <c r="Q821" s="9"/>
      <c r="R821" s="9"/>
      <c r="S821" s="436"/>
      <c r="T821" s="436"/>
      <c r="U821" s="436"/>
      <c r="V821" s="436"/>
      <c r="W821" s="9"/>
      <c r="X821" s="9"/>
      <c r="Y821" s="9"/>
      <c r="Z821" s="9"/>
      <c r="AA821" s="9"/>
      <c r="AB821" s="9"/>
    </row>
    <row r="822">
      <c r="A822" s="9"/>
      <c r="B822" s="9"/>
      <c r="C822" s="9"/>
      <c r="D822" s="9"/>
      <c r="E822" s="9"/>
      <c r="F822" s="435"/>
      <c r="G822" s="9"/>
      <c r="H822" s="9"/>
      <c r="I822" s="9"/>
      <c r="J822" s="9"/>
      <c r="K822" s="9"/>
      <c r="L822" s="9"/>
      <c r="M822" s="9"/>
      <c r="N822" s="9"/>
      <c r="O822" s="9"/>
      <c r="P822" s="9"/>
      <c r="Q822" s="9"/>
      <c r="R822" s="9"/>
      <c r="S822" s="436"/>
      <c r="T822" s="436"/>
      <c r="U822" s="436"/>
      <c r="V822" s="436"/>
      <c r="W822" s="9"/>
      <c r="X822" s="9"/>
      <c r="Y822" s="9"/>
      <c r="Z822" s="9"/>
      <c r="AA822" s="9"/>
      <c r="AB822" s="9"/>
    </row>
    <row r="823">
      <c r="A823" s="9"/>
      <c r="B823" s="9"/>
      <c r="C823" s="9"/>
      <c r="D823" s="9"/>
      <c r="E823" s="9"/>
      <c r="F823" s="435"/>
      <c r="G823" s="9"/>
      <c r="H823" s="9"/>
      <c r="I823" s="9"/>
      <c r="J823" s="9"/>
      <c r="K823" s="9"/>
      <c r="L823" s="9"/>
      <c r="M823" s="9"/>
      <c r="N823" s="9"/>
      <c r="O823" s="9"/>
      <c r="P823" s="9"/>
      <c r="Q823" s="9"/>
      <c r="R823" s="9"/>
      <c r="S823" s="436"/>
      <c r="T823" s="436"/>
      <c r="U823" s="436"/>
      <c r="V823" s="436"/>
      <c r="W823" s="9"/>
      <c r="X823" s="9"/>
      <c r="Y823" s="9"/>
      <c r="Z823" s="9"/>
      <c r="AA823" s="9"/>
      <c r="AB823" s="9"/>
    </row>
    <row r="824">
      <c r="A824" s="9"/>
      <c r="B824" s="9"/>
      <c r="C824" s="9"/>
      <c r="D824" s="9"/>
      <c r="E824" s="9"/>
      <c r="F824" s="435"/>
      <c r="G824" s="9"/>
      <c r="H824" s="9"/>
      <c r="I824" s="9"/>
      <c r="J824" s="9"/>
      <c r="K824" s="9"/>
      <c r="L824" s="9"/>
      <c r="M824" s="9"/>
      <c r="N824" s="9"/>
      <c r="O824" s="9"/>
      <c r="P824" s="9"/>
      <c r="Q824" s="9"/>
      <c r="R824" s="9"/>
      <c r="S824" s="436"/>
      <c r="T824" s="436"/>
      <c r="U824" s="436"/>
      <c r="V824" s="436"/>
      <c r="W824" s="9"/>
      <c r="X824" s="9"/>
      <c r="Y824" s="9"/>
      <c r="Z824" s="9"/>
      <c r="AA824" s="9"/>
      <c r="AB824" s="9"/>
    </row>
    <row r="825">
      <c r="A825" s="9"/>
      <c r="B825" s="9"/>
      <c r="C825" s="9"/>
      <c r="D825" s="9"/>
      <c r="E825" s="9"/>
      <c r="F825" s="435"/>
      <c r="G825" s="9"/>
      <c r="H825" s="9"/>
      <c r="I825" s="9"/>
      <c r="J825" s="9"/>
      <c r="K825" s="9"/>
      <c r="L825" s="9"/>
      <c r="M825" s="9"/>
      <c r="N825" s="9"/>
      <c r="O825" s="9"/>
      <c r="P825" s="9"/>
      <c r="Q825" s="9"/>
      <c r="R825" s="9"/>
      <c r="S825" s="436"/>
      <c r="T825" s="436"/>
      <c r="U825" s="436"/>
      <c r="V825" s="436"/>
      <c r="W825" s="9"/>
      <c r="X825" s="9"/>
      <c r="Y825" s="9"/>
      <c r="Z825" s="9"/>
      <c r="AA825" s="9"/>
      <c r="AB825" s="9"/>
    </row>
    <row r="826">
      <c r="A826" s="9"/>
      <c r="B826" s="9"/>
      <c r="C826" s="9"/>
      <c r="D826" s="9"/>
      <c r="E826" s="9"/>
      <c r="F826" s="435"/>
      <c r="G826" s="9"/>
      <c r="H826" s="9"/>
      <c r="I826" s="9"/>
      <c r="J826" s="9"/>
      <c r="K826" s="9"/>
      <c r="L826" s="9"/>
      <c r="M826" s="9"/>
      <c r="N826" s="9"/>
      <c r="O826" s="9"/>
      <c r="P826" s="9"/>
      <c r="Q826" s="9"/>
      <c r="R826" s="9"/>
      <c r="S826" s="436"/>
      <c r="T826" s="436"/>
      <c r="U826" s="436"/>
      <c r="V826" s="436"/>
      <c r="W826" s="9"/>
      <c r="X826" s="9"/>
      <c r="Y826" s="9"/>
      <c r="Z826" s="9"/>
      <c r="AA826" s="9"/>
      <c r="AB826" s="9"/>
    </row>
    <row r="827">
      <c r="A827" s="9"/>
      <c r="B827" s="9"/>
      <c r="C827" s="9"/>
      <c r="D827" s="9"/>
      <c r="E827" s="9"/>
      <c r="F827" s="435"/>
      <c r="G827" s="9"/>
      <c r="H827" s="9"/>
      <c r="I827" s="9"/>
      <c r="J827" s="9"/>
      <c r="K827" s="9"/>
      <c r="L827" s="9"/>
      <c r="M827" s="9"/>
      <c r="N827" s="9"/>
      <c r="O827" s="9"/>
      <c r="P827" s="9"/>
      <c r="Q827" s="9"/>
      <c r="R827" s="9"/>
      <c r="S827" s="436"/>
      <c r="T827" s="436"/>
      <c r="U827" s="436"/>
      <c r="V827" s="436"/>
      <c r="W827" s="9"/>
      <c r="X827" s="9"/>
      <c r="Y827" s="9"/>
      <c r="Z827" s="9"/>
      <c r="AA827" s="9"/>
      <c r="AB827" s="9"/>
    </row>
    <row r="828">
      <c r="A828" s="9"/>
      <c r="B828" s="9"/>
      <c r="C828" s="9"/>
      <c r="D828" s="9"/>
      <c r="E828" s="9"/>
      <c r="F828" s="435"/>
      <c r="G828" s="9"/>
      <c r="H828" s="9"/>
      <c r="I828" s="9"/>
      <c r="J828" s="9"/>
      <c r="K828" s="9"/>
      <c r="L828" s="9"/>
      <c r="M828" s="9"/>
      <c r="N828" s="9"/>
      <c r="O828" s="9"/>
      <c r="P828" s="9"/>
      <c r="Q828" s="9"/>
      <c r="R828" s="9"/>
      <c r="S828" s="436"/>
      <c r="T828" s="436"/>
      <c r="U828" s="436"/>
      <c r="V828" s="436"/>
      <c r="W828" s="9"/>
      <c r="X828" s="9"/>
      <c r="Y828" s="9"/>
      <c r="Z828" s="9"/>
      <c r="AA828" s="9"/>
      <c r="AB828" s="9"/>
    </row>
    <row r="829">
      <c r="A829" s="9"/>
      <c r="B829" s="9"/>
      <c r="C829" s="9"/>
      <c r="D829" s="9"/>
      <c r="E829" s="9"/>
      <c r="F829" s="435"/>
      <c r="G829" s="9"/>
      <c r="H829" s="9"/>
      <c r="I829" s="9"/>
      <c r="J829" s="9"/>
      <c r="K829" s="9"/>
      <c r="L829" s="9"/>
      <c r="M829" s="9"/>
      <c r="N829" s="9"/>
      <c r="O829" s="9"/>
      <c r="P829" s="9"/>
      <c r="Q829" s="9"/>
      <c r="R829" s="9"/>
      <c r="S829" s="436"/>
      <c r="T829" s="436"/>
      <c r="U829" s="436"/>
      <c r="V829" s="436"/>
      <c r="W829" s="9"/>
      <c r="X829" s="9"/>
      <c r="Y829" s="9"/>
      <c r="Z829" s="9"/>
      <c r="AA829" s="9"/>
      <c r="AB829" s="9"/>
    </row>
    <row r="830">
      <c r="A830" s="9"/>
      <c r="B830" s="9"/>
      <c r="C830" s="9"/>
      <c r="D830" s="9"/>
      <c r="E830" s="9"/>
      <c r="F830" s="435"/>
      <c r="G830" s="9"/>
      <c r="H830" s="9"/>
      <c r="I830" s="9"/>
      <c r="J830" s="9"/>
      <c r="K830" s="9"/>
      <c r="L830" s="9"/>
      <c r="M830" s="9"/>
      <c r="N830" s="9"/>
      <c r="O830" s="9"/>
      <c r="P830" s="9"/>
      <c r="Q830" s="9"/>
      <c r="R830" s="9"/>
      <c r="S830" s="436"/>
      <c r="T830" s="436"/>
      <c r="U830" s="436"/>
      <c r="V830" s="436"/>
      <c r="W830" s="9"/>
      <c r="X830" s="9"/>
      <c r="Y830" s="9"/>
      <c r="Z830" s="9"/>
      <c r="AA830" s="9"/>
      <c r="AB830" s="9"/>
    </row>
    <row r="831">
      <c r="A831" s="9"/>
      <c r="B831" s="9"/>
      <c r="C831" s="9"/>
      <c r="D831" s="9"/>
      <c r="E831" s="9"/>
      <c r="F831" s="435"/>
      <c r="G831" s="9"/>
      <c r="H831" s="9"/>
      <c r="I831" s="9"/>
      <c r="J831" s="9"/>
      <c r="K831" s="9"/>
      <c r="L831" s="9"/>
      <c r="M831" s="9"/>
      <c r="N831" s="9"/>
      <c r="O831" s="9"/>
      <c r="P831" s="9"/>
      <c r="Q831" s="9"/>
      <c r="R831" s="9"/>
      <c r="S831" s="436"/>
      <c r="T831" s="436"/>
      <c r="U831" s="436"/>
      <c r="V831" s="436"/>
      <c r="W831" s="9"/>
      <c r="X831" s="9"/>
      <c r="Y831" s="9"/>
      <c r="Z831" s="9"/>
      <c r="AA831" s="9"/>
      <c r="AB831" s="9"/>
    </row>
    <row r="832">
      <c r="A832" s="9"/>
      <c r="B832" s="9"/>
      <c r="C832" s="9"/>
      <c r="D832" s="9"/>
      <c r="E832" s="9"/>
      <c r="F832" s="435"/>
      <c r="G832" s="9"/>
      <c r="H832" s="9"/>
      <c r="I832" s="9"/>
      <c r="J832" s="9"/>
      <c r="K832" s="9"/>
      <c r="L832" s="9"/>
      <c r="M832" s="9"/>
      <c r="N832" s="9"/>
      <c r="O832" s="9"/>
      <c r="P832" s="9"/>
      <c r="Q832" s="9"/>
      <c r="R832" s="9"/>
      <c r="S832" s="436"/>
      <c r="T832" s="436"/>
      <c r="U832" s="436"/>
      <c r="V832" s="436"/>
      <c r="W832" s="9"/>
      <c r="X832" s="9"/>
      <c r="Y832" s="9"/>
      <c r="Z832" s="9"/>
      <c r="AA832" s="9"/>
      <c r="AB832" s="9"/>
    </row>
    <row r="833">
      <c r="A833" s="9"/>
      <c r="B833" s="9"/>
      <c r="C833" s="9"/>
      <c r="D833" s="9"/>
      <c r="E833" s="9"/>
      <c r="F833" s="435"/>
      <c r="G833" s="9"/>
      <c r="H833" s="9"/>
      <c r="I833" s="9"/>
      <c r="J833" s="9"/>
      <c r="K833" s="9"/>
      <c r="L833" s="9"/>
      <c r="M833" s="9"/>
      <c r="N833" s="9"/>
      <c r="O833" s="9"/>
      <c r="P833" s="9"/>
      <c r="Q833" s="9"/>
      <c r="R833" s="9"/>
      <c r="S833" s="436"/>
      <c r="T833" s="436"/>
      <c r="U833" s="436"/>
      <c r="V833" s="436"/>
      <c r="W833" s="9"/>
      <c r="X833" s="9"/>
      <c r="Y833" s="9"/>
      <c r="Z833" s="9"/>
      <c r="AA833" s="9"/>
      <c r="AB833" s="9"/>
    </row>
    <row r="834">
      <c r="A834" s="9"/>
      <c r="B834" s="9"/>
      <c r="C834" s="9"/>
      <c r="D834" s="9"/>
      <c r="E834" s="9"/>
      <c r="F834" s="435"/>
      <c r="G834" s="9"/>
      <c r="H834" s="9"/>
      <c r="I834" s="9"/>
      <c r="J834" s="9"/>
      <c r="K834" s="9"/>
      <c r="L834" s="9"/>
      <c r="M834" s="9"/>
      <c r="N834" s="9"/>
      <c r="O834" s="9"/>
      <c r="P834" s="9"/>
      <c r="Q834" s="9"/>
      <c r="R834" s="9"/>
      <c r="S834" s="436"/>
      <c r="T834" s="436"/>
      <c r="U834" s="436"/>
      <c r="V834" s="436"/>
      <c r="W834" s="9"/>
      <c r="X834" s="9"/>
      <c r="Y834" s="9"/>
      <c r="Z834" s="9"/>
      <c r="AA834" s="9"/>
      <c r="AB834" s="9"/>
    </row>
    <row r="835">
      <c r="A835" s="9"/>
      <c r="B835" s="9"/>
      <c r="C835" s="9"/>
      <c r="D835" s="9"/>
      <c r="E835" s="9"/>
      <c r="F835" s="435"/>
      <c r="G835" s="9"/>
      <c r="H835" s="9"/>
      <c r="I835" s="9"/>
      <c r="J835" s="9"/>
      <c r="K835" s="9"/>
      <c r="L835" s="9"/>
      <c r="M835" s="9"/>
      <c r="N835" s="9"/>
      <c r="O835" s="9"/>
      <c r="P835" s="9"/>
      <c r="Q835" s="9"/>
      <c r="R835" s="9"/>
      <c r="S835" s="436"/>
      <c r="T835" s="436"/>
      <c r="U835" s="436"/>
      <c r="V835" s="436"/>
      <c r="W835" s="9"/>
      <c r="X835" s="9"/>
      <c r="Y835" s="9"/>
      <c r="Z835" s="9"/>
      <c r="AA835" s="9"/>
      <c r="AB835" s="9"/>
    </row>
    <row r="836">
      <c r="A836" s="9"/>
      <c r="B836" s="9"/>
      <c r="C836" s="9"/>
      <c r="D836" s="9"/>
      <c r="E836" s="9"/>
      <c r="F836" s="435"/>
      <c r="G836" s="9"/>
      <c r="H836" s="9"/>
      <c r="I836" s="9"/>
      <c r="J836" s="9"/>
      <c r="K836" s="9"/>
      <c r="L836" s="9"/>
      <c r="M836" s="9"/>
      <c r="N836" s="9"/>
      <c r="O836" s="9"/>
      <c r="P836" s="9"/>
      <c r="Q836" s="9"/>
      <c r="R836" s="9"/>
      <c r="S836" s="436"/>
      <c r="T836" s="436"/>
      <c r="U836" s="436"/>
      <c r="V836" s="436"/>
      <c r="W836" s="9"/>
      <c r="X836" s="9"/>
      <c r="Y836" s="9"/>
      <c r="Z836" s="9"/>
      <c r="AA836" s="9"/>
      <c r="AB836" s="9"/>
    </row>
    <row r="837">
      <c r="A837" s="9"/>
      <c r="B837" s="9"/>
      <c r="C837" s="9"/>
      <c r="D837" s="9"/>
      <c r="E837" s="9"/>
      <c r="F837" s="435"/>
      <c r="G837" s="9"/>
      <c r="H837" s="9"/>
      <c r="I837" s="9"/>
      <c r="J837" s="9"/>
      <c r="K837" s="9"/>
      <c r="L837" s="9"/>
      <c r="M837" s="9"/>
      <c r="N837" s="9"/>
      <c r="O837" s="9"/>
      <c r="P837" s="9"/>
      <c r="Q837" s="9"/>
      <c r="R837" s="9"/>
      <c r="S837" s="436"/>
      <c r="T837" s="436"/>
      <c r="U837" s="436"/>
      <c r="V837" s="436"/>
      <c r="W837" s="9"/>
      <c r="X837" s="9"/>
      <c r="Y837" s="9"/>
      <c r="Z837" s="9"/>
      <c r="AA837" s="9"/>
      <c r="AB837" s="9"/>
    </row>
    <row r="838">
      <c r="A838" s="9"/>
      <c r="B838" s="9"/>
      <c r="C838" s="9"/>
      <c r="D838" s="9"/>
      <c r="E838" s="9"/>
      <c r="F838" s="435"/>
      <c r="G838" s="9"/>
      <c r="H838" s="9"/>
      <c r="I838" s="9"/>
      <c r="J838" s="9"/>
      <c r="K838" s="9"/>
      <c r="L838" s="9"/>
      <c r="M838" s="9"/>
      <c r="N838" s="9"/>
      <c r="O838" s="9"/>
      <c r="P838" s="9"/>
      <c r="Q838" s="9"/>
      <c r="R838" s="9"/>
      <c r="S838" s="436"/>
      <c r="T838" s="436"/>
      <c r="U838" s="436"/>
      <c r="V838" s="436"/>
      <c r="W838" s="9"/>
      <c r="X838" s="9"/>
      <c r="Y838" s="9"/>
      <c r="Z838" s="9"/>
      <c r="AA838" s="9"/>
      <c r="AB838" s="9"/>
    </row>
    <row r="839">
      <c r="A839" s="9"/>
      <c r="B839" s="9"/>
      <c r="C839" s="9"/>
      <c r="D839" s="9"/>
      <c r="E839" s="9"/>
      <c r="F839" s="435"/>
      <c r="G839" s="9"/>
      <c r="H839" s="9"/>
      <c r="I839" s="9"/>
      <c r="J839" s="9"/>
      <c r="K839" s="9"/>
      <c r="L839" s="9"/>
      <c r="M839" s="9"/>
      <c r="N839" s="9"/>
      <c r="O839" s="9"/>
      <c r="P839" s="9"/>
      <c r="Q839" s="9"/>
      <c r="R839" s="9"/>
      <c r="S839" s="436"/>
      <c r="T839" s="436"/>
      <c r="U839" s="436"/>
      <c r="V839" s="436"/>
      <c r="W839" s="9"/>
      <c r="X839" s="9"/>
      <c r="Y839" s="9"/>
      <c r="Z839" s="9"/>
      <c r="AA839" s="9"/>
      <c r="AB839" s="9"/>
    </row>
    <row r="840">
      <c r="A840" s="9"/>
      <c r="B840" s="9"/>
      <c r="C840" s="9"/>
      <c r="D840" s="9"/>
      <c r="E840" s="9"/>
      <c r="F840" s="435"/>
      <c r="G840" s="9"/>
      <c r="H840" s="9"/>
      <c r="I840" s="9"/>
      <c r="J840" s="9"/>
      <c r="K840" s="9"/>
      <c r="L840" s="9"/>
      <c r="M840" s="9"/>
      <c r="N840" s="9"/>
      <c r="O840" s="9"/>
      <c r="P840" s="9"/>
      <c r="Q840" s="9"/>
      <c r="R840" s="9"/>
      <c r="S840" s="436"/>
      <c r="T840" s="436"/>
      <c r="U840" s="436"/>
      <c r="V840" s="436"/>
      <c r="W840" s="9"/>
      <c r="X840" s="9"/>
      <c r="Y840" s="9"/>
      <c r="Z840" s="9"/>
      <c r="AA840" s="9"/>
      <c r="AB840" s="9"/>
    </row>
    <row r="841">
      <c r="A841" s="9"/>
      <c r="B841" s="9"/>
      <c r="C841" s="9"/>
      <c r="D841" s="9"/>
      <c r="E841" s="9"/>
      <c r="F841" s="435"/>
      <c r="G841" s="9"/>
      <c r="H841" s="9"/>
      <c r="I841" s="9"/>
      <c r="J841" s="9"/>
      <c r="K841" s="9"/>
      <c r="L841" s="9"/>
      <c r="M841" s="9"/>
      <c r="N841" s="9"/>
      <c r="O841" s="9"/>
      <c r="P841" s="9"/>
      <c r="Q841" s="9"/>
      <c r="R841" s="9"/>
      <c r="S841" s="436"/>
      <c r="T841" s="436"/>
      <c r="U841" s="436"/>
      <c r="V841" s="436"/>
      <c r="W841" s="9"/>
      <c r="X841" s="9"/>
      <c r="Y841" s="9"/>
      <c r="Z841" s="9"/>
      <c r="AA841" s="9"/>
      <c r="AB841" s="9"/>
    </row>
    <row r="842">
      <c r="A842" s="9"/>
      <c r="B842" s="9"/>
      <c r="C842" s="9"/>
      <c r="D842" s="9"/>
      <c r="E842" s="9"/>
      <c r="F842" s="435"/>
      <c r="G842" s="9"/>
      <c r="H842" s="9"/>
      <c r="I842" s="9"/>
      <c r="J842" s="9"/>
      <c r="K842" s="9"/>
      <c r="L842" s="9"/>
      <c r="M842" s="9"/>
      <c r="N842" s="9"/>
      <c r="O842" s="9"/>
      <c r="P842" s="9"/>
      <c r="Q842" s="9"/>
      <c r="R842" s="9"/>
      <c r="S842" s="436"/>
      <c r="T842" s="436"/>
      <c r="U842" s="436"/>
      <c r="V842" s="436"/>
      <c r="W842" s="9"/>
      <c r="X842" s="9"/>
      <c r="Y842" s="9"/>
      <c r="Z842" s="9"/>
      <c r="AA842" s="9"/>
      <c r="AB842" s="9"/>
    </row>
    <row r="843">
      <c r="A843" s="9"/>
      <c r="B843" s="9"/>
      <c r="C843" s="9"/>
      <c r="D843" s="9"/>
      <c r="E843" s="9"/>
      <c r="F843" s="435"/>
      <c r="G843" s="9"/>
      <c r="H843" s="9"/>
      <c r="I843" s="9"/>
      <c r="J843" s="9"/>
      <c r="K843" s="9"/>
      <c r="L843" s="9"/>
      <c r="M843" s="9"/>
      <c r="N843" s="9"/>
      <c r="O843" s="9"/>
      <c r="P843" s="9"/>
      <c r="Q843" s="9"/>
      <c r="R843" s="9"/>
      <c r="S843" s="436"/>
      <c r="T843" s="436"/>
      <c r="U843" s="436"/>
      <c r="V843" s="436"/>
      <c r="W843" s="9"/>
      <c r="X843" s="9"/>
      <c r="Y843" s="9"/>
      <c r="Z843" s="9"/>
      <c r="AA843" s="9"/>
      <c r="AB843" s="9"/>
    </row>
    <row r="844">
      <c r="A844" s="9"/>
      <c r="B844" s="9"/>
      <c r="C844" s="9"/>
      <c r="D844" s="9"/>
      <c r="E844" s="9"/>
      <c r="F844" s="435"/>
      <c r="G844" s="9"/>
      <c r="H844" s="9"/>
      <c r="I844" s="9"/>
      <c r="J844" s="9"/>
      <c r="K844" s="9"/>
      <c r="L844" s="9"/>
      <c r="M844" s="9"/>
      <c r="N844" s="9"/>
      <c r="O844" s="9"/>
      <c r="P844" s="9"/>
      <c r="Q844" s="9"/>
      <c r="R844" s="9"/>
      <c r="S844" s="436"/>
      <c r="T844" s="436"/>
      <c r="U844" s="436"/>
      <c r="V844" s="436"/>
      <c r="W844" s="9"/>
      <c r="X844" s="9"/>
      <c r="Y844" s="9"/>
      <c r="Z844" s="9"/>
      <c r="AA844" s="9"/>
      <c r="AB844" s="9"/>
    </row>
    <row r="845">
      <c r="A845" s="9"/>
      <c r="B845" s="9"/>
      <c r="C845" s="9"/>
      <c r="D845" s="9"/>
      <c r="E845" s="9"/>
      <c r="F845" s="435"/>
      <c r="G845" s="9"/>
      <c r="H845" s="9"/>
      <c r="I845" s="9"/>
      <c r="J845" s="9"/>
      <c r="K845" s="9"/>
      <c r="L845" s="9"/>
      <c r="M845" s="9"/>
      <c r="N845" s="9"/>
      <c r="O845" s="9"/>
      <c r="P845" s="9"/>
      <c r="Q845" s="9"/>
      <c r="R845" s="9"/>
      <c r="S845" s="436"/>
      <c r="T845" s="436"/>
      <c r="U845" s="436"/>
      <c r="V845" s="436"/>
      <c r="W845" s="9"/>
      <c r="X845" s="9"/>
      <c r="Y845" s="9"/>
      <c r="Z845" s="9"/>
      <c r="AA845" s="9"/>
      <c r="AB845" s="9"/>
    </row>
    <row r="846">
      <c r="A846" s="9"/>
      <c r="B846" s="9"/>
      <c r="C846" s="9"/>
      <c r="D846" s="9"/>
      <c r="E846" s="9"/>
      <c r="F846" s="435"/>
      <c r="G846" s="9"/>
      <c r="H846" s="9"/>
      <c r="I846" s="9"/>
      <c r="J846" s="9"/>
      <c r="K846" s="9"/>
      <c r="L846" s="9"/>
      <c r="M846" s="9"/>
      <c r="N846" s="9"/>
      <c r="O846" s="9"/>
      <c r="P846" s="9"/>
      <c r="Q846" s="9"/>
      <c r="R846" s="9"/>
      <c r="S846" s="436"/>
      <c r="T846" s="436"/>
      <c r="U846" s="436"/>
      <c r="V846" s="436"/>
      <c r="W846" s="9"/>
      <c r="X846" s="9"/>
      <c r="Y846" s="9"/>
      <c r="Z846" s="9"/>
      <c r="AA846" s="9"/>
      <c r="AB846" s="9"/>
    </row>
    <row r="847">
      <c r="A847" s="9"/>
      <c r="B847" s="9"/>
      <c r="C847" s="9"/>
      <c r="D847" s="9"/>
      <c r="E847" s="9"/>
      <c r="F847" s="435"/>
      <c r="G847" s="9"/>
      <c r="H847" s="9"/>
      <c r="I847" s="9"/>
      <c r="J847" s="9"/>
      <c r="K847" s="9"/>
      <c r="L847" s="9"/>
      <c r="M847" s="9"/>
      <c r="N847" s="9"/>
      <c r="O847" s="9"/>
      <c r="P847" s="9"/>
      <c r="Q847" s="9"/>
      <c r="R847" s="9"/>
      <c r="S847" s="436"/>
      <c r="T847" s="436"/>
      <c r="U847" s="436"/>
      <c r="V847" s="436"/>
      <c r="W847" s="9"/>
      <c r="X847" s="9"/>
      <c r="Y847" s="9"/>
      <c r="Z847" s="9"/>
      <c r="AA847" s="9"/>
      <c r="AB847" s="9"/>
    </row>
    <row r="848">
      <c r="A848" s="9"/>
      <c r="B848" s="9"/>
      <c r="C848" s="9"/>
      <c r="D848" s="9"/>
      <c r="E848" s="9"/>
      <c r="F848" s="435"/>
      <c r="G848" s="9"/>
      <c r="H848" s="9"/>
      <c r="I848" s="9"/>
      <c r="J848" s="9"/>
      <c r="K848" s="9"/>
      <c r="L848" s="9"/>
      <c r="M848" s="9"/>
      <c r="N848" s="9"/>
      <c r="O848" s="9"/>
      <c r="P848" s="9"/>
      <c r="Q848" s="9"/>
      <c r="R848" s="9"/>
      <c r="S848" s="436"/>
      <c r="T848" s="436"/>
      <c r="U848" s="436"/>
      <c r="V848" s="436"/>
      <c r="W848" s="9"/>
      <c r="X848" s="9"/>
      <c r="Y848" s="9"/>
      <c r="Z848" s="9"/>
      <c r="AA848" s="9"/>
      <c r="AB848" s="9"/>
    </row>
    <row r="849">
      <c r="A849" s="9"/>
      <c r="B849" s="9"/>
      <c r="C849" s="9"/>
      <c r="D849" s="9"/>
      <c r="E849" s="9"/>
      <c r="F849" s="435"/>
      <c r="G849" s="9"/>
      <c r="H849" s="9"/>
      <c r="I849" s="9"/>
      <c r="J849" s="9"/>
      <c r="K849" s="9"/>
      <c r="L849" s="9"/>
      <c r="M849" s="9"/>
      <c r="N849" s="9"/>
      <c r="O849" s="9"/>
      <c r="P849" s="9"/>
      <c r="Q849" s="9"/>
      <c r="R849" s="9"/>
      <c r="S849" s="436"/>
      <c r="T849" s="436"/>
      <c r="U849" s="436"/>
      <c r="V849" s="436"/>
      <c r="W849" s="9"/>
      <c r="X849" s="9"/>
      <c r="Y849" s="9"/>
      <c r="Z849" s="9"/>
      <c r="AA849" s="9"/>
      <c r="AB849" s="9"/>
    </row>
    <row r="850">
      <c r="A850" s="9"/>
      <c r="B850" s="9"/>
      <c r="C850" s="9"/>
      <c r="D850" s="9"/>
      <c r="E850" s="9"/>
      <c r="F850" s="435"/>
      <c r="G850" s="9"/>
      <c r="H850" s="9"/>
      <c r="I850" s="9"/>
      <c r="J850" s="9"/>
      <c r="K850" s="9"/>
      <c r="L850" s="9"/>
      <c r="M850" s="9"/>
      <c r="N850" s="9"/>
      <c r="O850" s="9"/>
      <c r="P850" s="9"/>
      <c r="Q850" s="9"/>
      <c r="R850" s="9"/>
      <c r="S850" s="436"/>
      <c r="T850" s="436"/>
      <c r="U850" s="436"/>
      <c r="V850" s="436"/>
      <c r="W850" s="9"/>
      <c r="X850" s="9"/>
      <c r="Y850" s="9"/>
      <c r="Z850" s="9"/>
      <c r="AA850" s="9"/>
      <c r="AB850" s="9"/>
    </row>
    <row r="851">
      <c r="A851" s="9"/>
      <c r="B851" s="9"/>
      <c r="C851" s="9"/>
      <c r="D851" s="9"/>
      <c r="E851" s="9"/>
      <c r="F851" s="435"/>
      <c r="G851" s="9"/>
      <c r="H851" s="9"/>
      <c r="I851" s="9"/>
      <c r="J851" s="9"/>
      <c r="K851" s="9"/>
      <c r="L851" s="9"/>
      <c r="M851" s="9"/>
      <c r="N851" s="9"/>
      <c r="O851" s="9"/>
      <c r="P851" s="9"/>
      <c r="Q851" s="9"/>
      <c r="R851" s="9"/>
      <c r="S851" s="436"/>
      <c r="T851" s="436"/>
      <c r="U851" s="436"/>
      <c r="V851" s="436"/>
      <c r="W851" s="9"/>
      <c r="X851" s="9"/>
      <c r="Y851" s="9"/>
      <c r="Z851" s="9"/>
      <c r="AA851" s="9"/>
      <c r="AB851" s="9"/>
    </row>
    <row r="852">
      <c r="A852" s="9"/>
      <c r="B852" s="9"/>
      <c r="C852" s="9"/>
      <c r="D852" s="9"/>
      <c r="E852" s="9"/>
      <c r="F852" s="435"/>
      <c r="G852" s="9"/>
      <c r="H852" s="9"/>
      <c r="I852" s="9"/>
      <c r="J852" s="9"/>
      <c r="K852" s="9"/>
      <c r="L852" s="9"/>
      <c r="M852" s="9"/>
      <c r="N852" s="9"/>
      <c r="O852" s="9"/>
      <c r="P852" s="9"/>
      <c r="Q852" s="9"/>
      <c r="R852" s="9"/>
      <c r="S852" s="436"/>
      <c r="T852" s="436"/>
      <c r="U852" s="436"/>
      <c r="V852" s="436"/>
      <c r="W852" s="9"/>
      <c r="X852" s="9"/>
      <c r="Y852" s="9"/>
      <c r="Z852" s="9"/>
      <c r="AA852" s="9"/>
      <c r="AB852" s="9"/>
    </row>
    <row r="853">
      <c r="A853" s="9"/>
      <c r="B853" s="9"/>
      <c r="C853" s="9"/>
      <c r="D853" s="9"/>
      <c r="E853" s="9"/>
      <c r="F853" s="435"/>
      <c r="G853" s="9"/>
      <c r="H853" s="9"/>
      <c r="I853" s="9"/>
      <c r="J853" s="9"/>
      <c r="K853" s="9"/>
      <c r="L853" s="9"/>
      <c r="M853" s="9"/>
      <c r="N853" s="9"/>
      <c r="O853" s="9"/>
      <c r="P853" s="9"/>
      <c r="Q853" s="9"/>
      <c r="R853" s="9"/>
      <c r="S853" s="436"/>
      <c r="T853" s="436"/>
      <c r="U853" s="436"/>
      <c r="V853" s="436"/>
      <c r="W853" s="9"/>
      <c r="X853" s="9"/>
      <c r="Y853" s="9"/>
      <c r="Z853" s="9"/>
      <c r="AA853" s="9"/>
      <c r="AB853" s="9"/>
    </row>
    <row r="854">
      <c r="A854" s="9"/>
      <c r="B854" s="9"/>
      <c r="C854" s="9"/>
      <c r="D854" s="9"/>
      <c r="E854" s="9"/>
      <c r="F854" s="435"/>
      <c r="G854" s="9"/>
      <c r="H854" s="9"/>
      <c r="I854" s="9"/>
      <c r="J854" s="9"/>
      <c r="K854" s="9"/>
      <c r="L854" s="9"/>
      <c r="M854" s="9"/>
      <c r="N854" s="9"/>
      <c r="O854" s="9"/>
      <c r="P854" s="9"/>
      <c r="Q854" s="9"/>
      <c r="R854" s="9"/>
      <c r="S854" s="436"/>
      <c r="T854" s="436"/>
      <c r="U854" s="436"/>
      <c r="V854" s="436"/>
      <c r="W854" s="9"/>
      <c r="X854" s="9"/>
      <c r="Y854" s="9"/>
      <c r="Z854" s="9"/>
      <c r="AA854" s="9"/>
      <c r="AB854" s="9"/>
    </row>
    <row r="855">
      <c r="A855" s="9"/>
      <c r="B855" s="9"/>
      <c r="C855" s="9"/>
      <c r="D855" s="9"/>
      <c r="E855" s="9"/>
      <c r="F855" s="435"/>
      <c r="G855" s="9"/>
      <c r="H855" s="9"/>
      <c r="I855" s="9"/>
      <c r="J855" s="9"/>
      <c r="K855" s="9"/>
      <c r="L855" s="9"/>
      <c r="M855" s="9"/>
      <c r="N855" s="9"/>
      <c r="O855" s="9"/>
      <c r="P855" s="9"/>
      <c r="Q855" s="9"/>
      <c r="R855" s="9"/>
      <c r="S855" s="436"/>
      <c r="T855" s="436"/>
      <c r="U855" s="436"/>
      <c r="V855" s="436"/>
      <c r="W855" s="9"/>
      <c r="X855" s="9"/>
      <c r="Y855" s="9"/>
      <c r="Z855" s="9"/>
      <c r="AA855" s="9"/>
      <c r="AB855" s="9"/>
    </row>
    <row r="856">
      <c r="A856" s="9"/>
      <c r="B856" s="9"/>
      <c r="C856" s="9"/>
      <c r="D856" s="9"/>
      <c r="E856" s="9"/>
      <c r="F856" s="435"/>
      <c r="G856" s="9"/>
      <c r="H856" s="9"/>
      <c r="I856" s="9"/>
      <c r="J856" s="9"/>
      <c r="K856" s="9"/>
      <c r="L856" s="9"/>
      <c r="M856" s="9"/>
      <c r="N856" s="9"/>
      <c r="O856" s="9"/>
      <c r="P856" s="9"/>
      <c r="Q856" s="9"/>
      <c r="R856" s="9"/>
      <c r="S856" s="436"/>
      <c r="T856" s="436"/>
      <c r="U856" s="436"/>
      <c r="V856" s="436"/>
      <c r="W856" s="9"/>
      <c r="X856" s="9"/>
      <c r="Y856" s="9"/>
      <c r="Z856" s="9"/>
      <c r="AA856" s="9"/>
      <c r="AB856" s="9"/>
    </row>
    <row r="857">
      <c r="A857" s="9"/>
      <c r="B857" s="9"/>
      <c r="C857" s="9"/>
      <c r="D857" s="9"/>
      <c r="E857" s="9"/>
      <c r="F857" s="435"/>
      <c r="G857" s="9"/>
      <c r="H857" s="9"/>
      <c r="I857" s="9"/>
      <c r="J857" s="9"/>
      <c r="K857" s="9"/>
      <c r="L857" s="9"/>
      <c r="M857" s="9"/>
      <c r="N857" s="9"/>
      <c r="O857" s="9"/>
      <c r="P857" s="9"/>
      <c r="Q857" s="9"/>
      <c r="R857" s="9"/>
      <c r="S857" s="436"/>
      <c r="T857" s="436"/>
      <c r="U857" s="436"/>
      <c r="V857" s="436"/>
      <c r="W857" s="9"/>
      <c r="X857" s="9"/>
      <c r="Y857" s="9"/>
      <c r="Z857" s="9"/>
      <c r="AA857" s="9"/>
      <c r="AB857" s="9"/>
    </row>
    <row r="858">
      <c r="A858" s="9"/>
      <c r="B858" s="9"/>
      <c r="C858" s="9"/>
      <c r="D858" s="9"/>
      <c r="E858" s="9"/>
      <c r="F858" s="435"/>
      <c r="G858" s="9"/>
      <c r="H858" s="9"/>
      <c r="I858" s="9"/>
      <c r="J858" s="9"/>
      <c r="K858" s="9"/>
      <c r="L858" s="9"/>
      <c r="M858" s="9"/>
      <c r="N858" s="9"/>
      <c r="O858" s="9"/>
      <c r="P858" s="9"/>
      <c r="Q858" s="9"/>
      <c r="R858" s="9"/>
      <c r="S858" s="436"/>
      <c r="T858" s="436"/>
      <c r="U858" s="436"/>
      <c r="V858" s="436"/>
      <c r="W858" s="9"/>
      <c r="X858" s="9"/>
      <c r="Y858" s="9"/>
      <c r="Z858" s="9"/>
      <c r="AA858" s="9"/>
      <c r="AB858" s="9"/>
    </row>
    <row r="859">
      <c r="A859" s="9"/>
      <c r="B859" s="9"/>
      <c r="C859" s="9"/>
      <c r="D859" s="9"/>
      <c r="E859" s="9"/>
      <c r="F859" s="435"/>
      <c r="G859" s="9"/>
      <c r="H859" s="9"/>
      <c r="I859" s="9"/>
      <c r="J859" s="9"/>
      <c r="K859" s="9"/>
      <c r="L859" s="9"/>
      <c r="M859" s="9"/>
      <c r="N859" s="9"/>
      <c r="O859" s="9"/>
      <c r="P859" s="9"/>
      <c r="Q859" s="9"/>
      <c r="R859" s="9"/>
      <c r="S859" s="436"/>
      <c r="T859" s="436"/>
      <c r="U859" s="436"/>
      <c r="V859" s="436"/>
      <c r="W859" s="9"/>
      <c r="X859" s="9"/>
      <c r="Y859" s="9"/>
      <c r="Z859" s="9"/>
      <c r="AA859" s="9"/>
      <c r="AB859" s="9"/>
    </row>
    <row r="860">
      <c r="A860" s="9"/>
      <c r="B860" s="9"/>
      <c r="C860" s="9"/>
      <c r="D860" s="9"/>
      <c r="E860" s="9"/>
      <c r="F860" s="435"/>
      <c r="G860" s="9"/>
      <c r="H860" s="9"/>
      <c r="I860" s="9"/>
      <c r="J860" s="9"/>
      <c r="K860" s="9"/>
      <c r="L860" s="9"/>
      <c r="M860" s="9"/>
      <c r="N860" s="9"/>
      <c r="O860" s="9"/>
      <c r="P860" s="9"/>
      <c r="Q860" s="9"/>
      <c r="R860" s="9"/>
      <c r="S860" s="436"/>
      <c r="T860" s="436"/>
      <c r="U860" s="436"/>
      <c r="V860" s="436"/>
      <c r="W860" s="9"/>
      <c r="X860" s="9"/>
      <c r="Y860" s="9"/>
      <c r="Z860" s="9"/>
      <c r="AA860" s="9"/>
      <c r="AB860" s="9"/>
    </row>
    <row r="861">
      <c r="A861" s="9"/>
      <c r="B861" s="9"/>
      <c r="C861" s="9"/>
      <c r="D861" s="9"/>
      <c r="E861" s="9"/>
      <c r="F861" s="435"/>
      <c r="G861" s="9"/>
      <c r="H861" s="9"/>
      <c r="I861" s="9"/>
      <c r="J861" s="9"/>
      <c r="K861" s="9"/>
      <c r="L861" s="9"/>
      <c r="M861" s="9"/>
      <c r="N861" s="9"/>
      <c r="O861" s="9"/>
      <c r="P861" s="9"/>
      <c r="Q861" s="9"/>
      <c r="R861" s="9"/>
      <c r="S861" s="436"/>
      <c r="T861" s="436"/>
      <c r="U861" s="436"/>
      <c r="V861" s="436"/>
      <c r="W861" s="9"/>
      <c r="X861" s="9"/>
      <c r="Y861" s="9"/>
      <c r="Z861" s="9"/>
      <c r="AA861" s="9"/>
      <c r="AB861" s="9"/>
    </row>
    <row r="862">
      <c r="A862" s="9"/>
      <c r="B862" s="9"/>
      <c r="C862" s="9"/>
      <c r="D862" s="9"/>
      <c r="E862" s="9"/>
      <c r="F862" s="435"/>
      <c r="G862" s="9"/>
      <c r="H862" s="9"/>
      <c r="I862" s="9"/>
      <c r="J862" s="9"/>
      <c r="K862" s="9"/>
      <c r="L862" s="9"/>
      <c r="M862" s="9"/>
      <c r="N862" s="9"/>
      <c r="O862" s="9"/>
      <c r="P862" s="9"/>
      <c r="Q862" s="9"/>
      <c r="R862" s="9"/>
      <c r="S862" s="436"/>
      <c r="T862" s="436"/>
      <c r="U862" s="436"/>
      <c r="V862" s="436"/>
      <c r="W862" s="9"/>
      <c r="X862" s="9"/>
      <c r="Y862" s="9"/>
      <c r="Z862" s="9"/>
      <c r="AA862" s="9"/>
      <c r="AB862" s="9"/>
    </row>
    <row r="863">
      <c r="A863" s="9"/>
      <c r="B863" s="9"/>
      <c r="C863" s="9"/>
      <c r="D863" s="9"/>
      <c r="E863" s="9"/>
      <c r="F863" s="435"/>
      <c r="G863" s="9"/>
      <c r="H863" s="9"/>
      <c r="I863" s="9"/>
      <c r="J863" s="9"/>
      <c r="K863" s="9"/>
      <c r="L863" s="9"/>
      <c r="M863" s="9"/>
      <c r="N863" s="9"/>
      <c r="O863" s="9"/>
      <c r="P863" s="9"/>
      <c r="Q863" s="9"/>
      <c r="R863" s="9"/>
      <c r="S863" s="436"/>
      <c r="T863" s="436"/>
      <c r="U863" s="436"/>
      <c r="V863" s="436"/>
      <c r="W863" s="9"/>
      <c r="X863" s="9"/>
      <c r="Y863" s="9"/>
      <c r="Z863" s="9"/>
      <c r="AA863" s="9"/>
      <c r="AB863" s="9"/>
    </row>
    <row r="864">
      <c r="A864" s="9"/>
      <c r="B864" s="9"/>
      <c r="C864" s="9"/>
      <c r="D864" s="9"/>
      <c r="E864" s="9"/>
      <c r="F864" s="435"/>
      <c r="G864" s="9"/>
      <c r="H864" s="9"/>
      <c r="I864" s="9"/>
      <c r="J864" s="9"/>
      <c r="K864" s="9"/>
      <c r="L864" s="9"/>
      <c r="M864" s="9"/>
      <c r="N864" s="9"/>
      <c r="O864" s="9"/>
      <c r="P864" s="9"/>
      <c r="Q864" s="9"/>
      <c r="R864" s="9"/>
      <c r="S864" s="436"/>
      <c r="T864" s="436"/>
      <c r="U864" s="436"/>
      <c r="V864" s="436"/>
      <c r="W864" s="9"/>
      <c r="X864" s="9"/>
      <c r="Y864" s="9"/>
      <c r="Z864" s="9"/>
      <c r="AA864" s="9"/>
      <c r="AB864" s="9"/>
    </row>
    <row r="865">
      <c r="A865" s="9"/>
      <c r="B865" s="9"/>
      <c r="C865" s="9"/>
      <c r="D865" s="9"/>
      <c r="E865" s="9"/>
      <c r="F865" s="435"/>
      <c r="G865" s="9"/>
      <c r="H865" s="9"/>
      <c r="I865" s="9"/>
      <c r="J865" s="9"/>
      <c r="K865" s="9"/>
      <c r="L865" s="9"/>
      <c r="M865" s="9"/>
      <c r="N865" s="9"/>
      <c r="O865" s="9"/>
      <c r="P865" s="9"/>
      <c r="Q865" s="9"/>
      <c r="R865" s="9"/>
      <c r="S865" s="436"/>
      <c r="T865" s="436"/>
      <c r="U865" s="436"/>
      <c r="V865" s="436"/>
      <c r="W865" s="9"/>
      <c r="X865" s="9"/>
      <c r="Y865" s="9"/>
      <c r="Z865" s="9"/>
      <c r="AA865" s="9"/>
      <c r="AB865" s="9"/>
    </row>
    <row r="866">
      <c r="A866" s="9"/>
      <c r="B866" s="9"/>
      <c r="C866" s="9"/>
      <c r="D866" s="9"/>
      <c r="E866" s="9"/>
      <c r="F866" s="435"/>
      <c r="G866" s="9"/>
      <c r="H866" s="9"/>
      <c r="I866" s="9"/>
      <c r="J866" s="9"/>
      <c r="K866" s="9"/>
      <c r="L866" s="9"/>
      <c r="M866" s="9"/>
      <c r="N866" s="9"/>
      <c r="O866" s="9"/>
      <c r="P866" s="9"/>
      <c r="Q866" s="9"/>
      <c r="R866" s="9"/>
      <c r="S866" s="436"/>
      <c r="T866" s="436"/>
      <c r="U866" s="436"/>
      <c r="V866" s="436"/>
      <c r="W866" s="9"/>
      <c r="X866" s="9"/>
      <c r="Y866" s="9"/>
      <c r="Z866" s="9"/>
      <c r="AA866" s="9"/>
      <c r="AB866" s="9"/>
    </row>
    <row r="867">
      <c r="A867" s="9"/>
      <c r="B867" s="9"/>
      <c r="C867" s="9"/>
      <c r="D867" s="9"/>
      <c r="E867" s="9"/>
      <c r="F867" s="435"/>
      <c r="G867" s="9"/>
      <c r="H867" s="9"/>
      <c r="I867" s="9"/>
      <c r="J867" s="9"/>
      <c r="K867" s="9"/>
      <c r="L867" s="9"/>
      <c r="M867" s="9"/>
      <c r="N867" s="9"/>
      <c r="O867" s="9"/>
      <c r="P867" s="9"/>
      <c r="Q867" s="9"/>
      <c r="R867" s="9"/>
      <c r="S867" s="436"/>
      <c r="T867" s="436"/>
      <c r="U867" s="436"/>
      <c r="V867" s="436"/>
      <c r="W867" s="9"/>
      <c r="X867" s="9"/>
      <c r="Y867" s="9"/>
      <c r="Z867" s="9"/>
      <c r="AA867" s="9"/>
      <c r="AB867" s="9"/>
    </row>
    <row r="868">
      <c r="A868" s="9"/>
      <c r="B868" s="9"/>
      <c r="C868" s="9"/>
      <c r="D868" s="9"/>
      <c r="E868" s="9"/>
      <c r="F868" s="435"/>
      <c r="G868" s="9"/>
      <c r="H868" s="9"/>
      <c r="I868" s="9"/>
      <c r="J868" s="9"/>
      <c r="K868" s="9"/>
      <c r="L868" s="9"/>
      <c r="M868" s="9"/>
      <c r="N868" s="9"/>
      <c r="O868" s="9"/>
      <c r="P868" s="9"/>
      <c r="Q868" s="9"/>
      <c r="R868" s="9"/>
      <c r="S868" s="436"/>
      <c r="T868" s="436"/>
      <c r="U868" s="436"/>
      <c r="V868" s="436"/>
      <c r="W868" s="9"/>
      <c r="X868" s="9"/>
      <c r="Y868" s="9"/>
      <c r="Z868" s="9"/>
      <c r="AA868" s="9"/>
      <c r="AB868" s="9"/>
    </row>
    <row r="869">
      <c r="A869" s="9"/>
      <c r="B869" s="9"/>
      <c r="C869" s="9"/>
      <c r="D869" s="9"/>
      <c r="E869" s="9"/>
      <c r="F869" s="435"/>
      <c r="G869" s="9"/>
      <c r="H869" s="9"/>
      <c r="I869" s="9"/>
      <c r="J869" s="9"/>
      <c r="K869" s="9"/>
      <c r="L869" s="9"/>
      <c r="M869" s="9"/>
      <c r="N869" s="9"/>
      <c r="O869" s="9"/>
      <c r="P869" s="9"/>
      <c r="Q869" s="9"/>
      <c r="R869" s="9"/>
      <c r="S869" s="436"/>
      <c r="T869" s="436"/>
      <c r="U869" s="436"/>
      <c r="V869" s="436"/>
      <c r="W869" s="9"/>
      <c r="X869" s="9"/>
      <c r="Y869" s="9"/>
      <c r="Z869" s="9"/>
      <c r="AA869" s="9"/>
      <c r="AB869" s="9"/>
    </row>
    <row r="870">
      <c r="A870" s="9"/>
      <c r="B870" s="9"/>
      <c r="C870" s="9"/>
      <c r="D870" s="9"/>
      <c r="E870" s="9"/>
      <c r="F870" s="435"/>
      <c r="G870" s="9"/>
      <c r="H870" s="9"/>
      <c r="I870" s="9"/>
      <c r="J870" s="9"/>
      <c r="K870" s="9"/>
      <c r="L870" s="9"/>
      <c r="M870" s="9"/>
      <c r="N870" s="9"/>
      <c r="O870" s="9"/>
      <c r="P870" s="9"/>
      <c r="Q870" s="9"/>
      <c r="R870" s="9"/>
      <c r="S870" s="436"/>
      <c r="T870" s="436"/>
      <c r="U870" s="436"/>
      <c r="V870" s="436"/>
      <c r="W870" s="9"/>
      <c r="X870" s="9"/>
      <c r="Y870" s="9"/>
      <c r="Z870" s="9"/>
      <c r="AA870" s="9"/>
      <c r="AB870" s="9"/>
    </row>
    <row r="871">
      <c r="A871" s="9"/>
      <c r="B871" s="9"/>
      <c r="C871" s="9"/>
      <c r="D871" s="9"/>
      <c r="E871" s="9"/>
      <c r="F871" s="435"/>
      <c r="G871" s="9"/>
      <c r="H871" s="9"/>
      <c r="I871" s="9"/>
      <c r="J871" s="9"/>
      <c r="K871" s="9"/>
      <c r="L871" s="9"/>
      <c r="M871" s="9"/>
      <c r="N871" s="9"/>
      <c r="O871" s="9"/>
      <c r="P871" s="9"/>
      <c r="Q871" s="9"/>
      <c r="R871" s="9"/>
      <c r="S871" s="436"/>
      <c r="T871" s="436"/>
      <c r="U871" s="436"/>
      <c r="V871" s="436"/>
      <c r="W871" s="9"/>
      <c r="X871" s="9"/>
      <c r="Y871" s="9"/>
      <c r="Z871" s="9"/>
      <c r="AA871" s="9"/>
      <c r="AB871" s="9"/>
    </row>
    <row r="872">
      <c r="A872" s="9"/>
      <c r="B872" s="9"/>
      <c r="C872" s="9"/>
      <c r="D872" s="9"/>
      <c r="E872" s="9"/>
      <c r="F872" s="435"/>
      <c r="G872" s="9"/>
      <c r="H872" s="9"/>
      <c r="I872" s="9"/>
      <c r="J872" s="9"/>
      <c r="K872" s="9"/>
      <c r="L872" s="9"/>
      <c r="M872" s="9"/>
      <c r="N872" s="9"/>
      <c r="O872" s="9"/>
      <c r="P872" s="9"/>
      <c r="Q872" s="9"/>
      <c r="R872" s="9"/>
      <c r="S872" s="436"/>
      <c r="T872" s="436"/>
      <c r="U872" s="436"/>
      <c r="V872" s="436"/>
      <c r="W872" s="9"/>
      <c r="X872" s="9"/>
      <c r="Y872" s="9"/>
      <c r="Z872" s="9"/>
      <c r="AA872" s="9"/>
      <c r="AB872" s="9"/>
    </row>
    <row r="873">
      <c r="A873" s="9"/>
      <c r="B873" s="9"/>
      <c r="C873" s="9"/>
      <c r="D873" s="9"/>
      <c r="E873" s="9"/>
      <c r="F873" s="435"/>
      <c r="G873" s="9"/>
      <c r="H873" s="9"/>
      <c r="I873" s="9"/>
      <c r="J873" s="9"/>
      <c r="K873" s="9"/>
      <c r="L873" s="9"/>
      <c r="M873" s="9"/>
      <c r="N873" s="9"/>
      <c r="O873" s="9"/>
      <c r="P873" s="9"/>
      <c r="Q873" s="9"/>
      <c r="R873" s="9"/>
      <c r="S873" s="436"/>
      <c r="T873" s="436"/>
      <c r="U873" s="436"/>
      <c r="V873" s="436"/>
      <c r="W873" s="9"/>
      <c r="X873" s="9"/>
      <c r="Y873" s="9"/>
      <c r="Z873" s="9"/>
      <c r="AA873" s="9"/>
      <c r="AB873" s="9"/>
    </row>
    <row r="874">
      <c r="A874" s="9"/>
      <c r="B874" s="9"/>
      <c r="C874" s="9"/>
      <c r="D874" s="9"/>
      <c r="E874" s="9"/>
      <c r="F874" s="435"/>
      <c r="G874" s="9"/>
      <c r="H874" s="9"/>
      <c r="I874" s="9"/>
      <c r="J874" s="9"/>
      <c r="K874" s="9"/>
      <c r="L874" s="9"/>
      <c r="M874" s="9"/>
      <c r="N874" s="9"/>
      <c r="O874" s="9"/>
      <c r="P874" s="9"/>
      <c r="Q874" s="9"/>
      <c r="R874" s="9"/>
      <c r="S874" s="436"/>
      <c r="T874" s="436"/>
      <c r="U874" s="436"/>
      <c r="V874" s="436"/>
      <c r="W874" s="9"/>
      <c r="X874" s="9"/>
      <c r="Y874" s="9"/>
      <c r="Z874" s="9"/>
      <c r="AA874" s="9"/>
      <c r="AB874" s="9"/>
    </row>
    <row r="875">
      <c r="A875" s="9"/>
      <c r="B875" s="9"/>
      <c r="C875" s="9"/>
      <c r="D875" s="9"/>
      <c r="E875" s="9"/>
      <c r="F875" s="435"/>
      <c r="G875" s="9"/>
      <c r="H875" s="9"/>
      <c r="I875" s="9"/>
      <c r="J875" s="9"/>
      <c r="K875" s="9"/>
      <c r="L875" s="9"/>
      <c r="M875" s="9"/>
      <c r="N875" s="9"/>
      <c r="O875" s="9"/>
      <c r="P875" s="9"/>
      <c r="Q875" s="9"/>
      <c r="R875" s="9"/>
      <c r="S875" s="436"/>
      <c r="T875" s="436"/>
      <c r="U875" s="436"/>
      <c r="V875" s="436"/>
      <c r="W875" s="9"/>
      <c r="X875" s="9"/>
      <c r="Y875" s="9"/>
      <c r="Z875" s="9"/>
      <c r="AA875" s="9"/>
      <c r="AB875" s="9"/>
    </row>
    <row r="876">
      <c r="A876" s="9"/>
      <c r="B876" s="9"/>
      <c r="C876" s="9"/>
      <c r="D876" s="9"/>
      <c r="E876" s="9"/>
      <c r="F876" s="435"/>
      <c r="G876" s="9"/>
      <c r="H876" s="9"/>
      <c r="I876" s="9"/>
      <c r="J876" s="9"/>
      <c r="K876" s="9"/>
      <c r="L876" s="9"/>
      <c r="M876" s="9"/>
      <c r="N876" s="9"/>
      <c r="O876" s="9"/>
      <c r="P876" s="9"/>
      <c r="Q876" s="9"/>
      <c r="R876" s="9"/>
      <c r="S876" s="436"/>
      <c r="T876" s="436"/>
      <c r="U876" s="436"/>
      <c r="V876" s="436"/>
      <c r="W876" s="9"/>
      <c r="X876" s="9"/>
      <c r="Y876" s="9"/>
      <c r="Z876" s="9"/>
      <c r="AA876" s="9"/>
      <c r="AB876" s="9"/>
    </row>
    <row r="877">
      <c r="A877" s="9"/>
      <c r="B877" s="9"/>
      <c r="C877" s="9"/>
      <c r="D877" s="9"/>
      <c r="E877" s="9"/>
      <c r="F877" s="435"/>
      <c r="G877" s="9"/>
      <c r="H877" s="9"/>
      <c r="I877" s="9"/>
      <c r="J877" s="9"/>
      <c r="K877" s="9"/>
      <c r="L877" s="9"/>
      <c r="M877" s="9"/>
      <c r="N877" s="9"/>
      <c r="O877" s="9"/>
      <c r="P877" s="9"/>
      <c r="Q877" s="9"/>
      <c r="R877" s="9"/>
      <c r="S877" s="436"/>
      <c r="T877" s="436"/>
      <c r="U877" s="436"/>
      <c r="V877" s="436"/>
      <c r="W877" s="9"/>
      <c r="X877" s="9"/>
      <c r="Y877" s="9"/>
      <c r="Z877" s="9"/>
      <c r="AA877" s="9"/>
      <c r="AB877" s="9"/>
    </row>
    <row r="878">
      <c r="A878" s="9"/>
      <c r="B878" s="9"/>
      <c r="C878" s="9"/>
      <c r="D878" s="9"/>
      <c r="E878" s="9"/>
      <c r="F878" s="435"/>
      <c r="G878" s="9"/>
      <c r="H878" s="9"/>
      <c r="I878" s="9"/>
      <c r="J878" s="9"/>
      <c r="K878" s="9"/>
      <c r="L878" s="9"/>
      <c r="M878" s="9"/>
      <c r="N878" s="9"/>
      <c r="O878" s="9"/>
      <c r="P878" s="9"/>
      <c r="Q878" s="9"/>
      <c r="R878" s="9"/>
      <c r="S878" s="436"/>
      <c r="T878" s="436"/>
      <c r="U878" s="436"/>
      <c r="V878" s="436"/>
      <c r="W878" s="9"/>
      <c r="X878" s="9"/>
      <c r="Y878" s="9"/>
      <c r="Z878" s="9"/>
      <c r="AA878" s="9"/>
      <c r="AB878" s="9"/>
    </row>
    <row r="879">
      <c r="A879" s="9"/>
      <c r="B879" s="9"/>
      <c r="C879" s="9"/>
      <c r="D879" s="9"/>
      <c r="E879" s="9"/>
      <c r="F879" s="435"/>
      <c r="G879" s="9"/>
      <c r="H879" s="9"/>
      <c r="I879" s="9"/>
      <c r="J879" s="9"/>
      <c r="K879" s="9"/>
      <c r="L879" s="9"/>
      <c r="M879" s="9"/>
      <c r="N879" s="9"/>
      <c r="O879" s="9"/>
      <c r="P879" s="9"/>
      <c r="Q879" s="9"/>
      <c r="R879" s="9"/>
      <c r="S879" s="436"/>
      <c r="T879" s="436"/>
      <c r="U879" s="436"/>
      <c r="V879" s="436"/>
      <c r="W879" s="9"/>
      <c r="X879" s="9"/>
      <c r="Y879" s="9"/>
      <c r="Z879" s="9"/>
      <c r="AA879" s="9"/>
      <c r="AB879" s="9"/>
    </row>
    <row r="880">
      <c r="A880" s="9"/>
      <c r="B880" s="9"/>
      <c r="C880" s="9"/>
      <c r="D880" s="9"/>
      <c r="E880" s="9"/>
      <c r="F880" s="435"/>
      <c r="G880" s="9"/>
      <c r="H880" s="9"/>
      <c r="I880" s="9"/>
      <c r="J880" s="9"/>
      <c r="K880" s="9"/>
      <c r="L880" s="9"/>
      <c r="M880" s="9"/>
      <c r="N880" s="9"/>
      <c r="O880" s="9"/>
      <c r="P880" s="9"/>
      <c r="Q880" s="9"/>
      <c r="R880" s="9"/>
      <c r="S880" s="436"/>
      <c r="T880" s="436"/>
      <c r="U880" s="436"/>
      <c r="V880" s="436"/>
      <c r="W880" s="9"/>
      <c r="X880" s="9"/>
      <c r="Y880" s="9"/>
      <c r="Z880" s="9"/>
      <c r="AA880" s="9"/>
      <c r="AB880" s="9"/>
    </row>
    <row r="881">
      <c r="A881" s="9"/>
      <c r="B881" s="9"/>
      <c r="C881" s="9"/>
      <c r="D881" s="9"/>
      <c r="E881" s="9"/>
      <c r="F881" s="435"/>
      <c r="G881" s="9"/>
      <c r="H881" s="9"/>
      <c r="I881" s="9"/>
      <c r="J881" s="9"/>
      <c r="K881" s="9"/>
      <c r="L881" s="9"/>
      <c r="M881" s="9"/>
      <c r="N881" s="9"/>
      <c r="O881" s="9"/>
      <c r="P881" s="9"/>
      <c r="Q881" s="9"/>
      <c r="R881" s="9"/>
      <c r="S881" s="436"/>
      <c r="T881" s="436"/>
      <c r="U881" s="436"/>
      <c r="V881" s="436"/>
      <c r="W881" s="9"/>
      <c r="X881" s="9"/>
      <c r="Y881" s="9"/>
      <c r="Z881" s="9"/>
      <c r="AA881" s="9"/>
      <c r="AB881" s="9"/>
    </row>
    <row r="882">
      <c r="A882" s="9"/>
      <c r="B882" s="9"/>
      <c r="C882" s="9"/>
      <c r="D882" s="9"/>
      <c r="E882" s="9"/>
      <c r="F882" s="435"/>
      <c r="G882" s="9"/>
      <c r="H882" s="9"/>
      <c r="I882" s="9"/>
      <c r="J882" s="9"/>
      <c r="K882" s="9"/>
      <c r="L882" s="9"/>
      <c r="M882" s="9"/>
      <c r="N882" s="9"/>
      <c r="O882" s="9"/>
      <c r="P882" s="9"/>
      <c r="Q882" s="9"/>
      <c r="R882" s="9"/>
      <c r="S882" s="436"/>
      <c r="T882" s="436"/>
      <c r="U882" s="436"/>
      <c r="V882" s="436"/>
      <c r="W882" s="9"/>
      <c r="X882" s="9"/>
      <c r="Y882" s="9"/>
      <c r="Z882" s="9"/>
      <c r="AA882" s="9"/>
      <c r="AB882" s="9"/>
    </row>
    <row r="883">
      <c r="A883" s="9"/>
      <c r="B883" s="9"/>
      <c r="C883" s="9"/>
      <c r="D883" s="9"/>
      <c r="E883" s="9"/>
      <c r="F883" s="435"/>
      <c r="G883" s="9"/>
      <c r="H883" s="9"/>
      <c r="I883" s="9"/>
      <c r="J883" s="9"/>
      <c r="K883" s="9"/>
      <c r="L883" s="9"/>
      <c r="M883" s="9"/>
      <c r="N883" s="9"/>
      <c r="O883" s="9"/>
      <c r="P883" s="9"/>
      <c r="Q883" s="9"/>
      <c r="R883" s="9"/>
      <c r="S883" s="436"/>
      <c r="T883" s="436"/>
      <c r="U883" s="436"/>
      <c r="V883" s="436"/>
      <c r="W883" s="9"/>
      <c r="X883" s="9"/>
      <c r="Y883" s="9"/>
      <c r="Z883" s="9"/>
      <c r="AA883" s="9"/>
      <c r="AB883" s="9"/>
    </row>
    <row r="884">
      <c r="A884" s="9"/>
      <c r="B884" s="9"/>
      <c r="C884" s="9"/>
      <c r="D884" s="9"/>
      <c r="E884" s="9"/>
      <c r="F884" s="435"/>
      <c r="G884" s="9"/>
      <c r="H884" s="9"/>
      <c r="I884" s="9"/>
      <c r="J884" s="9"/>
      <c r="K884" s="9"/>
      <c r="L884" s="9"/>
      <c r="M884" s="9"/>
      <c r="N884" s="9"/>
      <c r="O884" s="9"/>
      <c r="P884" s="9"/>
      <c r="Q884" s="9"/>
      <c r="R884" s="9"/>
      <c r="S884" s="436"/>
      <c r="T884" s="436"/>
      <c r="U884" s="436"/>
      <c r="V884" s="436"/>
      <c r="W884" s="9"/>
      <c r="X884" s="9"/>
      <c r="Y884" s="9"/>
      <c r="Z884" s="9"/>
      <c r="AA884" s="9"/>
      <c r="AB884" s="9"/>
    </row>
    <row r="885">
      <c r="A885" s="9"/>
      <c r="B885" s="9"/>
      <c r="C885" s="9"/>
      <c r="D885" s="9"/>
      <c r="E885" s="9"/>
      <c r="F885" s="435"/>
      <c r="G885" s="9"/>
      <c r="H885" s="9"/>
      <c r="I885" s="9"/>
      <c r="J885" s="9"/>
      <c r="K885" s="9"/>
      <c r="L885" s="9"/>
      <c r="M885" s="9"/>
      <c r="N885" s="9"/>
      <c r="O885" s="9"/>
      <c r="P885" s="9"/>
      <c r="Q885" s="9"/>
      <c r="R885" s="9"/>
      <c r="S885" s="436"/>
      <c r="T885" s="436"/>
      <c r="U885" s="436"/>
      <c r="V885" s="436"/>
      <c r="W885" s="9"/>
      <c r="X885" s="9"/>
      <c r="Y885" s="9"/>
      <c r="Z885" s="9"/>
      <c r="AA885" s="9"/>
      <c r="AB885" s="9"/>
    </row>
    <row r="886">
      <c r="A886" s="9"/>
      <c r="B886" s="9"/>
      <c r="C886" s="9"/>
      <c r="D886" s="9"/>
      <c r="E886" s="9"/>
      <c r="F886" s="435"/>
      <c r="G886" s="9"/>
      <c r="H886" s="9"/>
      <c r="I886" s="9"/>
      <c r="J886" s="9"/>
      <c r="K886" s="9"/>
      <c r="L886" s="9"/>
      <c r="M886" s="9"/>
      <c r="N886" s="9"/>
      <c r="O886" s="9"/>
      <c r="P886" s="9"/>
      <c r="Q886" s="9"/>
      <c r="R886" s="9"/>
      <c r="S886" s="436"/>
      <c r="T886" s="436"/>
      <c r="U886" s="436"/>
      <c r="V886" s="436"/>
      <c r="W886" s="9"/>
      <c r="X886" s="9"/>
      <c r="Y886" s="9"/>
      <c r="Z886" s="9"/>
      <c r="AA886" s="9"/>
      <c r="AB886" s="9"/>
    </row>
    <row r="887">
      <c r="A887" s="9"/>
      <c r="B887" s="9"/>
      <c r="C887" s="9"/>
      <c r="D887" s="9"/>
      <c r="E887" s="9"/>
      <c r="F887" s="435"/>
      <c r="G887" s="9"/>
      <c r="H887" s="9"/>
      <c r="I887" s="9"/>
      <c r="J887" s="9"/>
      <c r="K887" s="9"/>
      <c r="L887" s="9"/>
      <c r="M887" s="9"/>
      <c r="N887" s="9"/>
      <c r="O887" s="9"/>
      <c r="P887" s="9"/>
      <c r="Q887" s="9"/>
      <c r="R887" s="9"/>
      <c r="S887" s="436"/>
      <c r="T887" s="436"/>
      <c r="U887" s="436"/>
      <c r="V887" s="436"/>
      <c r="W887" s="9"/>
      <c r="X887" s="9"/>
      <c r="Y887" s="9"/>
      <c r="Z887" s="9"/>
      <c r="AA887" s="9"/>
      <c r="AB887" s="9"/>
    </row>
    <row r="888">
      <c r="A888" s="9"/>
      <c r="B888" s="9"/>
      <c r="C888" s="9"/>
      <c r="D888" s="9"/>
      <c r="E888" s="9"/>
      <c r="F888" s="435"/>
      <c r="G888" s="9"/>
      <c r="H888" s="9"/>
      <c r="I888" s="9"/>
      <c r="J888" s="9"/>
      <c r="K888" s="9"/>
      <c r="L888" s="9"/>
      <c r="M888" s="9"/>
      <c r="N888" s="9"/>
      <c r="O888" s="9"/>
      <c r="P888" s="9"/>
      <c r="Q888" s="9"/>
      <c r="R888" s="9"/>
      <c r="S888" s="436"/>
      <c r="T888" s="436"/>
      <c r="U888" s="436"/>
      <c r="V888" s="436"/>
      <c r="W888" s="9"/>
      <c r="X888" s="9"/>
      <c r="Y888" s="9"/>
      <c r="Z888" s="9"/>
      <c r="AA888" s="9"/>
      <c r="AB888" s="9"/>
    </row>
    <row r="889">
      <c r="A889" s="9"/>
      <c r="B889" s="9"/>
      <c r="C889" s="9"/>
      <c r="D889" s="9"/>
      <c r="E889" s="9"/>
      <c r="F889" s="435"/>
      <c r="G889" s="9"/>
      <c r="H889" s="9"/>
      <c r="I889" s="9"/>
      <c r="J889" s="9"/>
      <c r="K889" s="9"/>
      <c r="L889" s="9"/>
      <c r="M889" s="9"/>
      <c r="N889" s="9"/>
      <c r="O889" s="9"/>
      <c r="P889" s="9"/>
      <c r="Q889" s="9"/>
      <c r="R889" s="9"/>
      <c r="S889" s="436"/>
      <c r="T889" s="436"/>
      <c r="U889" s="436"/>
      <c r="V889" s="436"/>
      <c r="W889" s="9"/>
      <c r="X889" s="9"/>
      <c r="Y889" s="9"/>
      <c r="Z889" s="9"/>
      <c r="AA889" s="9"/>
      <c r="AB889" s="9"/>
    </row>
    <row r="890">
      <c r="A890" s="9"/>
      <c r="B890" s="9"/>
      <c r="C890" s="9"/>
      <c r="D890" s="9"/>
      <c r="E890" s="9"/>
      <c r="F890" s="435"/>
      <c r="G890" s="9"/>
      <c r="H890" s="9"/>
      <c r="I890" s="9"/>
      <c r="J890" s="9"/>
      <c r="K890" s="9"/>
      <c r="L890" s="9"/>
      <c r="M890" s="9"/>
      <c r="N890" s="9"/>
      <c r="O890" s="9"/>
      <c r="P890" s="9"/>
      <c r="Q890" s="9"/>
      <c r="R890" s="9"/>
      <c r="S890" s="436"/>
      <c r="T890" s="436"/>
      <c r="U890" s="436"/>
      <c r="V890" s="436"/>
      <c r="W890" s="9"/>
      <c r="X890" s="9"/>
      <c r="Y890" s="9"/>
      <c r="Z890" s="9"/>
      <c r="AA890" s="9"/>
      <c r="AB890" s="9"/>
    </row>
    <row r="891">
      <c r="A891" s="9"/>
      <c r="B891" s="9"/>
      <c r="C891" s="9"/>
      <c r="D891" s="9"/>
      <c r="E891" s="9"/>
      <c r="F891" s="435"/>
      <c r="G891" s="9"/>
      <c r="H891" s="9"/>
      <c r="I891" s="9"/>
      <c r="J891" s="9"/>
      <c r="K891" s="9"/>
      <c r="L891" s="9"/>
      <c r="M891" s="9"/>
      <c r="N891" s="9"/>
      <c r="O891" s="9"/>
      <c r="P891" s="9"/>
      <c r="Q891" s="9"/>
      <c r="R891" s="9"/>
      <c r="S891" s="436"/>
      <c r="T891" s="436"/>
      <c r="U891" s="436"/>
      <c r="V891" s="436"/>
      <c r="W891" s="9"/>
      <c r="X891" s="9"/>
      <c r="Y891" s="9"/>
      <c r="Z891" s="9"/>
      <c r="AA891" s="9"/>
      <c r="AB891" s="9"/>
    </row>
    <row r="892">
      <c r="A892" s="9"/>
      <c r="B892" s="9"/>
      <c r="C892" s="9"/>
      <c r="D892" s="9"/>
      <c r="E892" s="9"/>
      <c r="F892" s="435"/>
      <c r="G892" s="9"/>
      <c r="H892" s="9"/>
      <c r="I892" s="9"/>
      <c r="J892" s="9"/>
      <c r="K892" s="9"/>
      <c r="L892" s="9"/>
      <c r="M892" s="9"/>
      <c r="N892" s="9"/>
      <c r="O892" s="9"/>
      <c r="P892" s="9"/>
      <c r="Q892" s="9"/>
      <c r="R892" s="9"/>
      <c r="S892" s="436"/>
      <c r="T892" s="436"/>
      <c r="U892" s="436"/>
      <c r="V892" s="436"/>
      <c r="W892" s="9"/>
      <c r="X892" s="9"/>
      <c r="Y892" s="9"/>
      <c r="Z892" s="9"/>
      <c r="AA892" s="9"/>
      <c r="AB892" s="9"/>
    </row>
    <row r="893">
      <c r="A893" s="9"/>
      <c r="B893" s="9"/>
      <c r="C893" s="9"/>
      <c r="D893" s="9"/>
      <c r="E893" s="9"/>
      <c r="F893" s="435"/>
      <c r="G893" s="9"/>
      <c r="H893" s="9"/>
      <c r="I893" s="9"/>
      <c r="J893" s="9"/>
      <c r="K893" s="9"/>
      <c r="L893" s="9"/>
      <c r="M893" s="9"/>
      <c r="N893" s="9"/>
      <c r="O893" s="9"/>
      <c r="P893" s="9"/>
      <c r="Q893" s="9"/>
      <c r="R893" s="9"/>
      <c r="S893" s="436"/>
      <c r="T893" s="436"/>
      <c r="U893" s="436"/>
      <c r="V893" s="436"/>
      <c r="W893" s="9"/>
      <c r="X893" s="9"/>
      <c r="Y893" s="9"/>
      <c r="Z893" s="9"/>
      <c r="AA893" s="9"/>
      <c r="AB893" s="9"/>
    </row>
    <row r="894">
      <c r="A894" s="9"/>
      <c r="B894" s="9"/>
      <c r="C894" s="9"/>
      <c r="D894" s="9"/>
      <c r="E894" s="9"/>
      <c r="F894" s="435"/>
      <c r="G894" s="9"/>
      <c r="H894" s="9"/>
      <c r="I894" s="9"/>
      <c r="J894" s="9"/>
      <c r="K894" s="9"/>
      <c r="L894" s="9"/>
      <c r="M894" s="9"/>
      <c r="N894" s="9"/>
      <c r="O894" s="9"/>
      <c r="P894" s="9"/>
      <c r="Q894" s="9"/>
      <c r="R894" s="9"/>
      <c r="S894" s="436"/>
      <c r="T894" s="436"/>
      <c r="U894" s="436"/>
      <c r="V894" s="436"/>
      <c r="W894" s="9"/>
      <c r="X894" s="9"/>
      <c r="Y894" s="9"/>
      <c r="Z894" s="9"/>
      <c r="AA894" s="9"/>
      <c r="AB894" s="9"/>
    </row>
    <row r="895">
      <c r="A895" s="9"/>
      <c r="B895" s="9"/>
      <c r="C895" s="9"/>
      <c r="D895" s="9"/>
      <c r="E895" s="9"/>
      <c r="F895" s="435"/>
      <c r="G895" s="9"/>
      <c r="H895" s="9"/>
      <c r="I895" s="9"/>
      <c r="J895" s="9"/>
      <c r="K895" s="9"/>
      <c r="L895" s="9"/>
      <c r="M895" s="9"/>
      <c r="N895" s="9"/>
      <c r="O895" s="9"/>
      <c r="P895" s="9"/>
      <c r="Q895" s="9"/>
      <c r="R895" s="9"/>
      <c r="S895" s="436"/>
      <c r="T895" s="436"/>
      <c r="U895" s="436"/>
      <c r="V895" s="436"/>
      <c r="W895" s="9"/>
      <c r="X895" s="9"/>
      <c r="Y895" s="9"/>
      <c r="Z895" s="9"/>
      <c r="AA895" s="9"/>
      <c r="AB895" s="9"/>
    </row>
    <row r="896">
      <c r="A896" s="9"/>
      <c r="B896" s="9"/>
      <c r="C896" s="9"/>
      <c r="D896" s="9"/>
      <c r="E896" s="9"/>
      <c r="F896" s="435"/>
      <c r="G896" s="9"/>
      <c r="H896" s="9"/>
      <c r="I896" s="9"/>
      <c r="J896" s="9"/>
      <c r="K896" s="9"/>
      <c r="L896" s="9"/>
      <c r="M896" s="9"/>
      <c r="N896" s="9"/>
      <c r="O896" s="9"/>
      <c r="P896" s="9"/>
      <c r="Q896" s="9"/>
      <c r="R896" s="9"/>
      <c r="S896" s="436"/>
      <c r="T896" s="436"/>
      <c r="U896" s="436"/>
      <c r="V896" s="436"/>
      <c r="W896" s="9"/>
      <c r="X896" s="9"/>
      <c r="Y896" s="9"/>
      <c r="Z896" s="9"/>
      <c r="AA896" s="9"/>
      <c r="AB896" s="9"/>
    </row>
    <row r="897">
      <c r="A897" s="9"/>
      <c r="B897" s="9"/>
      <c r="C897" s="9"/>
      <c r="D897" s="9"/>
      <c r="E897" s="9"/>
      <c r="F897" s="435"/>
      <c r="G897" s="9"/>
      <c r="H897" s="9"/>
      <c r="I897" s="9"/>
      <c r="J897" s="9"/>
      <c r="K897" s="9"/>
      <c r="L897" s="9"/>
      <c r="M897" s="9"/>
      <c r="N897" s="9"/>
      <c r="O897" s="9"/>
      <c r="P897" s="9"/>
      <c r="Q897" s="9"/>
      <c r="R897" s="9"/>
      <c r="S897" s="436"/>
      <c r="T897" s="436"/>
      <c r="U897" s="436"/>
      <c r="V897" s="436"/>
      <c r="W897" s="9"/>
      <c r="X897" s="9"/>
      <c r="Y897" s="9"/>
      <c r="Z897" s="9"/>
      <c r="AA897" s="9"/>
      <c r="AB897" s="9"/>
    </row>
    <row r="898">
      <c r="A898" s="9"/>
      <c r="B898" s="9"/>
      <c r="C898" s="9"/>
      <c r="D898" s="9"/>
      <c r="E898" s="9"/>
      <c r="F898" s="435"/>
      <c r="G898" s="9"/>
      <c r="H898" s="9"/>
      <c r="I898" s="9"/>
      <c r="J898" s="9"/>
      <c r="K898" s="9"/>
      <c r="L898" s="9"/>
      <c r="M898" s="9"/>
      <c r="N898" s="9"/>
      <c r="O898" s="9"/>
      <c r="P898" s="9"/>
      <c r="Q898" s="9"/>
      <c r="R898" s="9"/>
      <c r="S898" s="436"/>
      <c r="T898" s="436"/>
      <c r="U898" s="436"/>
      <c r="V898" s="436"/>
      <c r="W898" s="9"/>
      <c r="X898" s="9"/>
      <c r="Y898" s="9"/>
      <c r="Z898" s="9"/>
      <c r="AA898" s="9"/>
      <c r="AB898" s="9"/>
    </row>
    <row r="899">
      <c r="A899" s="9"/>
      <c r="B899" s="9"/>
      <c r="C899" s="9"/>
      <c r="D899" s="9"/>
      <c r="E899" s="9"/>
      <c r="F899" s="435"/>
      <c r="G899" s="9"/>
      <c r="H899" s="9"/>
      <c r="I899" s="9"/>
      <c r="J899" s="9"/>
      <c r="K899" s="9"/>
      <c r="L899" s="9"/>
      <c r="M899" s="9"/>
      <c r="N899" s="9"/>
      <c r="O899" s="9"/>
      <c r="P899" s="9"/>
      <c r="Q899" s="9"/>
      <c r="R899" s="9"/>
      <c r="S899" s="436"/>
      <c r="T899" s="436"/>
      <c r="U899" s="436"/>
      <c r="V899" s="436"/>
      <c r="W899" s="9"/>
      <c r="X899" s="9"/>
      <c r="Y899" s="9"/>
      <c r="Z899" s="9"/>
      <c r="AA899" s="9"/>
      <c r="AB899" s="9"/>
    </row>
    <row r="900">
      <c r="A900" s="9"/>
      <c r="B900" s="9"/>
      <c r="C900" s="9"/>
      <c r="D900" s="9"/>
      <c r="E900" s="9"/>
      <c r="F900" s="435"/>
      <c r="G900" s="9"/>
      <c r="H900" s="9"/>
      <c r="I900" s="9"/>
      <c r="J900" s="9"/>
      <c r="K900" s="9"/>
      <c r="L900" s="9"/>
      <c r="M900" s="9"/>
      <c r="N900" s="9"/>
      <c r="O900" s="9"/>
      <c r="P900" s="9"/>
      <c r="Q900" s="9"/>
      <c r="R900" s="9"/>
      <c r="S900" s="436"/>
      <c r="T900" s="436"/>
      <c r="U900" s="436"/>
      <c r="V900" s="436"/>
      <c r="W900" s="9"/>
      <c r="X900" s="9"/>
      <c r="Y900" s="9"/>
      <c r="Z900" s="9"/>
      <c r="AA900" s="9"/>
      <c r="AB900" s="9"/>
    </row>
    <row r="901">
      <c r="A901" s="9"/>
      <c r="B901" s="9"/>
      <c r="C901" s="9"/>
      <c r="D901" s="9"/>
      <c r="E901" s="9"/>
      <c r="F901" s="435"/>
      <c r="G901" s="9"/>
      <c r="H901" s="9"/>
      <c r="I901" s="9"/>
      <c r="J901" s="9"/>
      <c r="K901" s="9"/>
      <c r="L901" s="9"/>
      <c r="M901" s="9"/>
      <c r="N901" s="9"/>
      <c r="O901" s="9"/>
      <c r="P901" s="9"/>
      <c r="Q901" s="9"/>
      <c r="R901" s="9"/>
      <c r="S901" s="436"/>
      <c r="T901" s="436"/>
      <c r="U901" s="436"/>
      <c r="V901" s="436"/>
      <c r="W901" s="9"/>
      <c r="X901" s="9"/>
      <c r="Y901" s="9"/>
      <c r="Z901" s="9"/>
      <c r="AA901" s="9"/>
      <c r="AB901" s="9"/>
    </row>
    <row r="902">
      <c r="A902" s="9"/>
      <c r="B902" s="9"/>
      <c r="C902" s="9"/>
      <c r="D902" s="9"/>
      <c r="E902" s="9"/>
      <c r="F902" s="435"/>
      <c r="G902" s="9"/>
      <c r="H902" s="9"/>
      <c r="I902" s="9"/>
      <c r="J902" s="9"/>
      <c r="K902" s="9"/>
      <c r="L902" s="9"/>
      <c r="M902" s="9"/>
      <c r="N902" s="9"/>
      <c r="O902" s="9"/>
      <c r="P902" s="9"/>
      <c r="Q902" s="9"/>
      <c r="R902" s="9"/>
      <c r="S902" s="436"/>
      <c r="T902" s="436"/>
      <c r="U902" s="436"/>
      <c r="V902" s="436"/>
      <c r="W902" s="9"/>
      <c r="X902" s="9"/>
      <c r="Y902" s="9"/>
      <c r="Z902" s="9"/>
      <c r="AA902" s="9"/>
      <c r="AB902" s="9"/>
    </row>
    <row r="903">
      <c r="A903" s="9"/>
      <c r="B903" s="9"/>
      <c r="C903" s="9"/>
      <c r="D903" s="9"/>
      <c r="E903" s="9"/>
      <c r="F903" s="435"/>
      <c r="G903" s="9"/>
      <c r="H903" s="9"/>
      <c r="I903" s="9"/>
      <c r="J903" s="9"/>
      <c r="K903" s="9"/>
      <c r="L903" s="9"/>
      <c r="M903" s="9"/>
      <c r="N903" s="9"/>
      <c r="O903" s="9"/>
      <c r="P903" s="9"/>
      <c r="Q903" s="9"/>
      <c r="R903" s="9"/>
      <c r="S903" s="436"/>
      <c r="T903" s="436"/>
      <c r="U903" s="436"/>
      <c r="V903" s="436"/>
      <c r="W903" s="9"/>
      <c r="X903" s="9"/>
      <c r="Y903" s="9"/>
      <c r="Z903" s="9"/>
      <c r="AA903" s="9"/>
      <c r="AB903" s="9"/>
    </row>
    <row r="904">
      <c r="A904" s="9"/>
      <c r="B904" s="9"/>
      <c r="C904" s="9"/>
      <c r="D904" s="9"/>
      <c r="E904" s="9"/>
      <c r="F904" s="435"/>
      <c r="G904" s="9"/>
      <c r="H904" s="9"/>
      <c r="I904" s="9"/>
      <c r="J904" s="9"/>
      <c r="K904" s="9"/>
      <c r="L904" s="9"/>
      <c r="M904" s="9"/>
      <c r="N904" s="9"/>
      <c r="O904" s="9"/>
      <c r="P904" s="9"/>
      <c r="Q904" s="9"/>
      <c r="R904" s="9"/>
      <c r="S904" s="436"/>
      <c r="T904" s="436"/>
      <c r="U904" s="436"/>
      <c r="V904" s="436"/>
      <c r="W904" s="9"/>
      <c r="X904" s="9"/>
      <c r="Y904" s="9"/>
      <c r="Z904" s="9"/>
      <c r="AA904" s="9"/>
      <c r="AB904" s="9"/>
    </row>
    <row r="905">
      <c r="A905" s="9"/>
      <c r="B905" s="9"/>
      <c r="C905" s="9"/>
      <c r="D905" s="9"/>
      <c r="E905" s="9"/>
      <c r="F905" s="435"/>
      <c r="G905" s="9"/>
      <c r="H905" s="9"/>
      <c r="I905" s="9"/>
      <c r="J905" s="9"/>
      <c r="K905" s="9"/>
      <c r="L905" s="9"/>
      <c r="M905" s="9"/>
      <c r="N905" s="9"/>
      <c r="O905" s="9"/>
      <c r="P905" s="9"/>
      <c r="Q905" s="9"/>
      <c r="R905" s="9"/>
      <c r="S905" s="436"/>
      <c r="T905" s="436"/>
      <c r="U905" s="436"/>
      <c r="V905" s="436"/>
      <c r="W905" s="9"/>
      <c r="X905" s="9"/>
      <c r="Y905" s="9"/>
      <c r="Z905" s="9"/>
      <c r="AA905" s="9"/>
      <c r="AB905" s="9"/>
    </row>
    <row r="906">
      <c r="A906" s="9"/>
      <c r="B906" s="9"/>
      <c r="C906" s="9"/>
      <c r="D906" s="9"/>
      <c r="E906" s="9"/>
      <c r="F906" s="435"/>
      <c r="G906" s="9"/>
      <c r="H906" s="9"/>
      <c r="I906" s="9"/>
      <c r="J906" s="9"/>
      <c r="K906" s="9"/>
      <c r="L906" s="9"/>
      <c r="M906" s="9"/>
      <c r="N906" s="9"/>
      <c r="O906" s="9"/>
      <c r="P906" s="9"/>
      <c r="Q906" s="9"/>
      <c r="R906" s="9"/>
      <c r="S906" s="436"/>
      <c r="T906" s="436"/>
      <c r="U906" s="436"/>
      <c r="V906" s="436"/>
      <c r="W906" s="9"/>
      <c r="X906" s="9"/>
      <c r="Y906" s="9"/>
      <c r="Z906" s="9"/>
      <c r="AA906" s="9"/>
      <c r="AB906" s="9"/>
    </row>
    <row r="907">
      <c r="A907" s="9"/>
      <c r="B907" s="9"/>
      <c r="C907" s="9"/>
      <c r="D907" s="9"/>
      <c r="E907" s="9"/>
      <c r="F907" s="435"/>
      <c r="G907" s="9"/>
      <c r="H907" s="9"/>
      <c r="I907" s="9"/>
      <c r="J907" s="9"/>
      <c r="K907" s="9"/>
      <c r="L907" s="9"/>
      <c r="M907" s="9"/>
      <c r="N907" s="9"/>
      <c r="O907" s="9"/>
      <c r="P907" s="9"/>
      <c r="Q907" s="9"/>
      <c r="R907" s="9"/>
      <c r="S907" s="436"/>
      <c r="T907" s="436"/>
      <c r="U907" s="436"/>
      <c r="V907" s="436"/>
      <c r="W907" s="9"/>
      <c r="X907" s="9"/>
      <c r="Y907" s="9"/>
      <c r="Z907" s="9"/>
      <c r="AA907" s="9"/>
      <c r="AB907" s="9"/>
    </row>
    <row r="908">
      <c r="A908" s="9"/>
      <c r="B908" s="9"/>
      <c r="C908" s="9"/>
      <c r="D908" s="9"/>
      <c r="E908" s="9"/>
      <c r="F908" s="435"/>
      <c r="G908" s="9"/>
      <c r="H908" s="9"/>
      <c r="I908" s="9"/>
      <c r="J908" s="9"/>
      <c r="K908" s="9"/>
      <c r="L908" s="9"/>
      <c r="M908" s="9"/>
      <c r="N908" s="9"/>
      <c r="O908" s="9"/>
      <c r="P908" s="9"/>
      <c r="Q908" s="9"/>
      <c r="R908" s="9"/>
      <c r="S908" s="436"/>
      <c r="T908" s="436"/>
      <c r="U908" s="436"/>
      <c r="V908" s="436"/>
      <c r="W908" s="9"/>
      <c r="X908" s="9"/>
      <c r="Y908" s="9"/>
      <c r="Z908" s="9"/>
      <c r="AA908" s="9"/>
      <c r="AB908" s="9"/>
    </row>
    <row r="909">
      <c r="A909" s="9"/>
      <c r="B909" s="9"/>
      <c r="C909" s="9"/>
      <c r="D909" s="9"/>
      <c r="E909" s="9"/>
      <c r="F909" s="435"/>
      <c r="G909" s="9"/>
      <c r="H909" s="9"/>
      <c r="I909" s="9"/>
      <c r="J909" s="9"/>
      <c r="K909" s="9"/>
      <c r="L909" s="9"/>
      <c r="M909" s="9"/>
      <c r="N909" s="9"/>
      <c r="O909" s="9"/>
      <c r="P909" s="9"/>
      <c r="Q909" s="9"/>
      <c r="R909" s="9"/>
      <c r="S909" s="436"/>
      <c r="T909" s="436"/>
      <c r="U909" s="436"/>
      <c r="V909" s="436"/>
      <c r="W909" s="9"/>
      <c r="X909" s="9"/>
      <c r="Y909" s="9"/>
      <c r="Z909" s="9"/>
      <c r="AA909" s="9"/>
      <c r="AB909" s="9"/>
    </row>
    <row r="910">
      <c r="A910" s="9"/>
      <c r="B910" s="9"/>
      <c r="C910" s="9"/>
      <c r="D910" s="9"/>
      <c r="E910" s="9"/>
      <c r="F910" s="435"/>
      <c r="G910" s="9"/>
      <c r="H910" s="9"/>
      <c r="I910" s="9"/>
      <c r="J910" s="9"/>
      <c r="K910" s="9"/>
      <c r="L910" s="9"/>
      <c r="M910" s="9"/>
      <c r="N910" s="9"/>
      <c r="O910" s="9"/>
      <c r="P910" s="9"/>
      <c r="Q910" s="9"/>
      <c r="R910" s="9"/>
      <c r="S910" s="436"/>
      <c r="T910" s="436"/>
      <c r="U910" s="436"/>
      <c r="V910" s="436"/>
      <c r="W910" s="9"/>
      <c r="X910" s="9"/>
      <c r="Y910" s="9"/>
      <c r="Z910" s="9"/>
      <c r="AA910" s="9"/>
      <c r="AB910" s="9"/>
    </row>
    <row r="911">
      <c r="A911" s="9"/>
      <c r="B911" s="9"/>
      <c r="C911" s="9"/>
      <c r="D911" s="9"/>
      <c r="E911" s="9"/>
      <c r="F911" s="435"/>
      <c r="G911" s="9"/>
      <c r="H911" s="9"/>
      <c r="I911" s="9"/>
      <c r="J911" s="9"/>
      <c r="K911" s="9"/>
      <c r="L911" s="9"/>
      <c r="M911" s="9"/>
      <c r="N911" s="9"/>
      <c r="O911" s="9"/>
      <c r="P911" s="9"/>
      <c r="Q911" s="9"/>
      <c r="R911" s="9"/>
      <c r="S911" s="436"/>
      <c r="T911" s="436"/>
      <c r="U911" s="436"/>
      <c r="V911" s="436"/>
      <c r="W911" s="9"/>
      <c r="X911" s="9"/>
      <c r="Y911" s="9"/>
      <c r="Z911" s="9"/>
      <c r="AA911" s="9"/>
      <c r="AB911" s="9"/>
    </row>
    <row r="912">
      <c r="A912" s="9"/>
      <c r="B912" s="9"/>
      <c r="C912" s="9"/>
      <c r="D912" s="9"/>
      <c r="E912" s="9"/>
      <c r="F912" s="435"/>
      <c r="G912" s="9"/>
      <c r="H912" s="9"/>
      <c r="I912" s="9"/>
      <c r="J912" s="9"/>
      <c r="K912" s="9"/>
      <c r="L912" s="9"/>
      <c r="M912" s="9"/>
      <c r="N912" s="9"/>
      <c r="O912" s="9"/>
      <c r="P912" s="9"/>
      <c r="Q912" s="9"/>
      <c r="R912" s="9"/>
      <c r="S912" s="436"/>
      <c r="T912" s="436"/>
      <c r="U912" s="436"/>
      <c r="V912" s="436"/>
      <c r="W912" s="9"/>
      <c r="X912" s="9"/>
      <c r="Y912" s="9"/>
      <c r="Z912" s="9"/>
      <c r="AA912" s="9"/>
      <c r="AB912" s="9"/>
    </row>
    <row r="913">
      <c r="A913" s="9"/>
      <c r="B913" s="9"/>
      <c r="C913" s="9"/>
      <c r="D913" s="9"/>
      <c r="E913" s="9"/>
      <c r="F913" s="435"/>
      <c r="G913" s="9"/>
      <c r="H913" s="9"/>
      <c r="I913" s="9"/>
      <c r="J913" s="9"/>
      <c r="K913" s="9"/>
      <c r="L913" s="9"/>
      <c r="M913" s="9"/>
      <c r="N913" s="9"/>
      <c r="O913" s="9"/>
      <c r="P913" s="9"/>
      <c r="Q913" s="9"/>
      <c r="R913" s="9"/>
      <c r="S913" s="436"/>
      <c r="T913" s="436"/>
      <c r="U913" s="436"/>
      <c r="V913" s="436"/>
      <c r="W913" s="9"/>
      <c r="X913" s="9"/>
      <c r="Y913" s="9"/>
      <c r="Z913" s="9"/>
      <c r="AA913" s="9"/>
      <c r="AB913" s="9"/>
    </row>
    <row r="914">
      <c r="A914" s="9"/>
      <c r="B914" s="9"/>
      <c r="C914" s="9"/>
      <c r="D914" s="9"/>
      <c r="E914" s="9"/>
      <c r="F914" s="435"/>
      <c r="G914" s="9"/>
      <c r="H914" s="9"/>
      <c r="I914" s="9"/>
      <c r="J914" s="9"/>
      <c r="K914" s="9"/>
      <c r="L914" s="9"/>
      <c r="M914" s="9"/>
      <c r="N914" s="9"/>
      <c r="O914" s="9"/>
      <c r="P914" s="9"/>
      <c r="Q914" s="9"/>
      <c r="R914" s="9"/>
      <c r="S914" s="436"/>
      <c r="T914" s="436"/>
      <c r="U914" s="436"/>
      <c r="V914" s="436"/>
      <c r="W914" s="9"/>
      <c r="X914" s="9"/>
      <c r="Y914" s="9"/>
      <c r="Z914" s="9"/>
      <c r="AA914" s="9"/>
      <c r="AB914" s="9"/>
    </row>
    <row r="915">
      <c r="A915" s="9"/>
      <c r="B915" s="9"/>
      <c r="C915" s="9"/>
      <c r="D915" s="9"/>
      <c r="E915" s="9"/>
      <c r="F915" s="435"/>
      <c r="G915" s="9"/>
      <c r="H915" s="9"/>
      <c r="I915" s="9"/>
      <c r="J915" s="9"/>
      <c r="K915" s="9"/>
      <c r="L915" s="9"/>
      <c r="M915" s="9"/>
      <c r="N915" s="9"/>
      <c r="O915" s="9"/>
      <c r="P915" s="9"/>
      <c r="Q915" s="9"/>
      <c r="R915" s="9"/>
      <c r="S915" s="436"/>
      <c r="T915" s="436"/>
      <c r="U915" s="436"/>
      <c r="V915" s="436"/>
      <c r="W915" s="9"/>
      <c r="X915" s="9"/>
      <c r="Y915" s="9"/>
      <c r="Z915" s="9"/>
      <c r="AA915" s="9"/>
      <c r="AB915" s="9"/>
    </row>
    <row r="916">
      <c r="A916" s="9"/>
      <c r="B916" s="9"/>
      <c r="C916" s="9"/>
      <c r="D916" s="9"/>
      <c r="E916" s="9"/>
      <c r="F916" s="435"/>
      <c r="G916" s="9"/>
      <c r="H916" s="9"/>
      <c r="I916" s="9"/>
      <c r="J916" s="9"/>
      <c r="K916" s="9"/>
      <c r="L916" s="9"/>
      <c r="M916" s="9"/>
      <c r="N916" s="9"/>
      <c r="O916" s="9"/>
      <c r="P916" s="9"/>
      <c r="Q916" s="9"/>
      <c r="R916" s="9"/>
      <c r="S916" s="436"/>
      <c r="T916" s="436"/>
      <c r="U916" s="436"/>
      <c r="V916" s="436"/>
      <c r="W916" s="9"/>
      <c r="X916" s="9"/>
      <c r="Y916" s="9"/>
      <c r="Z916" s="9"/>
      <c r="AA916" s="9"/>
      <c r="AB916" s="9"/>
    </row>
    <row r="917">
      <c r="A917" s="9"/>
      <c r="B917" s="9"/>
      <c r="C917" s="9"/>
      <c r="D917" s="9"/>
      <c r="E917" s="9"/>
      <c r="F917" s="435"/>
      <c r="G917" s="9"/>
      <c r="H917" s="9"/>
      <c r="I917" s="9"/>
      <c r="J917" s="9"/>
      <c r="K917" s="9"/>
      <c r="L917" s="9"/>
      <c r="M917" s="9"/>
      <c r="N917" s="9"/>
      <c r="O917" s="9"/>
      <c r="P917" s="9"/>
      <c r="Q917" s="9"/>
      <c r="R917" s="9"/>
      <c r="S917" s="436"/>
      <c r="T917" s="436"/>
      <c r="U917" s="436"/>
      <c r="V917" s="436"/>
      <c r="W917" s="9"/>
      <c r="X917" s="9"/>
      <c r="Y917" s="9"/>
      <c r="Z917" s="9"/>
      <c r="AA917" s="9"/>
      <c r="AB917" s="9"/>
    </row>
    <row r="918">
      <c r="A918" s="9"/>
      <c r="B918" s="9"/>
      <c r="C918" s="9"/>
      <c r="D918" s="9"/>
      <c r="E918" s="9"/>
      <c r="F918" s="435"/>
      <c r="G918" s="9"/>
      <c r="H918" s="9"/>
      <c r="I918" s="9"/>
      <c r="J918" s="9"/>
      <c r="K918" s="9"/>
      <c r="L918" s="9"/>
      <c r="M918" s="9"/>
      <c r="N918" s="9"/>
      <c r="O918" s="9"/>
      <c r="P918" s="9"/>
      <c r="Q918" s="9"/>
      <c r="R918" s="9"/>
      <c r="S918" s="436"/>
      <c r="T918" s="436"/>
      <c r="U918" s="436"/>
      <c r="V918" s="436"/>
      <c r="W918" s="9"/>
      <c r="X918" s="9"/>
      <c r="Y918" s="9"/>
      <c r="Z918" s="9"/>
      <c r="AA918" s="9"/>
      <c r="AB918" s="9"/>
    </row>
    <row r="919">
      <c r="A919" s="9"/>
      <c r="B919" s="9"/>
      <c r="C919" s="9"/>
      <c r="D919" s="9"/>
      <c r="E919" s="9"/>
      <c r="F919" s="435"/>
      <c r="G919" s="9"/>
      <c r="H919" s="9"/>
      <c r="I919" s="9"/>
      <c r="J919" s="9"/>
      <c r="K919" s="9"/>
      <c r="L919" s="9"/>
      <c r="M919" s="9"/>
      <c r="N919" s="9"/>
      <c r="O919" s="9"/>
      <c r="P919" s="9"/>
      <c r="Q919" s="9"/>
      <c r="R919" s="9"/>
      <c r="S919" s="436"/>
      <c r="T919" s="436"/>
      <c r="U919" s="436"/>
      <c r="V919" s="436"/>
      <c r="W919" s="9"/>
      <c r="X919" s="9"/>
      <c r="Y919" s="9"/>
      <c r="Z919" s="9"/>
      <c r="AA919" s="9"/>
      <c r="AB919" s="9"/>
    </row>
    <row r="920">
      <c r="A920" s="9"/>
      <c r="B920" s="9"/>
      <c r="C920" s="9"/>
      <c r="D920" s="9"/>
      <c r="E920" s="9"/>
      <c r="F920" s="435"/>
      <c r="G920" s="9"/>
      <c r="H920" s="9"/>
      <c r="I920" s="9"/>
      <c r="J920" s="9"/>
      <c r="K920" s="9"/>
      <c r="L920" s="9"/>
      <c r="M920" s="9"/>
      <c r="N920" s="9"/>
      <c r="O920" s="9"/>
      <c r="P920" s="9"/>
      <c r="Q920" s="9"/>
      <c r="R920" s="9"/>
      <c r="S920" s="436"/>
      <c r="T920" s="436"/>
      <c r="U920" s="436"/>
      <c r="V920" s="436"/>
      <c r="W920" s="9"/>
      <c r="X920" s="9"/>
      <c r="Y920" s="9"/>
      <c r="Z920" s="9"/>
      <c r="AA920" s="9"/>
      <c r="AB920" s="9"/>
    </row>
    <row r="921">
      <c r="A921" s="9"/>
      <c r="B921" s="9"/>
      <c r="C921" s="9"/>
      <c r="D921" s="9"/>
      <c r="E921" s="9"/>
      <c r="F921" s="435"/>
      <c r="G921" s="9"/>
      <c r="H921" s="9"/>
      <c r="I921" s="9"/>
      <c r="J921" s="9"/>
      <c r="K921" s="9"/>
      <c r="L921" s="9"/>
      <c r="M921" s="9"/>
      <c r="N921" s="9"/>
      <c r="O921" s="9"/>
      <c r="P921" s="9"/>
      <c r="Q921" s="9"/>
      <c r="R921" s="9"/>
      <c r="S921" s="436"/>
      <c r="T921" s="436"/>
      <c r="U921" s="436"/>
      <c r="V921" s="436"/>
      <c r="W921" s="9"/>
      <c r="X921" s="9"/>
      <c r="Y921" s="9"/>
      <c r="Z921" s="9"/>
      <c r="AA921" s="9"/>
      <c r="AB921" s="9"/>
    </row>
    <row r="922">
      <c r="A922" s="9"/>
      <c r="B922" s="9"/>
      <c r="C922" s="9"/>
      <c r="D922" s="9"/>
      <c r="E922" s="9"/>
      <c r="F922" s="435"/>
      <c r="G922" s="9"/>
      <c r="H922" s="9"/>
      <c r="I922" s="9"/>
      <c r="J922" s="9"/>
      <c r="K922" s="9"/>
      <c r="L922" s="9"/>
      <c r="M922" s="9"/>
      <c r="N922" s="9"/>
      <c r="O922" s="9"/>
      <c r="P922" s="9"/>
      <c r="Q922" s="9"/>
      <c r="R922" s="9"/>
      <c r="S922" s="436"/>
      <c r="T922" s="436"/>
      <c r="U922" s="436"/>
      <c r="V922" s="436"/>
      <c r="W922" s="9"/>
      <c r="X922" s="9"/>
      <c r="Y922" s="9"/>
      <c r="Z922" s="9"/>
      <c r="AA922" s="9"/>
      <c r="AB922" s="9"/>
    </row>
    <row r="923">
      <c r="A923" s="9"/>
      <c r="B923" s="9"/>
      <c r="C923" s="9"/>
      <c r="D923" s="9"/>
      <c r="E923" s="9"/>
      <c r="F923" s="435"/>
      <c r="G923" s="9"/>
      <c r="H923" s="9"/>
      <c r="I923" s="9"/>
      <c r="J923" s="9"/>
      <c r="K923" s="9"/>
      <c r="L923" s="9"/>
      <c r="M923" s="9"/>
      <c r="N923" s="9"/>
      <c r="O923" s="9"/>
      <c r="P923" s="9"/>
      <c r="Q923" s="9"/>
      <c r="R923" s="9"/>
      <c r="S923" s="436"/>
      <c r="T923" s="436"/>
      <c r="U923" s="436"/>
      <c r="V923" s="436"/>
      <c r="W923" s="9"/>
      <c r="X923" s="9"/>
      <c r="Y923" s="9"/>
      <c r="Z923" s="9"/>
      <c r="AA923" s="9"/>
      <c r="AB923" s="9"/>
    </row>
    <row r="924">
      <c r="A924" s="9"/>
      <c r="B924" s="9"/>
      <c r="C924" s="9"/>
      <c r="D924" s="9"/>
      <c r="E924" s="9"/>
      <c r="F924" s="435"/>
      <c r="G924" s="9"/>
      <c r="H924" s="9"/>
      <c r="I924" s="9"/>
      <c r="J924" s="9"/>
      <c r="K924" s="9"/>
      <c r="L924" s="9"/>
      <c r="M924" s="9"/>
      <c r="N924" s="9"/>
      <c r="O924" s="9"/>
      <c r="P924" s="9"/>
      <c r="Q924" s="9"/>
      <c r="R924" s="9"/>
      <c r="S924" s="436"/>
      <c r="T924" s="436"/>
      <c r="U924" s="436"/>
      <c r="V924" s="436"/>
      <c r="W924" s="9"/>
      <c r="X924" s="9"/>
      <c r="Y924" s="9"/>
      <c r="Z924" s="9"/>
      <c r="AA924" s="9"/>
      <c r="AB924" s="9"/>
    </row>
    <row r="925">
      <c r="A925" s="9"/>
      <c r="B925" s="9"/>
      <c r="C925" s="9"/>
      <c r="D925" s="9"/>
      <c r="E925" s="9"/>
      <c r="F925" s="435"/>
      <c r="G925" s="9"/>
      <c r="H925" s="9"/>
      <c r="I925" s="9"/>
      <c r="J925" s="9"/>
      <c r="K925" s="9"/>
      <c r="L925" s="9"/>
      <c r="M925" s="9"/>
      <c r="N925" s="9"/>
      <c r="O925" s="9"/>
      <c r="P925" s="9"/>
      <c r="Q925" s="9"/>
      <c r="R925" s="9"/>
      <c r="S925" s="436"/>
      <c r="T925" s="436"/>
      <c r="U925" s="436"/>
      <c r="V925" s="436"/>
      <c r="W925" s="9"/>
      <c r="X925" s="9"/>
      <c r="Y925" s="9"/>
      <c r="Z925" s="9"/>
      <c r="AA925" s="9"/>
      <c r="AB925" s="9"/>
    </row>
    <row r="926">
      <c r="A926" s="9"/>
      <c r="B926" s="9"/>
      <c r="C926" s="9"/>
      <c r="D926" s="9"/>
      <c r="E926" s="9"/>
      <c r="F926" s="435"/>
      <c r="G926" s="9"/>
      <c r="H926" s="9"/>
      <c r="I926" s="9"/>
      <c r="J926" s="9"/>
      <c r="K926" s="9"/>
      <c r="L926" s="9"/>
      <c r="M926" s="9"/>
      <c r="N926" s="9"/>
      <c r="O926" s="9"/>
      <c r="P926" s="9"/>
      <c r="Q926" s="9"/>
      <c r="R926" s="9"/>
      <c r="S926" s="436"/>
      <c r="T926" s="436"/>
      <c r="U926" s="436"/>
      <c r="V926" s="436"/>
      <c r="W926" s="9"/>
      <c r="X926" s="9"/>
      <c r="Y926" s="9"/>
      <c r="Z926" s="9"/>
      <c r="AA926" s="9"/>
      <c r="AB926" s="9"/>
    </row>
    <row r="927">
      <c r="A927" s="9"/>
      <c r="B927" s="9"/>
      <c r="C927" s="9"/>
      <c r="D927" s="9"/>
      <c r="E927" s="9"/>
      <c r="F927" s="435"/>
      <c r="G927" s="9"/>
      <c r="H927" s="9"/>
      <c r="I927" s="9"/>
      <c r="J927" s="9"/>
      <c r="K927" s="9"/>
      <c r="L927" s="9"/>
      <c r="M927" s="9"/>
      <c r="N927" s="9"/>
      <c r="O927" s="9"/>
      <c r="P927" s="9"/>
      <c r="Q927" s="9"/>
      <c r="R927" s="9"/>
      <c r="S927" s="436"/>
      <c r="T927" s="436"/>
      <c r="U927" s="436"/>
      <c r="V927" s="436"/>
      <c r="W927" s="9"/>
      <c r="X927" s="9"/>
      <c r="Y927" s="9"/>
      <c r="Z927" s="9"/>
      <c r="AA927" s="9"/>
      <c r="AB927" s="9"/>
    </row>
    <row r="928">
      <c r="A928" s="9"/>
      <c r="B928" s="9"/>
      <c r="C928" s="9"/>
      <c r="D928" s="9"/>
      <c r="E928" s="9"/>
      <c r="F928" s="435"/>
      <c r="G928" s="9"/>
      <c r="H928" s="9"/>
      <c r="I928" s="9"/>
      <c r="J928" s="9"/>
      <c r="K928" s="9"/>
      <c r="L928" s="9"/>
      <c r="M928" s="9"/>
      <c r="N928" s="9"/>
      <c r="O928" s="9"/>
      <c r="P928" s="9"/>
      <c r="Q928" s="9"/>
      <c r="R928" s="9"/>
      <c r="S928" s="436"/>
      <c r="T928" s="436"/>
      <c r="U928" s="436"/>
      <c r="V928" s="436"/>
      <c r="W928" s="9"/>
      <c r="X928" s="9"/>
      <c r="Y928" s="9"/>
      <c r="Z928" s="9"/>
      <c r="AA928" s="9"/>
      <c r="AB928" s="9"/>
    </row>
    <row r="929">
      <c r="A929" s="9"/>
      <c r="B929" s="9"/>
      <c r="C929" s="9"/>
      <c r="D929" s="9"/>
      <c r="E929" s="9"/>
      <c r="F929" s="435"/>
      <c r="G929" s="9"/>
      <c r="H929" s="9"/>
      <c r="I929" s="9"/>
      <c r="J929" s="9"/>
      <c r="K929" s="9"/>
      <c r="L929" s="9"/>
      <c r="M929" s="9"/>
      <c r="N929" s="9"/>
      <c r="O929" s="9"/>
      <c r="P929" s="9"/>
      <c r="Q929" s="9"/>
      <c r="R929" s="9"/>
      <c r="S929" s="436"/>
      <c r="T929" s="436"/>
      <c r="U929" s="436"/>
      <c r="V929" s="436"/>
      <c r="W929" s="9"/>
      <c r="X929" s="9"/>
      <c r="Y929" s="9"/>
      <c r="Z929" s="9"/>
      <c r="AA929" s="9"/>
      <c r="AB929" s="9"/>
    </row>
    <row r="930">
      <c r="A930" s="9"/>
      <c r="B930" s="9"/>
      <c r="C930" s="9"/>
      <c r="D930" s="9"/>
      <c r="E930" s="9"/>
      <c r="F930" s="435"/>
      <c r="G930" s="9"/>
      <c r="H930" s="9"/>
      <c r="I930" s="9"/>
      <c r="J930" s="9"/>
      <c r="K930" s="9"/>
      <c r="L930" s="9"/>
      <c r="M930" s="9"/>
      <c r="N930" s="9"/>
      <c r="O930" s="9"/>
      <c r="P930" s="9"/>
      <c r="Q930" s="9"/>
      <c r="R930" s="9"/>
      <c r="S930" s="436"/>
      <c r="T930" s="436"/>
      <c r="U930" s="436"/>
      <c r="V930" s="436"/>
      <c r="W930" s="9"/>
      <c r="X930" s="9"/>
      <c r="Y930" s="9"/>
      <c r="Z930" s="9"/>
      <c r="AA930" s="9"/>
      <c r="AB930" s="9"/>
    </row>
    <row r="931">
      <c r="A931" s="9"/>
      <c r="B931" s="9"/>
      <c r="C931" s="9"/>
      <c r="D931" s="9"/>
      <c r="E931" s="9"/>
      <c r="F931" s="435"/>
      <c r="G931" s="9"/>
      <c r="H931" s="9"/>
      <c r="I931" s="9"/>
      <c r="J931" s="9"/>
      <c r="K931" s="9"/>
      <c r="L931" s="9"/>
      <c r="M931" s="9"/>
      <c r="N931" s="9"/>
      <c r="O931" s="9"/>
      <c r="P931" s="9"/>
      <c r="Q931" s="9"/>
      <c r="R931" s="9"/>
      <c r="S931" s="436"/>
      <c r="T931" s="436"/>
      <c r="U931" s="436"/>
      <c r="V931" s="436"/>
      <c r="W931" s="9"/>
      <c r="X931" s="9"/>
      <c r="Y931" s="9"/>
      <c r="Z931" s="9"/>
      <c r="AA931" s="9"/>
      <c r="AB931" s="9"/>
    </row>
    <row r="932">
      <c r="A932" s="9"/>
      <c r="B932" s="9"/>
      <c r="C932" s="9"/>
      <c r="D932" s="9"/>
      <c r="E932" s="9"/>
      <c r="F932" s="435"/>
      <c r="G932" s="9"/>
      <c r="H932" s="9"/>
      <c r="I932" s="9"/>
      <c r="J932" s="9"/>
      <c r="K932" s="9"/>
      <c r="L932" s="9"/>
      <c r="M932" s="9"/>
      <c r="N932" s="9"/>
      <c r="O932" s="9"/>
      <c r="P932" s="9"/>
      <c r="Q932" s="9"/>
      <c r="R932" s="9"/>
      <c r="S932" s="436"/>
      <c r="T932" s="436"/>
      <c r="U932" s="436"/>
      <c r="V932" s="436"/>
      <c r="W932" s="9"/>
      <c r="X932" s="9"/>
      <c r="Y932" s="9"/>
      <c r="Z932" s="9"/>
      <c r="AA932" s="9"/>
      <c r="AB932" s="9"/>
    </row>
    <row r="933">
      <c r="A933" s="9"/>
      <c r="B933" s="9"/>
      <c r="C933" s="9"/>
      <c r="D933" s="9"/>
      <c r="E933" s="9"/>
      <c r="F933" s="435"/>
      <c r="G933" s="9"/>
      <c r="H933" s="9"/>
      <c r="I933" s="9"/>
      <c r="J933" s="9"/>
      <c r="K933" s="9"/>
      <c r="L933" s="9"/>
      <c r="M933" s="9"/>
      <c r="N933" s="9"/>
      <c r="O933" s="9"/>
      <c r="P933" s="9"/>
      <c r="Q933" s="9"/>
      <c r="R933" s="9"/>
      <c r="S933" s="436"/>
      <c r="T933" s="436"/>
      <c r="U933" s="436"/>
      <c r="V933" s="436"/>
      <c r="W933" s="9"/>
      <c r="X933" s="9"/>
      <c r="Y933" s="9"/>
      <c r="Z933" s="9"/>
      <c r="AA933" s="9"/>
      <c r="AB933" s="9"/>
    </row>
    <row r="934">
      <c r="A934" s="9"/>
      <c r="B934" s="9"/>
      <c r="C934" s="9"/>
      <c r="D934" s="9"/>
      <c r="E934" s="9"/>
      <c r="F934" s="435"/>
      <c r="G934" s="9"/>
      <c r="H934" s="9"/>
      <c r="I934" s="9"/>
      <c r="J934" s="9"/>
      <c r="K934" s="9"/>
      <c r="L934" s="9"/>
      <c r="M934" s="9"/>
      <c r="N934" s="9"/>
      <c r="O934" s="9"/>
      <c r="P934" s="9"/>
      <c r="Q934" s="9"/>
      <c r="R934" s="9"/>
      <c r="S934" s="436"/>
      <c r="T934" s="436"/>
      <c r="U934" s="436"/>
      <c r="V934" s="436"/>
      <c r="W934" s="9"/>
      <c r="X934" s="9"/>
      <c r="Y934" s="9"/>
      <c r="Z934" s="9"/>
      <c r="AA934" s="9"/>
      <c r="AB934" s="9"/>
    </row>
    <row r="935">
      <c r="A935" s="9"/>
      <c r="B935" s="9"/>
      <c r="C935" s="9"/>
      <c r="D935" s="9"/>
      <c r="E935" s="9"/>
      <c r="F935" s="435"/>
      <c r="G935" s="9"/>
      <c r="H935" s="9"/>
      <c r="I935" s="9"/>
      <c r="J935" s="9"/>
      <c r="K935" s="9"/>
      <c r="L935" s="9"/>
      <c r="M935" s="9"/>
      <c r="N935" s="9"/>
      <c r="O935" s="9"/>
      <c r="P935" s="9"/>
      <c r="Q935" s="9"/>
      <c r="R935" s="9"/>
      <c r="S935" s="436"/>
      <c r="T935" s="436"/>
      <c r="U935" s="436"/>
      <c r="V935" s="436"/>
      <c r="W935" s="9"/>
      <c r="X935" s="9"/>
      <c r="Y935" s="9"/>
      <c r="Z935" s="9"/>
      <c r="AA935" s="9"/>
      <c r="AB935" s="9"/>
    </row>
    <row r="936">
      <c r="A936" s="9"/>
      <c r="B936" s="9"/>
      <c r="C936" s="9"/>
      <c r="D936" s="9"/>
      <c r="E936" s="9"/>
      <c r="F936" s="435"/>
      <c r="G936" s="9"/>
      <c r="H936" s="9"/>
      <c r="I936" s="9"/>
      <c r="J936" s="9"/>
      <c r="K936" s="9"/>
      <c r="L936" s="9"/>
      <c r="M936" s="9"/>
      <c r="N936" s="9"/>
      <c r="O936" s="9"/>
      <c r="P936" s="9"/>
      <c r="Q936" s="9"/>
      <c r="R936" s="9"/>
      <c r="S936" s="436"/>
      <c r="T936" s="436"/>
      <c r="U936" s="436"/>
      <c r="V936" s="436"/>
      <c r="W936" s="9"/>
      <c r="X936" s="9"/>
      <c r="Y936" s="9"/>
      <c r="Z936" s="9"/>
      <c r="AA936" s="9"/>
      <c r="AB936" s="9"/>
    </row>
    <row r="937">
      <c r="A937" s="9"/>
      <c r="B937" s="9"/>
      <c r="C937" s="9"/>
      <c r="D937" s="9"/>
      <c r="E937" s="9"/>
      <c r="F937" s="435"/>
      <c r="G937" s="9"/>
      <c r="H937" s="9"/>
      <c r="I937" s="9"/>
      <c r="J937" s="9"/>
      <c r="K937" s="9"/>
      <c r="L937" s="9"/>
      <c r="M937" s="9"/>
      <c r="N937" s="9"/>
      <c r="O937" s="9"/>
      <c r="P937" s="9"/>
      <c r="Q937" s="9"/>
      <c r="R937" s="9"/>
      <c r="S937" s="436"/>
      <c r="T937" s="436"/>
      <c r="U937" s="436"/>
      <c r="V937" s="436"/>
      <c r="W937" s="9"/>
      <c r="X937" s="9"/>
      <c r="Y937" s="9"/>
      <c r="Z937" s="9"/>
      <c r="AA937" s="9"/>
      <c r="AB937" s="9"/>
    </row>
    <row r="938">
      <c r="A938" s="9"/>
      <c r="B938" s="9"/>
      <c r="C938" s="9"/>
      <c r="D938" s="9"/>
      <c r="E938" s="9"/>
      <c r="F938" s="435"/>
      <c r="G938" s="9"/>
      <c r="H938" s="9"/>
      <c r="I938" s="9"/>
      <c r="J938" s="9"/>
      <c r="K938" s="9"/>
      <c r="L938" s="9"/>
      <c r="M938" s="9"/>
      <c r="N938" s="9"/>
      <c r="O938" s="9"/>
      <c r="P938" s="9"/>
      <c r="Q938" s="9"/>
      <c r="R938" s="9"/>
      <c r="S938" s="436"/>
      <c r="T938" s="436"/>
      <c r="U938" s="436"/>
      <c r="V938" s="436"/>
      <c r="W938" s="9"/>
      <c r="X938" s="9"/>
      <c r="Y938" s="9"/>
      <c r="Z938" s="9"/>
      <c r="AA938" s="9"/>
      <c r="AB938" s="9"/>
    </row>
    <row r="939">
      <c r="A939" s="9"/>
      <c r="B939" s="9"/>
      <c r="C939" s="9"/>
      <c r="D939" s="9"/>
      <c r="E939" s="9"/>
      <c r="F939" s="435"/>
      <c r="G939" s="9"/>
      <c r="H939" s="9"/>
      <c r="I939" s="9"/>
      <c r="J939" s="9"/>
      <c r="K939" s="9"/>
      <c r="L939" s="9"/>
      <c r="M939" s="9"/>
      <c r="N939" s="9"/>
      <c r="O939" s="9"/>
      <c r="P939" s="9"/>
      <c r="Q939" s="9"/>
      <c r="R939" s="9"/>
      <c r="S939" s="436"/>
      <c r="T939" s="436"/>
      <c r="U939" s="436"/>
      <c r="V939" s="436"/>
      <c r="W939" s="9"/>
      <c r="X939" s="9"/>
      <c r="Y939" s="9"/>
      <c r="Z939" s="9"/>
      <c r="AA939" s="9"/>
      <c r="AB939" s="9"/>
    </row>
    <row r="940">
      <c r="A940" s="9"/>
      <c r="B940" s="9"/>
      <c r="C940" s="9"/>
      <c r="D940" s="9"/>
      <c r="E940" s="9"/>
      <c r="F940" s="435"/>
      <c r="G940" s="9"/>
      <c r="H940" s="9"/>
      <c r="I940" s="9"/>
      <c r="J940" s="9"/>
      <c r="K940" s="9"/>
      <c r="L940" s="9"/>
      <c r="M940" s="9"/>
      <c r="N940" s="9"/>
      <c r="O940" s="9"/>
      <c r="P940" s="9"/>
      <c r="Q940" s="9"/>
      <c r="R940" s="9"/>
      <c r="S940" s="436"/>
      <c r="T940" s="436"/>
      <c r="U940" s="436"/>
      <c r="V940" s="436"/>
      <c r="W940" s="9"/>
      <c r="X940" s="9"/>
      <c r="Y940" s="9"/>
      <c r="Z940" s="9"/>
      <c r="AA940" s="9"/>
      <c r="AB940" s="9"/>
    </row>
    <row r="941">
      <c r="A941" s="9"/>
      <c r="B941" s="9"/>
      <c r="C941" s="9"/>
      <c r="D941" s="9"/>
      <c r="E941" s="9"/>
      <c r="F941" s="435"/>
      <c r="G941" s="9"/>
      <c r="H941" s="9"/>
      <c r="I941" s="9"/>
      <c r="J941" s="9"/>
      <c r="K941" s="9"/>
      <c r="L941" s="9"/>
      <c r="M941" s="9"/>
      <c r="N941" s="9"/>
      <c r="O941" s="9"/>
      <c r="P941" s="9"/>
      <c r="Q941" s="9"/>
      <c r="R941" s="9"/>
      <c r="S941" s="436"/>
      <c r="T941" s="436"/>
      <c r="U941" s="436"/>
      <c r="V941" s="436"/>
      <c r="W941" s="9"/>
      <c r="X941" s="9"/>
      <c r="Y941" s="9"/>
      <c r="Z941" s="9"/>
      <c r="AA941" s="9"/>
      <c r="AB941" s="9"/>
    </row>
    <row r="942">
      <c r="A942" s="9"/>
      <c r="B942" s="9"/>
      <c r="C942" s="9"/>
      <c r="D942" s="9"/>
      <c r="E942" s="9"/>
      <c r="F942" s="435"/>
      <c r="G942" s="9"/>
      <c r="H942" s="9"/>
      <c r="I942" s="9"/>
      <c r="J942" s="9"/>
      <c r="K942" s="9"/>
      <c r="L942" s="9"/>
      <c r="M942" s="9"/>
      <c r="N942" s="9"/>
      <c r="O942" s="9"/>
      <c r="P942" s="9"/>
      <c r="Q942" s="9"/>
      <c r="R942" s="9"/>
      <c r="S942" s="436"/>
      <c r="T942" s="436"/>
      <c r="U942" s="436"/>
      <c r="V942" s="436"/>
      <c r="W942" s="9"/>
      <c r="X942" s="9"/>
      <c r="Y942" s="9"/>
      <c r="Z942" s="9"/>
      <c r="AA942" s="9"/>
      <c r="AB942" s="9"/>
    </row>
    <row r="943">
      <c r="A943" s="9"/>
      <c r="B943" s="9"/>
      <c r="C943" s="9"/>
      <c r="D943" s="9"/>
      <c r="E943" s="9"/>
      <c r="F943" s="435"/>
      <c r="G943" s="9"/>
      <c r="H943" s="9"/>
      <c r="I943" s="9"/>
      <c r="J943" s="9"/>
      <c r="K943" s="9"/>
      <c r="L943" s="9"/>
      <c r="M943" s="9"/>
      <c r="N943" s="9"/>
      <c r="O943" s="9"/>
      <c r="P943" s="9"/>
      <c r="Q943" s="9"/>
      <c r="R943" s="9"/>
      <c r="S943" s="436"/>
      <c r="T943" s="436"/>
      <c r="U943" s="436"/>
      <c r="V943" s="436"/>
      <c r="W943" s="9"/>
      <c r="X943" s="9"/>
      <c r="Y943" s="9"/>
      <c r="Z943" s="9"/>
      <c r="AA943" s="9"/>
      <c r="AB943" s="9"/>
    </row>
    <row r="944">
      <c r="A944" s="9"/>
      <c r="B944" s="9"/>
      <c r="C944" s="9"/>
      <c r="D944" s="9"/>
      <c r="E944" s="9"/>
      <c r="F944" s="435"/>
      <c r="G944" s="9"/>
      <c r="H944" s="9"/>
      <c r="I944" s="9"/>
      <c r="J944" s="9"/>
      <c r="K944" s="9"/>
      <c r="L944" s="9"/>
      <c r="M944" s="9"/>
      <c r="N944" s="9"/>
      <c r="O944" s="9"/>
      <c r="P944" s="9"/>
      <c r="Q944" s="9"/>
      <c r="R944" s="9"/>
      <c r="S944" s="436"/>
      <c r="T944" s="436"/>
      <c r="U944" s="436"/>
      <c r="V944" s="436"/>
      <c r="W944" s="9"/>
      <c r="X944" s="9"/>
      <c r="Y944" s="9"/>
      <c r="Z944" s="9"/>
      <c r="AA944" s="9"/>
      <c r="AB944" s="9"/>
    </row>
    <row r="945">
      <c r="A945" s="9"/>
      <c r="B945" s="9"/>
      <c r="C945" s="9"/>
      <c r="D945" s="9"/>
      <c r="E945" s="9"/>
      <c r="F945" s="435"/>
      <c r="G945" s="9"/>
      <c r="H945" s="9"/>
      <c r="I945" s="9"/>
      <c r="J945" s="9"/>
      <c r="K945" s="9"/>
      <c r="L945" s="9"/>
      <c r="M945" s="9"/>
      <c r="N945" s="9"/>
      <c r="O945" s="9"/>
      <c r="P945" s="9"/>
      <c r="Q945" s="9"/>
      <c r="R945" s="9"/>
      <c r="S945" s="436"/>
      <c r="T945" s="436"/>
      <c r="U945" s="436"/>
      <c r="V945" s="436"/>
      <c r="W945" s="9"/>
      <c r="X945" s="9"/>
      <c r="Y945" s="9"/>
      <c r="Z945" s="9"/>
      <c r="AA945" s="9"/>
      <c r="AB945" s="9"/>
    </row>
    <row r="946">
      <c r="A946" s="9"/>
      <c r="B946" s="9"/>
      <c r="C946" s="9"/>
      <c r="D946" s="9"/>
      <c r="E946" s="9"/>
      <c r="F946" s="435"/>
      <c r="G946" s="9"/>
      <c r="H946" s="9"/>
      <c r="I946" s="9"/>
      <c r="J946" s="9"/>
      <c r="K946" s="9"/>
      <c r="L946" s="9"/>
      <c r="M946" s="9"/>
      <c r="N946" s="9"/>
      <c r="O946" s="9"/>
      <c r="P946" s="9"/>
      <c r="Q946" s="9"/>
      <c r="R946" s="9"/>
      <c r="S946" s="436"/>
      <c r="T946" s="436"/>
      <c r="U946" s="436"/>
      <c r="V946" s="436"/>
      <c r="W946" s="9"/>
      <c r="X946" s="9"/>
      <c r="Y946" s="9"/>
      <c r="Z946" s="9"/>
      <c r="AA946" s="9"/>
      <c r="AB946" s="9"/>
    </row>
    <row r="947">
      <c r="A947" s="9"/>
      <c r="B947" s="9"/>
      <c r="C947" s="9"/>
      <c r="D947" s="9"/>
      <c r="E947" s="9"/>
      <c r="F947" s="435"/>
      <c r="G947" s="9"/>
      <c r="H947" s="9"/>
      <c r="I947" s="9"/>
      <c r="J947" s="9"/>
      <c r="K947" s="9"/>
      <c r="L947" s="9"/>
      <c r="M947" s="9"/>
      <c r="N947" s="9"/>
      <c r="O947" s="9"/>
      <c r="P947" s="9"/>
      <c r="Q947" s="9"/>
      <c r="R947" s="9"/>
      <c r="S947" s="436"/>
      <c r="T947" s="436"/>
      <c r="U947" s="436"/>
      <c r="V947" s="436"/>
      <c r="W947" s="9"/>
      <c r="X947" s="9"/>
      <c r="Y947" s="9"/>
      <c r="Z947" s="9"/>
      <c r="AA947" s="9"/>
      <c r="AB947" s="9"/>
    </row>
    <row r="948">
      <c r="A948" s="9"/>
      <c r="B948" s="9"/>
      <c r="C948" s="9"/>
      <c r="D948" s="9"/>
      <c r="E948" s="9"/>
      <c r="F948" s="435"/>
      <c r="G948" s="9"/>
      <c r="H948" s="9"/>
      <c r="I948" s="9"/>
      <c r="J948" s="9"/>
      <c r="K948" s="9"/>
      <c r="L948" s="9"/>
      <c r="M948" s="9"/>
      <c r="N948" s="9"/>
      <c r="O948" s="9"/>
      <c r="P948" s="9"/>
      <c r="Q948" s="9"/>
      <c r="R948" s="9"/>
      <c r="S948" s="436"/>
      <c r="T948" s="436"/>
      <c r="U948" s="436"/>
      <c r="V948" s="436"/>
      <c r="W948" s="9"/>
      <c r="X948" s="9"/>
      <c r="Y948" s="9"/>
      <c r="Z948" s="9"/>
      <c r="AA948" s="9"/>
      <c r="AB948" s="9"/>
    </row>
    <row r="949">
      <c r="A949" s="9"/>
      <c r="B949" s="9"/>
      <c r="C949" s="9"/>
      <c r="D949" s="9"/>
      <c r="E949" s="9"/>
      <c r="F949" s="435"/>
      <c r="G949" s="9"/>
      <c r="H949" s="9"/>
      <c r="I949" s="9"/>
      <c r="J949" s="9"/>
      <c r="K949" s="9"/>
      <c r="L949" s="9"/>
      <c r="M949" s="9"/>
      <c r="N949" s="9"/>
      <c r="O949" s="9"/>
      <c r="P949" s="9"/>
      <c r="Q949" s="9"/>
      <c r="R949" s="9"/>
      <c r="S949" s="436"/>
      <c r="T949" s="436"/>
      <c r="U949" s="436"/>
      <c r="V949" s="436"/>
      <c r="W949" s="9"/>
      <c r="X949" s="9"/>
      <c r="Y949" s="9"/>
      <c r="Z949" s="9"/>
      <c r="AA949" s="9"/>
      <c r="AB949" s="9"/>
    </row>
    <row r="950">
      <c r="A950" s="9"/>
      <c r="B950" s="9"/>
      <c r="C950" s="9"/>
      <c r="D950" s="9"/>
      <c r="E950" s="9"/>
      <c r="F950" s="435"/>
      <c r="G950" s="9"/>
      <c r="H950" s="9"/>
      <c r="I950" s="9"/>
      <c r="J950" s="9"/>
      <c r="K950" s="9"/>
      <c r="L950" s="9"/>
      <c r="M950" s="9"/>
      <c r="N950" s="9"/>
      <c r="O950" s="9"/>
      <c r="P950" s="9"/>
      <c r="Q950" s="9"/>
      <c r="R950" s="9"/>
      <c r="S950" s="436"/>
      <c r="T950" s="436"/>
      <c r="U950" s="436"/>
      <c r="V950" s="436"/>
      <c r="W950" s="9"/>
      <c r="X950" s="9"/>
      <c r="Y950" s="9"/>
      <c r="Z950" s="9"/>
      <c r="AA950" s="9"/>
      <c r="AB950" s="9"/>
    </row>
    <row r="951">
      <c r="A951" s="9"/>
      <c r="B951" s="9"/>
      <c r="C951" s="9"/>
      <c r="D951" s="9"/>
      <c r="E951" s="9"/>
      <c r="F951" s="435"/>
      <c r="G951" s="9"/>
      <c r="H951" s="9"/>
      <c r="I951" s="9"/>
      <c r="J951" s="9"/>
      <c r="K951" s="9"/>
      <c r="L951" s="9"/>
      <c r="M951" s="9"/>
      <c r="N951" s="9"/>
      <c r="O951" s="9"/>
      <c r="P951" s="9"/>
      <c r="Q951" s="9"/>
      <c r="R951" s="9"/>
      <c r="S951" s="436"/>
      <c r="T951" s="436"/>
      <c r="U951" s="436"/>
      <c r="V951" s="436"/>
      <c r="W951" s="9"/>
      <c r="X951" s="9"/>
      <c r="Y951" s="9"/>
      <c r="Z951" s="9"/>
      <c r="AA951" s="9"/>
      <c r="AB951" s="9"/>
    </row>
    <row r="952">
      <c r="A952" s="9"/>
      <c r="B952" s="9"/>
      <c r="C952" s="9"/>
      <c r="D952" s="9"/>
      <c r="E952" s="9"/>
      <c r="F952" s="435"/>
      <c r="G952" s="9"/>
      <c r="H952" s="9"/>
      <c r="I952" s="9"/>
      <c r="J952" s="9"/>
      <c r="K952" s="9"/>
      <c r="L952" s="9"/>
      <c r="M952" s="9"/>
      <c r="N952" s="9"/>
      <c r="O952" s="9"/>
      <c r="P952" s="9"/>
      <c r="Q952" s="9"/>
      <c r="R952" s="9"/>
      <c r="S952" s="436"/>
      <c r="T952" s="436"/>
      <c r="U952" s="436"/>
      <c r="V952" s="436"/>
      <c r="W952" s="9"/>
      <c r="X952" s="9"/>
      <c r="Y952" s="9"/>
      <c r="Z952" s="9"/>
      <c r="AA952" s="9"/>
      <c r="AB952" s="9"/>
    </row>
    <row r="953">
      <c r="A953" s="9"/>
      <c r="B953" s="9"/>
      <c r="C953" s="9"/>
      <c r="D953" s="9"/>
      <c r="E953" s="9"/>
      <c r="F953" s="435"/>
      <c r="G953" s="9"/>
      <c r="H953" s="9"/>
      <c r="I953" s="9"/>
      <c r="J953" s="9"/>
      <c r="K953" s="9"/>
      <c r="L953" s="9"/>
      <c r="M953" s="9"/>
      <c r="N953" s="9"/>
      <c r="O953" s="9"/>
      <c r="P953" s="9"/>
      <c r="Q953" s="9"/>
      <c r="R953" s="9"/>
      <c r="S953" s="436"/>
      <c r="T953" s="436"/>
      <c r="U953" s="436"/>
      <c r="V953" s="436"/>
      <c r="W953" s="9"/>
      <c r="X953" s="9"/>
      <c r="Y953" s="9"/>
      <c r="Z953" s="9"/>
      <c r="AA953" s="9"/>
      <c r="AB953" s="9"/>
    </row>
    <row r="954">
      <c r="A954" s="9"/>
      <c r="B954" s="9"/>
      <c r="C954" s="9"/>
      <c r="D954" s="9"/>
      <c r="E954" s="9"/>
      <c r="F954" s="435"/>
      <c r="G954" s="9"/>
      <c r="H954" s="9"/>
      <c r="I954" s="9"/>
      <c r="J954" s="9"/>
      <c r="K954" s="9"/>
      <c r="L954" s="9"/>
      <c r="M954" s="9"/>
      <c r="N954" s="9"/>
      <c r="O954" s="9"/>
      <c r="P954" s="9"/>
      <c r="Q954" s="9"/>
      <c r="R954" s="9"/>
      <c r="S954" s="436"/>
      <c r="T954" s="436"/>
      <c r="U954" s="436"/>
      <c r="V954" s="436"/>
      <c r="W954" s="9"/>
      <c r="X954" s="9"/>
      <c r="Y954" s="9"/>
      <c r="Z954" s="9"/>
      <c r="AA954" s="9"/>
      <c r="AB954" s="9"/>
    </row>
    <row r="955">
      <c r="A955" s="9"/>
      <c r="B955" s="9"/>
      <c r="C955" s="9"/>
      <c r="D955" s="9"/>
      <c r="E955" s="9"/>
      <c r="F955" s="435"/>
      <c r="G955" s="9"/>
      <c r="H955" s="9"/>
      <c r="I955" s="9"/>
      <c r="J955" s="9"/>
      <c r="K955" s="9"/>
      <c r="L955" s="9"/>
      <c r="M955" s="9"/>
      <c r="N955" s="9"/>
      <c r="O955" s="9"/>
      <c r="P955" s="9"/>
      <c r="Q955" s="9"/>
      <c r="R955" s="9"/>
      <c r="S955" s="436"/>
      <c r="T955" s="436"/>
      <c r="U955" s="436"/>
      <c r="V955" s="436"/>
      <c r="W955" s="9"/>
      <c r="X955" s="9"/>
      <c r="Y955" s="9"/>
      <c r="Z955" s="9"/>
      <c r="AA955" s="9"/>
      <c r="AB955" s="9"/>
    </row>
    <row r="956">
      <c r="A956" s="9"/>
      <c r="B956" s="9"/>
      <c r="C956" s="9"/>
      <c r="D956" s="9"/>
      <c r="E956" s="9"/>
      <c r="F956" s="435"/>
      <c r="G956" s="9"/>
      <c r="H956" s="9"/>
      <c r="I956" s="9"/>
      <c r="J956" s="9"/>
      <c r="K956" s="9"/>
      <c r="L956" s="9"/>
      <c r="M956" s="9"/>
      <c r="N956" s="9"/>
      <c r="O956" s="9"/>
      <c r="P956" s="9"/>
      <c r="Q956" s="9"/>
      <c r="R956" s="9"/>
      <c r="S956" s="436"/>
      <c r="T956" s="436"/>
      <c r="U956" s="436"/>
      <c r="V956" s="436"/>
      <c r="W956" s="9"/>
      <c r="X956" s="9"/>
      <c r="Y956" s="9"/>
      <c r="Z956" s="9"/>
      <c r="AA956" s="9"/>
      <c r="AB956" s="9"/>
    </row>
    <row r="957">
      <c r="A957" s="9"/>
      <c r="B957" s="9"/>
      <c r="C957" s="9"/>
      <c r="D957" s="9"/>
      <c r="E957" s="9"/>
      <c r="F957" s="435"/>
      <c r="G957" s="9"/>
      <c r="H957" s="9"/>
      <c r="I957" s="9"/>
      <c r="J957" s="9"/>
      <c r="K957" s="9"/>
      <c r="L957" s="9"/>
      <c r="M957" s="9"/>
      <c r="N957" s="9"/>
      <c r="O957" s="9"/>
      <c r="P957" s="9"/>
      <c r="Q957" s="9"/>
      <c r="R957" s="9"/>
      <c r="S957" s="436"/>
      <c r="T957" s="436"/>
      <c r="U957" s="436"/>
      <c r="V957" s="436"/>
      <c r="W957" s="9"/>
      <c r="X957" s="9"/>
      <c r="Y957" s="9"/>
      <c r="Z957" s="9"/>
      <c r="AA957" s="9"/>
      <c r="AB957" s="9"/>
    </row>
    <row r="958">
      <c r="A958" s="9"/>
      <c r="B958" s="9"/>
      <c r="C958" s="9"/>
      <c r="D958" s="9"/>
      <c r="E958" s="9"/>
      <c r="F958" s="435"/>
      <c r="G958" s="9"/>
      <c r="H958" s="9"/>
      <c r="I958" s="9"/>
      <c r="J958" s="9"/>
      <c r="K958" s="9"/>
      <c r="L958" s="9"/>
      <c r="M958" s="9"/>
      <c r="N958" s="9"/>
      <c r="O958" s="9"/>
      <c r="P958" s="9"/>
      <c r="Q958" s="9"/>
      <c r="R958" s="9"/>
      <c r="S958" s="436"/>
      <c r="T958" s="436"/>
      <c r="U958" s="436"/>
      <c r="V958" s="436"/>
      <c r="W958" s="9"/>
      <c r="X958" s="9"/>
      <c r="Y958" s="9"/>
      <c r="Z958" s="9"/>
      <c r="AA958" s="9"/>
      <c r="AB958" s="9"/>
    </row>
    <row r="959">
      <c r="A959" s="9"/>
      <c r="B959" s="9"/>
      <c r="C959" s="9"/>
      <c r="D959" s="9"/>
      <c r="E959" s="9"/>
      <c r="F959" s="435"/>
      <c r="G959" s="9"/>
      <c r="H959" s="9"/>
      <c r="I959" s="9"/>
      <c r="J959" s="9"/>
      <c r="K959" s="9"/>
      <c r="L959" s="9"/>
      <c r="M959" s="9"/>
      <c r="N959" s="9"/>
      <c r="O959" s="9"/>
      <c r="P959" s="9"/>
      <c r="Q959" s="9"/>
      <c r="R959" s="9"/>
      <c r="S959" s="436"/>
      <c r="T959" s="436"/>
      <c r="U959" s="436"/>
      <c r="V959" s="436"/>
      <c r="W959" s="9"/>
      <c r="X959" s="9"/>
      <c r="Y959" s="9"/>
      <c r="Z959" s="9"/>
      <c r="AA959" s="9"/>
      <c r="AB959" s="9"/>
    </row>
    <row r="960">
      <c r="A960" s="9"/>
      <c r="B960" s="9"/>
      <c r="C960" s="9"/>
      <c r="D960" s="9"/>
      <c r="E960" s="9"/>
      <c r="F960" s="435"/>
      <c r="G960" s="9"/>
      <c r="H960" s="9"/>
      <c r="I960" s="9"/>
      <c r="J960" s="9"/>
      <c r="K960" s="9"/>
      <c r="L960" s="9"/>
      <c r="M960" s="9"/>
      <c r="N960" s="9"/>
      <c r="O960" s="9"/>
      <c r="P960" s="9"/>
      <c r="Q960" s="9"/>
      <c r="R960" s="9"/>
      <c r="S960" s="436"/>
      <c r="T960" s="436"/>
      <c r="U960" s="436"/>
      <c r="V960" s="436"/>
      <c r="W960" s="9"/>
      <c r="X960" s="9"/>
      <c r="Y960" s="9"/>
      <c r="Z960" s="9"/>
      <c r="AA960" s="9"/>
      <c r="AB960" s="9"/>
    </row>
    <row r="961">
      <c r="A961" s="9"/>
      <c r="B961" s="9"/>
      <c r="C961" s="9"/>
      <c r="D961" s="9"/>
      <c r="E961" s="9"/>
      <c r="F961" s="435"/>
      <c r="G961" s="9"/>
      <c r="H961" s="9"/>
      <c r="I961" s="9"/>
      <c r="J961" s="9"/>
      <c r="K961" s="9"/>
      <c r="L961" s="9"/>
      <c r="M961" s="9"/>
      <c r="N961" s="9"/>
      <c r="O961" s="9"/>
      <c r="P961" s="9"/>
      <c r="Q961" s="9"/>
      <c r="R961" s="9"/>
      <c r="S961" s="436"/>
      <c r="T961" s="436"/>
      <c r="U961" s="436"/>
      <c r="V961" s="436"/>
      <c r="W961" s="9"/>
      <c r="X961" s="9"/>
      <c r="Y961" s="9"/>
      <c r="Z961" s="9"/>
      <c r="AA961" s="9"/>
      <c r="AB961" s="9"/>
    </row>
    <row r="962">
      <c r="A962" s="9"/>
      <c r="B962" s="9"/>
      <c r="C962" s="9"/>
      <c r="D962" s="9"/>
      <c r="E962" s="9"/>
      <c r="F962" s="435"/>
      <c r="G962" s="9"/>
      <c r="H962" s="9"/>
      <c r="I962" s="9"/>
      <c r="J962" s="9"/>
      <c r="K962" s="9"/>
      <c r="L962" s="9"/>
      <c r="M962" s="9"/>
      <c r="N962" s="9"/>
      <c r="O962" s="9"/>
      <c r="P962" s="9"/>
      <c r="Q962" s="9"/>
      <c r="R962" s="9"/>
      <c r="S962" s="436"/>
      <c r="T962" s="436"/>
      <c r="U962" s="436"/>
      <c r="V962" s="436"/>
      <c r="W962" s="9"/>
      <c r="X962" s="9"/>
      <c r="Y962" s="9"/>
      <c r="Z962" s="9"/>
      <c r="AA962" s="9"/>
      <c r="AB962" s="9"/>
    </row>
    <row r="963">
      <c r="A963" s="9"/>
      <c r="B963" s="9"/>
      <c r="C963" s="9"/>
      <c r="D963" s="9"/>
      <c r="E963" s="9"/>
      <c r="F963" s="435"/>
      <c r="G963" s="9"/>
      <c r="H963" s="9"/>
      <c r="I963" s="9"/>
      <c r="J963" s="9"/>
      <c r="K963" s="9"/>
      <c r="L963" s="9"/>
      <c r="M963" s="9"/>
      <c r="N963" s="9"/>
      <c r="O963" s="9"/>
      <c r="P963" s="9"/>
      <c r="Q963" s="9"/>
      <c r="R963" s="9"/>
      <c r="S963" s="436"/>
      <c r="T963" s="436"/>
      <c r="U963" s="436"/>
      <c r="V963" s="436"/>
      <c r="W963" s="9"/>
      <c r="X963" s="9"/>
      <c r="Y963" s="9"/>
      <c r="Z963" s="9"/>
      <c r="AA963" s="9"/>
      <c r="AB963" s="9"/>
    </row>
    <row r="964">
      <c r="A964" s="9"/>
      <c r="B964" s="9"/>
      <c r="C964" s="9"/>
      <c r="D964" s="9"/>
      <c r="E964" s="9"/>
      <c r="F964" s="435"/>
      <c r="G964" s="9"/>
      <c r="H964" s="9"/>
      <c r="I964" s="9"/>
      <c r="J964" s="9"/>
      <c r="K964" s="9"/>
      <c r="L964" s="9"/>
      <c r="M964" s="9"/>
      <c r="N964" s="9"/>
      <c r="O964" s="9"/>
      <c r="P964" s="9"/>
      <c r="Q964" s="9"/>
      <c r="R964" s="9"/>
      <c r="S964" s="436"/>
      <c r="T964" s="436"/>
      <c r="U964" s="436"/>
      <c r="V964" s="436"/>
      <c r="W964" s="9"/>
      <c r="X964" s="9"/>
      <c r="Y964" s="9"/>
      <c r="Z964" s="9"/>
      <c r="AA964" s="9"/>
      <c r="AB964" s="9"/>
    </row>
    <row r="965">
      <c r="A965" s="9"/>
      <c r="B965" s="9"/>
      <c r="C965" s="9"/>
      <c r="D965" s="9"/>
      <c r="E965" s="9"/>
      <c r="F965" s="435"/>
      <c r="G965" s="9"/>
      <c r="H965" s="9"/>
      <c r="I965" s="9"/>
      <c r="J965" s="9"/>
      <c r="K965" s="9"/>
      <c r="L965" s="9"/>
      <c r="M965" s="9"/>
      <c r="N965" s="9"/>
      <c r="O965" s="9"/>
      <c r="P965" s="9"/>
      <c r="Q965" s="9"/>
      <c r="R965" s="9"/>
      <c r="S965" s="436"/>
      <c r="T965" s="436"/>
      <c r="U965" s="436"/>
      <c r="V965" s="436"/>
      <c r="W965" s="9"/>
      <c r="X965" s="9"/>
      <c r="Y965" s="9"/>
      <c r="Z965" s="9"/>
      <c r="AA965" s="9"/>
      <c r="AB965" s="9"/>
    </row>
    <row r="966">
      <c r="A966" s="9"/>
      <c r="B966" s="9"/>
      <c r="C966" s="9"/>
      <c r="D966" s="9"/>
      <c r="E966" s="9"/>
      <c r="F966" s="435"/>
      <c r="G966" s="9"/>
      <c r="H966" s="9"/>
      <c r="I966" s="9"/>
      <c r="J966" s="9"/>
      <c r="K966" s="9"/>
      <c r="L966" s="9"/>
      <c r="M966" s="9"/>
      <c r="N966" s="9"/>
      <c r="O966" s="9"/>
      <c r="P966" s="9"/>
      <c r="Q966" s="9"/>
      <c r="R966" s="9"/>
      <c r="S966" s="436"/>
      <c r="T966" s="436"/>
      <c r="U966" s="436"/>
      <c r="V966" s="436"/>
      <c r="W966" s="9"/>
      <c r="X966" s="9"/>
      <c r="Y966" s="9"/>
      <c r="Z966" s="9"/>
      <c r="AA966" s="9"/>
      <c r="AB966" s="9"/>
    </row>
    <row r="967">
      <c r="A967" s="9"/>
      <c r="B967" s="9"/>
      <c r="C967" s="9"/>
      <c r="D967" s="9"/>
      <c r="E967" s="9"/>
      <c r="F967" s="435"/>
      <c r="G967" s="9"/>
      <c r="H967" s="9"/>
      <c r="I967" s="9"/>
      <c r="J967" s="9"/>
      <c r="K967" s="9"/>
      <c r="L967" s="9"/>
      <c r="M967" s="9"/>
      <c r="N967" s="9"/>
      <c r="O967" s="9"/>
      <c r="P967" s="9"/>
      <c r="Q967" s="9"/>
      <c r="R967" s="9"/>
      <c r="S967" s="436"/>
      <c r="T967" s="436"/>
      <c r="U967" s="436"/>
      <c r="V967" s="436"/>
      <c r="W967" s="9"/>
      <c r="X967" s="9"/>
      <c r="Y967" s="9"/>
      <c r="Z967" s="9"/>
      <c r="AA967" s="9"/>
      <c r="AB967" s="9"/>
    </row>
    <row r="968">
      <c r="A968" s="9"/>
      <c r="B968" s="9"/>
      <c r="C968" s="9"/>
      <c r="D968" s="9"/>
      <c r="E968" s="9"/>
      <c r="F968" s="435"/>
      <c r="G968" s="9"/>
      <c r="H968" s="9"/>
      <c r="I968" s="9"/>
      <c r="J968" s="9"/>
      <c r="K968" s="9"/>
      <c r="L968" s="9"/>
      <c r="M968" s="9"/>
      <c r="N968" s="9"/>
      <c r="O968" s="9"/>
      <c r="P968" s="9"/>
      <c r="Q968" s="9"/>
      <c r="R968" s="9"/>
      <c r="S968" s="436"/>
      <c r="T968" s="436"/>
      <c r="U968" s="436"/>
      <c r="V968" s="436"/>
      <c r="W968" s="9"/>
      <c r="X968" s="9"/>
      <c r="Y968" s="9"/>
      <c r="Z968" s="9"/>
      <c r="AA968" s="9"/>
      <c r="AB968" s="9"/>
    </row>
    <row r="969">
      <c r="A969" s="9"/>
      <c r="B969" s="9"/>
      <c r="C969" s="9"/>
      <c r="D969" s="9"/>
      <c r="E969" s="9"/>
      <c r="F969" s="435"/>
      <c r="G969" s="9"/>
      <c r="H969" s="9"/>
      <c r="I969" s="9"/>
      <c r="J969" s="9"/>
      <c r="K969" s="9"/>
      <c r="L969" s="9"/>
      <c r="M969" s="9"/>
      <c r="N969" s="9"/>
      <c r="O969" s="9"/>
      <c r="P969" s="9"/>
      <c r="Q969" s="9"/>
      <c r="R969" s="9"/>
      <c r="S969" s="436"/>
      <c r="T969" s="436"/>
      <c r="U969" s="436"/>
      <c r="V969" s="436"/>
      <c r="W969" s="9"/>
      <c r="X969" s="9"/>
      <c r="Y969" s="9"/>
      <c r="Z969" s="9"/>
      <c r="AA969" s="9"/>
      <c r="AB969" s="9"/>
    </row>
    <row r="970">
      <c r="A970" s="9"/>
      <c r="B970" s="9"/>
      <c r="C970" s="9"/>
      <c r="D970" s="9"/>
      <c r="E970" s="9"/>
      <c r="F970" s="435"/>
      <c r="G970" s="9"/>
      <c r="H970" s="9"/>
      <c r="I970" s="9"/>
      <c r="J970" s="9"/>
      <c r="K970" s="9"/>
      <c r="L970" s="9"/>
      <c r="M970" s="9"/>
      <c r="N970" s="9"/>
      <c r="O970" s="9"/>
      <c r="P970" s="9"/>
      <c r="Q970" s="9"/>
      <c r="R970" s="9"/>
      <c r="S970" s="436"/>
      <c r="T970" s="436"/>
      <c r="U970" s="436"/>
      <c r="V970" s="436"/>
      <c r="W970" s="9"/>
      <c r="X970" s="9"/>
      <c r="Y970" s="9"/>
      <c r="Z970" s="9"/>
      <c r="AA970" s="9"/>
      <c r="AB970" s="9"/>
    </row>
    <row r="971">
      <c r="A971" s="9"/>
      <c r="B971" s="9"/>
      <c r="C971" s="9"/>
      <c r="D971" s="9"/>
      <c r="E971" s="9"/>
      <c r="F971" s="435"/>
      <c r="G971" s="9"/>
      <c r="H971" s="9"/>
      <c r="I971" s="9"/>
      <c r="J971" s="9"/>
      <c r="K971" s="9"/>
      <c r="L971" s="9"/>
      <c r="M971" s="9"/>
      <c r="N971" s="9"/>
      <c r="O971" s="9"/>
      <c r="P971" s="9"/>
      <c r="Q971" s="9"/>
      <c r="R971" s="9"/>
      <c r="S971" s="436"/>
      <c r="T971" s="436"/>
      <c r="U971" s="436"/>
      <c r="V971" s="436"/>
      <c r="W971" s="9"/>
      <c r="X971" s="9"/>
      <c r="Y971" s="9"/>
      <c r="Z971" s="9"/>
      <c r="AA971" s="9"/>
      <c r="AB971" s="9"/>
    </row>
    <row r="972">
      <c r="A972" s="9"/>
      <c r="B972" s="9"/>
      <c r="C972" s="9"/>
      <c r="D972" s="9"/>
      <c r="E972" s="9"/>
      <c r="F972" s="435"/>
      <c r="G972" s="9"/>
      <c r="H972" s="9"/>
      <c r="I972" s="9"/>
      <c r="J972" s="9"/>
      <c r="K972" s="9"/>
      <c r="L972" s="9"/>
      <c r="M972" s="9"/>
      <c r="N972" s="9"/>
      <c r="O972" s="9"/>
      <c r="P972" s="9"/>
      <c r="Q972" s="9"/>
      <c r="R972" s="9"/>
      <c r="S972" s="436"/>
      <c r="T972" s="436"/>
      <c r="U972" s="436"/>
      <c r="V972" s="436"/>
      <c r="W972" s="9"/>
      <c r="X972" s="9"/>
      <c r="Y972" s="9"/>
      <c r="Z972" s="9"/>
      <c r="AA972" s="9"/>
      <c r="AB972" s="9"/>
    </row>
    <row r="973">
      <c r="A973" s="9"/>
      <c r="B973" s="9"/>
      <c r="C973" s="9"/>
      <c r="D973" s="9"/>
      <c r="E973" s="9"/>
      <c r="F973" s="435"/>
      <c r="G973" s="9"/>
      <c r="H973" s="9"/>
      <c r="I973" s="9"/>
      <c r="J973" s="9"/>
      <c r="K973" s="9"/>
      <c r="L973" s="9"/>
      <c r="M973" s="9"/>
      <c r="N973" s="9"/>
      <c r="O973" s="9"/>
      <c r="P973" s="9"/>
      <c r="Q973" s="9"/>
      <c r="R973" s="9"/>
      <c r="S973" s="436"/>
      <c r="T973" s="436"/>
      <c r="U973" s="436"/>
      <c r="V973" s="436"/>
      <c r="W973" s="9"/>
      <c r="X973" s="9"/>
      <c r="Y973" s="9"/>
      <c r="Z973" s="9"/>
      <c r="AA973" s="9"/>
      <c r="AB973" s="9"/>
    </row>
    <row r="974">
      <c r="A974" s="9"/>
      <c r="B974" s="9"/>
      <c r="C974" s="9"/>
      <c r="D974" s="9"/>
      <c r="E974" s="9"/>
      <c r="F974" s="435"/>
      <c r="G974" s="9"/>
      <c r="H974" s="9"/>
      <c r="I974" s="9"/>
      <c r="J974" s="9"/>
      <c r="K974" s="9"/>
      <c r="L974" s="9"/>
      <c r="M974" s="9"/>
      <c r="N974" s="9"/>
      <c r="O974" s="9"/>
      <c r="P974" s="9"/>
      <c r="Q974" s="9"/>
      <c r="R974" s="9"/>
      <c r="S974" s="436"/>
      <c r="T974" s="436"/>
      <c r="U974" s="436"/>
      <c r="V974" s="436"/>
      <c r="W974" s="9"/>
      <c r="X974" s="9"/>
      <c r="Y974" s="9"/>
      <c r="Z974" s="9"/>
      <c r="AA974" s="9"/>
      <c r="AB974" s="9"/>
    </row>
    <row r="975">
      <c r="A975" s="9"/>
      <c r="B975" s="9"/>
      <c r="C975" s="9"/>
      <c r="D975" s="9"/>
      <c r="E975" s="9"/>
      <c r="F975" s="435"/>
      <c r="G975" s="9"/>
      <c r="H975" s="9"/>
      <c r="I975" s="9"/>
      <c r="J975" s="9"/>
      <c r="K975" s="9"/>
      <c r="L975" s="9"/>
      <c r="M975" s="9"/>
      <c r="N975" s="9"/>
      <c r="O975" s="9"/>
      <c r="P975" s="9"/>
      <c r="Q975" s="9"/>
      <c r="R975" s="9"/>
      <c r="S975" s="436"/>
      <c r="T975" s="436"/>
      <c r="U975" s="436"/>
      <c r="V975" s="436"/>
      <c r="W975" s="9"/>
      <c r="X975" s="9"/>
      <c r="Y975" s="9"/>
      <c r="Z975" s="9"/>
      <c r="AA975" s="9"/>
      <c r="AB975" s="9"/>
    </row>
    <row r="976">
      <c r="A976" s="9"/>
      <c r="B976" s="9"/>
      <c r="C976" s="9"/>
      <c r="D976" s="9"/>
      <c r="E976" s="9"/>
      <c r="F976" s="435"/>
      <c r="G976" s="9"/>
      <c r="H976" s="9"/>
      <c r="I976" s="9"/>
      <c r="J976" s="9"/>
      <c r="K976" s="9"/>
      <c r="L976" s="9"/>
      <c r="M976" s="9"/>
      <c r="N976" s="9"/>
      <c r="O976" s="9"/>
      <c r="P976" s="9"/>
      <c r="Q976" s="9"/>
      <c r="R976" s="9"/>
      <c r="S976" s="436"/>
      <c r="T976" s="436"/>
      <c r="U976" s="436"/>
      <c r="V976" s="436"/>
      <c r="W976" s="9"/>
      <c r="X976" s="9"/>
      <c r="Y976" s="9"/>
      <c r="Z976" s="9"/>
      <c r="AA976" s="9"/>
      <c r="AB976" s="9"/>
    </row>
    <row r="977">
      <c r="A977" s="9"/>
      <c r="B977" s="9"/>
      <c r="C977" s="9"/>
      <c r="D977" s="9"/>
      <c r="E977" s="9"/>
      <c r="F977" s="435"/>
      <c r="G977" s="9"/>
      <c r="H977" s="9"/>
      <c r="I977" s="9"/>
      <c r="J977" s="9"/>
      <c r="K977" s="9"/>
      <c r="L977" s="9"/>
      <c r="M977" s="9"/>
      <c r="N977" s="9"/>
      <c r="O977" s="9"/>
      <c r="P977" s="9"/>
      <c r="Q977" s="9"/>
      <c r="R977" s="9"/>
      <c r="S977" s="436"/>
      <c r="T977" s="436"/>
      <c r="U977" s="436"/>
      <c r="V977" s="436"/>
      <c r="W977" s="9"/>
      <c r="X977" s="9"/>
      <c r="Y977" s="9"/>
      <c r="Z977" s="9"/>
      <c r="AA977" s="9"/>
      <c r="AB977" s="9"/>
    </row>
    <row r="978">
      <c r="A978" s="9"/>
      <c r="B978" s="9"/>
      <c r="C978" s="9"/>
      <c r="D978" s="9"/>
      <c r="E978" s="9"/>
      <c r="F978" s="435"/>
      <c r="G978" s="9"/>
      <c r="H978" s="9"/>
      <c r="I978" s="9"/>
      <c r="J978" s="9"/>
      <c r="K978" s="9"/>
      <c r="L978" s="9"/>
      <c r="M978" s="9"/>
      <c r="N978" s="9"/>
      <c r="O978" s="9"/>
      <c r="P978" s="9"/>
      <c r="Q978" s="9"/>
      <c r="R978" s="9"/>
      <c r="S978" s="436"/>
      <c r="T978" s="436"/>
      <c r="U978" s="436"/>
      <c r="V978" s="436"/>
      <c r="W978" s="9"/>
      <c r="X978" s="9"/>
      <c r="Y978" s="9"/>
      <c r="Z978" s="9"/>
      <c r="AA978" s="9"/>
      <c r="AB978" s="9"/>
    </row>
    <row r="979">
      <c r="A979" s="9"/>
      <c r="B979" s="9"/>
      <c r="C979" s="9"/>
      <c r="D979" s="9"/>
      <c r="E979" s="9"/>
      <c r="F979" s="435"/>
      <c r="G979" s="9"/>
      <c r="H979" s="9"/>
      <c r="I979" s="9"/>
      <c r="J979" s="9"/>
      <c r="K979" s="9"/>
      <c r="L979" s="9"/>
      <c r="M979" s="9"/>
      <c r="N979" s="9"/>
      <c r="O979" s="9"/>
      <c r="P979" s="9"/>
      <c r="Q979" s="9"/>
      <c r="R979" s="9"/>
      <c r="S979" s="436"/>
      <c r="T979" s="436"/>
      <c r="U979" s="436"/>
      <c r="V979" s="436"/>
      <c r="W979" s="9"/>
      <c r="X979" s="9"/>
      <c r="Y979" s="9"/>
      <c r="Z979" s="9"/>
      <c r="AA979" s="9"/>
      <c r="AB979" s="9"/>
    </row>
    <row r="980">
      <c r="A980" s="9"/>
      <c r="B980" s="9"/>
      <c r="C980" s="9"/>
      <c r="D980" s="9"/>
      <c r="E980" s="9"/>
      <c r="F980" s="435"/>
      <c r="G980" s="9"/>
      <c r="H980" s="9"/>
      <c r="I980" s="9"/>
      <c r="J980" s="9"/>
      <c r="K980" s="9"/>
      <c r="L980" s="9"/>
      <c r="M980" s="9"/>
      <c r="N980" s="9"/>
      <c r="O980" s="9"/>
      <c r="P980" s="9"/>
      <c r="Q980" s="9"/>
      <c r="R980" s="9"/>
      <c r="S980" s="436"/>
      <c r="T980" s="436"/>
      <c r="U980" s="436"/>
      <c r="V980" s="436"/>
      <c r="W980" s="9"/>
      <c r="X980" s="9"/>
      <c r="Y980" s="9"/>
      <c r="Z980" s="9"/>
      <c r="AA980" s="9"/>
      <c r="AB980" s="9"/>
    </row>
    <row r="981">
      <c r="A981" s="9"/>
      <c r="B981" s="9"/>
      <c r="C981" s="9"/>
      <c r="D981" s="9"/>
      <c r="E981" s="9"/>
      <c r="F981" s="435"/>
      <c r="G981" s="9"/>
      <c r="H981" s="9"/>
      <c r="I981" s="9"/>
      <c r="J981" s="9"/>
      <c r="K981" s="9"/>
      <c r="L981" s="9"/>
      <c r="M981" s="9"/>
      <c r="N981" s="9"/>
      <c r="O981" s="9"/>
      <c r="P981" s="9"/>
      <c r="Q981" s="9"/>
      <c r="R981" s="9"/>
      <c r="S981" s="436"/>
      <c r="T981" s="436"/>
      <c r="U981" s="436"/>
      <c r="V981" s="436"/>
      <c r="W981" s="9"/>
      <c r="X981" s="9"/>
      <c r="Y981" s="9"/>
      <c r="Z981" s="9"/>
      <c r="AA981" s="9"/>
      <c r="AB981" s="9"/>
    </row>
    <row r="982">
      <c r="A982" s="9"/>
      <c r="B982" s="9"/>
      <c r="C982" s="9"/>
      <c r="D982" s="9"/>
      <c r="E982" s="9"/>
      <c r="F982" s="435"/>
      <c r="G982" s="9"/>
      <c r="H982" s="9"/>
      <c r="I982" s="9"/>
      <c r="J982" s="9"/>
      <c r="K982" s="9"/>
      <c r="L982" s="9"/>
      <c r="M982" s="9"/>
      <c r="N982" s="9"/>
      <c r="O982" s="9"/>
      <c r="P982" s="9"/>
      <c r="Q982" s="9"/>
      <c r="R982" s="9"/>
      <c r="S982" s="436"/>
      <c r="T982" s="436"/>
      <c r="U982" s="436"/>
      <c r="V982" s="436"/>
      <c r="W982" s="9"/>
      <c r="X982" s="9"/>
      <c r="Y982" s="9"/>
      <c r="Z982" s="9"/>
      <c r="AA982" s="9"/>
      <c r="AB982" s="9"/>
    </row>
    <row r="983">
      <c r="A983" s="9"/>
      <c r="B983" s="9"/>
      <c r="C983" s="9"/>
      <c r="D983" s="9"/>
      <c r="E983" s="9"/>
      <c r="F983" s="435"/>
      <c r="G983" s="9"/>
      <c r="H983" s="9"/>
      <c r="I983" s="9"/>
      <c r="J983" s="9"/>
      <c r="K983" s="9"/>
      <c r="L983" s="9"/>
      <c r="M983" s="9"/>
      <c r="N983" s="9"/>
      <c r="O983" s="9"/>
      <c r="P983" s="9"/>
      <c r="Q983" s="9"/>
      <c r="R983" s="9"/>
      <c r="S983" s="436"/>
      <c r="T983" s="436"/>
      <c r="U983" s="436"/>
      <c r="V983" s="436"/>
      <c r="W983" s="9"/>
      <c r="X983" s="9"/>
      <c r="Y983" s="9"/>
      <c r="Z983" s="9"/>
      <c r="AA983" s="9"/>
      <c r="AB983" s="9"/>
    </row>
    <row r="984">
      <c r="A984" s="9"/>
      <c r="B984" s="9"/>
      <c r="C984" s="9"/>
      <c r="D984" s="9"/>
      <c r="E984" s="9"/>
      <c r="F984" s="435"/>
      <c r="G984" s="9"/>
      <c r="H984" s="9"/>
      <c r="I984" s="9"/>
      <c r="J984" s="9"/>
      <c r="K984" s="9"/>
      <c r="L984" s="9"/>
      <c r="M984" s="9"/>
      <c r="N984" s="9"/>
      <c r="O984" s="9"/>
      <c r="P984" s="9"/>
      <c r="Q984" s="9"/>
      <c r="R984" s="9"/>
      <c r="S984" s="436"/>
      <c r="T984" s="436"/>
      <c r="U984" s="436"/>
      <c r="V984" s="436"/>
      <c r="W984" s="9"/>
      <c r="X984" s="9"/>
      <c r="Y984" s="9"/>
      <c r="Z984" s="9"/>
      <c r="AA984" s="9"/>
      <c r="AB984" s="9"/>
    </row>
    <row r="985">
      <c r="A985" s="9"/>
      <c r="B985" s="9"/>
      <c r="C985" s="9"/>
      <c r="D985" s="9"/>
      <c r="E985" s="9"/>
      <c r="F985" s="435"/>
      <c r="G985" s="9"/>
      <c r="H985" s="9"/>
      <c r="I985" s="9"/>
      <c r="J985" s="9"/>
      <c r="K985" s="9"/>
      <c r="L985" s="9"/>
      <c r="M985" s="9"/>
      <c r="N985" s="9"/>
      <c r="O985" s="9"/>
      <c r="P985" s="9"/>
      <c r="Q985" s="9"/>
      <c r="R985" s="9"/>
      <c r="S985" s="436"/>
      <c r="T985" s="436"/>
      <c r="U985" s="436"/>
      <c r="V985" s="436"/>
      <c r="W985" s="9"/>
      <c r="X985" s="9"/>
      <c r="Y985" s="9"/>
      <c r="Z985" s="9"/>
      <c r="AA985" s="9"/>
      <c r="AB985" s="9"/>
    </row>
    <row r="986">
      <c r="A986" s="9"/>
      <c r="B986" s="9"/>
      <c r="C986" s="9"/>
      <c r="D986" s="9"/>
      <c r="E986" s="9"/>
      <c r="F986" s="435"/>
      <c r="G986" s="9"/>
      <c r="H986" s="9"/>
      <c r="I986" s="9"/>
      <c r="J986" s="9"/>
      <c r="K986" s="9"/>
      <c r="L986" s="9"/>
      <c r="M986" s="9"/>
      <c r="N986" s="9"/>
      <c r="O986" s="9"/>
      <c r="P986" s="9"/>
      <c r="Q986" s="9"/>
      <c r="R986" s="9"/>
      <c r="S986" s="436"/>
      <c r="T986" s="436"/>
      <c r="U986" s="436"/>
      <c r="V986" s="436"/>
      <c r="W986" s="9"/>
      <c r="X986" s="9"/>
      <c r="Y986" s="9"/>
      <c r="Z986" s="9"/>
      <c r="AA986" s="9"/>
      <c r="AB986" s="9"/>
    </row>
    <row r="987">
      <c r="A987" s="9"/>
      <c r="B987" s="9"/>
      <c r="C987" s="9"/>
      <c r="D987" s="9"/>
      <c r="E987" s="9"/>
      <c r="F987" s="435"/>
      <c r="G987" s="9"/>
      <c r="H987" s="9"/>
      <c r="I987" s="9"/>
      <c r="J987" s="9"/>
      <c r="K987" s="9"/>
      <c r="L987" s="9"/>
      <c r="M987" s="9"/>
      <c r="N987" s="9"/>
      <c r="O987" s="9"/>
      <c r="P987" s="9"/>
      <c r="Q987" s="9"/>
      <c r="R987" s="9"/>
      <c r="S987" s="436"/>
      <c r="T987" s="436"/>
      <c r="U987" s="436"/>
      <c r="V987" s="436"/>
      <c r="W987" s="9"/>
      <c r="X987" s="9"/>
      <c r="Y987" s="9"/>
      <c r="Z987" s="9"/>
      <c r="AA987" s="9"/>
      <c r="AB987" s="9"/>
    </row>
    <row r="988">
      <c r="A988" s="437"/>
      <c r="B988" s="9"/>
      <c r="C988" s="9"/>
      <c r="D988" s="9"/>
      <c r="E988" s="9"/>
      <c r="F988" s="435"/>
      <c r="G988" s="9"/>
      <c r="H988" s="9"/>
      <c r="I988" s="9"/>
      <c r="J988" s="9"/>
      <c r="K988" s="9"/>
      <c r="L988" s="9"/>
      <c r="M988" s="9"/>
      <c r="N988" s="9"/>
      <c r="O988" s="9"/>
      <c r="P988" s="9"/>
      <c r="Q988" s="9"/>
      <c r="R988" s="9"/>
      <c r="S988" s="436"/>
      <c r="T988" s="436"/>
      <c r="U988" s="436"/>
      <c r="V988" s="436"/>
      <c r="W988" s="9"/>
      <c r="X988" s="9"/>
      <c r="Y988" s="9"/>
      <c r="Z988" s="9"/>
      <c r="AA988" s="9"/>
      <c r="AB988" s="9"/>
    </row>
    <row r="989">
      <c r="A989" s="438"/>
      <c r="B989" s="9"/>
      <c r="C989" s="9"/>
      <c r="D989" s="9"/>
      <c r="E989" s="9"/>
      <c r="F989" s="435"/>
      <c r="G989" s="9"/>
      <c r="H989" s="9"/>
      <c r="I989" s="9"/>
      <c r="J989" s="9"/>
      <c r="K989" s="9"/>
      <c r="L989" s="9"/>
      <c r="M989" s="9"/>
      <c r="N989" s="9"/>
      <c r="O989" s="9"/>
      <c r="P989" s="9"/>
      <c r="Q989" s="9"/>
      <c r="R989" s="9"/>
      <c r="S989" s="436"/>
      <c r="T989" s="436"/>
      <c r="U989" s="436"/>
      <c r="V989" s="436"/>
      <c r="W989" s="9"/>
      <c r="X989" s="9"/>
      <c r="Y989" s="9"/>
      <c r="Z989" s="9"/>
      <c r="AA989" s="9"/>
      <c r="AB989" s="9"/>
    </row>
    <row r="990">
      <c r="A990" s="438"/>
      <c r="B990" s="9"/>
      <c r="C990" s="9"/>
      <c r="D990" s="9"/>
      <c r="E990" s="9"/>
      <c r="F990" s="435"/>
      <c r="G990" s="9"/>
      <c r="H990" s="9"/>
      <c r="I990" s="9"/>
      <c r="J990" s="9"/>
      <c r="K990" s="9"/>
      <c r="L990" s="9"/>
      <c r="M990" s="9"/>
      <c r="N990" s="9"/>
      <c r="O990" s="9"/>
      <c r="P990" s="9"/>
      <c r="Q990" s="9"/>
      <c r="R990" s="9"/>
      <c r="S990" s="436"/>
      <c r="T990" s="436"/>
      <c r="U990" s="436"/>
      <c r="V990" s="436"/>
      <c r="W990" s="9"/>
      <c r="X990" s="9"/>
      <c r="Y990" s="9"/>
      <c r="Z990" s="9"/>
      <c r="AA990" s="9"/>
      <c r="AB990" s="9"/>
    </row>
    <row r="991">
      <c r="A991" s="438"/>
      <c r="B991" s="9"/>
      <c r="C991" s="9"/>
      <c r="D991" s="9"/>
      <c r="E991" s="9"/>
      <c r="F991" s="435"/>
      <c r="G991" s="9"/>
      <c r="H991" s="9"/>
      <c r="I991" s="9"/>
      <c r="J991" s="9"/>
      <c r="K991" s="9"/>
      <c r="L991" s="9"/>
      <c r="M991" s="9"/>
      <c r="N991" s="9"/>
      <c r="O991" s="9"/>
      <c r="P991" s="9"/>
      <c r="Q991" s="9"/>
      <c r="R991" s="9"/>
      <c r="S991" s="436"/>
      <c r="T991" s="436"/>
      <c r="U991" s="436"/>
      <c r="V991" s="436"/>
      <c r="W991" s="9"/>
      <c r="X991" s="9"/>
      <c r="Y991" s="9"/>
      <c r="Z991" s="9"/>
      <c r="AA991" s="9"/>
      <c r="AB991" s="9"/>
    </row>
    <row r="992">
      <c r="A992" s="438"/>
      <c r="B992" s="9"/>
      <c r="C992" s="9"/>
      <c r="D992" s="9"/>
      <c r="E992" s="9"/>
      <c r="F992" s="435"/>
      <c r="G992" s="9"/>
      <c r="H992" s="9"/>
      <c r="I992" s="9"/>
      <c r="J992" s="9"/>
      <c r="K992" s="9"/>
      <c r="L992" s="9"/>
      <c r="M992" s="9"/>
      <c r="N992" s="9"/>
      <c r="O992" s="9"/>
      <c r="P992" s="9"/>
      <c r="Q992" s="9"/>
      <c r="R992" s="9"/>
      <c r="S992" s="436"/>
      <c r="T992" s="436"/>
      <c r="U992" s="436"/>
      <c r="V992" s="436"/>
      <c r="W992" s="9"/>
      <c r="X992" s="9"/>
      <c r="Y992" s="9"/>
      <c r="Z992" s="9"/>
      <c r="AA992" s="9"/>
      <c r="AB992" s="9"/>
    </row>
    <row r="993">
      <c r="A993" s="438"/>
      <c r="B993" s="9"/>
      <c r="C993" s="9"/>
      <c r="D993" s="9"/>
      <c r="E993" s="9"/>
      <c r="F993" s="435"/>
      <c r="G993" s="9"/>
      <c r="H993" s="9"/>
      <c r="I993" s="9"/>
      <c r="J993" s="9"/>
      <c r="K993" s="9"/>
      <c r="L993" s="9"/>
      <c r="M993" s="9"/>
      <c r="N993" s="9"/>
      <c r="O993" s="9"/>
      <c r="P993" s="9"/>
      <c r="Q993" s="9"/>
      <c r="R993" s="9"/>
      <c r="S993" s="436"/>
      <c r="T993" s="436"/>
      <c r="U993" s="436"/>
      <c r="V993" s="436"/>
      <c r="W993" s="9"/>
      <c r="X993" s="9"/>
      <c r="Y993" s="9"/>
      <c r="Z993" s="9"/>
      <c r="AA993" s="9"/>
      <c r="AB993" s="9"/>
    </row>
    <row r="994">
      <c r="A994" s="438"/>
      <c r="B994" s="9"/>
      <c r="C994" s="9"/>
      <c r="D994" s="9"/>
      <c r="E994" s="9"/>
      <c r="F994" s="435"/>
      <c r="G994" s="9"/>
      <c r="H994" s="9"/>
      <c r="I994" s="9"/>
      <c r="J994" s="9"/>
      <c r="K994" s="9"/>
      <c r="L994" s="9"/>
      <c r="M994" s="9"/>
      <c r="N994" s="9"/>
      <c r="O994" s="9"/>
      <c r="P994" s="9"/>
      <c r="Q994" s="9"/>
      <c r="R994" s="9"/>
      <c r="S994" s="436"/>
      <c r="T994" s="436"/>
      <c r="U994" s="436"/>
      <c r="V994" s="436"/>
      <c r="W994" s="9"/>
      <c r="X994" s="9"/>
      <c r="Y994" s="9"/>
      <c r="Z994" s="9"/>
      <c r="AA994" s="9"/>
      <c r="AB994" s="9"/>
    </row>
    <row r="995">
      <c r="A995" s="438"/>
      <c r="B995" s="9"/>
      <c r="C995" s="9"/>
      <c r="D995" s="9"/>
      <c r="E995" s="9"/>
      <c r="F995" s="435"/>
      <c r="G995" s="9"/>
      <c r="H995" s="9"/>
      <c r="I995" s="9"/>
      <c r="J995" s="9"/>
      <c r="K995" s="9"/>
      <c r="L995" s="9"/>
      <c r="M995" s="9"/>
      <c r="N995" s="9"/>
      <c r="O995" s="9"/>
      <c r="P995" s="9"/>
      <c r="Q995" s="9"/>
      <c r="R995" s="9"/>
      <c r="S995" s="436"/>
      <c r="T995" s="436"/>
      <c r="U995" s="436"/>
      <c r="V995" s="436"/>
      <c r="W995" s="9"/>
      <c r="X995" s="9"/>
      <c r="Y995" s="9"/>
      <c r="Z995" s="9"/>
      <c r="AA995" s="9"/>
      <c r="AB995" s="9"/>
    </row>
    <row r="996">
      <c r="A996" s="438"/>
      <c r="B996" s="9"/>
      <c r="C996" s="9"/>
      <c r="D996" s="9"/>
      <c r="E996" s="9"/>
      <c r="F996" s="435"/>
      <c r="G996" s="9"/>
      <c r="H996" s="9"/>
      <c r="I996" s="9"/>
      <c r="J996" s="9"/>
      <c r="K996" s="9"/>
      <c r="L996" s="9"/>
      <c r="M996" s="9"/>
      <c r="N996" s="9"/>
      <c r="O996" s="9"/>
      <c r="P996" s="9"/>
      <c r="Q996" s="9"/>
      <c r="R996" s="9"/>
      <c r="S996" s="436"/>
      <c r="T996" s="436"/>
      <c r="U996" s="436"/>
      <c r="V996" s="436"/>
      <c r="W996" s="9"/>
      <c r="X996" s="9"/>
      <c r="Y996" s="9"/>
      <c r="Z996" s="9"/>
      <c r="AA996" s="9"/>
      <c r="AB996" s="9"/>
    </row>
    <row r="997">
      <c r="A997" s="438"/>
      <c r="B997" s="9"/>
      <c r="C997" s="9"/>
      <c r="D997" s="9"/>
      <c r="E997" s="9"/>
      <c r="F997" s="435"/>
      <c r="G997" s="9"/>
      <c r="H997" s="9"/>
      <c r="I997" s="9"/>
      <c r="J997" s="9"/>
      <c r="K997" s="9"/>
      <c r="L997" s="9"/>
      <c r="M997" s="9"/>
      <c r="N997" s="9"/>
      <c r="O997" s="9"/>
      <c r="P997" s="9"/>
      <c r="Q997" s="9"/>
      <c r="R997" s="9"/>
      <c r="S997" s="436"/>
      <c r="T997" s="436"/>
      <c r="U997" s="436"/>
      <c r="V997" s="436"/>
      <c r="W997" s="9"/>
      <c r="X997" s="9"/>
      <c r="Y997" s="9"/>
      <c r="Z997" s="9"/>
      <c r="AA997" s="9"/>
      <c r="AB997" s="9"/>
    </row>
    <row r="998">
      <c r="A998" s="438"/>
      <c r="B998" s="9"/>
      <c r="C998" s="9"/>
      <c r="D998" s="9"/>
      <c r="E998" s="9"/>
      <c r="F998" s="435"/>
      <c r="G998" s="9"/>
      <c r="H998" s="9"/>
      <c r="I998" s="9"/>
      <c r="J998" s="9"/>
      <c r="K998" s="9"/>
      <c r="L998" s="9"/>
      <c r="M998" s="9"/>
      <c r="N998" s="9"/>
      <c r="O998" s="9"/>
      <c r="P998" s="9"/>
      <c r="Q998" s="9"/>
      <c r="R998" s="9"/>
      <c r="S998" s="436"/>
      <c r="T998" s="436"/>
      <c r="U998" s="436"/>
      <c r="V998" s="436"/>
      <c r="W998" s="9"/>
      <c r="X998" s="9"/>
      <c r="Y998" s="9"/>
      <c r="Z998" s="9"/>
      <c r="AA998" s="9"/>
      <c r="AB998" s="9"/>
    </row>
    <row r="999">
      <c r="A999" s="438"/>
      <c r="B999" s="9"/>
      <c r="C999" s="9"/>
      <c r="D999" s="9"/>
      <c r="E999" s="9"/>
      <c r="F999" s="435"/>
      <c r="G999" s="9"/>
      <c r="H999" s="9"/>
      <c r="I999" s="9"/>
      <c r="J999" s="9"/>
      <c r="K999" s="9"/>
      <c r="L999" s="9"/>
      <c r="M999" s="9"/>
      <c r="N999" s="9"/>
      <c r="O999" s="9"/>
      <c r="P999" s="9"/>
      <c r="Q999" s="9"/>
      <c r="R999" s="9"/>
      <c r="S999" s="436"/>
      <c r="T999" s="436"/>
      <c r="U999" s="436"/>
      <c r="V999" s="436"/>
      <c r="W999" s="9"/>
      <c r="X999" s="9"/>
      <c r="Y999" s="9"/>
      <c r="Z999" s="9"/>
      <c r="AA999" s="9"/>
      <c r="AB999" s="9"/>
    </row>
    <row r="1000">
      <c r="A1000" s="438"/>
      <c r="B1000" s="9"/>
      <c r="C1000" s="9"/>
      <c r="D1000" s="9"/>
      <c r="E1000" s="9"/>
      <c r="F1000" s="435"/>
      <c r="G1000" s="9"/>
      <c r="H1000" s="9"/>
      <c r="I1000" s="9"/>
      <c r="J1000" s="9"/>
      <c r="K1000" s="9"/>
      <c r="L1000" s="9"/>
      <c r="M1000" s="9"/>
      <c r="N1000" s="9"/>
      <c r="O1000" s="9"/>
      <c r="P1000" s="9"/>
      <c r="Q1000" s="9"/>
      <c r="R1000" s="9"/>
      <c r="S1000" s="436"/>
      <c r="T1000" s="436"/>
      <c r="U1000" s="436"/>
      <c r="V1000" s="436"/>
      <c r="W1000" s="9"/>
      <c r="X1000" s="9"/>
      <c r="Y1000" s="9"/>
      <c r="Z1000" s="9"/>
      <c r="AA1000" s="9"/>
      <c r="AB1000" s="9"/>
    </row>
    <row r="1001">
      <c r="A1001" s="438"/>
      <c r="B1001" s="9"/>
      <c r="C1001" s="9"/>
      <c r="D1001" s="9"/>
      <c r="E1001" s="9"/>
      <c r="F1001" s="435"/>
      <c r="G1001" s="9"/>
      <c r="H1001" s="9"/>
      <c r="I1001" s="9"/>
      <c r="J1001" s="9"/>
      <c r="K1001" s="9"/>
      <c r="L1001" s="9"/>
      <c r="M1001" s="9"/>
      <c r="N1001" s="9"/>
      <c r="O1001" s="9"/>
      <c r="P1001" s="9"/>
      <c r="Q1001" s="9"/>
      <c r="R1001" s="9"/>
      <c r="S1001" s="436"/>
      <c r="T1001" s="436"/>
      <c r="U1001" s="436"/>
      <c r="V1001" s="436"/>
      <c r="W1001" s="9"/>
      <c r="X1001" s="9"/>
      <c r="Y1001" s="9"/>
      <c r="Z1001" s="9"/>
      <c r="AA1001" s="9"/>
      <c r="AB1001" s="9"/>
    </row>
    <row r="1002">
      <c r="A1002" s="438"/>
      <c r="B1002" s="9"/>
      <c r="C1002" s="9"/>
      <c r="D1002" s="9"/>
      <c r="E1002" s="9"/>
      <c r="F1002" s="435"/>
      <c r="G1002" s="9"/>
      <c r="H1002" s="9"/>
      <c r="I1002" s="9"/>
      <c r="J1002" s="9"/>
      <c r="K1002" s="9"/>
      <c r="L1002" s="9"/>
      <c r="M1002" s="9"/>
      <c r="N1002" s="9"/>
      <c r="O1002" s="9"/>
      <c r="P1002" s="9"/>
      <c r="Q1002" s="9"/>
      <c r="R1002" s="9"/>
      <c r="S1002" s="436"/>
      <c r="T1002" s="436"/>
      <c r="U1002" s="436"/>
      <c r="V1002" s="436"/>
      <c r="W1002" s="9"/>
      <c r="X1002" s="9"/>
      <c r="Y1002" s="9"/>
      <c r="Z1002" s="9"/>
      <c r="AA1002" s="9"/>
      <c r="AB1002" s="9"/>
    </row>
    <row r="1003">
      <c r="A1003" s="438"/>
      <c r="B1003" s="9"/>
      <c r="C1003" s="9"/>
      <c r="D1003" s="9"/>
      <c r="E1003" s="9"/>
      <c r="F1003" s="435"/>
      <c r="G1003" s="9"/>
      <c r="H1003" s="9"/>
      <c r="I1003" s="9"/>
      <c r="J1003" s="9"/>
      <c r="K1003" s="9"/>
      <c r="L1003" s="9"/>
      <c r="M1003" s="9"/>
      <c r="N1003" s="9"/>
      <c r="O1003" s="9"/>
      <c r="P1003" s="9"/>
      <c r="Q1003" s="9"/>
      <c r="R1003" s="9"/>
      <c r="S1003" s="436"/>
      <c r="T1003" s="436"/>
      <c r="U1003" s="436"/>
      <c r="V1003" s="436"/>
      <c r="W1003" s="9"/>
      <c r="X1003" s="9"/>
      <c r="Y1003" s="9"/>
      <c r="Z1003" s="9"/>
      <c r="AA1003" s="9"/>
      <c r="AB1003" s="9"/>
    </row>
    <row r="1004">
      <c r="A1004" s="438"/>
      <c r="B1004" s="9"/>
      <c r="C1004" s="9"/>
      <c r="D1004" s="9"/>
      <c r="E1004" s="9"/>
      <c r="F1004" s="435"/>
      <c r="G1004" s="9"/>
      <c r="H1004" s="9"/>
      <c r="I1004" s="9"/>
      <c r="J1004" s="9"/>
      <c r="K1004" s="9"/>
      <c r="L1004" s="9"/>
      <c r="M1004" s="9"/>
      <c r="N1004" s="9"/>
      <c r="O1004" s="9"/>
      <c r="P1004" s="9"/>
      <c r="Q1004" s="9"/>
      <c r="R1004" s="9"/>
      <c r="S1004" s="436"/>
      <c r="T1004" s="436"/>
      <c r="U1004" s="436"/>
      <c r="V1004" s="436"/>
      <c r="W1004" s="9"/>
      <c r="X1004" s="9"/>
      <c r="Y1004" s="9"/>
      <c r="Z1004" s="9"/>
      <c r="AA1004" s="9"/>
      <c r="AB1004" s="9"/>
    </row>
    <row r="1005">
      <c r="A1005" s="438"/>
      <c r="B1005" s="9"/>
      <c r="C1005" s="9"/>
      <c r="D1005" s="9"/>
      <c r="E1005" s="9"/>
      <c r="F1005" s="435"/>
      <c r="G1005" s="9"/>
      <c r="H1005" s="9"/>
      <c r="I1005" s="9"/>
      <c r="J1005" s="9"/>
      <c r="K1005" s="9"/>
      <c r="L1005" s="9"/>
      <c r="M1005" s="9"/>
      <c r="N1005" s="9"/>
      <c r="O1005" s="9"/>
      <c r="P1005" s="9"/>
      <c r="Q1005" s="9"/>
      <c r="R1005" s="9"/>
      <c r="S1005" s="436"/>
      <c r="T1005" s="436"/>
      <c r="U1005" s="436"/>
      <c r="V1005" s="436"/>
      <c r="W1005" s="9"/>
      <c r="X1005" s="9"/>
      <c r="Y1005" s="9"/>
      <c r="Z1005" s="9"/>
      <c r="AA1005" s="9"/>
      <c r="AB1005" s="9"/>
    </row>
    <row r="1006">
      <c r="A1006" s="438"/>
      <c r="B1006" s="9"/>
      <c r="C1006" s="9"/>
      <c r="D1006" s="9"/>
      <c r="E1006" s="9"/>
      <c r="F1006" s="435"/>
      <c r="G1006" s="9"/>
      <c r="H1006" s="9"/>
      <c r="I1006" s="9"/>
      <c r="J1006" s="9"/>
      <c r="K1006" s="9"/>
      <c r="L1006" s="9"/>
      <c r="M1006" s="9"/>
      <c r="N1006" s="9"/>
      <c r="O1006" s="9"/>
      <c r="P1006" s="9"/>
      <c r="Q1006" s="9"/>
      <c r="R1006" s="9"/>
      <c r="S1006" s="9"/>
      <c r="T1006" s="9"/>
      <c r="U1006" s="9"/>
      <c r="V1006" s="9"/>
      <c r="W1006" s="9"/>
      <c r="X1006" s="9"/>
      <c r="Y1006" s="9"/>
      <c r="Z1006" s="9"/>
      <c r="AA1006" s="9"/>
      <c r="AB1006" s="9"/>
    </row>
    <row r="1007">
      <c r="A1007" s="438"/>
      <c r="B1007" s="9"/>
      <c r="C1007" s="9"/>
      <c r="D1007" s="9"/>
      <c r="E1007" s="9"/>
      <c r="F1007" s="435"/>
      <c r="G1007" s="9"/>
      <c r="H1007" s="9"/>
      <c r="I1007" s="9"/>
      <c r="J1007" s="9"/>
      <c r="K1007" s="9"/>
      <c r="L1007" s="9"/>
      <c r="M1007" s="9"/>
      <c r="N1007" s="9"/>
      <c r="O1007" s="9"/>
      <c r="P1007" s="9"/>
      <c r="Q1007" s="9"/>
      <c r="R1007" s="9"/>
      <c r="S1007" s="9"/>
      <c r="T1007" s="9"/>
      <c r="U1007" s="9"/>
      <c r="V1007" s="9"/>
      <c r="W1007" s="9"/>
      <c r="X1007" s="9"/>
      <c r="Y1007" s="9"/>
      <c r="Z1007" s="9"/>
      <c r="AA1007" s="9"/>
      <c r="AB1007" s="9"/>
    </row>
    <row r="1008">
      <c r="A1008" s="438"/>
      <c r="B1008" s="9"/>
      <c r="C1008" s="9"/>
      <c r="D1008" s="9"/>
      <c r="E1008" s="9"/>
      <c r="F1008" s="435"/>
      <c r="G1008" s="9"/>
      <c r="H1008" s="9"/>
      <c r="I1008" s="9"/>
      <c r="J1008" s="9"/>
      <c r="K1008" s="9"/>
      <c r="L1008" s="9"/>
      <c r="M1008" s="9"/>
      <c r="N1008" s="9"/>
      <c r="O1008" s="9"/>
      <c r="P1008" s="9"/>
      <c r="Q1008" s="9"/>
      <c r="R1008" s="9"/>
      <c r="S1008" s="9"/>
      <c r="T1008" s="9"/>
      <c r="U1008" s="9"/>
      <c r="V1008" s="9"/>
      <c r="W1008" s="9"/>
      <c r="X1008" s="9"/>
      <c r="Y1008" s="9"/>
      <c r="Z1008" s="9"/>
      <c r="AA1008" s="9"/>
      <c r="AB1008" s="9"/>
    </row>
    <row r="1009">
      <c r="A1009" s="438"/>
      <c r="B1009" s="9"/>
      <c r="C1009" s="9"/>
      <c r="D1009" s="9"/>
      <c r="E1009" s="9"/>
      <c r="F1009" s="435"/>
      <c r="G1009" s="9"/>
      <c r="H1009" s="9"/>
      <c r="I1009" s="9"/>
      <c r="J1009" s="9"/>
      <c r="K1009" s="9"/>
      <c r="L1009" s="9"/>
      <c r="M1009" s="9"/>
      <c r="N1009" s="9"/>
      <c r="O1009" s="9"/>
      <c r="P1009" s="9"/>
      <c r="Q1009" s="9"/>
      <c r="R1009" s="9"/>
      <c r="S1009" s="9"/>
      <c r="T1009" s="9"/>
      <c r="U1009" s="9"/>
      <c r="V1009" s="9"/>
      <c r="W1009" s="9"/>
      <c r="X1009" s="9"/>
      <c r="Y1009" s="9"/>
      <c r="Z1009" s="9"/>
      <c r="AA1009" s="9"/>
      <c r="AB1009" s="9"/>
    </row>
    <row r="1010">
      <c r="A1010" s="438"/>
      <c r="B1010" s="9"/>
      <c r="C1010" s="9"/>
      <c r="D1010" s="9"/>
      <c r="E1010" s="9"/>
      <c r="F1010" s="435"/>
      <c r="G1010" s="9"/>
      <c r="H1010" s="9"/>
      <c r="I1010" s="9"/>
      <c r="J1010" s="9"/>
      <c r="K1010" s="9"/>
      <c r="L1010" s="9"/>
      <c r="M1010" s="9"/>
      <c r="N1010" s="9"/>
      <c r="O1010" s="9"/>
      <c r="P1010" s="9"/>
      <c r="Q1010" s="9"/>
      <c r="R1010" s="9"/>
      <c r="S1010" s="9"/>
      <c r="T1010" s="9"/>
      <c r="U1010" s="9"/>
      <c r="V1010" s="9"/>
      <c r="W1010" s="9"/>
      <c r="X1010" s="9"/>
      <c r="Y1010" s="9"/>
      <c r="Z1010" s="9"/>
      <c r="AA1010" s="9"/>
      <c r="AB1010" s="9"/>
    </row>
    <row r="1011">
      <c r="A1011" s="438"/>
      <c r="B1011" s="9"/>
      <c r="C1011" s="9"/>
      <c r="D1011" s="9"/>
      <c r="E1011" s="9"/>
      <c r="F1011" s="435"/>
      <c r="G1011" s="9"/>
      <c r="H1011" s="9"/>
      <c r="I1011" s="9"/>
      <c r="J1011" s="9"/>
      <c r="K1011" s="9"/>
      <c r="L1011" s="9"/>
      <c r="M1011" s="9"/>
      <c r="N1011" s="9"/>
      <c r="O1011" s="9"/>
      <c r="P1011" s="9"/>
      <c r="Q1011" s="9"/>
      <c r="R1011" s="9"/>
      <c r="S1011" s="9"/>
      <c r="T1011" s="9"/>
      <c r="U1011" s="9"/>
      <c r="V1011" s="9"/>
      <c r="W1011" s="9"/>
      <c r="X1011" s="9"/>
      <c r="Y1011" s="9"/>
      <c r="Z1011" s="9"/>
      <c r="AA1011" s="9"/>
      <c r="AB1011" s="9"/>
    </row>
    <row r="1012">
      <c r="A1012" s="438"/>
      <c r="B1012" s="9"/>
      <c r="C1012" s="9"/>
      <c r="D1012" s="9"/>
      <c r="E1012" s="9"/>
      <c r="F1012" s="435"/>
      <c r="G1012" s="9"/>
      <c r="H1012" s="9"/>
      <c r="I1012" s="9"/>
      <c r="J1012" s="9"/>
      <c r="K1012" s="9"/>
      <c r="L1012" s="9"/>
      <c r="M1012" s="9"/>
      <c r="N1012" s="9"/>
      <c r="O1012" s="9"/>
      <c r="P1012" s="9"/>
      <c r="Q1012" s="9"/>
      <c r="R1012" s="9"/>
      <c r="S1012" s="9"/>
      <c r="T1012" s="9"/>
      <c r="U1012" s="9"/>
      <c r="V1012" s="9"/>
      <c r="W1012" s="9"/>
      <c r="X1012" s="9"/>
      <c r="Y1012" s="9"/>
      <c r="Z1012" s="9"/>
      <c r="AA1012" s="9"/>
      <c r="AB1012" s="9"/>
    </row>
    <row r="1013">
      <c r="A1013" s="438"/>
      <c r="B1013" s="9"/>
      <c r="C1013" s="9"/>
      <c r="D1013" s="9"/>
      <c r="E1013" s="9"/>
      <c r="F1013" s="435"/>
      <c r="G1013" s="9"/>
      <c r="H1013" s="9"/>
      <c r="I1013" s="9"/>
      <c r="J1013" s="9"/>
      <c r="K1013" s="9"/>
      <c r="L1013" s="9"/>
      <c r="M1013" s="9"/>
      <c r="N1013" s="9"/>
      <c r="O1013" s="9"/>
      <c r="P1013" s="9"/>
      <c r="Q1013" s="9"/>
      <c r="R1013" s="9"/>
      <c r="S1013" s="9"/>
      <c r="T1013" s="9"/>
      <c r="U1013" s="9"/>
      <c r="V1013" s="9"/>
      <c r="W1013" s="9"/>
      <c r="X1013" s="9"/>
      <c r="Y1013" s="9"/>
      <c r="Z1013" s="9"/>
      <c r="AA1013" s="9"/>
      <c r="AB1013" s="9"/>
    </row>
    <row r="1014">
      <c r="A1014" s="438"/>
      <c r="B1014" s="9"/>
      <c r="C1014" s="9"/>
      <c r="D1014" s="9"/>
      <c r="E1014" s="9"/>
      <c r="F1014" s="435"/>
      <c r="G1014" s="9"/>
      <c r="H1014" s="9"/>
      <c r="I1014" s="9"/>
      <c r="J1014" s="9"/>
      <c r="K1014" s="9"/>
      <c r="L1014" s="9"/>
      <c r="M1014" s="9"/>
      <c r="N1014" s="9"/>
      <c r="O1014" s="9"/>
      <c r="P1014" s="9"/>
      <c r="Q1014" s="9"/>
      <c r="R1014" s="9"/>
      <c r="S1014" s="9"/>
      <c r="T1014" s="9"/>
      <c r="U1014" s="9"/>
      <c r="V1014" s="9"/>
      <c r="W1014" s="9"/>
      <c r="X1014" s="9"/>
      <c r="Y1014" s="9"/>
      <c r="Z1014" s="9"/>
      <c r="AA1014" s="9"/>
      <c r="AB1014" s="9"/>
    </row>
    <row r="1015">
      <c r="A1015" s="438"/>
      <c r="B1015" s="9"/>
      <c r="C1015" s="9"/>
      <c r="D1015" s="9"/>
      <c r="E1015" s="9"/>
      <c r="F1015" s="435"/>
      <c r="G1015" s="9"/>
      <c r="H1015" s="9"/>
      <c r="I1015" s="9"/>
      <c r="J1015" s="9"/>
      <c r="K1015" s="9"/>
      <c r="L1015" s="9"/>
      <c r="M1015" s="9"/>
      <c r="N1015" s="9"/>
      <c r="O1015" s="9"/>
      <c r="P1015" s="9"/>
      <c r="Q1015" s="9"/>
      <c r="R1015" s="9"/>
      <c r="S1015" s="9"/>
      <c r="T1015" s="9"/>
      <c r="U1015" s="9"/>
      <c r="V1015" s="9"/>
      <c r="W1015" s="9"/>
      <c r="X1015" s="9"/>
      <c r="Y1015" s="9"/>
      <c r="Z1015" s="9"/>
      <c r="AA1015" s="9"/>
      <c r="AB1015" s="9"/>
    </row>
    <row r="1016">
      <c r="A1016" s="438"/>
      <c r="B1016" s="9"/>
      <c r="C1016" s="9"/>
      <c r="D1016" s="9"/>
      <c r="E1016" s="9"/>
      <c r="F1016" s="435"/>
      <c r="G1016" s="9"/>
      <c r="H1016" s="9"/>
      <c r="I1016" s="9"/>
      <c r="J1016" s="9"/>
      <c r="K1016" s="9"/>
      <c r="L1016" s="9"/>
      <c r="M1016" s="9"/>
      <c r="N1016" s="9"/>
      <c r="O1016" s="9"/>
      <c r="P1016" s="9"/>
      <c r="Q1016" s="9"/>
      <c r="R1016" s="9"/>
      <c r="S1016" s="9"/>
      <c r="T1016" s="9"/>
      <c r="U1016" s="9"/>
      <c r="V1016" s="9"/>
      <c r="W1016" s="9"/>
      <c r="X1016" s="9"/>
      <c r="Y1016" s="9"/>
      <c r="Z1016" s="9"/>
      <c r="AA1016" s="9"/>
      <c r="AB1016" s="9"/>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88"/>
    <col customWidth="1" min="27" max="27" width="12.13"/>
    <col customWidth="1" min="28" max="28" width="39.38"/>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5"/>
    <col customWidth="1" min="39" max="39" width="11.13"/>
    <col customWidth="1" min="40" max="40" width="39.13"/>
    <col customWidth="1" min="41" max="41" width="19.88"/>
    <col customWidth="1" min="42" max="42" width="41.88"/>
    <col customWidth="1" min="43" max="43" width="12.13"/>
    <col customWidth="1" min="44" max="44" width="39.38"/>
    <col customWidth="1" min="45" max="45" width="19.88"/>
    <col customWidth="1" min="46" max="46" width="41.88"/>
    <col customWidth="1" min="47" max="47" width="12.13"/>
    <col customWidth="1" min="48" max="48" width="39.38"/>
  </cols>
  <sheetData>
    <row r="1" ht="103.5" customHeight="1">
      <c r="A1" s="439" t="s">
        <v>7013</v>
      </c>
      <c r="E1" s="440" t="str">
        <f>IFERROR(__xludf.DUMMYFUNCTION("GOOGLETRANSLATE(A1,""zh-tw"",""ja"")"),"一般的なドロップアイテムは含まれません。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f>
        <v>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v>
      </c>
      <c r="I1" s="439" t="s">
        <v>7014</v>
      </c>
      <c r="M1" s="440"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440" t="str">
        <f>IFERROR(__xludf.DUMMYFUNCTION("GOOGLETRANSLATE(A1,""zh-tw"",""es-MX"")"),"No se incluyen los objetos comunes.
(Equipo y consumibles de calidad blanca y azul de uso general)
Solo se registran las monedas de oro con un valor de $500 o más.
(Número) = Cantidad máxima de objetos que puede soltar repetidamente el mismo monstruo. "&amp;"La probabilidad de obtener objetos repetidos disminuirá y no se mantendrá en la probabilidad original.")</f>
        <v>No se incluyen los objetos comunes.
(Equipo y consumibles de calidad blanca y azul de uso general)
Solo se registran las monedas de oro con un valor de $500 o más.
(Número) = Cantidad máxima de objetos que puede soltar repetidamente el mismo monstruo. La probabilidad de obtener objetos repetidos disminuirá y no se mantendrá en la probabilidad original.</v>
      </c>
      <c r="U1" s="440"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441" t="s">
        <v>7015</v>
      </c>
      <c r="AC1" s="442" t="s">
        <v>7016</v>
      </c>
      <c r="AG1" s="440"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K1" s="443" t="s">
        <v>7017</v>
      </c>
      <c r="AO1" s="439" t="s">
        <v>7018</v>
      </c>
      <c r="AS1" s="439" t="s">
        <v>7019</v>
      </c>
    </row>
    <row r="2" ht="69.75" customHeight="1">
      <c r="A2" s="104" t="s">
        <v>7020</v>
      </c>
      <c r="B2" s="109" t="s">
        <v>7021</v>
      </c>
      <c r="C2" s="106" t="s">
        <v>7022</v>
      </c>
      <c r="D2" s="444" t="s">
        <v>7023</v>
      </c>
      <c r="E2" s="111" t="str">
        <f>IFERROR(__xludf.DUMMYFUNCTION("GOOGLETRANSLATE(A2,""zh-tw"",""ja"")"),"プロジェクト")</f>
        <v>プロジェクト</v>
      </c>
      <c r="F2" s="113" t="str">
        <f>IFERROR(__xludf.DUMMYFUNCTION("GOOGLETRANSLATE(B2,""zh-tw"",""ja"")"),"スペシャルドロップ")</f>
        <v>スペシャルドロップ</v>
      </c>
      <c r="G2" s="106" t="s">
        <v>7022</v>
      </c>
      <c r="H2" s="445" t="str">
        <f>IFERROR(__xludf.DUMMYFUNCTION("GOOGLETRANSLATE(D2,""zh-tw"",""ja"")"),"述べる")</f>
        <v>述べる</v>
      </c>
      <c r="I2" s="111" t="s">
        <v>7024</v>
      </c>
      <c r="J2" s="109" t="s">
        <v>7025</v>
      </c>
      <c r="K2" s="113" t="s">
        <v>7026</v>
      </c>
      <c r="L2" s="444" t="str">
        <f>IFERROR(__xludf.DUMMYFUNCTION("GOOGLETRANSLATE(D2,""zh-tw"",""en"")"),"Remark")</f>
        <v>Remark</v>
      </c>
      <c r="M2" s="111" t="str">
        <f>IFERROR(__xludf.DUMMYFUNCTION("GOOGLETRANSLATE(A2,""zh-tw"",""zh"")"),"项目")</f>
        <v>项目</v>
      </c>
      <c r="N2" s="113" t="str">
        <f>IFERROR(__xludf.DUMMYFUNCTION("GOOGLETRANSLATE(B2,""zh-tw"",""zh"")"),"特殊掉落")</f>
        <v>特殊掉落</v>
      </c>
      <c r="O2" s="113" t="str">
        <f>IFERROR(__xludf.DUMMYFUNCTION("GOOGLETRANSLATE(C2,""zh-tw"",""zh"")"),"机率(%)")</f>
        <v>机率(%)</v>
      </c>
      <c r="P2" s="444" t="str">
        <f>IFERROR(__xludf.DUMMYFUNCTION("GOOGLETRANSLATE(D2,""zh-tw"",""zh"")"),"备注")</f>
        <v>备注</v>
      </c>
      <c r="Q2" s="107" t="s">
        <v>7027</v>
      </c>
      <c r="R2" s="109" t="s">
        <v>7028</v>
      </c>
      <c r="S2" s="109" t="s">
        <v>7029</v>
      </c>
      <c r="T2" s="446" t="s">
        <v>7030</v>
      </c>
      <c r="U2" s="111" t="str">
        <f>IFERROR(__xludf.DUMMYFUNCTION("GOOGLETRANSLATE(A2,""zh-tw"",""KO"")"),"프로젝트")</f>
        <v>프로젝트</v>
      </c>
      <c r="V2" s="106" t="str">
        <f>IFERROR(__xludf.DUMMYFUNCTION("GOOGLETRANSLATE(B2,""zh-tw"",""KO"")"),"특별 드롭")</f>
        <v>특별 드롭</v>
      </c>
      <c r="W2" s="106" t="str">
        <f>IFERROR(__xludf.DUMMYFUNCTION("GOOGLETRANSLATE(C2,""zh-tw"",""KO"")"),"확률(%)")</f>
        <v>확률(%)</v>
      </c>
      <c r="X2" s="445" t="str">
        <f>IFERROR(__xludf.DUMMYFUNCTION("GOOGLETRANSLATE(D2,""zh-tw"",""KO"")"),"주목")</f>
        <v>주목</v>
      </c>
      <c r="Y2" s="447" t="s">
        <v>7031</v>
      </c>
      <c r="Z2" s="448" t="s">
        <v>7032</v>
      </c>
      <c r="AA2" s="449" t="s">
        <v>7033</v>
      </c>
      <c r="AB2" s="450" t="s">
        <v>7034</v>
      </c>
      <c r="AC2" s="104" t="s">
        <v>7035</v>
      </c>
      <c r="AD2" s="106" t="s">
        <v>7036</v>
      </c>
      <c r="AE2" s="106" t="s">
        <v>7037</v>
      </c>
      <c r="AF2" s="444" t="s">
        <v>7038</v>
      </c>
      <c r="AG2" s="451" t="s">
        <v>7039</v>
      </c>
      <c r="AH2" s="109" t="s">
        <v>7040</v>
      </c>
      <c r="AI2" s="452" t="str">
        <f>IFERROR(__xludf.DUMMYFUNCTION("GOOGLETRANSLATE(C2,""zh-tw"",""DE"")"),"Wahrscheinlichkeit (%)")</f>
        <v>Wahrscheinlichkeit (%)</v>
      </c>
      <c r="AJ2" s="444" t="s">
        <v>7041</v>
      </c>
      <c r="AK2" s="453" t="s">
        <v>7042</v>
      </c>
      <c r="AL2" s="454" t="s">
        <v>7043</v>
      </c>
      <c r="AM2" s="455" t="s">
        <v>7044</v>
      </c>
      <c r="AN2" s="456" t="s">
        <v>7045</v>
      </c>
      <c r="AO2" s="111" t="s">
        <v>7046</v>
      </c>
      <c r="AP2" s="109" t="s">
        <v>7047</v>
      </c>
      <c r="AQ2" s="109" t="s">
        <v>7048</v>
      </c>
      <c r="AR2" s="444" t="s">
        <v>7049</v>
      </c>
      <c r="AS2" s="447" t="s">
        <v>7050</v>
      </c>
      <c r="AT2" s="457" t="s">
        <v>7051</v>
      </c>
      <c r="AU2" s="457" t="s">
        <v>7052</v>
      </c>
      <c r="AV2" s="450" t="s">
        <v>7053</v>
      </c>
    </row>
    <row r="3">
      <c r="A3" s="458" t="s">
        <v>7054</v>
      </c>
      <c r="E3" s="459" t="str">
        <f>IFERROR(__xludf.DUMMYFUNCTION("GOOGLETRANSLATE(A3,""zh-tw"",""ja"")"),"小さなモンスター")</f>
        <v>小さなモンスター</v>
      </c>
      <c r="I3" s="459" t="s">
        <v>7055</v>
      </c>
      <c r="M3" s="459" t="str">
        <f>IFERROR(__xludf.DUMMYFUNCTION("GOOGLETRANSLATE(A3,""zh-tw"",""zh"")"),"一般小型怪物")</f>
        <v>一般小型怪物</v>
      </c>
      <c r="Q3" s="460" t="s">
        <v>7056</v>
      </c>
      <c r="U3" s="459" t="str">
        <f>IFERROR(__xludf.DUMMYFUNCTION("GOOGLETRANSLATE(A3,""zh-tw"",""KO"")"),"작은 괴물들")</f>
        <v>작은 괴물들</v>
      </c>
      <c r="Y3" s="461" t="s">
        <v>7057</v>
      </c>
      <c r="AC3" s="458" t="s">
        <v>7058</v>
      </c>
      <c r="AG3" s="459" t="str">
        <f>IFERROR(__xludf.DUMMYFUNCTION("GOOGLETRANSLATE(A2,""zh-tw"",""DE"")"),"Projekt")</f>
        <v>Projekt</v>
      </c>
      <c r="AK3" s="462" t="s">
        <v>7059</v>
      </c>
      <c r="AO3" s="459" t="s">
        <v>7060</v>
      </c>
      <c r="AS3" s="459" t="s">
        <v>7061</v>
      </c>
    </row>
    <row r="4">
      <c r="A4" s="192" t="s">
        <v>7062</v>
      </c>
      <c r="B4" s="194" t="s">
        <v>7063</v>
      </c>
      <c r="C4" s="194" t="s">
        <v>7064</v>
      </c>
      <c r="D4" s="463" t="s">
        <v>1485</v>
      </c>
      <c r="E4" s="204" t="s">
        <v>7065</v>
      </c>
      <c r="F4" s="254" t="s">
        <v>7066</v>
      </c>
      <c r="G4" s="194" t="s">
        <v>7064</v>
      </c>
      <c r="H4" s="463" t="s">
        <v>1485</v>
      </c>
      <c r="I4" s="253" t="s">
        <v>7067</v>
      </c>
      <c r="J4" s="254" t="s">
        <v>7068</v>
      </c>
      <c r="K4" s="254" t="s">
        <v>7064</v>
      </c>
      <c r="L4" s="463" t="str">
        <f>IFERROR(__xludf.DUMMYFUNCTION("GOOGLETRANSLATE(D4,""zh-tw"",""en"")"),"-")</f>
        <v>-</v>
      </c>
      <c r="M4" s="253" t="str">
        <f>IFERROR(__xludf.DUMMYFUNCTION("GOOGLETRANSLATE(A4,""zh-tw"",""zh"")"),"香蕉妖精")</f>
        <v>香蕉妖精</v>
      </c>
      <c r="N4" s="254" t="str">
        <f>IFERROR(__xludf.DUMMYFUNCTION("GOOGLETRANSLATE(B4,""zh-tw"",""zh"")"),"香蕉妖精
香蕉?")</f>
        <v>香蕉妖精
香蕉?</v>
      </c>
      <c r="O4" s="254" t="s">
        <v>7064</v>
      </c>
      <c r="P4" s="464" t="str">
        <f>IFERROR(__xludf.DUMMYFUNCTION("GOOGLETRANSLATE(D4,""zh-tw"",""zh"")"),"-")</f>
        <v>-</v>
      </c>
      <c r="Q4" s="192" t="str">
        <f>IFERROR(__xludf.DUMMYFUNCTION("GOOGLETRANSLATE(A4,""zh-tw"",""es-MX"")"),"Hada del Plátano")</f>
        <v>Hada del Plátano</v>
      </c>
      <c r="R4" s="254" t="str">
        <f>IFERROR(__xludf.DUMMYFUNCTION("GOOGLETRANSLATE(B4,""zh-tw"",""es-MX"")"),"Hada del Plátano
¿Plátano?")</f>
        <v>Hada del Plátano
¿Plátano?</v>
      </c>
      <c r="S4" s="254" t="s">
        <v>7064</v>
      </c>
      <c r="T4" s="463" t="str">
        <f>IFERROR(__xludf.DUMMYFUNCTION("GOOGLETRANSLATE(D4,""zh-tw"",""es-MX"")"),"-")</f>
        <v>-</v>
      </c>
      <c r="U4" s="253" t="str">
        <f>IFERROR(__xludf.DUMMYFUNCTION("GOOGLETRANSLATE(A4,""zh-tw"",""KO"")"),"바나나 요정")</f>
        <v>바나나 요정</v>
      </c>
      <c r="V4" s="194" t="str">
        <f>IFERROR(__xludf.DUMMYFUNCTION("GOOGLETRANSLATE(B4,""zh-tw"",""KO"")"),"바나나 요정
바나나?")</f>
        <v>바나나 요정
바나나?</v>
      </c>
      <c r="W4" s="194" t="s">
        <v>7064</v>
      </c>
      <c r="X4" s="464" t="str">
        <f>IFERROR(__xludf.DUMMYFUNCTION("GOOGLETRANSLATE(D4,""zh-tw"",""KO"")"),"-")</f>
        <v>-</v>
      </c>
      <c r="Y4" s="253" t="s">
        <v>7069</v>
      </c>
      <c r="Z4" s="194" t="s">
        <v>7070</v>
      </c>
      <c r="AA4" s="194" t="s">
        <v>7064</v>
      </c>
      <c r="AB4" s="463" t="s">
        <v>1485</v>
      </c>
      <c r="AC4" s="192" t="s">
        <v>7071</v>
      </c>
      <c r="AD4" s="194" t="s">
        <v>7072</v>
      </c>
      <c r="AE4" s="194" t="s">
        <v>7064</v>
      </c>
      <c r="AF4" s="463" t="s">
        <v>1485</v>
      </c>
      <c r="AG4" s="253" t="s">
        <v>7073</v>
      </c>
      <c r="AH4" s="254" t="s">
        <v>7074</v>
      </c>
      <c r="AI4" s="254" t="s">
        <v>7064</v>
      </c>
      <c r="AJ4" s="463" t="s">
        <v>1485</v>
      </c>
      <c r="AK4" s="237" t="s">
        <v>7075</v>
      </c>
      <c r="AL4" s="465" t="s">
        <v>7076</v>
      </c>
      <c r="AM4" s="465" t="s">
        <v>7064</v>
      </c>
      <c r="AN4" s="466" t="s">
        <v>1485</v>
      </c>
      <c r="AO4" s="253" t="s">
        <v>7077</v>
      </c>
      <c r="AP4" s="254" t="s">
        <v>7078</v>
      </c>
      <c r="AQ4" s="254" t="s">
        <v>7064</v>
      </c>
      <c r="AR4" s="463" t="s">
        <v>1485</v>
      </c>
      <c r="AS4" s="467" t="s">
        <v>7079</v>
      </c>
      <c r="AT4" s="260" t="s">
        <v>7080</v>
      </c>
      <c r="AU4" s="260" t="s">
        <v>7064</v>
      </c>
      <c r="AV4" s="468" t="s">
        <v>1485</v>
      </c>
    </row>
    <row r="5">
      <c r="A5" s="192" t="s">
        <v>7081</v>
      </c>
      <c r="B5" s="194" t="s">
        <v>7082</v>
      </c>
      <c r="C5" s="194" t="s">
        <v>7083</v>
      </c>
      <c r="D5" s="463" t="s">
        <v>1485</v>
      </c>
      <c r="E5" s="204" t="s">
        <v>7084</v>
      </c>
      <c r="F5" s="205" t="s">
        <v>7085</v>
      </c>
      <c r="G5" s="194" t="s">
        <v>7083</v>
      </c>
      <c r="H5" s="464" t="s">
        <v>1485</v>
      </c>
      <c r="I5" s="253" t="s">
        <v>7086</v>
      </c>
      <c r="J5" s="254" t="s">
        <v>7087</v>
      </c>
      <c r="K5" s="254" t="s">
        <v>7083</v>
      </c>
      <c r="L5" s="463" t="str">
        <f>IFERROR(__xludf.DUMMYFUNCTION("GOOGLETRANSLATE(D5,""zh-tw"",""en"")"),"-")</f>
        <v>-</v>
      </c>
      <c r="M5" s="253" t="str">
        <f>IFERROR(__xludf.DUMMYFUNCTION("GOOGLETRANSLATE(A5,""zh-tw"",""zh"")"),"苹果妖精")</f>
        <v>苹果妖精</v>
      </c>
      <c r="N5" s="254" t="str">
        <f>IFERROR(__xludf.DUMMYFUNCTION("GOOGLETRANSLATE(B5,""zh-tw"",""zh"")"),"苹果妖精
苹果头套")</f>
        <v>苹果妖精
苹果头套</v>
      </c>
      <c r="O5" s="254" t="s">
        <v>7083</v>
      </c>
      <c r="P5" s="463" t="str">
        <f>IFERROR(__xludf.DUMMYFUNCTION("GOOGLETRANSLATE(D5,""zh-tw"",""zh"")"),"-")</f>
        <v>-</v>
      </c>
      <c r="Q5" s="192" t="str">
        <f>IFERROR(__xludf.DUMMYFUNCTION("GOOGLETRANSLATE(A5,""zh-tw"",""es-MX"")"),"Hada de las Manzanas")</f>
        <v>Hada de las Manzanas</v>
      </c>
      <c r="R5" s="254" t="str">
        <f>IFERROR(__xludf.DUMMYFUNCTION("GOOGLETRANSLATE(B5,""zh-tw"",""es-MX"")"),"Hada de las Manzanas
Tocado de manzana")</f>
        <v>Hada de las Manzanas
Tocado de manzana</v>
      </c>
      <c r="S5" s="254" t="s">
        <v>7083</v>
      </c>
      <c r="T5" s="463" t="str">
        <f>IFERROR(__xludf.DUMMYFUNCTION("GOOGLETRANSLATE(D5,""zh-tw"",""es-MX"")"),"-")</f>
        <v>-</v>
      </c>
      <c r="U5" s="253" t="str">
        <f>IFERROR(__xludf.DUMMYFUNCTION("GOOGLETRANSLATE(A5,""zh-tw"",""KO"")"),"애플 페어리")</f>
        <v>애플 페어리</v>
      </c>
      <c r="V5" s="194" t="str">
        <f>IFERROR(__xludf.DUMMYFUNCTION("GOOGLETRANSLATE(B5,""zh-tw"",""KO"")"),"사과 요정
사과 머리 장식")</f>
        <v>사과 요정
사과 머리 장식</v>
      </c>
      <c r="W5" s="194" t="s">
        <v>7083</v>
      </c>
      <c r="X5" s="464" t="str">
        <f>IFERROR(__xludf.DUMMYFUNCTION("GOOGLETRANSLATE(D5,""zh-tw"",""KO"")"),"-")</f>
        <v>-</v>
      </c>
      <c r="Y5" s="253" t="s">
        <v>7088</v>
      </c>
      <c r="Z5" s="194" t="s">
        <v>7089</v>
      </c>
      <c r="AA5" s="194" t="s">
        <v>7083</v>
      </c>
      <c r="AB5" s="463" t="s">
        <v>1485</v>
      </c>
      <c r="AC5" s="192" t="s">
        <v>7090</v>
      </c>
      <c r="AD5" s="194" t="s">
        <v>7091</v>
      </c>
      <c r="AE5" s="194" t="s">
        <v>7083</v>
      </c>
      <c r="AF5" s="463" t="s">
        <v>1485</v>
      </c>
      <c r="AG5" s="253" t="s">
        <v>7092</v>
      </c>
      <c r="AH5" s="254" t="s">
        <v>7093</v>
      </c>
      <c r="AI5" s="254" t="s">
        <v>7083</v>
      </c>
      <c r="AJ5" s="463" t="s">
        <v>1485</v>
      </c>
      <c r="AK5" s="237" t="s">
        <v>7094</v>
      </c>
      <c r="AL5" s="465" t="s">
        <v>7095</v>
      </c>
      <c r="AM5" s="465" t="s">
        <v>7083</v>
      </c>
      <c r="AN5" s="466" t="s">
        <v>1485</v>
      </c>
      <c r="AO5" s="253" t="s">
        <v>7096</v>
      </c>
      <c r="AP5" s="254" t="s">
        <v>7097</v>
      </c>
      <c r="AQ5" s="254" t="s">
        <v>7083</v>
      </c>
      <c r="AR5" s="463" t="s">
        <v>1485</v>
      </c>
      <c r="AS5" s="467" t="s">
        <v>7098</v>
      </c>
      <c r="AT5" s="260" t="s">
        <v>7099</v>
      </c>
      <c r="AU5" s="260" t="s">
        <v>7100</v>
      </c>
      <c r="AV5" s="468" t="s">
        <v>1485</v>
      </c>
    </row>
    <row r="6">
      <c r="A6" s="192" t="s">
        <v>7101</v>
      </c>
      <c r="B6" s="194" t="s">
        <v>7102</v>
      </c>
      <c r="C6" s="194" t="s">
        <v>7103</v>
      </c>
      <c r="D6" s="463" t="s">
        <v>1485</v>
      </c>
      <c r="E6" s="204" t="s">
        <v>7104</v>
      </c>
      <c r="F6" s="254" t="s">
        <v>7105</v>
      </c>
      <c r="G6" s="194" t="s">
        <v>7103</v>
      </c>
      <c r="H6" s="464" t="s">
        <v>1485</v>
      </c>
      <c r="I6" s="253" t="s">
        <v>7106</v>
      </c>
      <c r="J6" s="254" t="s">
        <v>7107</v>
      </c>
      <c r="K6" s="254" t="s">
        <v>7103</v>
      </c>
      <c r="L6" s="463" t="str">
        <f>IFERROR(__xludf.DUMMYFUNCTION("GOOGLETRANSLATE(D6,""zh-tw"",""en"")"),"-")</f>
        <v>-</v>
      </c>
      <c r="M6" s="253" t="str">
        <f>IFERROR(__xludf.DUMMYFUNCTION("GOOGLETRANSLATE(A6,""zh-tw"",""zh"")"),"猫咪史莱姆")</f>
        <v>猫咪史莱姆</v>
      </c>
      <c r="N6" s="254" t="str">
        <f>IFERROR(__xludf.DUMMYFUNCTION("GOOGLETRANSLATE(B6,""zh-tw"",""zh"")"),"史莱姆的黏液
借来的猫爪
猫猫玩偶服
招财猫")</f>
        <v>史莱姆的黏液
借来的猫爪
猫猫玩偶服
招财猫</v>
      </c>
      <c r="O6" s="254" t="s">
        <v>7103</v>
      </c>
      <c r="P6" s="464" t="str">
        <f>IFERROR(__xludf.DUMMYFUNCTION("GOOGLETRANSLATE(D6,""zh-tw"",""zh"")"),"-")</f>
        <v>-</v>
      </c>
      <c r="Q6" s="192" t="str">
        <f>IFERROR(__xludf.DUMMYFUNCTION("GOOGLETRANSLATE(A6,""zh-tw"",""es-MX"")"),"Limo de gato")</f>
        <v>Limo de gato</v>
      </c>
      <c r="R6" s="254" t="str">
        <f>IFERROR(__xludf.DUMMYFUNCTION("GOOGLETRANSLATE(B6,""zh-tw"",""es-MX"")"),"Slime slime
Pata de gato prestada
Disfraz de gato
Gato afortunado")</f>
        <v>Slime slime
Pata de gato prestada
Disfraz de gato
Gato afortunado</v>
      </c>
      <c r="S6" s="254" t="s">
        <v>7103</v>
      </c>
      <c r="T6" s="463" t="str">
        <f>IFERROR(__xludf.DUMMYFUNCTION("GOOGLETRANSLATE(D6,""zh-tw"",""es-MX"")"),"-")</f>
        <v>-</v>
      </c>
      <c r="U6" s="253" t="str">
        <f>IFERROR(__xludf.DUMMYFUNCTION("GOOGLETRANSLATE(A6,""zh-tw"",""KO"")"),"고양이 슬라임")</f>
        <v>고양이 슬라임</v>
      </c>
      <c r="V6" s="194" t="str">
        <f>IFERROR(__xludf.DUMMYFUNCTION("GOOGLETRANSLATE(B6,""zh-tw"",""KO"")"),"슬라임 슬라임
빌린 고양이 발
고양이 코스튬
행운의 고양이")</f>
        <v>슬라임 슬라임
빌린 고양이 발
고양이 코스튬
행운의 고양이</v>
      </c>
      <c r="W6" s="194" t="s">
        <v>7103</v>
      </c>
      <c r="X6" s="464" t="str">
        <f>IFERROR(__xludf.DUMMYFUNCTION("GOOGLETRANSLATE(D6,""zh-tw"",""KO"")"),"-")</f>
        <v>-</v>
      </c>
      <c r="Y6" s="253" t="s">
        <v>7108</v>
      </c>
      <c r="Z6" s="194" t="s">
        <v>7109</v>
      </c>
      <c r="AA6" s="194" t="s">
        <v>7103</v>
      </c>
      <c r="AB6" s="463" t="s">
        <v>1485</v>
      </c>
      <c r="AC6" s="192" t="s">
        <v>7108</v>
      </c>
      <c r="AD6" s="194" t="s">
        <v>7110</v>
      </c>
      <c r="AE6" s="194" t="s">
        <v>7103</v>
      </c>
      <c r="AF6" s="463" t="s">
        <v>1485</v>
      </c>
      <c r="AG6" s="253" t="s">
        <v>7111</v>
      </c>
      <c r="AH6" s="254" t="s">
        <v>7112</v>
      </c>
      <c r="AI6" s="254" t="s">
        <v>7103</v>
      </c>
      <c r="AJ6" s="463" t="s">
        <v>1485</v>
      </c>
      <c r="AK6" s="237" t="s">
        <v>7113</v>
      </c>
      <c r="AL6" s="465" t="s">
        <v>7114</v>
      </c>
      <c r="AM6" s="465" t="s">
        <v>7103</v>
      </c>
      <c r="AN6" s="466" t="s">
        <v>1485</v>
      </c>
      <c r="AO6" s="253" t="s">
        <v>7115</v>
      </c>
      <c r="AP6" s="254" t="s">
        <v>7116</v>
      </c>
      <c r="AQ6" s="254" t="s">
        <v>7103</v>
      </c>
      <c r="AR6" s="463" t="s">
        <v>1485</v>
      </c>
      <c r="AS6" s="467" t="s">
        <v>7117</v>
      </c>
      <c r="AT6" s="260" t="s">
        <v>7118</v>
      </c>
      <c r="AU6" s="260" t="s">
        <v>7103</v>
      </c>
      <c r="AV6" s="468" t="s">
        <v>1485</v>
      </c>
    </row>
    <row r="7">
      <c r="A7" s="192" t="s">
        <v>7119</v>
      </c>
      <c r="B7" s="194" t="s">
        <v>7120</v>
      </c>
      <c r="C7" s="194" t="s">
        <v>7121</v>
      </c>
      <c r="D7" s="464" t="s">
        <v>1485</v>
      </c>
      <c r="E7" s="204" t="s">
        <v>7122</v>
      </c>
      <c r="F7" s="254" t="s">
        <v>7123</v>
      </c>
      <c r="G7" s="194" t="s">
        <v>7121</v>
      </c>
      <c r="H7" s="464" t="s">
        <v>1485</v>
      </c>
      <c r="I7" s="253" t="s">
        <v>7124</v>
      </c>
      <c r="J7" s="254" t="s">
        <v>7125</v>
      </c>
      <c r="K7" s="254" t="s">
        <v>7126</v>
      </c>
      <c r="L7" s="463" t="str">
        <f>IFERROR(__xludf.DUMMYFUNCTION("GOOGLETRANSLATE(D7,""zh-tw"",""en"")"),"-")</f>
        <v>-</v>
      </c>
      <c r="M7" s="253" t="str">
        <f>IFERROR(__xludf.DUMMYFUNCTION("GOOGLETRANSLATE(A7,""zh-tw"",""zh"")"),"草食史莱姆")</f>
        <v>草食史莱姆</v>
      </c>
      <c r="N7" s="254" t="str">
        <f>IFERROR(__xludf.DUMMYFUNCTION("GOOGLETRANSLATE(B7,""zh-tw"",""zh"")"),"史莱姆的黏液
芳草心
硬木棒
硬木剑
斩裂剑提尔锋")</f>
        <v>史莱姆的黏液
芳草心
硬木棒
硬木剑
斩裂剑提尔锋</v>
      </c>
      <c r="O7" s="254" t="s">
        <v>7121</v>
      </c>
      <c r="P7" s="464" t="str">
        <f>IFERROR(__xludf.DUMMYFUNCTION("GOOGLETRANSLATE(D7,""zh-tw"",""zh"")"),"-")</f>
        <v>-</v>
      </c>
      <c r="Q7" s="192" t="str">
        <f>IFERROR(__xludf.DUMMYFUNCTION("GOOGLETRANSLATE(A7,""zh-tw"",""es-MX"")"),"limo herbívoro")</f>
        <v>limo herbívoro</v>
      </c>
      <c r="R7" s="254" t="str">
        <f>IFERROR(__xludf.DUMMYFUNCTION("GOOGLETRANSLATE(B7,""zh-tw"",""es-MX"")"),"El limo de Slime
Corazón de hierba fragante
Palo de madera dura
Espada de madera dura
Filo de Tyr (Espada cortante)")</f>
        <v>El limo de Slime
Corazón de hierba fragante
Palo de madera dura
Espada de madera dura
Filo de Tyr (Espada cortante)</v>
      </c>
      <c r="S7" s="254" t="s">
        <v>7121</v>
      </c>
      <c r="T7" s="463" t="str">
        <f>IFERROR(__xludf.DUMMYFUNCTION("GOOGLETRANSLATE(D7,""zh-tw"",""es-MX"")"),"-")</f>
        <v>-</v>
      </c>
      <c r="U7" s="253" t="str">
        <f>IFERROR(__xludf.DUMMYFUNCTION("GOOGLETRANSLATE(A7,""zh-tw"",""KO"")"),"초식성 점액")</f>
        <v>초식성 점액</v>
      </c>
      <c r="V7" s="194"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94" t="s">
        <v>7121</v>
      </c>
      <c r="X7" s="464" t="str">
        <f>IFERROR(__xludf.DUMMYFUNCTION("GOOGLETRANSLATE(D7,""zh-tw"",""KO"")"),"-")</f>
        <v>-</v>
      </c>
      <c r="Y7" s="253" t="s">
        <v>7127</v>
      </c>
      <c r="Z7" s="194" t="s">
        <v>7128</v>
      </c>
      <c r="AA7" s="194" t="s">
        <v>7121</v>
      </c>
      <c r="AB7" s="463" t="s">
        <v>1485</v>
      </c>
      <c r="AC7" s="192" t="s">
        <v>7129</v>
      </c>
      <c r="AD7" s="194" t="s">
        <v>7130</v>
      </c>
      <c r="AE7" s="194" t="s">
        <v>7121</v>
      </c>
      <c r="AF7" s="463" t="s">
        <v>1485</v>
      </c>
      <c r="AG7" s="253" t="s">
        <v>7131</v>
      </c>
      <c r="AH7" s="254" t="s">
        <v>7132</v>
      </c>
      <c r="AI7" s="254" t="s">
        <v>7121</v>
      </c>
      <c r="AJ7" s="463" t="s">
        <v>7133</v>
      </c>
      <c r="AK7" s="237" t="s">
        <v>7134</v>
      </c>
      <c r="AL7" s="68" t="s">
        <v>7135</v>
      </c>
      <c r="AM7" s="465" t="s">
        <v>7121</v>
      </c>
      <c r="AN7" s="466" t="s">
        <v>1485</v>
      </c>
      <c r="AO7" s="253" t="s">
        <v>7136</v>
      </c>
      <c r="AP7" s="254" t="s">
        <v>7137</v>
      </c>
      <c r="AQ7" s="254" t="s">
        <v>7121</v>
      </c>
      <c r="AR7" s="463" t="s">
        <v>1485</v>
      </c>
      <c r="AS7" s="467" t="s">
        <v>7138</v>
      </c>
      <c r="AT7" s="260" t="s">
        <v>7139</v>
      </c>
      <c r="AU7" s="260" t="s">
        <v>7121</v>
      </c>
      <c r="AV7" s="468" t="s">
        <v>1485</v>
      </c>
    </row>
    <row r="8">
      <c r="A8" s="192" t="s">
        <v>7140</v>
      </c>
      <c r="B8" s="205" t="s">
        <v>7141</v>
      </c>
      <c r="C8" s="205" t="s">
        <v>7142</v>
      </c>
      <c r="D8" s="469" t="s">
        <v>7143</v>
      </c>
      <c r="E8" s="192" t="s">
        <v>7144</v>
      </c>
      <c r="F8" s="205" t="s">
        <v>7145</v>
      </c>
      <c r="G8" s="205" t="s">
        <v>7142</v>
      </c>
      <c r="H8" s="464" t="s">
        <v>1485</v>
      </c>
      <c r="I8" s="192" t="s">
        <v>7146</v>
      </c>
      <c r="J8" s="205" t="s">
        <v>7147</v>
      </c>
      <c r="K8" s="205" t="s">
        <v>7142</v>
      </c>
      <c r="L8" s="469" t="s">
        <v>7148</v>
      </c>
      <c r="M8" s="253" t="str">
        <f>IFERROR(__xludf.DUMMYFUNCTION("GOOGLETRANSLATE(A8,""zh-tw"",""zh"")"),"急冻史莱姆")</f>
        <v>急冻史莱姆</v>
      </c>
      <c r="N8" s="254" t="str">
        <f>IFERROR(__xludf.DUMMYFUNCTION("GOOGLETRANSLATE(B8,""zh-tw"",""zh"")"),"史莱姆的黏液
魔力晶簇
雪见
霜月
寒冰杖
永冻结晶")</f>
        <v>史莱姆的黏液
魔力晶簇
雪见
霜月
寒冰杖
永冻结晶</v>
      </c>
      <c r="O8" s="205" t="s">
        <v>7142</v>
      </c>
      <c r="P8" s="463" t="str">
        <f>IFERROR(__xludf.DUMMYFUNCTION("GOOGLETRANSLATE(D8,""zh-tw"",""zh"")"),"* 永冻结晶 是特殊掉落，需要击杀12只以上，有8%机率掉落。")</f>
        <v>* 永冻结晶 是特殊掉落，需要击杀12只以上，有8%机率掉落。</v>
      </c>
      <c r="Q8" s="192" t="str">
        <f>IFERROR(__xludf.DUMMYFUNCTION("GOOGLETRANSLATE(A8,""zh-tw"",""es-MX"")"),"Limo congelado")</f>
        <v>Limo congelado</v>
      </c>
      <c r="R8" s="254" t="str">
        <f>IFERROR(__xludf.DUMMYFUNCTION("GOOGLETRANSLATE(B8,""zh-tw"",""es-MX"")"),"Limo Limo
Grupo de Cristales Mágicos
Vista de Nieve
Luna Helada
Báculo de Hielo
Cristal de Congelación Eterna")</f>
        <v>Limo Limo
Grupo de Cristales Mágicos
Vista de Nieve
Luna Helada
Báculo de Hielo
Cristal de Congelación Eterna</v>
      </c>
      <c r="S8" s="254" t="s">
        <v>7149</v>
      </c>
      <c r="T8" s="463" t="str">
        <f>IFERROR(__xludf.DUMMYFUNCTION("GOOGLETRANSLATE(D8,""zh-tw"",""es-MX"")"),"* El Cristal de Permafrost es un objeto especial que se obtiene al derrotar a 12 o más monstruos, con una probabilidad del 8% de obtenerlo.")</f>
        <v>* El Cristal de Permafrost es un objeto especial que se obtiene al derrotar a 12 o más monstruos, con una probabilidad del 8% de obtenerlo.</v>
      </c>
      <c r="U8" s="253" t="str">
        <f>IFERROR(__xludf.DUMMYFUNCTION("GOOGLETRANSLATE(A8,""zh-tw"",""KO"")"),"냉동 슬라임")</f>
        <v>냉동 슬라임</v>
      </c>
      <c r="V8" s="194" t="str">
        <f>IFERROR(__xludf.DUMMYFUNCTION("GOOGLETRANSLATE(B8,""zh-tw"",""KO"")"),"슬라임 슬라임
매직 크리스탈 클러스터
스노우 뷰
프로스트 문
아이스 스태프
이터널 프리즈 크리스탈")</f>
        <v>슬라임 슬라임
매직 크리스탈 클러스터
스노우 뷰
프로스트 문
아이스 스태프
이터널 프리즈 크리스탈</v>
      </c>
      <c r="W8" s="194" t="s">
        <v>7149</v>
      </c>
      <c r="X8" s="464" t="str">
        <f>IFERROR(__xludf.DUMMYFUNCTION("GOOGLETRANSLATE(D8,""zh-tw"",""KO"")"),"* 영구동토 수정은 특별한 드롭 아이템으로, 몬스터 12마리 이상을 처치해야 획득할 수 있으며, 드롭 확률은 8%입니다.")</f>
        <v>* 영구동토 수정은 특별한 드롭 아이템으로, 몬스터 12마리 이상을 처치해야 획득할 수 있으며, 드롭 확률은 8%입니다.</v>
      </c>
      <c r="Y8" s="253" t="s">
        <v>7150</v>
      </c>
      <c r="Z8" s="205" t="s">
        <v>7151</v>
      </c>
      <c r="AA8" s="205" t="s">
        <v>7142</v>
      </c>
      <c r="AB8" s="469" t="s">
        <v>7152</v>
      </c>
      <c r="AC8" s="192" t="s">
        <v>7153</v>
      </c>
      <c r="AD8" s="205" t="s">
        <v>7154</v>
      </c>
      <c r="AE8" s="194" t="s">
        <v>7149</v>
      </c>
      <c r="AF8" s="469" t="s">
        <v>7155</v>
      </c>
      <c r="AG8" s="253" t="s">
        <v>7156</v>
      </c>
      <c r="AH8" s="254" t="s">
        <v>7157</v>
      </c>
      <c r="AI8" s="254" t="s">
        <v>7149</v>
      </c>
      <c r="AJ8" s="463" t="s">
        <v>7158</v>
      </c>
      <c r="AK8" s="237" t="s">
        <v>7159</v>
      </c>
      <c r="AL8" s="68" t="s">
        <v>7160</v>
      </c>
      <c r="AM8" s="68" t="s">
        <v>7142</v>
      </c>
      <c r="AN8" s="470" t="s">
        <v>7161</v>
      </c>
      <c r="AO8" s="253" t="s">
        <v>7162</v>
      </c>
      <c r="AP8" s="205" t="s">
        <v>7163</v>
      </c>
      <c r="AQ8" s="205" t="s">
        <v>7164</v>
      </c>
      <c r="AR8" s="469" t="s">
        <v>7165</v>
      </c>
      <c r="AS8" s="467" t="s">
        <v>7166</v>
      </c>
      <c r="AT8" s="260" t="s">
        <v>7167</v>
      </c>
      <c r="AU8" s="260" t="s">
        <v>7149</v>
      </c>
      <c r="AV8" s="468" t="s">
        <v>1485</v>
      </c>
    </row>
    <row r="9" ht="41.25" customHeight="1">
      <c r="A9" s="192" t="s">
        <v>7168</v>
      </c>
      <c r="B9" s="194" t="s">
        <v>7169</v>
      </c>
      <c r="C9" s="194" t="s">
        <v>7170</v>
      </c>
      <c r="D9" s="464" t="s">
        <v>1485</v>
      </c>
      <c r="E9" s="204" t="s">
        <v>7171</v>
      </c>
      <c r="F9" s="254" t="s">
        <v>7172</v>
      </c>
      <c r="G9" s="194" t="s">
        <v>7170</v>
      </c>
      <c r="H9" s="464" t="s">
        <v>1485</v>
      </c>
      <c r="I9" s="192" t="s">
        <v>7173</v>
      </c>
      <c r="J9" s="254" t="s">
        <v>7174</v>
      </c>
      <c r="K9" s="254" t="s">
        <v>7170</v>
      </c>
      <c r="L9" s="463" t="str">
        <f>IFERROR(__xludf.DUMMYFUNCTION("GOOGLETRANSLATE(D9,""zh-tw"",""en"")"),"-")</f>
        <v>-</v>
      </c>
      <c r="M9" s="253" t="str">
        <f>IFERROR(__xludf.DUMMYFUNCTION("GOOGLETRANSLATE(A9,""zh-tw"",""zh"")"),"哔哩哔哩史莱姆")</f>
        <v>哔哩哔哩史莱姆</v>
      </c>
      <c r="N9" s="254" t="str">
        <f>IFERROR(__xludf.DUMMYFUNCTION("GOOGLETRANSLATE(B9,""zh-tw"",""zh"")"),"史莱姆的黏液
会漏电的不良品
千鸟")</f>
        <v>史莱姆的黏液
会漏电的不良品
千鸟</v>
      </c>
      <c r="O9" s="254" t="s">
        <v>7170</v>
      </c>
      <c r="P9" s="464" t="str">
        <f>IFERROR(__xludf.DUMMYFUNCTION("GOOGLETRANSLATE(D9,""zh-tw"",""zh"")"),"-")</f>
        <v>-</v>
      </c>
      <c r="Q9" s="192" t="str">
        <f>IFERROR(__xludf.DUMMYFUNCTION("GOOGLETRANSLATE(A9,""zh-tw"",""es-MX"")"),"Limo de bilibili")</f>
        <v>Limo de bilibili</v>
      </c>
      <c r="R9" s="254" t="str">
        <f>IFERROR(__xludf.DUMMYFUNCTION("GOOGLETRANSLATE(B9,""zh-tw"",""es-MX"")"),"El slime de Slime
Producto defectuoso que gotea electricidad
Chidori")</f>
        <v>El slime de Slime
Producto defectuoso que gotea electricidad
Chidori</v>
      </c>
      <c r="S9" s="254" t="s">
        <v>7170</v>
      </c>
      <c r="T9" s="463" t="str">
        <f>IFERROR(__xludf.DUMMYFUNCTION("GOOGLETRANSLATE(D9,""zh-tw"",""es-MX"")"),"-")</f>
        <v>-</v>
      </c>
      <c r="U9" s="253" t="str">
        <f>IFERROR(__xludf.DUMMYFUNCTION("GOOGLETRANSLATE(A9,""zh-tw"",""KO"")"),"빌리빌리 슬라임")</f>
        <v>빌리빌리 슬라임</v>
      </c>
      <c r="V9" s="194" t="str">
        <f>IFERROR(__xludf.DUMMYFUNCTION("GOOGLETRANSLATE(B9,""zh-tw"",""KO"")"),"슬라임의 슬라임
누전되는 불량품
치도리")</f>
        <v>슬라임의 슬라임
누전되는 불량품
치도리</v>
      </c>
      <c r="W9" s="194" t="s">
        <v>7170</v>
      </c>
      <c r="X9" s="464" t="str">
        <f>IFERROR(__xludf.DUMMYFUNCTION("GOOGLETRANSLATE(D9,""zh-tw"",""KO"")"),"-")</f>
        <v>-</v>
      </c>
      <c r="Y9" s="253" t="s">
        <v>7175</v>
      </c>
      <c r="Z9" s="194" t="s">
        <v>7176</v>
      </c>
      <c r="AA9" s="194" t="s">
        <v>7170</v>
      </c>
      <c r="AB9" s="463" t="s">
        <v>1485</v>
      </c>
      <c r="AC9" s="192" t="s">
        <v>7177</v>
      </c>
      <c r="AD9" s="194" t="s">
        <v>7178</v>
      </c>
      <c r="AE9" s="194" t="s">
        <v>7170</v>
      </c>
      <c r="AF9" s="463" t="s">
        <v>1485</v>
      </c>
      <c r="AG9" s="253" t="s">
        <v>7179</v>
      </c>
      <c r="AH9" s="254" t="s">
        <v>7180</v>
      </c>
      <c r="AI9" s="254" t="s">
        <v>7170</v>
      </c>
      <c r="AJ9" s="463" t="s">
        <v>7181</v>
      </c>
      <c r="AK9" s="237" t="s">
        <v>7182</v>
      </c>
      <c r="AL9" s="465" t="s">
        <v>7183</v>
      </c>
      <c r="AM9" s="465" t="s">
        <v>7170</v>
      </c>
      <c r="AN9" s="466" t="s">
        <v>1485</v>
      </c>
      <c r="AO9" s="253" t="s">
        <v>7184</v>
      </c>
      <c r="AP9" s="205" t="s">
        <v>7185</v>
      </c>
      <c r="AQ9" s="254" t="s">
        <v>7170</v>
      </c>
      <c r="AR9" s="463" t="s">
        <v>1485</v>
      </c>
      <c r="AS9" s="467" t="s">
        <v>7186</v>
      </c>
      <c r="AT9" s="260" t="s">
        <v>7187</v>
      </c>
      <c r="AU9" s="260" t="s">
        <v>7170</v>
      </c>
      <c r="AV9" s="468" t="s">
        <v>1485</v>
      </c>
    </row>
    <row r="10">
      <c r="A10" s="192" t="s">
        <v>7188</v>
      </c>
      <c r="B10" s="194" t="s">
        <v>7189</v>
      </c>
      <c r="C10" s="194" t="s">
        <v>7190</v>
      </c>
      <c r="D10" s="463" t="s">
        <v>1485</v>
      </c>
      <c r="E10" s="471" t="s">
        <v>7191</v>
      </c>
      <c r="F10" s="254" t="s">
        <v>7192</v>
      </c>
      <c r="G10" s="194" t="s">
        <v>7190</v>
      </c>
      <c r="H10" s="464" t="s">
        <v>1485</v>
      </c>
      <c r="I10" s="253" t="s">
        <v>7193</v>
      </c>
      <c r="J10" s="254" t="s">
        <v>7194</v>
      </c>
      <c r="K10" s="254" t="s">
        <v>7190</v>
      </c>
      <c r="L10" s="463" t="str">
        <f>IFERROR(__xludf.DUMMYFUNCTION("GOOGLETRANSLATE(D10,""zh-tw"",""en"")"),"-")</f>
        <v>-</v>
      </c>
      <c r="M10" s="253" t="str">
        <f>IFERROR(__xludf.DUMMYFUNCTION("GOOGLETRANSLATE(A10,""zh-tw"",""zh"")"),"角兔")</f>
        <v>角兔</v>
      </c>
      <c r="N10" s="254" t="str">
        <f>IFERROR(__xludf.DUMMYFUNCTION("GOOGLETRANSLATE(B10,""zh-tw"",""zh"")"),"小块兽肉")</f>
        <v>小块兽肉</v>
      </c>
      <c r="O10" s="254" t="s">
        <v>7190</v>
      </c>
      <c r="P10" s="464" t="str">
        <f>IFERROR(__xludf.DUMMYFUNCTION("GOOGLETRANSLATE(D10,""zh-tw"",""zh"")"),"-")</f>
        <v>-</v>
      </c>
      <c r="Q10" s="192" t="str">
        <f>IFERROR(__xludf.DUMMYFUNCTION("GOOGLETRANSLATE(A10,""zh-tw"",""es-MX"")"),"conejo cornudo")</f>
        <v>conejo cornudo</v>
      </c>
      <c r="R10" s="254" t="str">
        <f>IFERROR(__xludf.DUMMYFUNCTION("GOOGLETRANSLATE(B10,""zh-tw"",""es-MX"")"),"Pequeños trozos de carne")</f>
        <v>Pequeños trozos de carne</v>
      </c>
      <c r="S10" s="254" t="s">
        <v>7190</v>
      </c>
      <c r="T10" s="463" t="str">
        <f>IFERROR(__xludf.DUMMYFUNCTION("GOOGLETRANSLATE(D10,""zh-tw"",""es-MX"")"),"-")</f>
        <v>-</v>
      </c>
      <c r="U10" s="253" t="str">
        <f>IFERROR(__xludf.DUMMYFUNCTION("GOOGLETRANSLATE(A10,""zh-tw"",""KO"")"),"뿔토끼")</f>
        <v>뿔토끼</v>
      </c>
      <c r="V10" s="194" t="str">
        <f>IFERROR(__xludf.DUMMYFUNCTION("GOOGLETRANSLATE(B10,""zh-tw"",""KO"")"),"작은 고기 조각들")</f>
        <v>작은 고기 조각들</v>
      </c>
      <c r="W10" s="194" t="s">
        <v>7190</v>
      </c>
      <c r="X10" s="464" t="str">
        <f>IFERROR(__xludf.DUMMYFUNCTION("GOOGLETRANSLATE(D10,""zh-tw"",""KO"")"),"-")</f>
        <v>-</v>
      </c>
      <c r="Y10" s="253" t="s">
        <v>7195</v>
      </c>
      <c r="Z10" s="194" t="s">
        <v>7196</v>
      </c>
      <c r="AA10" s="194" t="s">
        <v>7190</v>
      </c>
      <c r="AB10" s="463" t="s">
        <v>1485</v>
      </c>
      <c r="AC10" s="192" t="s">
        <v>7197</v>
      </c>
      <c r="AD10" s="194" t="s">
        <v>7198</v>
      </c>
      <c r="AE10" s="194" t="s">
        <v>7190</v>
      </c>
      <c r="AF10" s="463" t="s">
        <v>1485</v>
      </c>
      <c r="AG10" s="253" t="s">
        <v>7199</v>
      </c>
      <c r="AH10" s="254" t="s">
        <v>7200</v>
      </c>
      <c r="AI10" s="254" t="s">
        <v>7190</v>
      </c>
      <c r="AJ10" s="463" t="s">
        <v>1485</v>
      </c>
      <c r="AK10" s="237" t="s">
        <v>7201</v>
      </c>
      <c r="AL10" s="465" t="s">
        <v>7202</v>
      </c>
      <c r="AM10" s="465" t="s">
        <v>7190</v>
      </c>
      <c r="AN10" s="466" t="s">
        <v>1485</v>
      </c>
      <c r="AO10" s="253" t="s">
        <v>7203</v>
      </c>
      <c r="AP10" s="254" t="s">
        <v>7204</v>
      </c>
      <c r="AQ10" s="254" t="s">
        <v>7190</v>
      </c>
      <c r="AR10" s="463" t="s">
        <v>1485</v>
      </c>
      <c r="AS10" s="467" t="s">
        <v>7205</v>
      </c>
      <c r="AT10" s="260" t="s">
        <v>7206</v>
      </c>
      <c r="AU10" s="260" t="s">
        <v>7190</v>
      </c>
      <c r="AV10" s="468" t="s">
        <v>1485</v>
      </c>
    </row>
    <row r="11">
      <c r="A11" s="192" t="s">
        <v>7207</v>
      </c>
      <c r="B11" s="194" t="s">
        <v>7208</v>
      </c>
      <c r="C11" s="205" t="s">
        <v>7209</v>
      </c>
      <c r="D11" s="464" t="s">
        <v>7210</v>
      </c>
      <c r="E11" s="192" t="s">
        <v>7211</v>
      </c>
      <c r="F11" s="254" t="s">
        <v>7212</v>
      </c>
      <c r="G11" s="205" t="s">
        <v>7209</v>
      </c>
      <c r="H11" s="469" t="s">
        <v>7213</v>
      </c>
      <c r="I11" s="253" t="s">
        <v>7214</v>
      </c>
      <c r="J11" s="254" t="s">
        <v>7215</v>
      </c>
      <c r="K11" s="205" t="s">
        <v>7209</v>
      </c>
      <c r="L11" s="463" t="s">
        <v>7216</v>
      </c>
      <c r="M11" s="253" t="str">
        <f>IFERROR(__xludf.DUMMYFUNCTION("GOOGLETRANSLATE(A11,""zh-tw"",""zh"")"),"鹿角兔")</f>
        <v>鹿角兔</v>
      </c>
      <c r="N11" s="254" t="str">
        <f>IFERROR(__xludf.DUMMYFUNCTION("GOOGLETRANSLATE(B11,""zh-tw"",""zh"")"),"小块兽肉
红色的角")</f>
        <v>小块兽肉
红色的角</v>
      </c>
      <c r="O11" s="205" t="s">
        <v>7209</v>
      </c>
      <c r="P11" s="464"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92" t="str">
        <f>IFERROR(__xludf.DUMMYFUNCTION("GOOGLETRANSLATE(A11,""zh-tw"",""es-MX"")"),"Conejo con cuernos de ciervo")</f>
        <v>Conejo con cuernos de ciervo</v>
      </c>
      <c r="R11" s="254" t="str">
        <f>IFERROR(__xludf.DUMMYFUNCTION("GOOGLETRANSLATE(B11,""zh-tw"",""es-MX"")"),"Pequeños trozos de carne; cuerno rojo")</f>
        <v>Pequeños trozos de carne; cuerno rojo</v>
      </c>
      <c r="S11" s="205" t="s">
        <v>7209</v>
      </c>
      <c r="T11" s="463" t="str">
        <f>IFERROR(__xludf.DUMMYFUNCTION("GOOGLETRANSLATE(D11,""zh-tw"",""es-MX"")"),"Matar 10 conejos cornudos o una bestia roja desbloquea esta función.
Tras desbloquear el conejo cornudo, cada conejo cornudo que aparezca tiene un 40 % de probabilidad de transformarse en un conejo con cuernos de ciervo.")</f>
        <v>Matar 10 conejos cornudos o una bestia roja desbloquea esta función.
Tras desbloquear el conejo cornudo, cada conejo cornudo que aparezca tiene un 40 % de probabilidad de transformarse en un conejo con cuernos de ciervo.</v>
      </c>
      <c r="U11" s="253" t="str">
        <f>IFERROR(__xludf.DUMMYFUNCTION("GOOGLETRANSLATE(A11,""zh-tw"",""KO"")"),"사슴뿔 토끼")</f>
        <v>사슴뿔 토끼</v>
      </c>
      <c r="V11" s="194" t="str">
        <f>IFERROR(__xludf.DUMMYFUNCTION("GOOGLETRANSLATE(B11,""zh-tw"",""KO"")"),"작은 고기 조각; 붉은 뿔")</f>
        <v>작은 고기 조각; 붉은 뿔</v>
      </c>
      <c r="W11" s="205" t="s">
        <v>7209</v>
      </c>
      <c r="X11" s="464" t="str">
        <f>IFERROR(__xludf.DUMMYFUNCTION("GOOGLETRANSLATE(D11,""zh-tw"",""KO"")"),"뿔토끼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1" s="253" t="s">
        <v>7217</v>
      </c>
      <c r="Z11" s="194" t="s">
        <v>7218</v>
      </c>
      <c r="AA11" s="194" t="s">
        <v>7209</v>
      </c>
      <c r="AB11" s="463" t="s">
        <v>7219</v>
      </c>
      <c r="AC11" s="192" t="s">
        <v>7217</v>
      </c>
      <c r="AD11" s="194" t="s">
        <v>7220</v>
      </c>
      <c r="AE11" s="194" t="s">
        <v>7209</v>
      </c>
      <c r="AF11" s="463" t="s">
        <v>7221</v>
      </c>
      <c r="AG11" s="253" t="str">
        <f>IFERROR(__xludf.DUMMYFUNCTION("GOOGLETRANSLATE(A11,""zh-tw"",""DE"")"),"Hirschgeweih Kaninchen")</f>
        <v>Hirschgeweih Kaninchen</v>
      </c>
      <c r="AH11" s="254" t="str">
        <f>IFERROR(__xludf.DUMMYFUNCTION("GOOGLETRANSLATE(B11,""zh-tw"",""DE"")"),"Kleine Fleischstücke; rotes Horn")</f>
        <v>Kleine Fleischstücke; rotes Horn</v>
      </c>
      <c r="AI11" s="205" t="s">
        <v>7209</v>
      </c>
      <c r="AJ11" s="463"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K11" s="171" t="s">
        <v>7222</v>
      </c>
      <c r="AL11" s="68" t="s">
        <v>7223</v>
      </c>
      <c r="AM11" s="68" t="s">
        <v>7209</v>
      </c>
      <c r="AN11" s="466" t="s">
        <v>1485</v>
      </c>
      <c r="AO11" s="253" t="s">
        <v>7222</v>
      </c>
      <c r="AP11" s="254" t="s">
        <v>7224</v>
      </c>
      <c r="AQ11" s="205" t="s">
        <v>7209</v>
      </c>
      <c r="AR11" s="463" t="s">
        <v>7225</v>
      </c>
      <c r="AS11" s="467" t="s">
        <v>7226</v>
      </c>
      <c r="AT11" s="260" t="s">
        <v>7227</v>
      </c>
      <c r="AU11" s="260" t="s">
        <v>7209</v>
      </c>
      <c r="AV11" s="468" t="s">
        <v>7228</v>
      </c>
    </row>
    <row r="12">
      <c r="A12" s="192" t="s">
        <v>7229</v>
      </c>
      <c r="B12" s="194" t="s">
        <v>7230</v>
      </c>
      <c r="C12" s="205" t="s">
        <v>7231</v>
      </c>
      <c r="D12" s="464" t="s">
        <v>1485</v>
      </c>
      <c r="E12" s="192" t="s">
        <v>7232</v>
      </c>
      <c r="F12" s="254" t="s">
        <v>7233</v>
      </c>
      <c r="G12" s="205" t="s">
        <v>7234</v>
      </c>
      <c r="H12" s="464" t="s">
        <v>1485</v>
      </c>
      <c r="I12" s="253" t="s">
        <v>7235</v>
      </c>
      <c r="J12" s="254" t="s">
        <v>7236</v>
      </c>
      <c r="K12" s="205" t="s">
        <v>7231</v>
      </c>
      <c r="L12" s="463"/>
      <c r="M12" s="253" t="str">
        <f>IFERROR(__xludf.DUMMYFUNCTION("GOOGLETRANSLATE(A12,""zh-tw"",""zh"")"),"""Z""
(蟑螂)")</f>
        <v>"Z"
(蟑螂)</v>
      </c>
      <c r="N12" s="254" t="str">
        <f>IFERROR(__xludf.DUMMYFUNCTION("GOOGLETRANSLATE(B12,""zh-tw"",""zh"")"),"垃圾
阴暗爬行者的馈赠")</f>
        <v>垃圾
阴暗爬行者的馈赠</v>
      </c>
      <c r="O12" s="205" t="s">
        <v>7231</v>
      </c>
      <c r="P12" s="464" t="str">
        <f>IFERROR(__xludf.DUMMYFUNCTION("GOOGLETRANSLATE(D12,""zh-tw"",""zh"")"),"-")</f>
        <v>-</v>
      </c>
      <c r="Q12" s="192" t="str">
        <f>IFERROR(__xludf.DUMMYFUNCTION("GOOGLETRANSLATE(A12,""zh-tw"",""es-MX"")"),"""Z"" (cucaracha)")</f>
        <v>"Z" (cucaracha)</v>
      </c>
      <c r="R12" s="254" t="str">
        <f>IFERROR(__xludf.DUMMYFUNCTION("GOOGLETRANSLATE(B12,""zh-tw"",""es-MX"")"),"Basura; un regalo de los reptadores sombríos")</f>
        <v>Basura; un regalo de los reptadores sombríos</v>
      </c>
      <c r="S12" s="205" t="s">
        <v>7231</v>
      </c>
      <c r="T12" s="463" t="str">
        <f>IFERROR(__xludf.DUMMYFUNCTION("GOOGLETRANSLATE(D12,""zh-tw"",""es-MX"")"),"-")</f>
        <v>-</v>
      </c>
      <c r="U12" s="253" t="str">
        <f>IFERROR(__xludf.DUMMYFUNCTION("GOOGLETRANSLATE(A12,""zh-tw"",""KO"")"),"""Z""(바퀴벌레)")</f>
        <v>"Z"(바퀴벌레)</v>
      </c>
      <c r="V12" s="194" t="str">
        <f>IFERROR(__xludf.DUMMYFUNCTION("GOOGLETRANSLATE(B12,""zh-tw"",""KO"")"),"쓰레기; 그림자 같은 기어다니는 벌레들이 준 선물")</f>
        <v>쓰레기; 그림자 같은 기어다니는 벌레들이 준 선물</v>
      </c>
      <c r="W12" s="205" t="s">
        <v>7231</v>
      </c>
      <c r="X12" s="464" t="str">
        <f>IFERROR(__xludf.DUMMYFUNCTION("GOOGLETRANSLATE(D12,""zh-tw"",""KO"")"),"-")</f>
        <v>-</v>
      </c>
      <c r="Y12" s="253" t="s">
        <v>7237</v>
      </c>
      <c r="Z12" s="194" t="s">
        <v>7238</v>
      </c>
      <c r="AA12" s="194" t="s">
        <v>7231</v>
      </c>
      <c r="AB12" s="464" t="s">
        <v>1485</v>
      </c>
      <c r="AC12" s="192" t="s">
        <v>7237</v>
      </c>
      <c r="AD12" s="194" t="s">
        <v>7239</v>
      </c>
      <c r="AE12" s="194" t="s">
        <v>7231</v>
      </c>
      <c r="AF12" s="463" t="s">
        <v>1485</v>
      </c>
      <c r="AG12" s="253" t="str">
        <f>IFERROR(__xludf.DUMMYFUNCTION("GOOGLETRANSLATE(A12,""zh-tw"",""DE"")"),"""Z"" (Kakerlake)")</f>
        <v>"Z" (Kakerlake)</v>
      </c>
      <c r="AH12" s="205" t="s">
        <v>7240</v>
      </c>
      <c r="AI12" s="205" t="s">
        <v>7231</v>
      </c>
      <c r="AJ12" s="463" t="str">
        <f>IFERROR(__xludf.DUMMYFUNCTION("GOOGLETRANSLATE(D12,""zh-tw"",""DE"")"),"-")</f>
        <v>-</v>
      </c>
      <c r="AK12" s="237" t="s">
        <v>7241</v>
      </c>
      <c r="AL12" s="68" t="s">
        <v>7242</v>
      </c>
      <c r="AM12" s="68" t="s">
        <v>7231</v>
      </c>
      <c r="AN12" s="466" t="s">
        <v>1485</v>
      </c>
      <c r="AO12" s="253" t="s">
        <v>7243</v>
      </c>
      <c r="AP12" s="254" t="s">
        <v>7244</v>
      </c>
      <c r="AQ12" s="205" t="s">
        <v>7231</v>
      </c>
      <c r="AR12" s="463" t="s">
        <v>1485</v>
      </c>
      <c r="AS12" s="467" t="s">
        <v>7245</v>
      </c>
      <c r="AT12" s="260" t="s">
        <v>7246</v>
      </c>
      <c r="AU12" s="260" t="s">
        <v>7231</v>
      </c>
      <c r="AV12" s="472" t="s">
        <v>1485</v>
      </c>
    </row>
    <row r="13">
      <c r="A13" s="458" t="s">
        <v>7247</v>
      </c>
      <c r="E13" s="458" t="str">
        <f>IFERROR(__xludf.DUMMYFUNCTION("GOOGLETRANSLATE(A13,""zh-tw"",""ja"")"),"水中で関連")</f>
        <v>水中で関連</v>
      </c>
      <c r="I13" s="459" t="s">
        <v>7248</v>
      </c>
      <c r="M13" s="459" t="str">
        <f>IFERROR(__xludf.DUMMYFUNCTION("GOOGLETRANSLATE(A13,""zh-tw"",""zh"")"),"水中相关")</f>
        <v>水中相关</v>
      </c>
      <c r="Q13" s="459" t="str">
        <f>IFERROR(__xludf.DUMMYFUNCTION("GOOGLETRANSLATE(A13,""zh-tw"",""es-MX"")"),"Relacionado en el agua")</f>
        <v>Relacionado en el agua</v>
      </c>
      <c r="U13" s="459" t="str">
        <f>IFERROR(__xludf.DUMMYFUNCTION("GOOGLETRANSLATE(A13,""zh-tw"",""KO"")"),"물과 관련된")</f>
        <v>물과 관련된</v>
      </c>
      <c r="Y13" s="131" t="s">
        <v>7249</v>
      </c>
      <c r="AC13" s="458" t="s">
        <v>7250</v>
      </c>
      <c r="AG13" s="459" t="str">
        <f>IFERROR(__xludf.DUMMYFUNCTION("GOOGLETRANSLATE(A12,""zh-tw"",""DE"")"),"""Z"" (Kakerlake)")</f>
        <v>"Z" (Kakerlake)</v>
      </c>
      <c r="AK13" s="462" t="s">
        <v>7251</v>
      </c>
      <c r="AO13" s="459" t="s">
        <v>7252</v>
      </c>
      <c r="AS13" s="473" t="s">
        <v>7253</v>
      </c>
    </row>
    <row r="14">
      <c r="A14" s="157" t="s">
        <v>7254</v>
      </c>
      <c r="B14" s="205" t="s">
        <v>7255</v>
      </c>
      <c r="C14" s="205" t="s">
        <v>7256</v>
      </c>
      <c r="D14" s="464" t="s">
        <v>7257</v>
      </c>
      <c r="E14" s="192" t="s">
        <v>7258</v>
      </c>
      <c r="F14" s="205" t="s">
        <v>7259</v>
      </c>
      <c r="G14" s="205" t="s">
        <v>7256</v>
      </c>
      <c r="H14" s="464" t="s">
        <v>7260</v>
      </c>
      <c r="I14" s="474" t="s">
        <v>7261</v>
      </c>
      <c r="J14" s="205" t="s">
        <v>7262</v>
      </c>
      <c r="K14" s="254" t="s">
        <v>7263</v>
      </c>
      <c r="L14" s="463" t="s">
        <v>7264</v>
      </c>
      <c r="M14" s="253" t="str">
        <f>IFERROR(__xludf.DUMMYFUNCTION("GOOGLETRANSLATE(A14,""zh-tw"",""zh"")"),"神秘的小气泡
(水面)")</f>
        <v>神秘的小气泡
(水面)</v>
      </c>
      <c r="N14" s="254"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254" t="s">
        <v>7263</v>
      </c>
      <c r="P14" s="464" t="str">
        <f>IFERROR(__xludf.DUMMYFUNCTION("GOOGLETRANSLATE(D14,""zh-tw"",""zh"")"),"使用炸弹炸水面
(最多三组掉落物)
(有机率出现敌方生物、河之主BOSS)")</f>
        <v>使用炸弹炸水面
(最多三组掉落物)
(有机率出现敌方生物、河之主BOSS)</v>
      </c>
      <c r="Q14" s="192" t="str">
        <f>IFERROR(__xludf.DUMMYFUNCTION("GOOGLETRANSLATE(A14,""zh-tw"",""es-MX"")"),"Misteriosas burbujitas diminutas
(en la superficie del agua)")</f>
        <v>Misteriosas burbujitas diminutas
(en la superficie del agua)</v>
      </c>
      <c r="R14" s="254" t="str">
        <f>IFERROR(__xludf.DUMMYFUNCTION("GOOGLETRANSLATE(B14,""zh-tw"",""es-MX"")"),"Atún
Pargo rayado
Saury
Mero
Dorada
Tentáculos de pulpo
Camarones dulces
Langosta
Cangrejo peludo
Salmón
Salmón real
Pinza de cangrejo gigante
Caparazón de tortuga verde
◉▽◉(Azul) X△X")</f>
        <v>Atún
Pargo rayado
Saury
Mero
Dorada
Tentáculos de pulpo
Camarones dulces
Langosta
Cangrejo peludo
Salmón
Salmón real
Pinza de cangrejo gigante
Caparazón de tortuga verde
◉▽◉(Azul) X△X</v>
      </c>
      <c r="S14" s="254" t="s">
        <v>7263</v>
      </c>
      <c r="T14" s="463" t="str">
        <f>IFERROR(__xludf.DUMMYFUNCTION("GOOGLETRANSLATE(D14,""zh-tw"",""es-MX"")"),"Usa bombas para volar la superficie del agua.
(Máximo tres conjuntos de botín)
(Posibilidad de encontrar criaturas enemigas o al jefe Señor del Río)")</f>
        <v>Usa bombas para volar la superficie del agua.
(Máximo tres conjuntos de botín)
(Posibilidad de encontrar criaturas enemigas o al jefe Señor del Río)</v>
      </c>
      <c r="U14" s="253" t="str">
        <f>IFERROR(__xludf.DUMMYFUNCTION("GOOGLETRANSLATE(A14,""zh-tw"",""KO"")"),"신비로운 작은 기포들
(물 표면에 떠 있는)")</f>
        <v>신비로운 작은 기포들
(물 표면에 떠 있는)</v>
      </c>
      <c r="V14" s="194" t="str">
        <f>IFERROR(__xludf.DUMMYFUNCTION("GOOGLETRANSLATE(B14,""zh-tw"",""KO"")"),"참치
줄무늬 쏨뱅이
꽁치
능성어
도미
문어 다리
단새우
랍스터
털게
연어
왕연어
대게 집게발
푸른바다거북 등껍질
◉▽◉(파란색) X△X")</f>
        <v>참치
줄무늬 쏨뱅이
꽁치
능성어
도미
문어 다리
단새우
랍스터
털게
연어
왕연어
대게 집게발
푸른바다거북 등껍질
◉▽◉(파란색) X△X</v>
      </c>
      <c r="W14" s="194" t="s">
        <v>7263</v>
      </c>
      <c r="X14" s="464" t="str">
        <f>IFERROR(__xludf.DUMMYFUNCTION("GOOGLETRANSLATE(D14,""zh-tw"",""KO"")"),"폭탄을 사용하여 수면을 폭파하세요.
(최대 3세트의 전리품 획득 가능)
(적 몬스터 또는 리버 로드 보스를 만날 확률이 있습니다.)")</f>
        <v>폭탄을 사용하여 수면을 폭파하세요.
(최대 3세트의 전리품 획득 가능)
(적 몬스터 또는 리버 로드 보스를 만날 확률이 있습니다.)</v>
      </c>
      <c r="Y14" s="253" t="s">
        <v>7265</v>
      </c>
      <c r="Z14" s="194" t="s">
        <v>7266</v>
      </c>
      <c r="AA14" s="194" t="s">
        <v>7263</v>
      </c>
      <c r="AB14" s="463" t="s">
        <v>7267</v>
      </c>
      <c r="AC14" s="192" t="s">
        <v>7268</v>
      </c>
      <c r="AD14" s="194" t="s">
        <v>7269</v>
      </c>
      <c r="AE14" s="194" t="s">
        <v>7263</v>
      </c>
      <c r="AF14" s="463" t="s">
        <v>7270</v>
      </c>
      <c r="AG14" s="253" t="s">
        <v>7271</v>
      </c>
      <c r="AH14" s="205" t="s">
        <v>7272</v>
      </c>
      <c r="AI14" s="254" t="s">
        <v>7263</v>
      </c>
      <c r="AJ14" s="463" t="s">
        <v>7273</v>
      </c>
      <c r="AK14" s="475" t="s">
        <v>7274</v>
      </c>
      <c r="AL14" s="68" t="s">
        <v>7275</v>
      </c>
      <c r="AM14" s="465" t="s">
        <v>7263</v>
      </c>
      <c r="AN14" s="466" t="s">
        <v>7276</v>
      </c>
      <c r="AO14" s="264" t="s">
        <v>7277</v>
      </c>
      <c r="AP14" s="205" t="s">
        <v>7278</v>
      </c>
      <c r="AQ14" s="254" t="s">
        <v>7263</v>
      </c>
      <c r="AR14" s="463" t="s">
        <v>7279</v>
      </c>
      <c r="AS14" s="467" t="s">
        <v>7280</v>
      </c>
      <c r="AT14" s="260" t="s">
        <v>7281</v>
      </c>
      <c r="AU14" s="260" t="s">
        <v>7282</v>
      </c>
      <c r="AV14" s="468" t="s">
        <v>7283</v>
      </c>
    </row>
    <row r="15">
      <c r="A15" s="157" t="s">
        <v>7284</v>
      </c>
      <c r="B15" s="205" t="s">
        <v>7285</v>
      </c>
      <c r="C15" s="194" t="s">
        <v>7286</v>
      </c>
      <c r="D15" s="464" t="s">
        <v>7287</v>
      </c>
      <c r="E15" s="192" t="s">
        <v>7288</v>
      </c>
      <c r="F15" s="205" t="s">
        <v>7289</v>
      </c>
      <c r="G15" s="194" t="s">
        <v>7286</v>
      </c>
      <c r="H15" s="464" t="s">
        <v>7290</v>
      </c>
      <c r="I15" s="474" t="s">
        <v>7291</v>
      </c>
      <c r="J15" s="205" t="s">
        <v>7292</v>
      </c>
      <c r="K15" s="254" t="s">
        <v>7286</v>
      </c>
      <c r="L15" s="463" t="s">
        <v>7293</v>
      </c>
      <c r="M15" s="253" t="str">
        <f>IFERROR(__xludf.DUMMYFUNCTION("GOOGLETRANSLATE(A15,""zh-tw"",""zh"")"),"神秘的大气泡
(水面)")</f>
        <v>神秘的大气泡
(水面)</v>
      </c>
      <c r="N15" s="254" t="str">
        <f>IFERROR(__xludf.DUMMYFUNCTION("GOOGLETRANSLATE(B15,""zh-tw"",""zh"")"),"随机鱼类
垃圾
随机符文
绿龟壳
巨大蟹钳
◉▽◉(蓝色)
X△X")</f>
        <v>随机鱼类
垃圾
随机符文
绿龟壳
巨大蟹钳
◉▽◉(蓝色)
X△X</v>
      </c>
      <c r="O15" s="254" t="s">
        <v>7286</v>
      </c>
      <c r="P15" s="464" t="str">
        <f>IFERROR(__xludf.DUMMYFUNCTION("GOOGLETRANSLATE(D15,""zh-tw"",""zh"")"),"使用炸弹炸水面
(最多一组掉落物)
(目前无敌方生物、无BOSS)")</f>
        <v>使用炸弹炸水面
(最多一组掉落物)
(目前无敌方生物、无BOSS)</v>
      </c>
      <c r="Q15" s="192" t="str">
        <f>IFERROR(__xludf.DUMMYFUNCTION("GOOGLETRANSLATE(A15,""zh-tw"",""es-MX"")"),"Misteriosas burbujas gigantes
(en la superficie del agua)")</f>
        <v>Misteriosas burbujas gigantes
(en la superficie del agua)</v>
      </c>
      <c r="R15" s="254" t="str">
        <f>IFERROR(__xludf.DUMMYFUNCTION("GOOGLETRANSLATE(B15,""zh-tw"",""es-MX"")"),"Peces aleatorios
Basura
Runas aleatorias
Caparazón de tortuga verde
Pinza de cangrejo gigante
◉▽◉(Azul)
X△X")</f>
        <v>Peces aleatorios
Basura
Runas aleatorias
Caparazón de tortuga verde
Pinza de cangrejo gigante
◉▽◉(Azul)
X△X</v>
      </c>
      <c r="S15" s="254" t="s">
        <v>7286</v>
      </c>
      <c r="T15" s="463" t="str">
        <f>IFERROR(__xludf.DUMMYFUNCTION("GOOGLETRANSLATE(D15,""zh-tw"",""es-MX"")"),"Usa bombas para volar la superficie del agua.
(Máximo un conjunto de botín)
(Actualmente no hay criaturas enemigas ni jefes)")</f>
        <v>Usa bombas para volar la superficie del agua.
(Máximo un conjunto de botín)
(Actualmente no hay criaturas enemigas ni jefes)</v>
      </c>
      <c r="U15" s="253" t="str">
        <f>IFERROR(__xludf.DUMMYFUNCTION("GOOGLETRANSLATE(A15,""zh-tw"",""KO"")"),"정체를 알 수 없는 거대한 거품들
(수면 위에)")</f>
        <v>정체를 알 수 없는 거대한 거품들
(수면 위에)</v>
      </c>
      <c r="V15" s="194" t="str">
        <f>IFERROR(__xludf.DUMMYFUNCTION("GOOGLETRANSLATE(B15,""zh-tw"",""KO"")"),"랜덤 물고기
잡동사니
랜덤 룬
초록 거북 등껍질
거대 게 발톱
◉▽◉(파란색)
X△X")</f>
        <v>랜덤 물고기
잡동사니
랜덤 룬
초록 거북 등껍질
거대 게 발톱
◉▽◉(파란색)
X△X</v>
      </c>
      <c r="W15" s="194" t="s">
        <v>7286</v>
      </c>
      <c r="X15" s="464"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253" t="s">
        <v>7294</v>
      </c>
      <c r="Z15" s="205" t="s">
        <v>7295</v>
      </c>
      <c r="AA15" s="194" t="s">
        <v>7286</v>
      </c>
      <c r="AB15" s="463" t="s">
        <v>7296</v>
      </c>
      <c r="AC15" s="192" t="s">
        <v>7297</v>
      </c>
      <c r="AD15" s="194" t="s">
        <v>7298</v>
      </c>
      <c r="AE15" s="194" t="s">
        <v>7286</v>
      </c>
      <c r="AF15" s="463" t="s">
        <v>7299</v>
      </c>
      <c r="AG15" s="253" t="s">
        <v>7300</v>
      </c>
      <c r="AH15" s="205" t="s">
        <v>7301</v>
      </c>
      <c r="AI15" s="254" t="s">
        <v>7286</v>
      </c>
      <c r="AJ15" s="463" t="s">
        <v>7302</v>
      </c>
      <c r="AK15" s="475" t="s">
        <v>7303</v>
      </c>
      <c r="AL15" s="68" t="s">
        <v>7304</v>
      </c>
      <c r="AM15" s="465" t="s">
        <v>7286</v>
      </c>
      <c r="AN15" s="466" t="s">
        <v>7305</v>
      </c>
      <c r="AO15" s="264" t="s">
        <v>7306</v>
      </c>
      <c r="AP15" s="205" t="s">
        <v>7307</v>
      </c>
      <c r="AQ15" s="254" t="s">
        <v>7286</v>
      </c>
      <c r="AR15" s="463" t="s">
        <v>7308</v>
      </c>
      <c r="AS15" s="467" t="s">
        <v>7309</v>
      </c>
      <c r="AT15" s="260" t="s">
        <v>7310</v>
      </c>
      <c r="AU15" s="260" t="s">
        <v>7286</v>
      </c>
      <c r="AV15" s="468" t="s">
        <v>7311</v>
      </c>
    </row>
    <row r="16">
      <c r="A16" s="192" t="s">
        <v>7312</v>
      </c>
      <c r="B16" s="194" t="s">
        <v>7313</v>
      </c>
      <c r="C16" s="194" t="s">
        <v>7314</v>
      </c>
      <c r="D16" s="464" t="s">
        <v>7315</v>
      </c>
      <c r="E16" s="253" t="s">
        <v>7312</v>
      </c>
      <c r="F16" s="254" t="s">
        <v>7316</v>
      </c>
      <c r="G16" s="194" t="s">
        <v>7314</v>
      </c>
      <c r="H16" s="464" t="s">
        <v>7317</v>
      </c>
      <c r="I16" s="253" t="s">
        <v>7318</v>
      </c>
      <c r="J16" s="254" t="s">
        <v>7319</v>
      </c>
      <c r="K16" s="254" t="s">
        <v>7314</v>
      </c>
      <c r="L16" s="463" t="s">
        <v>7320</v>
      </c>
      <c r="M16" s="253" t="str">
        <f>IFERROR(__xludf.DUMMYFUNCTION("GOOGLETRANSLATE(A16,""zh-tw"",""zh"")"),"鱼影
(水面)")</f>
        <v>鱼影
(水面)</v>
      </c>
      <c r="N16" s="254" t="str">
        <f>IFERROR(__xludf.DUMMYFUNCTION("GOOGLETRANSLATE(B16,""zh-tw"",""zh"")"),"金枪鱼
条石鲷
秋刀鱼
鲷鱼
鲑鱼
帝王鲑")</f>
        <v>金枪鱼
条石鲷
秋刀鱼
鲷鱼
鲑鱼
帝王鲑</v>
      </c>
      <c r="O16" s="254" t="s">
        <v>7314</v>
      </c>
      <c r="P16" s="464" t="str">
        <f>IFERROR(__xludf.DUMMYFUNCTION("GOOGLETRANSLATE(D16,""zh-tw"",""zh"")"),"使用攻击或者触碰捕捉
(仅掉落食材)")</f>
        <v>使用攻击或者触碰捕捉
(仅掉落食材)</v>
      </c>
      <c r="Q16" s="192" t="str">
        <f>IFERROR(__xludf.DUMMYFUNCTION("GOOGLETRANSLATE(A16,""zh-tw"",""es-MX"")"),"Sombras de peces (en la superficie del agua)")</f>
        <v>Sombras de peces (en la superficie del agua)</v>
      </c>
      <c r="R16" s="254" t="str">
        <f>IFERROR(__xludf.DUMMYFUNCTION("GOOGLETRANSLATE(B16,""zh-tw"",""es-MX"")"),"Atún, dorada rayada, saury del Pacífico, dorada, salmón, salmón real")</f>
        <v>Atún, dorada rayada, saury del Pacífico, dorada, salmón, salmón real</v>
      </c>
      <c r="S16" s="254" t="s">
        <v>7314</v>
      </c>
      <c r="T16" s="463" t="str">
        <f>IFERROR(__xludf.DUMMYFUNCTION("GOOGLETRANSLATE(D16,""zh-tw"",""es-MX"")"),"Usa ataques o el tacto para capturar (solo caerán los ingredientes).")</f>
        <v>Usa ataques o el tacto para capturar (solo caerán los ingredientes).</v>
      </c>
      <c r="U16" s="253" t="str">
        <f>IFERROR(__xludf.DUMMYFUNCTION("GOOGLETRANSLATE(A16,""zh-tw"",""KO"")"),"물 표면에 드리워진 물고기 그림자")</f>
        <v>물 표면에 드리워진 물고기 그림자</v>
      </c>
      <c r="V16" s="194" t="str">
        <f>IFERROR(__xludf.DUMMYFUNCTION("GOOGLETRANSLATE(B16,""zh-tw"",""KO"")"),"참치, 줄무늬볼락, 꽁치, 도미, 연어, 왕연어")</f>
        <v>참치, 줄무늬볼락, 꽁치, 도미, 연어, 왕연어</v>
      </c>
      <c r="W16" s="194" t="s">
        <v>7314</v>
      </c>
      <c r="X16" s="464" t="str">
        <f>IFERROR(__xludf.DUMMYFUNCTION("GOOGLETRANSLATE(D16,""zh-tw"",""KO"")"),"공격이나 접촉을 이용하여 재료를 포획하세요 (재료만 드롭됩니다).")</f>
        <v>공격이나 접촉을 이용하여 재료를 포획하세요 (재료만 드롭됩니다).</v>
      </c>
      <c r="Y16" s="253" t="s">
        <v>7321</v>
      </c>
      <c r="Z16" s="194" t="s">
        <v>7322</v>
      </c>
      <c r="AA16" s="194" t="s">
        <v>7314</v>
      </c>
      <c r="AB16" s="463" t="s">
        <v>7323</v>
      </c>
      <c r="AC16" s="192" t="s">
        <v>7324</v>
      </c>
      <c r="AD16" s="194" t="s">
        <v>7325</v>
      </c>
      <c r="AE16" s="194" t="s">
        <v>7314</v>
      </c>
      <c r="AF16" s="463" t="s">
        <v>7326</v>
      </c>
      <c r="AG16" s="253" t="s">
        <v>7327</v>
      </c>
      <c r="AH16" s="254" t="s">
        <v>7328</v>
      </c>
      <c r="AI16" s="254" t="s">
        <v>7314</v>
      </c>
      <c r="AJ16" s="463" t="s">
        <v>7329</v>
      </c>
      <c r="AK16" s="237" t="s">
        <v>7330</v>
      </c>
      <c r="AL16" s="465" t="s">
        <v>7331</v>
      </c>
      <c r="AM16" s="465" t="s">
        <v>7314</v>
      </c>
      <c r="AN16" s="466" t="s">
        <v>7332</v>
      </c>
      <c r="AO16" s="253" t="s">
        <v>7333</v>
      </c>
      <c r="AP16" s="254" t="s">
        <v>7334</v>
      </c>
      <c r="AQ16" s="254" t="s">
        <v>7314</v>
      </c>
      <c r="AR16" s="463" t="s">
        <v>7335</v>
      </c>
      <c r="AS16" s="467" t="s">
        <v>7336</v>
      </c>
      <c r="AT16" s="260" t="s">
        <v>7337</v>
      </c>
      <c r="AU16" s="260" t="s">
        <v>7314</v>
      </c>
      <c r="AV16" s="468" t="s">
        <v>7338</v>
      </c>
    </row>
    <row r="17">
      <c r="A17" s="192" t="s">
        <v>7339</v>
      </c>
      <c r="B17" s="194" t="s">
        <v>7340</v>
      </c>
      <c r="C17" s="194" t="s">
        <v>7341</v>
      </c>
      <c r="D17" s="463" t="s">
        <v>1485</v>
      </c>
      <c r="E17" s="253" t="s">
        <v>7339</v>
      </c>
      <c r="F17" s="194" t="str">
        <f>IFERROR(__xludf.DUMMYFUNCTION("GOOGLETRANSLATE(B17,""zh-tw"",""ja"")"),"水の怪物スライム
魔法の水晶クラスター
潮汐の詩")</f>
        <v>水の怪物スライム
魔法の水晶クラスター
潮汐の詩</v>
      </c>
      <c r="G17" s="194" t="s">
        <v>7341</v>
      </c>
      <c r="H17" s="464" t="str">
        <f>IFERROR(__xludf.DUMMYFUNCTION("GOOGLETRANSLATE(D17,""zh-tw"",""ja"")"),"-")</f>
        <v>-</v>
      </c>
      <c r="I17" s="192" t="s">
        <v>7342</v>
      </c>
      <c r="J17" s="205" t="s">
        <v>7343</v>
      </c>
      <c r="K17" s="254" t="s">
        <v>7341</v>
      </c>
      <c r="L17" s="463" t="str">
        <f>IFERROR(__xludf.DUMMYFUNCTION("GOOGLETRANSLATE(D17,""zh-tw"",""en"")"),"-")</f>
        <v>-</v>
      </c>
      <c r="M17" s="253" t="str">
        <f>IFERROR(__xludf.DUMMYFUNCTION("GOOGLETRANSLATE(A17,""zh-tw"",""zh"")"),"水怪")</f>
        <v>水怪</v>
      </c>
      <c r="N17" s="254" t="str">
        <f>IFERROR(__xludf.DUMMYFUNCTION("GOOGLETRANSLATE(B17,""zh-tw"",""zh"")"),"水怪黏液
魔力晶簇
潮汐之诗")</f>
        <v>水怪黏液
魔力晶簇
潮汐之诗</v>
      </c>
      <c r="O17" s="254" t="s">
        <v>7341</v>
      </c>
      <c r="P17" s="464" t="str">
        <f>IFERROR(__xludf.DUMMYFUNCTION("GOOGLETRANSLATE(D17,""zh-tw"",""zh"")"),"-")</f>
        <v>-</v>
      </c>
      <c r="Q17" s="192" t="str">
        <f>IFERROR(__xludf.DUMMYFUNCTION("GOOGLETRANSLATE(A17,""zh-tw"",""es-MX"")"),"Monstruo de agua")</f>
        <v>Monstruo de agua</v>
      </c>
      <c r="R17" s="194" t="str">
        <f>IFERROR(__xludf.DUMMYFUNCTION("GOOGLETRANSLATE(B17,""zh-tw"",""es-MX"")"),"Monstruo acuático de limo
Grupo de cristales mágicos
Poema de las mareas")</f>
        <v>Monstruo acuático de limo
Grupo de cristales mágicos
Poema de las mareas</v>
      </c>
      <c r="S17" s="254" t="s">
        <v>7341</v>
      </c>
      <c r="T17" s="463" t="str">
        <f>IFERROR(__xludf.DUMMYFUNCTION("GOOGLETRANSLATE(D17,""zh-tw"",""es-MX"")"),"-")</f>
        <v>-</v>
      </c>
      <c r="U17" s="253" t="str">
        <f>IFERROR(__xludf.DUMMYFUNCTION("GOOGLETRANSLATE(A17,""zh-tw"",""KO"")"),"물 괴물")</f>
        <v>물 괴물</v>
      </c>
      <c r="V17" s="194" t="str">
        <f>IFERROR(__xludf.DUMMYFUNCTION("GOOGLETRANSLATE(B17,""zh-tw"",""KO"")"),"물 괴물 슬라임
마법 수정 덩어리
조수 시")</f>
        <v>물 괴물 슬라임
마법 수정 덩어리
조수 시</v>
      </c>
      <c r="W17" s="194" t="s">
        <v>7341</v>
      </c>
      <c r="X17" s="464" t="str">
        <f>IFERROR(__xludf.DUMMYFUNCTION("GOOGLETRANSLATE(D17,""zh-tw"",""KO"")"),"-")</f>
        <v>-</v>
      </c>
      <c r="Y17" s="253" t="s">
        <v>7344</v>
      </c>
      <c r="Z17" s="194" t="s">
        <v>7345</v>
      </c>
      <c r="AA17" s="194" t="s">
        <v>7341</v>
      </c>
      <c r="AB17" s="463" t="s">
        <v>1485</v>
      </c>
      <c r="AC17" s="192" t="s">
        <v>7346</v>
      </c>
      <c r="AD17" s="194" t="s">
        <v>7347</v>
      </c>
      <c r="AE17" s="194" t="s">
        <v>7341</v>
      </c>
      <c r="AF17" s="463" t="s">
        <v>1485</v>
      </c>
      <c r="AG17" s="253" t="s">
        <v>7348</v>
      </c>
      <c r="AH17" s="254" t="s">
        <v>7349</v>
      </c>
      <c r="AI17" s="254" t="s">
        <v>7341</v>
      </c>
      <c r="AJ17" s="469" t="s">
        <v>7350</v>
      </c>
      <c r="AK17" s="171" t="s">
        <v>7351</v>
      </c>
      <c r="AL17" s="68" t="s">
        <v>7352</v>
      </c>
      <c r="AM17" s="465" t="s">
        <v>7341</v>
      </c>
      <c r="AN17" s="466" t="s">
        <v>1485</v>
      </c>
      <c r="AO17" s="253" t="s">
        <v>7342</v>
      </c>
      <c r="AP17" s="254" t="s">
        <v>7353</v>
      </c>
      <c r="AQ17" s="254" t="s">
        <v>7341</v>
      </c>
      <c r="AR17" s="463" t="s">
        <v>1485</v>
      </c>
      <c r="AS17" s="467" t="s">
        <v>7342</v>
      </c>
      <c r="AT17" s="260" t="s">
        <v>7354</v>
      </c>
      <c r="AU17" s="260" t="s">
        <v>7341</v>
      </c>
      <c r="AV17" s="468" t="s">
        <v>1485</v>
      </c>
    </row>
    <row r="18">
      <c r="A18" s="192" t="s">
        <v>7355</v>
      </c>
      <c r="B18" s="194" t="s">
        <v>7356</v>
      </c>
      <c r="C18" s="194">
        <v>100.0</v>
      </c>
      <c r="D18" s="464" t="s">
        <v>7357</v>
      </c>
      <c r="E18" s="253" t="s">
        <v>7358</v>
      </c>
      <c r="F18" s="194" t="s">
        <v>7359</v>
      </c>
      <c r="G18" s="194">
        <v>100.0</v>
      </c>
      <c r="H18" s="464" t="s">
        <v>7360</v>
      </c>
      <c r="I18" s="192" t="s">
        <v>7361</v>
      </c>
      <c r="J18" s="254" t="s">
        <v>7362</v>
      </c>
      <c r="K18" s="254">
        <v>100.0</v>
      </c>
      <c r="L18" s="463" t="s">
        <v>7363</v>
      </c>
      <c r="M18" s="253" t="str">
        <f>IFERROR(__xludf.DUMMYFUNCTION("GOOGLETRANSLATE(A18,""zh-tw"",""zh"")"),"萨卡班甲鱼(小)")</f>
        <v>萨卡班甲鱼(小)</v>
      </c>
      <c r="N18" s="254" t="str">
        <f>IFERROR(__xludf.DUMMYFUNCTION("GOOGLETRANSLATE(B18,""zh-tw"",""zh"")"),"◉▽◉(蓝色)")</f>
        <v>◉▽◉(蓝色)</v>
      </c>
      <c r="O18" s="254">
        <v>100.0</v>
      </c>
      <c r="P18" s="464" t="str">
        <f>IFERROR(__xludf.DUMMYFUNCTION("GOOGLETRANSLATE(D18,""zh-tw"",""zh"")"),"使用炸弹炸水面")</f>
        <v>使用炸弹炸水面</v>
      </c>
      <c r="Q18" s="253" t="str">
        <f>IFERROR(__xludf.DUMMYFUNCTION("GOOGLETRANSLATE(A18,""zh-tw"",""es-MX"")"),"Tortuga sakaban (pequeña)")</f>
        <v>Tortuga sakaban (pequeña)</v>
      </c>
      <c r="R18" s="194" t="str">
        <f>IFERROR(__xludf.DUMMYFUNCTION("GOOGLETRANSLATE(B18,""zh-tw"",""es-MX"")"),"◉▽◉ (Azul)")</f>
        <v>◉▽◉ (Azul)</v>
      </c>
      <c r="S18" s="254">
        <v>100.0</v>
      </c>
      <c r="T18" s="463" t="str">
        <f>IFERROR(__xludf.DUMMYFUNCTION("GOOGLETRANSLATE(D18,""zh-tw"",""es-MX"")"),"Utiliza bombas para volar la superficie del agua.")</f>
        <v>Utiliza bombas para volar la superficie del agua.</v>
      </c>
      <c r="U18" s="253" t="str">
        <f>IFERROR(__xludf.DUMMYFUNCTION("GOOGLETRANSLATE(A18,""zh-tw"",""KO"")"),"사카반 거북 (소형)")</f>
        <v>사카반 거북 (소형)</v>
      </c>
      <c r="V18" s="194" t="str">
        <f>IFERROR(__xludf.DUMMYFUNCTION("GOOGLETRANSLATE(B18,""zh-tw"",""KO"")"),"◉▽◉ (파란색)")</f>
        <v>◉▽◉ (파란색)</v>
      </c>
      <c r="W18" s="194">
        <v>100.0</v>
      </c>
      <c r="X18" s="464" t="str">
        <f>IFERROR(__xludf.DUMMYFUNCTION("GOOGLETRANSLATE(D18,""zh-tw"",""KO"")"),"폭탄을 사용하여 수면을 폭파시키세요")</f>
        <v>폭탄을 사용하여 수면을 폭파시키세요</v>
      </c>
      <c r="Y18" s="253" t="s">
        <v>7364</v>
      </c>
      <c r="Z18" s="194" t="s">
        <v>7365</v>
      </c>
      <c r="AA18" s="194">
        <v>100.0</v>
      </c>
      <c r="AB18" s="463" t="s">
        <v>7366</v>
      </c>
      <c r="AC18" s="192" t="s">
        <v>7367</v>
      </c>
      <c r="AD18" s="194" t="s">
        <v>7368</v>
      </c>
      <c r="AE18" s="194">
        <v>100.0</v>
      </c>
      <c r="AF18" s="463" t="s">
        <v>7369</v>
      </c>
      <c r="AG18" s="253" t="s">
        <v>7370</v>
      </c>
      <c r="AH18" s="254" t="s">
        <v>7371</v>
      </c>
      <c r="AI18" s="254">
        <v>100.0</v>
      </c>
      <c r="AJ18" s="463" t="s">
        <v>7372</v>
      </c>
      <c r="AK18" s="237" t="s">
        <v>7373</v>
      </c>
      <c r="AL18" s="465" t="s">
        <v>7374</v>
      </c>
      <c r="AM18" s="465">
        <v>100.0</v>
      </c>
      <c r="AN18" s="466" t="s">
        <v>7375</v>
      </c>
      <c r="AO18" s="253" t="s">
        <v>7376</v>
      </c>
      <c r="AP18" s="254" t="s">
        <v>7377</v>
      </c>
      <c r="AQ18" s="254">
        <v>100.0</v>
      </c>
      <c r="AR18" s="463" t="s">
        <v>7378</v>
      </c>
      <c r="AS18" s="467" t="s">
        <v>7379</v>
      </c>
      <c r="AT18" s="260" t="s">
        <v>7380</v>
      </c>
      <c r="AU18" s="260" t="s">
        <v>7381</v>
      </c>
      <c r="AV18" s="468" t="s">
        <v>7382</v>
      </c>
    </row>
    <row r="19">
      <c r="A19" s="192" t="s">
        <v>7383</v>
      </c>
      <c r="B19" s="194" t="s">
        <v>7384</v>
      </c>
      <c r="C19" s="194">
        <v>100.0</v>
      </c>
      <c r="D19" s="464" t="s">
        <v>7357</v>
      </c>
      <c r="E19" s="253" t="s">
        <v>7385</v>
      </c>
      <c r="F19" s="194" t="s">
        <v>7386</v>
      </c>
      <c r="G19" s="194">
        <v>100.0</v>
      </c>
      <c r="H19" s="464" t="s">
        <v>7360</v>
      </c>
      <c r="I19" s="192" t="s">
        <v>7387</v>
      </c>
      <c r="J19" s="254" t="s">
        <v>7388</v>
      </c>
      <c r="K19" s="254">
        <v>100.0</v>
      </c>
      <c r="L19" s="463" t="s">
        <v>7363</v>
      </c>
      <c r="M19" s="253" t="str">
        <f>IFERROR(__xludf.DUMMYFUNCTION("GOOGLETRANSLATE(A19,""zh-tw"",""zh"")"),"萨卡班甲鱼(大)")</f>
        <v>萨卡班甲鱼(大)</v>
      </c>
      <c r="N19" s="254" t="str">
        <f>IFERROR(__xludf.DUMMYFUNCTION("GOOGLETRANSLATE(B19,""zh-tw"",""zh"")"),"◉▽◉(紫色)")</f>
        <v>◉▽◉(紫色)</v>
      </c>
      <c r="O19" s="254">
        <v>100.0</v>
      </c>
      <c r="P19" s="464" t="str">
        <f>IFERROR(__xludf.DUMMYFUNCTION("GOOGLETRANSLATE(D19,""zh-tw"",""zh"")"),"使用炸弹炸水面")</f>
        <v>使用炸弹炸水面</v>
      </c>
      <c r="Q19" s="192" t="str">
        <f>IFERROR(__xludf.DUMMYFUNCTION("GOOGLETRANSLATE(A19,""zh-tw"",""es-MX"")"),"Tortuga sakaban (grande)")</f>
        <v>Tortuga sakaban (grande)</v>
      </c>
      <c r="R19" s="194" t="str">
        <f>IFERROR(__xludf.DUMMYFUNCTION("GOOGLETRANSLATE(B19,""zh-tw"",""es-MX"")"),"◉▽◉(morado)")</f>
        <v>◉▽◉(morado)</v>
      </c>
      <c r="S19" s="254">
        <v>100.0</v>
      </c>
      <c r="T19" s="463" t="str">
        <f>IFERROR(__xludf.DUMMYFUNCTION("GOOGLETRANSLATE(D19,""zh-tw"",""es-MX"")"),"Utiliza bombas para volar la superficie del agua.")</f>
        <v>Utiliza bombas para volar la superficie del agua.</v>
      </c>
      <c r="U19" s="253" t="str">
        <f>IFERROR(__xludf.DUMMYFUNCTION("GOOGLETRANSLATE(A19,""zh-tw"",""KO"")"),"사카반 거북 (대형)")</f>
        <v>사카반 거북 (대형)</v>
      </c>
      <c r="V19" s="194" t="str">
        <f>IFERROR(__xludf.DUMMYFUNCTION("GOOGLETRANSLATE(B19,""zh-tw"",""KO"")"),"◉▽◉(보라색)")</f>
        <v>◉▽◉(보라색)</v>
      </c>
      <c r="W19" s="194">
        <v>100.0</v>
      </c>
      <c r="X19" s="464" t="str">
        <f>IFERROR(__xludf.DUMMYFUNCTION("GOOGLETRANSLATE(D19,""zh-tw"",""KO"")"),"폭탄을 사용하여 수면을 폭파시키세요")</f>
        <v>폭탄을 사용하여 수면을 폭파시키세요</v>
      </c>
      <c r="Y19" s="253" t="s">
        <v>7389</v>
      </c>
      <c r="Z19" s="194" t="s">
        <v>7390</v>
      </c>
      <c r="AA19" s="194">
        <v>100.0</v>
      </c>
      <c r="AB19" s="463" t="s">
        <v>7366</v>
      </c>
      <c r="AC19" s="192" t="s">
        <v>7391</v>
      </c>
      <c r="AD19" s="194" t="s">
        <v>7392</v>
      </c>
      <c r="AE19" s="194">
        <v>100.0</v>
      </c>
      <c r="AF19" s="463" t="s">
        <v>7369</v>
      </c>
      <c r="AG19" s="253" t="s">
        <v>7393</v>
      </c>
      <c r="AH19" s="254" t="s">
        <v>7394</v>
      </c>
      <c r="AI19" s="254">
        <v>100.0</v>
      </c>
      <c r="AJ19" s="463" t="s">
        <v>7372</v>
      </c>
      <c r="AK19" s="237" t="s">
        <v>7395</v>
      </c>
      <c r="AL19" s="465" t="s">
        <v>7396</v>
      </c>
      <c r="AM19" s="465">
        <v>100.0</v>
      </c>
      <c r="AN19" s="466" t="s">
        <v>7375</v>
      </c>
      <c r="AO19" s="253" t="s">
        <v>7397</v>
      </c>
      <c r="AP19" s="254" t="s">
        <v>7398</v>
      </c>
      <c r="AQ19" s="254">
        <v>100.0</v>
      </c>
      <c r="AR19" s="463" t="s">
        <v>7378</v>
      </c>
      <c r="AS19" s="467" t="s">
        <v>7399</v>
      </c>
      <c r="AT19" s="260" t="s">
        <v>7400</v>
      </c>
      <c r="AU19" s="260" t="s">
        <v>7381</v>
      </c>
      <c r="AV19" s="468" t="s">
        <v>7382</v>
      </c>
    </row>
    <row r="20">
      <c r="A20" s="458" t="s">
        <v>7401</v>
      </c>
      <c r="E20" s="459" t="str">
        <f>IFERROR(__xludf.DUMMYFUNCTION("GOOGLETRANSLATE(A20,""zh-tw"",""ja"")"),"鉱山に関連する")</f>
        <v>鉱山に関連する</v>
      </c>
      <c r="I20" s="458" t="s">
        <v>7402</v>
      </c>
      <c r="M20" s="459" t="str">
        <f>IFERROR(__xludf.DUMMYFUNCTION("GOOGLETRANSLATE(A20,""zh-tw"",""zh"")"),"矿坑相关")</f>
        <v>矿坑相关</v>
      </c>
      <c r="Q20" s="458" t="str">
        <f>IFERROR(__xludf.DUMMYFUNCTION("GOOGLETRANSLATE(A20,""zh-tw"",""es-MX"")"),"relacionado con las minas")</f>
        <v>relacionado con las minas</v>
      </c>
      <c r="U20" s="459" t="str">
        <f>IFERROR(__xludf.DUMMYFUNCTION("GOOGLETRANSLATE(A20,""zh-tw"",""KO"")"),"광산과 관련된")</f>
        <v>광산과 관련된</v>
      </c>
      <c r="Y20" s="476" t="s">
        <v>7403</v>
      </c>
      <c r="AC20" s="458" t="s">
        <v>7404</v>
      </c>
      <c r="AG20" s="459" t="str">
        <f>IFERROR(__xludf.DUMMYFUNCTION("GOOGLETRANSLATE(A19,""zh-tw"",""DE"")"),"Sakaban-Schildkröte (groß)")</f>
        <v>Sakaban-Schildkröte (groß)</v>
      </c>
      <c r="AK20" s="462" t="s">
        <v>7405</v>
      </c>
      <c r="AO20" s="459" t="s">
        <v>7402</v>
      </c>
      <c r="AS20" s="477" t="s">
        <v>7406</v>
      </c>
    </row>
    <row r="21">
      <c r="A21" s="192" t="s">
        <v>7407</v>
      </c>
      <c r="B21" s="194" t="s">
        <v>7408</v>
      </c>
      <c r="C21" s="194" t="s">
        <v>7409</v>
      </c>
      <c r="D21" s="464" t="s">
        <v>1485</v>
      </c>
      <c r="E21" s="253" t="s">
        <v>7410</v>
      </c>
      <c r="F21" s="254" t="s">
        <v>7411</v>
      </c>
      <c r="G21" s="194" t="s">
        <v>7409</v>
      </c>
      <c r="H21" s="469" t="s">
        <v>1485</v>
      </c>
      <c r="I21" s="192" t="s">
        <v>7412</v>
      </c>
      <c r="J21" s="254" t="s">
        <v>7413</v>
      </c>
      <c r="K21" s="254" t="s">
        <v>7409</v>
      </c>
      <c r="L21" s="463" t="s">
        <v>1485</v>
      </c>
      <c r="M21" s="253" t="str">
        <f>IFERROR(__xludf.DUMMYFUNCTION("GOOGLETRANSLATE(A21,""zh-tw"",""zh"")"),"恶灵史莱姆")</f>
        <v>恶灵史莱姆</v>
      </c>
      <c r="N21" s="254" t="str">
        <f>IFERROR(__xludf.DUMMYFUNCTION("GOOGLETRANSLATE(B21,""zh-tw"",""zh"")"),"史莱姆的黏液
来自地狱
魔力晶簇
堕落法师的手套
精神凝聚头环")</f>
        <v>史莱姆的黏液
来自地狱
魔力晶簇
堕落法师的手套
精神凝聚头环</v>
      </c>
      <c r="O21" s="254" t="s">
        <v>7409</v>
      </c>
      <c r="P21" s="464" t="str">
        <f>IFERROR(__xludf.DUMMYFUNCTION("GOOGLETRANSLATE(D21,""zh-tw"",""zh"")"),"-")</f>
        <v>-</v>
      </c>
      <c r="Q21" s="192" t="str">
        <f>IFERROR(__xludf.DUMMYFUNCTION("GOOGLETRANSLATE(A21,""zh-tw"",""es-MX"")"),"Limo maligno")</f>
        <v>Limo maligno</v>
      </c>
      <c r="R21" s="194" t="str">
        <f>IFERROR(__xludf.DUMMYFUNCTION("GOOGLETRANSLATE(B21,""zh-tw"",""es-MX"")"),"Limo, limo
Del Infierno
Grupo de Cristales Mágicos
Guantes del Mago Caído
Diadema de Concentración Mental")</f>
        <v>Limo, limo
Del Infierno
Grupo de Cristales Mágicos
Guantes del Mago Caído
Diadema de Concentración Mental</v>
      </c>
      <c r="S21" s="254" t="s">
        <v>7409</v>
      </c>
      <c r="T21" s="463" t="str">
        <f>IFERROR(__xludf.DUMMYFUNCTION("GOOGLETRANSLATE(D21,""zh-tw"",""es-MX"")"),"-")</f>
        <v>-</v>
      </c>
      <c r="U21" s="253" t="str">
        <f>IFERROR(__xludf.DUMMYFUNCTION("GOOGLETRANSLATE(A21,""zh-tw"",""KO"")"),"사악한 슬라임")</f>
        <v>사악한 슬라임</v>
      </c>
      <c r="V21" s="194"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94" t="s">
        <v>7409</v>
      </c>
      <c r="X21" s="464" t="str">
        <f>IFERROR(__xludf.DUMMYFUNCTION("GOOGLETRANSLATE(D21,""zh-tw"",""KO"")"),"-")</f>
        <v>-</v>
      </c>
      <c r="Y21" s="253" t="s">
        <v>7414</v>
      </c>
      <c r="Z21" s="194" t="s">
        <v>7415</v>
      </c>
      <c r="AA21" s="194" t="s">
        <v>7409</v>
      </c>
      <c r="AB21" s="463" t="s">
        <v>1485</v>
      </c>
      <c r="AC21" s="192" t="s">
        <v>7416</v>
      </c>
      <c r="AD21" s="194" t="s">
        <v>7417</v>
      </c>
      <c r="AE21" s="194" t="s">
        <v>7409</v>
      </c>
      <c r="AF21" s="463" t="s">
        <v>1485</v>
      </c>
      <c r="AG21" s="253" t="s">
        <v>7418</v>
      </c>
      <c r="AH21" s="254" t="s">
        <v>7419</v>
      </c>
      <c r="AI21" s="254" t="s">
        <v>7409</v>
      </c>
      <c r="AJ21" s="469" t="s">
        <v>7350</v>
      </c>
      <c r="AK21" s="237" t="s">
        <v>7420</v>
      </c>
      <c r="AL21" s="465" t="s">
        <v>7421</v>
      </c>
      <c r="AM21" s="465" t="s">
        <v>7409</v>
      </c>
      <c r="AN21" s="466" t="s">
        <v>1485</v>
      </c>
      <c r="AO21" s="253" t="s">
        <v>7422</v>
      </c>
      <c r="AP21" s="205" t="s">
        <v>7423</v>
      </c>
      <c r="AQ21" s="254" t="s">
        <v>7409</v>
      </c>
      <c r="AR21" s="463" t="s">
        <v>1485</v>
      </c>
      <c r="AS21" s="467" t="s">
        <v>7424</v>
      </c>
      <c r="AT21" s="260" t="s">
        <v>7425</v>
      </c>
      <c r="AU21" s="260" t="s">
        <v>7426</v>
      </c>
      <c r="AV21" s="468" t="s">
        <v>1485</v>
      </c>
    </row>
    <row r="22">
      <c r="A22" s="192" t="s">
        <v>7427</v>
      </c>
      <c r="B22" s="194" t="s">
        <v>7428</v>
      </c>
      <c r="C22" s="194" t="s">
        <v>7429</v>
      </c>
      <c r="D22" s="464" t="s">
        <v>1485</v>
      </c>
      <c r="E22" s="253" t="str">
        <f>IFERROR(__xludf.DUMMYFUNCTION("GOOGLETRANSLATE(A22,""zh-tw"",""ja"")"),"鉱石スライム")</f>
        <v>鉱石スライム</v>
      </c>
      <c r="F22" s="194" t="str">
        <f>IFERROR(__xludf.DUMMYFUNCTION("GOOGLETRANSLATE(B22,""zh-tw"",""ja"")"),"スライムのスライム
魔法結晶クラスター
深層魔法結晶クラスター")</f>
        <v>スライムのスライム
魔法結晶クラスター
深層魔法結晶クラスター</v>
      </c>
      <c r="G22" s="194" t="s">
        <v>7429</v>
      </c>
      <c r="H22" s="469" t="s">
        <v>1485</v>
      </c>
      <c r="I22" s="192" t="s">
        <v>7430</v>
      </c>
      <c r="J22" s="254" t="s">
        <v>7431</v>
      </c>
      <c r="K22" s="254" t="s">
        <v>7429</v>
      </c>
      <c r="L22" s="463" t="str">
        <f>IFERROR(__xludf.DUMMYFUNCTION("GOOGLETRANSLATE(D22,""zh-tw"",""en"")"),"-")</f>
        <v>-</v>
      </c>
      <c r="M22" s="253" t="str">
        <f>IFERROR(__xludf.DUMMYFUNCTION("GOOGLETRANSLATE(A22,""zh-tw"",""zh"")"),"矿石史莱姆")</f>
        <v>矿石史莱姆</v>
      </c>
      <c r="N22" s="254" t="str">
        <f>IFERROR(__xludf.DUMMYFUNCTION("GOOGLETRANSLATE(B22,""zh-tw"",""zh"")"),"史莱姆的黏液
魔力晶簇
深邃魔力晶簇")</f>
        <v>史莱姆的黏液
魔力晶簇
深邃魔力晶簇</v>
      </c>
      <c r="O22" s="254" t="s">
        <v>7429</v>
      </c>
      <c r="P22" s="464" t="str">
        <f>IFERROR(__xludf.DUMMYFUNCTION("GOOGLETRANSLATE(D22,""zh-tw"",""zh"")"),"-")</f>
        <v>-</v>
      </c>
      <c r="Q22" s="192" t="str">
        <f>IFERROR(__xludf.DUMMYFUNCTION("GOOGLETRANSLATE(A22,""zh-tw"",""es-MX"")"),"Limo mineral")</f>
        <v>Limo mineral</v>
      </c>
      <c r="R22" s="194" t="str">
        <f>IFERROR(__xludf.DUMMYFUNCTION("GOOGLETRANSLATE(B22,""zh-tw"",""es-MX"")"),"El limo de Slime
Grupo de cristales mágicos
Grupo de cristales mágicos profundos")</f>
        <v>El limo de Slime
Grupo de cristales mágicos
Grupo de cristales mágicos profundos</v>
      </c>
      <c r="S22" s="254" t="s">
        <v>7429</v>
      </c>
      <c r="T22" s="463" t="str">
        <f>IFERROR(__xludf.DUMMYFUNCTION("GOOGLETRANSLATE(D22,""zh-tw"",""es-MX"")"),"-")</f>
        <v>-</v>
      </c>
      <c r="U22" s="253" t="str">
        <f>IFERROR(__xludf.DUMMYFUNCTION("GOOGLETRANSLATE(A22,""zh-tw"",""KO"")"),"오레 슬라임")</f>
        <v>오레 슬라임</v>
      </c>
      <c r="V22" s="194" t="str">
        <f>IFERROR(__xludf.DUMMYFUNCTION("GOOGLETRANSLATE(B22,""zh-tw"",""KO"")"),"슬라임의 슬라임
매직 크리스탈 클러스터
딥 매직 크리스탈 클러스터")</f>
        <v>슬라임의 슬라임
매직 크리스탈 클러스터
딥 매직 크리스탈 클러스터</v>
      </c>
      <c r="W22" s="194" t="s">
        <v>7429</v>
      </c>
      <c r="X22" s="464" t="str">
        <f>IFERROR(__xludf.DUMMYFUNCTION("GOOGLETRANSLATE(D22,""zh-tw"",""KO"")"),"-")</f>
        <v>-</v>
      </c>
      <c r="Y22" s="253" t="s">
        <v>7432</v>
      </c>
      <c r="Z22" s="194" t="s">
        <v>7433</v>
      </c>
      <c r="AA22" s="194" t="s">
        <v>7429</v>
      </c>
      <c r="AB22" s="463" t="s">
        <v>1485</v>
      </c>
      <c r="AC22" s="192" t="s">
        <v>7434</v>
      </c>
      <c r="AD22" s="194" t="s">
        <v>7435</v>
      </c>
      <c r="AE22" s="194" t="s">
        <v>7429</v>
      </c>
      <c r="AF22" s="463" t="s">
        <v>1485</v>
      </c>
      <c r="AG22" s="253" t="s">
        <v>7436</v>
      </c>
      <c r="AH22" s="254" t="s">
        <v>7437</v>
      </c>
      <c r="AI22" s="254" t="s">
        <v>7429</v>
      </c>
      <c r="AJ22" s="469" t="s">
        <v>7350</v>
      </c>
      <c r="AK22" s="237" t="s">
        <v>7438</v>
      </c>
      <c r="AL22" s="465" t="s">
        <v>7439</v>
      </c>
      <c r="AM22" s="465" t="s">
        <v>7429</v>
      </c>
      <c r="AN22" s="466" t="s">
        <v>1485</v>
      </c>
      <c r="AO22" s="253" t="s">
        <v>7440</v>
      </c>
      <c r="AP22" s="254" t="s">
        <v>7441</v>
      </c>
      <c r="AQ22" s="254" t="s">
        <v>7429</v>
      </c>
      <c r="AR22" s="463" t="s">
        <v>1485</v>
      </c>
      <c r="AS22" s="467" t="s">
        <v>7442</v>
      </c>
      <c r="AT22" s="260" t="s">
        <v>7443</v>
      </c>
      <c r="AU22" s="260" t="s">
        <v>7429</v>
      </c>
      <c r="AV22" s="468" t="s">
        <v>1485</v>
      </c>
    </row>
    <row r="23">
      <c r="A23" s="192" t="s">
        <v>7444</v>
      </c>
      <c r="B23" s="205" t="s">
        <v>7445</v>
      </c>
      <c r="C23" s="205" t="s">
        <v>7446</v>
      </c>
      <c r="D23" s="464" t="s">
        <v>1485</v>
      </c>
      <c r="E23" s="192" t="s">
        <v>7447</v>
      </c>
      <c r="F23" s="205" t="s">
        <v>7448</v>
      </c>
      <c r="G23" s="205" t="s">
        <v>7446</v>
      </c>
      <c r="H23" s="469" t="s">
        <v>1485</v>
      </c>
      <c r="I23" s="192" t="s">
        <v>7449</v>
      </c>
      <c r="J23" s="205" t="s">
        <v>7450</v>
      </c>
      <c r="K23" s="205" t="s">
        <v>7446</v>
      </c>
      <c r="L23" s="463" t="s">
        <v>1485</v>
      </c>
      <c r="M23" s="253" t="str">
        <f>IFERROR(__xludf.DUMMYFUNCTION("GOOGLETRANSLATE(A23,""zh-tw"",""zh"")"),"邪恶斗篷")</f>
        <v>邪恶斗篷</v>
      </c>
      <c r="N23" s="254" t="str">
        <f>IFERROR(__xludf.DUMMYFUNCTION("GOOGLETRANSLATE(B23,""zh-tw"",""zh"")"),"500元
1000元
受诅胎体
调皮的杰克
夜雾幻影
来自地狱
紫色品质物品
粉色品质物品")</f>
        <v>500元
1000元
受诅胎体
调皮的杰克
夜雾幻影
来自地狱
紫色品质物品
粉色品质物品</v>
      </c>
      <c r="O23" s="205" t="s">
        <v>7446</v>
      </c>
      <c r="P23" s="463" t="str">
        <f>IFERROR(__xludf.DUMMYFUNCTION("GOOGLETRANSLATE(D23,""zh-tw"",""zh"")"),"-")</f>
        <v>-</v>
      </c>
      <c r="Q23" s="253" t="str">
        <f>IFERROR(__xludf.DUMMYFUNCTION("GOOGLETRANSLATE(A23,""zh-tw"",""es-MX"")"),"Capa maligna")</f>
        <v>Capa maligna</v>
      </c>
      <c r="R23" s="254" t="str">
        <f>IFERROR(__xludf.DUMMYFUNCTION("GOOGLETRANSLATE(B23,""zh-tw"",""es-MX"")"),"500 yuanes
1000 yuanes
Feto Maldito
Jack el Travieso
Fantasma de la Niebla Nocturna
Del Infierno
Artículo de Calidad Púrpura
Artículo de Calidad Rosa")</f>
        <v>500 yuanes
1000 yuanes
Feto Maldito
Jack el Travieso
Fantasma de la Niebla Nocturna
Del Infierno
Artículo de Calidad Púrpura
Artículo de Calidad Rosa</v>
      </c>
      <c r="S23" s="254" t="s">
        <v>7451</v>
      </c>
      <c r="T23" s="463" t="str">
        <f>IFERROR(__xludf.DUMMYFUNCTION("GOOGLETRANSLATE(D23,""zh-tw"",""es-MX"")"),"-")</f>
        <v>-</v>
      </c>
      <c r="U23" s="253" t="str">
        <f>IFERROR(__xludf.DUMMYFUNCTION("GOOGLETRANSLATE(A23,""zh-tw"",""KO"")"),"사악한 망토")</f>
        <v>사악한 망토</v>
      </c>
      <c r="V23" s="194" t="str">
        <f>IFERROR(__xludf.DUMMYFUNCTION("GOOGLETRANSLATE(B23,""zh-tw"",""KO"")"),"500위안
1000위안
저주받은 태아
장난꾸러기 잭
밤의 안개 유령
지옥에서 온 자
보라색 고급 아이템
분홍색 고급 아이템")</f>
        <v>500위안
1000위안
저주받은 태아
장난꾸러기 잭
밤의 안개 유령
지옥에서 온 자
보라색 고급 아이템
분홍색 고급 아이템</v>
      </c>
      <c r="W23" s="194" t="s">
        <v>7451</v>
      </c>
      <c r="X23" s="464" t="str">
        <f>IFERROR(__xludf.DUMMYFUNCTION("GOOGLETRANSLATE(D23,""zh-tw"",""KO"")"),"-")</f>
        <v>-</v>
      </c>
      <c r="Y23" s="253" t="s">
        <v>7452</v>
      </c>
      <c r="Z23" s="194" t="s">
        <v>7453</v>
      </c>
      <c r="AA23" s="194" t="s">
        <v>7446</v>
      </c>
      <c r="AB23" s="463" t="s">
        <v>1485</v>
      </c>
      <c r="AC23" s="192" t="s">
        <v>7454</v>
      </c>
      <c r="AD23" s="205" t="s">
        <v>7455</v>
      </c>
      <c r="AE23" s="205" t="s">
        <v>7446</v>
      </c>
      <c r="AF23" s="463" t="s">
        <v>1485</v>
      </c>
      <c r="AG23" s="253" t="s">
        <v>7456</v>
      </c>
      <c r="AH23" s="254" t="s">
        <v>7457</v>
      </c>
      <c r="AI23" s="254" t="s">
        <v>7451</v>
      </c>
      <c r="AJ23" s="463" t="s">
        <v>1485</v>
      </c>
      <c r="AK23" s="237" t="s">
        <v>7458</v>
      </c>
      <c r="AL23" s="68" t="s">
        <v>7459</v>
      </c>
      <c r="AM23" s="68" t="s">
        <v>7446</v>
      </c>
      <c r="AN23" s="466" t="s">
        <v>1485</v>
      </c>
      <c r="AO23" s="253" t="s">
        <v>7449</v>
      </c>
      <c r="AP23" s="205" t="s">
        <v>7460</v>
      </c>
      <c r="AQ23" s="205" t="s">
        <v>7461</v>
      </c>
      <c r="AR23" s="463" t="s">
        <v>1485</v>
      </c>
      <c r="AS23" s="467" t="s">
        <v>7462</v>
      </c>
      <c r="AT23" s="260" t="s">
        <v>7463</v>
      </c>
      <c r="AU23" s="260" t="s">
        <v>7464</v>
      </c>
      <c r="AV23" s="468" t="s">
        <v>1485</v>
      </c>
    </row>
    <row r="24">
      <c r="A24" s="458" t="s">
        <v>7465</v>
      </c>
      <c r="E24" s="458" t="str">
        <f>IFERROR(__xludf.DUMMYFUNCTION("GOOGLETRANSLATE(A24,""zh-tw"",""ja"")"),"遺跡")</f>
        <v>遺跡</v>
      </c>
      <c r="I24" s="458" t="s">
        <v>7466</v>
      </c>
      <c r="M24" s="459" t="str">
        <f>IFERROR(__xludf.DUMMYFUNCTION("GOOGLETRANSLATE(A24,""zh-tw"",""zh"")"),"遗迹相关")</f>
        <v>遗迹相关</v>
      </c>
      <c r="Q24" s="459" t="str">
        <f>IFERROR(__xludf.DUMMYFUNCTION("GOOGLETRANSLATE(A24,""zh-tw"",""es-MX"")"),"Restos")</f>
        <v>Restos</v>
      </c>
      <c r="U24" s="459" t="str">
        <f>IFERROR(__xludf.DUMMYFUNCTION("GOOGLETRANSLATE(A24,""zh-tw"",""KO"")"),"유적")</f>
        <v>유적</v>
      </c>
      <c r="Y24" s="478"/>
      <c r="AC24" s="458" t="s">
        <v>7467</v>
      </c>
      <c r="AG24" s="459" t="str">
        <f>IFERROR(__xludf.DUMMYFUNCTION("GOOGLETRANSLATE(A23,""zh-tw"",""DE"")"),"Böser Umhang")</f>
        <v>Böser Umhang</v>
      </c>
      <c r="AK24" s="462" t="s">
        <v>7468</v>
      </c>
      <c r="AO24" s="459" t="s">
        <v>7466</v>
      </c>
      <c r="AS24" s="477" t="s">
        <v>7469</v>
      </c>
    </row>
    <row r="25">
      <c r="A25" s="192" t="s">
        <v>7470</v>
      </c>
      <c r="B25" s="194" t="s">
        <v>7471</v>
      </c>
      <c r="C25" s="194" t="s">
        <v>7472</v>
      </c>
      <c r="D25" s="464" t="s">
        <v>1485</v>
      </c>
      <c r="E25" s="253" t="s">
        <v>7473</v>
      </c>
      <c r="F25" s="254" t="s">
        <v>7474</v>
      </c>
      <c r="G25" s="194" t="s">
        <v>7472</v>
      </c>
      <c r="H25" s="464" t="str">
        <f>IFERROR(__xludf.DUMMYFUNCTION("GOOGLETRANSLATE(D25,""zh-tw"",""ja"")"),"-")</f>
        <v>-</v>
      </c>
      <c r="I25" s="253" t="s">
        <v>7475</v>
      </c>
      <c r="J25" s="254" t="s">
        <v>7476</v>
      </c>
      <c r="K25" s="254" t="s">
        <v>7472</v>
      </c>
      <c r="L25" s="463" t="str">
        <f>IFERROR(__xludf.DUMMYFUNCTION("GOOGLETRANSLATE(D25,""zh-tw"",""en"")"),"-")</f>
        <v>-</v>
      </c>
      <c r="M25" s="253" t="str">
        <f>IFERROR(__xludf.DUMMYFUNCTION("GOOGLETRANSLATE(A25,""zh-tw"",""zh"")"),"初级兽人")</f>
        <v>初级兽人</v>
      </c>
      <c r="N25" s="254" t="str">
        <f>IFERROR(__xludf.DUMMYFUNCTION("GOOGLETRANSLATE(B25,""zh-tw"",""zh"")"),"小兽肉
大兽肉
500元
兽人的骨釜")</f>
        <v>小兽肉
大兽肉
500元
兽人的骨釜</v>
      </c>
      <c r="O25" s="254" t="s">
        <v>7472</v>
      </c>
      <c r="P25" s="463" t="str">
        <f>IFERROR(__xludf.DUMMYFUNCTION("GOOGLETRANSLATE(D25,""zh-tw"",""zh"")"),"-")</f>
        <v>-</v>
      </c>
      <c r="Q25" s="192" t="str">
        <f>IFERROR(__xludf.DUMMYFUNCTION("GOOGLETRANSLATE(A25,""zh-tw"",""es-MX"")"),"Principiantes")</f>
        <v>Principiantes</v>
      </c>
      <c r="R25" s="254" t="str">
        <f>IFERROR(__xludf.DUMMYFUNCTION("GOOGLETRANSLATE(B25,""zh-tw"",""es-MX"")"),"Carne de animales pequeños, carne de animales grandes, 500 yuanes, olla de huesos de orco")</f>
        <v>Carne de animales pequeños, carne de animales grandes, 500 yuanes, olla de huesos de orco</v>
      </c>
      <c r="S25" s="254" t="s">
        <v>7472</v>
      </c>
      <c r="T25" s="463" t="str">
        <f>IFERROR(__xludf.DUMMYFUNCTION("GOOGLETRANSLATE(D25,""zh-tw"",""es-MX"")"),"-")</f>
        <v>-</v>
      </c>
      <c r="U25" s="253" t="str">
        <f>IFERROR(__xludf.DUMMYFUNCTION("GOOGLETRANSLATE(A25,""zh-tw"",""KO"")"),"초보자")</f>
        <v>초보자</v>
      </c>
      <c r="V25" s="194" t="str">
        <f>IFERROR(__xludf.DUMMYFUNCTION("GOOGLETRANSLATE(B25,""zh-tw"",""KO"")"),"소형 동물 고기, 대형 동물 고기, 500위안, 오크 뼈 냄비")</f>
        <v>소형 동물 고기, 대형 동물 고기, 500위안, 오크 뼈 냄비</v>
      </c>
      <c r="W25" s="194" t="s">
        <v>7472</v>
      </c>
      <c r="X25" s="464" t="str">
        <f>IFERROR(__xludf.DUMMYFUNCTION("GOOGLETRANSLATE(D25,""zh-tw"",""KO"")"),"-")</f>
        <v>-</v>
      </c>
      <c r="Y25" s="253" t="s">
        <v>7477</v>
      </c>
      <c r="Z25" s="194" t="s">
        <v>7478</v>
      </c>
      <c r="AA25" s="194" t="s">
        <v>7472</v>
      </c>
      <c r="AB25" s="463" t="s">
        <v>1485</v>
      </c>
      <c r="AC25" s="192" t="s">
        <v>7477</v>
      </c>
      <c r="AD25" s="194" t="s">
        <v>7479</v>
      </c>
      <c r="AE25" s="194" t="s">
        <v>7472</v>
      </c>
      <c r="AF25" s="463" t="s">
        <v>1485</v>
      </c>
      <c r="AG25" s="253" t="s">
        <v>7480</v>
      </c>
      <c r="AH25" s="254" t="s">
        <v>7481</v>
      </c>
      <c r="AI25" s="254" t="s">
        <v>7472</v>
      </c>
      <c r="AJ25" s="469" t="s">
        <v>7350</v>
      </c>
      <c r="AK25" s="237" t="s">
        <v>7482</v>
      </c>
      <c r="AL25" s="465" t="s">
        <v>7483</v>
      </c>
      <c r="AM25" s="465" t="s">
        <v>7472</v>
      </c>
      <c r="AN25" s="466" t="s">
        <v>1485</v>
      </c>
      <c r="AO25" s="253" t="s">
        <v>7484</v>
      </c>
      <c r="AP25" s="254" t="s">
        <v>7485</v>
      </c>
      <c r="AQ25" s="254" t="s">
        <v>7472</v>
      </c>
      <c r="AR25" s="463" t="s">
        <v>1485</v>
      </c>
      <c r="AS25" s="467" t="s">
        <v>7486</v>
      </c>
      <c r="AT25" s="260" t="s">
        <v>7487</v>
      </c>
      <c r="AU25" s="260" t="s">
        <v>7472</v>
      </c>
      <c r="AV25" s="468" t="s">
        <v>1485</v>
      </c>
    </row>
    <row r="26">
      <c r="A26" s="192" t="s">
        <v>7488</v>
      </c>
      <c r="B26" s="194" t="s">
        <v>7489</v>
      </c>
      <c r="C26" s="194" t="s">
        <v>7490</v>
      </c>
      <c r="D26" s="463" t="s">
        <v>1485</v>
      </c>
      <c r="E26" s="253" t="s">
        <v>7488</v>
      </c>
      <c r="F26" s="254" t="s">
        <v>7491</v>
      </c>
      <c r="G26" s="194" t="s">
        <v>7490</v>
      </c>
      <c r="H26" s="464" t="str">
        <f>IFERROR(__xludf.DUMMYFUNCTION("GOOGLETRANSLATE(D26,""zh-tw"",""ja"")"),"-")</f>
        <v>-</v>
      </c>
      <c r="I26" s="253" t="s">
        <v>7492</v>
      </c>
      <c r="J26" s="205" t="s">
        <v>7493</v>
      </c>
      <c r="K26" s="254" t="s">
        <v>7490</v>
      </c>
      <c r="L26" s="463" t="str">
        <f>IFERROR(__xludf.DUMMYFUNCTION("GOOGLETRANSLATE(D26,""zh-tw"",""en"")"),"-")</f>
        <v>-</v>
      </c>
      <c r="M26" s="253" t="str">
        <f>IFERROR(__xludf.DUMMYFUNCTION("GOOGLETRANSLATE(A26,""zh-tw"",""zh"")"),"怪鸟")</f>
        <v>怪鸟</v>
      </c>
      <c r="N26" s="254" t="str">
        <f>IFERROR(__xludf.DUMMYFUNCTION("GOOGLETRANSLATE(B26,""zh-tw"",""zh"")"),"鸡腿肉
怪鸟的羽毛")</f>
        <v>鸡腿肉
怪鸟的羽毛</v>
      </c>
      <c r="O26" s="254" t="s">
        <v>7490</v>
      </c>
      <c r="P26" s="464" t="str">
        <f>IFERROR(__xludf.DUMMYFUNCTION("GOOGLETRANSLATE(D26,""zh-tw"",""zh"")"),"-")</f>
        <v>-</v>
      </c>
      <c r="Q26" s="253" t="str">
        <f>IFERROR(__xludf.DUMMYFUNCTION("GOOGLETRANSLATE(A26,""zh-tw"",""es-MX"")"),"Pájaro extraño")</f>
        <v>Pájaro extraño</v>
      </c>
      <c r="R26" s="254" t="str">
        <f>IFERROR(__xludf.DUMMYFUNCTION("GOOGLETRANSLATE(B26,""zh-tw"",""es-MX"")"),"Carne de muslo de pollo; extrañas plumas de ave")</f>
        <v>Carne de muslo de pollo; extrañas plumas de ave</v>
      </c>
      <c r="S26" s="254" t="s">
        <v>7490</v>
      </c>
      <c r="T26" s="463" t="str">
        <f>IFERROR(__xludf.DUMMYFUNCTION("GOOGLETRANSLATE(D26,""zh-tw"",""es-MX"")"),"-")</f>
        <v>-</v>
      </c>
      <c r="U26" s="253" t="str">
        <f>IFERROR(__xludf.DUMMYFUNCTION("GOOGLETRANSLATE(A26,""zh-tw"",""KO"")"),"이상한 새")</f>
        <v>이상한 새</v>
      </c>
      <c r="V26" s="194" t="str">
        <f>IFERROR(__xludf.DUMMYFUNCTION("GOOGLETRANSLATE(B26,""zh-tw"",""KO"")"),"닭다리살; 특이한 새 깃털")</f>
        <v>닭다리살; 특이한 새 깃털</v>
      </c>
      <c r="W26" s="194" t="s">
        <v>7490</v>
      </c>
      <c r="X26" s="464" t="str">
        <f>IFERROR(__xludf.DUMMYFUNCTION("GOOGLETRANSLATE(D26,""zh-tw"",""KO"")"),"-")</f>
        <v>-</v>
      </c>
      <c r="Y26" s="253" t="s">
        <v>7494</v>
      </c>
      <c r="Z26" s="194" t="s">
        <v>7495</v>
      </c>
      <c r="AA26" s="194" t="s">
        <v>7490</v>
      </c>
      <c r="AB26" s="463" t="s">
        <v>1485</v>
      </c>
      <c r="AC26" s="192" t="s">
        <v>7496</v>
      </c>
      <c r="AD26" s="194" t="s">
        <v>7497</v>
      </c>
      <c r="AE26" s="194" t="s">
        <v>7490</v>
      </c>
      <c r="AF26" s="463" t="s">
        <v>1485</v>
      </c>
      <c r="AG26" s="253" t="s">
        <v>7498</v>
      </c>
      <c r="AH26" s="254" t="s">
        <v>7499</v>
      </c>
      <c r="AI26" s="254" t="s">
        <v>7490</v>
      </c>
      <c r="AJ26" s="469" t="s">
        <v>7350</v>
      </c>
      <c r="AK26" s="237" t="s">
        <v>7500</v>
      </c>
      <c r="AL26" s="465" t="s">
        <v>7501</v>
      </c>
      <c r="AM26" s="465" t="s">
        <v>7490</v>
      </c>
      <c r="AN26" s="466" t="s">
        <v>1485</v>
      </c>
      <c r="AO26" s="253" t="s">
        <v>7502</v>
      </c>
      <c r="AP26" s="205" t="s">
        <v>7503</v>
      </c>
      <c r="AQ26" s="254" t="s">
        <v>7490</v>
      </c>
      <c r="AR26" s="463" t="s">
        <v>1485</v>
      </c>
      <c r="AS26" s="467" t="s">
        <v>7504</v>
      </c>
      <c r="AT26" s="260" t="s">
        <v>7505</v>
      </c>
      <c r="AU26" s="260" t="s">
        <v>7506</v>
      </c>
      <c r="AV26" s="468" t="s">
        <v>1485</v>
      </c>
    </row>
    <row r="27">
      <c r="A27" s="192" t="s">
        <v>7507</v>
      </c>
      <c r="B27" s="194" t="s">
        <v>7508</v>
      </c>
      <c r="C27" s="194" t="s">
        <v>7509</v>
      </c>
      <c r="D27" s="463" t="s">
        <v>1485</v>
      </c>
      <c r="E27" s="253" t="s">
        <v>7510</v>
      </c>
      <c r="F27" s="254" t="s">
        <v>7511</v>
      </c>
      <c r="G27" s="194" t="s">
        <v>7509</v>
      </c>
      <c r="H27" s="464" t="str">
        <f>IFERROR(__xludf.DUMMYFUNCTION("GOOGLETRANSLATE(D27,""zh-tw"",""ja"")"),"-")</f>
        <v>-</v>
      </c>
      <c r="I27" s="253" t="s">
        <v>7512</v>
      </c>
      <c r="J27" s="254" t="s">
        <v>7513</v>
      </c>
      <c r="K27" s="254" t="s">
        <v>7509</v>
      </c>
      <c r="L27" s="463" t="str">
        <f>IFERROR(__xludf.DUMMYFUNCTION("GOOGLETRANSLATE(D27,""zh-tw"",""en"")"),"-")</f>
        <v>-</v>
      </c>
      <c r="M27" s="253" t="str">
        <f>IFERROR(__xludf.DUMMYFUNCTION("GOOGLETRANSLATE(A27,""zh-tw"",""zh"")"),"走路菇")</f>
        <v>走路菇</v>
      </c>
      <c r="N27" s="254" t="str">
        <f>IFERROR(__xludf.DUMMYFUNCTION("GOOGLETRANSLATE(B27,""zh-tw"",""zh"")"),"走路菇
毒孢针")</f>
        <v>走路菇
毒孢针</v>
      </c>
      <c r="O27" s="254" t="s">
        <v>7509</v>
      </c>
      <c r="P27" s="463" t="str">
        <f>IFERROR(__xludf.DUMMYFUNCTION("GOOGLETRANSLATE(D27,""zh-tw"",""zh"")"),"-")</f>
        <v>-</v>
      </c>
      <c r="Q27" s="192" t="str">
        <f>IFERROR(__xludf.DUMMYFUNCTION("GOOGLETRANSLATE(A27,""zh-tw"",""es-MX"")"),"Hongo andante")</f>
        <v>Hongo andante</v>
      </c>
      <c r="R27" s="254" t="str">
        <f>IFERROR(__xludf.DUMMYFUNCTION("GOOGLETRANSLATE(B27,""zh-tw"",""es-MX"")"),"Seta caminante; aguja de espora venenosa")</f>
        <v>Seta caminante; aguja de espora venenosa</v>
      </c>
      <c r="S27" s="254" t="s">
        <v>7509</v>
      </c>
      <c r="T27" s="463" t="str">
        <f>IFERROR(__xludf.DUMMYFUNCTION("GOOGLETRANSLATE(D27,""zh-tw"",""es-MX"")"),"-")</f>
        <v>-</v>
      </c>
      <c r="U27" s="253" t="str">
        <f>IFERROR(__xludf.DUMMYFUNCTION("GOOGLETRANSLATE(A27,""zh-tw"",""KO"")"),"걷는 버섯")</f>
        <v>걷는 버섯</v>
      </c>
      <c r="V27" s="194" t="str">
        <f>IFERROR(__xludf.DUMMYFUNCTION("GOOGLETRANSLATE(B27,""zh-tw"",""KO"")"),"걸어다니는 버섯; 독포자 바늘")</f>
        <v>걸어다니는 버섯; 독포자 바늘</v>
      </c>
      <c r="W27" s="194" t="s">
        <v>7509</v>
      </c>
      <c r="X27" s="464" t="str">
        <f>IFERROR(__xludf.DUMMYFUNCTION("GOOGLETRANSLATE(D27,""zh-tw"",""KO"")"),"-")</f>
        <v>-</v>
      </c>
      <c r="Y27" s="253" t="s">
        <v>7514</v>
      </c>
      <c r="Z27" s="194" t="s">
        <v>7515</v>
      </c>
      <c r="AA27" s="194" t="s">
        <v>7509</v>
      </c>
      <c r="AB27" s="463" t="s">
        <v>1485</v>
      </c>
      <c r="AC27" s="192" t="s">
        <v>7514</v>
      </c>
      <c r="AD27" s="194" t="s">
        <v>7516</v>
      </c>
      <c r="AE27" s="194" t="s">
        <v>7509</v>
      </c>
      <c r="AF27" s="463" t="s">
        <v>1485</v>
      </c>
      <c r="AG27" s="253" t="s">
        <v>7517</v>
      </c>
      <c r="AH27" s="254" t="s">
        <v>7518</v>
      </c>
      <c r="AI27" s="254" t="s">
        <v>7509</v>
      </c>
      <c r="AJ27" s="469" t="s">
        <v>7350</v>
      </c>
      <c r="AK27" s="237" t="s">
        <v>7519</v>
      </c>
      <c r="AL27" s="465" t="s">
        <v>7520</v>
      </c>
      <c r="AM27" s="465" t="s">
        <v>7509</v>
      </c>
      <c r="AN27" s="466" t="s">
        <v>1485</v>
      </c>
      <c r="AO27" s="253" t="s">
        <v>7512</v>
      </c>
      <c r="AP27" s="205" t="s">
        <v>7521</v>
      </c>
      <c r="AQ27" s="254" t="s">
        <v>7509</v>
      </c>
      <c r="AR27" s="463" t="s">
        <v>1485</v>
      </c>
      <c r="AS27" s="467" t="s">
        <v>7522</v>
      </c>
      <c r="AT27" s="260" t="s">
        <v>7523</v>
      </c>
      <c r="AU27" s="260" t="s">
        <v>7524</v>
      </c>
      <c r="AV27" s="468" t="s">
        <v>1485</v>
      </c>
    </row>
    <row r="28">
      <c r="A28" s="192" t="s">
        <v>7525</v>
      </c>
      <c r="B28" s="194" t="s">
        <v>7526</v>
      </c>
      <c r="C28" s="194" t="s">
        <v>7527</v>
      </c>
      <c r="D28" s="464" t="s">
        <v>1485</v>
      </c>
      <c r="E28" s="192" t="str">
        <f>IFERROR(__xludf.DUMMYFUNCTION("GOOGLETRANSLATE(A28,""zh-tw"",""ja"")"),"ジャック・スライム")</f>
        <v>ジャック・スライム</v>
      </c>
      <c r="F28" s="254" t="s">
        <v>7528</v>
      </c>
      <c r="G28" s="254" t="s">
        <v>7527</v>
      </c>
      <c r="H28" s="464" t="str">
        <f>IFERROR(__xludf.DUMMYFUNCTION("GOOGLETRANSLATE(D28,""zh-tw"",""ja"")"),"-")</f>
        <v>-</v>
      </c>
      <c r="I28" s="253" t="s">
        <v>7529</v>
      </c>
      <c r="J28" s="254" t="s">
        <v>7530</v>
      </c>
      <c r="K28" s="254" t="s">
        <v>7527</v>
      </c>
      <c r="L28" s="463" t="s">
        <v>1485</v>
      </c>
      <c r="M28" s="253" t="str">
        <f>IFERROR(__xludf.DUMMYFUNCTION("GOOGLETRANSLATE(A28,""zh-tw"",""zh"")"),"杰克史莱姆")</f>
        <v>杰克史莱姆</v>
      </c>
      <c r="N28" s="254" t="str">
        <f>IFERROR(__xludf.DUMMYFUNCTION("GOOGLETRANSLATE(B28,""zh-tw"",""zh"")"),"史莱姆的黏液
杰克爆弹
炸弹魔之魂")</f>
        <v>史莱姆的黏液
杰克爆弹
炸弹魔之魂</v>
      </c>
      <c r="O28" s="254" t="s">
        <v>7527</v>
      </c>
      <c r="P28" s="463" t="str">
        <f>IFERROR(__xludf.DUMMYFUNCTION("GOOGLETRANSLATE(D28,""zh-tw"",""zh"")"),"-")</f>
        <v>-</v>
      </c>
      <c r="Q28" s="192" t="str">
        <f>IFERROR(__xludf.DUMMYFUNCTION("GOOGLETRANSLATE(A28,""zh-tw"",""es-MX"")"),"Jack Slime")</f>
        <v>Jack Slime</v>
      </c>
      <c r="R28" s="254" t="str">
        <f>IFERROR(__xludf.DUMMYFUNCTION("GOOGLETRANSLATE(B28,""zh-tw"",""es-MX"")"),"Slime Slime
Jack Bomb
Bomber Soul")</f>
        <v>Slime Slime
Jack Bomb
Bomber Soul</v>
      </c>
      <c r="S28" s="254" t="s">
        <v>7527</v>
      </c>
      <c r="T28" s="463" t="str">
        <f>IFERROR(__xludf.DUMMYFUNCTION("GOOGLETRANSLATE(D28,""zh-tw"",""es-MX"")"),"-")</f>
        <v>-</v>
      </c>
      <c r="U28" s="253" t="str">
        <f>IFERROR(__xludf.DUMMYFUNCTION("GOOGLETRANSLATE(A28,""zh-tw"",""KO"")"),"잭 슬라임")</f>
        <v>잭 슬라임</v>
      </c>
      <c r="V28" s="194" t="str">
        <f>IFERROR(__xludf.DUMMYFUNCTION("GOOGLETRANSLATE(B28,""zh-tw"",""KO"")"),"슬라임 슬라임
잭 밤
봄버 소울")</f>
        <v>슬라임 슬라임
잭 밤
봄버 소울</v>
      </c>
      <c r="W28" s="194" t="s">
        <v>7527</v>
      </c>
      <c r="X28" s="464" t="str">
        <f>IFERROR(__xludf.DUMMYFUNCTION("GOOGLETRANSLATE(D28,""zh-tw"",""KO"")"),"-")</f>
        <v>-</v>
      </c>
      <c r="Y28" s="253" t="s">
        <v>7531</v>
      </c>
      <c r="Z28" s="194" t="s">
        <v>7532</v>
      </c>
      <c r="AA28" s="194" t="s">
        <v>7527</v>
      </c>
      <c r="AB28" s="463" t="s">
        <v>1485</v>
      </c>
      <c r="AC28" s="192" t="s">
        <v>7531</v>
      </c>
      <c r="AD28" s="194" t="s">
        <v>7533</v>
      </c>
      <c r="AE28" s="194" t="s">
        <v>7527</v>
      </c>
      <c r="AF28" s="463" t="s">
        <v>1485</v>
      </c>
      <c r="AG28" s="253" t="s">
        <v>7534</v>
      </c>
      <c r="AH28" s="254" t="s">
        <v>7535</v>
      </c>
      <c r="AI28" s="254" t="s">
        <v>7527</v>
      </c>
      <c r="AJ28" s="469" t="s">
        <v>7350</v>
      </c>
      <c r="AK28" s="237" t="s">
        <v>7536</v>
      </c>
      <c r="AL28" s="465" t="s">
        <v>7537</v>
      </c>
      <c r="AM28" s="465" t="s">
        <v>7527</v>
      </c>
      <c r="AN28" s="466" t="s">
        <v>1485</v>
      </c>
      <c r="AO28" s="253" t="s">
        <v>7538</v>
      </c>
      <c r="AP28" s="254" t="s">
        <v>7539</v>
      </c>
      <c r="AQ28" s="254" t="s">
        <v>7527</v>
      </c>
      <c r="AR28" s="463" t="s">
        <v>1485</v>
      </c>
      <c r="AS28" s="467" t="s">
        <v>7529</v>
      </c>
      <c r="AT28" s="260" t="s">
        <v>7540</v>
      </c>
      <c r="AU28" s="260" t="s">
        <v>7527</v>
      </c>
      <c r="AV28" s="468" t="s">
        <v>1485</v>
      </c>
    </row>
    <row r="29">
      <c r="A29" s="192" t="s">
        <v>7541</v>
      </c>
      <c r="B29" s="194" t="s">
        <v>7542</v>
      </c>
      <c r="C29" s="194" t="s">
        <v>7543</v>
      </c>
      <c r="D29" s="463" t="s">
        <v>1485</v>
      </c>
      <c r="E29" s="253" t="s">
        <v>7544</v>
      </c>
      <c r="F29" s="254" t="s">
        <v>7545</v>
      </c>
      <c r="G29" s="194" t="s">
        <v>7543</v>
      </c>
      <c r="H29" s="464" t="str">
        <f>IFERROR(__xludf.DUMMYFUNCTION("GOOGLETRANSLATE(D29,""zh-tw"",""ja"")"),"-")</f>
        <v>-</v>
      </c>
      <c r="I29" s="253" t="str">
        <f>IFERROR(__xludf.DUMMYFUNCTION("GOOGLETRANSLATE(A29,""zh-tw"",""en"")"),"Maid Bunny")</f>
        <v>Maid Bunny</v>
      </c>
      <c r="J29" s="254" t="s">
        <v>7546</v>
      </c>
      <c r="K29" s="254" t="s">
        <v>7543</v>
      </c>
      <c r="L29" s="463" t="str">
        <f>IFERROR(__xludf.DUMMYFUNCTION("GOOGLETRANSLATE(D29,""zh-tw"",""en"")"),"-")</f>
        <v>-</v>
      </c>
      <c r="M29" s="253" t="str">
        <f>IFERROR(__xludf.DUMMYFUNCTION("GOOGLETRANSLATE(A29,""zh-tw"",""zh"")"),"女仆兔")</f>
        <v>女仆兔</v>
      </c>
      <c r="N29" s="254" t="str">
        <f>IFERROR(__xludf.DUMMYFUNCTION("GOOGLETRANSLATE(B29,""zh-tw"",""zh"")"),"胡萝卜
500元
1000元
萌萌兔耳
女仆制服")</f>
        <v>胡萝卜
500元
1000元
萌萌兔耳
女仆制服</v>
      </c>
      <c r="O29" s="254" t="s">
        <v>7543</v>
      </c>
      <c r="P29" s="464" t="str">
        <f>IFERROR(__xludf.DUMMYFUNCTION("GOOGLETRANSLATE(D29,""zh-tw"",""zh"")"),"-")</f>
        <v>-</v>
      </c>
      <c r="Q29" s="192" t="str">
        <f>IFERROR(__xludf.DUMMYFUNCTION("GOOGLETRANSLATE(A29,""zh-tw"",""es-MX"")"),"Conejita de criada")</f>
        <v>Conejita de criada</v>
      </c>
      <c r="R29" s="254" t="str">
        <f>IFERROR(__xludf.DUMMYFUNCTION("GOOGLETRANSLATE(B29,""zh-tw"",""es-MX"")"),"Zanahoria
500 yuanes
1000 yuanes
Orejas de conejo adorables
Uniforme de sirvienta")</f>
        <v>Zanahoria
500 yuanes
1000 yuanes
Orejas de conejo adorables
Uniforme de sirvienta</v>
      </c>
      <c r="S29" s="254" t="s">
        <v>7543</v>
      </c>
      <c r="T29" s="463" t="str">
        <f>IFERROR(__xludf.DUMMYFUNCTION("GOOGLETRANSLATE(D29,""zh-tw"",""es-MX"")"),"-")</f>
        <v>-</v>
      </c>
      <c r="U29" s="253" t="str">
        <f>IFERROR(__xludf.DUMMYFUNCTION("GOOGLETRANSLATE(A29,""zh-tw"",""KO"")"),"메이드 버니")</f>
        <v>메이드 버니</v>
      </c>
      <c r="V29" s="194" t="str">
        <f>IFERROR(__xludf.DUMMYFUNCTION("GOOGLETRANSLATE(B29,""zh-tw"",""KO"")"),"당근
500위안
1000위안
귀여운 토끼 귀
메이드 유니폼")</f>
        <v>당근
500위안
1000위안
귀여운 토끼 귀
메이드 유니폼</v>
      </c>
      <c r="W29" s="194" t="s">
        <v>7543</v>
      </c>
      <c r="X29" s="464" t="str">
        <f>IFERROR(__xludf.DUMMYFUNCTION("GOOGLETRANSLATE(D29,""zh-tw"",""KO"")"),"-")</f>
        <v>-</v>
      </c>
      <c r="Y29" s="253" t="s">
        <v>7547</v>
      </c>
      <c r="Z29" s="194" t="s">
        <v>7548</v>
      </c>
      <c r="AA29" s="194" t="s">
        <v>7543</v>
      </c>
      <c r="AB29" s="463" t="s">
        <v>1485</v>
      </c>
      <c r="AC29" s="192" t="s">
        <v>7549</v>
      </c>
      <c r="AD29" s="194" t="s">
        <v>7550</v>
      </c>
      <c r="AE29" s="194" t="s">
        <v>7543</v>
      </c>
      <c r="AF29" s="463" t="s">
        <v>1485</v>
      </c>
      <c r="AG29" s="253" t="s">
        <v>7551</v>
      </c>
      <c r="AH29" s="254" t="s">
        <v>7552</v>
      </c>
      <c r="AI29" s="254" t="s">
        <v>7543</v>
      </c>
      <c r="AJ29" s="469" t="s">
        <v>7350</v>
      </c>
      <c r="AK29" s="237" t="s">
        <v>7553</v>
      </c>
      <c r="AL29" s="465" t="s">
        <v>7554</v>
      </c>
      <c r="AM29" s="465" t="s">
        <v>7543</v>
      </c>
      <c r="AN29" s="466" t="s">
        <v>1485</v>
      </c>
      <c r="AO29" s="253" t="s">
        <v>7555</v>
      </c>
      <c r="AP29" s="254" t="s">
        <v>7556</v>
      </c>
      <c r="AQ29" s="254" t="s">
        <v>7543</v>
      </c>
      <c r="AR29" s="463" t="s">
        <v>1485</v>
      </c>
      <c r="AS29" s="467" t="s">
        <v>7557</v>
      </c>
      <c r="AT29" s="260" t="s">
        <v>7558</v>
      </c>
      <c r="AU29" s="260" t="s">
        <v>7543</v>
      </c>
      <c r="AV29" s="468" t="s">
        <v>1485</v>
      </c>
    </row>
    <row r="30">
      <c r="A30" s="192" t="s">
        <v>7559</v>
      </c>
      <c r="B30" s="194" t="s">
        <v>7560</v>
      </c>
      <c r="C30" s="194" t="s">
        <v>7561</v>
      </c>
      <c r="D30" s="463" t="s">
        <v>1485</v>
      </c>
      <c r="E30" s="253" t="s">
        <v>7562</v>
      </c>
      <c r="F30" s="254" t="s">
        <v>7563</v>
      </c>
      <c r="G30" s="194" t="s">
        <v>7561</v>
      </c>
      <c r="H30" s="464" t="str">
        <f>IFERROR(__xludf.DUMMYFUNCTION("GOOGLETRANSLATE(D30,""zh-tw"",""ja"")"),"-")</f>
        <v>-</v>
      </c>
      <c r="I30" s="253" t="s">
        <v>7564</v>
      </c>
      <c r="J30" s="254" t="s">
        <v>7565</v>
      </c>
      <c r="K30" s="254" t="s">
        <v>7561</v>
      </c>
      <c r="L30" s="463" t="str">
        <f>IFERROR(__xludf.DUMMYFUNCTION("GOOGLETRANSLATE(D30,""zh-tw"",""en"")"),"-")</f>
        <v>-</v>
      </c>
      <c r="M30" s="253" t="str">
        <f>IFERROR(__xludf.DUMMYFUNCTION("GOOGLETRANSLATE(A30,""zh-tw"",""zh"")"),"小红怪")</f>
        <v>小红怪</v>
      </c>
      <c r="N30" s="254" t="str">
        <f>IFERROR(__xludf.DUMMYFUNCTION("GOOGLETRANSLATE(B30,""zh-tw"",""zh"")"),"来自地狱
受诅胎体")</f>
        <v>来自地狱
受诅胎体</v>
      </c>
      <c r="O30" s="254" t="s">
        <v>7561</v>
      </c>
      <c r="P30" s="463" t="str">
        <f>IFERROR(__xludf.DUMMYFUNCTION("GOOGLETRANSLATE(D30,""zh-tw"",""zh"")"),"-")</f>
        <v>-</v>
      </c>
      <c r="Q30" s="192" t="str">
        <f>IFERROR(__xludf.DUMMYFUNCTION("GOOGLETRANSLATE(A30,""zh-tw"",""es-MX"")"),"El pequeño monstruo rojo")</f>
        <v>El pequeño monstruo rojo</v>
      </c>
      <c r="R30" s="254" t="str">
        <f>IFERROR(__xludf.DUMMYFUNCTION("GOOGLETRANSLATE(B30,""zh-tw"",""es-MX"")"),"Desde el infierno, embrión maldito")</f>
        <v>Desde el infierno, embrión maldito</v>
      </c>
      <c r="S30" s="254" t="s">
        <v>7561</v>
      </c>
      <c r="T30" s="463" t="str">
        <f>IFERROR(__xludf.DUMMYFUNCTION("GOOGLETRANSLATE(D30,""zh-tw"",""es-MX"")"),"-")</f>
        <v>-</v>
      </c>
      <c r="U30" s="253" t="str">
        <f>IFERROR(__xludf.DUMMYFUNCTION("GOOGLETRANSLATE(A30,""zh-tw"",""KO"")"),"빨간 괴물")</f>
        <v>빨간 괴물</v>
      </c>
      <c r="V30" s="194" t="str">
        <f>IFERROR(__xludf.DUMMYFUNCTION("GOOGLETRANSLATE(B30,""zh-tw"",""KO"")"),"지옥에서 온 저주받은 배아")</f>
        <v>지옥에서 온 저주받은 배아</v>
      </c>
      <c r="W30" s="194" t="s">
        <v>7561</v>
      </c>
      <c r="X30" s="464" t="str">
        <f>IFERROR(__xludf.DUMMYFUNCTION("GOOGLETRANSLATE(D30,""zh-tw"",""KO"")"),"-")</f>
        <v>-</v>
      </c>
      <c r="Y30" s="253" t="s">
        <v>7566</v>
      </c>
      <c r="Z30" s="194" t="s">
        <v>7567</v>
      </c>
      <c r="AA30" s="194" t="s">
        <v>7561</v>
      </c>
      <c r="AB30" s="463" t="s">
        <v>1485</v>
      </c>
      <c r="AC30" s="192" t="s">
        <v>7568</v>
      </c>
      <c r="AD30" s="194" t="s">
        <v>7569</v>
      </c>
      <c r="AE30" s="194" t="s">
        <v>7561</v>
      </c>
      <c r="AF30" s="463" t="s">
        <v>1485</v>
      </c>
      <c r="AG30" s="253" t="s">
        <v>7570</v>
      </c>
      <c r="AH30" s="254" t="s">
        <v>7571</v>
      </c>
      <c r="AI30" s="254" t="s">
        <v>7561</v>
      </c>
      <c r="AJ30" s="469" t="s">
        <v>7350</v>
      </c>
      <c r="AK30" s="237" t="s">
        <v>7572</v>
      </c>
      <c r="AL30" s="465" t="s">
        <v>7573</v>
      </c>
      <c r="AM30" s="465" t="s">
        <v>7561</v>
      </c>
      <c r="AN30" s="466" t="s">
        <v>1485</v>
      </c>
      <c r="AO30" s="253" t="s">
        <v>7574</v>
      </c>
      <c r="AP30" s="205" t="s">
        <v>7575</v>
      </c>
      <c r="AQ30" s="254" t="s">
        <v>7561</v>
      </c>
      <c r="AR30" s="463" t="s">
        <v>1485</v>
      </c>
      <c r="AS30" s="467" t="s">
        <v>7576</v>
      </c>
      <c r="AT30" s="260" t="s">
        <v>7577</v>
      </c>
      <c r="AU30" s="260" t="s">
        <v>7561</v>
      </c>
      <c r="AV30" s="468" t="s">
        <v>1485</v>
      </c>
    </row>
    <row r="31">
      <c r="A31" s="192" t="s">
        <v>7578</v>
      </c>
      <c r="B31" s="194" t="s">
        <v>7579</v>
      </c>
      <c r="C31" s="194" t="s">
        <v>7580</v>
      </c>
      <c r="D31" s="463" t="s">
        <v>1485</v>
      </c>
      <c r="E31" s="253" t="s">
        <v>7581</v>
      </c>
      <c r="F31" s="254" t="s">
        <v>7582</v>
      </c>
      <c r="G31" s="194" t="s">
        <v>7580</v>
      </c>
      <c r="H31" s="464" t="str">
        <f>IFERROR(__xludf.DUMMYFUNCTION("GOOGLETRANSLATE(D31,""zh-tw"",""ja"")"),"-")</f>
        <v>-</v>
      </c>
      <c r="I31" s="253" t="s">
        <v>7583</v>
      </c>
      <c r="J31" s="254" t="s">
        <v>7584</v>
      </c>
      <c r="K31" s="254" t="s">
        <v>7580</v>
      </c>
      <c r="L31" s="463" t="str">
        <f>IFERROR(__xludf.DUMMYFUNCTION("GOOGLETRANSLATE(D31,""zh-tw"",""en"")"),"-")</f>
        <v>-</v>
      </c>
      <c r="M31" s="253" t="str">
        <f>IFERROR(__xludf.DUMMYFUNCTION("GOOGLETRANSLATE(A31,""zh-tw"",""zh"")"),"恶魔猫")</f>
        <v>恶魔猫</v>
      </c>
      <c r="N31" s="254" t="str">
        <f>IFERROR(__xludf.DUMMYFUNCTION("GOOGLETRANSLATE(B31,""zh-tw"",""zh"")"),"随机塔罗牌
随机符文
卢恩符文R
卢恩符文E
魔力汲取手套
星月夜
招财猫")</f>
        <v>随机塔罗牌
随机符文
卢恩符文R
卢恩符文E
魔力汲取手套
星月夜
招财猫</v>
      </c>
      <c r="O31" s="254" t="s">
        <v>7580</v>
      </c>
      <c r="P31" s="463" t="str">
        <f>IFERROR(__xludf.DUMMYFUNCTION("GOOGLETRANSLATE(D31,""zh-tw"",""zh"")"),"-")</f>
        <v>-</v>
      </c>
      <c r="Q31" s="192" t="str">
        <f>IFERROR(__xludf.DUMMYFUNCTION("GOOGLETRANSLATE(A31,""zh-tw"",""es-MX"")"),"Gato Diablo")</f>
        <v>Gato Diablo</v>
      </c>
      <c r="R31" s="254"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254" t="s">
        <v>7580</v>
      </c>
      <c r="T31" s="463" t="str">
        <f>IFERROR(__xludf.DUMMYFUNCTION("GOOGLETRANSLATE(D31,""zh-tw"",""es-MX"")"),"-")</f>
        <v>-</v>
      </c>
      <c r="U31" s="253" t="str">
        <f>IFERROR(__xludf.DUMMYFUNCTION("GOOGLETRANSLATE(A31,""zh-tw"",""KO"")"),"악마 고양이")</f>
        <v>악마 고양이</v>
      </c>
      <c r="V31" s="194"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94" t="s">
        <v>7580</v>
      </c>
      <c r="X31" s="464" t="str">
        <f>IFERROR(__xludf.DUMMYFUNCTION("GOOGLETRANSLATE(D31,""zh-tw"",""KO"")"),"-")</f>
        <v>-</v>
      </c>
      <c r="Y31" s="253" t="s">
        <v>7585</v>
      </c>
      <c r="Z31" s="194" t="s">
        <v>7586</v>
      </c>
      <c r="AA31" s="194" t="s">
        <v>7580</v>
      </c>
      <c r="AB31" s="463" t="s">
        <v>1485</v>
      </c>
      <c r="AC31" s="192" t="s">
        <v>7587</v>
      </c>
      <c r="AD31" s="194" t="s">
        <v>7588</v>
      </c>
      <c r="AE31" s="194" t="s">
        <v>7580</v>
      </c>
      <c r="AF31" s="463" t="s">
        <v>1485</v>
      </c>
      <c r="AG31" s="253" t="s">
        <v>7589</v>
      </c>
      <c r="AH31" s="254" t="s">
        <v>7590</v>
      </c>
      <c r="AI31" s="254" t="s">
        <v>7580</v>
      </c>
      <c r="AJ31" s="469" t="s">
        <v>7350</v>
      </c>
      <c r="AK31" s="237" t="s">
        <v>7591</v>
      </c>
      <c r="AL31" s="465" t="s">
        <v>7592</v>
      </c>
      <c r="AM31" s="465" t="s">
        <v>7580</v>
      </c>
      <c r="AN31" s="466" t="s">
        <v>1485</v>
      </c>
      <c r="AO31" s="253" t="s">
        <v>7593</v>
      </c>
      <c r="AP31" s="205" t="s">
        <v>7594</v>
      </c>
      <c r="AQ31" s="254" t="s">
        <v>7580</v>
      </c>
      <c r="AR31" s="463" t="s">
        <v>1485</v>
      </c>
      <c r="AS31" s="467" t="s">
        <v>7595</v>
      </c>
      <c r="AT31" s="260" t="s">
        <v>7596</v>
      </c>
      <c r="AU31" s="260" t="s">
        <v>7580</v>
      </c>
      <c r="AV31" s="468" t="s">
        <v>1485</v>
      </c>
    </row>
    <row r="32">
      <c r="A32" s="192" t="s">
        <v>7597</v>
      </c>
      <c r="B32" s="194" t="s">
        <v>7598</v>
      </c>
      <c r="C32" s="194" t="s">
        <v>7599</v>
      </c>
      <c r="D32" s="463" t="s">
        <v>1485</v>
      </c>
      <c r="E32" s="192" t="str">
        <f>IFERROR(__xludf.DUMMYFUNCTION("GOOGLETRANSLATE(A32,""zh-tw"",""ja"")"),"復讐心に燃える霊たち")</f>
        <v>復讐心に燃える霊たち</v>
      </c>
      <c r="F32" s="194" t="s">
        <v>7600</v>
      </c>
      <c r="G32" s="194" t="s">
        <v>7599</v>
      </c>
      <c r="H32" s="464" t="str">
        <f>IFERROR(__xludf.DUMMYFUNCTION("GOOGLETRANSLATE(D32,""zh-tw"",""ja"")"),"-")</f>
        <v>-</v>
      </c>
      <c r="I32" s="204" t="s">
        <v>7601</v>
      </c>
      <c r="J32" s="254" t="s">
        <v>7602</v>
      </c>
      <c r="K32" s="254" t="s">
        <v>7599</v>
      </c>
      <c r="L32" s="463" t="str">
        <f>IFERROR(__xludf.DUMMYFUNCTION("GOOGLETRANSLATE(D32,""zh-tw"",""en"")"),"-")</f>
        <v>-</v>
      </c>
      <c r="M32" s="253" t="str">
        <f>IFERROR(__xludf.DUMMYFUNCTION("GOOGLETRANSLATE(A32,""zh-tw"",""zh"")"),"怨灵")</f>
        <v>怨灵</v>
      </c>
      <c r="N32" s="254" t="str">
        <f>IFERROR(__xludf.DUMMYFUNCTION("GOOGLETRANSLATE(B32,""zh-tw"",""zh"")"),"随机塔罗牌
随机符文
魔力晶簇
堕落法师的手套
精神凝聚头环")</f>
        <v>随机塔罗牌
随机符文
魔力晶簇
堕落法师的手套
精神凝聚头环</v>
      </c>
      <c r="O32" s="254" t="s">
        <v>7599</v>
      </c>
      <c r="P32" s="463" t="str">
        <f>IFERROR(__xludf.DUMMYFUNCTION("GOOGLETRANSLATE(D32,""zh-tw"",""zh"")"),"-")</f>
        <v>-</v>
      </c>
      <c r="Q32" s="192" t="str">
        <f>IFERROR(__xludf.DUMMYFUNCTION("GOOGLETRANSLATE(A32,""zh-tw"",""es-MX"")"),"espíritus vengativos")</f>
        <v>espíritus vengativos</v>
      </c>
      <c r="R32" s="194" t="str">
        <f>IFERROR(__xludf.DUMMYFUNCTION("GOOGLETRANSLATE(B32,""zh-tw"",""es-MX"")"),"Cartas de Tarot Aleatorias
Runas Aleatorias
Racimos de Cristales Mágicos
Guantes de Mago Caído
Diadema de Concentración Espiritual")</f>
        <v>Cartas de Tarot Aleatorias
Runas Aleatorias
Racimos de Cristales Mágicos
Guantes de Mago Caído
Diadema de Concentración Espiritual</v>
      </c>
      <c r="S32" s="254" t="s">
        <v>7599</v>
      </c>
      <c r="T32" s="463" t="str">
        <f>IFERROR(__xludf.DUMMYFUNCTION("GOOGLETRANSLATE(D32,""zh-tw"",""es-MX"")"),"-")</f>
        <v>-</v>
      </c>
      <c r="U32" s="253" t="str">
        <f>IFERROR(__xludf.DUMMYFUNCTION("GOOGLETRANSLATE(A32,""zh-tw"",""KO"")"),"복수심에 불타는 영혼들")</f>
        <v>복수심에 불타는 영혼들</v>
      </c>
      <c r="V32" s="194" t="str">
        <f>IFERROR(__xludf.DUMMYFUNCTION("GOOGLETRANSLATE(B32,""zh-tw"",""KO"")"),"랜덤 타로 카드
랜덤 룬 문자
마법 수정 덩어리
타락한 마법사의 장갑
정신 집중 머리띠")</f>
        <v>랜덤 타로 카드
랜덤 룬 문자
마법 수정 덩어리
타락한 마법사의 장갑
정신 집중 머리띠</v>
      </c>
      <c r="W32" s="194" t="s">
        <v>7599</v>
      </c>
      <c r="X32" s="464" t="str">
        <f>IFERROR(__xludf.DUMMYFUNCTION("GOOGLETRANSLATE(D32,""zh-tw"",""KO"")"),"-")</f>
        <v>-</v>
      </c>
      <c r="Y32" s="253" t="s">
        <v>7603</v>
      </c>
      <c r="Z32" s="194" t="s">
        <v>7604</v>
      </c>
      <c r="AA32" s="194" t="s">
        <v>7599</v>
      </c>
      <c r="AB32" s="463" t="s">
        <v>1485</v>
      </c>
      <c r="AC32" s="192" t="s">
        <v>7605</v>
      </c>
      <c r="AD32" s="194" t="s">
        <v>7606</v>
      </c>
      <c r="AE32" s="194" t="s">
        <v>7599</v>
      </c>
      <c r="AF32" s="463" t="s">
        <v>1485</v>
      </c>
      <c r="AG32" s="253" t="s">
        <v>7607</v>
      </c>
      <c r="AH32" s="254" t="s">
        <v>7608</v>
      </c>
      <c r="AI32" s="254" t="s">
        <v>7599</v>
      </c>
      <c r="AJ32" s="469" t="s">
        <v>7350</v>
      </c>
      <c r="AK32" s="237" t="s">
        <v>7609</v>
      </c>
      <c r="AL32" s="465" t="s">
        <v>7610</v>
      </c>
      <c r="AM32" s="465" t="s">
        <v>7599</v>
      </c>
      <c r="AN32" s="466" t="s">
        <v>1485</v>
      </c>
      <c r="AO32" s="253" t="s">
        <v>7611</v>
      </c>
      <c r="AP32" s="205" t="s">
        <v>7612</v>
      </c>
      <c r="AQ32" s="254" t="s">
        <v>7599</v>
      </c>
      <c r="AR32" s="463" t="s">
        <v>1485</v>
      </c>
      <c r="AS32" s="467" t="s">
        <v>7613</v>
      </c>
      <c r="AT32" s="260" t="s">
        <v>7614</v>
      </c>
      <c r="AU32" s="260" t="s">
        <v>7599</v>
      </c>
      <c r="AV32" s="468" t="s">
        <v>1485</v>
      </c>
    </row>
    <row r="33">
      <c r="A33" s="192" t="s">
        <v>7615</v>
      </c>
      <c r="B33" s="194" t="s">
        <v>7616</v>
      </c>
      <c r="C33" s="194" t="s">
        <v>7617</v>
      </c>
      <c r="D33" s="463" t="s">
        <v>1485</v>
      </c>
      <c r="E33" s="253" t="str">
        <f>IFERROR(__xludf.DUMMYFUNCTION("GOOGLETRANSLATE(A33,""zh-tw"",""ja"")"),"ゾンビ")</f>
        <v>ゾンビ</v>
      </c>
      <c r="F33" s="254" t="s">
        <v>7618</v>
      </c>
      <c r="G33" s="194" t="s">
        <v>7617</v>
      </c>
      <c r="H33" s="464" t="str">
        <f>IFERROR(__xludf.DUMMYFUNCTION("GOOGLETRANSLATE(D33,""zh-tw"",""ja"")"),"-")</f>
        <v>-</v>
      </c>
      <c r="I33" s="253" t="s">
        <v>7619</v>
      </c>
      <c r="J33" s="254" t="s">
        <v>7620</v>
      </c>
      <c r="K33" s="254" t="s">
        <v>7617</v>
      </c>
      <c r="L33" s="463" t="str">
        <f>IFERROR(__xludf.DUMMYFUNCTION("GOOGLETRANSLATE(D33,""zh-tw"",""en"")"),"-")</f>
        <v>-</v>
      </c>
      <c r="M33" s="253" t="str">
        <f>IFERROR(__xludf.DUMMYFUNCTION("GOOGLETRANSLATE(A33,""zh-tw"",""zh"")"),"丧尸")</f>
        <v>丧尸</v>
      </c>
      <c r="N33" s="254" t="str">
        <f>IFERROR(__xludf.DUMMYFUNCTION("GOOGLETRANSLATE(B33,""zh-tw"",""zh"")"),"垃圾
毒蛇之拥
毅力头巾
臭鱼骨")</f>
        <v>垃圾
毒蛇之拥
毅力头巾
臭鱼骨</v>
      </c>
      <c r="O33" s="254" t="s">
        <v>7617</v>
      </c>
      <c r="P33" s="464" t="str">
        <f>IFERROR(__xludf.DUMMYFUNCTION("GOOGLETRANSLATE(D33,""zh-tw"",""zh"")"),"-")</f>
        <v>-</v>
      </c>
      <c r="Q33" s="253" t="str">
        <f>IFERROR(__xludf.DUMMYFUNCTION("GOOGLETRANSLATE(A33,""zh-tw"",""es-MX"")"),"Zombis")</f>
        <v>Zombis</v>
      </c>
      <c r="R33" s="254" t="str">
        <f>IFERROR(__xludf.DUMMYFUNCTION("GOOGLETRANSLATE(B33,""zh-tw"",""es-MX"")"),"Basura; Abrazo de serpiente; Diadema de perseverancia; Espinas de pescado apestosas")</f>
        <v>Basura; Abrazo de serpiente; Diadema de perseverancia; Espinas de pescado apestosas</v>
      </c>
      <c r="S33" s="254" t="s">
        <v>7617</v>
      </c>
      <c r="T33" s="463" t="str">
        <f>IFERROR(__xludf.DUMMYFUNCTION("GOOGLETRANSLATE(D33,""zh-tw"",""es-MX"")"),"-")</f>
        <v>-</v>
      </c>
      <c r="U33" s="253" t="str">
        <f>IFERROR(__xludf.DUMMYFUNCTION("GOOGLETRANSLATE(A33,""zh-tw"",""KO"")"),"좀비")</f>
        <v>좀비</v>
      </c>
      <c r="V33" s="194" t="str">
        <f>IFERROR(__xludf.DUMMYFUNCTION("GOOGLETRANSLATE(B33,""zh-tw"",""KO"")"),"쓰레기; 뱀의 포옹; 인내의 머리띠; 냄새나는 생선 뼈")</f>
        <v>쓰레기; 뱀의 포옹; 인내의 머리띠; 냄새나는 생선 뼈</v>
      </c>
      <c r="W33" s="194" t="s">
        <v>7617</v>
      </c>
      <c r="X33" s="464" t="str">
        <f>IFERROR(__xludf.DUMMYFUNCTION("GOOGLETRANSLATE(D33,""zh-tw"",""KO"")"),"-")</f>
        <v>-</v>
      </c>
      <c r="Y33" s="253" t="s">
        <v>7621</v>
      </c>
      <c r="Z33" s="194" t="s">
        <v>7622</v>
      </c>
      <c r="AA33" s="194" t="s">
        <v>7617</v>
      </c>
      <c r="AB33" s="463" t="s">
        <v>1485</v>
      </c>
      <c r="AC33" s="192" t="s">
        <v>7623</v>
      </c>
      <c r="AD33" s="194" t="s">
        <v>7624</v>
      </c>
      <c r="AE33" s="194" t="s">
        <v>7617</v>
      </c>
      <c r="AF33" s="463" t="s">
        <v>1485</v>
      </c>
      <c r="AG33" s="253" t="s">
        <v>7625</v>
      </c>
      <c r="AH33" s="254" t="s">
        <v>7626</v>
      </c>
      <c r="AI33" s="254" t="s">
        <v>7617</v>
      </c>
      <c r="AJ33" s="469" t="s">
        <v>7350</v>
      </c>
      <c r="AK33" s="237" t="s">
        <v>7619</v>
      </c>
      <c r="AL33" s="465" t="s">
        <v>7627</v>
      </c>
      <c r="AM33" s="465" t="s">
        <v>7617</v>
      </c>
      <c r="AN33" s="466" t="s">
        <v>1485</v>
      </c>
      <c r="AO33" s="253" t="s">
        <v>7628</v>
      </c>
      <c r="AP33" s="205" t="s">
        <v>7629</v>
      </c>
      <c r="AQ33" s="254" t="s">
        <v>7617</v>
      </c>
      <c r="AR33" s="463" t="s">
        <v>1485</v>
      </c>
      <c r="AS33" s="467" t="s">
        <v>7619</v>
      </c>
      <c r="AT33" s="260" t="s">
        <v>7630</v>
      </c>
      <c r="AU33" s="260" t="s">
        <v>7617</v>
      </c>
      <c r="AV33" s="468" t="s">
        <v>1485</v>
      </c>
    </row>
    <row r="34">
      <c r="A34" s="192" t="s">
        <v>7631</v>
      </c>
      <c r="B34" s="194" t="s">
        <v>7632</v>
      </c>
      <c r="C34" s="194" t="s">
        <v>7633</v>
      </c>
      <c r="D34" s="463" t="s">
        <v>7634</v>
      </c>
      <c r="E34" s="253" t="s">
        <v>7635</v>
      </c>
      <c r="F34" s="254" t="str">
        <f>IFERROR(__xludf.DUMMYFUNCTION("GOOGLETRANSLATE(B34,""zh-tw"",""ja"")"),"怒りの拳
シェリスの呪われた手
カーネリアンのペンダント*")</f>
        <v>怒りの拳
シェリスの呪われた手
カーネリアンのペンダント*</v>
      </c>
      <c r="G34" s="194" t="s">
        <v>7633</v>
      </c>
      <c r="H34" s="464" t="str">
        <f>IFERROR(__xludf.DUMMYFUNCTION("GOOGLETRANSLATE(D34,""zh-tw"",""ja"")"),"* 赤い翡翠のペンダントは特別なドロップアイテムです。ドロップさせるには、10体以上のモンスターを倒す必要があります。")</f>
        <v>* 赤い翡翠のペンダントは特別なドロップアイテムです。ドロップさせるには、10体以上のモンスターを倒す必要があります。</v>
      </c>
      <c r="I34" s="253" t="s">
        <v>7636</v>
      </c>
      <c r="J34" s="254" t="s">
        <v>7637</v>
      </c>
      <c r="K34" s="254" t="s">
        <v>7633</v>
      </c>
      <c r="L34" s="463" t="s">
        <v>7638</v>
      </c>
      <c r="M34" s="253" t="str">
        <f>IFERROR(__xludf.DUMMYFUNCTION("GOOGLETRANSLATE(A34,""zh-tw"",""zh"")"),"堕落法师的断手")</f>
        <v>堕落法师的断手</v>
      </c>
      <c r="N34" s="254" t="str">
        <f>IFERROR(__xludf.DUMMYFUNCTION("GOOGLETRANSLATE(B34,""zh-tw"",""zh"")"),"愤怒的拳头
谢里斯的诅咒之手
红髓玉吊坠 *")</f>
        <v>愤怒的拳头
谢里斯的诅咒之手
红髓玉吊坠 *</v>
      </c>
      <c r="O34" s="254" t="s">
        <v>7633</v>
      </c>
      <c r="P34" s="464" t="str">
        <f>IFERROR(__xludf.DUMMYFUNCTION("GOOGLETRANSLATE(D34,""zh-tw"",""zh"")"),"* 红髓玉吊坠 是特殊掉落，需要击杀10只以上才有可能掉落。")</f>
        <v>* 红髓玉吊坠 是特殊掉落，需要击杀10只以上才有可能掉落。</v>
      </c>
      <c r="Q34" s="253" t="str">
        <f>IFERROR(__xludf.DUMMYFUNCTION("GOOGLETRANSLATE(A34,""zh-tw"",""es-MX"")"),"La mano cercenada del mago caído")</f>
        <v>La mano cercenada del mago caído</v>
      </c>
      <c r="R34" s="254" t="str">
        <f>IFERROR(__xludf.DUMMYFUNCTION("GOOGLETRANSLATE(B34,""zh-tw"",""es-MX"")"),"Un puño furioso
La mano maldita de Sheris
Colgante de cornalina *")</f>
        <v>Un puño furioso
La mano maldita de Sheris
Colgante de cornalina *</v>
      </c>
      <c r="S34" s="254" t="s">
        <v>7633</v>
      </c>
      <c r="T34" s="463" t="str">
        <f>IFERROR(__xludf.DUMMYFUNCTION("GOOGLETRANSLATE(D34,""zh-tw"",""es-MX"")"),"* El colgante de jade rojo es un objeto especial que se obtiene al derrotar monstruos; necesitas matar a más de 10 monstruos para conseguirlo.")</f>
        <v>* El colgante de jade rojo es un objeto especial que se obtiene al derrotar monstruos; necesitas matar a más de 10 monstruos para conseguirlo.</v>
      </c>
      <c r="U34" s="253" t="str">
        <f>IFERROR(__xludf.DUMMYFUNCTION("GOOGLETRANSLATE(A34,""zh-tw"",""KO"")"),"타락한 마법사의 잘린 손")</f>
        <v>타락한 마법사의 잘린 손</v>
      </c>
      <c r="V34" s="194" t="str">
        <f>IFERROR(__xludf.DUMMYFUNCTION("GOOGLETRANSLATE(B34,""zh-tw"",""KO"")"),"분노에 찬 주먹
셰리스의 저주받은 손
카넬리언 펜던트 *")</f>
        <v>분노에 찬 주먹
셰리스의 저주받은 손
카넬리언 펜던트 *</v>
      </c>
      <c r="W34" s="194" t="s">
        <v>7633</v>
      </c>
      <c r="X34" s="464" t="str">
        <f>IFERROR(__xludf.DUMMYFUNCTION("GOOGLETRANSLATE(D34,""zh-tw"",""KO"")"),"* 붉은 옥 펜던트는 특별 드롭 아이템입니다. 10마리 이상의 몬스터를 처치해야 획득할 수 있습니다.")</f>
        <v>* 붉은 옥 펜던트는 특별 드롭 아이템입니다. 10마리 이상의 몬스터를 처치해야 획득할 수 있습니다.</v>
      </c>
      <c r="Y34" s="253" t="s">
        <v>7639</v>
      </c>
      <c r="Z34" s="194" t="s">
        <v>7640</v>
      </c>
      <c r="AA34" s="194" t="s">
        <v>7633</v>
      </c>
      <c r="AB34" s="463" t="s">
        <v>7641</v>
      </c>
      <c r="AC34" s="192" t="s">
        <v>7642</v>
      </c>
      <c r="AD34" s="194" t="s">
        <v>7643</v>
      </c>
      <c r="AE34" s="194" t="s">
        <v>7633</v>
      </c>
      <c r="AF34" s="463" t="s">
        <v>7644</v>
      </c>
      <c r="AG34" s="253" t="s">
        <v>7645</v>
      </c>
      <c r="AH34" s="254" t="s">
        <v>7646</v>
      </c>
      <c r="AI34" s="254" t="s">
        <v>7633</v>
      </c>
      <c r="AJ34" s="463" t="s">
        <v>1485</v>
      </c>
      <c r="AK34" s="237" t="s">
        <v>7647</v>
      </c>
      <c r="AL34" s="465" t="s">
        <v>7648</v>
      </c>
      <c r="AM34" s="465" t="s">
        <v>7633</v>
      </c>
      <c r="AN34" s="466" t="s">
        <v>7649</v>
      </c>
      <c r="AO34" s="253" t="s">
        <v>7650</v>
      </c>
      <c r="AP34" s="254" t="s">
        <v>7651</v>
      </c>
      <c r="AQ34" s="254" t="s">
        <v>7633</v>
      </c>
      <c r="AR34" s="463" t="s">
        <v>7652</v>
      </c>
      <c r="AS34" s="467" t="s">
        <v>7653</v>
      </c>
      <c r="AT34" s="260" t="s">
        <v>7654</v>
      </c>
      <c r="AU34" s="260" t="s">
        <v>7633</v>
      </c>
      <c r="AV34" s="468" t="s">
        <v>7655</v>
      </c>
    </row>
    <row r="35" ht="45.75" customHeight="1">
      <c r="A35" s="204" t="s">
        <v>7656</v>
      </c>
      <c r="B35" s="205" t="s">
        <v>7657</v>
      </c>
      <c r="C35" s="205" t="s">
        <v>7658</v>
      </c>
      <c r="D35" s="463"/>
      <c r="E35" s="204" t="s">
        <v>7659</v>
      </c>
      <c r="F35" s="205" t="s">
        <v>7660</v>
      </c>
      <c r="G35" s="205" t="s">
        <v>7658</v>
      </c>
      <c r="H35" s="464"/>
      <c r="I35" s="204" t="s">
        <v>7661</v>
      </c>
      <c r="J35" s="205" t="s">
        <v>7662</v>
      </c>
      <c r="K35" s="194" t="s">
        <v>7658</v>
      </c>
      <c r="L35" s="463"/>
      <c r="M35" s="253"/>
      <c r="N35" s="254"/>
      <c r="O35" s="254"/>
      <c r="P35" s="464"/>
      <c r="Q35" s="253"/>
      <c r="R35" s="254"/>
      <c r="S35" s="254"/>
      <c r="T35" s="463"/>
      <c r="U35" s="253"/>
      <c r="V35" s="194"/>
      <c r="W35" s="194"/>
      <c r="X35" s="464"/>
      <c r="Y35" s="253" t="s">
        <v>7663</v>
      </c>
      <c r="Z35" s="194" t="s">
        <v>7664</v>
      </c>
      <c r="AA35" s="194" t="s">
        <v>7658</v>
      </c>
      <c r="AB35" s="479"/>
      <c r="AC35" s="192" t="s">
        <v>7665</v>
      </c>
      <c r="AD35" s="194" t="s">
        <v>7666</v>
      </c>
      <c r="AE35" s="194" t="s">
        <v>7658</v>
      </c>
      <c r="AF35" s="463"/>
      <c r="AG35" s="253"/>
      <c r="AH35" s="254"/>
      <c r="AI35" s="254"/>
      <c r="AJ35" s="463"/>
      <c r="AK35" s="171" t="s">
        <v>7667</v>
      </c>
      <c r="AL35" s="68" t="s">
        <v>7668</v>
      </c>
      <c r="AM35" s="465"/>
      <c r="AN35" s="466"/>
      <c r="AO35" s="204" t="s">
        <v>7669</v>
      </c>
      <c r="AP35" s="205" t="s">
        <v>7670</v>
      </c>
      <c r="AQ35" s="205" t="s">
        <v>7658</v>
      </c>
      <c r="AR35" s="463"/>
      <c r="AS35" s="467"/>
      <c r="AT35" s="260"/>
      <c r="AU35" s="260"/>
      <c r="AV35" s="468"/>
    </row>
    <row r="36">
      <c r="A36" s="458" t="s">
        <v>7671</v>
      </c>
      <c r="E36" s="459" t="str">
        <f>IFERROR(__xludf.DUMMYFUNCTION("GOOGLETRANSLATE(A36,""zh-tw"",""ja"")"),"ボス/特殊クリーチャー")</f>
        <v>ボス/特殊クリーチャー</v>
      </c>
      <c r="I36" s="459" t="s">
        <v>7672</v>
      </c>
      <c r="M36" s="459" t="str">
        <f>IFERROR(__xludf.DUMMYFUNCTION("GOOGLETRANSLATE(A36,""zh-tw"",""zh"")"),"BOSS/特殊生物")</f>
        <v>BOSS/特殊生物</v>
      </c>
      <c r="Q36" s="459" t="str">
        <f>IFERROR(__xludf.DUMMYFUNCTION("GOOGLETRANSLATE(A36,""zh-tw"",""es-MX"")"),"JEFE/Criatura especial")</f>
        <v>JEFE/Criatura especial</v>
      </c>
      <c r="U36" s="459" t="str">
        <f>IFERROR(__xludf.DUMMYFUNCTION("GOOGLETRANSLATE(A36,""zh-tw"",""KO"")"),"보스/특수 생물")</f>
        <v>보스/특수 생물</v>
      </c>
      <c r="Y36" s="131" t="s">
        <v>7673</v>
      </c>
      <c r="AC36" s="458" t="s">
        <v>7674</v>
      </c>
      <c r="AG36" s="459" t="str">
        <f>IFERROR(__xludf.DUMMYFUNCTION("GOOGLETRANSLATE(A34,""zh-tw"",""DE"")"),"Die abgetrennte Hand des gefallenen Magiers")</f>
        <v>Die abgetrennte Hand des gefallenen Magiers</v>
      </c>
      <c r="AK36" s="462" t="s">
        <v>7675</v>
      </c>
      <c r="AO36" s="459" t="s">
        <v>7672</v>
      </c>
      <c r="AS36" s="473" t="s">
        <v>7676</v>
      </c>
    </row>
    <row r="37">
      <c r="A37" s="192" t="s">
        <v>7677</v>
      </c>
      <c r="B37" s="194" t="s">
        <v>7678</v>
      </c>
      <c r="C37" s="194" t="s">
        <v>7679</v>
      </c>
      <c r="D37" s="463" t="s">
        <v>7680</v>
      </c>
      <c r="E37" s="204" t="s">
        <v>7681</v>
      </c>
      <c r="F37" s="254" t="s">
        <v>7682</v>
      </c>
      <c r="G37" s="194" t="s">
        <v>7679</v>
      </c>
      <c r="H37" s="464" t="s">
        <v>7683</v>
      </c>
      <c r="I37" s="253" t="s">
        <v>7684</v>
      </c>
      <c r="J37" s="254" t="s">
        <v>7685</v>
      </c>
      <c r="K37" s="254" t="s">
        <v>7679</v>
      </c>
      <c r="L37" s="463" t="s">
        <v>7686</v>
      </c>
      <c r="M37" s="253" t="str">
        <f>IFERROR(__xludf.DUMMYFUNCTION("GOOGLETRANSLATE(A37,""zh-tw"",""zh"")"),"狂乱的红兽")</f>
        <v>狂乱的红兽</v>
      </c>
      <c r="N37" s="254" t="str">
        <f>IFERROR(__xludf.DUMMYFUNCTION("GOOGLETRANSLATE(B37,""zh-tw"",""zh"")"),"天上之石碎片
不幸的诞生
寄坏剑
血狩")</f>
        <v>天上之石碎片
不幸的诞生
寄坏剑
血狩</v>
      </c>
      <c r="O37" s="254" t="s">
        <v>7679</v>
      </c>
      <c r="P37" s="463" t="str">
        <f>IFERROR(__xludf.DUMMYFUNCTION("GOOGLETRANSLATE(D37,""zh-tw"",""zh"")"),"遗迹BOSS 
弱点：毒")</f>
        <v>遗迹BOSS 
弱点：毒</v>
      </c>
      <c r="Q37" s="253" t="str">
        <f>IFERROR(__xludf.DUMMYFUNCTION("GOOGLETRANSLATE(A37,""zh-tw"",""es-MX"")"),"La bestia roja enloquecida")</f>
        <v>La bestia roja enloquecida</v>
      </c>
      <c r="R37" s="254" t="str">
        <f>IFERROR(__xludf.DUMMYFUNCTION("GOOGLETRANSLATE(B37,""zh-tw"",""es-MX"")"),"Fragmentos de una piedra del cielo; Un nacimiento desafortunado; La espada rota; Caza de sangre")</f>
        <v>Fragmentos de una piedra del cielo; Un nacimiento desafortunado; La espada rota; Caza de sangre</v>
      </c>
      <c r="S37" s="254" t="s">
        <v>7679</v>
      </c>
      <c r="T37" s="463" t="str">
        <f>IFERROR(__xludf.DUMMYFUNCTION("GOOGLETRANSLATE(D37,""zh-tw"",""es-MX"")"),"Jefe de las Ruinas
Debilidad: Veneno")</f>
        <v>Jefe de las Ruinas
Debilidad: Veneno</v>
      </c>
      <c r="U37" s="253" t="str">
        <f>IFERROR(__xludf.DUMMYFUNCTION("GOOGLETRANSLATE(A37,""zh-tw"",""KO"")"),"광폭한 붉은 짐승")</f>
        <v>광폭한 붉은 짐승</v>
      </c>
      <c r="V37" s="194" t="s">
        <v>7687</v>
      </c>
      <c r="W37" s="194" t="s">
        <v>7679</v>
      </c>
      <c r="X37" s="464" t="s">
        <v>7688</v>
      </c>
      <c r="Y37" s="253" t="s">
        <v>7689</v>
      </c>
      <c r="Z37" s="194" t="s">
        <v>7690</v>
      </c>
      <c r="AA37" s="194" t="s">
        <v>7679</v>
      </c>
      <c r="AB37" s="463" t="s">
        <v>7691</v>
      </c>
      <c r="AC37" s="192" t="s">
        <v>7692</v>
      </c>
      <c r="AD37" s="194" t="s">
        <v>7693</v>
      </c>
      <c r="AE37" s="194" t="s">
        <v>7679</v>
      </c>
      <c r="AF37" s="463" t="s">
        <v>7694</v>
      </c>
      <c r="AG37" s="253" t="s">
        <v>7695</v>
      </c>
      <c r="AH37" s="254" t="s">
        <v>7696</v>
      </c>
      <c r="AI37" s="254" t="s">
        <v>7679</v>
      </c>
      <c r="AJ37" s="463" t="s">
        <v>7697</v>
      </c>
      <c r="AK37" s="237" t="s">
        <v>7698</v>
      </c>
      <c r="AL37" s="465" t="s">
        <v>7699</v>
      </c>
      <c r="AM37" s="465" t="s">
        <v>7679</v>
      </c>
      <c r="AN37" s="466" t="s">
        <v>7700</v>
      </c>
      <c r="AO37" s="253" t="s">
        <v>7701</v>
      </c>
      <c r="AP37" s="205" t="s">
        <v>7702</v>
      </c>
      <c r="AQ37" s="254" t="s">
        <v>7679</v>
      </c>
      <c r="AR37" s="463" t="s">
        <v>7703</v>
      </c>
      <c r="AS37" s="467" t="s">
        <v>7704</v>
      </c>
      <c r="AT37" s="260" t="s">
        <v>7705</v>
      </c>
      <c r="AU37" s="260" t="s">
        <v>7679</v>
      </c>
      <c r="AV37" s="468" t="s">
        <v>7706</v>
      </c>
    </row>
    <row r="38">
      <c r="A38" s="192" t="s">
        <v>7707</v>
      </c>
      <c r="B38" s="194" t="s">
        <v>7708</v>
      </c>
      <c r="C38" s="194" t="s">
        <v>7709</v>
      </c>
      <c r="D38" s="464" t="s">
        <v>7710</v>
      </c>
      <c r="E38" s="192" t="s">
        <v>7711</v>
      </c>
      <c r="F38" s="254" t="str">
        <f>IFERROR(__xludf.DUMMYFUNCTION("GOOGLETRANSLATE(B38,""zh-tw"",""ja"")"),"天の石の欠片
ニンジン
メイド服
かわいいうさぎの耳
ニンジンの大剣
凍ったニンジンの大剣
カビの生えたニンジンの大剣")</f>
        <v>天の石の欠片
ニンジン
メイド服
かわいいうさぎの耳
ニンジンの大剣
凍ったニンジンの大剣
カビの生えたニンジンの大剣</v>
      </c>
      <c r="G38" s="194" t="s">
        <v>7709</v>
      </c>
      <c r="H38" s="464" t="s">
        <v>7710</v>
      </c>
      <c r="I38" s="253" t="s">
        <v>7712</v>
      </c>
      <c r="J38" s="254" t="s">
        <v>7713</v>
      </c>
      <c r="K38" s="254" t="s">
        <v>7709</v>
      </c>
      <c r="L38" s="463" t="s">
        <v>7710</v>
      </c>
      <c r="M38" s="253" t="str">
        <f>IFERROR(__xludf.DUMMYFUNCTION("GOOGLETRANSLATE(A38,""zh-tw"",""zh"")"),"箱庭的白兔")</f>
        <v>箱庭的白兔</v>
      </c>
      <c r="N38" s="254" t="str">
        <f>IFERROR(__xludf.DUMMYFUNCTION("GOOGLETRANSLATE(B38,""zh-tw"",""zh"")"),"天上之石碎片
胡萝卜
女仆制服
萌萌兔耳
胡萝卜大剑
冻萝卜大剑
霉萝卜大剑")</f>
        <v>天上之石碎片
胡萝卜
女仆制服
萌萌兔耳
胡萝卜大剑
冻萝卜大剑
霉萝卜大剑</v>
      </c>
      <c r="O38" s="254" t="s">
        <v>7709</v>
      </c>
      <c r="P38" s="464" t="str">
        <f>IFERROR(__xludf.DUMMYFUNCTION("GOOGLETRANSLATE(D38,""zh-tw"",""zh"")"),"BOSS")</f>
        <v>BOSS</v>
      </c>
      <c r="Q38" s="192" t="str">
        <f>IFERROR(__xludf.DUMMYFUNCTION("GOOGLETRANSLATE(A38,""zh-tw"",""es-MX"")"),"El conejo blanco del pequeño jardín")</f>
        <v>El conejo blanco del pequeño jardín</v>
      </c>
      <c r="R38" s="254" t="str">
        <f>IFERROR(__xludf.DUMMYFUNCTION("GOOGLETRANSLATE(B38,""zh-tw"",""es-MX"")"),"Fragmento de Piedra Celestial
Zanahoria
Uniforme de sirvienta
Adorables orejas de conejo
Espada grande de zanahoria
Espada grande de zanahoria congelada
Espada grande de zanahoria mohosa")</f>
        <v>Fragmento de Piedra Celestial
Zanahoria
Uniforme de sirvienta
Adorables orejas de conejo
Espada grande de zanahoria
Espada grande de zanahoria congelada
Espada grande de zanahoria mohosa</v>
      </c>
      <c r="S38" s="254" t="s">
        <v>7709</v>
      </c>
      <c r="T38" s="463" t="str">
        <f>IFERROR(__xludf.DUMMYFUNCTION("GOOGLETRANSLATE(D38,""zh-tw"",""es-MX"")"),"JEFE")</f>
        <v>JEFE</v>
      </c>
      <c r="U38" s="253" t="str">
        <f>IFERROR(__xludf.DUMMYFUNCTION("GOOGLETRANSLATE(A38,""zh-tw"",""KO"")"),"작은 정원의 흰 토끼")</f>
        <v>작은 정원의 흰 토끼</v>
      </c>
      <c r="V38" s="194" t="str">
        <f>IFERROR(__xludf.DUMMYFUNCTION("GOOGLETRANSLATE(B38,""zh-tw"",""KO"")"),"천상의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8" s="194" t="s">
        <v>7709</v>
      </c>
      <c r="X38" s="464" t="s">
        <v>7710</v>
      </c>
      <c r="Y38" s="253" t="s">
        <v>7714</v>
      </c>
      <c r="Z38" s="194" t="s">
        <v>7715</v>
      </c>
      <c r="AA38" s="194" t="s">
        <v>7709</v>
      </c>
      <c r="AB38" s="463" t="s">
        <v>7716</v>
      </c>
      <c r="AC38" s="192" t="s">
        <v>7717</v>
      </c>
      <c r="AD38" s="194" t="s">
        <v>7718</v>
      </c>
      <c r="AE38" s="194" t="s">
        <v>7709</v>
      </c>
      <c r="AF38" s="463" t="s">
        <v>7719</v>
      </c>
      <c r="AG38" s="253" t="s">
        <v>7720</v>
      </c>
      <c r="AH38" s="254" t="s">
        <v>7721</v>
      </c>
      <c r="AI38" s="254" t="s">
        <v>7709</v>
      </c>
      <c r="AJ38" s="463" t="s">
        <v>7722</v>
      </c>
      <c r="AK38" s="237" t="s">
        <v>7723</v>
      </c>
      <c r="AL38" s="465" t="s">
        <v>7724</v>
      </c>
      <c r="AM38" s="465" t="s">
        <v>7709</v>
      </c>
      <c r="AN38" s="466" t="s">
        <v>7710</v>
      </c>
      <c r="AO38" s="253" t="s">
        <v>7725</v>
      </c>
      <c r="AP38" s="254" t="s">
        <v>7726</v>
      </c>
      <c r="AQ38" s="254" t="s">
        <v>7709</v>
      </c>
      <c r="AR38" s="463" t="s">
        <v>7727</v>
      </c>
      <c r="AS38" s="467" t="s">
        <v>7728</v>
      </c>
      <c r="AT38" s="260" t="s">
        <v>7729</v>
      </c>
      <c r="AU38" s="260" t="s">
        <v>7709</v>
      </c>
      <c r="AV38" s="468" t="s">
        <v>7730</v>
      </c>
    </row>
    <row r="39">
      <c r="A39" s="192" t="s">
        <v>4213</v>
      </c>
      <c r="B39" s="194" t="s">
        <v>7731</v>
      </c>
      <c r="C39" s="194">
        <v>100.0</v>
      </c>
      <c r="D39" s="463" t="s">
        <v>7732</v>
      </c>
      <c r="E39" s="192" t="str">
        <f>IFERROR(__xludf.DUMMYFUNCTION("GOOGLETRANSLATE(A39,""zh-tw"",""ja"")"),"かかし")</f>
        <v>かかし</v>
      </c>
      <c r="F39" s="194" t="s">
        <v>7733</v>
      </c>
      <c r="G39" s="194">
        <v>100.0</v>
      </c>
      <c r="H39" s="464" t="s">
        <v>7734</v>
      </c>
      <c r="I39" s="192" t="s">
        <v>4219</v>
      </c>
      <c r="J39" s="254" t="s">
        <v>7735</v>
      </c>
      <c r="K39" s="254">
        <v>100.0</v>
      </c>
      <c r="L39" s="463" t="s">
        <v>7736</v>
      </c>
      <c r="M39" s="253" t="str">
        <f>IFERROR(__xludf.DUMMYFUNCTION("GOOGLETRANSLATE(A39,""zh-tw"",""zh"")"),"稻草人")</f>
        <v>稻草人</v>
      </c>
      <c r="N39" s="254" t="str">
        <f>IFERROR(__xludf.DUMMYFUNCTION("GOOGLETRANSLATE(B39,""zh-tw"",""zh"")"),"稻草人的心")</f>
        <v>稻草人的心</v>
      </c>
      <c r="O39" s="254">
        <v>100.0</v>
      </c>
      <c r="P39" s="463" t="str">
        <f>IFERROR(__xludf.DUMMYFUNCTION("GOOGLETRANSLATE(D39,""zh-tw"",""zh"")"),"伤害测试")</f>
        <v>伤害测试</v>
      </c>
      <c r="Q39" s="192" t="str">
        <f>IFERROR(__xludf.DUMMYFUNCTION("GOOGLETRANSLATE(A39,""zh-tw"",""es-MX"")"),"espantapájaros")</f>
        <v>espantapájaros</v>
      </c>
      <c r="R39" s="194" t="str">
        <f>IFERROR(__xludf.DUMMYFUNCTION("GOOGLETRANSLATE(B39,""zh-tw"",""es-MX"")"),"El corazón del espantapájaros")</f>
        <v>El corazón del espantapájaros</v>
      </c>
      <c r="S39" s="254">
        <v>100.0</v>
      </c>
      <c r="T39" s="463" t="str">
        <f>IFERROR(__xludf.DUMMYFUNCTION("GOOGLETRANSLATE(D39,""zh-tw"",""es-MX"")"),"Prueba de daños")</f>
        <v>Prueba de daños</v>
      </c>
      <c r="U39" s="253" t="str">
        <f>IFERROR(__xludf.DUMMYFUNCTION("GOOGLETRANSLATE(A39,""zh-tw"",""KO"")"),"허수아비")</f>
        <v>허수아비</v>
      </c>
      <c r="V39" s="194" t="s">
        <v>7737</v>
      </c>
      <c r="W39" s="194">
        <v>100.0</v>
      </c>
      <c r="X39" s="464" t="s">
        <v>7738</v>
      </c>
      <c r="Y39" s="253" t="s">
        <v>4225</v>
      </c>
      <c r="Z39" s="194" t="s">
        <v>7739</v>
      </c>
      <c r="AA39" s="194">
        <v>100.0</v>
      </c>
      <c r="AB39" s="463" t="s">
        <v>7740</v>
      </c>
      <c r="AC39" s="192" t="s">
        <v>4228</v>
      </c>
      <c r="AD39" s="194" t="s">
        <v>7741</v>
      </c>
      <c r="AE39" s="194">
        <v>100.0</v>
      </c>
      <c r="AF39" s="463" t="s">
        <v>7742</v>
      </c>
      <c r="AG39" s="253" t="s">
        <v>4231</v>
      </c>
      <c r="AH39" s="254" t="s">
        <v>7743</v>
      </c>
      <c r="AI39" s="254">
        <v>100.0</v>
      </c>
      <c r="AJ39" s="463" t="s">
        <v>7744</v>
      </c>
      <c r="AK39" s="237" t="s">
        <v>4234</v>
      </c>
      <c r="AL39" s="465" t="s">
        <v>7745</v>
      </c>
      <c r="AM39" s="465">
        <v>100.0</v>
      </c>
      <c r="AN39" s="466" t="s">
        <v>7746</v>
      </c>
      <c r="AO39" s="253" t="s">
        <v>4237</v>
      </c>
      <c r="AP39" s="254" t="s">
        <v>7747</v>
      </c>
      <c r="AQ39" s="254">
        <v>100.0</v>
      </c>
      <c r="AR39" s="463" t="s">
        <v>7748</v>
      </c>
      <c r="AS39" s="467" t="s">
        <v>4240</v>
      </c>
      <c r="AT39" s="260" t="s">
        <v>7749</v>
      </c>
      <c r="AU39" s="260" t="s">
        <v>7381</v>
      </c>
      <c r="AV39" s="468" t="s">
        <v>7750</v>
      </c>
    </row>
    <row r="40">
      <c r="A40" s="192" t="s">
        <v>7751</v>
      </c>
      <c r="B40" s="194" t="s">
        <v>7752</v>
      </c>
      <c r="C40" s="194">
        <v>100.0</v>
      </c>
      <c r="D40" s="463" t="s">
        <v>7753</v>
      </c>
      <c r="E40" s="192" t="s">
        <v>7751</v>
      </c>
      <c r="F40" s="194" t="s">
        <v>7754</v>
      </c>
      <c r="G40" s="194">
        <v>100.0</v>
      </c>
      <c r="H40" s="464" t="s">
        <v>7755</v>
      </c>
      <c r="I40" s="192" t="s">
        <v>7751</v>
      </c>
      <c r="J40" s="254" t="s">
        <v>7756</v>
      </c>
      <c r="K40" s="254">
        <v>100.0</v>
      </c>
      <c r="L40" s="463" t="s">
        <v>7757</v>
      </c>
      <c r="M40" s="253" t="str">
        <f>IFERROR(__xludf.DUMMYFUNCTION("GOOGLETRANSLATE(A40,""zh-tw"",""zh"")"),"ASABA")</f>
        <v>ASABA</v>
      </c>
      <c r="N40" s="254" t="str">
        <f>IFERROR(__xludf.DUMMYFUNCTION("GOOGLETRANSLATE(B40,""zh-tw"",""zh"")"),"ASAB的草莓")</f>
        <v>ASAB的草莓</v>
      </c>
      <c r="O40" s="254">
        <v>100.0</v>
      </c>
      <c r="P40" s="463" t="str">
        <f>IFERROR(__xludf.DUMMYFUNCTION("GOOGLETRANSLATE(D40,""zh-tw"",""zh"")"),"浅羽Doro，会吃掉路边的草莓")</f>
        <v>浅羽Doro，会吃掉路边的草莓</v>
      </c>
      <c r="Q40" s="192" t="str">
        <f>IFERROR(__xludf.DUMMYFUNCTION("GOOGLETRANSLATE(A40,""zh-tw"",""es-MX"")"),"ASABA")</f>
        <v>ASABA</v>
      </c>
      <c r="R40" s="194" t="str">
        <f>IFERROR(__xludf.DUMMYFUNCTION("GOOGLETRANSLATE(B40,""zh-tw"",""es-MX"")"),"Fresas de ASAB")</f>
        <v>Fresas de ASAB</v>
      </c>
      <c r="S40" s="254">
        <v>100.0</v>
      </c>
      <c r="T40" s="463" t="str">
        <f>IFERROR(__xludf.DUMMYFUNCTION("GOOGLETRANSLATE(D40,""zh-tw"",""es-MX"")"),"Doro Asaba comerá las fresas que están al borde de la carretera.")</f>
        <v>Doro Asaba comerá las fresas que están al borde de la carretera.</v>
      </c>
      <c r="U40" s="253" t="str">
        <f>IFERROR(__xludf.DUMMYFUNCTION("GOOGLETRANSLATE(A40,""zh-tw"",""KO"")"),"아사바")</f>
        <v>아사바</v>
      </c>
      <c r="V40" s="194" t="str">
        <f>IFERROR(__xludf.DUMMYFUNCTION("GOOGLETRANSLATE(B40,""zh-tw"",""KO"")"),"ASAB의 딸기")</f>
        <v>ASAB의 딸기</v>
      </c>
      <c r="W40" s="194">
        <v>100.0</v>
      </c>
      <c r="X40" s="464" t="str">
        <f>IFERROR(__xludf.DUMMYFUNCTION("GOOGLETRANSLATE(D40,""zh-tw"",""KO"")"),"도로 아사바는 길가에 있는 딸기를 먹을 것이다.")</f>
        <v>도로 아사바는 길가에 있는 딸기를 먹을 것이다.</v>
      </c>
      <c r="Y40" s="253" t="s">
        <v>7758</v>
      </c>
      <c r="Z40" s="194" t="s">
        <v>7759</v>
      </c>
      <c r="AA40" s="194">
        <v>100.0</v>
      </c>
      <c r="AB40" s="463" t="s">
        <v>7760</v>
      </c>
      <c r="AC40" s="192" t="s">
        <v>7758</v>
      </c>
      <c r="AD40" s="194" t="s">
        <v>7761</v>
      </c>
      <c r="AE40" s="194">
        <v>100.0</v>
      </c>
      <c r="AF40" s="463" t="s">
        <v>7762</v>
      </c>
      <c r="AG40" s="253" t="s">
        <v>7751</v>
      </c>
      <c r="AH40" s="254" t="s">
        <v>7763</v>
      </c>
      <c r="AI40" s="254">
        <v>100.0</v>
      </c>
      <c r="AJ40" s="463" t="s">
        <v>7764</v>
      </c>
      <c r="AK40" s="237" t="s">
        <v>7765</v>
      </c>
      <c r="AL40" s="465" t="s">
        <v>7766</v>
      </c>
      <c r="AM40" s="465">
        <v>100.0</v>
      </c>
      <c r="AN40" s="466" t="s">
        <v>7767</v>
      </c>
      <c r="AO40" s="253" t="s">
        <v>7751</v>
      </c>
      <c r="AP40" s="254" t="s">
        <v>7768</v>
      </c>
      <c r="AQ40" s="254">
        <v>100.0</v>
      </c>
      <c r="AR40" s="463" t="s">
        <v>7769</v>
      </c>
      <c r="AS40" s="467" t="s">
        <v>7751</v>
      </c>
      <c r="AT40" s="260" t="s">
        <v>7770</v>
      </c>
      <c r="AU40" s="260" t="s">
        <v>7381</v>
      </c>
      <c r="AV40" s="468" t="s">
        <v>7771</v>
      </c>
    </row>
    <row r="41">
      <c r="A41" s="192" t="s">
        <v>7772</v>
      </c>
      <c r="B41" s="194" t="s">
        <v>7773</v>
      </c>
      <c r="C41" s="194" t="s">
        <v>7774</v>
      </c>
      <c r="D41" s="464" t="s">
        <v>7775</v>
      </c>
      <c r="E41" s="192" t="s">
        <v>7776</v>
      </c>
      <c r="F41" s="254" t="s">
        <v>7777</v>
      </c>
      <c r="G41" s="194" t="s">
        <v>7774</v>
      </c>
      <c r="H41" s="464" t="str">
        <f>IFERROR(__xludf.DUMMYFUNCTION("GOOGLETRANSLATE(D41,""zh-tw"",""ja"")"),"ボス
* いちごを取り戻せ！！これは特別なドロップアイテムです。即死攻撃を受けるたびにドロップ率が10%上昇し、10回攻撃を受けると必ずドロップします。")</f>
        <v>ボス
* いちごを取り戻せ！！これは特別なドロップアイテムです。即死攻撃を受けるたびにドロップ率が10%上昇し、10回攻撃を受けると必ずドロップします。</v>
      </c>
      <c r="I41" s="253" t="s">
        <v>7778</v>
      </c>
      <c r="J41" s="254" t="s">
        <v>7779</v>
      </c>
      <c r="K41" s="254" t="s">
        <v>7774</v>
      </c>
      <c r="L41" s="463" t="s">
        <v>7780</v>
      </c>
      <c r="M41" s="253" t="str">
        <f>IFERROR(__xludf.DUMMYFUNCTION("GOOGLETRANSLATE(A41,""zh-tw"",""zh"")"),"狂暴的ASABA")</f>
        <v>狂暴的ASABA</v>
      </c>
      <c r="N41" s="254" t="str">
        <f>IFERROR(__xludf.DUMMYFUNCTION("GOOGLETRANSLATE(B41,""zh-tw"",""zh"")"),"ASAB的草莓
把草莓夺回来！ ! *")</f>
        <v>ASAB的草莓
把草莓夺回来！ ! *</v>
      </c>
      <c r="O41" s="254" t="s">
        <v>7774</v>
      </c>
      <c r="P41" s="463" t="str">
        <f>IFERROR(__xludf.DUMMYFUNCTION("GOOGLETRANSLATE(D41,""zh-tw"",""zh"")"),"BOSS
* 把草莓夺回来！ ! 是特殊掉落，被瞬狱杀击中一次增加10%掉落机率，十次必定掉落")</f>
        <v>BOSS
* 把草莓夺回来！ ! 是特殊掉落，被瞬狱杀击中一次增加10%掉落机率，十次必定掉落</v>
      </c>
      <c r="Q41" s="192" t="str">
        <f>IFERROR(__xludf.DUMMYFUNCTION("GOOGLETRANSLATE(A41,""zh-tw"",""es-MX"")"),"Berserk ASABA")</f>
        <v>Berserk ASABA</v>
      </c>
      <c r="R41" s="254" t="str">
        <f>IFERROR(__xludf.DUMMYFUNCTION("GOOGLETRANSLATE(B41,""zh-tw"",""es-MX"")"),"¡Recuperemos las fresas de ASAB!")</f>
        <v>¡Recuperemos las fresas de ASAB!</v>
      </c>
      <c r="S41" s="254" t="s">
        <v>7774</v>
      </c>
      <c r="T41" s="463" t="str">
        <f>IFERROR(__xludf.DUMMYFUNCTION("GOOGLETRANSLATE(D41,""zh-tw"",""es-MX"")"),"JEFE
* ¡Recupera las fresas! Este es un objeto especial; cada golpe de Muerte Instantánea aumenta la probabilidad de obtención en un 10%, y su obtención está garantizada tras diez golpes.")</f>
        <v>JEFE
* ¡Recupera las fresas! Este es un objeto especial; cada golpe de Muerte Instantánea aumenta la probabilidad de obtención en un 10%, y su obtención está garantizada tras diez golpes.</v>
      </c>
      <c r="U41" s="253" t="str">
        <f>IFERROR(__xludf.DUMMYFUNCTION("GOOGLETRANSLATE(A41,""zh-tw"",""KO"")"),"베르세르크 아사바")</f>
        <v>베르세르크 아사바</v>
      </c>
      <c r="V41" s="194" t="str">
        <f>IFERROR(__xludf.DUMMYFUNCTION("GOOGLETRANSLATE(B41,""zh-tw"",""KO"")"),"ASAB의 딸기, 딸기를 되찾자!")</f>
        <v>ASAB의 딸기, 딸기를 되찾자!</v>
      </c>
      <c r="W41" s="194" t="s">
        <v>7774</v>
      </c>
      <c r="X41" s="464" t="s">
        <v>7710</v>
      </c>
      <c r="Y41" s="253" t="s">
        <v>7781</v>
      </c>
      <c r="Z41" s="194" t="s">
        <v>7782</v>
      </c>
      <c r="AA41" s="194" t="s">
        <v>7774</v>
      </c>
      <c r="AB41" s="463" t="s">
        <v>7716</v>
      </c>
      <c r="AC41" s="192" t="s">
        <v>7781</v>
      </c>
      <c r="AD41" s="194" t="s">
        <v>7783</v>
      </c>
      <c r="AE41" s="194" t="s">
        <v>7774</v>
      </c>
      <c r="AF41" s="463" t="s">
        <v>7719</v>
      </c>
      <c r="AG41" s="253" t="str">
        <f>IFERROR(__xludf.DUMMYFUNCTION("GOOGLETRANSLATE(A41,""zh-tw"",""DE"")"),"Berserk ASABA")</f>
        <v>Berserk ASABA</v>
      </c>
      <c r="AH41" s="254" t="str">
        <f>IFERROR(__xludf.DUMMYFUNCTION("GOOGLETRANSLATE(B41,""zh-tw"",""DE"")"),"ASABs Erdbeeren, lasst uns die Erdbeeren zurückholen!")</f>
        <v>ASABs Erdbeeren, lasst uns die Erdbeeren zurückholen!</v>
      </c>
      <c r="AI41" s="254" t="s">
        <v>7774</v>
      </c>
      <c r="AJ41" s="463" t="s">
        <v>7710</v>
      </c>
      <c r="AK41" s="237" t="s">
        <v>7765</v>
      </c>
      <c r="AL41" s="465" t="s">
        <v>7784</v>
      </c>
      <c r="AM41" s="465" t="s">
        <v>7774</v>
      </c>
      <c r="AN41" s="466" t="s">
        <v>7710</v>
      </c>
      <c r="AO41" s="253" t="s">
        <v>7785</v>
      </c>
      <c r="AP41" s="254" t="s">
        <v>7786</v>
      </c>
      <c r="AQ41" s="254" t="s">
        <v>7774</v>
      </c>
      <c r="AR41" s="463" t="s">
        <v>7787</v>
      </c>
      <c r="AS41" s="467" t="s">
        <v>7788</v>
      </c>
      <c r="AT41" s="260" t="s">
        <v>7789</v>
      </c>
      <c r="AU41" s="260" t="s">
        <v>7790</v>
      </c>
      <c r="AV41" s="468" t="s">
        <v>7791</v>
      </c>
    </row>
    <row r="42">
      <c r="A42" s="192" t="s">
        <v>7792</v>
      </c>
      <c r="B42" s="194" t="s">
        <v>7793</v>
      </c>
      <c r="C42" s="194">
        <v>100.0</v>
      </c>
      <c r="D42" s="464" t="s">
        <v>7794</v>
      </c>
      <c r="E42" s="192" t="str">
        <f>IFERROR(__xludf.DUMMYFUNCTION("GOOGLETRANSLATE(A42,""zh-tw"",""ja"")"),"アサバ")</f>
        <v>アサバ</v>
      </c>
      <c r="F42" s="254" t="s">
        <v>7795</v>
      </c>
      <c r="G42" s="194">
        <v>100.0</v>
      </c>
      <c r="H42" s="464" t="str">
        <f>IFERROR(__xludf.DUMMYFUNCTION("GOOGLETRANSLATE(D42,""zh-tw"",""ja"")"),"タロットカード召喚 - 戦車
猫耳少女のショッピングカート
弱点：雷")</f>
        <v>タロットカード召喚 - 戦車
猫耳少女のショッピングカート
弱点：雷</v>
      </c>
      <c r="I42" s="253" t="s">
        <v>7796</v>
      </c>
      <c r="J42" s="254" t="s">
        <v>7797</v>
      </c>
      <c r="K42" s="254">
        <v>100.0</v>
      </c>
      <c r="L42" s="463" t="s">
        <v>7798</v>
      </c>
      <c r="M42" s="253" t="str">
        <f>IFERROR(__xludf.DUMMYFUNCTION("GOOGLETRANSLATE(A42,""zh-tw"",""zh"")"),"浅羽")</f>
        <v>浅羽</v>
      </c>
      <c r="N42" s="254" t="str">
        <f>IFERROR(__xludf.DUMMYFUNCTION("GOOGLETRANSLATE(B42,""zh-tw"",""zh"")"),"猫爪手套")</f>
        <v>猫爪手套</v>
      </c>
      <c r="O42" s="254">
        <v>100.0</v>
      </c>
      <c r="P42" s="463" t="str">
        <f>IFERROR(__xludf.DUMMYFUNCTION("GOOGLETRANSLATE(D42,""zh-tw"",""zh"")"),"由 塔罗牌-战车 召唤
猫娘商店车
弱点：雷")</f>
        <v>由 塔罗牌-战车 召唤
猫娘商店车
弱点：雷</v>
      </c>
      <c r="Q42" s="192" t="str">
        <f>IFERROR(__xludf.DUMMYFUNCTION("GOOGLETRANSLATE(A42,""zh-tw"",""es-MX"")"),"Asaba")</f>
        <v>Asaba</v>
      </c>
      <c r="R42" s="254" t="str">
        <f>IFERROR(__xludf.DUMMYFUNCTION("GOOGLETRANSLATE(B42,""zh-tw"",""es-MX"")"),"Guantes con forma de pata de gato")</f>
        <v>Guantes con forma de pata de gato</v>
      </c>
      <c r="S42" s="254">
        <v>100.0</v>
      </c>
      <c r="T42" s="463" t="str">
        <f>IFERROR(__xludf.DUMMYFUNCTION("GOOGLETRANSLATE(D42,""zh-tw"",""es-MX"")"),"Invocada por las cartas del Tarot - Carro
Carrito de la Chica Gato
Debilidad: Rayo")</f>
        <v>Invocada por las cartas del Tarot - Carro
Carrito de la Chica Gato
Debilidad: Rayo</v>
      </c>
      <c r="U42" s="253" t="str">
        <f>IFERROR(__xludf.DUMMYFUNCTION("GOOGLETRANSLATE(A42,""zh-tw"",""KO"")"),"아사바")</f>
        <v>아사바</v>
      </c>
      <c r="V42" s="194" t="s">
        <v>7799</v>
      </c>
      <c r="W42" s="194">
        <v>100.0</v>
      </c>
      <c r="X42" s="464" t="s">
        <v>7800</v>
      </c>
      <c r="Y42" s="253" t="s">
        <v>7801</v>
      </c>
      <c r="Z42" s="194" t="s">
        <v>7802</v>
      </c>
      <c r="AA42" s="194">
        <v>100.0</v>
      </c>
      <c r="AB42" s="463" t="s">
        <v>7803</v>
      </c>
      <c r="AC42" s="192" t="s">
        <v>7804</v>
      </c>
      <c r="AD42" s="194" t="s">
        <v>7805</v>
      </c>
      <c r="AE42" s="194">
        <v>100.0</v>
      </c>
      <c r="AF42" s="463" t="s">
        <v>7806</v>
      </c>
      <c r="AG42" s="253" t="s">
        <v>7796</v>
      </c>
      <c r="AH42" s="254" t="s">
        <v>7807</v>
      </c>
      <c r="AI42" s="254">
        <v>100.0</v>
      </c>
      <c r="AJ42" s="463" t="s">
        <v>7808</v>
      </c>
      <c r="AK42" s="237" t="s">
        <v>7796</v>
      </c>
      <c r="AL42" s="465" t="s">
        <v>7809</v>
      </c>
      <c r="AM42" s="465">
        <v>100.0</v>
      </c>
      <c r="AN42" s="466" t="s">
        <v>7810</v>
      </c>
      <c r="AO42" s="253" t="s">
        <v>7796</v>
      </c>
      <c r="AP42" s="254" t="s">
        <v>7811</v>
      </c>
      <c r="AQ42" s="254">
        <v>100.0</v>
      </c>
      <c r="AR42" s="469" t="s">
        <v>7812</v>
      </c>
      <c r="AS42" s="467" t="s">
        <v>7796</v>
      </c>
      <c r="AT42" s="260" t="s">
        <v>7797</v>
      </c>
      <c r="AU42" s="260" t="s">
        <v>7381</v>
      </c>
      <c r="AV42" s="468" t="s">
        <v>7813</v>
      </c>
    </row>
    <row r="43">
      <c r="A43" s="192" t="s">
        <v>7814</v>
      </c>
      <c r="B43" s="194" t="s">
        <v>7815</v>
      </c>
      <c r="C43" s="194" t="s">
        <v>7816</v>
      </c>
      <c r="D43" s="464" t="s">
        <v>7817</v>
      </c>
      <c r="E43" s="192" t="s">
        <v>7818</v>
      </c>
      <c r="F43" s="254" t="s">
        <v>7819</v>
      </c>
      <c r="G43" s="194" t="s">
        <v>7816</v>
      </c>
      <c r="H43" s="464" t="str">
        <f>IFERROR(__xludf.DUMMYFUNCTION("GOOGLETRANSLATE(D43,""zh-tw"",""ja"")"),"ボス弱点：雷
倒された際に近くに水場があると、逃走する。
ドロップアイテムは操作状況と地形条件の影響を受ける。")</f>
        <v>ボス弱点：雷
倒された際に近くに水場があると、逃走する。
ドロップアイテムは操作状況と地形条件の影響を受ける。</v>
      </c>
      <c r="I43" s="253" t="s">
        <v>7820</v>
      </c>
      <c r="J43" s="254" t="s">
        <v>7821</v>
      </c>
      <c r="K43" s="254" t="s">
        <v>7816</v>
      </c>
      <c r="L43" s="463" t="s">
        <v>7822</v>
      </c>
      <c r="M43" s="253" t="str">
        <f>IFERROR(__xludf.DUMMYFUNCTION("GOOGLETRANSLATE(A43,""zh-tw"",""zh"")"),"应该已经灭绝的河之主!?")</f>
        <v>应该已经灭绝的河之主!?</v>
      </c>
      <c r="N43" s="254" t="str">
        <f>IFERROR(__xludf.DUMMYFUNCTION("GOOGLETRANSLATE(B43,""zh-tw"",""zh"")"),"◉▽◉(粉色)
王权之令")</f>
        <v>◉▽◉(粉色)
王权之令</v>
      </c>
      <c r="O43" s="254" t="s">
        <v>7816</v>
      </c>
      <c r="P43" s="463" t="str">
        <f>IFERROR(__xludf.DUMMYFUNCTION("GOOGLETRANSLATE(D43,""zh-tw"",""zh"")"),"BOSS
弱点：雷
若被击败时周围有水，它会逃跑
掉落物受控制与地形状态影响")</f>
        <v>BOSS
弱点：雷
若被击败时周围有水，它会逃跑
掉落物受控制与地形状态影响</v>
      </c>
      <c r="Q43" s="253" t="str">
        <f>IFERROR(__xludf.DUMMYFUNCTION("GOOGLETRANSLATE(A43,""zh-tw"",""es-MX"")"),"¡¿El Señor del Río, que ya debería estar extinto?!")</f>
        <v>¡¿El Señor del Río, que ya debería estar extinto?!</v>
      </c>
      <c r="R43" s="254" t="str">
        <f>IFERROR(__xludf.DUMMYFUNCTION("GOOGLETRANSLATE(B43,""zh-tw"",""es-MX"")"),"◉▽◉(Rosa) El Decreto del Rey")</f>
        <v>◉▽◉(Rosa) El Decreto del Rey</v>
      </c>
      <c r="S43" s="254" t="s">
        <v>7816</v>
      </c>
      <c r="T43" s="463" t="str">
        <f>IFERROR(__xludf.DUMMYFUNCTION("GOOGLETRANSLATE(D43,""zh-tw"",""es-MX"")"),"Debilidad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3" s="253" t="str">
        <f>IFERROR(__xludf.DUMMYFUNCTION("GOOGLETRANSLATE(A43,""zh-tw"",""KO"")"),"이미 멸종했어야 할 강변의 군주라니!?")</f>
        <v>이미 멸종했어야 할 강변의 군주라니!?</v>
      </c>
      <c r="V43" s="194" t="str">
        <f>IFERROR(__xludf.DUMMYFUNCTION("GOOGLETRANSLATE(B43,""zh-tw"",""KO"")"),"◉▽◉(핑크) 왕의 칙령")</f>
        <v>◉▽◉(핑크) 왕의 칙령</v>
      </c>
      <c r="W43" s="194" t="s">
        <v>7816</v>
      </c>
      <c r="X43" s="464" t="str">
        <f>IFERROR(__xludf.DUMMYFUNCTION("GOOGLETRANSLATE(D43,""zh-tw"",""KO"")"),"보스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3" s="253" t="s">
        <v>7823</v>
      </c>
      <c r="Z43" s="194" t="s">
        <v>7824</v>
      </c>
      <c r="AA43" s="194" t="s">
        <v>7816</v>
      </c>
      <c r="AB43" s="463" t="s">
        <v>7825</v>
      </c>
      <c r="AC43" s="192" t="s">
        <v>7826</v>
      </c>
      <c r="AD43" s="194" t="s">
        <v>7827</v>
      </c>
      <c r="AE43" s="194" t="s">
        <v>7816</v>
      </c>
      <c r="AF43" s="463" t="s">
        <v>7828</v>
      </c>
      <c r="AG43" s="253" t="s">
        <v>7829</v>
      </c>
      <c r="AH43" s="254" t="s">
        <v>7830</v>
      </c>
      <c r="AI43" s="254" t="s">
        <v>7816</v>
      </c>
      <c r="AJ43" s="463" t="s">
        <v>7831</v>
      </c>
      <c r="AK43" s="237" t="s">
        <v>7832</v>
      </c>
      <c r="AL43" s="465" t="s">
        <v>7833</v>
      </c>
      <c r="AM43" s="465" t="s">
        <v>7816</v>
      </c>
      <c r="AN43" s="466" t="s">
        <v>7834</v>
      </c>
      <c r="AO43" s="204" t="s">
        <v>7835</v>
      </c>
      <c r="AP43" s="254" t="s">
        <v>7836</v>
      </c>
      <c r="AQ43" s="254" t="s">
        <v>7816</v>
      </c>
      <c r="AR43" s="463" t="s">
        <v>7837</v>
      </c>
      <c r="AS43" s="467" t="s">
        <v>7838</v>
      </c>
      <c r="AT43" s="260" t="s">
        <v>7839</v>
      </c>
      <c r="AU43" s="260" t="s">
        <v>7840</v>
      </c>
      <c r="AV43" s="468" t="s">
        <v>7841</v>
      </c>
    </row>
    <row r="44">
      <c r="A44" s="192" t="s">
        <v>6800</v>
      </c>
      <c r="B44" s="194" t="s">
        <v>7842</v>
      </c>
      <c r="C44" s="194" t="s">
        <v>7843</v>
      </c>
      <c r="D44" s="464" t="s">
        <v>7844</v>
      </c>
      <c r="E44" s="192" t="s">
        <v>7845</v>
      </c>
      <c r="F44" s="254" t="s">
        <v>7846</v>
      </c>
      <c r="G44" s="194" t="s">
        <v>7847</v>
      </c>
      <c r="H44" s="464" t="s">
        <v>7848</v>
      </c>
      <c r="I44" s="253" t="s">
        <v>7849</v>
      </c>
      <c r="J44" s="254" t="s">
        <v>7850</v>
      </c>
      <c r="K44" s="254" t="s">
        <v>7851</v>
      </c>
      <c r="L44" s="463" t="s">
        <v>7852</v>
      </c>
      <c r="M44" s="253" t="s">
        <v>6800</v>
      </c>
      <c r="N44" s="254" t="s">
        <v>7853</v>
      </c>
      <c r="O44" s="254" t="s">
        <v>7843</v>
      </c>
      <c r="P44" s="463" t="s">
        <v>7854</v>
      </c>
      <c r="Q44" s="253"/>
      <c r="R44" s="254"/>
      <c r="S44" s="254"/>
      <c r="T44" s="463"/>
      <c r="U44" s="253"/>
      <c r="V44" s="194"/>
      <c r="W44" s="194"/>
      <c r="X44" s="464"/>
      <c r="Y44" s="253" t="s">
        <v>7855</v>
      </c>
      <c r="Z44" s="194" t="s">
        <v>7856</v>
      </c>
      <c r="AA44" s="194" t="s">
        <v>7851</v>
      </c>
      <c r="AB44" s="463" t="s">
        <v>7857</v>
      </c>
      <c r="AC44" s="192" t="s">
        <v>7858</v>
      </c>
      <c r="AD44" s="194" t="s">
        <v>7859</v>
      </c>
      <c r="AE44" s="194" t="s">
        <v>7851</v>
      </c>
      <c r="AF44" s="463" t="s">
        <v>7860</v>
      </c>
      <c r="AG44" s="253"/>
      <c r="AH44" s="254"/>
      <c r="AI44" s="254"/>
      <c r="AJ44" s="463"/>
      <c r="AK44" s="237" t="s">
        <v>7861</v>
      </c>
      <c r="AL44" s="465" t="s">
        <v>7862</v>
      </c>
      <c r="AM44" s="465" t="s">
        <v>7843</v>
      </c>
      <c r="AN44" s="466" t="s">
        <v>7863</v>
      </c>
      <c r="AO44" s="204" t="s">
        <v>6822</v>
      </c>
      <c r="AP44" s="254" t="s">
        <v>7864</v>
      </c>
      <c r="AQ44" s="254" t="s">
        <v>7843</v>
      </c>
      <c r="AR44" s="463" t="s">
        <v>7865</v>
      </c>
      <c r="AS44" s="467"/>
      <c r="AT44" s="260"/>
      <c r="AU44" s="260"/>
      <c r="AV44" s="468"/>
    </row>
    <row r="45">
      <c r="A45" s="192" t="s">
        <v>7866</v>
      </c>
      <c r="B45" s="194" t="s">
        <v>7867</v>
      </c>
      <c r="C45" s="194" t="s">
        <v>7868</v>
      </c>
      <c r="D45" s="464" t="s">
        <v>7869</v>
      </c>
      <c r="E45" s="192" t="s">
        <v>7870</v>
      </c>
      <c r="F45" s="254" t="s">
        <v>7871</v>
      </c>
      <c r="G45" s="194" t="s">
        <v>7083</v>
      </c>
      <c r="H45" s="464" t="s">
        <v>7872</v>
      </c>
      <c r="I45" s="253" t="s">
        <v>7873</v>
      </c>
      <c r="J45" s="254" t="s">
        <v>7874</v>
      </c>
      <c r="K45" s="254" t="s">
        <v>7875</v>
      </c>
      <c r="L45" s="463" t="s">
        <v>7876</v>
      </c>
      <c r="M45" s="253" t="str">
        <f>IFERROR(__xludf.DUMMYFUNCTION("GOOGLETRANSLATE(A45,""zh-tw"",""zh"")"),"淫奔的恶魔
(真名：阿萨谢尔)")</f>
        <v>淫奔的恶魔
(真名：阿萨谢尔)</v>
      </c>
      <c r="N45" s="254" t="str">
        <f>IFERROR(__xludf.DUMMYFUNCTION("GOOGLETRANSLATE(B45,""zh-tw"",""zh"")"),"仪式的御柱
恶魔眼球
粉色品质物品
金色品质物品
")</f>
        <v>仪式的御柱
恶魔眼球
粉色品质物品
金色品质物品
</v>
      </c>
      <c r="O45" s="254" t="str">
        <f>IFERROR(__xludf.DUMMYFUNCTION("GOOGLETRANSLATE(C45,""zh-tw"",""zh"")"),"24
48
16
1.6")</f>
        <v>24
48
16
1.6</v>
      </c>
      <c r="P45" s="463" t="str">
        <f>IFERROR(__xludf.DUMMYFUNCTION("GOOGLETRANSLATE(D45,""zh-tw"",""zh"")"),"于""封印之柱""中进行召唤")</f>
        <v>于"封印之柱"中进行召唤</v>
      </c>
      <c r="Q45" s="253" t="str">
        <f>IFERROR(__xludf.DUMMYFUNCTION("GOOGLETRANSLATE(A45,""zh-tw"",""es-MX"")"),"El demonio lujurioso (nombre real: Azazel)")</f>
        <v>El demonio lujurioso (nombre real: Azazel)</v>
      </c>
      <c r="R45" s="254" t="str">
        <f>IFERROR(__xludf.DUMMYFUNCTION("GOOGLETRANSLATE(B45,""zh-tw"",""es-MX"")"),"Pilar ritual
Ojo de demonio
Objeto de calidad rosa
Objeto de calidad dorada
")</f>
        <v>Pilar ritual
Ojo de demonio
Objeto de calidad rosa
Objeto de calidad dorada
</v>
      </c>
      <c r="S45" s="254" t="str">
        <f>IFERROR(__xludf.DUMMYFUNCTION("GOOGLETRANSLATE(C45,""zh-tw"",""es-MX"")"),"24
48
16
1,6")</f>
        <v>24
48
16
1,6</v>
      </c>
      <c r="T45" s="463" t="str">
        <f>IFERROR(__xludf.DUMMYFUNCTION("GOOGLETRANSLATE(D45,""zh-tw"",""es-MX"")"),"Invocación desde el ""Pilar de Sellado""")</f>
        <v>Invocación desde el "Pilar de Sellado"</v>
      </c>
      <c r="U45" s="253" t="str">
        <f>IFERROR(__xludf.DUMMYFUNCTION("GOOGLETRANSLATE(A45,""zh-tw"",""KO"")"),"음탕한 악마 (본명: 아자젤)")</f>
        <v>음탕한 악마 (본명: 아자젤)</v>
      </c>
      <c r="V45" s="194" t="str">
        <f>IFERROR(__xludf.DUMMYFUNCTION("GOOGLETRANSLATE(B45,""zh-tw"",""KO"")"),"의식의 기둥
악마의 눈알
분홍색 고급 아이템
금색 고급 아이템
")</f>
        <v>의식의 기둥
악마의 눈알
분홍색 고급 아이템
금색 고급 아이템
</v>
      </c>
      <c r="W45" s="194" t="str">
        <f>IFERROR(__xludf.DUMMYFUNCTION("GOOGLETRANSLATE(C45,""zh-tw"",""KO"")"),"24
48
16
1.6")</f>
        <v>24
48
16
1.6</v>
      </c>
      <c r="X45" s="464" t="str">
        <f>IFERROR(__xludf.DUMMYFUNCTION("GOOGLETRANSLATE(D45,""zh-tw"",""KO"")"),"""봉인 기둥""에서 소환")</f>
        <v>"봉인 기둥"에서 소환</v>
      </c>
      <c r="Y45" s="253" t="s">
        <v>7877</v>
      </c>
      <c r="Z45" s="194" t="s">
        <v>7878</v>
      </c>
      <c r="AA45" s="194" t="s">
        <v>7868</v>
      </c>
      <c r="AB45" s="463" t="s">
        <v>7879</v>
      </c>
      <c r="AC45" s="192" t="s">
        <v>7880</v>
      </c>
      <c r="AD45" s="194" t="s">
        <v>7881</v>
      </c>
      <c r="AE45" s="194" t="s">
        <v>7868</v>
      </c>
      <c r="AF45" s="463" t="s">
        <v>7882</v>
      </c>
      <c r="AG45" s="253" t="s">
        <v>7883</v>
      </c>
      <c r="AH45" s="254" t="s">
        <v>7884</v>
      </c>
      <c r="AI45" s="254" t="s">
        <v>7083</v>
      </c>
      <c r="AJ45" s="463" t="s">
        <v>7885</v>
      </c>
      <c r="AK45" s="237" t="s">
        <v>7886</v>
      </c>
      <c r="AL45" s="68" t="s">
        <v>7887</v>
      </c>
      <c r="AM45" s="465" t="s">
        <v>7083</v>
      </c>
      <c r="AN45" s="466" t="s">
        <v>7888</v>
      </c>
      <c r="AO45" s="204" t="s">
        <v>7889</v>
      </c>
      <c r="AP45" s="254" t="s">
        <v>7890</v>
      </c>
      <c r="AQ45" s="254" t="s">
        <v>7891</v>
      </c>
      <c r="AR45" s="463" t="s">
        <v>7892</v>
      </c>
      <c r="AS45" s="467" t="str">
        <f>IFERROR(__xludf.DUMMYFUNCTION("GOOGLETRANSLATE(A45,""zh-tw"",""ID"")"),"Setan yang penuh nafsu (Nama asli: Azazel)")</f>
        <v>Setan yang penuh nafsu (Nama asli: Azazel)</v>
      </c>
      <c r="AT45" s="260" t="str">
        <f>IFERROR(__xludf.DUMMYFUNCTION("GOOGLETRANSLATE(B45,""zh-tw"",""ID"")"),"Pilar Ritual
Bola Mata Iblis
Item Kualitas Merah Muda
Item Kualitas Emas
")</f>
        <v>Pilar Ritual
Bola Mata Iblis
Item Kualitas Merah Muda
Item Kualitas Emas
</v>
      </c>
      <c r="AU45" s="260" t="str">
        <f>IFERROR(__xludf.DUMMYFUNCTION("GOOGLETRANSLATE(C45,""zh-tw"",""ID"")"),"24
48
16
1.6")</f>
        <v>24
48
16
1.6</v>
      </c>
      <c r="AV45" s="468" t="str">
        <f>IFERROR(__xludf.DUMMYFUNCTION("GOOGLETRANSLATE(D45,""zh-tw"",""ID"")"),"Pemanggilan dari ""Pilar Penyegel""")</f>
        <v>Pemanggilan dari "Pilar Penyegel"</v>
      </c>
    </row>
    <row r="46">
      <c r="A46" s="192" t="s">
        <v>7893</v>
      </c>
      <c r="B46" s="194" t="s">
        <v>1485</v>
      </c>
      <c r="C46" s="194" t="s">
        <v>1485</v>
      </c>
      <c r="D46" s="464" t="s">
        <v>7894</v>
      </c>
      <c r="E46" s="192" t="s">
        <v>7895</v>
      </c>
      <c r="F46" s="254" t="s">
        <v>1485</v>
      </c>
      <c r="G46" s="194" t="s">
        <v>1485</v>
      </c>
      <c r="H46" s="464" t="s">
        <v>7896</v>
      </c>
      <c r="I46" s="253" t="s">
        <v>7897</v>
      </c>
      <c r="J46" s="254" t="s">
        <v>1485</v>
      </c>
      <c r="K46" s="254" t="s">
        <v>1485</v>
      </c>
      <c r="L46" s="463" t="s">
        <v>7898</v>
      </c>
      <c r="M46" s="253" t="str">
        <f>IFERROR(__xludf.DUMMYFUNCTION("GOOGLETRANSLATE(A46,""zh-tw"",""zh"")"),"死之恶魔
(真名：未知)")</f>
        <v>死之恶魔
(真名：未知)</v>
      </c>
      <c r="N46" s="254" t="str">
        <f>IFERROR(__xludf.DUMMYFUNCTION("GOOGLETRANSLATE(B46,""zh-tw"",""zh"")"),"-")</f>
        <v>-</v>
      </c>
      <c r="O46" s="254" t="str">
        <f>IFERROR(__xludf.DUMMYFUNCTION("GOOGLETRANSLATE(C46,""zh-tw"",""zh"")"),"-")</f>
        <v>-</v>
      </c>
      <c r="P46" s="463" t="str">
        <f>IFERROR(__xludf.DUMMYFUNCTION("GOOGLETRANSLATE(D46,""zh-tw"",""zh"")"),"于""塔罗牌-死神""进行召唤
无法击杀此单位")</f>
        <v>于"塔罗牌-死神"进行召唤
无法击杀此单位</v>
      </c>
      <c r="Q46" s="253" t="str">
        <f>IFERROR(__xludf.DUMMYFUNCTION("GOOGLETRANSLATE(A46,""zh-tw"",""es-MX"")"),"El Demonio de la Muerte
(Nombre verdadero: Desconocido)")</f>
        <v>El Demonio de la Muerte
(Nombre verdadero: Desconocido)</v>
      </c>
      <c r="R46" s="254" t="str">
        <f>IFERROR(__xludf.DUMMYFUNCTION("GOOGLETRANSLATE(B46,""zh-tw"",""es-MX"")"),"-")</f>
        <v>-</v>
      </c>
      <c r="S46" s="254" t="str">
        <f>IFERROR(__xludf.DUMMYFUNCTION("GOOGLETRANSLATE(C46,""zh-tw"",""es-MX"")"),"-")</f>
        <v>-</v>
      </c>
      <c r="T46" s="463" t="str">
        <f>IFERROR(__xludf.DUMMYFUNCTION("GOOGLETRANSLATE(D46,""zh-tw"",""es-MX"")"),"La invocación mediante ""Carta del Tarot - Muerte"" no puede matar a esta unidad.")</f>
        <v>La invocación mediante "Carta del Tarot - Muerte" no puede matar a esta unidad.</v>
      </c>
      <c r="U46" s="253" t="str">
        <f>IFERROR(__xludf.DUMMYFUNCTION("GOOGLETRANSLATE(A46,""zh-tw"",""KO"")"),"죽음의 악마
(본명: 미상)")</f>
        <v>죽음의 악마
(본명: 미상)</v>
      </c>
      <c r="V46" s="194" t="str">
        <f>IFERROR(__xludf.DUMMYFUNCTION("GOOGLETRANSLATE(B46,""zh-tw"",""KO"")"),"-")</f>
        <v>-</v>
      </c>
      <c r="W46" s="194" t="str">
        <f>IFERROR(__xludf.DUMMYFUNCTION("GOOGLETRANSLATE(C46,""zh-tw"",""KO"")"),"-")</f>
        <v>-</v>
      </c>
      <c r="X46" s="464" t="str">
        <f>IFERROR(__xludf.DUMMYFUNCTION("GOOGLETRANSLATE(D46,""zh-tw"",""KO"")"),"""타로 카드 - 죽음""을 통한 소환으로는 이 유닛을 처치할 수 없습니다.")</f>
        <v>"타로 카드 - 죽음"을 통한 소환으로는 이 유닛을 처치할 수 없습니다.</v>
      </c>
      <c r="Y46" s="253" t="s">
        <v>7899</v>
      </c>
      <c r="Z46" s="194" t="s">
        <v>1485</v>
      </c>
      <c r="AA46" s="194" t="s">
        <v>1485</v>
      </c>
      <c r="AB46" s="463" t="s">
        <v>7900</v>
      </c>
      <c r="AC46" s="192" t="s">
        <v>7901</v>
      </c>
      <c r="AD46" s="194" t="s">
        <v>1485</v>
      </c>
      <c r="AE46" s="194" t="s">
        <v>1485</v>
      </c>
      <c r="AF46" s="463" t="s">
        <v>7902</v>
      </c>
      <c r="AG46" s="253" t="s">
        <v>7903</v>
      </c>
      <c r="AH46" s="254" t="s">
        <v>1485</v>
      </c>
      <c r="AI46" s="254" t="s">
        <v>1485</v>
      </c>
      <c r="AJ46" s="463" t="s">
        <v>7904</v>
      </c>
      <c r="AK46" s="171" t="s">
        <v>7905</v>
      </c>
      <c r="AL46" s="465" t="s">
        <v>1485</v>
      </c>
      <c r="AM46" s="465" t="s">
        <v>1485</v>
      </c>
      <c r="AN46" s="470" t="s">
        <v>7906</v>
      </c>
      <c r="AO46" s="204" t="s">
        <v>7907</v>
      </c>
      <c r="AP46" s="254" t="s">
        <v>1485</v>
      </c>
      <c r="AQ46" s="254" t="s">
        <v>1485</v>
      </c>
      <c r="AR46" s="463" t="s">
        <v>7908</v>
      </c>
      <c r="AS46" s="467" t="str">
        <f>IFERROR(__xludf.DUMMYFUNCTION("GOOGLETRANSLATE(A46,""zh-tw"",""ID"")"),"Setan Kematian
(Nama Asli: Tidak Diketahui)")</f>
        <v>Setan Kematian
(Nama Asli: Tidak Diketahui)</v>
      </c>
      <c r="AT46" s="260" t="str">
        <f>IFERROR(__xludf.DUMMYFUNCTION("GOOGLETRANSLATE(B46,""zh-tw"",""ID"")"),"-")</f>
        <v>-</v>
      </c>
      <c r="AU46" s="260" t="str">
        <f>IFERROR(__xludf.DUMMYFUNCTION("GOOGLETRANSLATE(C46,""zh-tw"",""ID"")"),"-")</f>
        <v>-</v>
      </c>
      <c r="AV46" s="468" t="str">
        <f>IFERROR(__xludf.DUMMYFUNCTION("GOOGLETRANSLATE(D46,""zh-tw"",""ID"")"),"Pemanggilan melalui ""Kartu Tarot - Kematian"" tidak dapat membunuh unit ini.")</f>
        <v>Pemanggilan melalui "Kartu Tarot - Kematian" tidak dapat membunuh unit ini.</v>
      </c>
    </row>
    <row r="47">
      <c r="A47" s="459" t="s">
        <v>7909</v>
      </c>
      <c r="E47" s="458" t="str">
        <f>IFERROR(__xludf.DUMMYFUNCTION("GOOGLETRANSLATE(A47,""zh-tw"",""ja"")"),"シーンオブジェクト")</f>
        <v>シーンオブジェクト</v>
      </c>
      <c r="I47" s="458" t="s">
        <v>7910</v>
      </c>
      <c r="M47" s="459" t="str">
        <f>IFERROR(__xludf.DUMMYFUNCTION("GOOGLETRANSLATE(A47,""zh-tw"",""zh"")"),"场景物件")</f>
        <v>场景物件</v>
      </c>
      <c r="Q47" s="459" t="str">
        <f>IFERROR(__xludf.DUMMYFUNCTION("GOOGLETRANSLATE(A47,""zh-tw"",""es-MX"")"),"objetos de escena")</f>
        <v>objetos de escena</v>
      </c>
      <c r="U47" s="459" t="str">
        <f>IFERROR(__xludf.DUMMYFUNCTION("GOOGLETRANSLATE(A47,""zh-tw"",""KO"")"),"장면 객체")</f>
        <v>장면 객체</v>
      </c>
      <c r="Y47" s="131" t="s">
        <v>7911</v>
      </c>
      <c r="AC47" s="459" t="s">
        <v>7912</v>
      </c>
      <c r="AG47" s="459" t="str">
        <f>IFERROR(__xludf.DUMMYFUNCTION("GOOGLETRANSLATE(A43,""zh-tw"",""DE"")"),"Der Flussherr, der eigentlich schon ausgestorben sein sollte!?")</f>
        <v>Der Flussherr, der eigentlich schon ausgestorben sein sollte!?</v>
      </c>
      <c r="AK47" s="462" t="s">
        <v>7913</v>
      </c>
      <c r="AO47" s="459" t="s">
        <v>7910</v>
      </c>
      <c r="AS47" s="473" t="s">
        <v>7914</v>
      </c>
    </row>
    <row r="48">
      <c r="A48" s="192" t="s">
        <v>7915</v>
      </c>
      <c r="B48" s="194" t="s">
        <v>1485</v>
      </c>
      <c r="C48" s="194" t="s">
        <v>1485</v>
      </c>
      <c r="D48" s="464" t="s">
        <v>1485</v>
      </c>
      <c r="E48" s="192" t="str">
        <f>IFERROR(__xludf.DUMMYFUNCTION("GOOGLETRANSLATE(A48,""zh-tw"",""ja"")"),"巨大な岩が道路を塞いでいる")</f>
        <v>巨大な岩が道路を塞いでいる</v>
      </c>
      <c r="F48" s="194" t="s">
        <v>1485</v>
      </c>
      <c r="G48" s="194" t="s">
        <v>1485</v>
      </c>
      <c r="H48" s="464" t="str">
        <f>IFERROR(__xludf.DUMMYFUNCTION("GOOGLETRANSLATE(D48,""zh-tw"",""ja"")"),"-")</f>
        <v>-</v>
      </c>
      <c r="I48" s="192" t="s">
        <v>7916</v>
      </c>
      <c r="J48" s="254"/>
      <c r="K48" s="254" t="s">
        <v>1485</v>
      </c>
      <c r="L48" s="463"/>
      <c r="M48" s="253" t="str">
        <f>IFERROR(__xludf.DUMMYFUNCTION("GOOGLETRANSLATE(A48,""zh-tw"",""zh"")"),"堵路巨石")</f>
        <v>堵路巨石</v>
      </c>
      <c r="N48" s="254" t="str">
        <f>IFERROR(__xludf.DUMMYFUNCTION("GOOGLETRANSLATE(B48,""zh-tw"",""zh"")"),"-")</f>
        <v>-</v>
      </c>
      <c r="O48" s="254" t="s">
        <v>1485</v>
      </c>
      <c r="P48" s="463" t="str">
        <f>IFERROR(__xludf.DUMMYFUNCTION("GOOGLETRANSLATE(D48,""zh-tw"",""zh"")"),"-")</f>
        <v>-</v>
      </c>
      <c r="Q48" s="253" t="str">
        <f>IFERROR(__xludf.DUMMYFUNCTION("GOOGLETRANSLATE(A48,""zh-tw"",""es-MX"")"),"Enormes rocas bloquean la carretera.")</f>
        <v>Enormes rocas bloquean la carretera.</v>
      </c>
      <c r="R48" s="254" t="str">
        <f>IFERROR(__xludf.DUMMYFUNCTION("GOOGLETRANSLATE(B48,""zh-tw"",""es-MX"")"),"-")</f>
        <v>-</v>
      </c>
      <c r="S48" s="254" t="s">
        <v>1485</v>
      </c>
      <c r="T48" s="463" t="str">
        <f>IFERROR(__xludf.DUMMYFUNCTION("GOOGLETRANSLATE(D48,""zh-tw"",""es-MX"")"),"-")</f>
        <v>-</v>
      </c>
      <c r="U48" s="253" t="str">
        <f>IFERROR(__xludf.DUMMYFUNCTION("GOOGLETRANSLATE(A48,""zh-tw"",""KO"")"),"거대한 바위들이 도로를 막고 있다")</f>
        <v>거대한 바위들이 도로를 막고 있다</v>
      </c>
      <c r="V48" s="194" t="str">
        <f>IFERROR(__xludf.DUMMYFUNCTION("GOOGLETRANSLATE(B48,""zh-tw"",""KO"")"),"-")</f>
        <v>-</v>
      </c>
      <c r="W48" s="194" t="s">
        <v>1485</v>
      </c>
      <c r="X48" s="464" t="str">
        <f>IFERROR(__xludf.DUMMYFUNCTION("GOOGLETRANSLATE(D48,""zh-tw"",""KO"")"),"-")</f>
        <v>-</v>
      </c>
      <c r="Y48" s="253" t="s">
        <v>7917</v>
      </c>
      <c r="Z48" s="194" t="s">
        <v>1485</v>
      </c>
      <c r="AA48" s="194" t="s">
        <v>1485</v>
      </c>
      <c r="AB48" s="464" t="s">
        <v>1485</v>
      </c>
      <c r="AC48" s="192" t="s">
        <v>7917</v>
      </c>
      <c r="AD48" s="194" t="s">
        <v>1485</v>
      </c>
      <c r="AE48" s="194" t="s">
        <v>1485</v>
      </c>
      <c r="AF48" s="463" t="s">
        <v>1485</v>
      </c>
      <c r="AG48" s="253" t="str">
        <f>IFERROR(__xludf.DUMMYFUNCTION("GOOGLETRANSLATE(A48,""zh-tw"",""DE"")"),"Riesige Felsen blockieren die Straße")</f>
        <v>Riesige Felsen blockieren die Straße</v>
      </c>
      <c r="AH48" s="194" t="str">
        <f>IFERROR(__xludf.DUMMYFUNCTION("GOOGLETRANSLATE(B48,""zh-tw"",""DE"")"),"-")</f>
        <v>-</v>
      </c>
      <c r="AI48" s="254" t="s">
        <v>1485</v>
      </c>
      <c r="AJ48" s="463"/>
      <c r="AK48" s="171" t="s">
        <v>7918</v>
      </c>
      <c r="AL48" s="465"/>
      <c r="AM48" s="465" t="s">
        <v>1485</v>
      </c>
      <c r="AN48" s="466" t="s">
        <v>1485</v>
      </c>
      <c r="AO48" s="253" t="s">
        <v>7919</v>
      </c>
      <c r="AP48" s="254" t="s">
        <v>1485</v>
      </c>
      <c r="AQ48" s="254" t="s">
        <v>1485</v>
      </c>
      <c r="AR48" s="463" t="s">
        <v>1485</v>
      </c>
      <c r="AS48" s="467" t="s">
        <v>7920</v>
      </c>
      <c r="AT48" s="260" t="s">
        <v>1485</v>
      </c>
      <c r="AU48" s="260" t="s">
        <v>1485</v>
      </c>
      <c r="AV48" s="472" t="s">
        <v>1485</v>
      </c>
    </row>
    <row r="49">
      <c r="A49" s="192" t="s">
        <v>7921</v>
      </c>
      <c r="B49" s="194" t="s">
        <v>7922</v>
      </c>
      <c r="C49" s="194">
        <v>100.0</v>
      </c>
      <c r="D49" s="464" t="s">
        <v>1485</v>
      </c>
      <c r="E49" s="192" t="s">
        <v>7923</v>
      </c>
      <c r="F49" s="194" t="str">
        <f>IFERROR(__xludf.DUMMYFUNCTION("GOOGLETRANSLATE(B49,""zh-tw"",""ja"")"),"騎士の剣")</f>
        <v>騎士の剣</v>
      </c>
      <c r="G49" s="194">
        <v>100.0</v>
      </c>
      <c r="H49" s="464" t="str">
        <f>IFERROR(__xludf.DUMMYFUNCTION("GOOGLETRANSLATE(D49,""zh-tw"",""ja"")"),"-")</f>
        <v>-</v>
      </c>
      <c r="I49" s="192" t="s">
        <v>7924</v>
      </c>
      <c r="J49" s="254" t="s">
        <v>7925</v>
      </c>
      <c r="K49" s="254">
        <v>100.0</v>
      </c>
      <c r="L49" s="463" t="str">
        <f>IFERROR(__xludf.DUMMYFUNCTION("GOOGLETRANSLATE(D49,""zh-tw"",""en"")"),"-")</f>
        <v>-</v>
      </c>
      <c r="M49" s="253" t="str">
        <f>IFERROR(__xludf.DUMMYFUNCTION("GOOGLETRANSLATE(A49,""zh-tw"",""zh"")"),"石中剑")</f>
        <v>石中剑</v>
      </c>
      <c r="N49" s="254" t="str">
        <f>IFERROR(__xludf.DUMMYFUNCTION("GOOGLETRANSLATE(B49,""zh-tw"",""zh"")"),"骑士之剑")</f>
        <v>骑士之剑</v>
      </c>
      <c r="O49" s="194">
        <v>100.0</v>
      </c>
      <c r="P49" s="463" t="str">
        <f>IFERROR(__xludf.DUMMYFUNCTION("GOOGLETRANSLATE(D49,""zh-tw"",""zh"")"),"-")</f>
        <v>-</v>
      </c>
      <c r="Q49" s="253" t="str">
        <f>IFERROR(__xludf.DUMMYFUNCTION("GOOGLETRANSLATE(A49,""zh-tw"",""es-MX"")"),"La espada en la piedra")</f>
        <v>La espada en la piedra</v>
      </c>
      <c r="R49" s="194" t="str">
        <f>IFERROR(__xludf.DUMMYFUNCTION("GOOGLETRANSLATE(B49,""zh-tw"",""es-MX"")"),"Espada de caballero")</f>
        <v>Espada de caballero</v>
      </c>
      <c r="S49" s="254">
        <v>100.0</v>
      </c>
      <c r="T49" s="463" t="str">
        <f>IFERROR(__xludf.DUMMYFUNCTION("GOOGLETRANSLATE(D49,""zh-tw"",""es-MX"")"),"-")</f>
        <v>-</v>
      </c>
      <c r="U49" s="192" t="s">
        <v>7926</v>
      </c>
      <c r="V49" s="194" t="s">
        <v>7927</v>
      </c>
      <c r="W49" s="194">
        <v>100.0</v>
      </c>
      <c r="X49" s="464" t="str">
        <f>IFERROR(__xludf.DUMMYFUNCTION("GOOGLETRANSLATE(D49,""zh-tw"",""KO"")"),"-")</f>
        <v>-</v>
      </c>
      <c r="Y49" s="253" t="s">
        <v>7928</v>
      </c>
      <c r="Z49" s="194" t="s">
        <v>7929</v>
      </c>
      <c r="AA49" s="194">
        <v>100.0</v>
      </c>
      <c r="AB49" s="463" t="s">
        <v>1485</v>
      </c>
      <c r="AC49" s="192" t="s">
        <v>7930</v>
      </c>
      <c r="AD49" s="194" t="s">
        <v>7931</v>
      </c>
      <c r="AE49" s="194">
        <v>100.0</v>
      </c>
      <c r="AF49" s="463" t="s">
        <v>1485</v>
      </c>
      <c r="AG49" s="253" t="s">
        <v>7932</v>
      </c>
      <c r="AH49" s="254" t="s">
        <v>7933</v>
      </c>
      <c r="AI49" s="254">
        <v>100.0</v>
      </c>
      <c r="AJ49" s="469" t="s">
        <v>7934</v>
      </c>
      <c r="AK49" s="237" t="s">
        <v>7935</v>
      </c>
      <c r="AL49" s="465" t="s">
        <v>7936</v>
      </c>
      <c r="AM49" s="465">
        <v>100.0</v>
      </c>
      <c r="AN49" s="466" t="s">
        <v>1485</v>
      </c>
      <c r="AO49" s="253" t="s">
        <v>7937</v>
      </c>
      <c r="AP49" s="254" t="s">
        <v>7938</v>
      </c>
      <c r="AQ49" s="254">
        <v>100.0</v>
      </c>
      <c r="AR49" s="463" t="s">
        <v>1485</v>
      </c>
      <c r="AS49" s="467" t="s">
        <v>7939</v>
      </c>
      <c r="AT49" s="260" t="s">
        <v>7940</v>
      </c>
      <c r="AU49" s="260" t="s">
        <v>7381</v>
      </c>
      <c r="AV49" s="468" t="s">
        <v>1485</v>
      </c>
    </row>
    <row r="50">
      <c r="A50" s="253" t="s">
        <v>7941</v>
      </c>
      <c r="B50" s="254" t="s">
        <v>7942</v>
      </c>
      <c r="C50" s="194" t="s">
        <v>7943</v>
      </c>
      <c r="D50" s="469" t="s">
        <v>7944</v>
      </c>
      <c r="E50" s="253" t="str">
        <f>IFERROR(__xludf.DUMMYFUNCTION("GOOGLETRANSLATE(A50,""zh-tw"",""ja"")"),"とても大きな卵")</f>
        <v>とても大きな卵</v>
      </c>
      <c r="F50" s="194" t="str">
        <f>IFERROR(__xludf.DUMMYFUNCTION("GOOGLETRANSLATE(B50,""zh-tw"",""ja"")"),"とても大きな卵
小さな赤いモンスター*")</f>
        <v>とても大きな卵
小さな赤いモンスター*</v>
      </c>
      <c r="G50" s="254" t="s">
        <v>7943</v>
      </c>
      <c r="H50" s="464" t="str">
        <f>IFERROR(__xludf.DUMMYFUNCTION("GOOGLETRANSLATE(D50,""zh-tw"",""ja"")"),"遺跡の底で拾ってください（壊さないでください）。
※拾ったり壊したりすると、50%の確率で小さな赤いモンスターが出現します。")</f>
        <v>遺跡の底で拾ってください（壊さないでください）。
※拾ったり壊したりすると、50%の確率で小さな赤いモンスターが出現します。</v>
      </c>
      <c r="I50" s="192" t="s">
        <v>7945</v>
      </c>
      <c r="J50" s="254" t="s">
        <v>7946</v>
      </c>
      <c r="K50" s="254" t="s">
        <v>7943</v>
      </c>
      <c r="L50" s="463" t="s">
        <v>7947</v>
      </c>
      <c r="M50" s="253" t="str">
        <f>IFERROR(__xludf.DUMMYFUNCTION("GOOGLETRANSLATE(A50,""zh-tw"",""zh"")"),"很大的蛋")</f>
        <v>很大的蛋</v>
      </c>
      <c r="N50" s="254" t="str">
        <f>IFERROR(__xludf.DUMMYFUNCTION("GOOGLETRANSLATE(B50,""zh-tw"",""zh"")"),"很大的蛋
小红怪*")</f>
        <v>很大的蛋
小红怪*</v>
      </c>
      <c r="O50" s="194" t="s">
        <v>7943</v>
      </c>
      <c r="P50" s="463" t="str">
        <f>IFERROR(__xludf.DUMMYFUNCTION("GOOGLETRANSLATE(D50,""zh-tw"",""zh"")"),"于遗迹底层捡取(不可以打破)
*捡取/打破有50%机率出现小红怪")</f>
        <v>于遗迹底层捡取(不可以打破)
*捡取/打破有50%机率出现小红怪</v>
      </c>
      <c r="Q50" s="253" t="str">
        <f>IFERROR(__xludf.DUMMYFUNCTION("GOOGLETRANSLATE(A50,""zh-tw"",""es-MX"")"),"Un huevo muy grande")</f>
        <v>Un huevo muy grande</v>
      </c>
      <c r="R50" s="194" t="str">
        <f>IFERROR(__xludf.DUMMYFUNCTION("GOOGLETRANSLATE(B50,""zh-tw"",""es-MX"")"),"Un huevo muy grande
El pequeño monstruo rojo*")</f>
        <v>Un huevo muy grande
El pequeño monstruo rojo*</v>
      </c>
      <c r="S50" s="254" t="s">
        <v>7943</v>
      </c>
      <c r="T50" s="463" t="str">
        <f>IFERROR(__xludf.DUMMYFUNCTION("GOOGLETRANSLATE(D50,""zh-tw"",""es-MX"")"),"Recógelo en la parte inferior de las ruinas (no lo rompas).
*Hay un 50 % de probabilidad de que al recogerlo o romperlo aparezca un pequeño monstruo rojo.")</f>
        <v>Recógelo en la parte inferior de las ruinas (no lo rompas).
*Hay un 50 % de probabilidad de que al recogerlo o romperlo aparezca un pequeño monstruo rojo.</v>
      </c>
      <c r="U50" s="192" t="s">
        <v>7948</v>
      </c>
      <c r="V50" s="254" t="s">
        <v>7948</v>
      </c>
      <c r="W50" s="254" t="s">
        <v>7943</v>
      </c>
      <c r="X50" s="464" t="s">
        <v>7949</v>
      </c>
      <c r="Y50" s="253" t="s">
        <v>7950</v>
      </c>
      <c r="Z50" s="194" t="s">
        <v>7951</v>
      </c>
      <c r="AA50" s="194" t="s">
        <v>7943</v>
      </c>
      <c r="AB50" s="463" t="s">
        <v>7952</v>
      </c>
      <c r="AC50" s="253" t="s">
        <v>7953</v>
      </c>
      <c r="AD50" s="254" t="s">
        <v>7954</v>
      </c>
      <c r="AE50" s="194" t="s">
        <v>7943</v>
      </c>
      <c r="AF50" s="463" t="s">
        <v>7955</v>
      </c>
      <c r="AG50" s="253" t="s">
        <v>7956</v>
      </c>
      <c r="AH50" s="254" t="s">
        <v>7957</v>
      </c>
      <c r="AI50" s="254" t="s">
        <v>7943</v>
      </c>
      <c r="AJ50" s="463" t="s">
        <v>7958</v>
      </c>
      <c r="AK50" s="237" t="s">
        <v>7959</v>
      </c>
      <c r="AL50" s="465" t="s">
        <v>7960</v>
      </c>
      <c r="AM50" s="465" t="s">
        <v>7943</v>
      </c>
      <c r="AN50" s="466" t="s">
        <v>7961</v>
      </c>
      <c r="AO50" s="253" t="s">
        <v>7962</v>
      </c>
      <c r="AP50" s="254" t="s">
        <v>7963</v>
      </c>
      <c r="AQ50" s="254" t="s">
        <v>7943</v>
      </c>
      <c r="AR50" s="463" t="s">
        <v>7964</v>
      </c>
      <c r="AS50" s="467" t="s">
        <v>7965</v>
      </c>
      <c r="AT50" s="260" t="s">
        <v>7966</v>
      </c>
      <c r="AU50" s="260" t="s">
        <v>7967</v>
      </c>
      <c r="AV50" s="468" t="s">
        <v>7968</v>
      </c>
    </row>
    <row r="51">
      <c r="A51" s="192" t="s">
        <v>7969</v>
      </c>
      <c r="B51" s="194" t="s">
        <v>7970</v>
      </c>
      <c r="C51" s="194" t="s">
        <v>7971</v>
      </c>
      <c r="D51" s="464" t="s">
        <v>7972</v>
      </c>
      <c r="E51" s="192" t="s">
        <v>7973</v>
      </c>
      <c r="F51" s="254" t="s">
        <v>7974</v>
      </c>
      <c r="G51" s="194" t="s">
        <v>7971</v>
      </c>
      <c r="H51" s="464" t="s">
        <v>7975</v>
      </c>
      <c r="I51" s="192" t="s">
        <v>7976</v>
      </c>
      <c r="J51" s="254" t="s">
        <v>7977</v>
      </c>
      <c r="K51" s="254" t="s">
        <v>7971</v>
      </c>
      <c r="L51" s="463" t="s">
        <v>7978</v>
      </c>
      <c r="M51" s="253" t="str">
        <f>IFERROR(__xludf.DUMMYFUNCTION("GOOGLETRANSLATE(A51,""zh-tw"",""zh"")"),"遗迹菇类")</f>
        <v>遗迹菇类</v>
      </c>
      <c r="N51" s="254" t="str">
        <f>IFERROR(__xludf.DUMMYFUNCTION("GOOGLETRANSLATE(B51,""zh-tw"",""zh"")"),"香菇
平菇
蟹味菇
月夜茸
紫丁香蘑")</f>
        <v>香菇
平菇
蟹味菇
月夜茸
紫丁香蘑</v>
      </c>
      <c r="O51" s="254" t="s">
        <v>7971</v>
      </c>
      <c r="P51" s="463" t="str">
        <f>IFERROR(__xludf.DUMMYFUNCTION("GOOGLETRANSLATE(D51,""zh-tw"",""zh"")"),"于遗迹打地面上的蘑菇")</f>
        <v>于遗迹打地面上的蘑菇</v>
      </c>
      <c r="Q51" s="253" t="str">
        <f>IFERROR(__xludf.DUMMYFUNCTION("GOOGLETRANSLATE(A51,""zh-tw"",""es-MX"")"),"Hongos reliquia")</f>
        <v>Hongos reliquia</v>
      </c>
      <c r="R51" s="254" t="str">
        <f>IFERROR(__xludf.DUMMYFUNCTION("GOOGLETRANSLATE(B51,""zh-tw"",""es-MX"")"),"Setas shiitake, setas ostra, setas cangrejo, setas luna, setas lila")</f>
        <v>Setas shiitake, setas ostra, setas cangrejo, setas luna, setas lila</v>
      </c>
      <c r="S51" s="254" t="s">
        <v>7971</v>
      </c>
      <c r="T51" s="463" t="str">
        <f>IFERROR(__xludf.DUMMYFUNCTION("GOOGLETRANSLATE(D51,""zh-tw"",""es-MX"")"),"Golpea los hongos en el suelo de las ruinas.")</f>
        <v>Golpea los hongos en el suelo de las ruinas.</v>
      </c>
      <c r="U51" s="253" t="s">
        <v>7979</v>
      </c>
      <c r="V51" s="194" t="s">
        <v>7980</v>
      </c>
      <c r="W51" s="194" t="s">
        <v>7971</v>
      </c>
      <c r="X51" s="464" t="s">
        <v>7981</v>
      </c>
      <c r="Y51" s="253" t="s">
        <v>7982</v>
      </c>
      <c r="Z51" s="194" t="s">
        <v>7983</v>
      </c>
      <c r="AA51" s="194" t="s">
        <v>7971</v>
      </c>
      <c r="AB51" s="463" t="s">
        <v>7984</v>
      </c>
      <c r="AC51" s="192" t="s">
        <v>7985</v>
      </c>
      <c r="AD51" s="194" t="s">
        <v>7986</v>
      </c>
      <c r="AE51" s="194" t="s">
        <v>7971</v>
      </c>
      <c r="AF51" s="463" t="s">
        <v>7987</v>
      </c>
      <c r="AG51" s="253" t="s">
        <v>7988</v>
      </c>
      <c r="AH51" s="254" t="s">
        <v>7989</v>
      </c>
      <c r="AI51" s="254" t="s">
        <v>7971</v>
      </c>
      <c r="AJ51" s="463" t="s">
        <v>7990</v>
      </c>
      <c r="AK51" s="237" t="s">
        <v>7991</v>
      </c>
      <c r="AL51" s="465" t="s">
        <v>7992</v>
      </c>
      <c r="AM51" s="465" t="s">
        <v>7971</v>
      </c>
      <c r="AN51" s="466" t="s">
        <v>7993</v>
      </c>
      <c r="AO51" s="253" t="s">
        <v>7994</v>
      </c>
      <c r="AP51" s="254" t="s">
        <v>7995</v>
      </c>
      <c r="AQ51" s="254" t="s">
        <v>7971</v>
      </c>
      <c r="AR51" s="463" t="s">
        <v>7996</v>
      </c>
      <c r="AS51" s="467" t="s">
        <v>7997</v>
      </c>
      <c r="AT51" s="260" t="s">
        <v>7998</v>
      </c>
      <c r="AU51" s="260" t="s">
        <v>7971</v>
      </c>
      <c r="AV51" s="468" t="s">
        <v>7999</v>
      </c>
    </row>
    <row r="52">
      <c r="A52" s="192" t="s">
        <v>8000</v>
      </c>
      <c r="B52" s="194" t="s">
        <v>8001</v>
      </c>
      <c r="C52" s="194" t="s">
        <v>8002</v>
      </c>
      <c r="D52" s="464" t="s">
        <v>8003</v>
      </c>
      <c r="E52" s="192" t="s">
        <v>8004</v>
      </c>
      <c r="F52" s="194" t="s">
        <v>8005</v>
      </c>
      <c r="G52" s="194" t="s">
        <v>8002</v>
      </c>
      <c r="H52" s="464" t="s">
        <v>8006</v>
      </c>
      <c r="I52" s="192" t="s">
        <v>8007</v>
      </c>
      <c r="J52" s="254" t="s">
        <v>8008</v>
      </c>
      <c r="K52" s="254" t="s">
        <v>8002</v>
      </c>
      <c r="L52" s="463" t="s">
        <v>8009</v>
      </c>
      <c r="M52" s="253" t="str">
        <f>IFERROR(__xludf.DUMMYFUNCTION("GOOGLETRANSLATE(A52,""zh-tw"",""zh"")"),"红花")</f>
        <v>红花</v>
      </c>
      <c r="N52" s="254" t="str">
        <f>IFERROR(__xludf.DUMMYFUNCTION("GOOGLETRANSLATE(B52,""zh-tw"",""zh"")"),"火鸟的羽毛
500元
1000元")</f>
        <v>火鸟的羽毛
500元
1000元</v>
      </c>
      <c r="O52" s="254" t="s">
        <v>8002</v>
      </c>
      <c r="P52" s="463" t="str">
        <f>IFERROR(__xludf.DUMMYFUNCTION("GOOGLETRANSLATE(D52,""zh-tw"",""zh"")"),"于遗迹打地面上的红花")</f>
        <v>于遗迹打地面上的红花</v>
      </c>
      <c r="Q52" s="253" t="str">
        <f>IFERROR(__xludf.DUMMYFUNCTION("GOOGLETRANSLATE(A52,""zh-tw"",""es-MX"")"),"cártamo")</f>
        <v>cártamo</v>
      </c>
      <c r="R52" s="254" t="str">
        <f>IFERROR(__xludf.DUMMYFUNCTION("GOOGLETRANSLATE(B52,""zh-tw"",""es-MX"")"),"Plumas de ave fénix
500 yuanes
1000 yuanes")</f>
        <v>Plumas de ave fénix
500 yuanes
1000 yuanes</v>
      </c>
      <c r="S52" s="254" t="s">
        <v>8002</v>
      </c>
      <c r="T52" s="463" t="str">
        <f>IFERROR(__xludf.DUMMYFUNCTION("GOOGLETRANSLATE(D52,""zh-tw"",""es-MX"")"),"Flores rojas en el suelo de las ruinas.")</f>
        <v>Flores rojas en el suelo de las ruinas.</v>
      </c>
      <c r="U52" s="253" t="s">
        <v>8010</v>
      </c>
      <c r="V52" s="194" t="s">
        <v>8011</v>
      </c>
      <c r="W52" s="194" t="s">
        <v>8002</v>
      </c>
      <c r="X52" s="464" t="s">
        <v>8012</v>
      </c>
      <c r="Y52" s="253" t="s">
        <v>8013</v>
      </c>
      <c r="Z52" s="194" t="s">
        <v>8014</v>
      </c>
      <c r="AA52" s="194" t="s">
        <v>8002</v>
      </c>
      <c r="AB52" s="463" t="s">
        <v>8015</v>
      </c>
      <c r="AC52" s="192" t="s">
        <v>8013</v>
      </c>
      <c r="AD52" s="194" t="s">
        <v>8016</v>
      </c>
      <c r="AE52" s="194" t="s">
        <v>8002</v>
      </c>
      <c r="AF52" s="463" t="s">
        <v>8017</v>
      </c>
      <c r="AG52" s="253" t="s">
        <v>8018</v>
      </c>
      <c r="AH52" s="254" t="s">
        <v>8019</v>
      </c>
      <c r="AI52" s="254" t="s">
        <v>8002</v>
      </c>
      <c r="AJ52" s="463" t="s">
        <v>8020</v>
      </c>
      <c r="AK52" s="237" t="s">
        <v>8021</v>
      </c>
      <c r="AL52" s="465" t="s">
        <v>8022</v>
      </c>
      <c r="AM52" s="465" t="s">
        <v>8002</v>
      </c>
      <c r="AN52" s="466" t="s">
        <v>8023</v>
      </c>
      <c r="AO52" s="253" t="s">
        <v>8007</v>
      </c>
      <c r="AP52" s="254" t="s">
        <v>8024</v>
      </c>
      <c r="AQ52" s="254" t="s">
        <v>8002</v>
      </c>
      <c r="AR52" s="463" t="s">
        <v>8025</v>
      </c>
      <c r="AS52" s="467" t="s">
        <v>8026</v>
      </c>
      <c r="AT52" s="260" t="s">
        <v>8027</v>
      </c>
      <c r="AU52" s="260" t="s">
        <v>8002</v>
      </c>
      <c r="AV52" s="468" t="s">
        <v>8028</v>
      </c>
    </row>
    <row r="53">
      <c r="A53" s="192" t="s">
        <v>8029</v>
      </c>
      <c r="B53" s="205" t="s">
        <v>8030</v>
      </c>
      <c r="C53" s="205" t="s">
        <v>8031</v>
      </c>
      <c r="D53" s="469" t="s">
        <v>8032</v>
      </c>
      <c r="E53" s="192" t="s">
        <v>8033</v>
      </c>
      <c r="F53" s="194" t="s">
        <v>8034</v>
      </c>
      <c r="G53" s="194" t="s">
        <v>8035</v>
      </c>
      <c r="H53" s="464" t="str">
        <f>IFERROR(__xludf.DUMMYFUNCTION("GOOGLETRANSLATE(D53,""zh-tw"",""ja"")"),"壁を破壊すると、30%の確率でゾンビが出現する。")</f>
        <v>壁を破壊すると、30%の確率でゾンビが出現する。</v>
      </c>
      <c r="I53" s="192" t="s">
        <v>8036</v>
      </c>
      <c r="J53" s="205" t="s">
        <v>8037</v>
      </c>
      <c r="K53" s="254" t="s">
        <v>8035</v>
      </c>
      <c r="L53" s="463"/>
      <c r="M53" s="253" t="s">
        <v>8029</v>
      </c>
      <c r="N53" s="205" t="s">
        <v>8038</v>
      </c>
      <c r="O53" s="205" t="s">
        <v>8031</v>
      </c>
      <c r="P53" s="463" t="str">
        <f>IFERROR(__xludf.DUMMYFUNCTION("GOOGLETRANSLATE(D53,""zh-tw"",""zh"")"),"*打破有30%机率出现丧尸")</f>
        <v>*打破有30%机率出现丧尸</v>
      </c>
      <c r="Q53" s="253" t="str">
        <f>IFERROR(__xludf.DUMMYFUNCTION("GOOGLETRANSLATE(A53,""zh-tw"",""es-MX"")"),"Lápida/Losa de piedra")</f>
        <v>Lápida/Losa de piedra</v>
      </c>
      <c r="R53" s="254" t="str">
        <f>IFERROR(__xludf.DUMMYFUNCTION("GOOGLETRANSLATE(B53,""zh-tw"",""es-MX"")"),"Cola Plateada
Bomba Jack
Cartas de Tarot Aleatorias (excepto ""Templanza"")
Runas Aleatorias
1000 Yuan
Objeto de Calidad Blanca
Objeto de Calidad Azul
Zombi")</f>
        <v>Cola Plateada
Bomba Jack
Cartas de Tarot Aleatorias (excepto "Templanza")
Runas Aleatorias
1000 Yuan
Objeto de Calidad Blanca
Objeto de Calidad Azul
Zombi</v>
      </c>
      <c r="S53" s="254" t="s">
        <v>8035</v>
      </c>
      <c r="T53" s="463" t="str">
        <f>IFERROR(__xludf.DUMMYFUNCTION("GOOGLETRANSLATE(D53,""zh-tw"",""es-MX"")"),"Romper la pared tiene un 30% de probabilidad de generar zombis.")</f>
        <v>Romper la pared tiene un 30% de probabilidad de generar zombis.</v>
      </c>
      <c r="U53" s="253" t="str">
        <f>IFERROR(__xludf.DUMMYFUNCTION("GOOGLETRANSLATE(A53,""zh-tw"",""KO"")"),"묘비/석판")</f>
        <v>묘비/석판</v>
      </c>
      <c r="V53" s="194" t="str">
        <f>IFERROR(__xludf.DUMMYFUNCTION("GOOGLETRANSLATE(B53,""zh-tw"",""KO"")"),"실버 콜라
잭 밤
랜덤 타로 카드 (단, ""절제"" 제외)
랜덤 룬
1000위안
흰색 등급 아이템
파란색 등급 아이템
좀비")</f>
        <v>실버 콜라
잭 밤
랜덤 타로 카드 (단, "절제" 제외)
랜덤 룬
1000위안
흰색 등급 아이템
파란색 등급 아이템
좀비</v>
      </c>
      <c r="W53" s="194" t="s">
        <v>8035</v>
      </c>
      <c r="X53" s="464" t="str">
        <f>IFERROR(__xludf.DUMMYFUNCTION("GOOGLETRANSLATE(D53,""zh-tw"",""KO"")"),"벽을 부수면 30% 확률로 좀비가 나타납니다.")</f>
        <v>벽을 부수면 30% 확률로 좀비가 나타납니다.</v>
      </c>
      <c r="Y53" s="253" t="s">
        <v>8039</v>
      </c>
      <c r="Z53" s="194" t="s">
        <v>8040</v>
      </c>
      <c r="AA53" s="194" t="s">
        <v>8035</v>
      </c>
      <c r="AB53" s="464" t="s">
        <v>1485</v>
      </c>
      <c r="AC53" s="192" t="s">
        <v>8041</v>
      </c>
      <c r="AD53" s="254" t="s">
        <v>8042</v>
      </c>
      <c r="AE53" s="194" t="s">
        <v>8035</v>
      </c>
      <c r="AF53" s="463" t="s">
        <v>1485</v>
      </c>
      <c r="AG53" s="253" t="s">
        <v>8043</v>
      </c>
      <c r="AH53" s="254" t="s">
        <v>8044</v>
      </c>
      <c r="AI53" s="254" t="s">
        <v>8035</v>
      </c>
      <c r="AJ53" s="469" t="s">
        <v>7934</v>
      </c>
      <c r="AK53" s="237" t="s">
        <v>8045</v>
      </c>
      <c r="AL53" s="68" t="s">
        <v>8046</v>
      </c>
      <c r="AM53" s="465" t="s">
        <v>8035</v>
      </c>
      <c r="AN53" s="466" t="s">
        <v>1485</v>
      </c>
      <c r="AO53" s="253" t="s">
        <v>8047</v>
      </c>
      <c r="AP53" s="205" t="s">
        <v>8048</v>
      </c>
      <c r="AQ53" s="254" t="s">
        <v>8035</v>
      </c>
      <c r="AR53" s="463" t="s">
        <v>1485</v>
      </c>
      <c r="AS53" s="467" t="s">
        <v>8049</v>
      </c>
      <c r="AT53" s="260" t="s">
        <v>8050</v>
      </c>
      <c r="AU53" s="260" t="s">
        <v>8035</v>
      </c>
      <c r="AV53" s="472" t="s">
        <v>1485</v>
      </c>
    </row>
    <row r="54">
      <c r="A54" s="192" t="s">
        <v>8051</v>
      </c>
      <c r="B54" s="205" t="s">
        <v>8052</v>
      </c>
      <c r="C54" s="194" t="s">
        <v>8035</v>
      </c>
      <c r="D54" s="464" t="s">
        <v>1485</v>
      </c>
      <c r="E54" s="192" t="s">
        <v>8053</v>
      </c>
      <c r="F54" s="194" t="s">
        <v>8034</v>
      </c>
      <c r="G54" s="194" t="s">
        <v>8035</v>
      </c>
      <c r="H54" s="464" t="str">
        <f>IFERROR(__xludf.DUMMYFUNCTION("GOOGLETRANSLATE(D54,""zh-tw"",""ja"")"),"-")</f>
        <v>-</v>
      </c>
      <c r="I54" s="192" t="s">
        <v>8054</v>
      </c>
      <c r="J54" s="205" t="s">
        <v>8037</v>
      </c>
      <c r="K54" s="254" t="s">
        <v>8035</v>
      </c>
      <c r="L54" s="463"/>
      <c r="M54" s="253" t="s">
        <v>8055</v>
      </c>
      <c r="N54" s="205" t="s">
        <v>8056</v>
      </c>
      <c r="O54" s="254" t="s">
        <v>8035</v>
      </c>
      <c r="P54" s="463" t="str">
        <f>IFERROR(__xludf.DUMMYFUNCTION("GOOGLETRANSLATE(D54,""zh-tw"",""zh"")"),"-")</f>
        <v>-</v>
      </c>
      <c r="Q54" s="253" t="str">
        <f>IFERROR(__xludf.DUMMYFUNCTION("GOOGLETRANSLATE(A54,""zh-tw"",""es-MX"")"),"botella de cerámica de las ruinas")</f>
        <v>botella de cerámica de las ruinas</v>
      </c>
      <c r="R54" s="254" t="str">
        <f>IFERROR(__xludf.DUMMYFUNCTION("GOOGLETRANSLATE(B54,""zh-tw"",""es-MX"")"),"Cola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4" s="254" t="s">
        <v>8035</v>
      </c>
      <c r="T54" s="463" t="str">
        <f>IFERROR(__xludf.DUMMYFUNCTION("GOOGLETRANSLATE(D54,""zh-tw"",""es-MX"")"),"-")</f>
        <v>-</v>
      </c>
      <c r="U54" s="253" t="str">
        <f>IFERROR(__xludf.DUMMYFUNCTION("GOOGLETRANSLATE(A54,""zh-tw"",""KO"")"),"유적에서 발견된 도자기 병")</f>
        <v>유적에서 발견된 도자기 병</v>
      </c>
      <c r="V54" s="194" t="str">
        <f>IFERROR(__xludf.DUMMYFUNCTION("GOOGLETRANSLATE(B54,""zh-tw"",""KO"")"),"실버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4" s="194" t="s">
        <v>8035</v>
      </c>
      <c r="X54" s="464" t="str">
        <f>IFERROR(__xludf.DUMMYFUNCTION("GOOGLETRANSLATE(D54,""zh-tw"",""KO"")"),"-")</f>
        <v>-</v>
      </c>
      <c r="Y54" s="253" t="s">
        <v>8057</v>
      </c>
      <c r="Z54" s="194" t="s">
        <v>8040</v>
      </c>
      <c r="AA54" s="194" t="s">
        <v>8035</v>
      </c>
      <c r="AB54" s="464" t="s">
        <v>1485</v>
      </c>
      <c r="AC54" s="192" t="s">
        <v>8058</v>
      </c>
      <c r="AD54" s="194" t="s">
        <v>8042</v>
      </c>
      <c r="AE54" s="194" t="s">
        <v>8035</v>
      </c>
      <c r="AF54" s="463" t="s">
        <v>1485</v>
      </c>
      <c r="AG54" s="253" t="s">
        <v>8059</v>
      </c>
      <c r="AH54" s="254" t="s">
        <v>8044</v>
      </c>
      <c r="AI54" s="254" t="s">
        <v>8035</v>
      </c>
      <c r="AJ54" s="469" t="s">
        <v>7934</v>
      </c>
      <c r="AK54" s="237" t="s">
        <v>8060</v>
      </c>
      <c r="AL54" s="68" t="s">
        <v>8046</v>
      </c>
      <c r="AM54" s="465" t="s">
        <v>8035</v>
      </c>
      <c r="AN54" s="466" t="s">
        <v>1485</v>
      </c>
      <c r="AO54" s="253" t="s">
        <v>8054</v>
      </c>
      <c r="AP54" s="205" t="s">
        <v>8048</v>
      </c>
      <c r="AQ54" s="254" t="s">
        <v>8035</v>
      </c>
      <c r="AR54" s="463" t="s">
        <v>1485</v>
      </c>
      <c r="AS54" s="467" t="s">
        <v>8061</v>
      </c>
      <c r="AT54" s="260" t="s">
        <v>8050</v>
      </c>
      <c r="AU54" s="260" t="s">
        <v>8035</v>
      </c>
      <c r="AV54" s="472" t="s">
        <v>1485</v>
      </c>
    </row>
    <row r="55">
      <c r="A55" s="253" t="s">
        <v>8062</v>
      </c>
      <c r="B55" s="205" t="s">
        <v>8052</v>
      </c>
      <c r="C55" s="254" t="s">
        <v>8035</v>
      </c>
      <c r="D55" s="463" t="s">
        <v>1485</v>
      </c>
      <c r="E55" s="253" t="s">
        <v>8062</v>
      </c>
      <c r="F55" s="254" t="s">
        <v>8034</v>
      </c>
      <c r="G55" s="254" t="s">
        <v>8035</v>
      </c>
      <c r="H55" s="463" t="str">
        <f>IFERROR(__xludf.DUMMYFUNCTION("GOOGLETRANSLATE(D55,""zh-tw"",""ja"")"),"-")</f>
        <v>-</v>
      </c>
      <c r="I55" s="253" t="s">
        <v>8063</v>
      </c>
      <c r="J55" s="205" t="s">
        <v>8037</v>
      </c>
      <c r="K55" s="254" t="s">
        <v>8035</v>
      </c>
      <c r="L55" s="463"/>
      <c r="M55" s="253" t="s">
        <v>8062</v>
      </c>
      <c r="N55" s="205" t="s">
        <v>8056</v>
      </c>
      <c r="O55" s="254" t="s">
        <v>8035</v>
      </c>
      <c r="P55" s="463" t="str">
        <f>IFERROR(__xludf.DUMMYFUNCTION("GOOGLETRANSLATE(D55,""zh-tw"",""zh"")"),"-")</f>
        <v>-</v>
      </c>
      <c r="Q55" s="253" t="str">
        <f>IFERROR(__xludf.DUMMYFUNCTION("GOOGLETRANSLATE(A55,""zh-tw"",""es-MX"")"),"barril de madera")</f>
        <v>barril de madera</v>
      </c>
      <c r="R55" s="254" t="str">
        <f>IFERROR(__xludf.DUMMYFUNCTION("GOOGLETRANSLATE(B55,""zh-tw"",""es-MX"")"),"Cola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5" s="254" t="s">
        <v>8035</v>
      </c>
      <c r="T55" s="463" t="str">
        <f>IFERROR(__xludf.DUMMYFUNCTION("GOOGLETRANSLATE(D55,""zh-tw"",""es-MX"")"),"-")</f>
        <v>-</v>
      </c>
      <c r="U55" s="253" t="str">
        <f>IFERROR(__xludf.DUMMYFUNCTION("GOOGLETRANSLATE(A55,""zh-tw"",""KO"")"),"나무통")</f>
        <v>나무통</v>
      </c>
      <c r="V55" s="254" t="str">
        <f>IFERROR(__xludf.DUMMYFUNCTION("GOOGLETRANSLATE(B55,""zh-tw"",""KO"")"),"실버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5" s="254" t="s">
        <v>8035</v>
      </c>
      <c r="X55" s="463" t="str">
        <f>IFERROR(__xludf.DUMMYFUNCTION("GOOGLETRANSLATE(D55,""zh-tw"",""KO"")"),"-")</f>
        <v>-</v>
      </c>
      <c r="Y55" s="253" t="s">
        <v>8064</v>
      </c>
      <c r="Z55" s="194" t="s">
        <v>8040</v>
      </c>
      <c r="AA55" s="194" t="s">
        <v>8035</v>
      </c>
      <c r="AB55" s="464" t="s">
        <v>1485</v>
      </c>
      <c r="AC55" s="192" t="s">
        <v>8065</v>
      </c>
      <c r="AD55" s="194" t="s">
        <v>8042</v>
      </c>
      <c r="AE55" s="194" t="s">
        <v>8035</v>
      </c>
      <c r="AF55" s="463" t="s">
        <v>1485</v>
      </c>
      <c r="AG55" s="253" t="s">
        <v>8066</v>
      </c>
      <c r="AH55" s="254" t="s">
        <v>8044</v>
      </c>
      <c r="AI55" s="254" t="s">
        <v>8035</v>
      </c>
      <c r="AJ55" s="469" t="s">
        <v>7934</v>
      </c>
      <c r="AK55" s="237" t="s">
        <v>8067</v>
      </c>
      <c r="AL55" s="68" t="s">
        <v>8046</v>
      </c>
      <c r="AM55" s="465" t="s">
        <v>8035</v>
      </c>
      <c r="AN55" s="466" t="s">
        <v>1485</v>
      </c>
      <c r="AO55" s="253" t="s">
        <v>8068</v>
      </c>
      <c r="AP55" s="205" t="s">
        <v>8048</v>
      </c>
      <c r="AQ55" s="254" t="s">
        <v>8035</v>
      </c>
      <c r="AR55" s="463" t="s">
        <v>1485</v>
      </c>
      <c r="AS55" s="467" t="s">
        <v>8069</v>
      </c>
      <c r="AT55" s="260" t="s">
        <v>8050</v>
      </c>
      <c r="AU55" s="260" t="s">
        <v>8035</v>
      </c>
      <c r="AV55" s="472" t="s">
        <v>1485</v>
      </c>
    </row>
    <row r="56">
      <c r="A56" s="253" t="s">
        <v>8070</v>
      </c>
      <c r="B56" s="205" t="s">
        <v>8052</v>
      </c>
      <c r="C56" s="254" t="s">
        <v>8035</v>
      </c>
      <c r="D56" s="463" t="s">
        <v>1485</v>
      </c>
      <c r="E56" s="253" t="s">
        <v>8071</v>
      </c>
      <c r="F56" s="254" t="s">
        <v>8034</v>
      </c>
      <c r="G56" s="254" t="s">
        <v>8035</v>
      </c>
      <c r="H56" s="463" t="str">
        <f>IFERROR(__xludf.DUMMYFUNCTION("GOOGLETRANSLATE(D56,""zh-tw"",""ja"")"),"-")</f>
        <v>-</v>
      </c>
      <c r="I56" s="253" t="s">
        <v>8072</v>
      </c>
      <c r="J56" s="205" t="s">
        <v>8037</v>
      </c>
      <c r="K56" s="254" t="s">
        <v>8035</v>
      </c>
      <c r="L56" s="463"/>
      <c r="M56" s="253" t="s">
        <v>8070</v>
      </c>
      <c r="N56" s="205" t="s">
        <v>8056</v>
      </c>
      <c r="O56" s="254" t="s">
        <v>8035</v>
      </c>
      <c r="P56" s="463" t="str">
        <f>IFERROR(__xludf.DUMMYFUNCTION("GOOGLETRANSLATE(D56,""zh-tw"",""zh"")"),"-")</f>
        <v>-</v>
      </c>
      <c r="Q56" s="253" t="str">
        <f>IFERROR(__xludf.DUMMYFUNCTION("GOOGLETRANSLATE(A56,""zh-tw"",""es-MX"")"),"Huevo roto")</f>
        <v>Huevo roto</v>
      </c>
      <c r="R56" s="254" t="str">
        <f>IFERROR(__xludf.DUMMYFUNCTION("GOOGLETRANSLATE(B56,""zh-tw"",""es-MX"")"),"Cola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6" s="254" t="s">
        <v>8035</v>
      </c>
      <c r="T56" s="463" t="str">
        <f>IFERROR(__xludf.DUMMYFUNCTION("GOOGLETRANSLATE(D56,""zh-tw"",""es-MX"")"),"-")</f>
        <v>-</v>
      </c>
      <c r="U56" s="253" t="str">
        <f>IFERROR(__xludf.DUMMYFUNCTION("GOOGLETRANSLATE(A56,""zh-tw"",""KO"")"),"깨진 달걀")</f>
        <v>깨진 달걀</v>
      </c>
      <c r="V56" s="254" t="str">
        <f>IFERROR(__xludf.DUMMYFUNCTION("GOOGLETRANSLATE(B56,""zh-tw"",""KO"")"),"실버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6" s="254" t="s">
        <v>8035</v>
      </c>
      <c r="X56" s="463" t="str">
        <f>IFERROR(__xludf.DUMMYFUNCTION("GOOGLETRANSLATE(D56,""zh-tw"",""KO"")"),"-")</f>
        <v>-</v>
      </c>
      <c r="Y56" s="253" t="s">
        <v>8073</v>
      </c>
      <c r="Z56" s="194" t="s">
        <v>8040</v>
      </c>
      <c r="AA56" s="194" t="s">
        <v>8035</v>
      </c>
      <c r="AB56" s="464" t="s">
        <v>1485</v>
      </c>
      <c r="AC56" s="192" t="s">
        <v>8074</v>
      </c>
      <c r="AD56" s="194" t="s">
        <v>8042</v>
      </c>
      <c r="AE56" s="194" t="s">
        <v>8035</v>
      </c>
      <c r="AF56" s="463" t="s">
        <v>1485</v>
      </c>
      <c r="AG56" s="253" t="s">
        <v>8075</v>
      </c>
      <c r="AH56" s="254" t="s">
        <v>8044</v>
      </c>
      <c r="AI56" s="254" t="s">
        <v>8035</v>
      </c>
      <c r="AJ56" s="469" t="s">
        <v>7934</v>
      </c>
      <c r="AK56" s="237" t="s">
        <v>8076</v>
      </c>
      <c r="AL56" s="68" t="s">
        <v>8046</v>
      </c>
      <c r="AM56" s="465" t="s">
        <v>8035</v>
      </c>
      <c r="AN56" s="466" t="s">
        <v>1485</v>
      </c>
      <c r="AO56" s="253" t="s">
        <v>8077</v>
      </c>
      <c r="AP56" s="205" t="s">
        <v>8048</v>
      </c>
      <c r="AQ56" s="254" t="s">
        <v>8035</v>
      </c>
      <c r="AR56" s="463" t="s">
        <v>1485</v>
      </c>
      <c r="AS56" s="467" t="s">
        <v>8078</v>
      </c>
      <c r="AT56" s="260" t="s">
        <v>8050</v>
      </c>
      <c r="AU56" s="260" t="s">
        <v>8035</v>
      </c>
      <c r="AV56" s="472" t="s">
        <v>1485</v>
      </c>
    </row>
    <row r="57">
      <c r="A57" s="253" t="s">
        <v>8079</v>
      </c>
      <c r="B57" s="254" t="s">
        <v>8080</v>
      </c>
      <c r="C57" s="254" t="s">
        <v>8081</v>
      </c>
      <c r="D57" s="463" t="s">
        <v>1485</v>
      </c>
      <c r="E57" s="253" t="str">
        <f>IFERROR(__xludf.DUMMYFUNCTION("GOOGLETRANSLATE(A57,""zh-tw"",""ja"")"),"鉱石")</f>
        <v>鉱石</v>
      </c>
      <c r="F57" s="254" t="s">
        <v>8082</v>
      </c>
      <c r="G57" s="254" t="s">
        <v>8081</v>
      </c>
      <c r="H57" s="463" t="str">
        <f>IFERROR(__xludf.DUMMYFUNCTION("GOOGLETRANSLATE(D57,""zh-tw"",""ja"")"),"-")</f>
        <v>-</v>
      </c>
      <c r="I57" s="253" t="s">
        <v>8083</v>
      </c>
      <c r="J57" s="254" t="s">
        <v>8084</v>
      </c>
      <c r="K57" s="254" t="s">
        <v>8081</v>
      </c>
      <c r="L57" s="463" t="str">
        <f>IFERROR(__xludf.DUMMYFUNCTION("GOOGLETRANSLATE(D57,""zh-tw"",""en"")"),"-")</f>
        <v>-</v>
      </c>
      <c r="M57" s="253" t="str">
        <f>IFERROR(__xludf.DUMMYFUNCTION("GOOGLETRANSLATE(A57,""zh-tw"",""zh"")"),"矿石")</f>
        <v>矿石</v>
      </c>
      <c r="N57" s="254" t="str">
        <f>IFERROR(__xludf.DUMMYFUNCTION("GOOGLETRANSLATE(B57,""zh-tw"",""zh"")"),"蓝辉石
火菱石
魔力小凝胶
随机​​符文
魔力晶簇
深邃魔力晶簇")</f>
        <v>蓝辉石
火菱石
魔力小凝胶
随机​​符文
魔力晶簇
深邃魔力晶簇</v>
      </c>
      <c r="O57" s="254" t="s">
        <v>8081</v>
      </c>
      <c r="P57" s="463" t="str">
        <f>IFERROR(__xludf.DUMMYFUNCTION("GOOGLETRANSLATE(D57,""zh-tw"",""zh"")"),"-")</f>
        <v>-</v>
      </c>
      <c r="Q57" s="253" t="str">
        <f>IFERROR(__xludf.DUMMYFUNCTION("GOOGLETRANSLATE(A57,""zh-tw"",""es-MX"")"),"mineral")</f>
        <v>mineral</v>
      </c>
      <c r="R57" s="254" t="str">
        <f>IFERROR(__xludf.DUMMYFUNCTION("GOOGLETRANSLATE(B57,""zh-tw"",""es-MX"")"),"Zafiro azul
Piedra de fuego
Gel mágico
Runa aleatoria
Grupo de cristales mágicos
Grupo de cristales mágicos profundos")</f>
        <v>Zafiro azul
Piedra de fuego
Gel mágico
Runa aleatoria
Grupo de cristales mágicos
Grupo de cristales mágicos profundos</v>
      </c>
      <c r="S57" s="254" t="s">
        <v>8081</v>
      </c>
      <c r="T57" s="463" t="str">
        <f>IFERROR(__xludf.DUMMYFUNCTION("GOOGLETRANSLATE(D57,""zh-tw"",""es-MX"")"),"-")</f>
        <v>-</v>
      </c>
      <c r="U57" s="253" t="str">
        <f>IFERROR(__xludf.DUMMYFUNCTION("GOOGLETRANSLATE(A57,""zh-tw"",""KO"")"),"광석")</f>
        <v>광석</v>
      </c>
      <c r="V57" s="254" t="str">
        <f>IFERROR(__xludf.DUMMYFUNCTION("GOOGLETRANSLATE(B57,""zh-tw"",""KO"")"),"블루 사파이어
파이어스톤
매직 젤
랜덤 룬
매직 크리스탈 클러스터
딥 매직 크리스탈 클러스터")</f>
        <v>블루 사파이어
파이어스톤
매직 젤
랜덤 룬
매직 크리스탈 클러스터
딥 매직 크리스탈 클러스터</v>
      </c>
      <c r="W57" s="254" t="s">
        <v>8081</v>
      </c>
      <c r="X57" s="463" t="str">
        <f>IFERROR(__xludf.DUMMYFUNCTION("GOOGLETRANSLATE(D57,""zh-tw"",""KO"")"),"-")</f>
        <v>-</v>
      </c>
      <c r="Y57" s="253" t="s">
        <v>8085</v>
      </c>
      <c r="Z57" s="194" t="s">
        <v>8086</v>
      </c>
      <c r="AA57" s="194" t="s">
        <v>8081</v>
      </c>
      <c r="AB57" s="463" t="s">
        <v>1485</v>
      </c>
      <c r="AC57" s="192" t="s">
        <v>8085</v>
      </c>
      <c r="AD57" s="194" t="s">
        <v>8087</v>
      </c>
      <c r="AE57" s="194" t="s">
        <v>8081</v>
      </c>
      <c r="AF57" s="463" t="s">
        <v>1485</v>
      </c>
      <c r="AG57" s="253" t="s">
        <v>8088</v>
      </c>
      <c r="AH57" s="254" t="s">
        <v>8089</v>
      </c>
      <c r="AI57" s="254" t="s">
        <v>8081</v>
      </c>
      <c r="AJ57" s="463" t="s">
        <v>8090</v>
      </c>
      <c r="AK57" s="237" t="s">
        <v>8091</v>
      </c>
      <c r="AL57" s="465" t="s">
        <v>8092</v>
      </c>
      <c r="AM57" s="465" t="s">
        <v>8081</v>
      </c>
      <c r="AN57" s="466" t="s">
        <v>1485</v>
      </c>
      <c r="AO57" s="253" t="s">
        <v>8093</v>
      </c>
      <c r="AP57" s="254" t="s">
        <v>8094</v>
      </c>
      <c r="AQ57" s="254" t="s">
        <v>8081</v>
      </c>
      <c r="AR57" s="463" t="s">
        <v>1485</v>
      </c>
      <c r="AS57" s="467" t="s">
        <v>8095</v>
      </c>
      <c r="AT57" s="260" t="s">
        <v>8096</v>
      </c>
      <c r="AU57" s="260" t="s">
        <v>8081</v>
      </c>
      <c r="AV57" s="468" t="s">
        <v>1485</v>
      </c>
    </row>
    <row r="58">
      <c r="A58" s="253" t="s">
        <v>8097</v>
      </c>
      <c r="B58" s="254" t="s">
        <v>8098</v>
      </c>
      <c r="C58" s="254" t="s">
        <v>8099</v>
      </c>
      <c r="D58" s="463" t="s">
        <v>1485</v>
      </c>
      <c r="E58" s="253" t="str">
        <f>IFERROR(__xludf.DUMMYFUNCTION("GOOGLETRANSLATE(A58,""zh-tw"",""ja"")"),"果樹")</f>
        <v>果樹</v>
      </c>
      <c r="F58" s="254" t="s">
        <v>8100</v>
      </c>
      <c r="G58" s="254" t="s">
        <v>8099</v>
      </c>
      <c r="H58" s="463" t="str">
        <f>IFERROR(__xludf.DUMMYFUNCTION("GOOGLETRANSLATE(D58,""zh-tw"",""ja"")"),"-")</f>
        <v>-</v>
      </c>
      <c r="I58" s="253" t="s">
        <v>8101</v>
      </c>
      <c r="J58" s="254" t="s">
        <v>8102</v>
      </c>
      <c r="K58" s="254" t="s">
        <v>8099</v>
      </c>
      <c r="L58" s="463" t="str">
        <f>IFERROR(__xludf.DUMMYFUNCTION("GOOGLETRANSLATE(D58,""zh-tw"",""en"")"),"-")</f>
        <v>-</v>
      </c>
      <c r="M58" s="253" t="str">
        <f>IFERROR(__xludf.DUMMYFUNCTION("GOOGLETRANSLATE(A58,""zh-tw"",""zh"")"),"果树")</f>
        <v>果树</v>
      </c>
      <c r="N58" s="254" t="str">
        <f>IFERROR(__xludf.DUMMYFUNCTION("GOOGLETRANSLATE(B58,""zh-tw"",""zh"")"),"芳草心
硬木棒
硬木剑
大木槌
寄生刃
柳叶长剑
古树残骸")</f>
        <v>芳草心
硬木棒
硬木剑
大木槌
寄生刃
柳叶长剑
古树残骸</v>
      </c>
      <c r="O58" s="254" t="s">
        <v>8099</v>
      </c>
      <c r="P58" s="463" t="str">
        <f>IFERROR(__xludf.DUMMYFUNCTION("GOOGLETRANSLATE(D58,""zh-tw"",""zh"")"),"-")</f>
        <v>-</v>
      </c>
      <c r="Q58" s="253" t="str">
        <f>IFERROR(__xludf.DUMMYFUNCTION("GOOGLETRANSLATE(A58,""zh-tw"",""es-MX"")"),"árboles frutales")</f>
        <v>árboles frutales</v>
      </c>
      <c r="R58" s="254" t="str">
        <f>IFERROR(__xludf.DUMMYFUNCTION("GOOGLETRANSLATE(B58,""zh-tw"",""es-MX"")"),"Corazón de hierba fragante
Palo de madera dura
Espada de madera dura
Gran mazo de madera
Hoja parasitaria
Espada larga de hoja de sauce
Restos de árbol antiguo")</f>
        <v>Corazón de hierba fragante
Palo de madera dura
Espada de madera dura
Gran mazo de madera
Hoja parasitaria
Espada larga de hoja de sauce
Restos de árbol antiguo</v>
      </c>
      <c r="S58" s="254" t="s">
        <v>8099</v>
      </c>
      <c r="T58" s="463" t="str">
        <f>IFERROR(__xludf.DUMMYFUNCTION("GOOGLETRANSLATE(D58,""zh-tw"",""es-MX"")"),"-")</f>
        <v>-</v>
      </c>
      <c r="U58" s="253" t="str">
        <f>IFERROR(__xludf.DUMMYFUNCTION("GOOGLETRANSLATE(A58,""zh-tw"",""KO"")"),"과일나무")</f>
        <v>과일나무</v>
      </c>
      <c r="V58" s="254" t="str">
        <f>IFERROR(__xludf.DUMMYFUNCTION("GOOGLETRANSLATE(B58,""zh-tw"",""KO"")"),"향기로운 풀 심장
단단한 나무 막대기
단단한 나무 검
커다란 나무 망치
기생 칼날
버드나무 잎 장검
고대 나무 잔해")</f>
        <v>향기로운 풀 심장
단단한 나무 막대기
단단한 나무 검
커다란 나무 망치
기생 칼날
버드나무 잎 장검
고대 나무 잔해</v>
      </c>
      <c r="W58" s="254" t="s">
        <v>8099</v>
      </c>
      <c r="X58" s="463" t="str">
        <f>IFERROR(__xludf.DUMMYFUNCTION("GOOGLETRANSLATE(D58,""zh-tw"",""KO"")"),"-")</f>
        <v>-</v>
      </c>
      <c r="Y58" s="253" t="s">
        <v>8103</v>
      </c>
      <c r="Z58" s="194" t="s">
        <v>8104</v>
      </c>
      <c r="AA58" s="194" t="s">
        <v>8099</v>
      </c>
      <c r="AB58" s="463" t="s">
        <v>1485</v>
      </c>
      <c r="AC58" s="192" t="s">
        <v>8105</v>
      </c>
      <c r="AD58" s="194" t="s">
        <v>8106</v>
      </c>
      <c r="AE58" s="194" t="s">
        <v>8099</v>
      </c>
      <c r="AF58" s="463" t="s">
        <v>1485</v>
      </c>
      <c r="AG58" s="253" t="s">
        <v>8107</v>
      </c>
      <c r="AH58" s="254" t="s">
        <v>8108</v>
      </c>
      <c r="AI58" s="254" t="s">
        <v>8099</v>
      </c>
      <c r="AJ58" s="463" t="s">
        <v>8109</v>
      </c>
      <c r="AK58" s="237" t="s">
        <v>8110</v>
      </c>
      <c r="AL58" s="465" t="s">
        <v>8111</v>
      </c>
      <c r="AM58" s="465" t="s">
        <v>8099</v>
      </c>
      <c r="AN58" s="466" t="s">
        <v>1485</v>
      </c>
      <c r="AO58" s="253" t="s">
        <v>8112</v>
      </c>
      <c r="AP58" s="254" t="s">
        <v>8113</v>
      </c>
      <c r="AQ58" s="254" t="s">
        <v>8099</v>
      </c>
      <c r="AR58" s="463" t="s">
        <v>1485</v>
      </c>
      <c r="AS58" s="467" t="s">
        <v>8114</v>
      </c>
      <c r="AT58" s="260" t="s">
        <v>8115</v>
      </c>
      <c r="AU58" s="260" t="s">
        <v>8099</v>
      </c>
      <c r="AV58" s="468" t="s">
        <v>1485</v>
      </c>
    </row>
    <row r="59">
      <c r="A59" s="253" t="s">
        <v>8116</v>
      </c>
      <c r="B59" s="254" t="s">
        <v>8116</v>
      </c>
      <c r="C59" s="254">
        <v>100.0</v>
      </c>
      <c r="D59" s="463" t="s">
        <v>1485</v>
      </c>
      <c r="E59" s="253" t="s">
        <v>8117</v>
      </c>
      <c r="F59" s="254" t="s">
        <v>8117</v>
      </c>
      <c r="G59" s="254">
        <v>100.0</v>
      </c>
      <c r="H59" s="463" t="str">
        <f>IFERROR(__xludf.DUMMYFUNCTION("GOOGLETRANSLATE(D59,""zh-tw"",""ja"")"),"-")</f>
        <v>-</v>
      </c>
      <c r="I59" s="253" t="s">
        <v>8118</v>
      </c>
      <c r="J59" s="254" t="s">
        <v>8118</v>
      </c>
      <c r="K59" s="254">
        <v>100.0</v>
      </c>
      <c r="L59" s="463"/>
      <c r="M59" s="253" t="str">
        <f>IFERROR(__xludf.DUMMYFUNCTION("GOOGLETRANSLATE(A59,""zh-tw"",""zh"")"),"苹果")</f>
        <v>苹果</v>
      </c>
      <c r="N59" s="254" t="str">
        <f>IFERROR(__xludf.DUMMYFUNCTION("GOOGLETRANSLATE(B59,""zh-tw"",""zh"")"),"苹果")</f>
        <v>苹果</v>
      </c>
      <c r="O59" s="254">
        <v>100.0</v>
      </c>
      <c r="P59" s="463" t="str">
        <f>IFERROR(__xludf.DUMMYFUNCTION("GOOGLETRANSLATE(D59,""zh-tw"",""zh"")"),"-")</f>
        <v>-</v>
      </c>
      <c r="Q59" s="253" t="str">
        <f>IFERROR(__xludf.DUMMYFUNCTION("GOOGLETRANSLATE(A59,""zh-tw"",""es-MX"")"),"manzana")</f>
        <v>manzana</v>
      </c>
      <c r="R59" s="254" t="str">
        <f>IFERROR(__xludf.DUMMYFUNCTION("GOOGLETRANSLATE(B59,""zh-tw"",""es-MX"")"),"manzana")</f>
        <v>manzana</v>
      </c>
      <c r="S59" s="254">
        <v>100.0</v>
      </c>
      <c r="T59" s="463" t="str">
        <f>IFERROR(__xludf.DUMMYFUNCTION("GOOGLETRANSLATE(D59,""zh-tw"",""es-MX"")"),"-")</f>
        <v>-</v>
      </c>
      <c r="U59" s="253" t="str">
        <f>IFERROR(__xludf.DUMMYFUNCTION("GOOGLETRANSLATE(A59,""zh-tw"",""KO"")"),"사과")</f>
        <v>사과</v>
      </c>
      <c r="V59" s="254" t="str">
        <f>IFERROR(__xludf.DUMMYFUNCTION("GOOGLETRANSLATE(B59,""zh-tw"",""KO"")"),"사과")</f>
        <v>사과</v>
      </c>
      <c r="W59" s="254">
        <v>100.0</v>
      </c>
      <c r="X59" s="463" t="str">
        <f>IFERROR(__xludf.DUMMYFUNCTION("GOOGLETRANSLATE(D59,""zh-tw"",""KO"")"),"-")</f>
        <v>-</v>
      </c>
      <c r="Y59" s="253" t="s">
        <v>8119</v>
      </c>
      <c r="Z59" s="194" t="s">
        <v>8119</v>
      </c>
      <c r="AA59" s="194">
        <v>100.0</v>
      </c>
      <c r="AB59" s="464" t="s">
        <v>1485</v>
      </c>
      <c r="AC59" s="192" t="s">
        <v>8120</v>
      </c>
      <c r="AD59" s="194" t="s">
        <v>8120</v>
      </c>
      <c r="AE59" s="194">
        <v>100.0</v>
      </c>
      <c r="AF59" s="463" t="s">
        <v>1485</v>
      </c>
      <c r="AG59" s="253" t="s">
        <v>8121</v>
      </c>
      <c r="AH59" s="254" t="s">
        <v>8121</v>
      </c>
      <c r="AI59" s="254">
        <v>100.0</v>
      </c>
      <c r="AJ59" s="463" t="s">
        <v>1485</v>
      </c>
      <c r="AK59" s="237" t="s">
        <v>8122</v>
      </c>
      <c r="AL59" s="465" t="s">
        <v>8122</v>
      </c>
      <c r="AM59" s="465">
        <v>100.0</v>
      </c>
      <c r="AN59" s="466" t="s">
        <v>1485</v>
      </c>
      <c r="AO59" s="253" t="s">
        <v>8123</v>
      </c>
      <c r="AP59" s="254" t="s">
        <v>8123</v>
      </c>
      <c r="AQ59" s="254">
        <v>100.0</v>
      </c>
      <c r="AR59" s="463" t="s">
        <v>1485</v>
      </c>
      <c r="AS59" s="467" t="s">
        <v>8124</v>
      </c>
      <c r="AT59" s="260" t="s">
        <v>8124</v>
      </c>
      <c r="AU59" s="260" t="s">
        <v>7381</v>
      </c>
      <c r="AV59" s="472" t="s">
        <v>1485</v>
      </c>
    </row>
    <row r="60">
      <c r="A60" s="253" t="s">
        <v>8125</v>
      </c>
      <c r="B60" s="254" t="s">
        <v>8126</v>
      </c>
      <c r="C60" s="254" t="s">
        <v>8127</v>
      </c>
      <c r="D60" s="463" t="s">
        <v>8128</v>
      </c>
      <c r="E60" s="253" t="str">
        <f>IFERROR(__xludf.DUMMYFUNCTION("GOOGLETRANSLATE(A60,""zh-tw"",""ja"")"),"イチゴの苗")</f>
        <v>イチゴの苗</v>
      </c>
      <c r="F60" s="254" t="str">
        <f>IFERROR(__xludf.DUMMYFUNCTION("GOOGLETRANSLATE(B60,""zh-tw"",""ja"")"),"いちご")</f>
        <v>いちご</v>
      </c>
      <c r="G60" s="254" t="s">
        <v>8127</v>
      </c>
      <c r="H60" s="463" t="str">
        <f>IFERROR(__xludf.DUMMYFUNCTION("GOOGLETRANSLATE(D60,""zh-tw"",""ja"")"),"2個のアイテムをドロップする確率は40%、3個のアイテムをドロップする確率は8%です。")</f>
        <v>2個のアイテムをドロップする確率は40%、3個のアイテムをドロップする確率は8%です。</v>
      </c>
      <c r="I60" s="253" t="s">
        <v>8129</v>
      </c>
      <c r="J60" s="254" t="s">
        <v>8130</v>
      </c>
      <c r="K60" s="254" t="s">
        <v>8127</v>
      </c>
      <c r="L60" s="463" t="str">
        <f>IFERROR(__xludf.DUMMYFUNCTION("GOOGLETRANSLATE(D60,""zh-tw"",""en"")"),"There is a 40% chance of dropping 2 items, and an 8% chance of dropping 3 items.")</f>
        <v>There is a 40% chance of dropping 2 items, and an 8% chance of dropping 3 items.</v>
      </c>
      <c r="M60" s="253" t="str">
        <f>IFERROR(__xludf.DUMMYFUNCTION("GOOGLETRANSLATE(A60,""zh-tw"",""zh"")"),"草莓苗")</f>
        <v>草莓苗</v>
      </c>
      <c r="N60" s="254" t="str">
        <f>IFERROR(__xludf.DUMMYFUNCTION("GOOGLETRANSLATE(B60,""zh-tw"",""zh"")"),"草莓")</f>
        <v>草莓</v>
      </c>
      <c r="O60" s="254" t="s">
        <v>8127</v>
      </c>
      <c r="P60" s="463" t="str">
        <f>IFERROR(__xludf.DUMMYFUNCTION("GOOGLETRANSLATE(D60,""zh-tw"",""zh"")"),"有40%机率掉落2个，8%机率掉落3个")</f>
        <v>有40%机率掉落2个，8%机率掉落3个</v>
      </c>
      <c r="Q60" s="253" t="str">
        <f>IFERROR(__xludf.DUMMYFUNCTION("GOOGLETRANSLATE(A60,""zh-tw"",""es-MX"")"),"plántulas de fresa")</f>
        <v>plántulas de fresa</v>
      </c>
      <c r="R60" s="254" t="str">
        <f>IFERROR(__xludf.DUMMYFUNCTION("GOOGLETRANSLATE(B60,""zh-tw"",""es-MX"")"),"fresa")</f>
        <v>fresa</v>
      </c>
      <c r="S60" s="254" t="s">
        <v>8127</v>
      </c>
      <c r="T60" s="463" t="str">
        <f>IFERROR(__xludf.DUMMYFUNCTION("GOOGLETRANSLATE(D60,""zh-tw"",""es-MX"")"),"Existe un 40% de probabilidad de obtener 2 objetos y un 8% de probabilidad de obtener 3 objetos.")</f>
        <v>Existe un 40% de probabilidad de obtener 2 objetos y un 8% de probabilidad de obtener 3 objetos.</v>
      </c>
      <c r="U60" s="253" t="s">
        <v>8131</v>
      </c>
      <c r="V60" s="254" t="str">
        <f>IFERROR(__xludf.DUMMYFUNCTION("GOOGLETRANSLATE(B60,""zh-tw"",""KO"")"),"딸기")</f>
        <v>딸기</v>
      </c>
      <c r="W60" s="254" t="s">
        <v>8127</v>
      </c>
      <c r="X60" s="463" t="str">
        <f>IFERROR(__xludf.DUMMYFUNCTION("GOOGLETRANSLATE(D60,""zh-tw"",""KO"")"),"아이템 2개가 드롭될 확률은 40%, 아이템 3개가 드롭될 확률은 8%입니다.")</f>
        <v>아이템 2개가 드롭될 확률은 40%, 아이템 3개가 드롭될 확률은 8%입니다.</v>
      </c>
      <c r="Y60" s="253" t="s">
        <v>8132</v>
      </c>
      <c r="Z60" s="194" t="s">
        <v>8133</v>
      </c>
      <c r="AA60" s="194" t="s">
        <v>8127</v>
      </c>
      <c r="AB60" s="463" t="s">
        <v>8134</v>
      </c>
      <c r="AC60" s="192" t="s">
        <v>8135</v>
      </c>
      <c r="AD60" s="194" t="s">
        <v>8136</v>
      </c>
      <c r="AE60" s="194" t="s">
        <v>8127</v>
      </c>
      <c r="AF60" s="463" t="s">
        <v>8137</v>
      </c>
      <c r="AG60" s="253" t="s">
        <v>8138</v>
      </c>
      <c r="AH60" s="254" t="s">
        <v>8139</v>
      </c>
      <c r="AI60" s="254" t="s">
        <v>8127</v>
      </c>
      <c r="AJ60" s="463" t="s">
        <v>8140</v>
      </c>
      <c r="AK60" s="237" t="s">
        <v>8141</v>
      </c>
      <c r="AL60" s="465" t="s">
        <v>8142</v>
      </c>
      <c r="AM60" s="465" t="s">
        <v>8127</v>
      </c>
      <c r="AN60" s="466" t="s">
        <v>8143</v>
      </c>
      <c r="AO60" s="253" t="s">
        <v>8144</v>
      </c>
      <c r="AP60" s="254" t="s">
        <v>8145</v>
      </c>
      <c r="AQ60" s="254" t="s">
        <v>8127</v>
      </c>
      <c r="AR60" s="463" t="s">
        <v>8146</v>
      </c>
      <c r="AS60" s="467" t="s">
        <v>8147</v>
      </c>
      <c r="AT60" s="260" t="s">
        <v>8148</v>
      </c>
      <c r="AU60" s="260" t="s">
        <v>8127</v>
      </c>
      <c r="AV60" s="468" t="s">
        <v>8149</v>
      </c>
    </row>
    <row r="61">
      <c r="A61" s="253" t="s">
        <v>8150</v>
      </c>
      <c r="B61" s="254" t="s">
        <v>8151</v>
      </c>
      <c r="C61" s="254" t="s">
        <v>8127</v>
      </c>
      <c r="D61" s="463" t="s">
        <v>8128</v>
      </c>
      <c r="E61" s="253" t="str">
        <f>IFERROR(__xludf.DUMMYFUNCTION("GOOGLETRANSLATE(A61,""zh-tw"",""ja"")"),"ジャガイモの芽")</f>
        <v>ジャガイモの芽</v>
      </c>
      <c r="F61" s="254" t="str">
        <f>IFERROR(__xludf.DUMMYFUNCTION("GOOGLETRANSLATE(B61,""zh-tw"",""ja"")"),"じゃがいも")</f>
        <v>じゃがいも</v>
      </c>
      <c r="G61" s="254" t="s">
        <v>8127</v>
      </c>
      <c r="H61" s="463" t="str">
        <f>IFERROR(__xludf.DUMMYFUNCTION("GOOGLETRANSLATE(D61,""zh-tw"",""ja"")"),"2個のアイテムをドロップする確率は40%、3個のアイテムをドロップする確率は8%です。")</f>
        <v>2個のアイテムをドロップする確率は40%、3個のアイテムをドロップする確率は8%です。</v>
      </c>
      <c r="I61" s="253" t="s">
        <v>8152</v>
      </c>
      <c r="J61" s="254" t="s">
        <v>8153</v>
      </c>
      <c r="K61" s="254" t="s">
        <v>8127</v>
      </c>
      <c r="L61" s="463" t="str">
        <f>IFERROR(__xludf.DUMMYFUNCTION("GOOGLETRANSLATE(D61,""zh-tw"",""en"")"),"There is a 40% chance of dropping 2 items, and an 8% chance of dropping 3 items.")</f>
        <v>There is a 40% chance of dropping 2 items, and an 8% chance of dropping 3 items.</v>
      </c>
      <c r="M61" s="253" t="str">
        <f>IFERROR(__xludf.DUMMYFUNCTION("GOOGLETRANSLATE(A61,""zh-tw"",""zh"")"),"土豆苗")</f>
        <v>土豆苗</v>
      </c>
      <c r="N61" s="254" t="str">
        <f>IFERROR(__xludf.DUMMYFUNCTION("GOOGLETRANSLATE(B61,""zh-tw"",""zh"")"),"土豆")</f>
        <v>土豆</v>
      </c>
      <c r="O61" s="254" t="s">
        <v>8127</v>
      </c>
      <c r="P61" s="463" t="str">
        <f>IFERROR(__xludf.DUMMYFUNCTION("GOOGLETRANSLATE(D61,""zh-tw"",""zh"")"),"有40%机率掉落2个，8%机率掉落3个")</f>
        <v>有40%机率掉落2个，8%机率掉落3个</v>
      </c>
      <c r="Q61" s="253" t="str">
        <f>IFERROR(__xludf.DUMMYFUNCTION("GOOGLETRANSLATE(A61,""zh-tw"",""es-MX"")"),"brotes de patata")</f>
        <v>brotes de patata</v>
      </c>
      <c r="R61" s="254" t="str">
        <f>IFERROR(__xludf.DUMMYFUNCTION("GOOGLETRANSLATE(B61,""zh-tw"",""es-MX"")"),"Papa")</f>
        <v>Papa</v>
      </c>
      <c r="S61" s="254" t="s">
        <v>8127</v>
      </c>
      <c r="T61" s="463" t="str">
        <f>IFERROR(__xludf.DUMMYFUNCTION("GOOGLETRANSLATE(D61,""zh-tw"",""es-MX"")"),"Existe un 40% de probabilidad de obtener 2 objetos y un 8% de probabilidad de obtener 3 objetos.")</f>
        <v>Existe un 40% de probabilidad de obtener 2 objetos y un 8% de probabilidad de obtener 3 objetos.</v>
      </c>
      <c r="U61" s="253" t="s">
        <v>8154</v>
      </c>
      <c r="V61" s="254" t="str">
        <f>IFERROR(__xludf.DUMMYFUNCTION("GOOGLETRANSLATE(B61,""zh-tw"",""KO"")"),"감자")</f>
        <v>감자</v>
      </c>
      <c r="W61" s="254" t="s">
        <v>8127</v>
      </c>
      <c r="X61" s="463" t="str">
        <f>IFERROR(__xludf.DUMMYFUNCTION("GOOGLETRANSLATE(D61,""zh-tw"",""KO"")"),"아이템 2개가 드롭될 확률은 40%, 아이템 3개가 드롭될 확률은 8%입니다.")</f>
        <v>아이템 2개가 드롭될 확률은 40%, 아이템 3개가 드롭될 확률은 8%입니다.</v>
      </c>
      <c r="Y61" s="253" t="s">
        <v>8155</v>
      </c>
      <c r="Z61" s="194" t="s">
        <v>8156</v>
      </c>
      <c r="AA61" s="194" t="s">
        <v>8127</v>
      </c>
      <c r="AB61" s="463" t="s">
        <v>8134</v>
      </c>
      <c r="AC61" s="192" t="s">
        <v>8157</v>
      </c>
      <c r="AD61" s="194" t="s">
        <v>8158</v>
      </c>
      <c r="AE61" s="194" t="s">
        <v>8127</v>
      </c>
      <c r="AF61" s="463" t="s">
        <v>8137</v>
      </c>
      <c r="AG61" s="253" t="s">
        <v>8159</v>
      </c>
      <c r="AH61" s="254" t="s">
        <v>8160</v>
      </c>
      <c r="AI61" s="254" t="s">
        <v>8127</v>
      </c>
      <c r="AJ61" s="463" t="s">
        <v>8140</v>
      </c>
      <c r="AK61" s="237" t="s">
        <v>8161</v>
      </c>
      <c r="AL61" s="465" t="s">
        <v>8162</v>
      </c>
      <c r="AM61" s="465" t="s">
        <v>8127</v>
      </c>
      <c r="AN61" s="466" t="s">
        <v>8143</v>
      </c>
      <c r="AO61" s="253" t="s">
        <v>8163</v>
      </c>
      <c r="AP61" s="254" t="s">
        <v>8164</v>
      </c>
      <c r="AQ61" s="254" t="s">
        <v>8127</v>
      </c>
      <c r="AR61" s="463" t="s">
        <v>8146</v>
      </c>
      <c r="AS61" s="467" t="s">
        <v>8165</v>
      </c>
      <c r="AT61" s="260" t="s">
        <v>8166</v>
      </c>
      <c r="AU61" s="260" t="s">
        <v>8127</v>
      </c>
      <c r="AV61" s="468" t="s">
        <v>8149</v>
      </c>
    </row>
    <row r="62">
      <c r="A62" s="253" t="s">
        <v>8167</v>
      </c>
      <c r="B62" s="254" t="s">
        <v>8168</v>
      </c>
      <c r="C62" s="254" t="s">
        <v>8127</v>
      </c>
      <c r="D62" s="463" t="s">
        <v>8128</v>
      </c>
      <c r="E62" s="253" t="str">
        <f>IFERROR(__xludf.DUMMYFUNCTION("GOOGLETRANSLATE(A62,""zh-tw"",""ja"")"),"トマトの苗")</f>
        <v>トマトの苗</v>
      </c>
      <c r="F62" s="254" t="str">
        <f>IFERROR(__xludf.DUMMYFUNCTION("GOOGLETRANSLATE(B62,""zh-tw"",""ja"")"),"トマト")</f>
        <v>トマト</v>
      </c>
      <c r="G62" s="254" t="s">
        <v>8127</v>
      </c>
      <c r="H62" s="463" t="str">
        <f>IFERROR(__xludf.DUMMYFUNCTION("GOOGLETRANSLATE(D62,""zh-tw"",""ja"")"),"2個のアイテムをドロップする確率は40%、3個のアイテムをドロップする確率は8%です。")</f>
        <v>2個のアイテムをドロップする確率は40%、3個のアイテムをドロップする確率は8%です。</v>
      </c>
      <c r="I62" s="253" t="s">
        <v>8169</v>
      </c>
      <c r="J62" s="254" t="s">
        <v>8170</v>
      </c>
      <c r="K62" s="254" t="s">
        <v>8127</v>
      </c>
      <c r="L62" s="463" t="str">
        <f>IFERROR(__xludf.DUMMYFUNCTION("GOOGLETRANSLATE(D62,""zh-tw"",""en"")"),"There is a 40% chance of dropping 2 items, and an 8% chance of dropping 3 items.")</f>
        <v>There is a 40% chance of dropping 2 items, and an 8% chance of dropping 3 items.</v>
      </c>
      <c r="M62" s="253" t="str">
        <f>IFERROR(__xludf.DUMMYFUNCTION("GOOGLETRANSLATE(A62,""zh-tw"",""zh"")"),"番茄苗")</f>
        <v>番茄苗</v>
      </c>
      <c r="N62" s="254" t="str">
        <f>IFERROR(__xludf.DUMMYFUNCTION("GOOGLETRANSLATE(B62,""zh-tw"",""zh"")"),"番茄")</f>
        <v>番茄</v>
      </c>
      <c r="O62" s="254" t="s">
        <v>8127</v>
      </c>
      <c r="P62" s="463" t="str">
        <f>IFERROR(__xludf.DUMMYFUNCTION("GOOGLETRANSLATE(D62,""zh-tw"",""zh"")"),"有40%机率掉落2个，8%机率掉落3个")</f>
        <v>有40%机率掉落2个，8%机率掉落3个</v>
      </c>
      <c r="Q62" s="253" t="str">
        <f>IFERROR(__xludf.DUMMYFUNCTION("GOOGLETRANSLATE(A62,""zh-tw"",""es-MX"")"),"Plántulas de tomate")</f>
        <v>Plántulas de tomate</v>
      </c>
      <c r="R62" s="254" t="str">
        <f>IFERROR(__xludf.DUMMYFUNCTION("GOOGLETRANSLATE(B62,""zh-tw"",""es-MX"")"),"tomate")</f>
        <v>tomate</v>
      </c>
      <c r="S62" s="254" t="s">
        <v>8127</v>
      </c>
      <c r="T62" s="463" t="str">
        <f>IFERROR(__xludf.DUMMYFUNCTION("GOOGLETRANSLATE(D62,""zh-tw"",""es-MX"")"),"Existe un 40% de probabilidad de obtener 2 objetos y un 8% de probabilidad de obtener 3 objetos.")</f>
        <v>Existe un 40% de probabilidad de obtener 2 objetos y un 8% de probabilidad de obtener 3 objetos.</v>
      </c>
      <c r="U62" s="253" t="str">
        <f>IFERROR(__xludf.DUMMYFUNCTION("GOOGLETRANSLATE(A62,""zh-tw"",""KO"")"),"토마토 모종")</f>
        <v>토마토 모종</v>
      </c>
      <c r="V62" s="254" t="str">
        <f>IFERROR(__xludf.DUMMYFUNCTION("GOOGLETRANSLATE(B62,""zh-tw"",""KO"")"),"토마토")</f>
        <v>토마토</v>
      </c>
      <c r="W62" s="254" t="s">
        <v>8127</v>
      </c>
      <c r="X62" s="463" t="str">
        <f>IFERROR(__xludf.DUMMYFUNCTION("GOOGLETRANSLATE(D62,""zh-tw"",""KO"")"),"아이템 2개가 드롭될 확률은 40%, 아이템 3개가 드롭될 확률은 8%입니다.")</f>
        <v>아이템 2개가 드롭될 확률은 40%, 아이템 3개가 드롭될 확률은 8%입니다.</v>
      </c>
      <c r="Y62" s="253" t="s">
        <v>8171</v>
      </c>
      <c r="Z62" s="194" t="s">
        <v>8172</v>
      </c>
      <c r="AA62" s="194" t="s">
        <v>8127</v>
      </c>
      <c r="AB62" s="463" t="s">
        <v>8134</v>
      </c>
      <c r="AC62" s="192" t="s">
        <v>8173</v>
      </c>
      <c r="AD62" s="194" t="s">
        <v>8174</v>
      </c>
      <c r="AE62" s="194" t="s">
        <v>8127</v>
      </c>
      <c r="AF62" s="463" t="s">
        <v>8137</v>
      </c>
      <c r="AG62" s="253" t="s">
        <v>8175</v>
      </c>
      <c r="AH62" s="254" t="s">
        <v>8176</v>
      </c>
      <c r="AI62" s="254" t="s">
        <v>8127</v>
      </c>
      <c r="AJ62" s="463" t="s">
        <v>8140</v>
      </c>
      <c r="AK62" s="237" t="s">
        <v>8177</v>
      </c>
      <c r="AL62" s="465" t="s">
        <v>8178</v>
      </c>
      <c r="AM62" s="465" t="s">
        <v>8127</v>
      </c>
      <c r="AN62" s="466" t="s">
        <v>8143</v>
      </c>
      <c r="AO62" s="253" t="s">
        <v>8179</v>
      </c>
      <c r="AP62" s="254" t="s">
        <v>8180</v>
      </c>
      <c r="AQ62" s="254" t="s">
        <v>8127</v>
      </c>
      <c r="AR62" s="463" t="s">
        <v>8146</v>
      </c>
      <c r="AS62" s="467" t="s">
        <v>8181</v>
      </c>
      <c r="AT62" s="260" t="s">
        <v>8182</v>
      </c>
      <c r="AU62" s="260" t="s">
        <v>8127</v>
      </c>
      <c r="AV62" s="468" t="s">
        <v>8149</v>
      </c>
    </row>
    <row r="63">
      <c r="A63" s="253" t="s">
        <v>8183</v>
      </c>
      <c r="B63" s="254" t="s">
        <v>8184</v>
      </c>
      <c r="C63" s="254" t="s">
        <v>8127</v>
      </c>
      <c r="D63" s="463" t="s">
        <v>8128</v>
      </c>
      <c r="E63" s="253" t="str">
        <f>IFERROR(__xludf.DUMMYFUNCTION("GOOGLETRANSLATE(A63,""zh-tw"",""ja"")"),"唐辛子の苗")</f>
        <v>唐辛子の苗</v>
      </c>
      <c r="F63" s="254" t="str">
        <f>IFERROR(__xludf.DUMMYFUNCTION("GOOGLETRANSLATE(B63,""zh-tw"",""ja"")"),"チリ")</f>
        <v>チリ</v>
      </c>
      <c r="G63" s="254" t="s">
        <v>8127</v>
      </c>
      <c r="H63" s="463" t="str">
        <f>IFERROR(__xludf.DUMMYFUNCTION("GOOGLETRANSLATE(D63,""zh-tw"",""ja"")"),"2個のアイテムをドロップする確率は40%、3個のアイテムをドロップする確率は8%です。")</f>
        <v>2個のアイテムをドロップする確率は40%、3個のアイテムをドロップする確率は8%です。</v>
      </c>
      <c r="I63" s="253" t="s">
        <v>8185</v>
      </c>
      <c r="J63" s="254" t="s">
        <v>8186</v>
      </c>
      <c r="K63" s="254" t="s">
        <v>8127</v>
      </c>
      <c r="L63" s="463" t="str">
        <f>IFERROR(__xludf.DUMMYFUNCTION("GOOGLETRANSLATE(D63,""zh-tw"",""en"")"),"There is a 40% chance of dropping 2 items, and an 8% chance of dropping 3 items.")</f>
        <v>There is a 40% chance of dropping 2 items, and an 8% chance of dropping 3 items.</v>
      </c>
      <c r="M63" s="253" t="str">
        <f>IFERROR(__xludf.DUMMYFUNCTION("GOOGLETRANSLATE(A63,""zh-tw"",""zh"")"),"辣椒苗")</f>
        <v>辣椒苗</v>
      </c>
      <c r="N63" s="254" t="str">
        <f>IFERROR(__xludf.DUMMYFUNCTION("GOOGLETRANSLATE(B63,""zh-tw"",""zh"")"),"辣椒")</f>
        <v>辣椒</v>
      </c>
      <c r="O63" s="254" t="s">
        <v>8127</v>
      </c>
      <c r="P63" s="463" t="str">
        <f>IFERROR(__xludf.DUMMYFUNCTION("GOOGLETRANSLATE(D63,""zh-tw"",""zh"")"),"有40%机率掉落2个，8%机率掉落3个")</f>
        <v>有40%机率掉落2个，8%机率掉落3个</v>
      </c>
      <c r="Q63" s="253" t="str">
        <f>IFERROR(__xludf.DUMMYFUNCTION("GOOGLETRANSLATE(A63,""zh-tw"",""es-MX"")"),"Plántulas de chile")</f>
        <v>Plántulas de chile</v>
      </c>
      <c r="R63" s="254" t="str">
        <f>IFERROR(__xludf.DUMMYFUNCTION("GOOGLETRANSLATE(B63,""zh-tw"",""es-MX"")"),"chile")</f>
        <v>chile</v>
      </c>
      <c r="S63" s="254">
        <v>35.0</v>
      </c>
      <c r="T63" s="463" t="str">
        <f>IFERROR(__xludf.DUMMYFUNCTION("GOOGLETRANSLATE(D63,""zh-tw"",""es-MX"")"),"Existe un 40% de probabilidad de obtener 2 objetos y un 8% de probabilidad de obtener 3 objetos.")</f>
        <v>Existe un 40% de probabilidad de obtener 2 objetos y un 8% de probabilidad de obtener 3 objetos.</v>
      </c>
      <c r="U63" s="253" t="str">
        <f>IFERROR(__xludf.DUMMYFUNCTION("GOOGLETRANSLATE(A63,""zh-tw"",""KO"")"),"고추 모종")</f>
        <v>고추 모종</v>
      </c>
      <c r="V63" s="254" t="str">
        <f>IFERROR(__xludf.DUMMYFUNCTION("GOOGLETRANSLATE(B63,""zh-tw"",""KO"")"),"칠리")</f>
        <v>칠리</v>
      </c>
      <c r="W63" s="254" t="s">
        <v>8127</v>
      </c>
      <c r="X63" s="463" t="str">
        <f>IFERROR(__xludf.DUMMYFUNCTION("GOOGLETRANSLATE(D63,""zh-tw"",""KO"")"),"아이템 2개가 드롭될 확률은 40%, 아이템 3개가 드롭될 확률은 8%입니다.")</f>
        <v>아이템 2개가 드롭될 확률은 40%, 아이템 3개가 드롭될 확률은 8%입니다.</v>
      </c>
      <c r="Y63" s="253" t="s">
        <v>8187</v>
      </c>
      <c r="Z63" s="194" t="s">
        <v>8188</v>
      </c>
      <c r="AA63" s="194" t="s">
        <v>8127</v>
      </c>
      <c r="AB63" s="463" t="s">
        <v>8134</v>
      </c>
      <c r="AC63" s="192" t="s">
        <v>8189</v>
      </c>
      <c r="AD63" s="194" t="s">
        <v>8190</v>
      </c>
      <c r="AE63" s="194" t="s">
        <v>8127</v>
      </c>
      <c r="AF63" s="463" t="s">
        <v>8137</v>
      </c>
      <c r="AG63" s="253" t="s">
        <v>8191</v>
      </c>
      <c r="AH63" s="254" t="s">
        <v>8192</v>
      </c>
      <c r="AI63" s="254" t="s">
        <v>8127</v>
      </c>
      <c r="AJ63" s="463" t="s">
        <v>8140</v>
      </c>
      <c r="AK63" s="237" t="s">
        <v>8193</v>
      </c>
      <c r="AL63" s="465" t="s">
        <v>8194</v>
      </c>
      <c r="AM63" s="465" t="s">
        <v>8127</v>
      </c>
      <c r="AN63" s="466" t="s">
        <v>8143</v>
      </c>
      <c r="AO63" s="253" t="s">
        <v>8195</v>
      </c>
      <c r="AP63" s="254" t="s">
        <v>8196</v>
      </c>
      <c r="AQ63" s="254" t="s">
        <v>8127</v>
      </c>
      <c r="AR63" s="463" t="s">
        <v>8146</v>
      </c>
      <c r="AS63" s="467" t="s">
        <v>8197</v>
      </c>
      <c r="AT63" s="260" t="s">
        <v>8198</v>
      </c>
      <c r="AU63" s="260" t="s">
        <v>8127</v>
      </c>
      <c r="AV63" s="468" t="s">
        <v>8149</v>
      </c>
    </row>
    <row r="64">
      <c r="A64" s="459" t="s">
        <v>8199</v>
      </c>
      <c r="E64" s="459" t="str">
        <f>IFERROR(__xludf.DUMMYFUNCTION("GOOGLETRANSLATE(A64,""zh-tw"",""ja"")"),"火山溶岩関連")</f>
        <v>火山溶岩関連</v>
      </c>
      <c r="I64" s="459" t="s">
        <v>5732</v>
      </c>
      <c r="M64" s="459" t="str">
        <f>IFERROR(__xludf.DUMMYFUNCTION("GOOGLETRANSLATE(A64,""zh-tw"",""zh"")"),"火山熔岩相关")</f>
        <v>火山熔岩相关</v>
      </c>
      <c r="Q64" s="459" t="str">
        <f>IFERROR(__xludf.DUMMYFUNCTION("GOOGLETRANSLATE(A64,""zh-tw"",""es-MX"")"),"Lava volcánica relacionada")</f>
        <v>Lava volcánica relacionada</v>
      </c>
      <c r="U64" s="459" t="str">
        <f>IFERROR(__xludf.DUMMYFUNCTION("GOOGLETRANSLATE(A64,""zh-tw"",""KO"")"),"화산 용암 관련")</f>
        <v>화산 용암 관련</v>
      </c>
      <c r="Y64" s="131" t="s">
        <v>5740</v>
      </c>
      <c r="AC64" s="458" t="s">
        <v>5743</v>
      </c>
      <c r="AG64" s="459" t="str">
        <f>IFERROR(__xludf.DUMMYFUNCTION("GOOGLETRANSLATE(A63,""zh-tw"",""DE"")"),"Chili-Setzlinge")</f>
        <v>Chili-Setzlinge</v>
      </c>
      <c r="AK64" s="462" t="s">
        <v>8200</v>
      </c>
      <c r="AO64" s="459" t="s">
        <v>5732</v>
      </c>
      <c r="AS64" s="473" t="s">
        <v>8201</v>
      </c>
    </row>
    <row r="65">
      <c r="A65" s="253" t="s">
        <v>8202</v>
      </c>
      <c r="B65" s="254" t="s">
        <v>8203</v>
      </c>
      <c r="C65" s="254" t="s">
        <v>8204</v>
      </c>
      <c r="D65" s="463" t="s">
        <v>1485</v>
      </c>
      <c r="E65" s="253" t="s">
        <v>8205</v>
      </c>
      <c r="F65" s="254" t="s">
        <v>8206</v>
      </c>
      <c r="G65" s="254">
        <v>35.0</v>
      </c>
      <c r="H65" s="463" t="str">
        <f>IFERROR(__xludf.DUMMYFUNCTION("GOOGLETRANSLATE(D65,""zh-tw"",""ja"")"),"-")</f>
        <v>-</v>
      </c>
      <c r="I65" s="253" t="s">
        <v>8207</v>
      </c>
      <c r="J65" s="254" t="s">
        <v>8208</v>
      </c>
      <c r="K65" s="254" t="s">
        <v>8204</v>
      </c>
      <c r="L65" s="463" t="str">
        <f>IFERROR(__xludf.DUMMYFUNCTION("GOOGLETRANSLATE(H65,""zh-tw"",""ja"")"),"-")</f>
        <v>-</v>
      </c>
      <c r="M65" s="253" t="str">
        <f>IFERROR(__xludf.DUMMYFUNCTION("GOOGLETRANSLATE(A65,""zh-tw"",""zh"")"),"火焰妖精")</f>
        <v>火焰妖精</v>
      </c>
      <c r="N65" s="254" t="str">
        <f>IFERROR(__xludf.DUMMYFUNCTION("GOOGLETRANSLATE(B65,""zh-tw"",""zh"")"),"熔岩杖
紫色品质物品")</f>
        <v>熔岩杖
紫色品质物品</v>
      </c>
      <c r="O65" s="254" t="s">
        <v>8204</v>
      </c>
      <c r="P65" s="463" t="str">
        <f>IFERROR(__xludf.DUMMYFUNCTION("GOOGLETRANSLATE(D65,""zh-tw"",""zh"")"),"-")</f>
        <v>-</v>
      </c>
      <c r="Q65" s="253" t="str">
        <f>IFERROR(__xludf.DUMMYFUNCTION("GOOGLETRANSLATE(A65,""zh-tw"",""es-MX"")"),"Hada de fuego")</f>
        <v>Hada de fuego</v>
      </c>
      <c r="R65" s="254" t="str">
        <f>IFERROR(__xludf.DUMMYFUNCTION("GOOGLETRANSLATE(B65,""zh-tw"",""es-MX"")"),"Bastón de lava
Artículo de calidad púrpura")</f>
        <v>Bastón de lava
Artículo de calidad púrpura</v>
      </c>
      <c r="S65" s="254">
        <v>35.0</v>
      </c>
      <c r="T65" s="463" t="str">
        <f>IFERROR(__xludf.DUMMYFUNCTION("GOOGLETRANSLATE(D65,""zh-tw"",""es-MX"")"),"-")</f>
        <v>-</v>
      </c>
      <c r="U65" s="253" t="str">
        <f>IFERROR(__xludf.DUMMYFUNCTION("GOOGLETRANSLATE(A65,""zh-tw"",""KO"")"),"불꽃 요정")</f>
        <v>불꽃 요정</v>
      </c>
      <c r="V65" s="254" t="s">
        <v>8209</v>
      </c>
      <c r="W65" s="254">
        <v>35.0</v>
      </c>
      <c r="X65" s="463" t="str">
        <f>IFERROR(__xludf.DUMMYFUNCTION("GOOGLETRANSLATE(D65,""zh-tw"",""KO"")"),"-")</f>
        <v>-</v>
      </c>
      <c r="Y65" s="253" t="s">
        <v>8210</v>
      </c>
      <c r="Z65" s="194" t="s">
        <v>8211</v>
      </c>
      <c r="AA65" s="194" t="s">
        <v>8204</v>
      </c>
      <c r="AB65" s="463" t="s">
        <v>1485</v>
      </c>
      <c r="AC65" s="192" t="s">
        <v>8212</v>
      </c>
      <c r="AD65" s="205" t="s">
        <v>8213</v>
      </c>
      <c r="AE65" s="254" t="s">
        <v>8204</v>
      </c>
      <c r="AF65" s="463" t="s">
        <v>1485</v>
      </c>
      <c r="AG65" s="253" t="s">
        <v>8214</v>
      </c>
      <c r="AH65" s="254" t="s">
        <v>8215</v>
      </c>
      <c r="AI65" s="254">
        <v>35.0</v>
      </c>
      <c r="AJ65" s="463" t="s">
        <v>8216</v>
      </c>
      <c r="AK65" s="237" t="s">
        <v>8217</v>
      </c>
      <c r="AL65" s="465" t="s">
        <v>8218</v>
      </c>
      <c r="AM65" s="465" t="s">
        <v>8204</v>
      </c>
      <c r="AN65" s="466" t="s">
        <v>1485</v>
      </c>
      <c r="AO65" s="253" t="s">
        <v>8219</v>
      </c>
      <c r="AP65" s="254" t="s">
        <v>8220</v>
      </c>
      <c r="AQ65" s="254" t="s">
        <v>8204</v>
      </c>
      <c r="AR65" s="463" t="s">
        <v>1485</v>
      </c>
      <c r="AS65" s="467" t="s">
        <v>8221</v>
      </c>
      <c r="AT65" s="260" t="s">
        <v>8222</v>
      </c>
      <c r="AU65" s="260" t="s">
        <v>8223</v>
      </c>
      <c r="AV65" s="468" t="s">
        <v>1485</v>
      </c>
    </row>
    <row r="66">
      <c r="A66" s="253" t="s">
        <v>8224</v>
      </c>
      <c r="B66" s="254" t="s">
        <v>8225</v>
      </c>
      <c r="C66" s="254" t="s">
        <v>8226</v>
      </c>
      <c r="D66" s="463" t="s">
        <v>1485</v>
      </c>
      <c r="E66" s="253" t="s">
        <v>8227</v>
      </c>
      <c r="F66" s="254" t="str">
        <f>IFERROR(__xludf.DUMMYFUNCTION("GOOGLETRANSLATE(B66,""zh-tw"",""ja"")"),"溶岩リング
紫色の高品質アイテム")</f>
        <v>溶岩リング
紫色の高品質アイテム</v>
      </c>
      <c r="G66" s="254" t="s">
        <v>8226</v>
      </c>
      <c r="H66" s="463" t="str">
        <f>IFERROR(__xludf.DUMMYFUNCTION("GOOGLETRANSLATE(D66,""zh-tw"",""ja"")"),"-")</f>
        <v>-</v>
      </c>
      <c r="I66" s="253" t="s">
        <v>8228</v>
      </c>
      <c r="J66" s="254" t="s">
        <v>8229</v>
      </c>
      <c r="K66" s="254" t="s">
        <v>8226</v>
      </c>
      <c r="L66" s="463" t="str">
        <f>IFERROR(__xludf.DUMMYFUNCTION("GOOGLETRANSLATE(H66,""zh-tw"",""ja"")"),"-")</f>
        <v>-</v>
      </c>
      <c r="M66" s="253" t="str">
        <f>IFERROR(__xludf.DUMMYFUNCTION("GOOGLETRANSLATE(A66,""zh-tw"",""zh"")"),"燃烧史莱姆")</f>
        <v>燃烧史莱姆</v>
      </c>
      <c r="N66" s="254" t="str">
        <f>IFERROR(__xludf.DUMMYFUNCTION("GOOGLETRANSLATE(B66,""zh-tw"",""zh"")"),"熔岩戒指
紫色品质物品")</f>
        <v>熔岩戒指
紫色品质物品</v>
      </c>
      <c r="O66" s="254" t="s">
        <v>8226</v>
      </c>
      <c r="P66" s="463" t="str">
        <f>IFERROR(__xludf.DUMMYFUNCTION("GOOGLETRANSLATE(D66,""zh-tw"",""zh"")"),"-")</f>
        <v>-</v>
      </c>
      <c r="Q66" s="253" t="str">
        <f>IFERROR(__xludf.DUMMYFUNCTION("GOOGLETRANSLATE(A66,""zh-tw"",""es-MX"")"),"Limo ardiente")</f>
        <v>Limo ardiente</v>
      </c>
      <c r="R66" s="254" t="str">
        <f>IFERROR(__xludf.DUMMYFUNCTION("GOOGLETRANSLATE(B66,""zh-tw"",""es-MX"")"),"Anillo de lava
Artículo de color púrpura de alta calidad")</f>
        <v>Anillo de lava
Artículo de color púrpura de alta calidad</v>
      </c>
      <c r="S66" s="254" t="s">
        <v>8226</v>
      </c>
      <c r="T66" s="463" t="str">
        <f>IFERROR(__xludf.DUMMYFUNCTION("GOOGLETRANSLATE(D66,""zh-tw"",""es-MX"")"),"-")</f>
        <v>-</v>
      </c>
      <c r="U66" s="253" t="str">
        <f>IFERROR(__xludf.DUMMYFUNCTION("GOOGLETRANSLATE(A66,""zh-tw"",""KO"")"),"불타는 슬라임")</f>
        <v>불타는 슬라임</v>
      </c>
      <c r="V66" s="254" t="s">
        <v>8230</v>
      </c>
      <c r="W66" s="254" t="s">
        <v>8226</v>
      </c>
      <c r="X66" s="463" t="str">
        <f>IFERROR(__xludf.DUMMYFUNCTION("GOOGLETRANSLATE(D66,""zh-tw"",""KO"")"),"-")</f>
        <v>-</v>
      </c>
      <c r="Y66" s="253" t="s">
        <v>8231</v>
      </c>
      <c r="Z66" s="194" t="s">
        <v>8232</v>
      </c>
      <c r="AA66" s="194" t="s">
        <v>8226</v>
      </c>
      <c r="AB66" s="463" t="s">
        <v>1485</v>
      </c>
      <c r="AC66" s="192" t="s">
        <v>8233</v>
      </c>
      <c r="AD66" s="205" t="s">
        <v>8234</v>
      </c>
      <c r="AE66" s="254" t="s">
        <v>8226</v>
      </c>
      <c r="AF66" s="463" t="s">
        <v>1485</v>
      </c>
      <c r="AG66" s="253" t="s">
        <v>8235</v>
      </c>
      <c r="AH66" s="254" t="s">
        <v>8236</v>
      </c>
      <c r="AI66" s="254" t="s">
        <v>8226</v>
      </c>
      <c r="AJ66" s="463" t="s">
        <v>8216</v>
      </c>
      <c r="AK66" s="237" t="s">
        <v>8237</v>
      </c>
      <c r="AL66" s="465" t="s">
        <v>8238</v>
      </c>
      <c r="AM66" s="465" t="s">
        <v>8226</v>
      </c>
      <c r="AN66" s="466" t="s">
        <v>1485</v>
      </c>
      <c r="AO66" s="253" t="s">
        <v>8239</v>
      </c>
      <c r="AP66" s="254" t="s">
        <v>8240</v>
      </c>
      <c r="AQ66" s="254" t="s">
        <v>8226</v>
      </c>
      <c r="AR66" s="463" t="s">
        <v>1485</v>
      </c>
      <c r="AS66" s="467" t="s">
        <v>8241</v>
      </c>
      <c r="AT66" s="260" t="s">
        <v>8242</v>
      </c>
      <c r="AU66" s="260" t="s">
        <v>8226</v>
      </c>
      <c r="AV66" s="468" t="s">
        <v>1485</v>
      </c>
    </row>
    <row r="67">
      <c r="A67" s="253" t="s">
        <v>8243</v>
      </c>
      <c r="B67" s="254" t="s">
        <v>8244</v>
      </c>
      <c r="C67" s="254" t="s">
        <v>8245</v>
      </c>
      <c r="D67" s="463" t="s">
        <v>1485</v>
      </c>
      <c r="E67" s="253" t="s">
        <v>8243</v>
      </c>
      <c r="F67" s="254" t="s">
        <v>8246</v>
      </c>
      <c r="G67" s="254" t="s">
        <v>8245</v>
      </c>
      <c r="H67" s="463" t="str">
        <f>IFERROR(__xludf.DUMMYFUNCTION("GOOGLETRANSLATE(D67,""zh-tw"",""ja"")"),"-")</f>
        <v>-</v>
      </c>
      <c r="I67" s="253" t="s">
        <v>8247</v>
      </c>
      <c r="J67" s="254" t="s">
        <v>8248</v>
      </c>
      <c r="K67" s="254" t="s">
        <v>8249</v>
      </c>
      <c r="L67" s="463" t="str">
        <f>IFERROR(__xludf.DUMMYFUNCTION("GOOGLETRANSLATE(H67,""zh-tw"",""ja"")"),"-")</f>
        <v>-</v>
      </c>
      <c r="M67" s="253" t="str">
        <f>IFERROR(__xludf.DUMMYFUNCTION("GOOGLETRANSLATE(A67,""zh-tw"",""zh"")"),"炎魔")</f>
        <v>炎魔</v>
      </c>
      <c r="N67" s="254" t="str">
        <f>IFERROR(__xludf.DUMMYFUNCTION("GOOGLETRANSLATE(B67,""zh-tw"",""zh"")"),"熔岩杖
阳炎
日轮
紫色品质物品
粉色品质物品")</f>
        <v>熔岩杖
阳炎
日轮
紫色品质物品
粉色品质物品</v>
      </c>
      <c r="O67" s="254" t="s">
        <v>8245</v>
      </c>
      <c r="P67" s="463" t="str">
        <f>IFERROR(__xludf.DUMMYFUNCTION("GOOGLETRANSLATE(D67,""zh-tw"",""zh"")"),"-")</f>
        <v>-</v>
      </c>
      <c r="Q67" s="253" t="str">
        <f>IFERROR(__xludf.DUMMYFUNCTION("GOOGLETRANSLATE(A67,""zh-tw"",""es-MX"")"),"Demonio de fuego")</f>
        <v>Demonio de fuego</v>
      </c>
      <c r="R67" s="254" t="str">
        <f>IFERROR(__xludf.DUMMYFUNCTION("GOOGLETRANSLATE(B67,""zh-tw"",""es-MX"")"),"Bastón de Lava
Fuego Solar
Rueda Solar
Objeto de Calidad Púrpura
Objeto de Calidad Rosa")</f>
        <v>Bastón de Lava
Fuego Solar
Rueda Solar
Objeto de Calidad Púrpura
Objeto de Calidad Rosa</v>
      </c>
      <c r="S67" s="254" t="s">
        <v>8250</v>
      </c>
      <c r="T67" s="463" t="str">
        <f>IFERROR(__xludf.DUMMYFUNCTION("GOOGLETRANSLATE(D67,""zh-tw"",""es-MX"")"),"-")</f>
        <v>-</v>
      </c>
      <c r="U67" s="253" t="str">
        <f>IFERROR(__xludf.DUMMYFUNCTION("GOOGLETRANSLATE(A67,""zh-tw"",""KO"")"),"불꽃 악마")</f>
        <v>불꽃 악마</v>
      </c>
      <c r="V67" s="254" t="str">
        <f>IFERROR(__xludf.DUMMYFUNCTION("GOOGLETRANSLATE(B67,""zh-tw"",""KO"")"),"용암 지팡이
선파이어
선 휠
보라색 고급 아이템
분홍색 고급 아이템")</f>
        <v>용암 지팡이
선파이어
선 휠
보라색 고급 아이템
분홍색 고급 아이템</v>
      </c>
      <c r="W67" s="254" t="s">
        <v>8250</v>
      </c>
      <c r="X67" s="463" t="str">
        <f>IFERROR(__xludf.DUMMYFUNCTION("GOOGLETRANSLATE(D67,""zh-tw"",""KO"")"),"-")</f>
        <v>-</v>
      </c>
      <c r="Y67" s="253" t="s">
        <v>8251</v>
      </c>
      <c r="Z67" s="194" t="s">
        <v>8252</v>
      </c>
      <c r="AA67" s="194" t="s">
        <v>8245</v>
      </c>
      <c r="AB67" s="463" t="s">
        <v>1485</v>
      </c>
      <c r="AC67" s="192" t="s">
        <v>8253</v>
      </c>
      <c r="AD67" s="205" t="s">
        <v>8254</v>
      </c>
      <c r="AE67" s="254" t="s">
        <v>8245</v>
      </c>
      <c r="AF67" s="463" t="s">
        <v>1485</v>
      </c>
      <c r="AG67" s="253" t="s">
        <v>8247</v>
      </c>
      <c r="AH67" s="254" t="s">
        <v>8255</v>
      </c>
      <c r="AI67" s="254" t="s">
        <v>8250</v>
      </c>
      <c r="AJ67" s="463" t="s">
        <v>8216</v>
      </c>
      <c r="AK67" s="237" t="s">
        <v>8247</v>
      </c>
      <c r="AL67" s="465" t="s">
        <v>8256</v>
      </c>
      <c r="AM67" s="465" t="s">
        <v>8245</v>
      </c>
      <c r="AN67" s="466" t="s">
        <v>1485</v>
      </c>
      <c r="AO67" s="253" t="s">
        <v>8247</v>
      </c>
      <c r="AP67" s="254" t="s">
        <v>8257</v>
      </c>
      <c r="AQ67" s="254" t="s">
        <v>8245</v>
      </c>
      <c r="AR67" s="463" t="s">
        <v>1485</v>
      </c>
      <c r="AS67" s="467" t="s">
        <v>8247</v>
      </c>
      <c r="AT67" s="260" t="s">
        <v>8258</v>
      </c>
      <c r="AU67" s="260" t="s">
        <v>8250</v>
      </c>
      <c r="AV67" s="468" t="s">
        <v>1485</v>
      </c>
    </row>
    <row r="68">
      <c r="A68" s="460" t="s">
        <v>8259</v>
      </c>
      <c r="E68" s="459"/>
      <c r="I68" s="459"/>
      <c r="M68" s="460" t="s">
        <v>8260</v>
      </c>
      <c r="Q68" s="459"/>
      <c r="U68" s="459"/>
      <c r="Y68" s="480" t="s">
        <v>8261</v>
      </c>
      <c r="AC68" s="459"/>
      <c r="AG68" s="459"/>
      <c r="AK68" s="459"/>
      <c r="AO68" s="459"/>
      <c r="AS68" s="459"/>
    </row>
    <row r="69" ht="55.5" customHeight="1">
      <c r="A69" s="204" t="s">
        <v>8262</v>
      </c>
      <c r="B69" s="205" t="s">
        <v>8263</v>
      </c>
      <c r="C69" s="205" t="s">
        <v>8264</v>
      </c>
      <c r="D69" s="469" t="s">
        <v>8265</v>
      </c>
      <c r="E69" s="192"/>
      <c r="F69" s="194"/>
      <c r="G69" s="194"/>
      <c r="H69" s="464"/>
      <c r="I69" s="204" t="s">
        <v>8266</v>
      </c>
      <c r="J69" s="205" t="s">
        <v>8267</v>
      </c>
      <c r="K69" s="205" t="s">
        <v>8264</v>
      </c>
      <c r="L69" s="469" t="s">
        <v>8268</v>
      </c>
      <c r="M69" s="204" t="s">
        <v>8269</v>
      </c>
      <c r="N69" s="205" t="s">
        <v>8270</v>
      </c>
      <c r="O69" s="205" t="s">
        <v>8264</v>
      </c>
      <c r="P69" s="469" t="s">
        <v>8271</v>
      </c>
      <c r="Q69" s="253"/>
      <c r="R69" s="254"/>
      <c r="S69" s="254"/>
      <c r="T69" s="463"/>
      <c r="U69" s="253"/>
      <c r="V69" s="194"/>
      <c r="W69" s="194"/>
      <c r="X69" s="464"/>
      <c r="Y69" s="481" t="s">
        <v>8272</v>
      </c>
      <c r="Z69" s="260" t="s">
        <v>8273</v>
      </c>
      <c r="AA69" s="205" t="s">
        <v>8264</v>
      </c>
      <c r="AB69" s="472" t="s">
        <v>8274</v>
      </c>
      <c r="AC69" s="481" t="s">
        <v>8275</v>
      </c>
      <c r="AD69" s="260" t="s">
        <v>8276</v>
      </c>
      <c r="AE69" s="205" t="s">
        <v>8264</v>
      </c>
      <c r="AF69" s="472" t="s">
        <v>8277</v>
      </c>
      <c r="AG69" s="204" t="s">
        <v>8278</v>
      </c>
      <c r="AH69" s="205" t="s">
        <v>8279</v>
      </c>
      <c r="AI69" s="205" t="s">
        <v>8264</v>
      </c>
      <c r="AJ69" s="469" t="s">
        <v>8280</v>
      </c>
      <c r="AK69" s="171" t="s">
        <v>8281</v>
      </c>
      <c r="AL69" s="68" t="s">
        <v>8282</v>
      </c>
      <c r="AM69" s="205" t="s">
        <v>8264</v>
      </c>
      <c r="AN69" s="470" t="s">
        <v>8283</v>
      </c>
      <c r="AO69" s="204" t="s">
        <v>8284</v>
      </c>
      <c r="AP69" s="205" t="s">
        <v>8285</v>
      </c>
      <c r="AQ69" s="205" t="s">
        <v>8264</v>
      </c>
      <c r="AR69" s="469" t="s">
        <v>8286</v>
      </c>
      <c r="AS69" s="467"/>
      <c r="AT69" s="260"/>
      <c r="AU69" s="260"/>
      <c r="AV69" s="472"/>
    </row>
    <row r="70" ht="179.25" customHeight="1">
      <c r="A70" s="204" t="s">
        <v>8287</v>
      </c>
      <c r="B70" s="205" t="s">
        <v>8288</v>
      </c>
      <c r="C70" s="205" t="s">
        <v>8289</v>
      </c>
      <c r="D70" s="469" t="s">
        <v>8290</v>
      </c>
      <c r="E70" s="192"/>
      <c r="F70" s="194"/>
      <c r="G70" s="194"/>
      <c r="H70" s="464"/>
      <c r="I70" s="204" t="s">
        <v>8291</v>
      </c>
      <c r="J70" s="205" t="s">
        <v>8292</v>
      </c>
      <c r="K70" s="205" t="s">
        <v>8293</v>
      </c>
      <c r="L70" s="469" t="s">
        <v>8294</v>
      </c>
      <c r="M70" s="204" t="s">
        <v>8295</v>
      </c>
      <c r="N70" s="205" t="s">
        <v>8296</v>
      </c>
      <c r="O70" s="205" t="s">
        <v>8289</v>
      </c>
      <c r="P70" s="469" t="s">
        <v>8297</v>
      </c>
      <c r="Q70" s="253"/>
      <c r="R70" s="254"/>
      <c r="S70" s="254"/>
      <c r="T70" s="463"/>
      <c r="U70" s="253"/>
      <c r="V70" s="194"/>
      <c r="W70" s="194"/>
      <c r="X70" s="464"/>
      <c r="Y70" s="481" t="s">
        <v>8298</v>
      </c>
      <c r="Z70" s="260" t="s">
        <v>8299</v>
      </c>
      <c r="AA70" s="205" t="s">
        <v>8293</v>
      </c>
      <c r="AB70" s="472" t="s">
        <v>8300</v>
      </c>
      <c r="AC70" s="481" t="s">
        <v>8301</v>
      </c>
      <c r="AD70" s="260" t="s">
        <v>8302</v>
      </c>
      <c r="AE70" s="205" t="s">
        <v>8293</v>
      </c>
      <c r="AF70" s="472" t="s">
        <v>8303</v>
      </c>
      <c r="AG70" s="204" t="s">
        <v>8304</v>
      </c>
      <c r="AH70" s="205" t="s">
        <v>8305</v>
      </c>
      <c r="AI70" s="205" t="s">
        <v>8293</v>
      </c>
      <c r="AJ70" s="469" t="s">
        <v>8306</v>
      </c>
      <c r="AK70" s="171" t="s">
        <v>8307</v>
      </c>
      <c r="AL70" s="68" t="s">
        <v>8308</v>
      </c>
      <c r="AM70" s="205" t="s">
        <v>8293</v>
      </c>
      <c r="AN70" s="470" t="s">
        <v>8309</v>
      </c>
      <c r="AO70" s="204" t="s">
        <v>8310</v>
      </c>
      <c r="AP70" s="205" t="s">
        <v>8311</v>
      </c>
      <c r="AQ70" s="205" t="s">
        <v>8289</v>
      </c>
      <c r="AR70" s="469" t="s">
        <v>8312</v>
      </c>
      <c r="AS70" s="467"/>
      <c r="AT70" s="260"/>
      <c r="AU70" s="260"/>
      <c r="AV70" s="472"/>
    </row>
    <row r="71" ht="334.5" customHeight="1">
      <c r="A71" s="204" t="s">
        <v>8313</v>
      </c>
      <c r="B71" s="205" t="s">
        <v>8314</v>
      </c>
      <c r="C71" s="205" t="s">
        <v>8315</v>
      </c>
      <c r="D71" s="469" t="s">
        <v>8316</v>
      </c>
      <c r="E71" s="192"/>
      <c r="F71" s="194"/>
      <c r="G71" s="194"/>
      <c r="H71" s="464"/>
      <c r="I71" s="204" t="s">
        <v>8317</v>
      </c>
      <c r="J71" s="205" t="s">
        <v>8318</v>
      </c>
      <c r="K71" s="205" t="s">
        <v>8319</v>
      </c>
      <c r="L71" s="469" t="s">
        <v>8320</v>
      </c>
      <c r="M71" s="204" t="s">
        <v>8321</v>
      </c>
      <c r="N71" s="205" t="s">
        <v>8322</v>
      </c>
      <c r="O71" s="205" t="s">
        <v>8315</v>
      </c>
      <c r="P71" s="469" t="s">
        <v>8323</v>
      </c>
      <c r="Q71" s="253"/>
      <c r="R71" s="254"/>
      <c r="S71" s="254"/>
      <c r="T71" s="463"/>
      <c r="U71" s="253"/>
      <c r="V71" s="194"/>
      <c r="W71" s="194"/>
      <c r="X71" s="464"/>
      <c r="Y71" s="481" t="s">
        <v>8324</v>
      </c>
      <c r="Z71" s="260" t="s">
        <v>8325</v>
      </c>
      <c r="AA71" s="205" t="s">
        <v>8319</v>
      </c>
      <c r="AB71" s="472" t="s">
        <v>8326</v>
      </c>
      <c r="AC71" s="481" t="s">
        <v>8324</v>
      </c>
      <c r="AD71" s="260" t="s">
        <v>8327</v>
      </c>
      <c r="AE71" s="205" t="s">
        <v>8319</v>
      </c>
      <c r="AF71" s="472" t="s">
        <v>8328</v>
      </c>
      <c r="AG71" s="204" t="s">
        <v>8329</v>
      </c>
      <c r="AH71" s="205" t="s">
        <v>8330</v>
      </c>
      <c r="AI71" s="205" t="s">
        <v>8319</v>
      </c>
      <c r="AJ71" s="469" t="s">
        <v>8331</v>
      </c>
      <c r="AK71" s="171" t="s">
        <v>8332</v>
      </c>
      <c r="AL71" s="68" t="s">
        <v>8333</v>
      </c>
      <c r="AM71" s="205" t="s">
        <v>8315</v>
      </c>
      <c r="AN71" s="470" t="s">
        <v>8334</v>
      </c>
      <c r="AO71" s="204" t="s">
        <v>8335</v>
      </c>
      <c r="AP71" s="205" t="s">
        <v>8336</v>
      </c>
      <c r="AQ71" s="205" t="s">
        <v>8315</v>
      </c>
      <c r="AR71" s="469" t="s">
        <v>8337</v>
      </c>
      <c r="AS71" s="467"/>
      <c r="AT71" s="260"/>
      <c r="AU71" s="260"/>
      <c r="AV71" s="472"/>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213"/>
      <c r="AD72" s="213"/>
      <c r="AE72" s="213"/>
      <c r="AF72" s="234"/>
      <c r="AG72" s="9"/>
      <c r="AH72" s="9"/>
      <c r="AI72" s="9"/>
      <c r="AJ72" s="9"/>
      <c r="AK72" s="245"/>
      <c r="AL72" s="245"/>
      <c r="AM72" s="245"/>
      <c r="AN72" s="245"/>
      <c r="AO72" s="9"/>
      <c r="AP72" s="9"/>
      <c r="AQ72" s="9"/>
      <c r="AR72" s="9"/>
      <c r="AS72" s="9"/>
      <c r="AT72" s="9"/>
      <c r="AU72" s="9"/>
      <c r="AV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213"/>
      <c r="AD73" s="213"/>
      <c r="AE73" s="213"/>
      <c r="AF73" s="234"/>
      <c r="AG73" s="9"/>
      <c r="AH73" s="9"/>
      <c r="AI73" s="9"/>
      <c r="AJ73" s="9"/>
      <c r="AK73" s="245"/>
      <c r="AL73" s="245"/>
      <c r="AM73" s="245"/>
      <c r="AN73" s="245"/>
      <c r="AO73" s="9"/>
      <c r="AP73" s="9"/>
      <c r="AQ73" s="9"/>
      <c r="AR73" s="9"/>
      <c r="AS73" s="9"/>
      <c r="AT73" s="9"/>
      <c r="AU73" s="9"/>
      <c r="AV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213"/>
      <c r="AD74" s="213"/>
      <c r="AE74" s="213"/>
      <c r="AF74" s="234"/>
      <c r="AG74" s="9"/>
      <c r="AH74" s="9"/>
      <c r="AI74" s="9"/>
      <c r="AJ74" s="9"/>
      <c r="AK74" s="245"/>
      <c r="AL74" s="245"/>
      <c r="AM74" s="245"/>
      <c r="AN74" s="245"/>
      <c r="AO74" s="9"/>
      <c r="AP74" s="9"/>
      <c r="AQ74" s="9"/>
      <c r="AR74" s="9"/>
      <c r="AS74" s="9"/>
      <c r="AT74" s="9"/>
      <c r="AU74" s="9"/>
      <c r="AV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213"/>
      <c r="AD75" s="213"/>
      <c r="AE75" s="213"/>
      <c r="AF75" s="234"/>
      <c r="AG75" s="9"/>
      <c r="AH75" s="9"/>
      <c r="AI75" s="9"/>
      <c r="AJ75" s="9"/>
      <c r="AK75" s="245"/>
      <c r="AL75" s="245"/>
      <c r="AM75" s="245"/>
      <c r="AN75" s="245"/>
      <c r="AO75" s="9"/>
      <c r="AP75" s="9"/>
      <c r="AQ75" s="9"/>
      <c r="AR75" s="9"/>
      <c r="AS75" s="9"/>
      <c r="AT75" s="9"/>
      <c r="AU75" s="9"/>
      <c r="AV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213"/>
      <c r="AD76" s="213"/>
      <c r="AE76" s="213"/>
      <c r="AF76" s="234"/>
      <c r="AG76" s="9"/>
      <c r="AH76" s="9"/>
      <c r="AI76" s="9"/>
      <c r="AJ76" s="9"/>
      <c r="AK76" s="245"/>
      <c r="AL76" s="245"/>
      <c r="AM76" s="245"/>
      <c r="AN76" s="245"/>
      <c r="AO76" s="9"/>
      <c r="AP76" s="9"/>
      <c r="AQ76" s="9"/>
      <c r="AR76" s="9"/>
      <c r="AS76" s="9"/>
      <c r="AT76" s="9"/>
      <c r="AU76" s="9"/>
      <c r="AV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213"/>
      <c r="AD77" s="213"/>
      <c r="AE77" s="213"/>
      <c r="AF77" s="234"/>
      <c r="AG77" s="9"/>
      <c r="AH77" s="9"/>
      <c r="AI77" s="9"/>
      <c r="AJ77" s="9"/>
      <c r="AK77" s="245"/>
      <c r="AL77" s="245"/>
      <c r="AM77" s="245"/>
      <c r="AN77" s="245"/>
      <c r="AO77" s="9"/>
      <c r="AP77" s="9"/>
      <c r="AQ77" s="9"/>
      <c r="AR77" s="9"/>
      <c r="AS77" s="9"/>
      <c r="AT77" s="9"/>
      <c r="AU77" s="9"/>
      <c r="AV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213"/>
      <c r="AD78" s="213"/>
      <c r="AE78" s="213"/>
      <c r="AF78" s="234"/>
      <c r="AG78" s="9"/>
      <c r="AH78" s="9"/>
      <c r="AI78" s="9"/>
      <c r="AJ78" s="9"/>
      <c r="AK78" s="245"/>
      <c r="AL78" s="245"/>
      <c r="AM78" s="245"/>
      <c r="AN78" s="245"/>
      <c r="AO78" s="9"/>
      <c r="AP78" s="9"/>
      <c r="AQ78" s="9"/>
      <c r="AR78" s="9"/>
      <c r="AS78" s="9"/>
      <c r="AT78" s="9"/>
      <c r="AU78" s="9"/>
      <c r="AV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213"/>
      <c r="AD79" s="213"/>
      <c r="AE79" s="213"/>
      <c r="AF79" s="234"/>
      <c r="AG79" s="9"/>
      <c r="AH79" s="9"/>
      <c r="AI79" s="9"/>
      <c r="AJ79" s="9"/>
      <c r="AK79" s="245"/>
      <c r="AL79" s="245"/>
      <c r="AM79" s="245"/>
      <c r="AN79" s="245"/>
      <c r="AO79" s="9"/>
      <c r="AP79" s="9"/>
      <c r="AQ79" s="9"/>
      <c r="AR79" s="9"/>
      <c r="AS79" s="9"/>
      <c r="AT79" s="9"/>
      <c r="AU79" s="9"/>
      <c r="AV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213"/>
      <c r="AD80" s="213"/>
      <c r="AE80" s="213"/>
      <c r="AF80" s="234"/>
      <c r="AG80" s="9"/>
      <c r="AH80" s="9"/>
      <c r="AI80" s="9"/>
      <c r="AJ80" s="9"/>
      <c r="AK80" s="245"/>
      <c r="AL80" s="245"/>
      <c r="AM80" s="245"/>
      <c r="AN80" s="245"/>
      <c r="AO80" s="9"/>
      <c r="AP80" s="9"/>
      <c r="AQ80" s="9"/>
      <c r="AR80" s="9"/>
      <c r="AS80" s="9"/>
      <c r="AT80" s="9"/>
      <c r="AU80" s="9"/>
      <c r="AV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213"/>
      <c r="AD81" s="213"/>
      <c r="AE81" s="213"/>
      <c r="AF81" s="234"/>
      <c r="AG81" s="9"/>
      <c r="AH81" s="9"/>
      <c r="AI81" s="9"/>
      <c r="AJ81" s="9"/>
      <c r="AK81" s="245"/>
      <c r="AL81" s="245"/>
      <c r="AM81" s="245"/>
      <c r="AN81" s="245"/>
      <c r="AO81" s="9"/>
      <c r="AP81" s="9"/>
      <c r="AQ81" s="9"/>
      <c r="AR81" s="9"/>
      <c r="AS81" s="9"/>
      <c r="AT81" s="9"/>
      <c r="AU81" s="9"/>
      <c r="AV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213"/>
      <c r="AD82" s="213"/>
      <c r="AE82" s="213"/>
      <c r="AF82" s="234"/>
      <c r="AG82" s="9"/>
      <c r="AH82" s="9"/>
      <c r="AI82" s="9"/>
      <c r="AJ82" s="9"/>
      <c r="AK82" s="245"/>
      <c r="AL82" s="245"/>
      <c r="AM82" s="245"/>
      <c r="AN82" s="245"/>
      <c r="AO82" s="9"/>
      <c r="AP82" s="9"/>
      <c r="AQ82" s="9"/>
      <c r="AR82" s="9"/>
      <c r="AS82" s="9"/>
      <c r="AT82" s="9"/>
      <c r="AU82" s="9"/>
      <c r="AV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213"/>
      <c r="AD83" s="213"/>
      <c r="AE83" s="213"/>
      <c r="AF83" s="234"/>
      <c r="AG83" s="9"/>
      <c r="AH83" s="9"/>
      <c r="AI83" s="9"/>
      <c r="AJ83" s="9"/>
      <c r="AK83" s="245"/>
      <c r="AL83" s="245"/>
      <c r="AM83" s="245"/>
      <c r="AN83" s="245"/>
      <c r="AO83" s="9"/>
      <c r="AP83" s="9"/>
      <c r="AQ83" s="9"/>
      <c r="AR83" s="9"/>
      <c r="AS83" s="9"/>
      <c r="AT83" s="9"/>
      <c r="AU83" s="9"/>
      <c r="AV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213"/>
      <c r="AD84" s="213"/>
      <c r="AE84" s="213"/>
      <c r="AF84" s="234"/>
      <c r="AG84" s="9"/>
      <c r="AH84" s="9"/>
      <c r="AI84" s="9"/>
      <c r="AJ84" s="9"/>
      <c r="AK84" s="245"/>
      <c r="AL84" s="245"/>
      <c r="AM84" s="245"/>
      <c r="AN84" s="245"/>
      <c r="AO84" s="9"/>
      <c r="AP84" s="9"/>
      <c r="AQ84" s="9"/>
      <c r="AR84" s="9"/>
      <c r="AS84" s="9"/>
      <c r="AT84" s="9"/>
      <c r="AU84" s="9"/>
      <c r="AV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213"/>
      <c r="AD85" s="213"/>
      <c r="AE85" s="213"/>
      <c r="AF85" s="234"/>
      <c r="AG85" s="9"/>
      <c r="AH85" s="9"/>
      <c r="AI85" s="9"/>
      <c r="AJ85" s="9"/>
      <c r="AK85" s="245"/>
      <c r="AL85" s="245"/>
      <c r="AM85" s="245"/>
      <c r="AN85" s="245"/>
      <c r="AO85" s="9"/>
      <c r="AP85" s="9"/>
      <c r="AQ85" s="9"/>
      <c r="AR85" s="9"/>
      <c r="AS85" s="9"/>
      <c r="AT85" s="9"/>
      <c r="AU85" s="9"/>
      <c r="AV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213"/>
      <c r="AD86" s="213"/>
      <c r="AE86" s="213"/>
      <c r="AF86" s="234"/>
      <c r="AG86" s="9"/>
      <c r="AH86" s="9"/>
      <c r="AI86" s="9"/>
      <c r="AJ86" s="9"/>
      <c r="AK86" s="245"/>
      <c r="AL86" s="245"/>
      <c r="AM86" s="245"/>
      <c r="AN86" s="245"/>
      <c r="AO86" s="9"/>
      <c r="AP86" s="9"/>
      <c r="AQ86" s="9"/>
      <c r="AR86" s="9"/>
      <c r="AS86" s="9"/>
      <c r="AT86" s="9"/>
      <c r="AU86" s="9"/>
      <c r="AV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213"/>
      <c r="AD87" s="213"/>
      <c r="AE87" s="213"/>
      <c r="AF87" s="234"/>
      <c r="AG87" s="9"/>
      <c r="AH87" s="9"/>
      <c r="AI87" s="9"/>
      <c r="AJ87" s="9"/>
      <c r="AK87" s="245"/>
      <c r="AL87" s="245"/>
      <c r="AM87" s="245"/>
      <c r="AN87" s="245"/>
      <c r="AO87" s="9"/>
      <c r="AP87" s="9"/>
      <c r="AQ87" s="9"/>
      <c r="AR87" s="9"/>
      <c r="AS87" s="9"/>
      <c r="AT87" s="9"/>
      <c r="AU87" s="9"/>
      <c r="AV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213"/>
      <c r="AD88" s="213"/>
      <c r="AE88" s="213"/>
      <c r="AF88" s="234"/>
      <c r="AG88" s="9"/>
      <c r="AH88" s="9"/>
      <c r="AI88" s="9"/>
      <c r="AJ88" s="9"/>
      <c r="AK88" s="245"/>
      <c r="AL88" s="245"/>
      <c r="AM88" s="245"/>
      <c r="AN88" s="245"/>
      <c r="AO88" s="9"/>
      <c r="AP88" s="9"/>
      <c r="AQ88" s="9"/>
      <c r="AR88" s="9"/>
      <c r="AS88" s="9"/>
      <c r="AT88" s="9"/>
      <c r="AU88" s="9"/>
      <c r="AV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213"/>
      <c r="AD89" s="213"/>
      <c r="AE89" s="213"/>
      <c r="AF89" s="234"/>
      <c r="AG89" s="9"/>
      <c r="AH89" s="9"/>
      <c r="AI89" s="9"/>
      <c r="AJ89" s="9"/>
      <c r="AK89" s="245"/>
      <c r="AL89" s="245"/>
      <c r="AM89" s="245"/>
      <c r="AN89" s="245"/>
      <c r="AO89" s="9"/>
      <c r="AP89" s="9"/>
      <c r="AQ89" s="9"/>
      <c r="AR89" s="9"/>
      <c r="AS89" s="9"/>
      <c r="AT89" s="9"/>
      <c r="AU89" s="9"/>
      <c r="AV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213"/>
      <c r="AD90" s="213"/>
      <c r="AE90" s="213"/>
      <c r="AF90" s="234"/>
      <c r="AG90" s="9"/>
      <c r="AH90" s="9"/>
      <c r="AI90" s="9"/>
      <c r="AJ90" s="9"/>
      <c r="AK90" s="245"/>
      <c r="AL90" s="245"/>
      <c r="AM90" s="245"/>
      <c r="AN90" s="245"/>
      <c r="AO90" s="9"/>
      <c r="AP90" s="9"/>
      <c r="AQ90" s="9"/>
      <c r="AR90" s="9"/>
      <c r="AS90" s="9"/>
      <c r="AT90" s="9"/>
      <c r="AU90" s="9"/>
      <c r="AV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213"/>
      <c r="AD91" s="213"/>
      <c r="AE91" s="213"/>
      <c r="AF91" s="234"/>
      <c r="AG91" s="9"/>
      <c r="AH91" s="9"/>
      <c r="AI91" s="9"/>
      <c r="AJ91" s="9"/>
      <c r="AK91" s="245"/>
      <c r="AL91" s="245"/>
      <c r="AM91" s="245"/>
      <c r="AN91" s="245"/>
      <c r="AO91" s="9"/>
      <c r="AP91" s="9"/>
      <c r="AQ91" s="9"/>
      <c r="AR91" s="9"/>
      <c r="AS91" s="9"/>
      <c r="AT91" s="9"/>
      <c r="AU91" s="9"/>
      <c r="AV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213"/>
      <c r="AD92" s="213"/>
      <c r="AE92" s="213"/>
      <c r="AF92" s="234"/>
      <c r="AG92" s="9"/>
      <c r="AH92" s="9"/>
      <c r="AI92" s="9"/>
      <c r="AJ92" s="9"/>
      <c r="AK92" s="245"/>
      <c r="AL92" s="245"/>
      <c r="AM92" s="245"/>
      <c r="AN92" s="245"/>
      <c r="AO92" s="9"/>
      <c r="AP92" s="9"/>
      <c r="AQ92" s="9"/>
      <c r="AR92" s="9"/>
      <c r="AS92" s="9"/>
      <c r="AT92" s="9"/>
      <c r="AU92" s="9"/>
      <c r="AV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213"/>
      <c r="AD93" s="213"/>
      <c r="AE93" s="213"/>
      <c r="AF93" s="234"/>
      <c r="AG93" s="9"/>
      <c r="AH93" s="9"/>
      <c r="AI93" s="9"/>
      <c r="AJ93" s="9"/>
      <c r="AK93" s="245"/>
      <c r="AL93" s="245"/>
      <c r="AM93" s="245"/>
      <c r="AN93" s="245"/>
      <c r="AO93" s="9"/>
      <c r="AP93" s="9"/>
      <c r="AQ93" s="9"/>
      <c r="AR93" s="9"/>
      <c r="AS93" s="9"/>
      <c r="AT93" s="9"/>
      <c r="AU93" s="9"/>
      <c r="AV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213"/>
      <c r="AD94" s="213"/>
      <c r="AE94" s="213"/>
      <c r="AF94" s="234"/>
      <c r="AG94" s="9"/>
      <c r="AH94" s="9"/>
      <c r="AI94" s="9"/>
      <c r="AJ94" s="9"/>
      <c r="AK94" s="245"/>
      <c r="AL94" s="245"/>
      <c r="AM94" s="245"/>
      <c r="AN94" s="245"/>
      <c r="AO94" s="9"/>
      <c r="AP94" s="9"/>
      <c r="AQ94" s="9"/>
      <c r="AR94" s="9"/>
      <c r="AS94" s="9"/>
      <c r="AT94" s="9"/>
      <c r="AU94" s="9"/>
      <c r="AV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213"/>
      <c r="AD95" s="213"/>
      <c r="AE95" s="213"/>
      <c r="AF95" s="234"/>
      <c r="AG95" s="9"/>
      <c r="AH95" s="9"/>
      <c r="AI95" s="9"/>
      <c r="AJ95" s="9"/>
      <c r="AK95" s="245"/>
      <c r="AL95" s="245"/>
      <c r="AM95" s="245"/>
      <c r="AN95" s="245"/>
      <c r="AO95" s="9"/>
      <c r="AP95" s="9"/>
      <c r="AQ95" s="9"/>
      <c r="AR95" s="9"/>
      <c r="AS95" s="9"/>
      <c r="AT95" s="9"/>
      <c r="AU95" s="9"/>
      <c r="AV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213"/>
      <c r="AD96" s="213"/>
      <c r="AE96" s="213"/>
      <c r="AF96" s="234"/>
      <c r="AG96" s="9"/>
      <c r="AH96" s="9"/>
      <c r="AI96" s="9"/>
      <c r="AJ96" s="9"/>
      <c r="AK96" s="245"/>
      <c r="AL96" s="245"/>
      <c r="AM96" s="245"/>
      <c r="AN96" s="245"/>
      <c r="AO96" s="9"/>
      <c r="AP96" s="9"/>
      <c r="AQ96" s="9"/>
      <c r="AR96" s="9"/>
      <c r="AS96" s="9"/>
      <c r="AT96" s="9"/>
      <c r="AU96" s="9"/>
      <c r="AV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213"/>
      <c r="AD97" s="213"/>
      <c r="AE97" s="213"/>
      <c r="AF97" s="234"/>
      <c r="AG97" s="9"/>
      <c r="AH97" s="9"/>
      <c r="AI97" s="9"/>
      <c r="AJ97" s="9"/>
      <c r="AK97" s="245"/>
      <c r="AL97" s="245"/>
      <c r="AM97" s="245"/>
      <c r="AN97" s="245"/>
      <c r="AO97" s="9"/>
      <c r="AP97" s="9"/>
      <c r="AQ97" s="9"/>
      <c r="AR97" s="9"/>
      <c r="AS97" s="9"/>
      <c r="AT97" s="9"/>
      <c r="AU97" s="9"/>
      <c r="AV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213"/>
      <c r="AD98" s="213"/>
      <c r="AE98" s="213"/>
      <c r="AF98" s="234"/>
      <c r="AG98" s="9"/>
      <c r="AH98" s="9"/>
      <c r="AI98" s="9"/>
      <c r="AJ98" s="9"/>
      <c r="AK98" s="245"/>
      <c r="AL98" s="245"/>
      <c r="AM98" s="245"/>
      <c r="AN98" s="245"/>
      <c r="AO98" s="9"/>
      <c r="AP98" s="9"/>
      <c r="AQ98" s="9"/>
      <c r="AR98" s="9"/>
      <c r="AS98" s="9"/>
      <c r="AT98" s="9"/>
      <c r="AU98" s="9"/>
      <c r="AV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213"/>
      <c r="AD99" s="213"/>
      <c r="AE99" s="213"/>
      <c r="AF99" s="234"/>
      <c r="AG99" s="9"/>
      <c r="AH99" s="9"/>
      <c r="AI99" s="9"/>
      <c r="AJ99" s="9"/>
      <c r="AK99" s="245"/>
      <c r="AL99" s="245"/>
      <c r="AM99" s="245"/>
      <c r="AN99" s="245"/>
      <c r="AO99" s="9"/>
      <c r="AP99" s="9"/>
      <c r="AQ99" s="9"/>
      <c r="AR99" s="9"/>
      <c r="AS99" s="9"/>
      <c r="AT99" s="9"/>
      <c r="AU99" s="9"/>
      <c r="AV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213"/>
      <c r="AD100" s="213"/>
      <c r="AE100" s="213"/>
      <c r="AF100" s="234"/>
      <c r="AG100" s="9"/>
      <c r="AH100" s="9"/>
      <c r="AI100" s="9"/>
      <c r="AJ100" s="9"/>
      <c r="AK100" s="245"/>
      <c r="AL100" s="245"/>
      <c r="AM100" s="245"/>
      <c r="AN100" s="245"/>
      <c r="AO100" s="9"/>
      <c r="AP100" s="9"/>
      <c r="AQ100" s="9"/>
      <c r="AR100" s="9"/>
      <c r="AS100" s="9"/>
      <c r="AT100" s="9"/>
      <c r="AU100" s="9"/>
      <c r="AV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213"/>
      <c r="AD101" s="213"/>
      <c r="AE101" s="213"/>
      <c r="AF101" s="234"/>
      <c r="AG101" s="9"/>
      <c r="AH101" s="9"/>
      <c r="AI101" s="9"/>
      <c r="AJ101" s="9"/>
      <c r="AK101" s="245"/>
      <c r="AL101" s="245"/>
      <c r="AM101" s="245"/>
      <c r="AN101" s="245"/>
      <c r="AO101" s="9"/>
      <c r="AP101" s="9"/>
      <c r="AQ101" s="9"/>
      <c r="AR101" s="9"/>
      <c r="AS101" s="9"/>
      <c r="AT101" s="9"/>
      <c r="AU101" s="9"/>
      <c r="AV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213"/>
      <c r="AD102" s="213"/>
      <c r="AE102" s="213"/>
      <c r="AF102" s="234"/>
      <c r="AG102" s="9"/>
      <c r="AH102" s="9"/>
      <c r="AI102" s="9"/>
      <c r="AJ102" s="9"/>
      <c r="AK102" s="245"/>
      <c r="AL102" s="245"/>
      <c r="AM102" s="245"/>
      <c r="AN102" s="245"/>
      <c r="AO102" s="9"/>
      <c r="AP102" s="9"/>
      <c r="AQ102" s="9"/>
      <c r="AR102" s="9"/>
      <c r="AS102" s="9"/>
      <c r="AT102" s="9"/>
      <c r="AU102" s="9"/>
      <c r="AV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213"/>
      <c r="AD103" s="213"/>
      <c r="AE103" s="213"/>
      <c r="AF103" s="234"/>
      <c r="AG103" s="9"/>
      <c r="AH103" s="9"/>
      <c r="AI103" s="9"/>
      <c r="AJ103" s="9"/>
      <c r="AK103" s="245"/>
      <c r="AL103" s="245"/>
      <c r="AM103" s="245"/>
      <c r="AN103" s="245"/>
      <c r="AO103" s="9"/>
      <c r="AP103" s="9"/>
      <c r="AQ103" s="9"/>
      <c r="AR103" s="9"/>
      <c r="AS103" s="9"/>
      <c r="AT103" s="9"/>
      <c r="AU103" s="9"/>
      <c r="AV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213"/>
      <c r="AD104" s="213"/>
      <c r="AE104" s="213"/>
      <c r="AF104" s="234"/>
      <c r="AG104" s="9"/>
      <c r="AH104" s="9"/>
      <c r="AI104" s="9"/>
      <c r="AJ104" s="9"/>
      <c r="AK104" s="245"/>
      <c r="AL104" s="245"/>
      <c r="AM104" s="245"/>
      <c r="AN104" s="245"/>
      <c r="AO104" s="9"/>
      <c r="AP104" s="9"/>
      <c r="AQ104" s="9"/>
      <c r="AR104" s="9"/>
      <c r="AS104" s="9"/>
      <c r="AT104" s="9"/>
      <c r="AU104" s="9"/>
      <c r="AV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213"/>
      <c r="AD105" s="213"/>
      <c r="AE105" s="213"/>
      <c r="AF105" s="234"/>
      <c r="AG105" s="9"/>
      <c r="AH105" s="9"/>
      <c r="AI105" s="9"/>
      <c r="AJ105" s="9"/>
      <c r="AK105" s="245"/>
      <c r="AL105" s="245"/>
      <c r="AM105" s="245"/>
      <c r="AN105" s="245"/>
      <c r="AO105" s="9"/>
      <c r="AP105" s="9"/>
      <c r="AQ105" s="9"/>
      <c r="AR105" s="9"/>
      <c r="AS105" s="9"/>
      <c r="AT105" s="9"/>
      <c r="AU105" s="9"/>
      <c r="AV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213"/>
      <c r="AD106" s="213"/>
      <c r="AE106" s="213"/>
      <c r="AF106" s="234"/>
      <c r="AG106" s="9"/>
      <c r="AH106" s="9"/>
      <c r="AI106" s="9"/>
      <c r="AJ106" s="9"/>
      <c r="AK106" s="245"/>
      <c r="AL106" s="245"/>
      <c r="AM106" s="245"/>
      <c r="AN106" s="245"/>
      <c r="AO106" s="9"/>
      <c r="AP106" s="9"/>
      <c r="AQ106" s="9"/>
      <c r="AR106" s="9"/>
      <c r="AS106" s="9"/>
      <c r="AT106" s="9"/>
      <c r="AU106" s="9"/>
      <c r="AV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213"/>
      <c r="AD107" s="213"/>
      <c r="AE107" s="213"/>
      <c r="AF107" s="234"/>
      <c r="AG107" s="9"/>
      <c r="AH107" s="9"/>
      <c r="AI107" s="9"/>
      <c r="AJ107" s="9"/>
      <c r="AK107" s="245"/>
      <c r="AL107" s="245"/>
      <c r="AM107" s="245"/>
      <c r="AN107" s="245"/>
      <c r="AO107" s="9"/>
      <c r="AP107" s="9"/>
      <c r="AQ107" s="9"/>
      <c r="AR107" s="9"/>
      <c r="AS107" s="9"/>
      <c r="AT107" s="9"/>
      <c r="AU107" s="9"/>
      <c r="AV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213"/>
      <c r="AD108" s="213"/>
      <c r="AE108" s="213"/>
      <c r="AF108" s="234"/>
      <c r="AG108" s="9"/>
      <c r="AH108" s="9"/>
      <c r="AI108" s="9"/>
      <c r="AJ108" s="9"/>
      <c r="AK108" s="245"/>
      <c r="AL108" s="245"/>
      <c r="AM108" s="245"/>
      <c r="AN108" s="245"/>
      <c r="AO108" s="9"/>
      <c r="AP108" s="9"/>
      <c r="AQ108" s="9"/>
      <c r="AR108" s="9"/>
      <c r="AS108" s="9"/>
      <c r="AT108" s="9"/>
      <c r="AU108" s="9"/>
      <c r="AV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213"/>
      <c r="AD109" s="213"/>
      <c r="AE109" s="213"/>
      <c r="AF109" s="234"/>
      <c r="AG109" s="9"/>
      <c r="AH109" s="9"/>
      <c r="AI109" s="9"/>
      <c r="AJ109" s="9"/>
      <c r="AK109" s="245"/>
      <c r="AL109" s="245"/>
      <c r="AM109" s="245"/>
      <c r="AN109" s="245"/>
      <c r="AO109" s="9"/>
      <c r="AP109" s="9"/>
      <c r="AQ109" s="9"/>
      <c r="AR109" s="9"/>
      <c r="AS109" s="9"/>
      <c r="AT109" s="9"/>
      <c r="AU109" s="9"/>
      <c r="AV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213"/>
      <c r="AD110" s="213"/>
      <c r="AE110" s="213"/>
      <c r="AF110" s="234"/>
      <c r="AG110" s="9"/>
      <c r="AH110" s="9"/>
      <c r="AI110" s="9"/>
      <c r="AJ110" s="9"/>
      <c r="AK110" s="245"/>
      <c r="AL110" s="245"/>
      <c r="AM110" s="245"/>
      <c r="AN110" s="245"/>
      <c r="AO110" s="9"/>
      <c r="AP110" s="9"/>
      <c r="AQ110" s="9"/>
      <c r="AR110" s="9"/>
      <c r="AS110" s="9"/>
      <c r="AT110" s="9"/>
      <c r="AU110" s="9"/>
      <c r="AV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213"/>
      <c r="AD111" s="213"/>
      <c r="AE111" s="213"/>
      <c r="AF111" s="234"/>
      <c r="AG111" s="9"/>
      <c r="AH111" s="9"/>
      <c r="AI111" s="9"/>
      <c r="AJ111" s="9"/>
      <c r="AK111" s="245"/>
      <c r="AL111" s="245"/>
      <c r="AM111" s="245"/>
      <c r="AN111" s="245"/>
      <c r="AO111" s="9"/>
      <c r="AP111" s="9"/>
      <c r="AQ111" s="9"/>
      <c r="AR111" s="9"/>
      <c r="AS111" s="9"/>
      <c r="AT111" s="9"/>
      <c r="AU111" s="9"/>
      <c r="AV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213"/>
      <c r="AD112" s="213"/>
      <c r="AE112" s="213"/>
      <c r="AF112" s="234"/>
      <c r="AG112" s="9"/>
      <c r="AH112" s="9"/>
      <c r="AI112" s="9"/>
      <c r="AJ112" s="9"/>
      <c r="AK112" s="245"/>
      <c r="AL112" s="245"/>
      <c r="AM112" s="245"/>
      <c r="AN112" s="245"/>
      <c r="AO112" s="9"/>
      <c r="AP112" s="9"/>
      <c r="AQ112" s="9"/>
      <c r="AR112" s="9"/>
      <c r="AS112" s="9"/>
      <c r="AT112" s="9"/>
      <c r="AU112" s="9"/>
      <c r="AV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213"/>
      <c r="AD113" s="213"/>
      <c r="AE113" s="213"/>
      <c r="AF113" s="234"/>
      <c r="AG113" s="9"/>
      <c r="AH113" s="9"/>
      <c r="AI113" s="9"/>
      <c r="AJ113" s="9"/>
      <c r="AK113" s="245"/>
      <c r="AL113" s="245"/>
      <c r="AM113" s="245"/>
      <c r="AN113" s="245"/>
      <c r="AO113" s="9"/>
      <c r="AP113" s="9"/>
      <c r="AQ113" s="9"/>
      <c r="AR113" s="9"/>
      <c r="AS113" s="9"/>
      <c r="AT113" s="9"/>
      <c r="AU113" s="9"/>
      <c r="AV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213"/>
      <c r="AD114" s="213"/>
      <c r="AE114" s="213"/>
      <c r="AF114" s="234"/>
      <c r="AG114" s="9"/>
      <c r="AH114" s="9"/>
      <c r="AI114" s="9"/>
      <c r="AJ114" s="9"/>
      <c r="AK114" s="245"/>
      <c r="AL114" s="245"/>
      <c r="AM114" s="245"/>
      <c r="AN114" s="245"/>
      <c r="AO114" s="9"/>
      <c r="AP114" s="9"/>
      <c r="AQ114" s="9"/>
      <c r="AR114" s="9"/>
      <c r="AS114" s="9"/>
      <c r="AT114" s="9"/>
      <c r="AU114" s="9"/>
      <c r="AV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213"/>
      <c r="AD115" s="213"/>
      <c r="AE115" s="213"/>
      <c r="AF115" s="234"/>
      <c r="AG115" s="9"/>
      <c r="AH115" s="9"/>
      <c r="AI115" s="9"/>
      <c r="AJ115" s="9"/>
      <c r="AK115" s="245"/>
      <c r="AL115" s="245"/>
      <c r="AM115" s="245"/>
      <c r="AN115" s="245"/>
      <c r="AO115" s="9"/>
      <c r="AP115" s="9"/>
      <c r="AQ115" s="9"/>
      <c r="AR115" s="9"/>
      <c r="AS115" s="9"/>
      <c r="AT115" s="9"/>
      <c r="AU115" s="9"/>
      <c r="AV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213"/>
      <c r="AD116" s="213"/>
      <c r="AE116" s="213"/>
      <c r="AF116" s="234"/>
      <c r="AG116" s="9"/>
      <c r="AH116" s="9"/>
      <c r="AI116" s="9"/>
      <c r="AJ116" s="9"/>
      <c r="AK116" s="245"/>
      <c r="AL116" s="245"/>
      <c r="AM116" s="245"/>
      <c r="AN116" s="245"/>
      <c r="AO116" s="9"/>
      <c r="AP116" s="9"/>
      <c r="AQ116" s="9"/>
      <c r="AR116" s="9"/>
      <c r="AS116" s="9"/>
      <c r="AT116" s="9"/>
      <c r="AU116" s="9"/>
      <c r="AV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213"/>
      <c r="AD117" s="213"/>
      <c r="AE117" s="213"/>
      <c r="AF117" s="234"/>
      <c r="AG117" s="9"/>
      <c r="AH117" s="9"/>
      <c r="AI117" s="9"/>
      <c r="AJ117" s="9"/>
      <c r="AK117" s="245"/>
      <c r="AL117" s="245"/>
      <c r="AM117" s="245"/>
      <c r="AN117" s="245"/>
      <c r="AO117" s="9"/>
      <c r="AP117" s="9"/>
      <c r="AQ117" s="9"/>
      <c r="AR117" s="9"/>
      <c r="AS117" s="9"/>
      <c r="AT117" s="9"/>
      <c r="AU117" s="9"/>
      <c r="AV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213"/>
      <c r="AD118" s="213"/>
      <c r="AE118" s="213"/>
      <c r="AF118" s="234"/>
      <c r="AG118" s="9"/>
      <c r="AH118" s="9"/>
      <c r="AI118" s="9"/>
      <c r="AJ118" s="9"/>
      <c r="AK118" s="245"/>
      <c r="AL118" s="245"/>
      <c r="AM118" s="245"/>
      <c r="AN118" s="245"/>
      <c r="AO118" s="9"/>
      <c r="AP118" s="9"/>
      <c r="AQ118" s="9"/>
      <c r="AR118" s="9"/>
      <c r="AS118" s="9"/>
      <c r="AT118" s="9"/>
      <c r="AU118" s="9"/>
      <c r="AV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213"/>
      <c r="AD119" s="213"/>
      <c r="AE119" s="213"/>
      <c r="AF119" s="234"/>
      <c r="AG119" s="9"/>
      <c r="AH119" s="9"/>
      <c r="AI119" s="9"/>
      <c r="AJ119" s="9"/>
      <c r="AK119" s="245"/>
      <c r="AL119" s="245"/>
      <c r="AM119" s="245"/>
      <c r="AN119" s="245"/>
      <c r="AO119" s="9"/>
      <c r="AP119" s="9"/>
      <c r="AQ119" s="9"/>
      <c r="AR119" s="9"/>
      <c r="AS119" s="9"/>
      <c r="AT119" s="9"/>
      <c r="AU119" s="9"/>
      <c r="AV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213"/>
      <c r="AD120" s="213"/>
      <c r="AE120" s="213"/>
      <c r="AF120" s="234"/>
      <c r="AG120" s="9"/>
      <c r="AH120" s="9"/>
      <c r="AI120" s="9"/>
      <c r="AJ120" s="9"/>
      <c r="AK120" s="245"/>
      <c r="AL120" s="245"/>
      <c r="AM120" s="245"/>
      <c r="AN120" s="245"/>
      <c r="AO120" s="9"/>
      <c r="AP120" s="9"/>
      <c r="AQ120" s="9"/>
      <c r="AR120" s="9"/>
      <c r="AS120" s="9"/>
      <c r="AT120" s="9"/>
      <c r="AU120" s="9"/>
      <c r="AV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213"/>
      <c r="AD121" s="213"/>
      <c r="AE121" s="213"/>
      <c r="AF121" s="234"/>
      <c r="AG121" s="9"/>
      <c r="AH121" s="9"/>
      <c r="AI121" s="9"/>
      <c r="AJ121" s="9"/>
      <c r="AK121" s="245"/>
      <c r="AL121" s="245"/>
      <c r="AM121" s="245"/>
      <c r="AN121" s="245"/>
      <c r="AO121" s="9"/>
      <c r="AP121" s="9"/>
      <c r="AQ121" s="9"/>
      <c r="AR121" s="9"/>
      <c r="AS121" s="9"/>
      <c r="AT121" s="9"/>
      <c r="AU121" s="9"/>
      <c r="AV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213"/>
      <c r="AD122" s="213"/>
      <c r="AE122" s="213"/>
      <c r="AF122" s="234"/>
      <c r="AG122" s="9"/>
      <c r="AH122" s="9"/>
      <c r="AI122" s="9"/>
      <c r="AJ122" s="9"/>
      <c r="AK122" s="245"/>
      <c r="AL122" s="245"/>
      <c r="AM122" s="245"/>
      <c r="AN122" s="245"/>
      <c r="AO122" s="9"/>
      <c r="AP122" s="9"/>
      <c r="AQ122" s="9"/>
      <c r="AR122" s="9"/>
      <c r="AS122" s="9"/>
      <c r="AT122" s="9"/>
      <c r="AU122" s="9"/>
      <c r="AV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213"/>
      <c r="AD123" s="213"/>
      <c r="AE123" s="213"/>
      <c r="AF123" s="234"/>
      <c r="AG123" s="9"/>
      <c r="AH123" s="9"/>
      <c r="AI123" s="9"/>
      <c r="AJ123" s="9"/>
      <c r="AK123" s="245"/>
      <c r="AL123" s="245"/>
      <c r="AM123" s="245"/>
      <c r="AN123" s="245"/>
      <c r="AO123" s="9"/>
      <c r="AP123" s="9"/>
      <c r="AQ123" s="9"/>
      <c r="AR123" s="9"/>
      <c r="AS123" s="9"/>
      <c r="AT123" s="9"/>
      <c r="AU123" s="9"/>
      <c r="AV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213"/>
      <c r="AD124" s="213"/>
      <c r="AE124" s="213"/>
      <c r="AF124" s="234"/>
      <c r="AG124" s="9"/>
      <c r="AH124" s="9"/>
      <c r="AI124" s="9"/>
      <c r="AJ124" s="9"/>
      <c r="AK124" s="245"/>
      <c r="AL124" s="245"/>
      <c r="AM124" s="245"/>
      <c r="AN124" s="245"/>
      <c r="AO124" s="9"/>
      <c r="AP124" s="9"/>
      <c r="AQ124" s="9"/>
      <c r="AR124" s="9"/>
      <c r="AS124" s="9"/>
      <c r="AT124" s="9"/>
      <c r="AU124" s="9"/>
      <c r="AV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213"/>
      <c r="AD125" s="213"/>
      <c r="AE125" s="213"/>
      <c r="AF125" s="234"/>
      <c r="AG125" s="9"/>
      <c r="AH125" s="9"/>
      <c r="AI125" s="9"/>
      <c r="AJ125" s="9"/>
      <c r="AK125" s="245"/>
      <c r="AL125" s="245"/>
      <c r="AM125" s="245"/>
      <c r="AN125" s="245"/>
      <c r="AO125" s="9"/>
      <c r="AP125" s="9"/>
      <c r="AQ125" s="9"/>
      <c r="AR125" s="9"/>
      <c r="AS125" s="9"/>
      <c r="AT125" s="9"/>
      <c r="AU125" s="9"/>
      <c r="AV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213"/>
      <c r="AD126" s="213"/>
      <c r="AE126" s="213"/>
      <c r="AF126" s="234"/>
      <c r="AG126" s="9"/>
      <c r="AH126" s="9"/>
      <c r="AI126" s="9"/>
      <c r="AJ126" s="9"/>
      <c r="AK126" s="245"/>
      <c r="AL126" s="245"/>
      <c r="AM126" s="245"/>
      <c r="AN126" s="245"/>
      <c r="AO126" s="9"/>
      <c r="AP126" s="9"/>
      <c r="AQ126" s="9"/>
      <c r="AR126" s="9"/>
      <c r="AS126" s="9"/>
      <c r="AT126" s="9"/>
      <c r="AU126" s="9"/>
      <c r="AV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213"/>
      <c r="AD127" s="213"/>
      <c r="AE127" s="213"/>
      <c r="AF127" s="234"/>
      <c r="AG127" s="9"/>
      <c r="AH127" s="9"/>
      <c r="AI127" s="9"/>
      <c r="AJ127" s="9"/>
      <c r="AK127" s="245"/>
      <c r="AL127" s="245"/>
      <c r="AM127" s="245"/>
      <c r="AN127" s="245"/>
      <c r="AO127" s="9"/>
      <c r="AP127" s="9"/>
      <c r="AQ127" s="9"/>
      <c r="AR127" s="9"/>
      <c r="AS127" s="9"/>
      <c r="AT127" s="9"/>
      <c r="AU127" s="9"/>
      <c r="AV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213"/>
      <c r="AD128" s="213"/>
      <c r="AE128" s="213"/>
      <c r="AF128" s="234"/>
      <c r="AG128" s="9"/>
      <c r="AH128" s="9"/>
      <c r="AI128" s="9"/>
      <c r="AJ128" s="9"/>
      <c r="AK128" s="245"/>
      <c r="AL128" s="245"/>
      <c r="AM128" s="245"/>
      <c r="AN128" s="245"/>
      <c r="AO128" s="9"/>
      <c r="AP128" s="9"/>
      <c r="AQ128" s="9"/>
      <c r="AR128" s="9"/>
      <c r="AS128" s="9"/>
      <c r="AT128" s="9"/>
      <c r="AU128" s="9"/>
      <c r="AV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213"/>
      <c r="AD129" s="213"/>
      <c r="AE129" s="213"/>
      <c r="AF129" s="234"/>
      <c r="AG129" s="9"/>
      <c r="AH129" s="9"/>
      <c r="AI129" s="9"/>
      <c r="AJ129" s="9"/>
      <c r="AK129" s="245"/>
      <c r="AL129" s="245"/>
      <c r="AM129" s="245"/>
      <c r="AN129" s="245"/>
      <c r="AO129" s="9"/>
      <c r="AP129" s="9"/>
      <c r="AQ129" s="9"/>
      <c r="AR129" s="9"/>
      <c r="AS129" s="9"/>
      <c r="AT129" s="9"/>
      <c r="AU129" s="9"/>
      <c r="AV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213"/>
      <c r="AD130" s="213"/>
      <c r="AE130" s="213"/>
      <c r="AF130" s="234"/>
      <c r="AG130" s="9"/>
      <c r="AH130" s="9"/>
      <c r="AI130" s="9"/>
      <c r="AJ130" s="9"/>
      <c r="AK130" s="245"/>
      <c r="AL130" s="245"/>
      <c r="AM130" s="245"/>
      <c r="AN130" s="245"/>
      <c r="AO130" s="9"/>
      <c r="AP130" s="9"/>
      <c r="AQ130" s="9"/>
      <c r="AR130" s="9"/>
      <c r="AS130" s="9"/>
      <c r="AT130" s="9"/>
      <c r="AU130" s="9"/>
      <c r="AV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213"/>
      <c r="AD131" s="213"/>
      <c r="AE131" s="213"/>
      <c r="AF131" s="234"/>
      <c r="AG131" s="9"/>
      <c r="AH131" s="9"/>
      <c r="AI131" s="9"/>
      <c r="AJ131" s="9"/>
      <c r="AK131" s="245"/>
      <c r="AL131" s="245"/>
      <c r="AM131" s="245"/>
      <c r="AN131" s="245"/>
      <c r="AO131" s="9"/>
      <c r="AP131" s="9"/>
      <c r="AQ131" s="9"/>
      <c r="AR131" s="9"/>
      <c r="AS131" s="9"/>
      <c r="AT131" s="9"/>
      <c r="AU131" s="9"/>
      <c r="AV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213"/>
      <c r="AD132" s="213"/>
      <c r="AE132" s="213"/>
      <c r="AF132" s="234"/>
      <c r="AG132" s="9"/>
      <c r="AH132" s="9"/>
      <c r="AI132" s="9"/>
      <c r="AJ132" s="9"/>
      <c r="AK132" s="245"/>
      <c r="AL132" s="245"/>
      <c r="AM132" s="245"/>
      <c r="AN132" s="245"/>
      <c r="AO132" s="9"/>
      <c r="AP132" s="9"/>
      <c r="AQ132" s="9"/>
      <c r="AR132" s="9"/>
      <c r="AS132" s="9"/>
      <c r="AT132" s="9"/>
      <c r="AU132" s="9"/>
      <c r="AV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213"/>
      <c r="AD133" s="213"/>
      <c r="AE133" s="213"/>
      <c r="AF133" s="234"/>
      <c r="AG133" s="9"/>
      <c r="AH133" s="9"/>
      <c r="AI133" s="9"/>
      <c r="AJ133" s="9"/>
      <c r="AK133" s="245"/>
      <c r="AL133" s="245"/>
      <c r="AM133" s="245"/>
      <c r="AN133" s="245"/>
      <c r="AO133" s="9"/>
      <c r="AP133" s="9"/>
      <c r="AQ133" s="9"/>
      <c r="AR133" s="9"/>
      <c r="AS133" s="9"/>
      <c r="AT133" s="9"/>
      <c r="AU133" s="9"/>
      <c r="AV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213"/>
      <c r="AD134" s="213"/>
      <c r="AE134" s="213"/>
      <c r="AF134" s="234"/>
      <c r="AG134" s="9"/>
      <c r="AH134" s="9"/>
      <c r="AI134" s="9"/>
      <c r="AJ134" s="9"/>
      <c r="AK134" s="245"/>
      <c r="AL134" s="245"/>
      <c r="AM134" s="245"/>
      <c r="AN134" s="245"/>
      <c r="AO134" s="9"/>
      <c r="AP134" s="9"/>
      <c r="AQ134" s="9"/>
      <c r="AR134" s="9"/>
      <c r="AS134" s="9"/>
      <c r="AT134" s="9"/>
      <c r="AU134" s="9"/>
      <c r="AV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213"/>
      <c r="AD135" s="213"/>
      <c r="AE135" s="213"/>
      <c r="AF135" s="234"/>
      <c r="AG135" s="9"/>
      <c r="AH135" s="9"/>
      <c r="AI135" s="9"/>
      <c r="AJ135" s="9"/>
      <c r="AK135" s="245"/>
      <c r="AL135" s="245"/>
      <c r="AM135" s="245"/>
      <c r="AN135" s="245"/>
      <c r="AO135" s="9"/>
      <c r="AP135" s="9"/>
      <c r="AQ135" s="9"/>
      <c r="AR135" s="9"/>
      <c r="AS135" s="9"/>
      <c r="AT135" s="9"/>
      <c r="AU135" s="9"/>
      <c r="AV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213"/>
      <c r="AD136" s="213"/>
      <c r="AE136" s="213"/>
      <c r="AF136" s="234"/>
      <c r="AG136" s="9"/>
      <c r="AH136" s="9"/>
      <c r="AI136" s="9"/>
      <c r="AJ136" s="9"/>
      <c r="AK136" s="245"/>
      <c r="AL136" s="245"/>
      <c r="AM136" s="245"/>
      <c r="AN136" s="245"/>
      <c r="AO136" s="9"/>
      <c r="AP136" s="9"/>
      <c r="AQ136" s="9"/>
      <c r="AR136" s="9"/>
      <c r="AS136" s="9"/>
      <c r="AT136" s="9"/>
      <c r="AU136" s="9"/>
      <c r="AV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213"/>
      <c r="AD137" s="213"/>
      <c r="AE137" s="213"/>
      <c r="AF137" s="234"/>
      <c r="AG137" s="9"/>
      <c r="AH137" s="9"/>
      <c r="AI137" s="9"/>
      <c r="AJ137" s="9"/>
      <c r="AK137" s="245"/>
      <c r="AL137" s="245"/>
      <c r="AM137" s="245"/>
      <c r="AN137" s="245"/>
      <c r="AO137" s="9"/>
      <c r="AP137" s="9"/>
      <c r="AQ137" s="9"/>
      <c r="AR137" s="9"/>
      <c r="AS137" s="9"/>
      <c r="AT137" s="9"/>
      <c r="AU137" s="9"/>
      <c r="AV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213"/>
      <c r="AD138" s="213"/>
      <c r="AE138" s="213"/>
      <c r="AF138" s="234"/>
      <c r="AG138" s="9"/>
      <c r="AH138" s="9"/>
      <c r="AI138" s="9"/>
      <c r="AJ138" s="9"/>
      <c r="AK138" s="245"/>
      <c r="AL138" s="245"/>
      <c r="AM138" s="245"/>
      <c r="AN138" s="245"/>
      <c r="AO138" s="9"/>
      <c r="AP138" s="9"/>
      <c r="AQ138" s="9"/>
      <c r="AR138" s="9"/>
      <c r="AS138" s="9"/>
      <c r="AT138" s="9"/>
      <c r="AU138" s="9"/>
      <c r="AV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213"/>
      <c r="AD139" s="213"/>
      <c r="AE139" s="213"/>
      <c r="AF139" s="234"/>
      <c r="AG139" s="9"/>
      <c r="AH139" s="9"/>
      <c r="AI139" s="9"/>
      <c r="AJ139" s="9"/>
      <c r="AK139" s="245"/>
      <c r="AL139" s="245"/>
      <c r="AM139" s="245"/>
      <c r="AN139" s="245"/>
      <c r="AO139" s="9"/>
      <c r="AP139" s="9"/>
      <c r="AQ139" s="9"/>
      <c r="AR139" s="9"/>
      <c r="AS139" s="9"/>
      <c r="AT139" s="9"/>
      <c r="AU139" s="9"/>
      <c r="AV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234"/>
      <c r="AD140" s="234"/>
      <c r="AE140" s="234"/>
      <c r="AF140" s="234"/>
      <c r="AG140" s="9"/>
      <c r="AH140" s="9"/>
      <c r="AI140" s="9"/>
      <c r="AJ140" s="9"/>
      <c r="AK140" s="245"/>
      <c r="AL140" s="245"/>
      <c r="AM140" s="245"/>
      <c r="AN140" s="245"/>
      <c r="AO140" s="9"/>
      <c r="AP140" s="9"/>
      <c r="AQ140" s="9"/>
      <c r="AR140" s="9"/>
      <c r="AS140" s="9"/>
      <c r="AT140" s="9"/>
      <c r="AU140" s="9"/>
      <c r="AV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234"/>
      <c r="AD141" s="234"/>
      <c r="AE141" s="234"/>
      <c r="AF141" s="234"/>
      <c r="AG141" s="9"/>
      <c r="AH141" s="9"/>
      <c r="AI141" s="9"/>
      <c r="AJ141" s="9"/>
      <c r="AK141" s="245"/>
      <c r="AL141" s="245"/>
      <c r="AM141" s="245"/>
      <c r="AN141" s="245"/>
      <c r="AO141" s="9"/>
      <c r="AP141" s="9"/>
      <c r="AQ141" s="9"/>
      <c r="AR141" s="9"/>
      <c r="AS141" s="9"/>
      <c r="AT141" s="9"/>
      <c r="AU141" s="9"/>
      <c r="AV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234"/>
      <c r="AD142" s="234"/>
      <c r="AE142" s="234"/>
      <c r="AF142" s="234"/>
      <c r="AG142" s="9"/>
      <c r="AH142" s="9"/>
      <c r="AI142" s="9"/>
      <c r="AJ142" s="9"/>
      <c r="AK142" s="245"/>
      <c r="AL142" s="245"/>
      <c r="AM142" s="245"/>
      <c r="AN142" s="245"/>
      <c r="AO142" s="9"/>
      <c r="AP142" s="9"/>
      <c r="AQ142" s="9"/>
      <c r="AR142" s="9"/>
      <c r="AS142" s="9"/>
      <c r="AT142" s="9"/>
      <c r="AU142" s="9"/>
      <c r="AV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234"/>
      <c r="AD143" s="234"/>
      <c r="AE143" s="234"/>
      <c r="AF143" s="234"/>
      <c r="AG143" s="9"/>
      <c r="AH143" s="9"/>
      <c r="AI143" s="9"/>
      <c r="AJ143" s="9"/>
      <c r="AK143" s="245"/>
      <c r="AL143" s="245"/>
      <c r="AM143" s="245"/>
      <c r="AN143" s="245"/>
      <c r="AO143" s="9"/>
      <c r="AP143" s="9"/>
      <c r="AQ143" s="9"/>
      <c r="AR143" s="9"/>
      <c r="AS143" s="9"/>
      <c r="AT143" s="9"/>
      <c r="AU143" s="9"/>
      <c r="AV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234"/>
      <c r="AD144" s="234"/>
      <c r="AE144" s="234"/>
      <c r="AF144" s="234"/>
      <c r="AG144" s="9"/>
      <c r="AH144" s="9"/>
      <c r="AI144" s="9"/>
      <c r="AJ144" s="9"/>
      <c r="AK144" s="245"/>
      <c r="AL144" s="245"/>
      <c r="AM144" s="245"/>
      <c r="AN144" s="245"/>
      <c r="AO144" s="9"/>
      <c r="AP144" s="9"/>
      <c r="AQ144" s="9"/>
      <c r="AR144" s="9"/>
      <c r="AS144" s="9"/>
      <c r="AT144" s="9"/>
      <c r="AU144" s="9"/>
      <c r="AV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234"/>
      <c r="AD145" s="234"/>
      <c r="AE145" s="234"/>
      <c r="AF145" s="234"/>
      <c r="AG145" s="9"/>
      <c r="AH145" s="9"/>
      <c r="AI145" s="9"/>
      <c r="AJ145" s="9"/>
      <c r="AK145" s="245"/>
      <c r="AL145" s="245"/>
      <c r="AM145" s="245"/>
      <c r="AN145" s="245"/>
      <c r="AO145" s="9"/>
      <c r="AP145" s="9"/>
      <c r="AQ145" s="9"/>
      <c r="AR145" s="9"/>
      <c r="AS145" s="9"/>
      <c r="AT145" s="9"/>
      <c r="AU145" s="9"/>
      <c r="AV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234"/>
      <c r="AD146" s="234"/>
      <c r="AE146" s="234"/>
      <c r="AF146" s="234"/>
      <c r="AG146" s="9"/>
      <c r="AH146" s="9"/>
      <c r="AI146" s="9"/>
      <c r="AJ146" s="9"/>
      <c r="AK146" s="245"/>
      <c r="AL146" s="245"/>
      <c r="AM146" s="245"/>
      <c r="AN146" s="245"/>
      <c r="AO146" s="9"/>
      <c r="AP146" s="9"/>
      <c r="AQ146" s="9"/>
      <c r="AR146" s="9"/>
      <c r="AS146" s="9"/>
      <c r="AT146" s="9"/>
      <c r="AU146" s="9"/>
      <c r="AV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234"/>
      <c r="AD147" s="234"/>
      <c r="AE147" s="234"/>
      <c r="AF147" s="234"/>
      <c r="AG147" s="9"/>
      <c r="AH147" s="9"/>
      <c r="AI147" s="9"/>
      <c r="AJ147" s="9"/>
      <c r="AK147" s="245"/>
      <c r="AL147" s="245"/>
      <c r="AM147" s="245"/>
      <c r="AN147" s="245"/>
      <c r="AO147" s="9"/>
      <c r="AP147" s="9"/>
      <c r="AQ147" s="9"/>
      <c r="AR147" s="9"/>
      <c r="AS147" s="9"/>
      <c r="AT147" s="9"/>
      <c r="AU147" s="9"/>
      <c r="AV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234"/>
      <c r="AD148" s="234"/>
      <c r="AE148" s="234"/>
      <c r="AF148" s="234"/>
      <c r="AG148" s="9"/>
      <c r="AH148" s="9"/>
      <c r="AI148" s="9"/>
      <c r="AJ148" s="9"/>
      <c r="AK148" s="245"/>
      <c r="AL148" s="245"/>
      <c r="AM148" s="245"/>
      <c r="AN148" s="245"/>
      <c r="AO148" s="9"/>
      <c r="AP148" s="9"/>
      <c r="AQ148" s="9"/>
      <c r="AR148" s="9"/>
      <c r="AS148" s="9"/>
      <c r="AT148" s="9"/>
      <c r="AU148" s="9"/>
      <c r="AV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234"/>
      <c r="AD149" s="234"/>
      <c r="AE149" s="234"/>
      <c r="AF149" s="234"/>
      <c r="AG149" s="9"/>
      <c r="AH149" s="9"/>
      <c r="AI149" s="9"/>
      <c r="AJ149" s="9"/>
      <c r="AK149" s="245"/>
      <c r="AL149" s="245"/>
      <c r="AM149" s="245"/>
      <c r="AN149" s="245"/>
      <c r="AO149" s="9"/>
      <c r="AP149" s="9"/>
      <c r="AQ149" s="9"/>
      <c r="AR149" s="9"/>
      <c r="AS149" s="9"/>
      <c r="AT149" s="9"/>
      <c r="AU149" s="9"/>
      <c r="AV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234"/>
      <c r="AD150" s="234"/>
      <c r="AE150" s="234"/>
      <c r="AF150" s="234"/>
      <c r="AG150" s="9"/>
      <c r="AH150" s="9"/>
      <c r="AI150" s="9"/>
      <c r="AJ150" s="9"/>
      <c r="AK150" s="245"/>
      <c r="AL150" s="245"/>
      <c r="AM150" s="245"/>
      <c r="AN150" s="245"/>
      <c r="AO150" s="9"/>
      <c r="AP150" s="9"/>
      <c r="AQ150" s="9"/>
      <c r="AR150" s="9"/>
      <c r="AS150" s="9"/>
      <c r="AT150" s="9"/>
      <c r="AU150" s="9"/>
      <c r="AV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234"/>
      <c r="AD151" s="234"/>
      <c r="AE151" s="234"/>
      <c r="AF151" s="234"/>
      <c r="AG151" s="9"/>
      <c r="AH151" s="9"/>
      <c r="AI151" s="9"/>
      <c r="AJ151" s="9"/>
      <c r="AK151" s="245"/>
      <c r="AL151" s="245"/>
      <c r="AM151" s="245"/>
      <c r="AN151" s="245"/>
      <c r="AO151" s="9"/>
      <c r="AP151" s="9"/>
      <c r="AQ151" s="9"/>
      <c r="AR151" s="9"/>
      <c r="AS151" s="9"/>
      <c r="AT151" s="9"/>
      <c r="AU151" s="9"/>
      <c r="AV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234"/>
      <c r="AD152" s="234"/>
      <c r="AE152" s="234"/>
      <c r="AF152" s="234"/>
      <c r="AG152" s="9"/>
      <c r="AH152" s="9"/>
      <c r="AI152" s="9"/>
      <c r="AJ152" s="9"/>
      <c r="AK152" s="245"/>
      <c r="AL152" s="245"/>
      <c r="AM152" s="245"/>
      <c r="AN152" s="245"/>
      <c r="AO152" s="9"/>
      <c r="AP152" s="9"/>
      <c r="AQ152" s="9"/>
      <c r="AR152" s="9"/>
      <c r="AS152" s="9"/>
      <c r="AT152" s="9"/>
      <c r="AU152" s="9"/>
      <c r="AV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234"/>
      <c r="AD153" s="234"/>
      <c r="AE153" s="234"/>
      <c r="AF153" s="234"/>
      <c r="AG153" s="9"/>
      <c r="AH153" s="9"/>
      <c r="AI153" s="9"/>
      <c r="AJ153" s="9"/>
      <c r="AK153" s="245"/>
      <c r="AL153" s="245"/>
      <c r="AM153" s="245"/>
      <c r="AN153" s="245"/>
      <c r="AO153" s="9"/>
      <c r="AP153" s="9"/>
      <c r="AQ153" s="9"/>
      <c r="AR153" s="9"/>
      <c r="AS153" s="9"/>
      <c r="AT153" s="9"/>
      <c r="AU153" s="9"/>
      <c r="AV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234"/>
      <c r="AD154" s="234"/>
      <c r="AE154" s="234"/>
      <c r="AF154" s="234"/>
      <c r="AG154" s="9"/>
      <c r="AH154" s="9"/>
      <c r="AI154" s="9"/>
      <c r="AJ154" s="9"/>
      <c r="AK154" s="245"/>
      <c r="AL154" s="245"/>
      <c r="AM154" s="245"/>
      <c r="AN154" s="245"/>
      <c r="AO154" s="9"/>
      <c r="AP154" s="9"/>
      <c r="AQ154" s="9"/>
      <c r="AR154" s="9"/>
      <c r="AS154" s="9"/>
      <c r="AT154" s="9"/>
      <c r="AU154" s="9"/>
      <c r="AV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234"/>
      <c r="AD155" s="234"/>
      <c r="AE155" s="234"/>
      <c r="AF155" s="234"/>
      <c r="AG155" s="9"/>
      <c r="AH155" s="9"/>
      <c r="AI155" s="9"/>
      <c r="AJ155" s="9"/>
      <c r="AK155" s="245"/>
      <c r="AL155" s="245"/>
      <c r="AM155" s="245"/>
      <c r="AN155" s="245"/>
      <c r="AO155" s="9"/>
      <c r="AP155" s="9"/>
      <c r="AQ155" s="9"/>
      <c r="AR155" s="9"/>
      <c r="AS155" s="9"/>
      <c r="AT155" s="9"/>
      <c r="AU155" s="9"/>
      <c r="AV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234"/>
      <c r="AD156" s="234"/>
      <c r="AE156" s="234"/>
      <c r="AF156" s="234"/>
      <c r="AG156" s="9"/>
      <c r="AH156" s="9"/>
      <c r="AI156" s="9"/>
      <c r="AJ156" s="9"/>
      <c r="AK156" s="245"/>
      <c r="AL156" s="245"/>
      <c r="AM156" s="245"/>
      <c r="AN156" s="245"/>
      <c r="AO156" s="9"/>
      <c r="AP156" s="9"/>
      <c r="AQ156" s="9"/>
      <c r="AR156" s="9"/>
      <c r="AS156" s="9"/>
      <c r="AT156" s="9"/>
      <c r="AU156" s="9"/>
      <c r="AV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234"/>
      <c r="AD157" s="234"/>
      <c r="AE157" s="234"/>
      <c r="AF157" s="234"/>
      <c r="AG157" s="9"/>
      <c r="AH157" s="9"/>
      <c r="AI157" s="9"/>
      <c r="AJ157" s="9"/>
      <c r="AK157" s="245"/>
      <c r="AL157" s="245"/>
      <c r="AM157" s="245"/>
      <c r="AN157" s="245"/>
      <c r="AO157" s="9"/>
      <c r="AP157" s="9"/>
      <c r="AQ157" s="9"/>
      <c r="AR157" s="9"/>
      <c r="AS157" s="9"/>
      <c r="AT157" s="9"/>
      <c r="AU157" s="9"/>
      <c r="AV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234"/>
      <c r="AD158" s="234"/>
      <c r="AE158" s="234"/>
      <c r="AF158" s="234"/>
      <c r="AG158" s="9"/>
      <c r="AH158" s="9"/>
      <c r="AI158" s="9"/>
      <c r="AJ158" s="9"/>
      <c r="AK158" s="245"/>
      <c r="AL158" s="245"/>
      <c r="AM158" s="245"/>
      <c r="AN158" s="245"/>
      <c r="AO158" s="9"/>
      <c r="AP158" s="9"/>
      <c r="AQ158" s="9"/>
      <c r="AR158" s="9"/>
      <c r="AS158" s="9"/>
      <c r="AT158" s="9"/>
      <c r="AU158" s="9"/>
      <c r="AV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234"/>
      <c r="AD159" s="234"/>
      <c r="AE159" s="234"/>
      <c r="AF159" s="234"/>
      <c r="AG159" s="9"/>
      <c r="AH159" s="9"/>
      <c r="AI159" s="9"/>
      <c r="AJ159" s="9"/>
      <c r="AK159" s="245"/>
      <c r="AL159" s="245"/>
      <c r="AM159" s="245"/>
      <c r="AN159" s="245"/>
      <c r="AO159" s="9"/>
      <c r="AP159" s="9"/>
      <c r="AQ159" s="9"/>
      <c r="AR159" s="9"/>
      <c r="AS159" s="9"/>
      <c r="AT159" s="9"/>
      <c r="AU159" s="9"/>
      <c r="AV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234"/>
      <c r="AD160" s="234"/>
      <c r="AE160" s="234"/>
      <c r="AF160" s="234"/>
      <c r="AG160" s="9"/>
      <c r="AH160" s="9"/>
      <c r="AI160" s="9"/>
      <c r="AJ160" s="9"/>
      <c r="AK160" s="245"/>
      <c r="AL160" s="245"/>
      <c r="AM160" s="245"/>
      <c r="AN160" s="245"/>
      <c r="AO160" s="9"/>
      <c r="AP160" s="9"/>
      <c r="AQ160" s="9"/>
      <c r="AR160" s="9"/>
      <c r="AS160" s="9"/>
      <c r="AT160" s="9"/>
      <c r="AU160" s="9"/>
      <c r="AV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234"/>
      <c r="AD161" s="234"/>
      <c r="AE161" s="234"/>
      <c r="AF161" s="234"/>
      <c r="AG161" s="9"/>
      <c r="AH161" s="9"/>
      <c r="AI161" s="9"/>
      <c r="AJ161" s="9"/>
      <c r="AK161" s="245"/>
      <c r="AL161" s="245"/>
      <c r="AM161" s="245"/>
      <c r="AN161" s="245"/>
      <c r="AO161" s="9"/>
      <c r="AP161" s="9"/>
      <c r="AQ161" s="9"/>
      <c r="AR161" s="9"/>
      <c r="AS161" s="9"/>
      <c r="AT161" s="9"/>
      <c r="AU161" s="9"/>
      <c r="AV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234"/>
      <c r="AD162" s="234"/>
      <c r="AE162" s="234"/>
      <c r="AF162" s="234"/>
      <c r="AG162" s="9"/>
      <c r="AH162" s="9"/>
      <c r="AI162" s="9"/>
      <c r="AJ162" s="9"/>
      <c r="AK162" s="245"/>
      <c r="AL162" s="245"/>
      <c r="AM162" s="245"/>
      <c r="AN162" s="245"/>
      <c r="AO162" s="9"/>
      <c r="AP162" s="9"/>
      <c r="AQ162" s="9"/>
      <c r="AR162" s="9"/>
      <c r="AS162" s="9"/>
      <c r="AT162" s="9"/>
      <c r="AU162" s="9"/>
      <c r="AV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234"/>
      <c r="AD163" s="234"/>
      <c r="AE163" s="234"/>
      <c r="AF163" s="234"/>
      <c r="AG163" s="9"/>
      <c r="AH163" s="9"/>
      <c r="AI163" s="9"/>
      <c r="AJ163" s="9"/>
      <c r="AK163" s="245"/>
      <c r="AL163" s="245"/>
      <c r="AM163" s="245"/>
      <c r="AN163" s="245"/>
      <c r="AO163" s="9"/>
      <c r="AP163" s="9"/>
      <c r="AQ163" s="9"/>
      <c r="AR163" s="9"/>
      <c r="AS163" s="9"/>
      <c r="AT163" s="9"/>
      <c r="AU163" s="9"/>
      <c r="AV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234"/>
      <c r="AD164" s="234"/>
      <c r="AE164" s="234"/>
      <c r="AF164" s="234"/>
      <c r="AG164" s="9"/>
      <c r="AH164" s="9"/>
      <c r="AI164" s="9"/>
      <c r="AJ164" s="9"/>
      <c r="AK164" s="245"/>
      <c r="AL164" s="245"/>
      <c r="AM164" s="245"/>
      <c r="AN164" s="245"/>
      <c r="AO164" s="9"/>
      <c r="AP164" s="9"/>
      <c r="AQ164" s="9"/>
      <c r="AR164" s="9"/>
      <c r="AS164" s="9"/>
      <c r="AT164" s="9"/>
      <c r="AU164" s="9"/>
      <c r="AV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234"/>
      <c r="AD165" s="234"/>
      <c r="AE165" s="234"/>
      <c r="AF165" s="234"/>
      <c r="AG165" s="9"/>
      <c r="AH165" s="9"/>
      <c r="AI165" s="9"/>
      <c r="AJ165" s="9"/>
      <c r="AK165" s="245"/>
      <c r="AL165" s="245"/>
      <c r="AM165" s="245"/>
      <c r="AN165" s="245"/>
      <c r="AO165" s="9"/>
      <c r="AP165" s="9"/>
      <c r="AQ165" s="9"/>
      <c r="AR165" s="9"/>
      <c r="AS165" s="9"/>
      <c r="AT165" s="9"/>
      <c r="AU165" s="9"/>
      <c r="AV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234"/>
      <c r="AD166" s="234"/>
      <c r="AE166" s="234"/>
      <c r="AF166" s="234"/>
      <c r="AG166" s="9"/>
      <c r="AH166" s="9"/>
      <c r="AI166" s="9"/>
      <c r="AJ166" s="9"/>
      <c r="AK166" s="245"/>
      <c r="AL166" s="245"/>
      <c r="AM166" s="245"/>
      <c r="AN166" s="245"/>
      <c r="AO166" s="9"/>
      <c r="AP166" s="9"/>
      <c r="AQ166" s="9"/>
      <c r="AR166" s="9"/>
      <c r="AS166" s="9"/>
      <c r="AT166" s="9"/>
      <c r="AU166" s="9"/>
      <c r="AV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234"/>
      <c r="AD167" s="234"/>
      <c r="AE167" s="234"/>
      <c r="AF167" s="234"/>
      <c r="AG167" s="9"/>
      <c r="AH167" s="9"/>
      <c r="AI167" s="9"/>
      <c r="AJ167" s="9"/>
      <c r="AK167" s="245"/>
      <c r="AL167" s="245"/>
      <c r="AM167" s="245"/>
      <c r="AN167" s="245"/>
      <c r="AO167" s="9"/>
      <c r="AP167" s="9"/>
      <c r="AQ167" s="9"/>
      <c r="AR167" s="9"/>
      <c r="AS167" s="9"/>
      <c r="AT167" s="9"/>
      <c r="AU167" s="9"/>
      <c r="AV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234"/>
      <c r="AD168" s="234"/>
      <c r="AE168" s="234"/>
      <c r="AF168" s="234"/>
      <c r="AG168" s="9"/>
      <c r="AH168" s="9"/>
      <c r="AI168" s="9"/>
      <c r="AJ168" s="9"/>
      <c r="AK168" s="245"/>
      <c r="AL168" s="245"/>
      <c r="AM168" s="245"/>
      <c r="AN168" s="245"/>
      <c r="AO168" s="9"/>
      <c r="AP168" s="9"/>
      <c r="AQ168" s="9"/>
      <c r="AR168" s="9"/>
      <c r="AS168" s="9"/>
      <c r="AT168" s="9"/>
      <c r="AU168" s="9"/>
      <c r="AV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234"/>
      <c r="AD169" s="234"/>
      <c r="AE169" s="234"/>
      <c r="AF169" s="234"/>
      <c r="AG169" s="9"/>
      <c r="AH169" s="9"/>
      <c r="AI169" s="9"/>
      <c r="AJ169" s="9"/>
      <c r="AK169" s="245"/>
      <c r="AL169" s="245"/>
      <c r="AM169" s="245"/>
      <c r="AN169" s="245"/>
      <c r="AO169" s="9"/>
      <c r="AP169" s="9"/>
      <c r="AQ169" s="9"/>
      <c r="AR169" s="9"/>
      <c r="AS169" s="9"/>
      <c r="AT169" s="9"/>
      <c r="AU169" s="9"/>
      <c r="AV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234"/>
      <c r="AD170" s="234"/>
      <c r="AE170" s="234"/>
      <c r="AF170" s="234"/>
      <c r="AG170" s="9"/>
      <c r="AH170" s="9"/>
      <c r="AI170" s="9"/>
      <c r="AJ170" s="9"/>
      <c r="AK170" s="245"/>
      <c r="AL170" s="245"/>
      <c r="AM170" s="245"/>
      <c r="AN170" s="245"/>
      <c r="AO170" s="9"/>
      <c r="AP170" s="9"/>
      <c r="AQ170" s="9"/>
      <c r="AR170" s="9"/>
      <c r="AS170" s="9"/>
      <c r="AT170" s="9"/>
      <c r="AU170" s="9"/>
      <c r="AV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234"/>
      <c r="AD171" s="234"/>
      <c r="AE171" s="234"/>
      <c r="AF171" s="234"/>
      <c r="AG171" s="9"/>
      <c r="AH171" s="9"/>
      <c r="AI171" s="9"/>
      <c r="AJ171" s="9"/>
      <c r="AK171" s="245"/>
      <c r="AL171" s="245"/>
      <c r="AM171" s="245"/>
      <c r="AN171" s="245"/>
      <c r="AO171" s="9"/>
      <c r="AP171" s="9"/>
      <c r="AQ171" s="9"/>
      <c r="AR171" s="9"/>
      <c r="AS171" s="9"/>
      <c r="AT171" s="9"/>
      <c r="AU171" s="9"/>
      <c r="AV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234"/>
      <c r="AD172" s="234"/>
      <c r="AE172" s="234"/>
      <c r="AF172" s="234"/>
      <c r="AG172" s="9"/>
      <c r="AH172" s="9"/>
      <c r="AI172" s="9"/>
      <c r="AJ172" s="9"/>
      <c r="AK172" s="245"/>
      <c r="AL172" s="245"/>
      <c r="AM172" s="245"/>
      <c r="AN172" s="245"/>
      <c r="AO172" s="9"/>
      <c r="AP172" s="9"/>
      <c r="AQ172" s="9"/>
      <c r="AR172" s="9"/>
      <c r="AS172" s="9"/>
      <c r="AT172" s="9"/>
      <c r="AU172" s="9"/>
      <c r="AV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234"/>
      <c r="AD173" s="234"/>
      <c r="AE173" s="234"/>
      <c r="AF173" s="234"/>
      <c r="AG173" s="9"/>
      <c r="AH173" s="9"/>
      <c r="AI173" s="9"/>
      <c r="AJ173" s="9"/>
      <c r="AK173" s="245"/>
      <c r="AL173" s="245"/>
      <c r="AM173" s="245"/>
      <c r="AN173" s="245"/>
      <c r="AO173" s="9"/>
      <c r="AP173" s="9"/>
      <c r="AQ173" s="9"/>
      <c r="AR173" s="9"/>
      <c r="AS173" s="9"/>
      <c r="AT173" s="9"/>
      <c r="AU173" s="9"/>
      <c r="AV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234"/>
      <c r="AD174" s="234"/>
      <c r="AE174" s="234"/>
      <c r="AF174" s="234"/>
      <c r="AG174" s="9"/>
      <c r="AH174" s="9"/>
      <c r="AI174" s="9"/>
      <c r="AJ174" s="9"/>
      <c r="AK174" s="245"/>
      <c r="AL174" s="245"/>
      <c r="AM174" s="245"/>
      <c r="AN174" s="245"/>
      <c r="AO174" s="9"/>
      <c r="AP174" s="9"/>
      <c r="AQ174" s="9"/>
      <c r="AR174" s="9"/>
      <c r="AS174" s="9"/>
      <c r="AT174" s="9"/>
      <c r="AU174" s="9"/>
      <c r="AV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234"/>
      <c r="AD175" s="234"/>
      <c r="AE175" s="234"/>
      <c r="AF175" s="234"/>
      <c r="AG175" s="9"/>
      <c r="AH175" s="9"/>
      <c r="AI175" s="9"/>
      <c r="AJ175" s="9"/>
      <c r="AK175" s="245"/>
      <c r="AL175" s="245"/>
      <c r="AM175" s="245"/>
      <c r="AN175" s="245"/>
      <c r="AO175" s="9"/>
      <c r="AP175" s="9"/>
      <c r="AQ175" s="9"/>
      <c r="AR175" s="9"/>
      <c r="AS175" s="9"/>
      <c r="AT175" s="9"/>
      <c r="AU175" s="9"/>
      <c r="AV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234"/>
      <c r="AD176" s="234"/>
      <c r="AE176" s="234"/>
      <c r="AF176" s="234"/>
      <c r="AG176" s="9"/>
      <c r="AH176" s="9"/>
      <c r="AI176" s="9"/>
      <c r="AJ176" s="9"/>
      <c r="AK176" s="245"/>
      <c r="AL176" s="245"/>
      <c r="AM176" s="245"/>
      <c r="AN176" s="245"/>
      <c r="AO176" s="9"/>
      <c r="AP176" s="9"/>
      <c r="AQ176" s="9"/>
      <c r="AR176" s="9"/>
      <c r="AS176" s="9"/>
      <c r="AT176" s="9"/>
      <c r="AU176" s="9"/>
      <c r="AV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234"/>
      <c r="AD177" s="234"/>
      <c r="AE177" s="234"/>
      <c r="AF177" s="234"/>
      <c r="AG177" s="9"/>
      <c r="AH177" s="9"/>
      <c r="AI177" s="9"/>
      <c r="AJ177" s="9"/>
      <c r="AK177" s="245"/>
      <c r="AL177" s="245"/>
      <c r="AM177" s="245"/>
      <c r="AN177" s="245"/>
      <c r="AO177" s="9"/>
      <c r="AP177" s="9"/>
      <c r="AQ177" s="9"/>
      <c r="AR177" s="9"/>
      <c r="AS177" s="9"/>
      <c r="AT177" s="9"/>
      <c r="AU177" s="9"/>
      <c r="AV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234"/>
      <c r="AD178" s="234"/>
      <c r="AE178" s="234"/>
      <c r="AF178" s="234"/>
      <c r="AG178" s="9"/>
      <c r="AH178" s="9"/>
      <c r="AI178" s="9"/>
      <c r="AJ178" s="9"/>
      <c r="AK178" s="245"/>
      <c r="AL178" s="245"/>
      <c r="AM178" s="245"/>
      <c r="AN178" s="245"/>
      <c r="AO178" s="9"/>
      <c r="AP178" s="9"/>
      <c r="AQ178" s="9"/>
      <c r="AR178" s="9"/>
      <c r="AS178" s="9"/>
      <c r="AT178" s="9"/>
      <c r="AU178" s="9"/>
      <c r="AV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234"/>
      <c r="AD179" s="234"/>
      <c r="AE179" s="234"/>
      <c r="AF179" s="234"/>
      <c r="AG179" s="9"/>
      <c r="AH179" s="9"/>
      <c r="AI179" s="9"/>
      <c r="AJ179" s="9"/>
      <c r="AK179" s="245"/>
      <c r="AL179" s="245"/>
      <c r="AM179" s="245"/>
      <c r="AN179" s="245"/>
      <c r="AO179" s="9"/>
      <c r="AP179" s="9"/>
      <c r="AQ179" s="9"/>
      <c r="AR179" s="9"/>
      <c r="AS179" s="9"/>
      <c r="AT179" s="9"/>
      <c r="AU179" s="9"/>
      <c r="AV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234"/>
      <c r="AD180" s="234"/>
      <c r="AE180" s="234"/>
      <c r="AF180" s="234"/>
      <c r="AG180" s="9"/>
      <c r="AH180" s="9"/>
      <c r="AI180" s="9"/>
      <c r="AJ180" s="9"/>
      <c r="AK180" s="245"/>
      <c r="AL180" s="245"/>
      <c r="AM180" s="245"/>
      <c r="AN180" s="245"/>
      <c r="AO180" s="9"/>
      <c r="AP180" s="9"/>
      <c r="AQ180" s="9"/>
      <c r="AR180" s="9"/>
      <c r="AS180" s="9"/>
      <c r="AT180" s="9"/>
      <c r="AU180" s="9"/>
      <c r="AV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234"/>
      <c r="AD181" s="234"/>
      <c r="AE181" s="234"/>
      <c r="AF181" s="234"/>
      <c r="AG181" s="9"/>
      <c r="AH181" s="9"/>
      <c r="AI181" s="9"/>
      <c r="AJ181" s="9"/>
      <c r="AK181" s="245"/>
      <c r="AL181" s="245"/>
      <c r="AM181" s="245"/>
      <c r="AN181" s="245"/>
      <c r="AO181" s="9"/>
      <c r="AP181" s="9"/>
      <c r="AQ181" s="9"/>
      <c r="AR181" s="9"/>
      <c r="AS181" s="9"/>
      <c r="AT181" s="9"/>
      <c r="AU181" s="9"/>
      <c r="AV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234"/>
      <c r="AD182" s="234"/>
      <c r="AE182" s="234"/>
      <c r="AF182" s="234"/>
      <c r="AG182" s="9"/>
      <c r="AH182" s="9"/>
      <c r="AI182" s="9"/>
      <c r="AJ182" s="9"/>
      <c r="AK182" s="245"/>
      <c r="AL182" s="245"/>
      <c r="AM182" s="245"/>
      <c r="AN182" s="245"/>
      <c r="AO182" s="9"/>
      <c r="AP182" s="9"/>
      <c r="AQ182" s="9"/>
      <c r="AR182" s="9"/>
      <c r="AS182" s="9"/>
      <c r="AT182" s="9"/>
      <c r="AU182" s="9"/>
      <c r="AV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234"/>
      <c r="AD183" s="234"/>
      <c r="AE183" s="234"/>
      <c r="AF183" s="234"/>
      <c r="AG183" s="9"/>
      <c r="AH183" s="9"/>
      <c r="AI183" s="9"/>
      <c r="AJ183" s="9"/>
      <c r="AK183" s="245"/>
      <c r="AL183" s="245"/>
      <c r="AM183" s="245"/>
      <c r="AN183" s="245"/>
      <c r="AO183" s="9"/>
      <c r="AP183" s="9"/>
      <c r="AQ183" s="9"/>
      <c r="AR183" s="9"/>
      <c r="AS183" s="9"/>
      <c r="AT183" s="9"/>
      <c r="AU183" s="9"/>
      <c r="AV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234"/>
      <c r="AD184" s="234"/>
      <c r="AE184" s="234"/>
      <c r="AF184" s="234"/>
      <c r="AG184" s="9"/>
      <c r="AH184" s="9"/>
      <c r="AI184" s="9"/>
      <c r="AJ184" s="9"/>
      <c r="AK184" s="245"/>
      <c r="AL184" s="245"/>
      <c r="AM184" s="245"/>
      <c r="AN184" s="245"/>
      <c r="AO184" s="9"/>
      <c r="AP184" s="9"/>
      <c r="AQ184" s="9"/>
      <c r="AR184" s="9"/>
      <c r="AS184" s="9"/>
      <c r="AT184" s="9"/>
      <c r="AU184" s="9"/>
      <c r="AV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234"/>
      <c r="AD185" s="234"/>
      <c r="AE185" s="234"/>
      <c r="AF185" s="234"/>
      <c r="AG185" s="9"/>
      <c r="AH185" s="9"/>
      <c r="AI185" s="9"/>
      <c r="AJ185" s="9"/>
      <c r="AK185" s="245"/>
      <c r="AL185" s="245"/>
      <c r="AM185" s="245"/>
      <c r="AN185" s="245"/>
      <c r="AO185" s="9"/>
      <c r="AP185" s="9"/>
      <c r="AQ185" s="9"/>
      <c r="AR185" s="9"/>
      <c r="AS185" s="9"/>
      <c r="AT185" s="9"/>
      <c r="AU185" s="9"/>
      <c r="AV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234"/>
      <c r="AD186" s="234"/>
      <c r="AE186" s="234"/>
      <c r="AF186" s="234"/>
      <c r="AG186" s="9"/>
      <c r="AH186" s="9"/>
      <c r="AI186" s="9"/>
      <c r="AJ186" s="9"/>
      <c r="AK186" s="245"/>
      <c r="AL186" s="245"/>
      <c r="AM186" s="245"/>
      <c r="AN186" s="245"/>
      <c r="AO186" s="9"/>
      <c r="AP186" s="9"/>
      <c r="AQ186" s="9"/>
      <c r="AR186" s="9"/>
      <c r="AS186" s="9"/>
      <c r="AT186" s="9"/>
      <c r="AU186" s="9"/>
      <c r="AV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234"/>
      <c r="AD187" s="234"/>
      <c r="AE187" s="234"/>
      <c r="AF187" s="234"/>
      <c r="AG187" s="9"/>
      <c r="AH187" s="9"/>
      <c r="AI187" s="9"/>
      <c r="AJ187" s="9"/>
      <c r="AK187" s="245"/>
      <c r="AL187" s="245"/>
      <c r="AM187" s="245"/>
      <c r="AN187" s="245"/>
      <c r="AO187" s="9"/>
      <c r="AP187" s="9"/>
      <c r="AQ187" s="9"/>
      <c r="AR187" s="9"/>
      <c r="AS187" s="9"/>
      <c r="AT187" s="9"/>
      <c r="AU187" s="9"/>
      <c r="AV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234"/>
      <c r="AD188" s="234"/>
      <c r="AE188" s="234"/>
      <c r="AF188" s="234"/>
      <c r="AG188" s="9"/>
      <c r="AH188" s="9"/>
      <c r="AI188" s="9"/>
      <c r="AJ188" s="9"/>
      <c r="AK188" s="245"/>
      <c r="AL188" s="245"/>
      <c r="AM188" s="245"/>
      <c r="AN188" s="245"/>
      <c r="AO188" s="9"/>
      <c r="AP188" s="9"/>
      <c r="AQ188" s="9"/>
      <c r="AR188" s="9"/>
      <c r="AS188" s="9"/>
      <c r="AT188" s="9"/>
      <c r="AU188" s="9"/>
      <c r="AV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234"/>
      <c r="AD189" s="234"/>
      <c r="AE189" s="234"/>
      <c r="AF189" s="234"/>
      <c r="AG189" s="9"/>
      <c r="AH189" s="9"/>
      <c r="AI189" s="9"/>
      <c r="AJ189" s="9"/>
      <c r="AK189" s="245"/>
      <c r="AL189" s="245"/>
      <c r="AM189" s="245"/>
      <c r="AN189" s="245"/>
      <c r="AO189" s="9"/>
      <c r="AP189" s="9"/>
      <c r="AQ189" s="9"/>
      <c r="AR189" s="9"/>
      <c r="AS189" s="9"/>
      <c r="AT189" s="9"/>
      <c r="AU189" s="9"/>
      <c r="AV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234"/>
      <c r="AD190" s="234"/>
      <c r="AE190" s="234"/>
      <c r="AF190" s="234"/>
      <c r="AG190" s="9"/>
      <c r="AH190" s="9"/>
      <c r="AI190" s="9"/>
      <c r="AJ190" s="9"/>
      <c r="AK190" s="245"/>
      <c r="AL190" s="245"/>
      <c r="AM190" s="245"/>
      <c r="AN190" s="245"/>
      <c r="AO190" s="9"/>
      <c r="AP190" s="9"/>
      <c r="AQ190" s="9"/>
      <c r="AR190" s="9"/>
      <c r="AS190" s="9"/>
      <c r="AT190" s="9"/>
      <c r="AU190" s="9"/>
      <c r="AV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234"/>
      <c r="AD191" s="234"/>
      <c r="AE191" s="234"/>
      <c r="AF191" s="234"/>
      <c r="AG191" s="9"/>
      <c r="AH191" s="9"/>
      <c r="AI191" s="9"/>
      <c r="AJ191" s="9"/>
      <c r="AK191" s="245"/>
      <c r="AL191" s="245"/>
      <c r="AM191" s="245"/>
      <c r="AN191" s="245"/>
      <c r="AO191" s="9"/>
      <c r="AP191" s="9"/>
      <c r="AQ191" s="9"/>
      <c r="AR191" s="9"/>
      <c r="AS191" s="9"/>
      <c r="AT191" s="9"/>
      <c r="AU191" s="9"/>
      <c r="AV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234"/>
      <c r="AD192" s="234"/>
      <c r="AE192" s="234"/>
      <c r="AF192" s="234"/>
      <c r="AG192" s="9"/>
      <c r="AH192" s="9"/>
      <c r="AI192" s="9"/>
      <c r="AJ192" s="9"/>
      <c r="AK192" s="245"/>
      <c r="AL192" s="245"/>
      <c r="AM192" s="245"/>
      <c r="AN192" s="245"/>
      <c r="AO192" s="9"/>
      <c r="AP192" s="9"/>
      <c r="AQ192" s="9"/>
      <c r="AR192" s="9"/>
      <c r="AS192" s="9"/>
      <c r="AT192" s="9"/>
      <c r="AU192" s="9"/>
      <c r="AV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234"/>
      <c r="AD193" s="234"/>
      <c r="AE193" s="234"/>
      <c r="AF193" s="234"/>
      <c r="AG193" s="9"/>
      <c r="AH193" s="9"/>
      <c r="AI193" s="9"/>
      <c r="AJ193" s="9"/>
      <c r="AK193" s="245"/>
      <c r="AL193" s="245"/>
      <c r="AM193" s="245"/>
      <c r="AN193" s="245"/>
      <c r="AO193" s="9"/>
      <c r="AP193" s="9"/>
      <c r="AQ193" s="9"/>
      <c r="AR193" s="9"/>
      <c r="AS193" s="9"/>
      <c r="AT193" s="9"/>
      <c r="AU193" s="9"/>
      <c r="AV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234"/>
      <c r="AD194" s="234"/>
      <c r="AE194" s="234"/>
      <c r="AF194" s="234"/>
      <c r="AG194" s="9"/>
      <c r="AH194" s="9"/>
      <c r="AI194" s="9"/>
      <c r="AJ194" s="9"/>
      <c r="AK194" s="245"/>
      <c r="AL194" s="245"/>
      <c r="AM194" s="245"/>
      <c r="AN194" s="245"/>
      <c r="AO194" s="9"/>
      <c r="AP194" s="9"/>
      <c r="AQ194" s="9"/>
      <c r="AR194" s="9"/>
      <c r="AS194" s="9"/>
      <c r="AT194" s="9"/>
      <c r="AU194" s="9"/>
      <c r="AV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234"/>
      <c r="AD195" s="234"/>
      <c r="AE195" s="234"/>
      <c r="AF195" s="234"/>
      <c r="AG195" s="9"/>
      <c r="AH195" s="9"/>
      <c r="AI195" s="9"/>
      <c r="AJ195" s="9"/>
      <c r="AK195" s="245"/>
      <c r="AL195" s="245"/>
      <c r="AM195" s="245"/>
      <c r="AN195" s="245"/>
      <c r="AO195" s="9"/>
      <c r="AP195" s="9"/>
      <c r="AQ195" s="9"/>
      <c r="AR195" s="9"/>
      <c r="AS195" s="9"/>
      <c r="AT195" s="9"/>
      <c r="AU195" s="9"/>
      <c r="AV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234"/>
      <c r="AD196" s="234"/>
      <c r="AE196" s="234"/>
      <c r="AF196" s="234"/>
      <c r="AG196" s="9"/>
      <c r="AH196" s="9"/>
      <c r="AI196" s="9"/>
      <c r="AJ196" s="9"/>
      <c r="AK196" s="245"/>
      <c r="AL196" s="245"/>
      <c r="AM196" s="245"/>
      <c r="AN196" s="245"/>
      <c r="AO196" s="9"/>
      <c r="AP196" s="9"/>
      <c r="AQ196" s="9"/>
      <c r="AR196" s="9"/>
      <c r="AS196" s="9"/>
      <c r="AT196" s="9"/>
      <c r="AU196" s="9"/>
      <c r="AV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234"/>
      <c r="AD197" s="234"/>
      <c r="AE197" s="234"/>
      <c r="AF197" s="234"/>
      <c r="AG197" s="9"/>
      <c r="AH197" s="9"/>
      <c r="AI197" s="9"/>
      <c r="AJ197" s="9"/>
      <c r="AK197" s="245"/>
      <c r="AL197" s="245"/>
      <c r="AM197" s="245"/>
      <c r="AN197" s="245"/>
      <c r="AO197" s="9"/>
      <c r="AP197" s="9"/>
      <c r="AQ197" s="9"/>
      <c r="AR197" s="9"/>
      <c r="AS197" s="9"/>
      <c r="AT197" s="9"/>
      <c r="AU197" s="9"/>
      <c r="AV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234"/>
      <c r="AD198" s="234"/>
      <c r="AE198" s="234"/>
      <c r="AF198" s="234"/>
      <c r="AG198" s="9"/>
      <c r="AH198" s="9"/>
      <c r="AI198" s="9"/>
      <c r="AJ198" s="9"/>
      <c r="AK198" s="245"/>
      <c r="AL198" s="245"/>
      <c r="AM198" s="245"/>
      <c r="AN198" s="245"/>
      <c r="AO198" s="9"/>
      <c r="AP198" s="9"/>
      <c r="AQ198" s="9"/>
      <c r="AR198" s="9"/>
      <c r="AS198" s="9"/>
      <c r="AT198" s="9"/>
      <c r="AU198" s="9"/>
      <c r="AV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234"/>
      <c r="AD199" s="234"/>
      <c r="AE199" s="234"/>
      <c r="AF199" s="234"/>
      <c r="AG199" s="9"/>
      <c r="AH199" s="9"/>
      <c r="AI199" s="9"/>
      <c r="AJ199" s="9"/>
      <c r="AK199" s="245"/>
      <c r="AL199" s="245"/>
      <c r="AM199" s="245"/>
      <c r="AN199" s="245"/>
      <c r="AO199" s="9"/>
      <c r="AP199" s="9"/>
      <c r="AQ199" s="9"/>
      <c r="AR199" s="9"/>
      <c r="AS199" s="9"/>
      <c r="AT199" s="9"/>
      <c r="AU199" s="9"/>
      <c r="AV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234"/>
      <c r="AD200" s="234"/>
      <c r="AE200" s="234"/>
      <c r="AF200" s="234"/>
      <c r="AG200" s="9"/>
      <c r="AH200" s="9"/>
      <c r="AI200" s="9"/>
      <c r="AJ200" s="9"/>
      <c r="AK200" s="245"/>
      <c r="AL200" s="245"/>
      <c r="AM200" s="245"/>
      <c r="AN200" s="245"/>
      <c r="AO200" s="9"/>
      <c r="AP200" s="9"/>
      <c r="AQ200" s="9"/>
      <c r="AR200" s="9"/>
      <c r="AS200" s="9"/>
      <c r="AT200" s="9"/>
      <c r="AU200" s="9"/>
      <c r="AV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234"/>
      <c r="AD201" s="234"/>
      <c r="AE201" s="234"/>
      <c r="AF201" s="234"/>
      <c r="AG201" s="9"/>
      <c r="AH201" s="9"/>
      <c r="AI201" s="9"/>
      <c r="AJ201" s="9"/>
      <c r="AK201" s="245"/>
      <c r="AL201" s="245"/>
      <c r="AM201" s="245"/>
      <c r="AN201" s="245"/>
      <c r="AO201" s="9"/>
      <c r="AP201" s="9"/>
      <c r="AQ201" s="9"/>
      <c r="AR201" s="9"/>
      <c r="AS201" s="9"/>
      <c r="AT201" s="9"/>
      <c r="AU201" s="9"/>
      <c r="AV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234"/>
      <c r="AD202" s="234"/>
      <c r="AE202" s="234"/>
      <c r="AF202" s="234"/>
      <c r="AG202" s="9"/>
      <c r="AH202" s="9"/>
      <c r="AI202" s="9"/>
      <c r="AJ202" s="9"/>
      <c r="AK202" s="245"/>
      <c r="AL202" s="245"/>
      <c r="AM202" s="245"/>
      <c r="AN202" s="245"/>
      <c r="AO202" s="9"/>
      <c r="AP202" s="9"/>
      <c r="AQ202" s="9"/>
      <c r="AR202" s="9"/>
      <c r="AS202" s="9"/>
      <c r="AT202" s="9"/>
      <c r="AU202" s="9"/>
      <c r="AV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234"/>
      <c r="AD203" s="234"/>
      <c r="AE203" s="234"/>
      <c r="AF203" s="234"/>
      <c r="AG203" s="9"/>
      <c r="AH203" s="9"/>
      <c r="AI203" s="9"/>
      <c r="AJ203" s="9"/>
      <c r="AK203" s="245"/>
      <c r="AL203" s="245"/>
      <c r="AM203" s="245"/>
      <c r="AN203" s="245"/>
      <c r="AO203" s="9"/>
      <c r="AP203" s="9"/>
      <c r="AQ203" s="9"/>
      <c r="AR203" s="9"/>
      <c r="AS203" s="9"/>
      <c r="AT203" s="9"/>
      <c r="AU203" s="9"/>
      <c r="AV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234"/>
      <c r="AD204" s="234"/>
      <c r="AE204" s="234"/>
      <c r="AF204" s="234"/>
      <c r="AG204" s="9"/>
      <c r="AH204" s="9"/>
      <c r="AI204" s="9"/>
      <c r="AJ204" s="9"/>
      <c r="AK204" s="245"/>
      <c r="AL204" s="245"/>
      <c r="AM204" s="245"/>
      <c r="AN204" s="245"/>
      <c r="AO204" s="9"/>
      <c r="AP204" s="9"/>
      <c r="AQ204" s="9"/>
      <c r="AR204" s="9"/>
      <c r="AS204" s="9"/>
      <c r="AT204" s="9"/>
      <c r="AU204" s="9"/>
      <c r="AV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234"/>
      <c r="AD205" s="234"/>
      <c r="AE205" s="234"/>
      <c r="AF205" s="234"/>
      <c r="AG205" s="9"/>
      <c r="AH205" s="9"/>
      <c r="AI205" s="9"/>
      <c r="AJ205" s="9"/>
      <c r="AK205" s="245"/>
      <c r="AL205" s="245"/>
      <c r="AM205" s="245"/>
      <c r="AN205" s="245"/>
      <c r="AO205" s="9"/>
      <c r="AP205" s="9"/>
      <c r="AQ205" s="9"/>
      <c r="AR205" s="9"/>
      <c r="AS205" s="9"/>
      <c r="AT205" s="9"/>
      <c r="AU205" s="9"/>
      <c r="AV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234"/>
      <c r="AD206" s="234"/>
      <c r="AE206" s="234"/>
      <c r="AF206" s="234"/>
      <c r="AG206" s="9"/>
      <c r="AH206" s="9"/>
      <c r="AI206" s="9"/>
      <c r="AJ206" s="9"/>
      <c r="AK206" s="245"/>
      <c r="AL206" s="245"/>
      <c r="AM206" s="245"/>
      <c r="AN206" s="245"/>
      <c r="AO206" s="9"/>
      <c r="AP206" s="9"/>
      <c r="AQ206" s="9"/>
      <c r="AR206" s="9"/>
      <c r="AS206" s="9"/>
      <c r="AT206" s="9"/>
      <c r="AU206" s="9"/>
      <c r="AV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234"/>
      <c r="AD207" s="234"/>
      <c r="AE207" s="234"/>
      <c r="AF207" s="234"/>
      <c r="AG207" s="9"/>
      <c r="AH207" s="9"/>
      <c r="AI207" s="9"/>
      <c r="AJ207" s="9"/>
      <c r="AK207" s="245"/>
      <c r="AL207" s="245"/>
      <c r="AM207" s="245"/>
      <c r="AN207" s="245"/>
      <c r="AO207" s="9"/>
      <c r="AP207" s="9"/>
      <c r="AQ207" s="9"/>
      <c r="AR207" s="9"/>
      <c r="AS207" s="9"/>
      <c r="AT207" s="9"/>
      <c r="AU207" s="9"/>
      <c r="AV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234"/>
      <c r="AD208" s="234"/>
      <c r="AE208" s="234"/>
      <c r="AF208" s="234"/>
      <c r="AG208" s="9"/>
      <c r="AH208" s="9"/>
      <c r="AI208" s="9"/>
      <c r="AJ208" s="9"/>
      <c r="AK208" s="245"/>
      <c r="AL208" s="245"/>
      <c r="AM208" s="245"/>
      <c r="AN208" s="245"/>
      <c r="AO208" s="9"/>
      <c r="AP208" s="9"/>
      <c r="AQ208" s="9"/>
      <c r="AR208" s="9"/>
      <c r="AS208" s="9"/>
      <c r="AT208" s="9"/>
      <c r="AU208" s="9"/>
      <c r="AV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234"/>
      <c r="AD209" s="234"/>
      <c r="AE209" s="234"/>
      <c r="AF209" s="234"/>
      <c r="AG209" s="9"/>
      <c r="AH209" s="9"/>
      <c r="AI209" s="9"/>
      <c r="AJ209" s="9"/>
      <c r="AK209" s="245"/>
      <c r="AL209" s="245"/>
      <c r="AM209" s="245"/>
      <c r="AN209" s="245"/>
      <c r="AO209" s="9"/>
      <c r="AP209" s="9"/>
      <c r="AQ209" s="9"/>
      <c r="AR209" s="9"/>
      <c r="AS209" s="9"/>
      <c r="AT209" s="9"/>
      <c r="AU209" s="9"/>
      <c r="AV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234"/>
      <c r="AD210" s="234"/>
      <c r="AE210" s="234"/>
      <c r="AF210" s="234"/>
      <c r="AG210" s="9"/>
      <c r="AH210" s="9"/>
      <c r="AI210" s="9"/>
      <c r="AJ210" s="9"/>
      <c r="AK210" s="245"/>
      <c r="AL210" s="245"/>
      <c r="AM210" s="245"/>
      <c r="AN210" s="245"/>
      <c r="AO210" s="9"/>
      <c r="AP210" s="9"/>
      <c r="AQ210" s="9"/>
      <c r="AR210" s="9"/>
      <c r="AS210" s="9"/>
      <c r="AT210" s="9"/>
      <c r="AU210" s="9"/>
      <c r="AV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234"/>
      <c r="AD211" s="234"/>
      <c r="AE211" s="234"/>
      <c r="AF211" s="234"/>
      <c r="AG211" s="9"/>
      <c r="AH211" s="9"/>
      <c r="AI211" s="9"/>
      <c r="AJ211" s="9"/>
      <c r="AK211" s="245"/>
      <c r="AL211" s="245"/>
      <c r="AM211" s="245"/>
      <c r="AN211" s="245"/>
      <c r="AO211" s="9"/>
      <c r="AP211" s="9"/>
      <c r="AQ211" s="9"/>
      <c r="AR211" s="9"/>
      <c r="AS211" s="9"/>
      <c r="AT211" s="9"/>
      <c r="AU211" s="9"/>
      <c r="AV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234"/>
      <c r="AD212" s="234"/>
      <c r="AE212" s="234"/>
      <c r="AF212" s="234"/>
      <c r="AG212" s="9"/>
      <c r="AH212" s="9"/>
      <c r="AI212" s="9"/>
      <c r="AJ212" s="9"/>
      <c r="AK212" s="245"/>
      <c r="AL212" s="245"/>
      <c r="AM212" s="245"/>
      <c r="AN212" s="245"/>
      <c r="AO212" s="9"/>
      <c r="AP212" s="9"/>
      <c r="AQ212" s="9"/>
      <c r="AR212" s="9"/>
      <c r="AS212" s="9"/>
      <c r="AT212" s="9"/>
      <c r="AU212" s="9"/>
      <c r="AV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234"/>
      <c r="AD213" s="234"/>
      <c r="AE213" s="234"/>
      <c r="AF213" s="234"/>
      <c r="AG213" s="9"/>
      <c r="AH213" s="9"/>
      <c r="AI213" s="9"/>
      <c r="AJ213" s="9"/>
      <c r="AK213" s="245"/>
      <c r="AL213" s="245"/>
      <c r="AM213" s="245"/>
      <c r="AN213" s="245"/>
      <c r="AO213" s="9"/>
      <c r="AP213" s="9"/>
      <c r="AQ213" s="9"/>
      <c r="AR213" s="9"/>
      <c r="AS213" s="9"/>
      <c r="AT213" s="9"/>
      <c r="AU213" s="9"/>
      <c r="AV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234"/>
      <c r="AD214" s="234"/>
      <c r="AE214" s="234"/>
      <c r="AF214" s="234"/>
      <c r="AG214" s="9"/>
      <c r="AH214" s="9"/>
      <c r="AI214" s="9"/>
      <c r="AJ214" s="9"/>
      <c r="AK214" s="245"/>
      <c r="AL214" s="245"/>
      <c r="AM214" s="245"/>
      <c r="AN214" s="245"/>
      <c r="AO214" s="9"/>
      <c r="AP214" s="9"/>
      <c r="AQ214" s="9"/>
      <c r="AR214" s="9"/>
      <c r="AS214" s="9"/>
      <c r="AT214" s="9"/>
      <c r="AU214" s="9"/>
      <c r="AV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234"/>
      <c r="AD215" s="234"/>
      <c r="AE215" s="234"/>
      <c r="AF215" s="234"/>
      <c r="AG215" s="9"/>
      <c r="AH215" s="9"/>
      <c r="AI215" s="9"/>
      <c r="AJ215" s="9"/>
      <c r="AK215" s="245"/>
      <c r="AL215" s="245"/>
      <c r="AM215" s="245"/>
      <c r="AN215" s="245"/>
      <c r="AO215" s="9"/>
      <c r="AP215" s="9"/>
      <c r="AQ215" s="9"/>
      <c r="AR215" s="9"/>
      <c r="AS215" s="9"/>
      <c r="AT215" s="9"/>
      <c r="AU215" s="9"/>
      <c r="AV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234"/>
      <c r="AD216" s="234"/>
      <c r="AE216" s="234"/>
      <c r="AF216" s="234"/>
      <c r="AG216" s="9"/>
      <c r="AH216" s="9"/>
      <c r="AI216" s="9"/>
      <c r="AJ216" s="9"/>
      <c r="AK216" s="245"/>
      <c r="AL216" s="245"/>
      <c r="AM216" s="245"/>
      <c r="AN216" s="245"/>
      <c r="AO216" s="9"/>
      <c r="AP216" s="9"/>
      <c r="AQ216" s="9"/>
      <c r="AR216" s="9"/>
      <c r="AS216" s="9"/>
      <c r="AT216" s="9"/>
      <c r="AU216" s="9"/>
      <c r="AV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234"/>
      <c r="AD217" s="234"/>
      <c r="AE217" s="234"/>
      <c r="AF217" s="234"/>
      <c r="AG217" s="9"/>
      <c r="AH217" s="9"/>
      <c r="AI217" s="9"/>
      <c r="AJ217" s="9"/>
      <c r="AK217" s="245"/>
      <c r="AL217" s="245"/>
      <c r="AM217" s="245"/>
      <c r="AN217" s="245"/>
      <c r="AO217" s="9"/>
      <c r="AP217" s="9"/>
      <c r="AQ217" s="9"/>
      <c r="AR217" s="9"/>
      <c r="AS217" s="9"/>
      <c r="AT217" s="9"/>
      <c r="AU217" s="9"/>
      <c r="AV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234"/>
      <c r="AD218" s="234"/>
      <c r="AE218" s="234"/>
      <c r="AF218" s="234"/>
      <c r="AG218" s="9"/>
      <c r="AH218" s="9"/>
      <c r="AI218" s="9"/>
      <c r="AJ218" s="9"/>
      <c r="AK218" s="245"/>
      <c r="AL218" s="245"/>
      <c r="AM218" s="245"/>
      <c r="AN218" s="245"/>
      <c r="AO218" s="9"/>
      <c r="AP218" s="9"/>
      <c r="AQ218" s="9"/>
      <c r="AR218" s="9"/>
      <c r="AS218" s="9"/>
      <c r="AT218" s="9"/>
      <c r="AU218" s="9"/>
      <c r="AV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234"/>
      <c r="AD219" s="234"/>
      <c r="AE219" s="234"/>
      <c r="AF219" s="234"/>
      <c r="AG219" s="9"/>
      <c r="AH219" s="9"/>
      <c r="AI219" s="9"/>
      <c r="AJ219" s="9"/>
      <c r="AK219" s="245"/>
      <c r="AL219" s="245"/>
      <c r="AM219" s="245"/>
      <c r="AN219" s="245"/>
      <c r="AO219" s="9"/>
      <c r="AP219" s="9"/>
      <c r="AQ219" s="9"/>
      <c r="AR219" s="9"/>
      <c r="AS219" s="9"/>
      <c r="AT219" s="9"/>
      <c r="AU219" s="9"/>
      <c r="AV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234"/>
      <c r="AD220" s="234"/>
      <c r="AE220" s="234"/>
      <c r="AF220" s="234"/>
      <c r="AG220" s="9"/>
      <c r="AH220" s="9"/>
      <c r="AI220" s="9"/>
      <c r="AJ220" s="9"/>
      <c r="AK220" s="245"/>
      <c r="AL220" s="245"/>
      <c r="AM220" s="245"/>
      <c r="AN220" s="245"/>
      <c r="AO220" s="9"/>
      <c r="AP220" s="9"/>
      <c r="AQ220" s="9"/>
      <c r="AR220" s="9"/>
      <c r="AS220" s="9"/>
      <c r="AT220" s="9"/>
      <c r="AU220" s="9"/>
      <c r="AV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234"/>
      <c r="AD221" s="234"/>
      <c r="AE221" s="234"/>
      <c r="AF221" s="234"/>
      <c r="AG221" s="9"/>
      <c r="AH221" s="9"/>
      <c r="AI221" s="9"/>
      <c r="AJ221" s="9"/>
      <c r="AK221" s="245"/>
      <c r="AL221" s="245"/>
      <c r="AM221" s="245"/>
      <c r="AN221" s="245"/>
      <c r="AO221" s="9"/>
      <c r="AP221" s="9"/>
      <c r="AQ221" s="9"/>
      <c r="AR221" s="9"/>
      <c r="AS221" s="9"/>
      <c r="AT221" s="9"/>
      <c r="AU221" s="9"/>
      <c r="AV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234"/>
      <c r="AD222" s="234"/>
      <c r="AE222" s="234"/>
      <c r="AF222" s="234"/>
      <c r="AG222" s="9"/>
      <c r="AH222" s="9"/>
      <c r="AI222" s="9"/>
      <c r="AJ222" s="9"/>
      <c r="AK222" s="245"/>
      <c r="AL222" s="245"/>
      <c r="AM222" s="245"/>
      <c r="AN222" s="245"/>
      <c r="AO222" s="9"/>
      <c r="AP222" s="9"/>
      <c r="AQ222" s="9"/>
      <c r="AR222" s="9"/>
      <c r="AS222" s="9"/>
      <c r="AT222" s="9"/>
      <c r="AU222" s="9"/>
      <c r="AV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234"/>
      <c r="AD223" s="234"/>
      <c r="AE223" s="234"/>
      <c r="AF223" s="234"/>
      <c r="AG223" s="9"/>
      <c r="AH223" s="9"/>
      <c r="AI223" s="9"/>
      <c r="AJ223" s="9"/>
      <c r="AK223" s="245"/>
      <c r="AL223" s="245"/>
      <c r="AM223" s="245"/>
      <c r="AN223" s="245"/>
      <c r="AO223" s="9"/>
      <c r="AP223" s="9"/>
      <c r="AQ223" s="9"/>
      <c r="AR223" s="9"/>
      <c r="AS223" s="9"/>
      <c r="AT223" s="9"/>
      <c r="AU223" s="9"/>
      <c r="AV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234"/>
      <c r="AD224" s="234"/>
      <c r="AE224" s="234"/>
      <c r="AF224" s="234"/>
      <c r="AG224" s="9"/>
      <c r="AH224" s="9"/>
      <c r="AI224" s="9"/>
      <c r="AJ224" s="9"/>
      <c r="AK224" s="245"/>
      <c r="AL224" s="245"/>
      <c r="AM224" s="245"/>
      <c r="AN224" s="245"/>
      <c r="AO224" s="9"/>
      <c r="AP224" s="9"/>
      <c r="AQ224" s="9"/>
      <c r="AR224" s="9"/>
      <c r="AS224" s="9"/>
      <c r="AT224" s="9"/>
      <c r="AU224" s="9"/>
      <c r="AV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234"/>
      <c r="AD225" s="234"/>
      <c r="AE225" s="234"/>
      <c r="AF225" s="234"/>
      <c r="AG225" s="9"/>
      <c r="AH225" s="9"/>
      <c r="AI225" s="9"/>
      <c r="AJ225" s="9"/>
      <c r="AK225" s="245"/>
      <c r="AL225" s="245"/>
      <c r="AM225" s="245"/>
      <c r="AN225" s="245"/>
      <c r="AO225" s="9"/>
      <c r="AP225" s="9"/>
      <c r="AQ225" s="9"/>
      <c r="AR225" s="9"/>
      <c r="AS225" s="9"/>
      <c r="AT225" s="9"/>
      <c r="AU225" s="9"/>
      <c r="AV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234"/>
      <c r="AD226" s="234"/>
      <c r="AE226" s="234"/>
      <c r="AF226" s="234"/>
      <c r="AG226" s="9"/>
      <c r="AH226" s="9"/>
      <c r="AI226" s="9"/>
      <c r="AJ226" s="9"/>
      <c r="AK226" s="245"/>
      <c r="AL226" s="245"/>
      <c r="AM226" s="245"/>
      <c r="AN226" s="245"/>
      <c r="AO226" s="9"/>
      <c r="AP226" s="9"/>
      <c r="AQ226" s="9"/>
      <c r="AR226" s="9"/>
      <c r="AS226" s="9"/>
      <c r="AT226" s="9"/>
      <c r="AU226" s="9"/>
      <c r="AV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234"/>
      <c r="AD227" s="234"/>
      <c r="AE227" s="234"/>
      <c r="AF227" s="234"/>
      <c r="AG227" s="9"/>
      <c r="AH227" s="9"/>
      <c r="AI227" s="9"/>
      <c r="AJ227" s="9"/>
      <c r="AK227" s="245"/>
      <c r="AL227" s="245"/>
      <c r="AM227" s="245"/>
      <c r="AN227" s="245"/>
      <c r="AO227" s="9"/>
      <c r="AP227" s="9"/>
      <c r="AQ227" s="9"/>
      <c r="AR227" s="9"/>
      <c r="AS227" s="9"/>
      <c r="AT227" s="9"/>
      <c r="AU227" s="9"/>
      <c r="AV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234"/>
      <c r="AD228" s="234"/>
      <c r="AE228" s="234"/>
      <c r="AF228" s="234"/>
      <c r="AG228" s="9"/>
      <c r="AH228" s="9"/>
      <c r="AI228" s="9"/>
      <c r="AJ228" s="9"/>
      <c r="AK228" s="245"/>
      <c r="AL228" s="245"/>
      <c r="AM228" s="245"/>
      <c r="AN228" s="245"/>
      <c r="AO228" s="9"/>
      <c r="AP228" s="9"/>
      <c r="AQ228" s="9"/>
      <c r="AR228" s="9"/>
      <c r="AS228" s="9"/>
      <c r="AT228" s="9"/>
      <c r="AU228" s="9"/>
      <c r="AV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234"/>
      <c r="AD229" s="234"/>
      <c r="AE229" s="234"/>
      <c r="AF229" s="234"/>
      <c r="AG229" s="9"/>
      <c r="AH229" s="9"/>
      <c r="AI229" s="9"/>
      <c r="AJ229" s="9"/>
      <c r="AK229" s="245"/>
      <c r="AL229" s="245"/>
      <c r="AM229" s="245"/>
      <c r="AN229" s="245"/>
      <c r="AO229" s="9"/>
      <c r="AP229" s="9"/>
      <c r="AQ229" s="9"/>
      <c r="AR229" s="9"/>
      <c r="AS229" s="9"/>
      <c r="AT229" s="9"/>
      <c r="AU229" s="9"/>
      <c r="AV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234"/>
      <c r="AD230" s="234"/>
      <c r="AE230" s="234"/>
      <c r="AF230" s="234"/>
      <c r="AG230" s="9"/>
      <c r="AH230" s="9"/>
      <c r="AI230" s="9"/>
      <c r="AJ230" s="9"/>
      <c r="AK230" s="245"/>
      <c r="AL230" s="245"/>
      <c r="AM230" s="245"/>
      <c r="AN230" s="245"/>
      <c r="AO230" s="9"/>
      <c r="AP230" s="9"/>
      <c r="AQ230" s="9"/>
      <c r="AR230" s="9"/>
      <c r="AS230" s="9"/>
      <c r="AT230" s="9"/>
      <c r="AU230" s="9"/>
      <c r="AV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234"/>
      <c r="AD231" s="234"/>
      <c r="AE231" s="234"/>
      <c r="AF231" s="234"/>
      <c r="AG231" s="9"/>
      <c r="AH231" s="9"/>
      <c r="AI231" s="9"/>
      <c r="AJ231" s="9"/>
      <c r="AK231" s="245"/>
      <c r="AL231" s="245"/>
      <c r="AM231" s="245"/>
      <c r="AN231" s="245"/>
      <c r="AO231" s="9"/>
      <c r="AP231" s="9"/>
      <c r="AQ231" s="9"/>
      <c r="AR231" s="9"/>
      <c r="AS231" s="9"/>
      <c r="AT231" s="9"/>
      <c r="AU231" s="9"/>
      <c r="AV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234"/>
      <c r="AD232" s="234"/>
      <c r="AE232" s="234"/>
      <c r="AF232" s="234"/>
      <c r="AG232" s="9"/>
      <c r="AH232" s="9"/>
      <c r="AI232" s="9"/>
      <c r="AJ232" s="9"/>
      <c r="AK232" s="245"/>
      <c r="AL232" s="245"/>
      <c r="AM232" s="245"/>
      <c r="AN232" s="245"/>
      <c r="AO232" s="9"/>
      <c r="AP232" s="9"/>
      <c r="AQ232" s="9"/>
      <c r="AR232" s="9"/>
      <c r="AS232" s="9"/>
      <c r="AT232" s="9"/>
      <c r="AU232" s="9"/>
      <c r="AV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234"/>
      <c r="AD233" s="234"/>
      <c r="AE233" s="234"/>
      <c r="AF233" s="234"/>
      <c r="AG233" s="9"/>
      <c r="AH233" s="9"/>
      <c r="AI233" s="9"/>
      <c r="AJ233" s="9"/>
      <c r="AK233" s="245"/>
      <c r="AL233" s="245"/>
      <c r="AM233" s="245"/>
      <c r="AN233" s="245"/>
      <c r="AO233" s="9"/>
      <c r="AP233" s="9"/>
      <c r="AQ233" s="9"/>
      <c r="AR233" s="9"/>
      <c r="AS233" s="9"/>
      <c r="AT233" s="9"/>
      <c r="AU233" s="9"/>
      <c r="AV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234"/>
      <c r="AD234" s="234"/>
      <c r="AE234" s="234"/>
      <c r="AF234" s="234"/>
      <c r="AG234" s="9"/>
      <c r="AH234" s="9"/>
      <c r="AI234" s="9"/>
      <c r="AJ234" s="9"/>
      <c r="AK234" s="245"/>
      <c r="AL234" s="245"/>
      <c r="AM234" s="245"/>
      <c r="AN234" s="245"/>
      <c r="AO234" s="9"/>
      <c r="AP234" s="9"/>
      <c r="AQ234" s="9"/>
      <c r="AR234" s="9"/>
      <c r="AS234" s="9"/>
      <c r="AT234" s="9"/>
      <c r="AU234" s="9"/>
      <c r="AV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234"/>
      <c r="AD235" s="234"/>
      <c r="AE235" s="234"/>
      <c r="AF235" s="234"/>
      <c r="AG235" s="9"/>
      <c r="AH235" s="9"/>
      <c r="AI235" s="9"/>
      <c r="AJ235" s="9"/>
      <c r="AK235" s="245"/>
      <c r="AL235" s="245"/>
      <c r="AM235" s="245"/>
      <c r="AN235" s="245"/>
      <c r="AO235" s="9"/>
      <c r="AP235" s="9"/>
      <c r="AQ235" s="9"/>
      <c r="AR235" s="9"/>
      <c r="AS235" s="9"/>
      <c r="AT235" s="9"/>
      <c r="AU235" s="9"/>
      <c r="AV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234"/>
      <c r="AD236" s="234"/>
      <c r="AE236" s="234"/>
      <c r="AF236" s="234"/>
      <c r="AG236" s="9"/>
      <c r="AH236" s="9"/>
      <c r="AI236" s="9"/>
      <c r="AJ236" s="9"/>
      <c r="AK236" s="245"/>
      <c r="AL236" s="245"/>
      <c r="AM236" s="245"/>
      <c r="AN236" s="245"/>
      <c r="AO236" s="9"/>
      <c r="AP236" s="9"/>
      <c r="AQ236" s="9"/>
      <c r="AR236" s="9"/>
      <c r="AS236" s="9"/>
      <c r="AT236" s="9"/>
      <c r="AU236" s="9"/>
      <c r="AV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234"/>
      <c r="AD237" s="234"/>
      <c r="AE237" s="234"/>
      <c r="AF237" s="234"/>
      <c r="AG237" s="9"/>
      <c r="AH237" s="9"/>
      <c r="AI237" s="9"/>
      <c r="AJ237" s="9"/>
      <c r="AK237" s="245"/>
      <c r="AL237" s="245"/>
      <c r="AM237" s="245"/>
      <c r="AN237" s="245"/>
      <c r="AO237" s="9"/>
      <c r="AP237" s="9"/>
      <c r="AQ237" s="9"/>
      <c r="AR237" s="9"/>
      <c r="AS237" s="9"/>
      <c r="AT237" s="9"/>
      <c r="AU237" s="9"/>
      <c r="AV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234"/>
      <c r="AD238" s="234"/>
      <c r="AE238" s="234"/>
      <c r="AF238" s="234"/>
      <c r="AG238" s="9"/>
      <c r="AH238" s="9"/>
      <c r="AI238" s="9"/>
      <c r="AJ238" s="9"/>
      <c r="AK238" s="245"/>
      <c r="AL238" s="245"/>
      <c r="AM238" s="245"/>
      <c r="AN238" s="245"/>
      <c r="AO238" s="9"/>
      <c r="AP238" s="9"/>
      <c r="AQ238" s="9"/>
      <c r="AR238" s="9"/>
      <c r="AS238" s="9"/>
      <c r="AT238" s="9"/>
      <c r="AU238" s="9"/>
      <c r="AV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234"/>
      <c r="AD239" s="234"/>
      <c r="AE239" s="234"/>
      <c r="AF239" s="234"/>
      <c r="AG239" s="9"/>
      <c r="AH239" s="9"/>
      <c r="AI239" s="9"/>
      <c r="AJ239" s="9"/>
      <c r="AK239" s="245"/>
      <c r="AL239" s="245"/>
      <c r="AM239" s="245"/>
      <c r="AN239" s="245"/>
      <c r="AO239" s="9"/>
      <c r="AP239" s="9"/>
      <c r="AQ239" s="9"/>
      <c r="AR239" s="9"/>
      <c r="AS239" s="9"/>
      <c r="AT239" s="9"/>
      <c r="AU239" s="9"/>
      <c r="AV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234"/>
      <c r="AD240" s="234"/>
      <c r="AE240" s="234"/>
      <c r="AF240" s="234"/>
      <c r="AG240" s="9"/>
      <c r="AH240" s="9"/>
      <c r="AI240" s="9"/>
      <c r="AJ240" s="9"/>
      <c r="AK240" s="245"/>
      <c r="AL240" s="245"/>
      <c r="AM240" s="245"/>
      <c r="AN240" s="245"/>
      <c r="AO240" s="9"/>
      <c r="AP240" s="9"/>
      <c r="AQ240" s="9"/>
      <c r="AR240" s="9"/>
      <c r="AS240" s="9"/>
      <c r="AT240" s="9"/>
      <c r="AU240" s="9"/>
      <c r="AV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234"/>
      <c r="AD241" s="234"/>
      <c r="AE241" s="234"/>
      <c r="AF241" s="234"/>
      <c r="AG241" s="9"/>
      <c r="AH241" s="9"/>
      <c r="AI241" s="9"/>
      <c r="AJ241" s="9"/>
      <c r="AK241" s="245"/>
      <c r="AL241" s="245"/>
      <c r="AM241" s="245"/>
      <c r="AN241" s="245"/>
      <c r="AO241" s="9"/>
      <c r="AP241" s="9"/>
      <c r="AQ241" s="9"/>
      <c r="AR241" s="9"/>
      <c r="AS241" s="9"/>
      <c r="AT241" s="9"/>
      <c r="AU241" s="9"/>
      <c r="AV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234"/>
      <c r="AD242" s="234"/>
      <c r="AE242" s="234"/>
      <c r="AF242" s="234"/>
      <c r="AG242" s="9"/>
      <c r="AH242" s="9"/>
      <c r="AI242" s="9"/>
      <c r="AJ242" s="9"/>
      <c r="AK242" s="245"/>
      <c r="AL242" s="245"/>
      <c r="AM242" s="245"/>
      <c r="AN242" s="245"/>
      <c r="AO242" s="9"/>
      <c r="AP242" s="9"/>
      <c r="AQ242" s="9"/>
      <c r="AR242" s="9"/>
      <c r="AS242" s="9"/>
      <c r="AT242" s="9"/>
      <c r="AU242" s="9"/>
      <c r="AV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234"/>
      <c r="AD243" s="234"/>
      <c r="AE243" s="234"/>
      <c r="AF243" s="234"/>
      <c r="AG243" s="9"/>
      <c r="AH243" s="9"/>
      <c r="AI243" s="9"/>
      <c r="AJ243" s="9"/>
      <c r="AK243" s="245"/>
      <c r="AL243" s="245"/>
      <c r="AM243" s="245"/>
      <c r="AN243" s="245"/>
      <c r="AO243" s="9"/>
      <c r="AP243" s="9"/>
      <c r="AQ243" s="9"/>
      <c r="AR243" s="9"/>
      <c r="AS243" s="9"/>
      <c r="AT243" s="9"/>
      <c r="AU243" s="9"/>
      <c r="AV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234"/>
      <c r="AD244" s="234"/>
      <c r="AE244" s="234"/>
      <c r="AF244" s="234"/>
      <c r="AG244" s="9"/>
      <c r="AH244" s="9"/>
      <c r="AI244" s="9"/>
      <c r="AJ244" s="9"/>
      <c r="AK244" s="245"/>
      <c r="AL244" s="245"/>
      <c r="AM244" s="245"/>
      <c r="AN244" s="245"/>
      <c r="AO244" s="9"/>
      <c r="AP244" s="9"/>
      <c r="AQ244" s="9"/>
      <c r="AR244" s="9"/>
      <c r="AS244" s="9"/>
      <c r="AT244" s="9"/>
      <c r="AU244" s="9"/>
      <c r="AV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234"/>
      <c r="AD245" s="234"/>
      <c r="AE245" s="234"/>
      <c r="AF245" s="234"/>
      <c r="AG245" s="9"/>
      <c r="AH245" s="9"/>
      <c r="AI245" s="9"/>
      <c r="AJ245" s="9"/>
      <c r="AK245" s="245"/>
      <c r="AL245" s="245"/>
      <c r="AM245" s="245"/>
      <c r="AN245" s="245"/>
      <c r="AO245" s="9"/>
      <c r="AP245" s="9"/>
      <c r="AQ245" s="9"/>
      <c r="AR245" s="9"/>
      <c r="AS245" s="9"/>
      <c r="AT245" s="9"/>
      <c r="AU245" s="9"/>
      <c r="AV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234"/>
      <c r="AD246" s="234"/>
      <c r="AE246" s="234"/>
      <c r="AF246" s="234"/>
      <c r="AG246" s="9"/>
      <c r="AH246" s="9"/>
      <c r="AI246" s="9"/>
      <c r="AJ246" s="9"/>
      <c r="AK246" s="245"/>
      <c r="AL246" s="245"/>
      <c r="AM246" s="245"/>
      <c r="AN246" s="245"/>
      <c r="AO246" s="9"/>
      <c r="AP246" s="9"/>
      <c r="AQ246" s="9"/>
      <c r="AR246" s="9"/>
      <c r="AS246" s="9"/>
      <c r="AT246" s="9"/>
      <c r="AU246" s="9"/>
      <c r="AV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234"/>
      <c r="AD247" s="234"/>
      <c r="AE247" s="234"/>
      <c r="AF247" s="234"/>
      <c r="AG247" s="9"/>
      <c r="AH247" s="9"/>
      <c r="AI247" s="9"/>
      <c r="AJ247" s="9"/>
      <c r="AK247" s="245"/>
      <c r="AL247" s="245"/>
      <c r="AM247" s="245"/>
      <c r="AN247" s="245"/>
      <c r="AO247" s="9"/>
      <c r="AP247" s="9"/>
      <c r="AQ247" s="9"/>
      <c r="AR247" s="9"/>
      <c r="AS247" s="9"/>
      <c r="AT247" s="9"/>
      <c r="AU247" s="9"/>
      <c r="AV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234"/>
      <c r="AD248" s="234"/>
      <c r="AE248" s="234"/>
      <c r="AF248" s="234"/>
      <c r="AG248" s="9"/>
      <c r="AH248" s="9"/>
      <c r="AI248" s="9"/>
      <c r="AJ248" s="9"/>
      <c r="AK248" s="245"/>
      <c r="AL248" s="245"/>
      <c r="AM248" s="245"/>
      <c r="AN248" s="245"/>
      <c r="AO248" s="9"/>
      <c r="AP248" s="9"/>
      <c r="AQ248" s="9"/>
      <c r="AR248" s="9"/>
      <c r="AS248" s="9"/>
      <c r="AT248" s="9"/>
      <c r="AU248" s="9"/>
      <c r="AV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234"/>
      <c r="AD249" s="234"/>
      <c r="AE249" s="234"/>
      <c r="AF249" s="234"/>
      <c r="AG249" s="9"/>
      <c r="AH249" s="9"/>
      <c r="AI249" s="9"/>
      <c r="AJ249" s="9"/>
      <c r="AK249" s="245"/>
      <c r="AL249" s="245"/>
      <c r="AM249" s="245"/>
      <c r="AN249" s="245"/>
      <c r="AO249" s="9"/>
      <c r="AP249" s="9"/>
      <c r="AQ249" s="9"/>
      <c r="AR249" s="9"/>
      <c r="AS249" s="9"/>
      <c r="AT249" s="9"/>
      <c r="AU249" s="9"/>
      <c r="AV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234"/>
      <c r="AD250" s="234"/>
      <c r="AE250" s="234"/>
      <c r="AF250" s="234"/>
      <c r="AG250" s="9"/>
      <c r="AH250" s="9"/>
      <c r="AI250" s="9"/>
      <c r="AJ250" s="9"/>
      <c r="AK250" s="245"/>
      <c r="AL250" s="245"/>
      <c r="AM250" s="245"/>
      <c r="AN250" s="245"/>
      <c r="AO250" s="9"/>
      <c r="AP250" s="9"/>
      <c r="AQ250" s="9"/>
      <c r="AR250" s="9"/>
      <c r="AS250" s="9"/>
      <c r="AT250" s="9"/>
      <c r="AU250" s="9"/>
      <c r="AV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234"/>
      <c r="AD251" s="234"/>
      <c r="AE251" s="234"/>
      <c r="AF251" s="234"/>
      <c r="AG251" s="9"/>
      <c r="AH251" s="9"/>
      <c r="AI251" s="9"/>
      <c r="AJ251" s="9"/>
      <c r="AK251" s="245"/>
      <c r="AL251" s="245"/>
      <c r="AM251" s="245"/>
      <c r="AN251" s="245"/>
      <c r="AO251" s="9"/>
      <c r="AP251" s="9"/>
      <c r="AQ251" s="9"/>
      <c r="AR251" s="9"/>
      <c r="AS251" s="9"/>
      <c r="AT251" s="9"/>
      <c r="AU251" s="9"/>
      <c r="AV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234"/>
      <c r="AD252" s="234"/>
      <c r="AE252" s="234"/>
      <c r="AF252" s="234"/>
      <c r="AG252" s="9"/>
      <c r="AH252" s="9"/>
      <c r="AI252" s="9"/>
      <c r="AJ252" s="9"/>
      <c r="AK252" s="245"/>
      <c r="AL252" s="245"/>
      <c r="AM252" s="245"/>
      <c r="AN252" s="245"/>
      <c r="AO252" s="9"/>
      <c r="AP252" s="9"/>
      <c r="AQ252" s="9"/>
      <c r="AR252" s="9"/>
      <c r="AS252" s="9"/>
      <c r="AT252" s="9"/>
      <c r="AU252" s="9"/>
      <c r="AV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234"/>
      <c r="AD253" s="234"/>
      <c r="AE253" s="234"/>
      <c r="AF253" s="234"/>
      <c r="AG253" s="9"/>
      <c r="AH253" s="9"/>
      <c r="AI253" s="9"/>
      <c r="AJ253" s="9"/>
      <c r="AK253" s="245"/>
      <c r="AL253" s="245"/>
      <c r="AM253" s="245"/>
      <c r="AN253" s="245"/>
      <c r="AO253" s="9"/>
      <c r="AP253" s="9"/>
      <c r="AQ253" s="9"/>
      <c r="AR253" s="9"/>
      <c r="AS253" s="9"/>
      <c r="AT253" s="9"/>
      <c r="AU253" s="9"/>
      <c r="AV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234"/>
      <c r="AD254" s="234"/>
      <c r="AE254" s="234"/>
      <c r="AF254" s="234"/>
      <c r="AG254" s="9"/>
      <c r="AH254" s="9"/>
      <c r="AI254" s="9"/>
      <c r="AJ254" s="9"/>
      <c r="AK254" s="245"/>
      <c r="AL254" s="245"/>
      <c r="AM254" s="245"/>
      <c r="AN254" s="245"/>
      <c r="AO254" s="9"/>
      <c r="AP254" s="9"/>
      <c r="AQ254" s="9"/>
      <c r="AR254" s="9"/>
      <c r="AS254" s="9"/>
      <c r="AT254" s="9"/>
      <c r="AU254" s="9"/>
      <c r="AV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234"/>
      <c r="AD255" s="234"/>
      <c r="AE255" s="234"/>
      <c r="AF255" s="234"/>
      <c r="AG255" s="9"/>
      <c r="AH255" s="9"/>
      <c r="AI255" s="9"/>
      <c r="AJ255" s="9"/>
      <c r="AK255" s="245"/>
      <c r="AL255" s="245"/>
      <c r="AM255" s="245"/>
      <c r="AN255" s="245"/>
      <c r="AO255" s="9"/>
      <c r="AP255" s="9"/>
      <c r="AQ255" s="9"/>
      <c r="AR255" s="9"/>
      <c r="AS255" s="9"/>
      <c r="AT255" s="9"/>
      <c r="AU255" s="9"/>
      <c r="AV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234"/>
      <c r="AD256" s="234"/>
      <c r="AE256" s="234"/>
      <c r="AF256" s="234"/>
      <c r="AG256" s="9"/>
      <c r="AH256" s="9"/>
      <c r="AI256" s="9"/>
      <c r="AJ256" s="9"/>
      <c r="AK256" s="245"/>
      <c r="AL256" s="245"/>
      <c r="AM256" s="245"/>
      <c r="AN256" s="245"/>
      <c r="AO256" s="9"/>
      <c r="AP256" s="9"/>
      <c r="AQ256" s="9"/>
      <c r="AR256" s="9"/>
      <c r="AS256" s="9"/>
      <c r="AT256" s="9"/>
      <c r="AU256" s="9"/>
      <c r="AV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234"/>
      <c r="AD257" s="234"/>
      <c r="AE257" s="234"/>
      <c r="AF257" s="234"/>
      <c r="AG257" s="9"/>
      <c r="AH257" s="9"/>
      <c r="AI257" s="9"/>
      <c r="AJ257" s="9"/>
      <c r="AK257" s="245"/>
      <c r="AL257" s="245"/>
      <c r="AM257" s="245"/>
      <c r="AN257" s="245"/>
      <c r="AO257" s="9"/>
      <c r="AP257" s="9"/>
      <c r="AQ257" s="9"/>
      <c r="AR257" s="9"/>
      <c r="AS257" s="9"/>
      <c r="AT257" s="9"/>
      <c r="AU257" s="9"/>
      <c r="AV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234"/>
      <c r="AD258" s="234"/>
      <c r="AE258" s="234"/>
      <c r="AF258" s="234"/>
      <c r="AG258" s="9"/>
      <c r="AH258" s="9"/>
      <c r="AI258" s="9"/>
      <c r="AJ258" s="9"/>
      <c r="AK258" s="245"/>
      <c r="AL258" s="245"/>
      <c r="AM258" s="245"/>
      <c r="AN258" s="245"/>
      <c r="AO258" s="9"/>
      <c r="AP258" s="9"/>
      <c r="AQ258" s="9"/>
      <c r="AR258" s="9"/>
      <c r="AS258" s="9"/>
      <c r="AT258" s="9"/>
      <c r="AU258" s="9"/>
      <c r="AV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234"/>
      <c r="AD259" s="234"/>
      <c r="AE259" s="234"/>
      <c r="AF259" s="234"/>
      <c r="AG259" s="9"/>
      <c r="AH259" s="9"/>
      <c r="AI259" s="9"/>
      <c r="AJ259" s="9"/>
      <c r="AK259" s="245"/>
      <c r="AL259" s="245"/>
      <c r="AM259" s="245"/>
      <c r="AN259" s="245"/>
      <c r="AO259" s="9"/>
      <c r="AP259" s="9"/>
      <c r="AQ259" s="9"/>
      <c r="AR259" s="9"/>
      <c r="AS259" s="9"/>
      <c r="AT259" s="9"/>
      <c r="AU259" s="9"/>
      <c r="AV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234"/>
      <c r="AD260" s="234"/>
      <c r="AE260" s="234"/>
      <c r="AF260" s="234"/>
      <c r="AG260" s="9"/>
      <c r="AH260" s="9"/>
      <c r="AI260" s="9"/>
      <c r="AJ260" s="9"/>
      <c r="AK260" s="245"/>
      <c r="AL260" s="245"/>
      <c r="AM260" s="245"/>
      <c r="AN260" s="245"/>
      <c r="AO260" s="9"/>
      <c r="AP260" s="9"/>
      <c r="AQ260" s="9"/>
      <c r="AR260" s="9"/>
      <c r="AS260" s="9"/>
      <c r="AT260" s="9"/>
      <c r="AU260" s="9"/>
      <c r="AV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234"/>
      <c r="AD261" s="234"/>
      <c r="AE261" s="234"/>
      <c r="AF261" s="234"/>
      <c r="AG261" s="9"/>
      <c r="AH261" s="9"/>
      <c r="AI261" s="9"/>
      <c r="AJ261" s="9"/>
      <c r="AK261" s="245"/>
      <c r="AL261" s="245"/>
      <c r="AM261" s="245"/>
      <c r="AN261" s="245"/>
      <c r="AO261" s="9"/>
      <c r="AP261" s="9"/>
      <c r="AQ261" s="9"/>
      <c r="AR261" s="9"/>
      <c r="AS261" s="9"/>
      <c r="AT261" s="9"/>
      <c r="AU261" s="9"/>
      <c r="AV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234"/>
      <c r="AD262" s="234"/>
      <c r="AE262" s="234"/>
      <c r="AF262" s="234"/>
      <c r="AG262" s="9"/>
      <c r="AH262" s="9"/>
      <c r="AI262" s="9"/>
      <c r="AJ262" s="9"/>
      <c r="AK262" s="245"/>
      <c r="AL262" s="245"/>
      <c r="AM262" s="245"/>
      <c r="AN262" s="245"/>
      <c r="AO262" s="9"/>
      <c r="AP262" s="9"/>
      <c r="AQ262" s="9"/>
      <c r="AR262" s="9"/>
      <c r="AS262" s="9"/>
      <c r="AT262" s="9"/>
      <c r="AU262" s="9"/>
      <c r="AV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234"/>
      <c r="AD263" s="234"/>
      <c r="AE263" s="234"/>
      <c r="AF263" s="234"/>
      <c r="AG263" s="9"/>
      <c r="AH263" s="9"/>
      <c r="AI263" s="9"/>
      <c r="AJ263" s="9"/>
      <c r="AK263" s="245"/>
      <c r="AL263" s="245"/>
      <c r="AM263" s="245"/>
      <c r="AN263" s="245"/>
      <c r="AO263" s="9"/>
      <c r="AP263" s="9"/>
      <c r="AQ263" s="9"/>
      <c r="AR263" s="9"/>
      <c r="AS263" s="9"/>
      <c r="AT263" s="9"/>
      <c r="AU263" s="9"/>
      <c r="AV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234"/>
      <c r="AD264" s="234"/>
      <c r="AE264" s="234"/>
      <c r="AF264" s="234"/>
      <c r="AG264" s="9"/>
      <c r="AH264" s="9"/>
      <c r="AI264" s="9"/>
      <c r="AJ264" s="9"/>
      <c r="AK264" s="245"/>
      <c r="AL264" s="245"/>
      <c r="AM264" s="245"/>
      <c r="AN264" s="245"/>
      <c r="AO264" s="9"/>
      <c r="AP264" s="9"/>
      <c r="AQ264" s="9"/>
      <c r="AR264" s="9"/>
      <c r="AS264" s="9"/>
      <c r="AT264" s="9"/>
      <c r="AU264" s="9"/>
      <c r="AV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234"/>
      <c r="AD265" s="234"/>
      <c r="AE265" s="234"/>
      <c r="AF265" s="234"/>
      <c r="AG265" s="9"/>
      <c r="AH265" s="9"/>
      <c r="AI265" s="9"/>
      <c r="AJ265" s="9"/>
      <c r="AK265" s="245"/>
      <c r="AL265" s="245"/>
      <c r="AM265" s="245"/>
      <c r="AN265" s="245"/>
      <c r="AO265" s="9"/>
      <c r="AP265" s="9"/>
      <c r="AQ265" s="9"/>
      <c r="AR265" s="9"/>
      <c r="AS265" s="9"/>
      <c r="AT265" s="9"/>
      <c r="AU265" s="9"/>
      <c r="AV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234"/>
      <c r="AD266" s="234"/>
      <c r="AE266" s="234"/>
      <c r="AF266" s="234"/>
      <c r="AG266" s="9"/>
      <c r="AH266" s="9"/>
      <c r="AI266" s="9"/>
      <c r="AJ266" s="9"/>
      <c r="AK266" s="245"/>
      <c r="AL266" s="245"/>
      <c r="AM266" s="245"/>
      <c r="AN266" s="245"/>
      <c r="AO266" s="9"/>
      <c r="AP266" s="9"/>
      <c r="AQ266" s="9"/>
      <c r="AR266" s="9"/>
      <c r="AS266" s="9"/>
      <c r="AT266" s="9"/>
      <c r="AU266" s="9"/>
      <c r="AV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234"/>
      <c r="AD267" s="234"/>
      <c r="AE267" s="234"/>
      <c r="AF267" s="234"/>
      <c r="AG267" s="9"/>
      <c r="AH267" s="9"/>
      <c r="AI267" s="9"/>
      <c r="AJ267" s="9"/>
      <c r="AK267" s="245"/>
      <c r="AL267" s="245"/>
      <c r="AM267" s="245"/>
      <c r="AN267" s="245"/>
      <c r="AO267" s="9"/>
      <c r="AP267" s="9"/>
      <c r="AQ267" s="9"/>
      <c r="AR267" s="9"/>
      <c r="AS267" s="9"/>
      <c r="AT267" s="9"/>
      <c r="AU267" s="9"/>
      <c r="AV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234"/>
      <c r="AD268" s="234"/>
      <c r="AE268" s="234"/>
      <c r="AF268" s="234"/>
      <c r="AG268" s="9"/>
      <c r="AH268" s="9"/>
      <c r="AI268" s="9"/>
      <c r="AJ268" s="9"/>
      <c r="AK268" s="245"/>
      <c r="AL268" s="245"/>
      <c r="AM268" s="245"/>
      <c r="AN268" s="245"/>
      <c r="AO268" s="9"/>
      <c r="AP268" s="9"/>
      <c r="AQ268" s="9"/>
      <c r="AR268" s="9"/>
      <c r="AS268" s="9"/>
      <c r="AT268" s="9"/>
      <c r="AU268" s="9"/>
      <c r="AV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234"/>
      <c r="AD269" s="234"/>
      <c r="AE269" s="234"/>
      <c r="AF269" s="234"/>
      <c r="AG269" s="9"/>
      <c r="AH269" s="9"/>
      <c r="AI269" s="9"/>
      <c r="AJ269" s="9"/>
      <c r="AK269" s="245"/>
      <c r="AL269" s="245"/>
      <c r="AM269" s="245"/>
      <c r="AN269" s="245"/>
      <c r="AO269" s="9"/>
      <c r="AP269" s="9"/>
      <c r="AQ269" s="9"/>
      <c r="AR269" s="9"/>
      <c r="AS269" s="9"/>
      <c r="AT269" s="9"/>
      <c r="AU269" s="9"/>
      <c r="AV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234"/>
      <c r="AD270" s="234"/>
      <c r="AE270" s="234"/>
      <c r="AF270" s="234"/>
      <c r="AG270" s="9"/>
      <c r="AH270" s="9"/>
      <c r="AI270" s="9"/>
      <c r="AJ270" s="9"/>
      <c r="AK270" s="245"/>
      <c r="AL270" s="245"/>
      <c r="AM270" s="245"/>
      <c r="AN270" s="245"/>
      <c r="AO270" s="9"/>
      <c r="AP270" s="9"/>
      <c r="AQ270" s="9"/>
      <c r="AR270" s="9"/>
      <c r="AS270" s="9"/>
      <c r="AT270" s="9"/>
      <c r="AU270" s="9"/>
      <c r="AV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234"/>
      <c r="AD271" s="234"/>
      <c r="AE271" s="234"/>
      <c r="AF271" s="234"/>
      <c r="AG271" s="9"/>
      <c r="AH271" s="9"/>
      <c r="AI271" s="9"/>
      <c r="AJ271" s="9"/>
      <c r="AK271" s="245"/>
      <c r="AL271" s="245"/>
      <c r="AM271" s="245"/>
      <c r="AN271" s="245"/>
      <c r="AO271" s="9"/>
      <c r="AP271" s="9"/>
      <c r="AQ271" s="9"/>
      <c r="AR271" s="9"/>
      <c r="AS271" s="9"/>
      <c r="AT271" s="9"/>
      <c r="AU271" s="9"/>
      <c r="AV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234"/>
      <c r="AD272" s="234"/>
      <c r="AE272" s="234"/>
      <c r="AF272" s="234"/>
      <c r="AG272" s="9"/>
      <c r="AH272" s="9"/>
      <c r="AI272" s="9"/>
      <c r="AJ272" s="9"/>
      <c r="AK272" s="245"/>
      <c r="AL272" s="245"/>
      <c r="AM272" s="245"/>
      <c r="AN272" s="245"/>
      <c r="AO272" s="9"/>
      <c r="AP272" s="9"/>
      <c r="AQ272" s="9"/>
      <c r="AR272" s="9"/>
      <c r="AS272" s="9"/>
      <c r="AT272" s="9"/>
      <c r="AU272" s="9"/>
      <c r="AV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234"/>
      <c r="AD273" s="234"/>
      <c r="AE273" s="234"/>
      <c r="AF273" s="234"/>
      <c r="AG273" s="9"/>
      <c r="AH273" s="9"/>
      <c r="AI273" s="9"/>
      <c r="AJ273" s="9"/>
      <c r="AK273" s="245"/>
      <c r="AL273" s="245"/>
      <c r="AM273" s="245"/>
      <c r="AN273" s="245"/>
      <c r="AO273" s="9"/>
      <c r="AP273" s="9"/>
      <c r="AQ273" s="9"/>
      <c r="AR273" s="9"/>
      <c r="AS273" s="9"/>
      <c r="AT273" s="9"/>
      <c r="AU273" s="9"/>
      <c r="AV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234"/>
      <c r="AD274" s="234"/>
      <c r="AE274" s="234"/>
      <c r="AF274" s="234"/>
      <c r="AG274" s="9"/>
      <c r="AH274" s="9"/>
      <c r="AI274" s="9"/>
      <c r="AJ274" s="9"/>
      <c r="AK274" s="245"/>
      <c r="AL274" s="245"/>
      <c r="AM274" s="245"/>
      <c r="AN274" s="245"/>
      <c r="AO274" s="9"/>
      <c r="AP274" s="9"/>
      <c r="AQ274" s="9"/>
      <c r="AR274" s="9"/>
      <c r="AS274" s="9"/>
      <c r="AT274" s="9"/>
      <c r="AU274" s="9"/>
      <c r="AV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234"/>
      <c r="AD275" s="234"/>
      <c r="AE275" s="234"/>
      <c r="AF275" s="234"/>
      <c r="AG275" s="9"/>
      <c r="AH275" s="9"/>
      <c r="AI275" s="9"/>
      <c r="AJ275" s="9"/>
      <c r="AK275" s="245"/>
      <c r="AL275" s="245"/>
      <c r="AM275" s="245"/>
      <c r="AN275" s="245"/>
      <c r="AO275" s="9"/>
      <c r="AP275" s="9"/>
      <c r="AQ275" s="9"/>
      <c r="AR275" s="9"/>
      <c r="AS275" s="9"/>
      <c r="AT275" s="9"/>
      <c r="AU275" s="9"/>
      <c r="AV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234"/>
      <c r="AD276" s="234"/>
      <c r="AE276" s="234"/>
      <c r="AF276" s="234"/>
      <c r="AG276" s="9"/>
      <c r="AH276" s="9"/>
      <c r="AI276" s="9"/>
      <c r="AJ276" s="9"/>
      <c r="AK276" s="245"/>
      <c r="AL276" s="245"/>
      <c r="AM276" s="245"/>
      <c r="AN276" s="245"/>
      <c r="AO276" s="9"/>
      <c r="AP276" s="9"/>
      <c r="AQ276" s="9"/>
      <c r="AR276" s="9"/>
      <c r="AS276" s="9"/>
      <c r="AT276" s="9"/>
      <c r="AU276" s="9"/>
      <c r="AV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234"/>
      <c r="AD277" s="234"/>
      <c r="AE277" s="234"/>
      <c r="AF277" s="234"/>
      <c r="AG277" s="9"/>
      <c r="AH277" s="9"/>
      <c r="AI277" s="9"/>
      <c r="AJ277" s="9"/>
      <c r="AK277" s="245"/>
      <c r="AL277" s="245"/>
      <c r="AM277" s="245"/>
      <c r="AN277" s="245"/>
      <c r="AO277" s="9"/>
      <c r="AP277" s="9"/>
      <c r="AQ277" s="9"/>
      <c r="AR277" s="9"/>
      <c r="AS277" s="9"/>
      <c r="AT277" s="9"/>
      <c r="AU277" s="9"/>
      <c r="AV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234"/>
      <c r="AD278" s="234"/>
      <c r="AE278" s="234"/>
      <c r="AF278" s="234"/>
      <c r="AG278" s="9"/>
      <c r="AH278" s="9"/>
      <c r="AI278" s="9"/>
      <c r="AJ278" s="9"/>
      <c r="AK278" s="245"/>
      <c r="AL278" s="245"/>
      <c r="AM278" s="245"/>
      <c r="AN278" s="245"/>
      <c r="AO278" s="9"/>
      <c r="AP278" s="9"/>
      <c r="AQ278" s="9"/>
      <c r="AR278" s="9"/>
      <c r="AS278" s="9"/>
      <c r="AT278" s="9"/>
      <c r="AU278" s="9"/>
      <c r="AV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234"/>
      <c r="AD279" s="234"/>
      <c r="AE279" s="234"/>
      <c r="AF279" s="234"/>
      <c r="AG279" s="9"/>
      <c r="AH279" s="9"/>
      <c r="AI279" s="9"/>
      <c r="AJ279" s="9"/>
      <c r="AK279" s="245"/>
      <c r="AL279" s="245"/>
      <c r="AM279" s="245"/>
      <c r="AN279" s="245"/>
      <c r="AO279" s="9"/>
      <c r="AP279" s="9"/>
      <c r="AQ279" s="9"/>
      <c r="AR279" s="9"/>
      <c r="AS279" s="9"/>
      <c r="AT279" s="9"/>
      <c r="AU279" s="9"/>
      <c r="AV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234"/>
      <c r="AD280" s="234"/>
      <c r="AE280" s="234"/>
      <c r="AF280" s="234"/>
      <c r="AG280" s="9"/>
      <c r="AH280" s="9"/>
      <c r="AI280" s="9"/>
      <c r="AJ280" s="9"/>
      <c r="AK280" s="245"/>
      <c r="AL280" s="245"/>
      <c r="AM280" s="245"/>
      <c r="AN280" s="245"/>
      <c r="AO280" s="9"/>
      <c r="AP280" s="9"/>
      <c r="AQ280" s="9"/>
      <c r="AR280" s="9"/>
      <c r="AS280" s="9"/>
      <c r="AT280" s="9"/>
      <c r="AU280" s="9"/>
      <c r="AV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234"/>
      <c r="AD281" s="234"/>
      <c r="AE281" s="234"/>
      <c r="AF281" s="234"/>
      <c r="AG281" s="9"/>
      <c r="AH281" s="9"/>
      <c r="AI281" s="9"/>
      <c r="AJ281" s="9"/>
      <c r="AK281" s="245"/>
      <c r="AL281" s="245"/>
      <c r="AM281" s="245"/>
      <c r="AN281" s="245"/>
      <c r="AO281" s="9"/>
      <c r="AP281" s="9"/>
      <c r="AQ281" s="9"/>
      <c r="AR281" s="9"/>
      <c r="AS281" s="9"/>
      <c r="AT281" s="9"/>
      <c r="AU281" s="9"/>
      <c r="AV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234"/>
      <c r="AD282" s="234"/>
      <c r="AE282" s="234"/>
      <c r="AF282" s="234"/>
      <c r="AG282" s="9"/>
      <c r="AH282" s="9"/>
      <c r="AI282" s="9"/>
      <c r="AJ282" s="9"/>
      <c r="AK282" s="245"/>
      <c r="AL282" s="245"/>
      <c r="AM282" s="245"/>
      <c r="AN282" s="245"/>
      <c r="AO282" s="9"/>
      <c r="AP282" s="9"/>
      <c r="AQ282" s="9"/>
      <c r="AR282" s="9"/>
      <c r="AS282" s="9"/>
      <c r="AT282" s="9"/>
      <c r="AU282" s="9"/>
      <c r="AV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234"/>
      <c r="AD283" s="234"/>
      <c r="AE283" s="234"/>
      <c r="AF283" s="234"/>
      <c r="AG283" s="9"/>
      <c r="AH283" s="9"/>
      <c r="AI283" s="9"/>
      <c r="AJ283" s="9"/>
      <c r="AK283" s="245"/>
      <c r="AL283" s="245"/>
      <c r="AM283" s="245"/>
      <c r="AN283" s="245"/>
      <c r="AO283" s="9"/>
      <c r="AP283" s="9"/>
      <c r="AQ283" s="9"/>
      <c r="AR283" s="9"/>
      <c r="AS283" s="9"/>
      <c r="AT283" s="9"/>
      <c r="AU283" s="9"/>
      <c r="AV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234"/>
      <c r="AD284" s="234"/>
      <c r="AE284" s="234"/>
      <c r="AF284" s="234"/>
      <c r="AG284" s="9"/>
      <c r="AH284" s="9"/>
      <c r="AI284" s="9"/>
      <c r="AJ284" s="9"/>
      <c r="AK284" s="245"/>
      <c r="AL284" s="245"/>
      <c r="AM284" s="245"/>
      <c r="AN284" s="245"/>
      <c r="AO284" s="9"/>
      <c r="AP284" s="9"/>
      <c r="AQ284" s="9"/>
      <c r="AR284" s="9"/>
      <c r="AS284" s="9"/>
      <c r="AT284" s="9"/>
      <c r="AU284" s="9"/>
      <c r="AV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234"/>
      <c r="AD285" s="234"/>
      <c r="AE285" s="234"/>
      <c r="AF285" s="234"/>
      <c r="AG285" s="9"/>
      <c r="AH285" s="9"/>
      <c r="AI285" s="9"/>
      <c r="AJ285" s="9"/>
      <c r="AK285" s="245"/>
      <c r="AL285" s="245"/>
      <c r="AM285" s="245"/>
      <c r="AN285" s="245"/>
      <c r="AO285" s="9"/>
      <c r="AP285" s="9"/>
      <c r="AQ285" s="9"/>
      <c r="AR285" s="9"/>
      <c r="AS285" s="9"/>
      <c r="AT285" s="9"/>
      <c r="AU285" s="9"/>
      <c r="AV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234"/>
      <c r="AD286" s="234"/>
      <c r="AE286" s="234"/>
      <c r="AF286" s="234"/>
      <c r="AG286" s="9"/>
      <c r="AH286" s="9"/>
      <c r="AI286" s="9"/>
      <c r="AJ286" s="9"/>
      <c r="AK286" s="245"/>
      <c r="AL286" s="245"/>
      <c r="AM286" s="245"/>
      <c r="AN286" s="245"/>
      <c r="AO286" s="9"/>
      <c r="AP286" s="9"/>
      <c r="AQ286" s="9"/>
      <c r="AR286" s="9"/>
      <c r="AS286" s="9"/>
      <c r="AT286" s="9"/>
      <c r="AU286" s="9"/>
      <c r="AV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234"/>
      <c r="AD287" s="234"/>
      <c r="AE287" s="234"/>
      <c r="AF287" s="234"/>
      <c r="AG287" s="9"/>
      <c r="AH287" s="9"/>
      <c r="AI287" s="9"/>
      <c r="AJ287" s="9"/>
      <c r="AK287" s="245"/>
      <c r="AL287" s="245"/>
      <c r="AM287" s="245"/>
      <c r="AN287" s="245"/>
      <c r="AO287" s="9"/>
      <c r="AP287" s="9"/>
      <c r="AQ287" s="9"/>
      <c r="AR287" s="9"/>
      <c r="AS287" s="9"/>
      <c r="AT287" s="9"/>
      <c r="AU287" s="9"/>
      <c r="AV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234"/>
      <c r="AD288" s="234"/>
      <c r="AE288" s="234"/>
      <c r="AF288" s="234"/>
      <c r="AG288" s="9"/>
      <c r="AH288" s="9"/>
      <c r="AI288" s="9"/>
      <c r="AJ288" s="9"/>
      <c r="AK288" s="245"/>
      <c r="AL288" s="245"/>
      <c r="AM288" s="245"/>
      <c r="AN288" s="245"/>
      <c r="AO288" s="9"/>
      <c r="AP288" s="9"/>
      <c r="AQ288" s="9"/>
      <c r="AR288" s="9"/>
      <c r="AS288" s="9"/>
      <c r="AT288" s="9"/>
      <c r="AU288" s="9"/>
      <c r="AV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234"/>
      <c r="AD289" s="234"/>
      <c r="AE289" s="234"/>
      <c r="AF289" s="234"/>
      <c r="AG289" s="9"/>
      <c r="AH289" s="9"/>
      <c r="AI289" s="9"/>
      <c r="AJ289" s="9"/>
      <c r="AK289" s="245"/>
      <c r="AL289" s="245"/>
      <c r="AM289" s="245"/>
      <c r="AN289" s="245"/>
      <c r="AO289" s="9"/>
      <c r="AP289" s="9"/>
      <c r="AQ289" s="9"/>
      <c r="AR289" s="9"/>
      <c r="AS289" s="9"/>
      <c r="AT289" s="9"/>
      <c r="AU289" s="9"/>
      <c r="AV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234"/>
      <c r="AD290" s="234"/>
      <c r="AE290" s="234"/>
      <c r="AF290" s="234"/>
      <c r="AG290" s="9"/>
      <c r="AH290" s="9"/>
      <c r="AI290" s="9"/>
      <c r="AJ290" s="9"/>
      <c r="AK290" s="245"/>
      <c r="AL290" s="245"/>
      <c r="AM290" s="245"/>
      <c r="AN290" s="245"/>
      <c r="AO290" s="9"/>
      <c r="AP290" s="9"/>
      <c r="AQ290" s="9"/>
      <c r="AR290" s="9"/>
      <c r="AS290" s="9"/>
      <c r="AT290" s="9"/>
      <c r="AU290" s="9"/>
      <c r="AV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234"/>
      <c r="AD291" s="234"/>
      <c r="AE291" s="234"/>
      <c r="AF291" s="234"/>
      <c r="AG291" s="9"/>
      <c r="AH291" s="9"/>
      <c r="AI291" s="9"/>
      <c r="AJ291" s="9"/>
      <c r="AK291" s="245"/>
      <c r="AL291" s="245"/>
      <c r="AM291" s="245"/>
      <c r="AN291" s="245"/>
      <c r="AO291" s="9"/>
      <c r="AP291" s="9"/>
      <c r="AQ291" s="9"/>
      <c r="AR291" s="9"/>
      <c r="AS291" s="9"/>
      <c r="AT291" s="9"/>
      <c r="AU291" s="9"/>
      <c r="AV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234"/>
      <c r="AD292" s="234"/>
      <c r="AE292" s="234"/>
      <c r="AF292" s="234"/>
      <c r="AG292" s="9"/>
      <c r="AH292" s="9"/>
      <c r="AI292" s="9"/>
      <c r="AJ292" s="9"/>
      <c r="AK292" s="245"/>
      <c r="AL292" s="245"/>
      <c r="AM292" s="245"/>
      <c r="AN292" s="245"/>
      <c r="AO292" s="9"/>
      <c r="AP292" s="9"/>
      <c r="AQ292" s="9"/>
      <c r="AR292" s="9"/>
      <c r="AS292" s="9"/>
      <c r="AT292" s="9"/>
      <c r="AU292" s="9"/>
      <c r="AV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234"/>
      <c r="AD293" s="234"/>
      <c r="AE293" s="234"/>
      <c r="AF293" s="234"/>
      <c r="AG293" s="9"/>
      <c r="AH293" s="9"/>
      <c r="AI293" s="9"/>
      <c r="AJ293" s="9"/>
      <c r="AK293" s="245"/>
      <c r="AL293" s="245"/>
      <c r="AM293" s="245"/>
      <c r="AN293" s="245"/>
      <c r="AO293" s="9"/>
      <c r="AP293" s="9"/>
      <c r="AQ293" s="9"/>
      <c r="AR293" s="9"/>
      <c r="AS293" s="9"/>
      <c r="AT293" s="9"/>
      <c r="AU293" s="9"/>
      <c r="AV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234"/>
      <c r="AD294" s="234"/>
      <c r="AE294" s="234"/>
      <c r="AF294" s="234"/>
      <c r="AG294" s="9"/>
      <c r="AH294" s="9"/>
      <c r="AI294" s="9"/>
      <c r="AJ294" s="9"/>
      <c r="AK294" s="245"/>
      <c r="AL294" s="245"/>
      <c r="AM294" s="245"/>
      <c r="AN294" s="245"/>
      <c r="AO294" s="9"/>
      <c r="AP294" s="9"/>
      <c r="AQ294" s="9"/>
      <c r="AR294" s="9"/>
      <c r="AS294" s="9"/>
      <c r="AT294" s="9"/>
      <c r="AU294" s="9"/>
      <c r="AV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234"/>
      <c r="AD295" s="234"/>
      <c r="AE295" s="234"/>
      <c r="AF295" s="234"/>
      <c r="AG295" s="9"/>
      <c r="AH295" s="9"/>
      <c r="AI295" s="9"/>
      <c r="AJ295" s="9"/>
      <c r="AK295" s="245"/>
      <c r="AL295" s="245"/>
      <c r="AM295" s="245"/>
      <c r="AN295" s="245"/>
      <c r="AO295" s="9"/>
      <c r="AP295" s="9"/>
      <c r="AQ295" s="9"/>
      <c r="AR295" s="9"/>
      <c r="AS295" s="9"/>
      <c r="AT295" s="9"/>
      <c r="AU295" s="9"/>
      <c r="AV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234"/>
      <c r="AD296" s="234"/>
      <c r="AE296" s="234"/>
      <c r="AF296" s="234"/>
      <c r="AG296" s="9"/>
      <c r="AH296" s="9"/>
      <c r="AI296" s="9"/>
      <c r="AJ296" s="9"/>
      <c r="AK296" s="245"/>
      <c r="AL296" s="245"/>
      <c r="AM296" s="245"/>
      <c r="AN296" s="245"/>
      <c r="AO296" s="9"/>
      <c r="AP296" s="9"/>
      <c r="AQ296" s="9"/>
      <c r="AR296" s="9"/>
      <c r="AS296" s="9"/>
      <c r="AT296" s="9"/>
      <c r="AU296" s="9"/>
      <c r="AV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234"/>
      <c r="AD297" s="234"/>
      <c r="AE297" s="234"/>
      <c r="AF297" s="234"/>
      <c r="AG297" s="9"/>
      <c r="AH297" s="9"/>
      <c r="AI297" s="9"/>
      <c r="AJ297" s="9"/>
      <c r="AK297" s="245"/>
      <c r="AL297" s="245"/>
      <c r="AM297" s="245"/>
      <c r="AN297" s="245"/>
      <c r="AO297" s="9"/>
      <c r="AP297" s="9"/>
      <c r="AQ297" s="9"/>
      <c r="AR297" s="9"/>
      <c r="AS297" s="9"/>
      <c r="AT297" s="9"/>
      <c r="AU297" s="9"/>
      <c r="AV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234"/>
      <c r="AD298" s="234"/>
      <c r="AE298" s="234"/>
      <c r="AF298" s="234"/>
      <c r="AG298" s="9"/>
      <c r="AH298" s="9"/>
      <c r="AI298" s="9"/>
      <c r="AJ298" s="9"/>
      <c r="AK298" s="245"/>
      <c r="AL298" s="245"/>
      <c r="AM298" s="245"/>
      <c r="AN298" s="245"/>
      <c r="AO298" s="9"/>
      <c r="AP298" s="9"/>
      <c r="AQ298" s="9"/>
      <c r="AR298" s="9"/>
      <c r="AS298" s="9"/>
      <c r="AT298" s="9"/>
      <c r="AU298" s="9"/>
      <c r="AV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234"/>
      <c r="AD299" s="234"/>
      <c r="AE299" s="234"/>
      <c r="AF299" s="234"/>
      <c r="AG299" s="9"/>
      <c r="AH299" s="9"/>
      <c r="AI299" s="9"/>
      <c r="AJ299" s="9"/>
      <c r="AK299" s="245"/>
      <c r="AL299" s="245"/>
      <c r="AM299" s="245"/>
      <c r="AN299" s="245"/>
      <c r="AO299" s="9"/>
      <c r="AP299" s="9"/>
      <c r="AQ299" s="9"/>
      <c r="AR299" s="9"/>
      <c r="AS299" s="9"/>
      <c r="AT299" s="9"/>
      <c r="AU299" s="9"/>
      <c r="AV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234"/>
      <c r="AD300" s="234"/>
      <c r="AE300" s="234"/>
      <c r="AF300" s="234"/>
      <c r="AG300" s="9"/>
      <c r="AH300" s="9"/>
      <c r="AI300" s="9"/>
      <c r="AJ300" s="9"/>
      <c r="AK300" s="245"/>
      <c r="AL300" s="245"/>
      <c r="AM300" s="245"/>
      <c r="AN300" s="245"/>
      <c r="AO300" s="9"/>
      <c r="AP300" s="9"/>
      <c r="AQ300" s="9"/>
      <c r="AR300" s="9"/>
      <c r="AS300" s="9"/>
      <c r="AT300" s="9"/>
      <c r="AU300" s="9"/>
      <c r="AV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234"/>
      <c r="AD301" s="234"/>
      <c r="AE301" s="234"/>
      <c r="AF301" s="234"/>
      <c r="AG301" s="9"/>
      <c r="AH301" s="9"/>
      <c r="AI301" s="9"/>
      <c r="AJ301" s="9"/>
      <c r="AK301" s="245"/>
      <c r="AL301" s="245"/>
      <c r="AM301" s="245"/>
      <c r="AN301" s="245"/>
      <c r="AO301" s="9"/>
      <c r="AP301" s="9"/>
      <c r="AQ301" s="9"/>
      <c r="AR301" s="9"/>
      <c r="AS301" s="9"/>
      <c r="AT301" s="9"/>
      <c r="AU301" s="9"/>
      <c r="AV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234"/>
      <c r="AD302" s="234"/>
      <c r="AE302" s="234"/>
      <c r="AF302" s="234"/>
      <c r="AG302" s="9"/>
      <c r="AH302" s="9"/>
      <c r="AI302" s="9"/>
      <c r="AJ302" s="9"/>
      <c r="AK302" s="245"/>
      <c r="AL302" s="245"/>
      <c r="AM302" s="245"/>
      <c r="AN302" s="245"/>
      <c r="AO302" s="9"/>
      <c r="AP302" s="9"/>
      <c r="AQ302" s="9"/>
      <c r="AR302" s="9"/>
      <c r="AS302" s="9"/>
      <c r="AT302" s="9"/>
      <c r="AU302" s="9"/>
      <c r="AV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234"/>
      <c r="AD303" s="234"/>
      <c r="AE303" s="234"/>
      <c r="AF303" s="234"/>
      <c r="AG303" s="9"/>
      <c r="AH303" s="9"/>
      <c r="AI303" s="9"/>
      <c r="AJ303" s="9"/>
      <c r="AK303" s="245"/>
      <c r="AL303" s="245"/>
      <c r="AM303" s="245"/>
      <c r="AN303" s="245"/>
      <c r="AO303" s="9"/>
      <c r="AP303" s="9"/>
      <c r="AQ303" s="9"/>
      <c r="AR303" s="9"/>
      <c r="AS303" s="9"/>
      <c r="AT303" s="9"/>
      <c r="AU303" s="9"/>
      <c r="AV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234"/>
      <c r="AD304" s="234"/>
      <c r="AE304" s="234"/>
      <c r="AF304" s="234"/>
      <c r="AG304" s="9"/>
      <c r="AH304" s="9"/>
      <c r="AI304" s="9"/>
      <c r="AJ304" s="9"/>
      <c r="AK304" s="245"/>
      <c r="AL304" s="245"/>
      <c r="AM304" s="245"/>
      <c r="AN304" s="245"/>
      <c r="AO304" s="9"/>
      <c r="AP304" s="9"/>
      <c r="AQ304" s="9"/>
      <c r="AR304" s="9"/>
      <c r="AS304" s="9"/>
      <c r="AT304" s="9"/>
      <c r="AU304" s="9"/>
      <c r="AV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234"/>
      <c r="AD305" s="234"/>
      <c r="AE305" s="234"/>
      <c r="AF305" s="234"/>
      <c r="AG305" s="9"/>
      <c r="AH305" s="9"/>
      <c r="AI305" s="9"/>
      <c r="AJ305" s="9"/>
      <c r="AK305" s="245"/>
      <c r="AL305" s="245"/>
      <c r="AM305" s="245"/>
      <c r="AN305" s="245"/>
      <c r="AO305" s="9"/>
      <c r="AP305" s="9"/>
      <c r="AQ305" s="9"/>
      <c r="AR305" s="9"/>
      <c r="AS305" s="9"/>
      <c r="AT305" s="9"/>
      <c r="AU305" s="9"/>
      <c r="AV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234"/>
      <c r="AD306" s="234"/>
      <c r="AE306" s="234"/>
      <c r="AF306" s="234"/>
      <c r="AG306" s="9"/>
      <c r="AH306" s="9"/>
      <c r="AI306" s="9"/>
      <c r="AJ306" s="9"/>
      <c r="AK306" s="245"/>
      <c r="AL306" s="245"/>
      <c r="AM306" s="245"/>
      <c r="AN306" s="245"/>
      <c r="AO306" s="9"/>
      <c r="AP306" s="9"/>
      <c r="AQ306" s="9"/>
      <c r="AR306" s="9"/>
      <c r="AS306" s="9"/>
      <c r="AT306" s="9"/>
      <c r="AU306" s="9"/>
      <c r="AV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234"/>
      <c r="AD307" s="234"/>
      <c r="AE307" s="234"/>
      <c r="AF307" s="234"/>
      <c r="AG307" s="9"/>
      <c r="AH307" s="9"/>
      <c r="AI307" s="9"/>
      <c r="AJ307" s="9"/>
      <c r="AK307" s="245"/>
      <c r="AL307" s="245"/>
      <c r="AM307" s="245"/>
      <c r="AN307" s="245"/>
      <c r="AO307" s="9"/>
      <c r="AP307" s="9"/>
      <c r="AQ307" s="9"/>
      <c r="AR307" s="9"/>
      <c r="AS307" s="9"/>
      <c r="AT307" s="9"/>
      <c r="AU307" s="9"/>
      <c r="AV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234"/>
      <c r="AD308" s="234"/>
      <c r="AE308" s="234"/>
      <c r="AF308" s="234"/>
      <c r="AG308" s="9"/>
      <c r="AH308" s="9"/>
      <c r="AI308" s="9"/>
      <c r="AJ308" s="9"/>
      <c r="AK308" s="245"/>
      <c r="AL308" s="245"/>
      <c r="AM308" s="245"/>
      <c r="AN308" s="245"/>
      <c r="AO308" s="9"/>
      <c r="AP308" s="9"/>
      <c r="AQ308" s="9"/>
      <c r="AR308" s="9"/>
      <c r="AS308" s="9"/>
      <c r="AT308" s="9"/>
      <c r="AU308" s="9"/>
      <c r="AV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234"/>
      <c r="AD309" s="234"/>
      <c r="AE309" s="234"/>
      <c r="AF309" s="234"/>
      <c r="AG309" s="9"/>
      <c r="AH309" s="9"/>
      <c r="AI309" s="9"/>
      <c r="AJ309" s="9"/>
      <c r="AK309" s="245"/>
      <c r="AL309" s="245"/>
      <c r="AM309" s="245"/>
      <c r="AN309" s="245"/>
      <c r="AO309" s="9"/>
      <c r="AP309" s="9"/>
      <c r="AQ309" s="9"/>
      <c r="AR309" s="9"/>
      <c r="AS309" s="9"/>
      <c r="AT309" s="9"/>
      <c r="AU309" s="9"/>
      <c r="AV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234"/>
      <c r="AD310" s="234"/>
      <c r="AE310" s="234"/>
      <c r="AF310" s="234"/>
      <c r="AG310" s="9"/>
      <c r="AH310" s="9"/>
      <c r="AI310" s="9"/>
      <c r="AJ310" s="9"/>
      <c r="AK310" s="245"/>
      <c r="AL310" s="245"/>
      <c r="AM310" s="245"/>
      <c r="AN310" s="245"/>
      <c r="AO310" s="9"/>
      <c r="AP310" s="9"/>
      <c r="AQ310" s="9"/>
      <c r="AR310" s="9"/>
      <c r="AS310" s="9"/>
      <c r="AT310" s="9"/>
      <c r="AU310" s="9"/>
      <c r="AV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234"/>
      <c r="AD311" s="234"/>
      <c r="AE311" s="234"/>
      <c r="AF311" s="234"/>
      <c r="AG311" s="9"/>
      <c r="AH311" s="9"/>
      <c r="AI311" s="9"/>
      <c r="AJ311" s="9"/>
      <c r="AK311" s="245"/>
      <c r="AL311" s="245"/>
      <c r="AM311" s="245"/>
      <c r="AN311" s="245"/>
      <c r="AO311" s="9"/>
      <c r="AP311" s="9"/>
      <c r="AQ311" s="9"/>
      <c r="AR311" s="9"/>
      <c r="AS311" s="9"/>
      <c r="AT311" s="9"/>
      <c r="AU311" s="9"/>
      <c r="AV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234"/>
      <c r="AD312" s="234"/>
      <c r="AE312" s="234"/>
      <c r="AF312" s="234"/>
      <c r="AG312" s="9"/>
      <c r="AH312" s="9"/>
      <c r="AI312" s="9"/>
      <c r="AJ312" s="9"/>
      <c r="AK312" s="245"/>
      <c r="AL312" s="245"/>
      <c r="AM312" s="245"/>
      <c r="AN312" s="245"/>
      <c r="AO312" s="9"/>
      <c r="AP312" s="9"/>
      <c r="AQ312" s="9"/>
      <c r="AR312" s="9"/>
      <c r="AS312" s="9"/>
      <c r="AT312" s="9"/>
      <c r="AU312" s="9"/>
      <c r="AV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234"/>
      <c r="AD313" s="234"/>
      <c r="AE313" s="234"/>
      <c r="AF313" s="234"/>
      <c r="AG313" s="9"/>
      <c r="AH313" s="9"/>
      <c r="AI313" s="9"/>
      <c r="AJ313" s="9"/>
      <c r="AK313" s="245"/>
      <c r="AL313" s="245"/>
      <c r="AM313" s="245"/>
      <c r="AN313" s="245"/>
      <c r="AO313" s="9"/>
      <c r="AP313" s="9"/>
      <c r="AQ313" s="9"/>
      <c r="AR313" s="9"/>
      <c r="AS313" s="9"/>
      <c r="AT313" s="9"/>
      <c r="AU313" s="9"/>
      <c r="AV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234"/>
      <c r="AD314" s="234"/>
      <c r="AE314" s="234"/>
      <c r="AF314" s="234"/>
      <c r="AG314" s="9"/>
      <c r="AH314" s="9"/>
      <c r="AI314" s="9"/>
      <c r="AJ314" s="9"/>
      <c r="AK314" s="245"/>
      <c r="AL314" s="245"/>
      <c r="AM314" s="245"/>
      <c r="AN314" s="245"/>
      <c r="AO314" s="9"/>
      <c r="AP314" s="9"/>
      <c r="AQ314" s="9"/>
      <c r="AR314" s="9"/>
      <c r="AS314" s="9"/>
      <c r="AT314" s="9"/>
      <c r="AU314" s="9"/>
      <c r="AV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234"/>
      <c r="AD315" s="234"/>
      <c r="AE315" s="234"/>
      <c r="AF315" s="234"/>
      <c r="AG315" s="9"/>
      <c r="AH315" s="9"/>
      <c r="AI315" s="9"/>
      <c r="AJ315" s="9"/>
      <c r="AK315" s="245"/>
      <c r="AL315" s="245"/>
      <c r="AM315" s="245"/>
      <c r="AN315" s="245"/>
      <c r="AO315" s="9"/>
      <c r="AP315" s="9"/>
      <c r="AQ315" s="9"/>
      <c r="AR315" s="9"/>
      <c r="AS315" s="9"/>
      <c r="AT315" s="9"/>
      <c r="AU315" s="9"/>
      <c r="AV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234"/>
      <c r="AD316" s="234"/>
      <c r="AE316" s="234"/>
      <c r="AF316" s="234"/>
      <c r="AG316" s="9"/>
      <c r="AH316" s="9"/>
      <c r="AI316" s="9"/>
      <c r="AJ316" s="9"/>
      <c r="AK316" s="245"/>
      <c r="AL316" s="245"/>
      <c r="AM316" s="245"/>
      <c r="AN316" s="245"/>
      <c r="AO316" s="9"/>
      <c r="AP316" s="9"/>
      <c r="AQ316" s="9"/>
      <c r="AR316" s="9"/>
      <c r="AS316" s="9"/>
      <c r="AT316" s="9"/>
      <c r="AU316" s="9"/>
      <c r="AV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234"/>
      <c r="AD317" s="234"/>
      <c r="AE317" s="234"/>
      <c r="AF317" s="234"/>
      <c r="AG317" s="9"/>
      <c r="AH317" s="9"/>
      <c r="AI317" s="9"/>
      <c r="AJ317" s="9"/>
      <c r="AK317" s="245"/>
      <c r="AL317" s="245"/>
      <c r="AM317" s="245"/>
      <c r="AN317" s="245"/>
      <c r="AO317" s="9"/>
      <c r="AP317" s="9"/>
      <c r="AQ317" s="9"/>
      <c r="AR317" s="9"/>
      <c r="AS317" s="9"/>
      <c r="AT317" s="9"/>
      <c r="AU317" s="9"/>
      <c r="AV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234"/>
      <c r="AD318" s="234"/>
      <c r="AE318" s="234"/>
      <c r="AF318" s="234"/>
      <c r="AG318" s="9"/>
      <c r="AH318" s="9"/>
      <c r="AI318" s="9"/>
      <c r="AJ318" s="9"/>
      <c r="AK318" s="245"/>
      <c r="AL318" s="245"/>
      <c r="AM318" s="245"/>
      <c r="AN318" s="245"/>
      <c r="AO318" s="9"/>
      <c r="AP318" s="9"/>
      <c r="AQ318" s="9"/>
      <c r="AR318" s="9"/>
      <c r="AS318" s="9"/>
      <c r="AT318" s="9"/>
      <c r="AU318" s="9"/>
      <c r="AV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234"/>
      <c r="AD319" s="234"/>
      <c r="AE319" s="234"/>
      <c r="AF319" s="234"/>
      <c r="AG319" s="9"/>
      <c r="AH319" s="9"/>
      <c r="AI319" s="9"/>
      <c r="AJ319" s="9"/>
      <c r="AK319" s="245"/>
      <c r="AL319" s="245"/>
      <c r="AM319" s="245"/>
      <c r="AN319" s="245"/>
      <c r="AO319" s="9"/>
      <c r="AP319" s="9"/>
      <c r="AQ319" s="9"/>
      <c r="AR319" s="9"/>
      <c r="AS319" s="9"/>
      <c r="AT319" s="9"/>
      <c r="AU319" s="9"/>
      <c r="AV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234"/>
      <c r="AD320" s="234"/>
      <c r="AE320" s="234"/>
      <c r="AF320" s="234"/>
      <c r="AG320" s="9"/>
      <c r="AH320" s="9"/>
      <c r="AI320" s="9"/>
      <c r="AJ320" s="9"/>
      <c r="AK320" s="245"/>
      <c r="AL320" s="245"/>
      <c r="AM320" s="245"/>
      <c r="AN320" s="245"/>
      <c r="AO320" s="9"/>
      <c r="AP320" s="9"/>
      <c r="AQ320" s="9"/>
      <c r="AR320" s="9"/>
      <c r="AS320" s="9"/>
      <c r="AT320" s="9"/>
      <c r="AU320" s="9"/>
      <c r="AV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234"/>
      <c r="AD321" s="234"/>
      <c r="AE321" s="234"/>
      <c r="AF321" s="234"/>
      <c r="AG321" s="9"/>
      <c r="AH321" s="9"/>
      <c r="AI321" s="9"/>
      <c r="AJ321" s="9"/>
      <c r="AK321" s="245"/>
      <c r="AL321" s="245"/>
      <c r="AM321" s="245"/>
      <c r="AN321" s="245"/>
      <c r="AO321" s="9"/>
      <c r="AP321" s="9"/>
      <c r="AQ321" s="9"/>
      <c r="AR321" s="9"/>
      <c r="AS321" s="9"/>
      <c r="AT321" s="9"/>
      <c r="AU321" s="9"/>
      <c r="AV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234"/>
      <c r="AD322" s="234"/>
      <c r="AE322" s="234"/>
      <c r="AF322" s="234"/>
      <c r="AG322" s="9"/>
      <c r="AH322" s="9"/>
      <c r="AI322" s="9"/>
      <c r="AJ322" s="9"/>
      <c r="AK322" s="245"/>
      <c r="AL322" s="245"/>
      <c r="AM322" s="245"/>
      <c r="AN322" s="245"/>
      <c r="AO322" s="9"/>
      <c r="AP322" s="9"/>
      <c r="AQ322" s="9"/>
      <c r="AR322" s="9"/>
      <c r="AS322" s="9"/>
      <c r="AT322" s="9"/>
      <c r="AU322" s="9"/>
      <c r="AV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234"/>
      <c r="AD323" s="234"/>
      <c r="AE323" s="234"/>
      <c r="AF323" s="234"/>
      <c r="AG323" s="9"/>
      <c r="AH323" s="9"/>
      <c r="AI323" s="9"/>
      <c r="AJ323" s="9"/>
      <c r="AK323" s="245"/>
      <c r="AL323" s="245"/>
      <c r="AM323" s="245"/>
      <c r="AN323" s="245"/>
      <c r="AO323" s="9"/>
      <c r="AP323" s="9"/>
      <c r="AQ323" s="9"/>
      <c r="AR323" s="9"/>
      <c r="AS323" s="9"/>
      <c r="AT323" s="9"/>
      <c r="AU323" s="9"/>
      <c r="AV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234"/>
      <c r="AD324" s="234"/>
      <c r="AE324" s="234"/>
      <c r="AF324" s="234"/>
      <c r="AG324" s="9"/>
      <c r="AH324" s="9"/>
      <c r="AI324" s="9"/>
      <c r="AJ324" s="9"/>
      <c r="AK324" s="245"/>
      <c r="AL324" s="245"/>
      <c r="AM324" s="245"/>
      <c r="AN324" s="245"/>
      <c r="AO324" s="9"/>
      <c r="AP324" s="9"/>
      <c r="AQ324" s="9"/>
      <c r="AR324" s="9"/>
      <c r="AS324" s="9"/>
      <c r="AT324" s="9"/>
      <c r="AU324" s="9"/>
      <c r="AV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234"/>
      <c r="AD325" s="234"/>
      <c r="AE325" s="234"/>
      <c r="AF325" s="234"/>
      <c r="AG325" s="9"/>
      <c r="AH325" s="9"/>
      <c r="AI325" s="9"/>
      <c r="AJ325" s="9"/>
      <c r="AK325" s="245"/>
      <c r="AL325" s="245"/>
      <c r="AM325" s="245"/>
      <c r="AN325" s="245"/>
      <c r="AO325" s="9"/>
      <c r="AP325" s="9"/>
      <c r="AQ325" s="9"/>
      <c r="AR325" s="9"/>
      <c r="AS325" s="9"/>
      <c r="AT325" s="9"/>
      <c r="AU325" s="9"/>
      <c r="AV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234"/>
      <c r="AD326" s="234"/>
      <c r="AE326" s="234"/>
      <c r="AF326" s="234"/>
      <c r="AG326" s="9"/>
      <c r="AH326" s="9"/>
      <c r="AI326" s="9"/>
      <c r="AJ326" s="9"/>
      <c r="AK326" s="245"/>
      <c r="AL326" s="245"/>
      <c r="AM326" s="245"/>
      <c r="AN326" s="245"/>
      <c r="AO326" s="9"/>
      <c r="AP326" s="9"/>
      <c r="AQ326" s="9"/>
      <c r="AR326" s="9"/>
      <c r="AS326" s="9"/>
      <c r="AT326" s="9"/>
      <c r="AU326" s="9"/>
      <c r="AV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234"/>
      <c r="AD327" s="234"/>
      <c r="AE327" s="234"/>
      <c r="AF327" s="234"/>
      <c r="AG327" s="9"/>
      <c r="AH327" s="9"/>
      <c r="AI327" s="9"/>
      <c r="AJ327" s="9"/>
      <c r="AK327" s="245"/>
      <c r="AL327" s="245"/>
      <c r="AM327" s="245"/>
      <c r="AN327" s="245"/>
      <c r="AO327" s="9"/>
      <c r="AP327" s="9"/>
      <c r="AQ327" s="9"/>
      <c r="AR327" s="9"/>
      <c r="AS327" s="9"/>
      <c r="AT327" s="9"/>
      <c r="AU327" s="9"/>
      <c r="AV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234"/>
      <c r="AD328" s="234"/>
      <c r="AE328" s="234"/>
      <c r="AF328" s="234"/>
      <c r="AG328" s="9"/>
      <c r="AH328" s="9"/>
      <c r="AI328" s="9"/>
      <c r="AJ328" s="9"/>
      <c r="AK328" s="245"/>
      <c r="AL328" s="245"/>
      <c r="AM328" s="245"/>
      <c r="AN328" s="245"/>
      <c r="AO328" s="9"/>
      <c r="AP328" s="9"/>
      <c r="AQ328" s="9"/>
      <c r="AR328" s="9"/>
      <c r="AS328" s="9"/>
      <c r="AT328" s="9"/>
      <c r="AU328" s="9"/>
      <c r="AV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234"/>
      <c r="AD329" s="234"/>
      <c r="AE329" s="234"/>
      <c r="AF329" s="234"/>
      <c r="AG329" s="9"/>
      <c r="AH329" s="9"/>
      <c r="AI329" s="9"/>
      <c r="AJ329" s="9"/>
      <c r="AK329" s="245"/>
      <c r="AL329" s="245"/>
      <c r="AM329" s="245"/>
      <c r="AN329" s="245"/>
      <c r="AO329" s="9"/>
      <c r="AP329" s="9"/>
      <c r="AQ329" s="9"/>
      <c r="AR329" s="9"/>
      <c r="AS329" s="9"/>
      <c r="AT329" s="9"/>
      <c r="AU329" s="9"/>
      <c r="AV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234"/>
      <c r="AD330" s="234"/>
      <c r="AE330" s="234"/>
      <c r="AF330" s="234"/>
      <c r="AG330" s="9"/>
      <c r="AH330" s="9"/>
      <c r="AI330" s="9"/>
      <c r="AJ330" s="9"/>
      <c r="AK330" s="245"/>
      <c r="AL330" s="245"/>
      <c r="AM330" s="245"/>
      <c r="AN330" s="245"/>
      <c r="AO330" s="9"/>
      <c r="AP330" s="9"/>
      <c r="AQ330" s="9"/>
      <c r="AR330" s="9"/>
      <c r="AS330" s="9"/>
      <c r="AT330" s="9"/>
      <c r="AU330" s="9"/>
      <c r="AV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234"/>
      <c r="AD331" s="234"/>
      <c r="AE331" s="234"/>
      <c r="AF331" s="234"/>
      <c r="AG331" s="9"/>
      <c r="AH331" s="9"/>
      <c r="AI331" s="9"/>
      <c r="AJ331" s="9"/>
      <c r="AK331" s="245"/>
      <c r="AL331" s="245"/>
      <c r="AM331" s="245"/>
      <c r="AN331" s="245"/>
      <c r="AO331" s="9"/>
      <c r="AP331" s="9"/>
      <c r="AQ331" s="9"/>
      <c r="AR331" s="9"/>
      <c r="AS331" s="9"/>
      <c r="AT331" s="9"/>
      <c r="AU331" s="9"/>
      <c r="AV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234"/>
      <c r="AD332" s="234"/>
      <c r="AE332" s="234"/>
      <c r="AF332" s="234"/>
      <c r="AG332" s="9"/>
      <c r="AH332" s="9"/>
      <c r="AI332" s="9"/>
      <c r="AJ332" s="9"/>
      <c r="AK332" s="245"/>
      <c r="AL332" s="245"/>
      <c r="AM332" s="245"/>
      <c r="AN332" s="245"/>
      <c r="AO332" s="9"/>
      <c r="AP332" s="9"/>
      <c r="AQ332" s="9"/>
      <c r="AR332" s="9"/>
      <c r="AS332" s="9"/>
      <c r="AT332" s="9"/>
      <c r="AU332" s="9"/>
      <c r="AV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234"/>
      <c r="AD333" s="234"/>
      <c r="AE333" s="234"/>
      <c r="AF333" s="234"/>
      <c r="AG333" s="9"/>
      <c r="AH333" s="9"/>
      <c r="AI333" s="9"/>
      <c r="AJ333" s="9"/>
      <c r="AK333" s="245"/>
      <c r="AL333" s="245"/>
      <c r="AM333" s="245"/>
      <c r="AN333" s="245"/>
      <c r="AO333" s="9"/>
      <c r="AP333" s="9"/>
      <c r="AQ333" s="9"/>
      <c r="AR333" s="9"/>
      <c r="AS333" s="9"/>
      <c r="AT333" s="9"/>
      <c r="AU333" s="9"/>
      <c r="AV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234"/>
      <c r="AD334" s="234"/>
      <c r="AE334" s="234"/>
      <c r="AF334" s="234"/>
      <c r="AG334" s="9"/>
      <c r="AH334" s="9"/>
      <c r="AI334" s="9"/>
      <c r="AJ334" s="9"/>
      <c r="AK334" s="245"/>
      <c r="AL334" s="245"/>
      <c r="AM334" s="245"/>
      <c r="AN334" s="245"/>
      <c r="AO334" s="9"/>
      <c r="AP334" s="9"/>
      <c r="AQ334" s="9"/>
      <c r="AR334" s="9"/>
      <c r="AS334" s="9"/>
      <c r="AT334" s="9"/>
      <c r="AU334" s="9"/>
      <c r="AV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234"/>
      <c r="AD335" s="234"/>
      <c r="AE335" s="234"/>
      <c r="AF335" s="234"/>
      <c r="AG335" s="9"/>
      <c r="AH335" s="9"/>
      <c r="AI335" s="9"/>
      <c r="AJ335" s="9"/>
      <c r="AK335" s="245"/>
      <c r="AL335" s="245"/>
      <c r="AM335" s="245"/>
      <c r="AN335" s="245"/>
      <c r="AO335" s="9"/>
      <c r="AP335" s="9"/>
      <c r="AQ335" s="9"/>
      <c r="AR335" s="9"/>
      <c r="AS335" s="9"/>
      <c r="AT335" s="9"/>
      <c r="AU335" s="9"/>
      <c r="AV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234"/>
      <c r="AD336" s="234"/>
      <c r="AE336" s="234"/>
      <c r="AF336" s="234"/>
      <c r="AG336" s="9"/>
      <c r="AH336" s="9"/>
      <c r="AI336" s="9"/>
      <c r="AJ336" s="9"/>
      <c r="AK336" s="245"/>
      <c r="AL336" s="245"/>
      <c r="AM336" s="245"/>
      <c r="AN336" s="245"/>
      <c r="AO336" s="9"/>
      <c r="AP336" s="9"/>
      <c r="AQ336" s="9"/>
      <c r="AR336" s="9"/>
      <c r="AS336" s="9"/>
      <c r="AT336" s="9"/>
      <c r="AU336" s="9"/>
      <c r="AV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234"/>
      <c r="AD337" s="234"/>
      <c r="AE337" s="234"/>
      <c r="AF337" s="234"/>
      <c r="AG337" s="9"/>
      <c r="AH337" s="9"/>
      <c r="AI337" s="9"/>
      <c r="AJ337" s="9"/>
      <c r="AK337" s="245"/>
      <c r="AL337" s="245"/>
      <c r="AM337" s="245"/>
      <c r="AN337" s="245"/>
      <c r="AO337" s="9"/>
      <c r="AP337" s="9"/>
      <c r="AQ337" s="9"/>
      <c r="AR337" s="9"/>
      <c r="AS337" s="9"/>
      <c r="AT337" s="9"/>
      <c r="AU337" s="9"/>
      <c r="AV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234"/>
      <c r="AD338" s="234"/>
      <c r="AE338" s="234"/>
      <c r="AF338" s="234"/>
      <c r="AG338" s="9"/>
      <c r="AH338" s="9"/>
      <c r="AI338" s="9"/>
      <c r="AJ338" s="9"/>
      <c r="AK338" s="245"/>
      <c r="AL338" s="245"/>
      <c r="AM338" s="245"/>
      <c r="AN338" s="245"/>
      <c r="AO338" s="9"/>
      <c r="AP338" s="9"/>
      <c r="AQ338" s="9"/>
      <c r="AR338" s="9"/>
      <c r="AS338" s="9"/>
      <c r="AT338" s="9"/>
      <c r="AU338" s="9"/>
      <c r="AV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234"/>
      <c r="AD339" s="234"/>
      <c r="AE339" s="234"/>
      <c r="AF339" s="234"/>
      <c r="AG339" s="9"/>
      <c r="AH339" s="9"/>
      <c r="AI339" s="9"/>
      <c r="AJ339" s="9"/>
      <c r="AK339" s="245"/>
      <c r="AL339" s="245"/>
      <c r="AM339" s="245"/>
      <c r="AN339" s="245"/>
      <c r="AO339" s="9"/>
      <c r="AP339" s="9"/>
      <c r="AQ339" s="9"/>
      <c r="AR339" s="9"/>
      <c r="AS339" s="9"/>
      <c r="AT339" s="9"/>
      <c r="AU339" s="9"/>
      <c r="AV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234"/>
      <c r="AD340" s="234"/>
      <c r="AE340" s="234"/>
      <c r="AF340" s="234"/>
      <c r="AG340" s="9"/>
      <c r="AH340" s="9"/>
      <c r="AI340" s="9"/>
      <c r="AJ340" s="9"/>
      <c r="AK340" s="245"/>
      <c r="AL340" s="245"/>
      <c r="AM340" s="245"/>
      <c r="AN340" s="245"/>
      <c r="AO340" s="9"/>
      <c r="AP340" s="9"/>
      <c r="AQ340" s="9"/>
      <c r="AR340" s="9"/>
      <c r="AS340" s="9"/>
      <c r="AT340" s="9"/>
      <c r="AU340" s="9"/>
      <c r="AV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234"/>
      <c r="AD341" s="234"/>
      <c r="AE341" s="234"/>
      <c r="AF341" s="234"/>
      <c r="AG341" s="9"/>
      <c r="AH341" s="9"/>
      <c r="AI341" s="9"/>
      <c r="AJ341" s="9"/>
      <c r="AK341" s="245"/>
      <c r="AL341" s="245"/>
      <c r="AM341" s="245"/>
      <c r="AN341" s="245"/>
      <c r="AO341" s="9"/>
      <c r="AP341" s="9"/>
      <c r="AQ341" s="9"/>
      <c r="AR341" s="9"/>
      <c r="AS341" s="9"/>
      <c r="AT341" s="9"/>
      <c r="AU341" s="9"/>
      <c r="AV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234"/>
      <c r="AD342" s="234"/>
      <c r="AE342" s="234"/>
      <c r="AF342" s="234"/>
      <c r="AG342" s="9"/>
      <c r="AH342" s="9"/>
      <c r="AI342" s="9"/>
      <c r="AJ342" s="9"/>
      <c r="AK342" s="245"/>
      <c r="AL342" s="245"/>
      <c r="AM342" s="245"/>
      <c r="AN342" s="245"/>
      <c r="AO342" s="9"/>
      <c r="AP342" s="9"/>
      <c r="AQ342" s="9"/>
      <c r="AR342" s="9"/>
      <c r="AS342" s="9"/>
      <c r="AT342" s="9"/>
      <c r="AU342" s="9"/>
      <c r="AV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234"/>
      <c r="AD343" s="234"/>
      <c r="AE343" s="234"/>
      <c r="AF343" s="234"/>
      <c r="AG343" s="9"/>
      <c r="AH343" s="9"/>
      <c r="AI343" s="9"/>
      <c r="AJ343" s="9"/>
      <c r="AK343" s="245"/>
      <c r="AL343" s="245"/>
      <c r="AM343" s="245"/>
      <c r="AN343" s="245"/>
      <c r="AO343" s="9"/>
      <c r="AP343" s="9"/>
      <c r="AQ343" s="9"/>
      <c r="AR343" s="9"/>
      <c r="AS343" s="9"/>
      <c r="AT343" s="9"/>
      <c r="AU343" s="9"/>
      <c r="AV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234"/>
      <c r="AD344" s="234"/>
      <c r="AE344" s="234"/>
      <c r="AF344" s="234"/>
      <c r="AG344" s="9"/>
      <c r="AH344" s="9"/>
      <c r="AI344" s="9"/>
      <c r="AJ344" s="9"/>
      <c r="AK344" s="245"/>
      <c r="AL344" s="245"/>
      <c r="AM344" s="245"/>
      <c r="AN344" s="245"/>
      <c r="AO344" s="9"/>
      <c r="AP344" s="9"/>
      <c r="AQ344" s="9"/>
      <c r="AR344" s="9"/>
      <c r="AS344" s="9"/>
      <c r="AT344" s="9"/>
      <c r="AU344" s="9"/>
      <c r="AV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234"/>
      <c r="AD345" s="234"/>
      <c r="AE345" s="234"/>
      <c r="AF345" s="234"/>
      <c r="AG345" s="9"/>
      <c r="AH345" s="9"/>
      <c r="AI345" s="9"/>
      <c r="AJ345" s="9"/>
      <c r="AK345" s="245"/>
      <c r="AL345" s="245"/>
      <c r="AM345" s="245"/>
      <c r="AN345" s="245"/>
      <c r="AO345" s="9"/>
      <c r="AP345" s="9"/>
      <c r="AQ345" s="9"/>
      <c r="AR345" s="9"/>
      <c r="AS345" s="9"/>
      <c r="AT345" s="9"/>
      <c r="AU345" s="9"/>
      <c r="AV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234"/>
      <c r="AD346" s="234"/>
      <c r="AE346" s="234"/>
      <c r="AF346" s="234"/>
      <c r="AG346" s="9"/>
      <c r="AH346" s="9"/>
      <c r="AI346" s="9"/>
      <c r="AJ346" s="9"/>
      <c r="AK346" s="245"/>
      <c r="AL346" s="245"/>
      <c r="AM346" s="245"/>
      <c r="AN346" s="245"/>
      <c r="AO346" s="9"/>
      <c r="AP346" s="9"/>
      <c r="AQ346" s="9"/>
      <c r="AR346" s="9"/>
      <c r="AS346" s="9"/>
      <c r="AT346" s="9"/>
      <c r="AU346" s="9"/>
      <c r="AV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234"/>
      <c r="AD347" s="234"/>
      <c r="AE347" s="234"/>
      <c r="AF347" s="234"/>
      <c r="AG347" s="9"/>
      <c r="AH347" s="9"/>
      <c r="AI347" s="9"/>
      <c r="AJ347" s="9"/>
      <c r="AK347" s="245"/>
      <c r="AL347" s="245"/>
      <c r="AM347" s="245"/>
      <c r="AN347" s="245"/>
      <c r="AO347" s="9"/>
      <c r="AP347" s="9"/>
      <c r="AQ347" s="9"/>
      <c r="AR347" s="9"/>
      <c r="AS347" s="9"/>
      <c r="AT347" s="9"/>
      <c r="AU347" s="9"/>
      <c r="AV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234"/>
      <c r="AD348" s="234"/>
      <c r="AE348" s="234"/>
      <c r="AF348" s="234"/>
      <c r="AG348" s="9"/>
      <c r="AH348" s="9"/>
      <c r="AI348" s="9"/>
      <c r="AJ348" s="9"/>
      <c r="AK348" s="245"/>
      <c r="AL348" s="245"/>
      <c r="AM348" s="245"/>
      <c r="AN348" s="245"/>
      <c r="AO348" s="9"/>
      <c r="AP348" s="9"/>
      <c r="AQ348" s="9"/>
      <c r="AR348" s="9"/>
      <c r="AS348" s="9"/>
      <c r="AT348" s="9"/>
      <c r="AU348" s="9"/>
      <c r="AV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234"/>
      <c r="AD349" s="234"/>
      <c r="AE349" s="234"/>
      <c r="AF349" s="234"/>
      <c r="AG349" s="9"/>
      <c r="AH349" s="9"/>
      <c r="AI349" s="9"/>
      <c r="AJ349" s="9"/>
      <c r="AK349" s="245"/>
      <c r="AL349" s="245"/>
      <c r="AM349" s="245"/>
      <c r="AN349" s="245"/>
      <c r="AO349" s="9"/>
      <c r="AP349" s="9"/>
      <c r="AQ349" s="9"/>
      <c r="AR349" s="9"/>
      <c r="AS349" s="9"/>
      <c r="AT349" s="9"/>
      <c r="AU349" s="9"/>
      <c r="AV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234"/>
      <c r="AD350" s="234"/>
      <c r="AE350" s="234"/>
      <c r="AF350" s="234"/>
      <c r="AG350" s="9"/>
      <c r="AH350" s="9"/>
      <c r="AI350" s="9"/>
      <c r="AJ350" s="9"/>
      <c r="AK350" s="245"/>
      <c r="AL350" s="245"/>
      <c r="AM350" s="245"/>
      <c r="AN350" s="245"/>
      <c r="AO350" s="9"/>
      <c r="AP350" s="9"/>
      <c r="AQ350" s="9"/>
      <c r="AR350" s="9"/>
      <c r="AS350" s="9"/>
      <c r="AT350" s="9"/>
      <c r="AU350" s="9"/>
      <c r="AV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234"/>
      <c r="AD351" s="234"/>
      <c r="AE351" s="234"/>
      <c r="AF351" s="234"/>
      <c r="AG351" s="9"/>
      <c r="AH351" s="9"/>
      <c r="AI351" s="9"/>
      <c r="AJ351" s="9"/>
      <c r="AK351" s="245"/>
      <c r="AL351" s="245"/>
      <c r="AM351" s="245"/>
      <c r="AN351" s="245"/>
      <c r="AO351" s="9"/>
      <c r="AP351" s="9"/>
      <c r="AQ351" s="9"/>
      <c r="AR351" s="9"/>
      <c r="AS351" s="9"/>
      <c r="AT351" s="9"/>
      <c r="AU351" s="9"/>
      <c r="AV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234"/>
      <c r="AD352" s="234"/>
      <c r="AE352" s="234"/>
      <c r="AF352" s="234"/>
      <c r="AG352" s="9"/>
      <c r="AH352" s="9"/>
      <c r="AI352" s="9"/>
      <c r="AJ352" s="9"/>
      <c r="AK352" s="245"/>
      <c r="AL352" s="245"/>
      <c r="AM352" s="245"/>
      <c r="AN352" s="245"/>
      <c r="AO352" s="9"/>
      <c r="AP352" s="9"/>
      <c r="AQ352" s="9"/>
      <c r="AR352" s="9"/>
      <c r="AS352" s="9"/>
      <c r="AT352" s="9"/>
      <c r="AU352" s="9"/>
      <c r="AV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234"/>
      <c r="AD353" s="234"/>
      <c r="AE353" s="234"/>
      <c r="AF353" s="234"/>
      <c r="AG353" s="9"/>
      <c r="AH353" s="9"/>
      <c r="AI353" s="9"/>
      <c r="AJ353" s="9"/>
      <c r="AK353" s="245"/>
      <c r="AL353" s="245"/>
      <c r="AM353" s="245"/>
      <c r="AN353" s="245"/>
      <c r="AO353" s="9"/>
      <c r="AP353" s="9"/>
      <c r="AQ353" s="9"/>
      <c r="AR353" s="9"/>
      <c r="AS353" s="9"/>
      <c r="AT353" s="9"/>
      <c r="AU353" s="9"/>
      <c r="AV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234"/>
      <c r="AD354" s="234"/>
      <c r="AE354" s="234"/>
      <c r="AF354" s="234"/>
      <c r="AG354" s="9"/>
      <c r="AH354" s="9"/>
      <c r="AI354" s="9"/>
      <c r="AJ354" s="9"/>
      <c r="AK354" s="245"/>
      <c r="AL354" s="245"/>
      <c r="AM354" s="245"/>
      <c r="AN354" s="245"/>
      <c r="AO354" s="9"/>
      <c r="AP354" s="9"/>
      <c r="AQ354" s="9"/>
      <c r="AR354" s="9"/>
      <c r="AS354" s="9"/>
      <c r="AT354" s="9"/>
      <c r="AU354" s="9"/>
      <c r="AV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234"/>
      <c r="AD355" s="234"/>
      <c r="AE355" s="234"/>
      <c r="AF355" s="234"/>
      <c r="AG355" s="9"/>
      <c r="AH355" s="9"/>
      <c r="AI355" s="9"/>
      <c r="AJ355" s="9"/>
      <c r="AK355" s="245"/>
      <c r="AL355" s="245"/>
      <c r="AM355" s="245"/>
      <c r="AN355" s="245"/>
      <c r="AO355" s="9"/>
      <c r="AP355" s="9"/>
      <c r="AQ355" s="9"/>
      <c r="AR355" s="9"/>
      <c r="AS355" s="9"/>
      <c r="AT355" s="9"/>
      <c r="AU355" s="9"/>
      <c r="AV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234"/>
      <c r="AD356" s="234"/>
      <c r="AE356" s="234"/>
      <c r="AF356" s="234"/>
      <c r="AG356" s="9"/>
      <c r="AH356" s="9"/>
      <c r="AI356" s="9"/>
      <c r="AJ356" s="9"/>
      <c r="AK356" s="245"/>
      <c r="AL356" s="245"/>
      <c r="AM356" s="245"/>
      <c r="AN356" s="245"/>
      <c r="AO356" s="9"/>
      <c r="AP356" s="9"/>
      <c r="AQ356" s="9"/>
      <c r="AR356" s="9"/>
      <c r="AS356" s="9"/>
      <c r="AT356" s="9"/>
      <c r="AU356" s="9"/>
      <c r="AV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234"/>
      <c r="AD357" s="234"/>
      <c r="AE357" s="234"/>
      <c r="AF357" s="234"/>
      <c r="AG357" s="9"/>
      <c r="AH357" s="9"/>
      <c r="AI357" s="9"/>
      <c r="AJ357" s="9"/>
      <c r="AK357" s="245"/>
      <c r="AL357" s="245"/>
      <c r="AM357" s="245"/>
      <c r="AN357" s="245"/>
      <c r="AO357" s="9"/>
      <c r="AP357" s="9"/>
      <c r="AQ357" s="9"/>
      <c r="AR357" s="9"/>
      <c r="AS357" s="9"/>
      <c r="AT357" s="9"/>
      <c r="AU357" s="9"/>
      <c r="AV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234"/>
      <c r="AD358" s="234"/>
      <c r="AE358" s="234"/>
      <c r="AF358" s="234"/>
      <c r="AG358" s="9"/>
      <c r="AH358" s="9"/>
      <c r="AI358" s="9"/>
      <c r="AJ358" s="9"/>
      <c r="AK358" s="245"/>
      <c r="AL358" s="245"/>
      <c r="AM358" s="245"/>
      <c r="AN358" s="245"/>
      <c r="AO358" s="9"/>
      <c r="AP358" s="9"/>
      <c r="AQ358" s="9"/>
      <c r="AR358" s="9"/>
      <c r="AS358" s="9"/>
      <c r="AT358" s="9"/>
      <c r="AU358" s="9"/>
      <c r="AV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234"/>
      <c r="AD359" s="234"/>
      <c r="AE359" s="234"/>
      <c r="AF359" s="234"/>
      <c r="AG359" s="9"/>
      <c r="AH359" s="9"/>
      <c r="AI359" s="9"/>
      <c r="AJ359" s="9"/>
      <c r="AK359" s="245"/>
      <c r="AL359" s="245"/>
      <c r="AM359" s="245"/>
      <c r="AN359" s="245"/>
      <c r="AO359" s="9"/>
      <c r="AP359" s="9"/>
      <c r="AQ359" s="9"/>
      <c r="AR359" s="9"/>
      <c r="AS359" s="9"/>
      <c r="AT359" s="9"/>
      <c r="AU359" s="9"/>
      <c r="AV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234"/>
      <c r="AD360" s="234"/>
      <c r="AE360" s="234"/>
      <c r="AF360" s="234"/>
      <c r="AG360" s="9"/>
      <c r="AH360" s="9"/>
      <c r="AI360" s="9"/>
      <c r="AJ360" s="9"/>
      <c r="AK360" s="245"/>
      <c r="AL360" s="245"/>
      <c r="AM360" s="245"/>
      <c r="AN360" s="245"/>
      <c r="AO360" s="9"/>
      <c r="AP360" s="9"/>
      <c r="AQ360" s="9"/>
      <c r="AR360" s="9"/>
      <c r="AS360" s="9"/>
      <c r="AT360" s="9"/>
      <c r="AU360" s="9"/>
      <c r="AV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234"/>
      <c r="AD361" s="234"/>
      <c r="AE361" s="234"/>
      <c r="AF361" s="234"/>
      <c r="AG361" s="9"/>
      <c r="AH361" s="9"/>
      <c r="AI361" s="9"/>
      <c r="AJ361" s="9"/>
      <c r="AK361" s="245"/>
      <c r="AL361" s="245"/>
      <c r="AM361" s="245"/>
      <c r="AN361" s="245"/>
      <c r="AO361" s="9"/>
      <c r="AP361" s="9"/>
      <c r="AQ361" s="9"/>
      <c r="AR361" s="9"/>
      <c r="AS361" s="9"/>
      <c r="AT361" s="9"/>
      <c r="AU361" s="9"/>
      <c r="AV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234"/>
      <c r="AD362" s="234"/>
      <c r="AE362" s="234"/>
      <c r="AF362" s="234"/>
      <c r="AG362" s="9"/>
      <c r="AH362" s="9"/>
      <c r="AI362" s="9"/>
      <c r="AJ362" s="9"/>
      <c r="AK362" s="245"/>
      <c r="AL362" s="245"/>
      <c r="AM362" s="245"/>
      <c r="AN362" s="245"/>
      <c r="AO362" s="9"/>
      <c r="AP362" s="9"/>
      <c r="AQ362" s="9"/>
      <c r="AR362" s="9"/>
      <c r="AS362" s="9"/>
      <c r="AT362" s="9"/>
      <c r="AU362" s="9"/>
      <c r="AV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234"/>
      <c r="AD363" s="234"/>
      <c r="AE363" s="234"/>
      <c r="AF363" s="234"/>
      <c r="AG363" s="9"/>
      <c r="AH363" s="9"/>
      <c r="AI363" s="9"/>
      <c r="AJ363" s="9"/>
      <c r="AK363" s="245"/>
      <c r="AL363" s="245"/>
      <c r="AM363" s="245"/>
      <c r="AN363" s="245"/>
      <c r="AO363" s="9"/>
      <c r="AP363" s="9"/>
      <c r="AQ363" s="9"/>
      <c r="AR363" s="9"/>
      <c r="AS363" s="9"/>
      <c r="AT363" s="9"/>
      <c r="AU363" s="9"/>
      <c r="AV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234"/>
      <c r="AD364" s="234"/>
      <c r="AE364" s="234"/>
      <c r="AF364" s="234"/>
      <c r="AG364" s="9"/>
      <c r="AH364" s="9"/>
      <c r="AI364" s="9"/>
      <c r="AJ364" s="9"/>
      <c r="AK364" s="245"/>
      <c r="AL364" s="245"/>
      <c r="AM364" s="245"/>
      <c r="AN364" s="245"/>
      <c r="AO364" s="9"/>
      <c r="AP364" s="9"/>
      <c r="AQ364" s="9"/>
      <c r="AR364" s="9"/>
      <c r="AS364" s="9"/>
      <c r="AT364" s="9"/>
      <c r="AU364" s="9"/>
      <c r="AV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234"/>
      <c r="AD365" s="234"/>
      <c r="AE365" s="234"/>
      <c r="AF365" s="234"/>
      <c r="AG365" s="9"/>
      <c r="AH365" s="9"/>
      <c r="AI365" s="9"/>
      <c r="AJ365" s="9"/>
      <c r="AK365" s="245"/>
      <c r="AL365" s="245"/>
      <c r="AM365" s="245"/>
      <c r="AN365" s="245"/>
      <c r="AO365" s="9"/>
      <c r="AP365" s="9"/>
      <c r="AQ365" s="9"/>
      <c r="AR365" s="9"/>
      <c r="AS365" s="9"/>
      <c r="AT365" s="9"/>
      <c r="AU365" s="9"/>
      <c r="AV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234"/>
      <c r="AD366" s="234"/>
      <c r="AE366" s="234"/>
      <c r="AF366" s="234"/>
      <c r="AG366" s="9"/>
      <c r="AH366" s="9"/>
      <c r="AI366" s="9"/>
      <c r="AJ366" s="9"/>
      <c r="AK366" s="245"/>
      <c r="AL366" s="245"/>
      <c r="AM366" s="245"/>
      <c r="AN366" s="245"/>
      <c r="AO366" s="9"/>
      <c r="AP366" s="9"/>
      <c r="AQ366" s="9"/>
      <c r="AR366" s="9"/>
      <c r="AS366" s="9"/>
      <c r="AT366" s="9"/>
      <c r="AU366" s="9"/>
      <c r="AV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234"/>
      <c r="AD367" s="234"/>
      <c r="AE367" s="234"/>
      <c r="AF367" s="234"/>
      <c r="AG367" s="9"/>
      <c r="AH367" s="9"/>
      <c r="AI367" s="9"/>
      <c r="AJ367" s="9"/>
      <c r="AK367" s="245"/>
      <c r="AL367" s="245"/>
      <c r="AM367" s="245"/>
      <c r="AN367" s="245"/>
      <c r="AO367" s="9"/>
      <c r="AP367" s="9"/>
      <c r="AQ367" s="9"/>
      <c r="AR367" s="9"/>
      <c r="AS367" s="9"/>
      <c r="AT367" s="9"/>
      <c r="AU367" s="9"/>
      <c r="AV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234"/>
      <c r="AD368" s="234"/>
      <c r="AE368" s="234"/>
      <c r="AF368" s="234"/>
      <c r="AG368" s="9"/>
      <c r="AH368" s="9"/>
      <c r="AI368" s="9"/>
      <c r="AJ368" s="9"/>
      <c r="AK368" s="245"/>
      <c r="AL368" s="245"/>
      <c r="AM368" s="245"/>
      <c r="AN368" s="245"/>
      <c r="AO368" s="9"/>
      <c r="AP368" s="9"/>
      <c r="AQ368" s="9"/>
      <c r="AR368" s="9"/>
      <c r="AS368" s="9"/>
      <c r="AT368" s="9"/>
      <c r="AU368" s="9"/>
      <c r="AV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234"/>
      <c r="AD369" s="234"/>
      <c r="AE369" s="234"/>
      <c r="AF369" s="234"/>
      <c r="AG369" s="9"/>
      <c r="AH369" s="9"/>
      <c r="AI369" s="9"/>
      <c r="AJ369" s="9"/>
      <c r="AK369" s="245"/>
      <c r="AL369" s="245"/>
      <c r="AM369" s="245"/>
      <c r="AN369" s="245"/>
      <c r="AO369" s="9"/>
      <c r="AP369" s="9"/>
      <c r="AQ369" s="9"/>
      <c r="AR369" s="9"/>
      <c r="AS369" s="9"/>
      <c r="AT369" s="9"/>
      <c r="AU369" s="9"/>
      <c r="AV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234"/>
      <c r="AD370" s="234"/>
      <c r="AE370" s="234"/>
      <c r="AF370" s="234"/>
      <c r="AG370" s="9"/>
      <c r="AH370" s="9"/>
      <c r="AI370" s="9"/>
      <c r="AJ370" s="9"/>
      <c r="AK370" s="245"/>
      <c r="AL370" s="245"/>
      <c r="AM370" s="245"/>
      <c r="AN370" s="245"/>
      <c r="AO370" s="9"/>
      <c r="AP370" s="9"/>
      <c r="AQ370" s="9"/>
      <c r="AR370" s="9"/>
      <c r="AS370" s="9"/>
      <c r="AT370" s="9"/>
      <c r="AU370" s="9"/>
      <c r="AV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234"/>
      <c r="AD371" s="234"/>
      <c r="AE371" s="234"/>
      <c r="AF371" s="234"/>
      <c r="AG371" s="9"/>
      <c r="AH371" s="9"/>
      <c r="AI371" s="9"/>
      <c r="AJ371" s="9"/>
      <c r="AK371" s="245"/>
      <c r="AL371" s="245"/>
      <c r="AM371" s="245"/>
      <c r="AN371" s="245"/>
      <c r="AO371" s="9"/>
      <c r="AP371" s="9"/>
      <c r="AQ371" s="9"/>
      <c r="AR371" s="9"/>
      <c r="AS371" s="9"/>
      <c r="AT371" s="9"/>
      <c r="AU371" s="9"/>
      <c r="AV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234"/>
      <c r="AD372" s="234"/>
      <c r="AE372" s="234"/>
      <c r="AF372" s="234"/>
      <c r="AG372" s="9"/>
      <c r="AH372" s="9"/>
      <c r="AI372" s="9"/>
      <c r="AJ372" s="9"/>
      <c r="AK372" s="245"/>
      <c r="AL372" s="245"/>
      <c r="AM372" s="245"/>
      <c r="AN372" s="245"/>
      <c r="AO372" s="9"/>
      <c r="AP372" s="9"/>
      <c r="AQ372" s="9"/>
      <c r="AR372" s="9"/>
      <c r="AS372" s="9"/>
      <c r="AT372" s="9"/>
      <c r="AU372" s="9"/>
      <c r="AV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234"/>
      <c r="AD373" s="234"/>
      <c r="AE373" s="234"/>
      <c r="AF373" s="234"/>
      <c r="AG373" s="9"/>
      <c r="AH373" s="9"/>
      <c r="AI373" s="9"/>
      <c r="AJ373" s="9"/>
      <c r="AK373" s="245"/>
      <c r="AL373" s="245"/>
      <c r="AM373" s="245"/>
      <c r="AN373" s="245"/>
      <c r="AO373" s="9"/>
      <c r="AP373" s="9"/>
      <c r="AQ373" s="9"/>
      <c r="AR373" s="9"/>
      <c r="AS373" s="9"/>
      <c r="AT373" s="9"/>
      <c r="AU373" s="9"/>
      <c r="AV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234"/>
      <c r="AD374" s="234"/>
      <c r="AE374" s="234"/>
      <c r="AF374" s="234"/>
      <c r="AG374" s="9"/>
      <c r="AH374" s="9"/>
      <c r="AI374" s="9"/>
      <c r="AJ374" s="9"/>
      <c r="AK374" s="245"/>
      <c r="AL374" s="245"/>
      <c r="AM374" s="245"/>
      <c r="AN374" s="245"/>
      <c r="AO374" s="9"/>
      <c r="AP374" s="9"/>
      <c r="AQ374" s="9"/>
      <c r="AR374" s="9"/>
      <c r="AS374" s="9"/>
      <c r="AT374" s="9"/>
      <c r="AU374" s="9"/>
      <c r="AV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234"/>
      <c r="AD375" s="234"/>
      <c r="AE375" s="234"/>
      <c r="AF375" s="234"/>
      <c r="AG375" s="9"/>
      <c r="AH375" s="9"/>
      <c r="AI375" s="9"/>
      <c r="AJ375" s="9"/>
      <c r="AK375" s="245"/>
      <c r="AL375" s="245"/>
      <c r="AM375" s="245"/>
      <c r="AN375" s="245"/>
      <c r="AO375" s="9"/>
      <c r="AP375" s="9"/>
      <c r="AQ375" s="9"/>
      <c r="AR375" s="9"/>
      <c r="AS375" s="9"/>
      <c r="AT375" s="9"/>
      <c r="AU375" s="9"/>
      <c r="AV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234"/>
      <c r="AD376" s="234"/>
      <c r="AE376" s="234"/>
      <c r="AF376" s="234"/>
      <c r="AG376" s="9"/>
      <c r="AH376" s="9"/>
      <c r="AI376" s="9"/>
      <c r="AJ376" s="9"/>
      <c r="AK376" s="245"/>
      <c r="AL376" s="245"/>
      <c r="AM376" s="245"/>
      <c r="AN376" s="245"/>
      <c r="AO376" s="9"/>
      <c r="AP376" s="9"/>
      <c r="AQ376" s="9"/>
      <c r="AR376" s="9"/>
      <c r="AS376" s="9"/>
      <c r="AT376" s="9"/>
      <c r="AU376" s="9"/>
      <c r="AV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234"/>
      <c r="AD377" s="234"/>
      <c r="AE377" s="234"/>
      <c r="AF377" s="234"/>
      <c r="AG377" s="9"/>
      <c r="AH377" s="9"/>
      <c r="AI377" s="9"/>
      <c r="AJ377" s="9"/>
      <c r="AK377" s="245"/>
      <c r="AL377" s="245"/>
      <c r="AM377" s="245"/>
      <c r="AN377" s="245"/>
      <c r="AO377" s="9"/>
      <c r="AP377" s="9"/>
      <c r="AQ377" s="9"/>
      <c r="AR377" s="9"/>
      <c r="AS377" s="9"/>
      <c r="AT377" s="9"/>
      <c r="AU377" s="9"/>
      <c r="AV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234"/>
      <c r="AD378" s="234"/>
      <c r="AE378" s="234"/>
      <c r="AF378" s="234"/>
      <c r="AG378" s="9"/>
      <c r="AH378" s="9"/>
      <c r="AI378" s="9"/>
      <c r="AJ378" s="9"/>
      <c r="AK378" s="245"/>
      <c r="AL378" s="245"/>
      <c r="AM378" s="245"/>
      <c r="AN378" s="245"/>
      <c r="AO378" s="9"/>
      <c r="AP378" s="9"/>
      <c r="AQ378" s="9"/>
      <c r="AR378" s="9"/>
      <c r="AS378" s="9"/>
      <c r="AT378" s="9"/>
      <c r="AU378" s="9"/>
      <c r="AV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234"/>
      <c r="AD379" s="234"/>
      <c r="AE379" s="234"/>
      <c r="AF379" s="234"/>
      <c r="AG379" s="9"/>
      <c r="AH379" s="9"/>
      <c r="AI379" s="9"/>
      <c r="AJ379" s="9"/>
      <c r="AK379" s="245"/>
      <c r="AL379" s="245"/>
      <c r="AM379" s="245"/>
      <c r="AN379" s="245"/>
      <c r="AO379" s="9"/>
      <c r="AP379" s="9"/>
      <c r="AQ379" s="9"/>
      <c r="AR379" s="9"/>
      <c r="AS379" s="9"/>
      <c r="AT379" s="9"/>
      <c r="AU379" s="9"/>
      <c r="AV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234"/>
      <c r="AD380" s="234"/>
      <c r="AE380" s="234"/>
      <c r="AF380" s="234"/>
      <c r="AG380" s="9"/>
      <c r="AH380" s="9"/>
      <c r="AI380" s="9"/>
      <c r="AJ380" s="9"/>
      <c r="AK380" s="245"/>
      <c r="AL380" s="245"/>
      <c r="AM380" s="245"/>
      <c r="AN380" s="245"/>
      <c r="AO380" s="9"/>
      <c r="AP380" s="9"/>
      <c r="AQ380" s="9"/>
      <c r="AR380" s="9"/>
      <c r="AS380" s="9"/>
      <c r="AT380" s="9"/>
      <c r="AU380" s="9"/>
      <c r="AV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234"/>
      <c r="AD381" s="234"/>
      <c r="AE381" s="234"/>
      <c r="AF381" s="234"/>
      <c r="AG381" s="9"/>
      <c r="AH381" s="9"/>
      <c r="AI381" s="9"/>
      <c r="AJ381" s="9"/>
      <c r="AK381" s="245"/>
      <c r="AL381" s="245"/>
      <c r="AM381" s="245"/>
      <c r="AN381" s="245"/>
      <c r="AO381" s="9"/>
      <c r="AP381" s="9"/>
      <c r="AQ381" s="9"/>
      <c r="AR381" s="9"/>
      <c r="AS381" s="9"/>
      <c r="AT381" s="9"/>
      <c r="AU381" s="9"/>
      <c r="AV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234"/>
      <c r="AD382" s="234"/>
      <c r="AE382" s="234"/>
      <c r="AF382" s="234"/>
      <c r="AG382" s="9"/>
      <c r="AH382" s="9"/>
      <c r="AI382" s="9"/>
      <c r="AJ382" s="9"/>
      <c r="AK382" s="245"/>
      <c r="AL382" s="245"/>
      <c r="AM382" s="245"/>
      <c r="AN382" s="245"/>
      <c r="AO382" s="9"/>
      <c r="AP382" s="9"/>
      <c r="AQ382" s="9"/>
      <c r="AR382" s="9"/>
      <c r="AS382" s="9"/>
      <c r="AT382" s="9"/>
      <c r="AU382" s="9"/>
      <c r="AV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234"/>
      <c r="AD383" s="234"/>
      <c r="AE383" s="234"/>
      <c r="AF383" s="234"/>
      <c r="AG383" s="9"/>
      <c r="AH383" s="9"/>
      <c r="AI383" s="9"/>
      <c r="AJ383" s="9"/>
      <c r="AK383" s="245"/>
      <c r="AL383" s="245"/>
      <c r="AM383" s="245"/>
      <c r="AN383" s="245"/>
      <c r="AO383" s="9"/>
      <c r="AP383" s="9"/>
      <c r="AQ383" s="9"/>
      <c r="AR383" s="9"/>
      <c r="AS383" s="9"/>
      <c r="AT383" s="9"/>
      <c r="AU383" s="9"/>
      <c r="AV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234"/>
      <c r="AD384" s="234"/>
      <c r="AE384" s="234"/>
      <c r="AF384" s="234"/>
      <c r="AG384" s="9"/>
      <c r="AH384" s="9"/>
      <c r="AI384" s="9"/>
      <c r="AJ384" s="9"/>
      <c r="AK384" s="245"/>
      <c r="AL384" s="245"/>
      <c r="AM384" s="245"/>
      <c r="AN384" s="245"/>
      <c r="AO384" s="9"/>
      <c r="AP384" s="9"/>
      <c r="AQ384" s="9"/>
      <c r="AR384" s="9"/>
      <c r="AS384" s="9"/>
      <c r="AT384" s="9"/>
      <c r="AU384" s="9"/>
      <c r="AV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234"/>
      <c r="AD385" s="234"/>
      <c r="AE385" s="234"/>
      <c r="AF385" s="234"/>
      <c r="AG385" s="9"/>
      <c r="AH385" s="9"/>
      <c r="AI385" s="9"/>
      <c r="AJ385" s="9"/>
      <c r="AK385" s="245"/>
      <c r="AL385" s="245"/>
      <c r="AM385" s="245"/>
      <c r="AN385" s="245"/>
      <c r="AO385" s="9"/>
      <c r="AP385" s="9"/>
      <c r="AQ385" s="9"/>
      <c r="AR385" s="9"/>
      <c r="AS385" s="9"/>
      <c r="AT385" s="9"/>
      <c r="AU385" s="9"/>
      <c r="AV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234"/>
      <c r="AD386" s="234"/>
      <c r="AE386" s="234"/>
      <c r="AF386" s="234"/>
      <c r="AG386" s="9"/>
      <c r="AH386" s="9"/>
      <c r="AI386" s="9"/>
      <c r="AJ386" s="9"/>
      <c r="AK386" s="245"/>
      <c r="AL386" s="245"/>
      <c r="AM386" s="245"/>
      <c r="AN386" s="245"/>
      <c r="AO386" s="9"/>
      <c r="AP386" s="9"/>
      <c r="AQ386" s="9"/>
      <c r="AR386" s="9"/>
      <c r="AS386" s="9"/>
      <c r="AT386" s="9"/>
      <c r="AU386" s="9"/>
      <c r="AV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234"/>
      <c r="AD387" s="234"/>
      <c r="AE387" s="234"/>
      <c r="AF387" s="234"/>
      <c r="AG387" s="9"/>
      <c r="AH387" s="9"/>
      <c r="AI387" s="9"/>
      <c r="AJ387" s="9"/>
      <c r="AK387" s="245"/>
      <c r="AL387" s="245"/>
      <c r="AM387" s="245"/>
      <c r="AN387" s="245"/>
      <c r="AO387" s="9"/>
      <c r="AP387" s="9"/>
      <c r="AQ387" s="9"/>
      <c r="AR387" s="9"/>
      <c r="AS387" s="9"/>
      <c r="AT387" s="9"/>
      <c r="AU387" s="9"/>
      <c r="AV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234"/>
      <c r="AD388" s="234"/>
      <c r="AE388" s="234"/>
      <c r="AF388" s="234"/>
      <c r="AG388" s="9"/>
      <c r="AH388" s="9"/>
      <c r="AI388" s="9"/>
      <c r="AJ388" s="9"/>
      <c r="AK388" s="245"/>
      <c r="AL388" s="245"/>
      <c r="AM388" s="245"/>
      <c r="AN388" s="245"/>
      <c r="AO388" s="9"/>
      <c r="AP388" s="9"/>
      <c r="AQ388" s="9"/>
      <c r="AR388" s="9"/>
      <c r="AS388" s="9"/>
      <c r="AT388" s="9"/>
      <c r="AU388" s="9"/>
      <c r="AV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234"/>
      <c r="AD389" s="234"/>
      <c r="AE389" s="234"/>
      <c r="AF389" s="234"/>
      <c r="AG389" s="9"/>
      <c r="AH389" s="9"/>
      <c r="AI389" s="9"/>
      <c r="AJ389" s="9"/>
      <c r="AK389" s="245"/>
      <c r="AL389" s="245"/>
      <c r="AM389" s="245"/>
      <c r="AN389" s="245"/>
      <c r="AO389" s="9"/>
      <c r="AP389" s="9"/>
      <c r="AQ389" s="9"/>
      <c r="AR389" s="9"/>
      <c r="AS389" s="9"/>
      <c r="AT389" s="9"/>
      <c r="AU389" s="9"/>
      <c r="AV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234"/>
      <c r="AD390" s="234"/>
      <c r="AE390" s="234"/>
      <c r="AF390" s="234"/>
      <c r="AG390" s="9"/>
      <c r="AH390" s="9"/>
      <c r="AI390" s="9"/>
      <c r="AJ390" s="9"/>
      <c r="AK390" s="245"/>
      <c r="AL390" s="245"/>
      <c r="AM390" s="245"/>
      <c r="AN390" s="245"/>
      <c r="AO390" s="9"/>
      <c r="AP390" s="9"/>
      <c r="AQ390" s="9"/>
      <c r="AR390" s="9"/>
      <c r="AS390" s="9"/>
      <c r="AT390" s="9"/>
      <c r="AU390" s="9"/>
      <c r="AV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234"/>
      <c r="AD391" s="234"/>
      <c r="AE391" s="234"/>
      <c r="AF391" s="234"/>
      <c r="AG391" s="9"/>
      <c r="AH391" s="9"/>
      <c r="AI391" s="9"/>
      <c r="AJ391" s="9"/>
      <c r="AK391" s="245"/>
      <c r="AL391" s="245"/>
      <c r="AM391" s="245"/>
      <c r="AN391" s="245"/>
      <c r="AO391" s="9"/>
      <c r="AP391" s="9"/>
      <c r="AQ391" s="9"/>
      <c r="AR391" s="9"/>
      <c r="AS391" s="9"/>
      <c r="AT391" s="9"/>
      <c r="AU391" s="9"/>
      <c r="AV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234"/>
      <c r="AD392" s="234"/>
      <c r="AE392" s="234"/>
      <c r="AF392" s="234"/>
      <c r="AG392" s="9"/>
      <c r="AH392" s="9"/>
      <c r="AI392" s="9"/>
      <c r="AJ392" s="9"/>
      <c r="AK392" s="245"/>
      <c r="AL392" s="245"/>
      <c r="AM392" s="245"/>
      <c r="AN392" s="245"/>
      <c r="AO392" s="9"/>
      <c r="AP392" s="9"/>
      <c r="AQ392" s="9"/>
      <c r="AR392" s="9"/>
      <c r="AS392" s="9"/>
      <c r="AT392" s="9"/>
      <c r="AU392" s="9"/>
      <c r="AV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234"/>
      <c r="AD393" s="234"/>
      <c r="AE393" s="234"/>
      <c r="AF393" s="234"/>
      <c r="AG393" s="9"/>
      <c r="AH393" s="9"/>
      <c r="AI393" s="9"/>
      <c r="AJ393" s="9"/>
      <c r="AK393" s="245"/>
      <c r="AL393" s="245"/>
      <c r="AM393" s="245"/>
      <c r="AN393" s="245"/>
      <c r="AO393" s="9"/>
      <c r="AP393" s="9"/>
      <c r="AQ393" s="9"/>
      <c r="AR393" s="9"/>
      <c r="AS393" s="9"/>
      <c r="AT393" s="9"/>
      <c r="AU393" s="9"/>
      <c r="AV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234"/>
      <c r="AD394" s="234"/>
      <c r="AE394" s="234"/>
      <c r="AF394" s="234"/>
      <c r="AG394" s="9"/>
      <c r="AH394" s="9"/>
      <c r="AI394" s="9"/>
      <c r="AJ394" s="9"/>
      <c r="AK394" s="245"/>
      <c r="AL394" s="245"/>
      <c r="AM394" s="245"/>
      <c r="AN394" s="245"/>
      <c r="AO394" s="9"/>
      <c r="AP394" s="9"/>
      <c r="AQ394" s="9"/>
      <c r="AR394" s="9"/>
      <c r="AS394" s="9"/>
      <c r="AT394" s="9"/>
      <c r="AU394" s="9"/>
      <c r="AV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234"/>
      <c r="AD395" s="234"/>
      <c r="AE395" s="234"/>
      <c r="AF395" s="234"/>
      <c r="AG395" s="9"/>
      <c r="AH395" s="9"/>
      <c r="AI395" s="9"/>
      <c r="AJ395" s="9"/>
      <c r="AK395" s="245"/>
      <c r="AL395" s="245"/>
      <c r="AM395" s="245"/>
      <c r="AN395" s="245"/>
      <c r="AO395" s="9"/>
      <c r="AP395" s="9"/>
      <c r="AQ395" s="9"/>
      <c r="AR395" s="9"/>
      <c r="AS395" s="9"/>
      <c r="AT395" s="9"/>
      <c r="AU395" s="9"/>
      <c r="AV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234"/>
      <c r="AD396" s="234"/>
      <c r="AE396" s="234"/>
      <c r="AF396" s="234"/>
      <c r="AG396" s="9"/>
      <c r="AH396" s="9"/>
      <c r="AI396" s="9"/>
      <c r="AJ396" s="9"/>
      <c r="AK396" s="245"/>
      <c r="AL396" s="245"/>
      <c r="AM396" s="245"/>
      <c r="AN396" s="245"/>
      <c r="AO396" s="9"/>
      <c r="AP396" s="9"/>
      <c r="AQ396" s="9"/>
      <c r="AR396" s="9"/>
      <c r="AS396" s="9"/>
      <c r="AT396" s="9"/>
      <c r="AU396" s="9"/>
      <c r="AV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234"/>
      <c r="AD397" s="234"/>
      <c r="AE397" s="234"/>
      <c r="AF397" s="234"/>
      <c r="AG397" s="9"/>
      <c r="AH397" s="9"/>
      <c r="AI397" s="9"/>
      <c r="AJ397" s="9"/>
      <c r="AK397" s="245"/>
      <c r="AL397" s="245"/>
      <c r="AM397" s="245"/>
      <c r="AN397" s="245"/>
      <c r="AO397" s="9"/>
      <c r="AP397" s="9"/>
      <c r="AQ397" s="9"/>
      <c r="AR397" s="9"/>
      <c r="AS397" s="9"/>
      <c r="AT397" s="9"/>
      <c r="AU397" s="9"/>
      <c r="AV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234"/>
      <c r="AD398" s="234"/>
      <c r="AE398" s="234"/>
      <c r="AF398" s="234"/>
      <c r="AG398" s="9"/>
      <c r="AH398" s="9"/>
      <c r="AI398" s="9"/>
      <c r="AJ398" s="9"/>
      <c r="AK398" s="245"/>
      <c r="AL398" s="245"/>
      <c r="AM398" s="245"/>
      <c r="AN398" s="245"/>
      <c r="AO398" s="9"/>
      <c r="AP398" s="9"/>
      <c r="AQ398" s="9"/>
      <c r="AR398" s="9"/>
      <c r="AS398" s="9"/>
      <c r="AT398" s="9"/>
      <c r="AU398" s="9"/>
      <c r="AV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234"/>
      <c r="AD399" s="234"/>
      <c r="AE399" s="234"/>
      <c r="AF399" s="234"/>
      <c r="AG399" s="9"/>
      <c r="AH399" s="9"/>
      <c r="AI399" s="9"/>
      <c r="AJ399" s="9"/>
      <c r="AK399" s="245"/>
      <c r="AL399" s="245"/>
      <c r="AM399" s="245"/>
      <c r="AN399" s="245"/>
      <c r="AO399" s="9"/>
      <c r="AP399" s="9"/>
      <c r="AQ399" s="9"/>
      <c r="AR399" s="9"/>
      <c r="AS399" s="9"/>
      <c r="AT399" s="9"/>
      <c r="AU399" s="9"/>
      <c r="AV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234"/>
      <c r="AD400" s="234"/>
      <c r="AE400" s="234"/>
      <c r="AF400" s="234"/>
      <c r="AG400" s="9"/>
      <c r="AH400" s="9"/>
      <c r="AI400" s="9"/>
      <c r="AJ400" s="9"/>
      <c r="AK400" s="245"/>
      <c r="AL400" s="245"/>
      <c r="AM400" s="245"/>
      <c r="AN400" s="245"/>
      <c r="AO400" s="9"/>
      <c r="AP400" s="9"/>
      <c r="AQ400" s="9"/>
      <c r="AR400" s="9"/>
      <c r="AS400" s="9"/>
      <c r="AT400" s="9"/>
      <c r="AU400" s="9"/>
      <c r="AV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234"/>
      <c r="AD401" s="234"/>
      <c r="AE401" s="234"/>
      <c r="AF401" s="234"/>
      <c r="AG401" s="9"/>
      <c r="AH401" s="9"/>
      <c r="AI401" s="9"/>
      <c r="AJ401" s="9"/>
      <c r="AK401" s="245"/>
      <c r="AL401" s="245"/>
      <c r="AM401" s="245"/>
      <c r="AN401" s="245"/>
      <c r="AO401" s="9"/>
      <c r="AP401" s="9"/>
      <c r="AQ401" s="9"/>
      <c r="AR401" s="9"/>
      <c r="AS401" s="9"/>
      <c r="AT401" s="9"/>
      <c r="AU401" s="9"/>
      <c r="AV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234"/>
      <c r="AD402" s="234"/>
      <c r="AE402" s="234"/>
      <c r="AF402" s="234"/>
      <c r="AG402" s="9"/>
      <c r="AH402" s="9"/>
      <c r="AI402" s="9"/>
      <c r="AJ402" s="9"/>
      <c r="AK402" s="245"/>
      <c r="AL402" s="245"/>
      <c r="AM402" s="245"/>
      <c r="AN402" s="245"/>
      <c r="AO402" s="9"/>
      <c r="AP402" s="9"/>
      <c r="AQ402" s="9"/>
      <c r="AR402" s="9"/>
      <c r="AS402" s="9"/>
      <c r="AT402" s="9"/>
      <c r="AU402" s="9"/>
      <c r="AV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234"/>
      <c r="AD403" s="234"/>
      <c r="AE403" s="234"/>
      <c r="AF403" s="234"/>
      <c r="AG403" s="9"/>
      <c r="AH403" s="9"/>
      <c r="AI403" s="9"/>
      <c r="AJ403" s="9"/>
      <c r="AK403" s="245"/>
      <c r="AL403" s="245"/>
      <c r="AM403" s="245"/>
      <c r="AN403" s="245"/>
      <c r="AO403" s="9"/>
      <c r="AP403" s="9"/>
      <c r="AQ403" s="9"/>
      <c r="AR403" s="9"/>
      <c r="AS403" s="9"/>
      <c r="AT403" s="9"/>
      <c r="AU403" s="9"/>
      <c r="AV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234"/>
      <c r="AD404" s="234"/>
      <c r="AE404" s="234"/>
      <c r="AF404" s="234"/>
      <c r="AG404" s="9"/>
      <c r="AH404" s="9"/>
      <c r="AI404" s="9"/>
      <c r="AJ404" s="9"/>
      <c r="AK404" s="245"/>
      <c r="AL404" s="245"/>
      <c r="AM404" s="245"/>
      <c r="AN404" s="245"/>
      <c r="AO404" s="9"/>
      <c r="AP404" s="9"/>
      <c r="AQ404" s="9"/>
      <c r="AR404" s="9"/>
      <c r="AS404" s="9"/>
      <c r="AT404" s="9"/>
      <c r="AU404" s="9"/>
      <c r="AV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234"/>
      <c r="AD405" s="234"/>
      <c r="AE405" s="234"/>
      <c r="AF405" s="234"/>
      <c r="AG405" s="9"/>
      <c r="AH405" s="9"/>
      <c r="AI405" s="9"/>
      <c r="AJ405" s="9"/>
      <c r="AK405" s="245"/>
      <c r="AL405" s="245"/>
      <c r="AM405" s="245"/>
      <c r="AN405" s="245"/>
      <c r="AO405" s="9"/>
      <c r="AP405" s="9"/>
      <c r="AQ405" s="9"/>
      <c r="AR405" s="9"/>
      <c r="AS405" s="9"/>
      <c r="AT405" s="9"/>
      <c r="AU405" s="9"/>
      <c r="AV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234"/>
      <c r="AD406" s="234"/>
      <c r="AE406" s="234"/>
      <c r="AF406" s="234"/>
      <c r="AG406" s="9"/>
      <c r="AH406" s="9"/>
      <c r="AI406" s="9"/>
      <c r="AJ406" s="9"/>
      <c r="AK406" s="245"/>
      <c r="AL406" s="245"/>
      <c r="AM406" s="245"/>
      <c r="AN406" s="245"/>
      <c r="AO406" s="9"/>
      <c r="AP406" s="9"/>
      <c r="AQ406" s="9"/>
      <c r="AR406" s="9"/>
      <c r="AS406" s="9"/>
      <c r="AT406" s="9"/>
      <c r="AU406" s="9"/>
      <c r="AV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234"/>
      <c r="AD407" s="234"/>
      <c r="AE407" s="234"/>
      <c r="AF407" s="234"/>
      <c r="AG407" s="9"/>
      <c r="AH407" s="9"/>
      <c r="AI407" s="9"/>
      <c r="AJ407" s="9"/>
      <c r="AK407" s="245"/>
      <c r="AL407" s="245"/>
      <c r="AM407" s="245"/>
      <c r="AN407" s="245"/>
      <c r="AO407" s="9"/>
      <c r="AP407" s="9"/>
      <c r="AQ407" s="9"/>
      <c r="AR407" s="9"/>
      <c r="AS407" s="9"/>
      <c r="AT407" s="9"/>
      <c r="AU407" s="9"/>
      <c r="AV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234"/>
      <c r="AD408" s="234"/>
      <c r="AE408" s="234"/>
      <c r="AF408" s="234"/>
      <c r="AG408" s="9"/>
      <c r="AH408" s="9"/>
      <c r="AI408" s="9"/>
      <c r="AJ408" s="9"/>
      <c r="AK408" s="245"/>
      <c r="AL408" s="245"/>
      <c r="AM408" s="245"/>
      <c r="AN408" s="245"/>
      <c r="AO408" s="9"/>
      <c r="AP408" s="9"/>
      <c r="AQ408" s="9"/>
      <c r="AR408" s="9"/>
      <c r="AS408" s="9"/>
      <c r="AT408" s="9"/>
      <c r="AU408" s="9"/>
      <c r="AV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234"/>
      <c r="AD409" s="234"/>
      <c r="AE409" s="234"/>
      <c r="AF409" s="234"/>
      <c r="AG409" s="9"/>
      <c r="AH409" s="9"/>
      <c r="AI409" s="9"/>
      <c r="AJ409" s="9"/>
      <c r="AK409" s="245"/>
      <c r="AL409" s="245"/>
      <c r="AM409" s="245"/>
      <c r="AN409" s="245"/>
      <c r="AO409" s="9"/>
      <c r="AP409" s="9"/>
      <c r="AQ409" s="9"/>
      <c r="AR409" s="9"/>
      <c r="AS409" s="9"/>
      <c r="AT409" s="9"/>
      <c r="AU409" s="9"/>
      <c r="AV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234"/>
      <c r="AD410" s="234"/>
      <c r="AE410" s="234"/>
      <c r="AF410" s="234"/>
      <c r="AG410" s="9"/>
      <c r="AH410" s="9"/>
      <c r="AI410" s="9"/>
      <c r="AJ410" s="9"/>
      <c r="AK410" s="245"/>
      <c r="AL410" s="245"/>
      <c r="AM410" s="245"/>
      <c r="AN410" s="245"/>
      <c r="AO410" s="9"/>
      <c r="AP410" s="9"/>
      <c r="AQ410" s="9"/>
      <c r="AR410" s="9"/>
      <c r="AS410" s="9"/>
      <c r="AT410" s="9"/>
      <c r="AU410" s="9"/>
      <c r="AV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234"/>
      <c r="AD411" s="234"/>
      <c r="AE411" s="234"/>
      <c r="AF411" s="234"/>
      <c r="AG411" s="9"/>
      <c r="AH411" s="9"/>
      <c r="AI411" s="9"/>
      <c r="AJ411" s="9"/>
      <c r="AK411" s="245"/>
      <c r="AL411" s="245"/>
      <c r="AM411" s="245"/>
      <c r="AN411" s="245"/>
      <c r="AO411" s="9"/>
      <c r="AP411" s="9"/>
      <c r="AQ411" s="9"/>
      <c r="AR411" s="9"/>
      <c r="AS411" s="9"/>
      <c r="AT411" s="9"/>
      <c r="AU411" s="9"/>
      <c r="AV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234"/>
      <c r="AD412" s="234"/>
      <c r="AE412" s="234"/>
      <c r="AF412" s="234"/>
      <c r="AG412" s="9"/>
      <c r="AH412" s="9"/>
      <c r="AI412" s="9"/>
      <c r="AJ412" s="9"/>
      <c r="AK412" s="245"/>
      <c r="AL412" s="245"/>
      <c r="AM412" s="245"/>
      <c r="AN412" s="245"/>
      <c r="AO412" s="9"/>
      <c r="AP412" s="9"/>
      <c r="AQ412" s="9"/>
      <c r="AR412" s="9"/>
      <c r="AS412" s="9"/>
      <c r="AT412" s="9"/>
      <c r="AU412" s="9"/>
      <c r="AV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234"/>
      <c r="AD413" s="234"/>
      <c r="AE413" s="234"/>
      <c r="AF413" s="234"/>
      <c r="AG413" s="9"/>
      <c r="AH413" s="9"/>
      <c r="AI413" s="9"/>
      <c r="AJ413" s="9"/>
      <c r="AK413" s="245"/>
      <c r="AL413" s="245"/>
      <c r="AM413" s="245"/>
      <c r="AN413" s="245"/>
      <c r="AO413" s="9"/>
      <c r="AP413" s="9"/>
      <c r="AQ413" s="9"/>
      <c r="AR413" s="9"/>
      <c r="AS413" s="9"/>
      <c r="AT413" s="9"/>
      <c r="AU413" s="9"/>
      <c r="AV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234"/>
      <c r="AD414" s="234"/>
      <c r="AE414" s="234"/>
      <c r="AF414" s="234"/>
      <c r="AG414" s="9"/>
      <c r="AH414" s="9"/>
      <c r="AI414" s="9"/>
      <c r="AJ414" s="9"/>
      <c r="AK414" s="245"/>
      <c r="AL414" s="245"/>
      <c r="AM414" s="245"/>
      <c r="AN414" s="245"/>
      <c r="AO414" s="9"/>
      <c r="AP414" s="9"/>
      <c r="AQ414" s="9"/>
      <c r="AR414" s="9"/>
      <c r="AS414" s="9"/>
      <c r="AT414" s="9"/>
      <c r="AU414" s="9"/>
      <c r="AV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234"/>
      <c r="AD415" s="234"/>
      <c r="AE415" s="234"/>
      <c r="AF415" s="234"/>
      <c r="AG415" s="9"/>
      <c r="AH415" s="9"/>
      <c r="AI415" s="9"/>
      <c r="AJ415" s="9"/>
      <c r="AK415" s="245"/>
      <c r="AL415" s="245"/>
      <c r="AM415" s="245"/>
      <c r="AN415" s="245"/>
      <c r="AO415" s="9"/>
      <c r="AP415" s="9"/>
      <c r="AQ415" s="9"/>
      <c r="AR415" s="9"/>
      <c r="AS415" s="9"/>
      <c r="AT415" s="9"/>
      <c r="AU415" s="9"/>
      <c r="AV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234"/>
      <c r="AD416" s="234"/>
      <c r="AE416" s="234"/>
      <c r="AF416" s="234"/>
      <c r="AG416" s="9"/>
      <c r="AH416" s="9"/>
      <c r="AI416" s="9"/>
      <c r="AJ416" s="9"/>
      <c r="AK416" s="245"/>
      <c r="AL416" s="245"/>
      <c r="AM416" s="245"/>
      <c r="AN416" s="245"/>
      <c r="AO416" s="9"/>
      <c r="AP416" s="9"/>
      <c r="AQ416" s="9"/>
      <c r="AR416" s="9"/>
      <c r="AS416" s="9"/>
      <c r="AT416" s="9"/>
      <c r="AU416" s="9"/>
      <c r="AV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234"/>
      <c r="AD417" s="234"/>
      <c r="AE417" s="234"/>
      <c r="AF417" s="234"/>
      <c r="AG417" s="9"/>
      <c r="AH417" s="9"/>
      <c r="AI417" s="9"/>
      <c r="AJ417" s="9"/>
      <c r="AK417" s="245"/>
      <c r="AL417" s="245"/>
      <c r="AM417" s="245"/>
      <c r="AN417" s="245"/>
      <c r="AO417" s="9"/>
      <c r="AP417" s="9"/>
      <c r="AQ417" s="9"/>
      <c r="AR417" s="9"/>
      <c r="AS417" s="9"/>
      <c r="AT417" s="9"/>
      <c r="AU417" s="9"/>
      <c r="AV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234"/>
      <c r="AD418" s="234"/>
      <c r="AE418" s="234"/>
      <c r="AF418" s="234"/>
      <c r="AG418" s="9"/>
      <c r="AH418" s="9"/>
      <c r="AI418" s="9"/>
      <c r="AJ418" s="9"/>
      <c r="AK418" s="245"/>
      <c r="AL418" s="245"/>
      <c r="AM418" s="245"/>
      <c r="AN418" s="245"/>
      <c r="AO418" s="9"/>
      <c r="AP418" s="9"/>
      <c r="AQ418" s="9"/>
      <c r="AR418" s="9"/>
      <c r="AS418" s="9"/>
      <c r="AT418" s="9"/>
      <c r="AU418" s="9"/>
      <c r="AV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234"/>
      <c r="AD419" s="234"/>
      <c r="AE419" s="234"/>
      <c r="AF419" s="234"/>
      <c r="AG419" s="9"/>
      <c r="AH419" s="9"/>
      <c r="AI419" s="9"/>
      <c r="AJ419" s="9"/>
      <c r="AK419" s="245"/>
      <c r="AL419" s="245"/>
      <c r="AM419" s="245"/>
      <c r="AN419" s="245"/>
      <c r="AO419" s="9"/>
      <c r="AP419" s="9"/>
      <c r="AQ419" s="9"/>
      <c r="AR419" s="9"/>
      <c r="AS419" s="9"/>
      <c r="AT419" s="9"/>
      <c r="AU419" s="9"/>
      <c r="AV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234"/>
      <c r="AD420" s="234"/>
      <c r="AE420" s="234"/>
      <c r="AF420" s="234"/>
      <c r="AG420" s="9"/>
      <c r="AH420" s="9"/>
      <c r="AI420" s="9"/>
      <c r="AJ420" s="9"/>
      <c r="AK420" s="245"/>
      <c r="AL420" s="245"/>
      <c r="AM420" s="245"/>
      <c r="AN420" s="245"/>
      <c r="AO420" s="9"/>
      <c r="AP420" s="9"/>
      <c r="AQ420" s="9"/>
      <c r="AR420" s="9"/>
      <c r="AS420" s="9"/>
      <c r="AT420" s="9"/>
      <c r="AU420" s="9"/>
      <c r="AV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234"/>
      <c r="AD421" s="234"/>
      <c r="AE421" s="234"/>
      <c r="AF421" s="234"/>
      <c r="AG421" s="9"/>
      <c r="AH421" s="9"/>
      <c r="AI421" s="9"/>
      <c r="AJ421" s="9"/>
      <c r="AK421" s="245"/>
      <c r="AL421" s="245"/>
      <c r="AM421" s="245"/>
      <c r="AN421" s="245"/>
      <c r="AO421" s="9"/>
      <c r="AP421" s="9"/>
      <c r="AQ421" s="9"/>
      <c r="AR421" s="9"/>
      <c r="AS421" s="9"/>
      <c r="AT421" s="9"/>
      <c r="AU421" s="9"/>
      <c r="AV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234"/>
      <c r="AD422" s="234"/>
      <c r="AE422" s="234"/>
      <c r="AF422" s="234"/>
      <c r="AG422" s="9"/>
      <c r="AH422" s="9"/>
      <c r="AI422" s="9"/>
      <c r="AJ422" s="9"/>
      <c r="AK422" s="245"/>
      <c r="AL422" s="245"/>
      <c r="AM422" s="245"/>
      <c r="AN422" s="245"/>
      <c r="AO422" s="9"/>
      <c r="AP422" s="9"/>
      <c r="AQ422" s="9"/>
      <c r="AR422" s="9"/>
      <c r="AS422" s="9"/>
      <c r="AT422" s="9"/>
      <c r="AU422" s="9"/>
      <c r="AV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234"/>
      <c r="AD423" s="234"/>
      <c r="AE423" s="234"/>
      <c r="AF423" s="234"/>
      <c r="AG423" s="9"/>
      <c r="AH423" s="9"/>
      <c r="AI423" s="9"/>
      <c r="AJ423" s="9"/>
      <c r="AK423" s="245"/>
      <c r="AL423" s="245"/>
      <c r="AM423" s="245"/>
      <c r="AN423" s="245"/>
      <c r="AO423" s="9"/>
      <c r="AP423" s="9"/>
      <c r="AQ423" s="9"/>
      <c r="AR423" s="9"/>
      <c r="AS423" s="9"/>
      <c r="AT423" s="9"/>
      <c r="AU423" s="9"/>
      <c r="AV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234"/>
      <c r="AD424" s="234"/>
      <c r="AE424" s="234"/>
      <c r="AF424" s="234"/>
      <c r="AG424" s="9"/>
      <c r="AH424" s="9"/>
      <c r="AI424" s="9"/>
      <c r="AJ424" s="9"/>
      <c r="AK424" s="245"/>
      <c r="AL424" s="245"/>
      <c r="AM424" s="245"/>
      <c r="AN424" s="245"/>
      <c r="AO424" s="9"/>
      <c r="AP424" s="9"/>
      <c r="AQ424" s="9"/>
      <c r="AR424" s="9"/>
      <c r="AS424" s="9"/>
      <c r="AT424" s="9"/>
      <c r="AU424" s="9"/>
      <c r="AV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234"/>
      <c r="AD425" s="234"/>
      <c r="AE425" s="234"/>
      <c r="AF425" s="234"/>
      <c r="AG425" s="9"/>
      <c r="AH425" s="9"/>
      <c r="AI425" s="9"/>
      <c r="AJ425" s="9"/>
      <c r="AK425" s="245"/>
      <c r="AL425" s="245"/>
      <c r="AM425" s="245"/>
      <c r="AN425" s="245"/>
      <c r="AO425" s="9"/>
      <c r="AP425" s="9"/>
      <c r="AQ425" s="9"/>
      <c r="AR425" s="9"/>
      <c r="AS425" s="9"/>
      <c r="AT425" s="9"/>
      <c r="AU425" s="9"/>
      <c r="AV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234"/>
      <c r="AD426" s="234"/>
      <c r="AE426" s="234"/>
      <c r="AF426" s="234"/>
      <c r="AG426" s="9"/>
      <c r="AH426" s="9"/>
      <c r="AI426" s="9"/>
      <c r="AJ426" s="9"/>
      <c r="AK426" s="245"/>
      <c r="AL426" s="245"/>
      <c r="AM426" s="245"/>
      <c r="AN426" s="245"/>
      <c r="AO426" s="9"/>
      <c r="AP426" s="9"/>
      <c r="AQ426" s="9"/>
      <c r="AR426" s="9"/>
      <c r="AS426" s="9"/>
      <c r="AT426" s="9"/>
      <c r="AU426" s="9"/>
      <c r="AV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234"/>
      <c r="AD427" s="234"/>
      <c r="AE427" s="234"/>
      <c r="AF427" s="234"/>
      <c r="AG427" s="9"/>
      <c r="AH427" s="9"/>
      <c r="AI427" s="9"/>
      <c r="AJ427" s="9"/>
      <c r="AK427" s="245"/>
      <c r="AL427" s="245"/>
      <c r="AM427" s="245"/>
      <c r="AN427" s="245"/>
      <c r="AO427" s="9"/>
      <c r="AP427" s="9"/>
      <c r="AQ427" s="9"/>
      <c r="AR427" s="9"/>
      <c r="AS427" s="9"/>
      <c r="AT427" s="9"/>
      <c r="AU427" s="9"/>
      <c r="AV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234"/>
      <c r="AD428" s="234"/>
      <c r="AE428" s="234"/>
      <c r="AF428" s="234"/>
      <c r="AG428" s="9"/>
      <c r="AH428" s="9"/>
      <c r="AI428" s="9"/>
      <c r="AJ428" s="9"/>
      <c r="AK428" s="245"/>
      <c r="AL428" s="245"/>
      <c r="AM428" s="245"/>
      <c r="AN428" s="245"/>
      <c r="AO428" s="9"/>
      <c r="AP428" s="9"/>
      <c r="AQ428" s="9"/>
      <c r="AR428" s="9"/>
      <c r="AS428" s="9"/>
      <c r="AT428" s="9"/>
      <c r="AU428" s="9"/>
      <c r="AV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234"/>
      <c r="AD429" s="234"/>
      <c r="AE429" s="234"/>
      <c r="AF429" s="234"/>
      <c r="AG429" s="9"/>
      <c r="AH429" s="9"/>
      <c r="AI429" s="9"/>
      <c r="AJ429" s="9"/>
      <c r="AK429" s="245"/>
      <c r="AL429" s="245"/>
      <c r="AM429" s="245"/>
      <c r="AN429" s="245"/>
      <c r="AO429" s="9"/>
      <c r="AP429" s="9"/>
      <c r="AQ429" s="9"/>
      <c r="AR429" s="9"/>
      <c r="AS429" s="9"/>
      <c r="AT429" s="9"/>
      <c r="AU429" s="9"/>
      <c r="AV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234"/>
      <c r="AD430" s="234"/>
      <c r="AE430" s="234"/>
      <c r="AF430" s="234"/>
      <c r="AG430" s="9"/>
      <c r="AH430" s="9"/>
      <c r="AI430" s="9"/>
      <c r="AJ430" s="9"/>
      <c r="AK430" s="245"/>
      <c r="AL430" s="245"/>
      <c r="AM430" s="245"/>
      <c r="AN430" s="245"/>
      <c r="AO430" s="9"/>
      <c r="AP430" s="9"/>
      <c r="AQ430" s="9"/>
      <c r="AR430" s="9"/>
      <c r="AS430" s="9"/>
      <c r="AT430" s="9"/>
      <c r="AU430" s="9"/>
      <c r="AV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234"/>
      <c r="AD431" s="234"/>
      <c r="AE431" s="234"/>
      <c r="AF431" s="234"/>
      <c r="AG431" s="9"/>
      <c r="AH431" s="9"/>
      <c r="AI431" s="9"/>
      <c r="AJ431" s="9"/>
      <c r="AK431" s="245"/>
      <c r="AL431" s="245"/>
      <c r="AM431" s="245"/>
      <c r="AN431" s="245"/>
      <c r="AO431" s="9"/>
      <c r="AP431" s="9"/>
      <c r="AQ431" s="9"/>
      <c r="AR431" s="9"/>
      <c r="AS431" s="9"/>
      <c r="AT431" s="9"/>
      <c r="AU431" s="9"/>
      <c r="AV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234"/>
      <c r="AD432" s="234"/>
      <c r="AE432" s="234"/>
      <c r="AF432" s="234"/>
      <c r="AG432" s="9"/>
      <c r="AH432" s="9"/>
      <c r="AI432" s="9"/>
      <c r="AJ432" s="9"/>
      <c r="AK432" s="245"/>
      <c r="AL432" s="245"/>
      <c r="AM432" s="245"/>
      <c r="AN432" s="245"/>
      <c r="AO432" s="9"/>
      <c r="AP432" s="9"/>
      <c r="AQ432" s="9"/>
      <c r="AR432" s="9"/>
      <c r="AS432" s="9"/>
      <c r="AT432" s="9"/>
      <c r="AU432" s="9"/>
      <c r="AV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234"/>
      <c r="AD433" s="234"/>
      <c r="AE433" s="234"/>
      <c r="AF433" s="234"/>
      <c r="AG433" s="9"/>
      <c r="AH433" s="9"/>
      <c r="AI433" s="9"/>
      <c r="AJ433" s="9"/>
      <c r="AK433" s="245"/>
      <c r="AL433" s="245"/>
      <c r="AM433" s="245"/>
      <c r="AN433" s="245"/>
      <c r="AO433" s="9"/>
      <c r="AP433" s="9"/>
      <c r="AQ433" s="9"/>
      <c r="AR433" s="9"/>
      <c r="AS433" s="9"/>
      <c r="AT433" s="9"/>
      <c r="AU433" s="9"/>
      <c r="AV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234"/>
      <c r="AD434" s="234"/>
      <c r="AE434" s="234"/>
      <c r="AF434" s="234"/>
      <c r="AG434" s="9"/>
      <c r="AH434" s="9"/>
      <c r="AI434" s="9"/>
      <c r="AJ434" s="9"/>
      <c r="AK434" s="245"/>
      <c r="AL434" s="245"/>
      <c r="AM434" s="245"/>
      <c r="AN434" s="245"/>
      <c r="AO434" s="9"/>
      <c r="AP434" s="9"/>
      <c r="AQ434" s="9"/>
      <c r="AR434" s="9"/>
      <c r="AS434" s="9"/>
      <c r="AT434" s="9"/>
      <c r="AU434" s="9"/>
      <c r="AV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234"/>
      <c r="AD435" s="234"/>
      <c r="AE435" s="234"/>
      <c r="AF435" s="234"/>
      <c r="AG435" s="9"/>
      <c r="AH435" s="9"/>
      <c r="AI435" s="9"/>
      <c r="AJ435" s="9"/>
      <c r="AK435" s="245"/>
      <c r="AL435" s="245"/>
      <c r="AM435" s="245"/>
      <c r="AN435" s="245"/>
      <c r="AO435" s="9"/>
      <c r="AP435" s="9"/>
      <c r="AQ435" s="9"/>
      <c r="AR435" s="9"/>
      <c r="AS435" s="9"/>
      <c r="AT435" s="9"/>
      <c r="AU435" s="9"/>
      <c r="AV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234"/>
      <c r="AD436" s="234"/>
      <c r="AE436" s="234"/>
      <c r="AF436" s="234"/>
      <c r="AG436" s="9"/>
      <c r="AH436" s="9"/>
      <c r="AI436" s="9"/>
      <c r="AJ436" s="9"/>
      <c r="AK436" s="245"/>
      <c r="AL436" s="245"/>
      <c r="AM436" s="245"/>
      <c r="AN436" s="245"/>
      <c r="AO436" s="9"/>
      <c r="AP436" s="9"/>
      <c r="AQ436" s="9"/>
      <c r="AR436" s="9"/>
      <c r="AS436" s="9"/>
      <c r="AT436" s="9"/>
      <c r="AU436" s="9"/>
      <c r="AV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234"/>
      <c r="AD437" s="234"/>
      <c r="AE437" s="234"/>
      <c r="AF437" s="234"/>
      <c r="AG437" s="9"/>
      <c r="AH437" s="9"/>
      <c r="AI437" s="9"/>
      <c r="AJ437" s="9"/>
      <c r="AK437" s="245"/>
      <c r="AL437" s="245"/>
      <c r="AM437" s="245"/>
      <c r="AN437" s="245"/>
      <c r="AO437" s="9"/>
      <c r="AP437" s="9"/>
      <c r="AQ437" s="9"/>
      <c r="AR437" s="9"/>
      <c r="AS437" s="9"/>
      <c r="AT437" s="9"/>
      <c r="AU437" s="9"/>
      <c r="AV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234"/>
      <c r="AD438" s="234"/>
      <c r="AE438" s="234"/>
      <c r="AF438" s="234"/>
      <c r="AG438" s="9"/>
      <c r="AH438" s="9"/>
      <c r="AI438" s="9"/>
      <c r="AJ438" s="9"/>
      <c r="AK438" s="245"/>
      <c r="AL438" s="245"/>
      <c r="AM438" s="245"/>
      <c r="AN438" s="245"/>
      <c r="AO438" s="9"/>
      <c r="AP438" s="9"/>
      <c r="AQ438" s="9"/>
      <c r="AR438" s="9"/>
      <c r="AS438" s="9"/>
      <c r="AT438" s="9"/>
      <c r="AU438" s="9"/>
      <c r="AV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234"/>
      <c r="AD439" s="234"/>
      <c r="AE439" s="234"/>
      <c r="AF439" s="234"/>
      <c r="AG439" s="9"/>
      <c r="AH439" s="9"/>
      <c r="AI439" s="9"/>
      <c r="AJ439" s="9"/>
      <c r="AK439" s="245"/>
      <c r="AL439" s="245"/>
      <c r="AM439" s="245"/>
      <c r="AN439" s="245"/>
      <c r="AO439" s="9"/>
      <c r="AP439" s="9"/>
      <c r="AQ439" s="9"/>
      <c r="AR439" s="9"/>
      <c r="AS439" s="9"/>
      <c r="AT439" s="9"/>
      <c r="AU439" s="9"/>
      <c r="AV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234"/>
      <c r="AD440" s="234"/>
      <c r="AE440" s="234"/>
      <c r="AF440" s="234"/>
      <c r="AG440" s="9"/>
      <c r="AH440" s="9"/>
      <c r="AI440" s="9"/>
      <c r="AJ440" s="9"/>
      <c r="AK440" s="245"/>
      <c r="AL440" s="245"/>
      <c r="AM440" s="245"/>
      <c r="AN440" s="245"/>
      <c r="AO440" s="9"/>
      <c r="AP440" s="9"/>
      <c r="AQ440" s="9"/>
      <c r="AR440" s="9"/>
      <c r="AS440" s="9"/>
      <c r="AT440" s="9"/>
      <c r="AU440" s="9"/>
      <c r="AV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234"/>
      <c r="AD441" s="234"/>
      <c r="AE441" s="234"/>
      <c r="AF441" s="234"/>
      <c r="AG441" s="9"/>
      <c r="AH441" s="9"/>
      <c r="AI441" s="9"/>
      <c r="AJ441" s="9"/>
      <c r="AK441" s="245"/>
      <c r="AL441" s="245"/>
      <c r="AM441" s="245"/>
      <c r="AN441" s="245"/>
      <c r="AO441" s="9"/>
      <c r="AP441" s="9"/>
      <c r="AQ441" s="9"/>
      <c r="AR441" s="9"/>
      <c r="AS441" s="9"/>
      <c r="AT441" s="9"/>
      <c r="AU441" s="9"/>
      <c r="AV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234"/>
      <c r="AD442" s="234"/>
      <c r="AE442" s="234"/>
      <c r="AF442" s="234"/>
      <c r="AG442" s="9"/>
      <c r="AH442" s="9"/>
      <c r="AI442" s="9"/>
      <c r="AJ442" s="9"/>
      <c r="AK442" s="245"/>
      <c r="AL442" s="245"/>
      <c r="AM442" s="245"/>
      <c r="AN442" s="245"/>
      <c r="AO442" s="9"/>
      <c r="AP442" s="9"/>
      <c r="AQ442" s="9"/>
      <c r="AR442" s="9"/>
      <c r="AS442" s="9"/>
      <c r="AT442" s="9"/>
      <c r="AU442" s="9"/>
      <c r="AV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234"/>
      <c r="AD443" s="234"/>
      <c r="AE443" s="234"/>
      <c r="AF443" s="234"/>
      <c r="AG443" s="9"/>
      <c r="AH443" s="9"/>
      <c r="AI443" s="9"/>
      <c r="AJ443" s="9"/>
      <c r="AK443" s="245"/>
      <c r="AL443" s="245"/>
      <c r="AM443" s="245"/>
      <c r="AN443" s="245"/>
      <c r="AO443" s="9"/>
      <c r="AP443" s="9"/>
      <c r="AQ443" s="9"/>
      <c r="AR443" s="9"/>
      <c r="AS443" s="9"/>
      <c r="AT443" s="9"/>
      <c r="AU443" s="9"/>
      <c r="AV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234"/>
      <c r="AD444" s="234"/>
      <c r="AE444" s="234"/>
      <c r="AF444" s="234"/>
      <c r="AG444" s="9"/>
      <c r="AH444" s="9"/>
      <c r="AI444" s="9"/>
      <c r="AJ444" s="9"/>
      <c r="AK444" s="245"/>
      <c r="AL444" s="245"/>
      <c r="AM444" s="245"/>
      <c r="AN444" s="245"/>
      <c r="AO444" s="9"/>
      <c r="AP444" s="9"/>
      <c r="AQ444" s="9"/>
      <c r="AR444" s="9"/>
      <c r="AS444" s="9"/>
      <c r="AT444" s="9"/>
      <c r="AU444" s="9"/>
      <c r="AV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234"/>
      <c r="AD445" s="234"/>
      <c r="AE445" s="234"/>
      <c r="AF445" s="234"/>
      <c r="AG445" s="9"/>
      <c r="AH445" s="9"/>
      <c r="AI445" s="9"/>
      <c r="AJ445" s="9"/>
      <c r="AK445" s="245"/>
      <c r="AL445" s="245"/>
      <c r="AM445" s="245"/>
      <c r="AN445" s="245"/>
      <c r="AO445" s="9"/>
      <c r="AP445" s="9"/>
      <c r="AQ445" s="9"/>
      <c r="AR445" s="9"/>
      <c r="AS445" s="9"/>
      <c r="AT445" s="9"/>
      <c r="AU445" s="9"/>
      <c r="AV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234"/>
      <c r="AD446" s="234"/>
      <c r="AE446" s="234"/>
      <c r="AF446" s="234"/>
      <c r="AG446" s="9"/>
      <c r="AH446" s="9"/>
      <c r="AI446" s="9"/>
      <c r="AJ446" s="9"/>
      <c r="AK446" s="245"/>
      <c r="AL446" s="245"/>
      <c r="AM446" s="245"/>
      <c r="AN446" s="245"/>
      <c r="AO446" s="9"/>
      <c r="AP446" s="9"/>
      <c r="AQ446" s="9"/>
      <c r="AR446" s="9"/>
      <c r="AS446" s="9"/>
      <c r="AT446" s="9"/>
      <c r="AU446" s="9"/>
      <c r="AV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234"/>
      <c r="AD447" s="234"/>
      <c r="AE447" s="234"/>
      <c r="AF447" s="234"/>
      <c r="AG447" s="9"/>
      <c r="AH447" s="9"/>
      <c r="AI447" s="9"/>
      <c r="AJ447" s="9"/>
      <c r="AK447" s="245"/>
      <c r="AL447" s="245"/>
      <c r="AM447" s="245"/>
      <c r="AN447" s="245"/>
      <c r="AO447" s="9"/>
      <c r="AP447" s="9"/>
      <c r="AQ447" s="9"/>
      <c r="AR447" s="9"/>
      <c r="AS447" s="9"/>
      <c r="AT447" s="9"/>
      <c r="AU447" s="9"/>
      <c r="AV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234"/>
      <c r="AD448" s="234"/>
      <c r="AE448" s="234"/>
      <c r="AF448" s="234"/>
      <c r="AG448" s="9"/>
      <c r="AH448" s="9"/>
      <c r="AI448" s="9"/>
      <c r="AJ448" s="9"/>
      <c r="AK448" s="245"/>
      <c r="AL448" s="245"/>
      <c r="AM448" s="245"/>
      <c r="AN448" s="245"/>
      <c r="AO448" s="9"/>
      <c r="AP448" s="9"/>
      <c r="AQ448" s="9"/>
      <c r="AR448" s="9"/>
      <c r="AS448" s="9"/>
      <c r="AT448" s="9"/>
      <c r="AU448" s="9"/>
      <c r="AV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234"/>
      <c r="AD449" s="234"/>
      <c r="AE449" s="234"/>
      <c r="AF449" s="234"/>
      <c r="AG449" s="9"/>
      <c r="AH449" s="9"/>
      <c r="AI449" s="9"/>
      <c r="AJ449" s="9"/>
      <c r="AK449" s="245"/>
      <c r="AL449" s="245"/>
      <c r="AM449" s="245"/>
      <c r="AN449" s="245"/>
      <c r="AO449" s="9"/>
      <c r="AP449" s="9"/>
      <c r="AQ449" s="9"/>
      <c r="AR449" s="9"/>
      <c r="AS449" s="9"/>
      <c r="AT449" s="9"/>
      <c r="AU449" s="9"/>
      <c r="AV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234"/>
      <c r="AD450" s="234"/>
      <c r="AE450" s="234"/>
      <c r="AF450" s="234"/>
      <c r="AG450" s="9"/>
      <c r="AH450" s="9"/>
      <c r="AI450" s="9"/>
      <c r="AJ450" s="9"/>
      <c r="AK450" s="245"/>
      <c r="AL450" s="245"/>
      <c r="AM450" s="245"/>
      <c r="AN450" s="245"/>
      <c r="AO450" s="9"/>
      <c r="AP450" s="9"/>
      <c r="AQ450" s="9"/>
      <c r="AR450" s="9"/>
      <c r="AS450" s="9"/>
      <c r="AT450" s="9"/>
      <c r="AU450" s="9"/>
      <c r="AV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234"/>
      <c r="AD451" s="234"/>
      <c r="AE451" s="234"/>
      <c r="AF451" s="234"/>
      <c r="AG451" s="9"/>
      <c r="AH451" s="9"/>
      <c r="AI451" s="9"/>
      <c r="AJ451" s="9"/>
      <c r="AK451" s="245"/>
      <c r="AL451" s="245"/>
      <c r="AM451" s="245"/>
      <c r="AN451" s="245"/>
      <c r="AO451" s="9"/>
      <c r="AP451" s="9"/>
      <c r="AQ451" s="9"/>
      <c r="AR451" s="9"/>
      <c r="AS451" s="9"/>
      <c r="AT451" s="9"/>
      <c r="AU451" s="9"/>
      <c r="AV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234"/>
      <c r="AD452" s="234"/>
      <c r="AE452" s="234"/>
      <c r="AF452" s="234"/>
      <c r="AG452" s="9"/>
      <c r="AH452" s="9"/>
      <c r="AI452" s="9"/>
      <c r="AJ452" s="9"/>
      <c r="AK452" s="245"/>
      <c r="AL452" s="245"/>
      <c r="AM452" s="245"/>
      <c r="AN452" s="245"/>
      <c r="AO452" s="9"/>
      <c r="AP452" s="9"/>
      <c r="AQ452" s="9"/>
      <c r="AR452" s="9"/>
      <c r="AS452" s="9"/>
      <c r="AT452" s="9"/>
      <c r="AU452" s="9"/>
      <c r="AV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234"/>
      <c r="AD453" s="234"/>
      <c r="AE453" s="234"/>
      <c r="AF453" s="234"/>
      <c r="AG453" s="9"/>
      <c r="AH453" s="9"/>
      <c r="AI453" s="9"/>
      <c r="AJ453" s="9"/>
      <c r="AK453" s="245"/>
      <c r="AL453" s="245"/>
      <c r="AM453" s="245"/>
      <c r="AN453" s="245"/>
      <c r="AO453" s="9"/>
      <c r="AP453" s="9"/>
      <c r="AQ453" s="9"/>
      <c r="AR453" s="9"/>
      <c r="AS453" s="9"/>
      <c r="AT453" s="9"/>
      <c r="AU453" s="9"/>
      <c r="AV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234"/>
      <c r="AD454" s="234"/>
      <c r="AE454" s="234"/>
      <c r="AF454" s="234"/>
      <c r="AG454" s="9"/>
      <c r="AH454" s="9"/>
      <c r="AI454" s="9"/>
      <c r="AJ454" s="9"/>
      <c r="AK454" s="245"/>
      <c r="AL454" s="245"/>
      <c r="AM454" s="245"/>
      <c r="AN454" s="245"/>
      <c r="AO454" s="9"/>
      <c r="AP454" s="9"/>
      <c r="AQ454" s="9"/>
      <c r="AR454" s="9"/>
      <c r="AS454" s="9"/>
      <c r="AT454" s="9"/>
      <c r="AU454" s="9"/>
      <c r="AV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234"/>
      <c r="AD455" s="234"/>
      <c r="AE455" s="234"/>
      <c r="AF455" s="234"/>
      <c r="AG455" s="9"/>
      <c r="AH455" s="9"/>
      <c r="AI455" s="9"/>
      <c r="AJ455" s="9"/>
      <c r="AK455" s="245"/>
      <c r="AL455" s="245"/>
      <c r="AM455" s="245"/>
      <c r="AN455" s="245"/>
      <c r="AO455" s="9"/>
      <c r="AP455" s="9"/>
      <c r="AQ455" s="9"/>
      <c r="AR455" s="9"/>
      <c r="AS455" s="9"/>
      <c r="AT455" s="9"/>
      <c r="AU455" s="9"/>
      <c r="AV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234"/>
      <c r="AD456" s="234"/>
      <c r="AE456" s="234"/>
      <c r="AF456" s="234"/>
      <c r="AG456" s="9"/>
      <c r="AH456" s="9"/>
      <c r="AI456" s="9"/>
      <c r="AJ456" s="9"/>
      <c r="AK456" s="245"/>
      <c r="AL456" s="245"/>
      <c r="AM456" s="245"/>
      <c r="AN456" s="245"/>
      <c r="AO456" s="9"/>
      <c r="AP456" s="9"/>
      <c r="AQ456" s="9"/>
      <c r="AR456" s="9"/>
      <c r="AS456" s="9"/>
      <c r="AT456" s="9"/>
      <c r="AU456" s="9"/>
      <c r="AV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234"/>
      <c r="AD457" s="234"/>
      <c r="AE457" s="234"/>
      <c r="AF457" s="234"/>
      <c r="AG457" s="9"/>
      <c r="AH457" s="9"/>
      <c r="AI457" s="9"/>
      <c r="AJ457" s="9"/>
      <c r="AK457" s="245"/>
      <c r="AL457" s="245"/>
      <c r="AM457" s="245"/>
      <c r="AN457" s="245"/>
      <c r="AO457" s="9"/>
      <c r="AP457" s="9"/>
      <c r="AQ457" s="9"/>
      <c r="AR457" s="9"/>
      <c r="AS457" s="9"/>
      <c r="AT457" s="9"/>
      <c r="AU457" s="9"/>
      <c r="AV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234"/>
      <c r="AD458" s="234"/>
      <c r="AE458" s="234"/>
      <c r="AF458" s="234"/>
      <c r="AG458" s="9"/>
      <c r="AH458" s="9"/>
      <c r="AI458" s="9"/>
      <c r="AJ458" s="9"/>
      <c r="AK458" s="245"/>
      <c r="AL458" s="245"/>
      <c r="AM458" s="245"/>
      <c r="AN458" s="245"/>
      <c r="AO458" s="9"/>
      <c r="AP458" s="9"/>
      <c r="AQ458" s="9"/>
      <c r="AR458" s="9"/>
      <c r="AS458" s="9"/>
      <c r="AT458" s="9"/>
      <c r="AU458" s="9"/>
      <c r="AV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234"/>
      <c r="AD459" s="234"/>
      <c r="AE459" s="234"/>
      <c r="AF459" s="234"/>
      <c r="AG459" s="9"/>
      <c r="AH459" s="9"/>
      <c r="AI459" s="9"/>
      <c r="AJ459" s="9"/>
      <c r="AK459" s="245"/>
      <c r="AL459" s="245"/>
      <c r="AM459" s="245"/>
      <c r="AN459" s="245"/>
      <c r="AO459" s="9"/>
      <c r="AP459" s="9"/>
      <c r="AQ459" s="9"/>
      <c r="AR459" s="9"/>
      <c r="AS459" s="9"/>
      <c r="AT459" s="9"/>
      <c r="AU459" s="9"/>
      <c r="AV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234"/>
      <c r="AD460" s="234"/>
      <c r="AE460" s="234"/>
      <c r="AF460" s="234"/>
      <c r="AG460" s="9"/>
      <c r="AH460" s="9"/>
      <c r="AI460" s="9"/>
      <c r="AJ460" s="9"/>
      <c r="AK460" s="245"/>
      <c r="AL460" s="245"/>
      <c r="AM460" s="245"/>
      <c r="AN460" s="245"/>
      <c r="AO460" s="9"/>
      <c r="AP460" s="9"/>
      <c r="AQ460" s="9"/>
      <c r="AR460" s="9"/>
      <c r="AS460" s="9"/>
      <c r="AT460" s="9"/>
      <c r="AU460" s="9"/>
      <c r="AV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234"/>
      <c r="AD461" s="234"/>
      <c r="AE461" s="234"/>
      <c r="AF461" s="234"/>
      <c r="AG461" s="9"/>
      <c r="AH461" s="9"/>
      <c r="AI461" s="9"/>
      <c r="AJ461" s="9"/>
      <c r="AK461" s="245"/>
      <c r="AL461" s="245"/>
      <c r="AM461" s="245"/>
      <c r="AN461" s="245"/>
      <c r="AO461" s="9"/>
      <c r="AP461" s="9"/>
      <c r="AQ461" s="9"/>
      <c r="AR461" s="9"/>
      <c r="AS461" s="9"/>
      <c r="AT461" s="9"/>
      <c r="AU461" s="9"/>
      <c r="AV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234"/>
      <c r="AD462" s="234"/>
      <c r="AE462" s="234"/>
      <c r="AF462" s="234"/>
      <c r="AG462" s="9"/>
      <c r="AH462" s="9"/>
      <c r="AI462" s="9"/>
      <c r="AJ462" s="9"/>
      <c r="AK462" s="245"/>
      <c r="AL462" s="245"/>
      <c r="AM462" s="245"/>
      <c r="AN462" s="245"/>
      <c r="AO462" s="9"/>
      <c r="AP462" s="9"/>
      <c r="AQ462" s="9"/>
      <c r="AR462" s="9"/>
      <c r="AS462" s="9"/>
      <c r="AT462" s="9"/>
      <c r="AU462" s="9"/>
      <c r="AV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234"/>
      <c r="AD463" s="234"/>
      <c r="AE463" s="234"/>
      <c r="AF463" s="234"/>
      <c r="AG463" s="9"/>
      <c r="AH463" s="9"/>
      <c r="AI463" s="9"/>
      <c r="AJ463" s="9"/>
      <c r="AK463" s="245"/>
      <c r="AL463" s="245"/>
      <c r="AM463" s="245"/>
      <c r="AN463" s="245"/>
      <c r="AO463" s="9"/>
      <c r="AP463" s="9"/>
      <c r="AQ463" s="9"/>
      <c r="AR463" s="9"/>
      <c r="AS463" s="9"/>
      <c r="AT463" s="9"/>
      <c r="AU463" s="9"/>
      <c r="AV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234"/>
      <c r="AD464" s="234"/>
      <c r="AE464" s="234"/>
      <c r="AF464" s="234"/>
      <c r="AG464" s="9"/>
      <c r="AH464" s="9"/>
      <c r="AI464" s="9"/>
      <c r="AJ464" s="9"/>
      <c r="AK464" s="245"/>
      <c r="AL464" s="245"/>
      <c r="AM464" s="245"/>
      <c r="AN464" s="245"/>
      <c r="AO464" s="9"/>
      <c r="AP464" s="9"/>
      <c r="AQ464" s="9"/>
      <c r="AR464" s="9"/>
      <c r="AS464" s="9"/>
      <c r="AT464" s="9"/>
      <c r="AU464" s="9"/>
      <c r="AV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234"/>
      <c r="AD465" s="234"/>
      <c r="AE465" s="234"/>
      <c r="AF465" s="234"/>
      <c r="AG465" s="9"/>
      <c r="AH465" s="9"/>
      <c r="AI465" s="9"/>
      <c r="AJ465" s="9"/>
      <c r="AK465" s="245"/>
      <c r="AL465" s="245"/>
      <c r="AM465" s="245"/>
      <c r="AN465" s="245"/>
      <c r="AO465" s="9"/>
      <c r="AP465" s="9"/>
      <c r="AQ465" s="9"/>
      <c r="AR465" s="9"/>
      <c r="AS465" s="9"/>
      <c r="AT465" s="9"/>
      <c r="AU465" s="9"/>
      <c r="AV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234"/>
      <c r="AD466" s="234"/>
      <c r="AE466" s="234"/>
      <c r="AF466" s="234"/>
      <c r="AG466" s="9"/>
      <c r="AH466" s="9"/>
      <c r="AI466" s="9"/>
      <c r="AJ466" s="9"/>
      <c r="AK466" s="245"/>
      <c r="AL466" s="245"/>
      <c r="AM466" s="245"/>
      <c r="AN466" s="245"/>
      <c r="AO466" s="9"/>
      <c r="AP466" s="9"/>
      <c r="AQ466" s="9"/>
      <c r="AR466" s="9"/>
      <c r="AS466" s="9"/>
      <c r="AT466" s="9"/>
      <c r="AU466" s="9"/>
      <c r="AV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234"/>
      <c r="AD467" s="234"/>
      <c r="AE467" s="234"/>
      <c r="AF467" s="234"/>
      <c r="AG467" s="9"/>
      <c r="AH467" s="9"/>
      <c r="AI467" s="9"/>
      <c r="AJ467" s="9"/>
      <c r="AK467" s="245"/>
      <c r="AL467" s="245"/>
      <c r="AM467" s="245"/>
      <c r="AN467" s="245"/>
      <c r="AO467" s="9"/>
      <c r="AP467" s="9"/>
      <c r="AQ467" s="9"/>
      <c r="AR467" s="9"/>
      <c r="AS467" s="9"/>
      <c r="AT467" s="9"/>
      <c r="AU467" s="9"/>
      <c r="AV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234"/>
      <c r="AD468" s="234"/>
      <c r="AE468" s="234"/>
      <c r="AF468" s="234"/>
      <c r="AG468" s="9"/>
      <c r="AH468" s="9"/>
      <c r="AI468" s="9"/>
      <c r="AJ468" s="9"/>
      <c r="AK468" s="245"/>
      <c r="AL468" s="245"/>
      <c r="AM468" s="245"/>
      <c r="AN468" s="245"/>
      <c r="AO468" s="9"/>
      <c r="AP468" s="9"/>
      <c r="AQ468" s="9"/>
      <c r="AR468" s="9"/>
      <c r="AS468" s="9"/>
      <c r="AT468" s="9"/>
      <c r="AU468" s="9"/>
      <c r="AV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234"/>
      <c r="AD469" s="234"/>
      <c r="AE469" s="234"/>
      <c r="AF469" s="234"/>
      <c r="AG469" s="9"/>
      <c r="AH469" s="9"/>
      <c r="AI469" s="9"/>
      <c r="AJ469" s="9"/>
      <c r="AK469" s="245"/>
      <c r="AL469" s="245"/>
      <c r="AM469" s="245"/>
      <c r="AN469" s="245"/>
      <c r="AO469" s="9"/>
      <c r="AP469" s="9"/>
      <c r="AQ469" s="9"/>
      <c r="AR469" s="9"/>
      <c r="AS469" s="9"/>
      <c r="AT469" s="9"/>
      <c r="AU469" s="9"/>
      <c r="AV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234"/>
      <c r="AD470" s="234"/>
      <c r="AE470" s="234"/>
      <c r="AF470" s="234"/>
      <c r="AG470" s="9"/>
      <c r="AH470" s="9"/>
      <c r="AI470" s="9"/>
      <c r="AJ470" s="9"/>
      <c r="AK470" s="245"/>
      <c r="AL470" s="245"/>
      <c r="AM470" s="245"/>
      <c r="AN470" s="245"/>
      <c r="AO470" s="9"/>
      <c r="AP470" s="9"/>
      <c r="AQ470" s="9"/>
      <c r="AR470" s="9"/>
      <c r="AS470" s="9"/>
      <c r="AT470" s="9"/>
      <c r="AU470" s="9"/>
      <c r="AV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234"/>
      <c r="AD471" s="234"/>
      <c r="AE471" s="234"/>
      <c r="AF471" s="234"/>
      <c r="AG471" s="9"/>
      <c r="AH471" s="9"/>
      <c r="AI471" s="9"/>
      <c r="AJ471" s="9"/>
      <c r="AK471" s="245"/>
      <c r="AL471" s="245"/>
      <c r="AM471" s="245"/>
      <c r="AN471" s="245"/>
      <c r="AO471" s="9"/>
      <c r="AP471" s="9"/>
      <c r="AQ471" s="9"/>
      <c r="AR471" s="9"/>
      <c r="AS471" s="9"/>
      <c r="AT471" s="9"/>
      <c r="AU471" s="9"/>
      <c r="AV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234"/>
      <c r="AD472" s="234"/>
      <c r="AE472" s="234"/>
      <c r="AF472" s="234"/>
      <c r="AG472" s="9"/>
      <c r="AH472" s="9"/>
      <c r="AI472" s="9"/>
      <c r="AJ472" s="9"/>
      <c r="AK472" s="245"/>
      <c r="AL472" s="245"/>
      <c r="AM472" s="245"/>
      <c r="AN472" s="245"/>
      <c r="AO472" s="9"/>
      <c r="AP472" s="9"/>
      <c r="AQ472" s="9"/>
      <c r="AR472" s="9"/>
      <c r="AS472" s="9"/>
      <c r="AT472" s="9"/>
      <c r="AU472" s="9"/>
      <c r="AV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234"/>
      <c r="AD473" s="234"/>
      <c r="AE473" s="234"/>
      <c r="AF473" s="234"/>
      <c r="AG473" s="9"/>
      <c r="AH473" s="9"/>
      <c r="AI473" s="9"/>
      <c r="AJ473" s="9"/>
      <c r="AK473" s="245"/>
      <c r="AL473" s="245"/>
      <c r="AM473" s="245"/>
      <c r="AN473" s="245"/>
      <c r="AO473" s="9"/>
      <c r="AP473" s="9"/>
      <c r="AQ473" s="9"/>
      <c r="AR473" s="9"/>
      <c r="AS473" s="9"/>
      <c r="AT473" s="9"/>
      <c r="AU473" s="9"/>
      <c r="AV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234"/>
      <c r="AD474" s="234"/>
      <c r="AE474" s="234"/>
      <c r="AF474" s="234"/>
      <c r="AG474" s="9"/>
      <c r="AH474" s="9"/>
      <c r="AI474" s="9"/>
      <c r="AJ474" s="9"/>
      <c r="AK474" s="245"/>
      <c r="AL474" s="245"/>
      <c r="AM474" s="245"/>
      <c r="AN474" s="245"/>
      <c r="AO474" s="9"/>
      <c r="AP474" s="9"/>
      <c r="AQ474" s="9"/>
      <c r="AR474" s="9"/>
      <c r="AS474" s="9"/>
      <c r="AT474" s="9"/>
      <c r="AU474" s="9"/>
      <c r="AV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234"/>
      <c r="AD475" s="234"/>
      <c r="AE475" s="234"/>
      <c r="AF475" s="234"/>
      <c r="AG475" s="9"/>
      <c r="AH475" s="9"/>
      <c r="AI475" s="9"/>
      <c r="AJ475" s="9"/>
      <c r="AK475" s="245"/>
      <c r="AL475" s="245"/>
      <c r="AM475" s="245"/>
      <c r="AN475" s="245"/>
      <c r="AO475" s="9"/>
      <c r="AP475" s="9"/>
      <c r="AQ475" s="9"/>
      <c r="AR475" s="9"/>
      <c r="AS475" s="9"/>
      <c r="AT475" s="9"/>
      <c r="AU475" s="9"/>
      <c r="AV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234"/>
      <c r="AD476" s="234"/>
      <c r="AE476" s="234"/>
      <c r="AF476" s="234"/>
      <c r="AG476" s="9"/>
      <c r="AH476" s="9"/>
      <c r="AI476" s="9"/>
      <c r="AJ476" s="9"/>
      <c r="AK476" s="245"/>
      <c r="AL476" s="245"/>
      <c r="AM476" s="245"/>
      <c r="AN476" s="245"/>
      <c r="AO476" s="9"/>
      <c r="AP476" s="9"/>
      <c r="AQ476" s="9"/>
      <c r="AR476" s="9"/>
      <c r="AS476" s="9"/>
      <c r="AT476" s="9"/>
      <c r="AU476" s="9"/>
      <c r="AV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234"/>
      <c r="AD477" s="234"/>
      <c r="AE477" s="234"/>
      <c r="AF477" s="234"/>
      <c r="AG477" s="9"/>
      <c r="AH477" s="9"/>
      <c r="AI477" s="9"/>
      <c r="AJ477" s="9"/>
      <c r="AK477" s="245"/>
      <c r="AL477" s="245"/>
      <c r="AM477" s="245"/>
      <c r="AN477" s="245"/>
      <c r="AO477" s="9"/>
      <c r="AP477" s="9"/>
      <c r="AQ477" s="9"/>
      <c r="AR477" s="9"/>
      <c r="AS477" s="9"/>
      <c r="AT477" s="9"/>
      <c r="AU477" s="9"/>
      <c r="AV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234"/>
      <c r="AD478" s="234"/>
      <c r="AE478" s="234"/>
      <c r="AF478" s="234"/>
      <c r="AG478" s="9"/>
      <c r="AH478" s="9"/>
      <c r="AI478" s="9"/>
      <c r="AJ478" s="9"/>
      <c r="AK478" s="245"/>
      <c r="AL478" s="245"/>
      <c r="AM478" s="245"/>
      <c r="AN478" s="245"/>
      <c r="AO478" s="9"/>
      <c r="AP478" s="9"/>
      <c r="AQ478" s="9"/>
      <c r="AR478" s="9"/>
      <c r="AS478" s="9"/>
      <c r="AT478" s="9"/>
      <c r="AU478" s="9"/>
      <c r="AV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234"/>
      <c r="AD479" s="234"/>
      <c r="AE479" s="234"/>
      <c r="AF479" s="234"/>
      <c r="AG479" s="9"/>
      <c r="AH479" s="9"/>
      <c r="AI479" s="9"/>
      <c r="AJ479" s="9"/>
      <c r="AK479" s="245"/>
      <c r="AL479" s="245"/>
      <c r="AM479" s="245"/>
      <c r="AN479" s="245"/>
      <c r="AO479" s="9"/>
      <c r="AP479" s="9"/>
      <c r="AQ479" s="9"/>
      <c r="AR479" s="9"/>
      <c r="AS479" s="9"/>
      <c r="AT479" s="9"/>
      <c r="AU479" s="9"/>
      <c r="AV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234"/>
      <c r="AD480" s="234"/>
      <c r="AE480" s="234"/>
      <c r="AF480" s="234"/>
      <c r="AG480" s="9"/>
      <c r="AH480" s="9"/>
      <c r="AI480" s="9"/>
      <c r="AJ480" s="9"/>
      <c r="AK480" s="245"/>
      <c r="AL480" s="245"/>
      <c r="AM480" s="245"/>
      <c r="AN480" s="245"/>
      <c r="AO480" s="9"/>
      <c r="AP480" s="9"/>
      <c r="AQ480" s="9"/>
      <c r="AR480" s="9"/>
      <c r="AS480" s="9"/>
      <c r="AT480" s="9"/>
      <c r="AU480" s="9"/>
      <c r="AV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234"/>
      <c r="AD481" s="234"/>
      <c r="AE481" s="234"/>
      <c r="AF481" s="234"/>
      <c r="AG481" s="9"/>
      <c r="AH481" s="9"/>
      <c r="AI481" s="9"/>
      <c r="AJ481" s="9"/>
      <c r="AK481" s="245"/>
      <c r="AL481" s="245"/>
      <c r="AM481" s="245"/>
      <c r="AN481" s="245"/>
      <c r="AO481" s="9"/>
      <c r="AP481" s="9"/>
      <c r="AQ481" s="9"/>
      <c r="AR481" s="9"/>
      <c r="AS481" s="9"/>
      <c r="AT481" s="9"/>
      <c r="AU481" s="9"/>
      <c r="AV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234"/>
      <c r="AD482" s="234"/>
      <c r="AE482" s="234"/>
      <c r="AF482" s="234"/>
      <c r="AG482" s="9"/>
      <c r="AH482" s="9"/>
      <c r="AI482" s="9"/>
      <c r="AJ482" s="9"/>
      <c r="AK482" s="245"/>
      <c r="AL482" s="245"/>
      <c r="AM482" s="245"/>
      <c r="AN482" s="245"/>
      <c r="AO482" s="9"/>
      <c r="AP482" s="9"/>
      <c r="AQ482" s="9"/>
      <c r="AR482" s="9"/>
      <c r="AS482" s="9"/>
      <c r="AT482" s="9"/>
      <c r="AU482" s="9"/>
      <c r="AV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234"/>
      <c r="AD483" s="234"/>
      <c r="AE483" s="234"/>
      <c r="AF483" s="234"/>
      <c r="AG483" s="9"/>
      <c r="AH483" s="9"/>
      <c r="AI483" s="9"/>
      <c r="AJ483" s="9"/>
      <c r="AK483" s="245"/>
      <c r="AL483" s="245"/>
      <c r="AM483" s="245"/>
      <c r="AN483" s="245"/>
      <c r="AO483" s="9"/>
      <c r="AP483" s="9"/>
      <c r="AQ483" s="9"/>
      <c r="AR483" s="9"/>
      <c r="AS483" s="9"/>
      <c r="AT483" s="9"/>
      <c r="AU483" s="9"/>
      <c r="AV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234"/>
      <c r="AD484" s="234"/>
      <c r="AE484" s="234"/>
      <c r="AF484" s="234"/>
      <c r="AG484" s="9"/>
      <c r="AH484" s="9"/>
      <c r="AI484" s="9"/>
      <c r="AJ484" s="9"/>
      <c r="AK484" s="245"/>
      <c r="AL484" s="245"/>
      <c r="AM484" s="245"/>
      <c r="AN484" s="245"/>
      <c r="AO484" s="9"/>
      <c r="AP484" s="9"/>
      <c r="AQ484" s="9"/>
      <c r="AR484" s="9"/>
      <c r="AS484" s="9"/>
      <c r="AT484" s="9"/>
      <c r="AU484" s="9"/>
      <c r="AV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234"/>
      <c r="AD485" s="234"/>
      <c r="AE485" s="234"/>
      <c r="AF485" s="234"/>
      <c r="AG485" s="9"/>
      <c r="AH485" s="9"/>
      <c r="AI485" s="9"/>
      <c r="AJ485" s="9"/>
      <c r="AK485" s="245"/>
      <c r="AL485" s="245"/>
      <c r="AM485" s="245"/>
      <c r="AN485" s="245"/>
      <c r="AO485" s="9"/>
      <c r="AP485" s="9"/>
      <c r="AQ485" s="9"/>
      <c r="AR485" s="9"/>
      <c r="AS485" s="9"/>
      <c r="AT485" s="9"/>
      <c r="AU485" s="9"/>
      <c r="AV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234"/>
      <c r="AD486" s="234"/>
      <c r="AE486" s="234"/>
      <c r="AF486" s="234"/>
      <c r="AG486" s="9"/>
      <c r="AH486" s="9"/>
      <c r="AI486" s="9"/>
      <c r="AJ486" s="9"/>
      <c r="AK486" s="245"/>
      <c r="AL486" s="245"/>
      <c r="AM486" s="245"/>
      <c r="AN486" s="245"/>
      <c r="AO486" s="9"/>
      <c r="AP486" s="9"/>
      <c r="AQ486" s="9"/>
      <c r="AR486" s="9"/>
      <c r="AS486" s="9"/>
      <c r="AT486" s="9"/>
      <c r="AU486" s="9"/>
      <c r="AV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234"/>
      <c r="AD487" s="234"/>
      <c r="AE487" s="234"/>
      <c r="AF487" s="234"/>
      <c r="AG487" s="9"/>
      <c r="AH487" s="9"/>
      <c r="AI487" s="9"/>
      <c r="AJ487" s="9"/>
      <c r="AK487" s="245"/>
      <c r="AL487" s="245"/>
      <c r="AM487" s="245"/>
      <c r="AN487" s="245"/>
      <c r="AO487" s="9"/>
      <c r="AP487" s="9"/>
      <c r="AQ487" s="9"/>
      <c r="AR487" s="9"/>
      <c r="AS487" s="9"/>
      <c r="AT487" s="9"/>
      <c r="AU487" s="9"/>
      <c r="AV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234"/>
      <c r="AD488" s="234"/>
      <c r="AE488" s="234"/>
      <c r="AF488" s="234"/>
      <c r="AG488" s="9"/>
      <c r="AH488" s="9"/>
      <c r="AI488" s="9"/>
      <c r="AJ488" s="9"/>
      <c r="AK488" s="245"/>
      <c r="AL488" s="245"/>
      <c r="AM488" s="245"/>
      <c r="AN488" s="245"/>
      <c r="AO488" s="9"/>
      <c r="AP488" s="9"/>
      <c r="AQ488" s="9"/>
      <c r="AR488" s="9"/>
      <c r="AS488" s="9"/>
      <c r="AT488" s="9"/>
      <c r="AU488" s="9"/>
      <c r="AV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234"/>
      <c r="AD489" s="234"/>
      <c r="AE489" s="234"/>
      <c r="AF489" s="234"/>
      <c r="AG489" s="9"/>
      <c r="AH489" s="9"/>
      <c r="AI489" s="9"/>
      <c r="AJ489" s="9"/>
      <c r="AK489" s="245"/>
      <c r="AL489" s="245"/>
      <c r="AM489" s="245"/>
      <c r="AN489" s="245"/>
      <c r="AO489" s="9"/>
      <c r="AP489" s="9"/>
      <c r="AQ489" s="9"/>
      <c r="AR489" s="9"/>
      <c r="AS489" s="9"/>
      <c r="AT489" s="9"/>
      <c r="AU489" s="9"/>
      <c r="AV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234"/>
      <c r="AD490" s="234"/>
      <c r="AE490" s="234"/>
      <c r="AF490" s="234"/>
      <c r="AG490" s="9"/>
      <c r="AH490" s="9"/>
      <c r="AI490" s="9"/>
      <c r="AJ490" s="9"/>
      <c r="AK490" s="245"/>
      <c r="AL490" s="245"/>
      <c r="AM490" s="245"/>
      <c r="AN490" s="245"/>
      <c r="AO490" s="9"/>
      <c r="AP490" s="9"/>
      <c r="AQ490" s="9"/>
      <c r="AR490" s="9"/>
      <c r="AS490" s="9"/>
      <c r="AT490" s="9"/>
      <c r="AU490" s="9"/>
      <c r="AV490" s="9"/>
    </row>
    <row r="491">
      <c r="A491" s="253"/>
      <c r="B491" s="254"/>
      <c r="C491" s="463"/>
      <c r="D491" s="253"/>
      <c r="E491" s="254"/>
      <c r="F491" s="463"/>
      <c r="G491" s="253"/>
      <c r="H491" s="254"/>
      <c r="I491" s="463"/>
      <c r="J491" s="253"/>
      <c r="K491" s="254"/>
      <c r="L491" s="463"/>
      <c r="M491" s="253"/>
      <c r="N491" s="254"/>
      <c r="O491" s="463"/>
      <c r="P491" s="253"/>
      <c r="Q491" s="254"/>
      <c r="R491" s="463"/>
      <c r="S491" s="253"/>
      <c r="T491" s="254"/>
      <c r="U491" s="463"/>
      <c r="V491" s="253"/>
      <c r="W491" s="254"/>
      <c r="X491" s="463"/>
      <c r="Y491" s="9"/>
      <c r="Z491" s="9"/>
      <c r="AA491" s="9"/>
      <c r="AB491" s="9"/>
      <c r="AC491" s="234"/>
      <c r="AD491" s="234"/>
      <c r="AE491" s="234"/>
      <c r="AF491" s="234"/>
      <c r="AG491" s="9"/>
      <c r="AH491" s="9"/>
      <c r="AI491" s="9"/>
      <c r="AJ491" s="9"/>
      <c r="AK491" s="245"/>
      <c r="AL491" s="245"/>
      <c r="AM491" s="245"/>
      <c r="AN491" s="245"/>
      <c r="AO491" s="9"/>
      <c r="AP491" s="9"/>
      <c r="AQ491" s="9"/>
      <c r="AR491" s="9"/>
      <c r="AS491" s="9"/>
      <c r="AT491" s="9"/>
      <c r="AU491" s="9"/>
      <c r="AV491" s="9"/>
    </row>
    <row r="492">
      <c r="A492" s="253"/>
      <c r="B492" s="254"/>
      <c r="C492" s="463"/>
      <c r="D492" s="253"/>
      <c r="E492" s="254"/>
      <c r="F492" s="463"/>
      <c r="G492" s="253"/>
      <c r="H492" s="254"/>
      <c r="I492" s="463"/>
      <c r="J492" s="253"/>
      <c r="K492" s="254"/>
      <c r="L492" s="463"/>
      <c r="M492" s="253"/>
      <c r="N492" s="254"/>
      <c r="O492" s="463"/>
      <c r="P492" s="253"/>
      <c r="Q492" s="254"/>
      <c r="R492" s="463"/>
      <c r="S492" s="253"/>
      <c r="T492" s="254"/>
      <c r="U492" s="463"/>
      <c r="V492" s="253"/>
      <c r="W492" s="254"/>
      <c r="X492" s="463"/>
      <c r="Y492" s="9"/>
      <c r="Z492" s="9"/>
      <c r="AA492" s="9"/>
      <c r="AB492" s="9"/>
      <c r="AC492" s="234"/>
      <c r="AD492" s="234"/>
      <c r="AE492" s="234"/>
      <c r="AF492" s="234"/>
      <c r="AG492" s="9"/>
      <c r="AH492" s="9"/>
      <c r="AI492" s="9"/>
      <c r="AJ492" s="9"/>
      <c r="AK492" s="245"/>
      <c r="AL492" s="245"/>
      <c r="AM492" s="245"/>
      <c r="AN492" s="245"/>
      <c r="AO492" s="9"/>
      <c r="AP492" s="9"/>
      <c r="AQ492" s="9"/>
      <c r="AR492" s="9"/>
      <c r="AS492" s="9"/>
      <c r="AT492" s="9"/>
      <c r="AU492" s="9"/>
      <c r="AV492" s="9"/>
    </row>
    <row r="493">
      <c r="A493" s="253"/>
      <c r="B493" s="254"/>
      <c r="C493" s="463"/>
      <c r="D493" s="253"/>
      <c r="E493" s="254"/>
      <c r="F493" s="463"/>
      <c r="G493" s="253"/>
      <c r="H493" s="254"/>
      <c r="I493" s="463"/>
      <c r="J493" s="253"/>
      <c r="K493" s="254"/>
      <c r="L493" s="463"/>
      <c r="M493" s="253"/>
      <c r="N493" s="254"/>
      <c r="O493" s="463"/>
      <c r="P493" s="253"/>
      <c r="Q493" s="254"/>
      <c r="R493" s="463"/>
      <c r="S493" s="253"/>
      <c r="T493" s="254"/>
      <c r="U493" s="463"/>
      <c r="V493" s="253"/>
      <c r="W493" s="254"/>
      <c r="X493" s="463"/>
      <c r="Y493" s="9"/>
      <c r="Z493" s="9"/>
      <c r="AA493" s="9"/>
      <c r="AB493" s="9"/>
      <c r="AC493" s="234"/>
      <c r="AD493" s="234"/>
      <c r="AE493" s="234"/>
      <c r="AF493" s="234"/>
      <c r="AG493" s="9"/>
      <c r="AH493" s="9"/>
      <c r="AI493" s="9"/>
      <c r="AJ493" s="9"/>
      <c r="AK493" s="245"/>
      <c r="AL493" s="245"/>
      <c r="AM493" s="245"/>
      <c r="AN493" s="245"/>
      <c r="AO493" s="9"/>
      <c r="AP493" s="9"/>
      <c r="AQ493" s="9"/>
      <c r="AR493" s="9"/>
      <c r="AS493" s="9"/>
      <c r="AT493" s="9"/>
      <c r="AU493" s="9"/>
      <c r="AV493" s="9"/>
    </row>
    <row r="494">
      <c r="A494" s="253"/>
      <c r="B494" s="254"/>
      <c r="C494" s="463"/>
      <c r="D494" s="253"/>
      <c r="E494" s="254"/>
      <c r="F494" s="463"/>
      <c r="G494" s="253"/>
      <c r="H494" s="254"/>
      <c r="I494" s="463"/>
      <c r="J494" s="253"/>
      <c r="K494" s="254"/>
      <c r="L494" s="463"/>
      <c r="M494" s="253"/>
      <c r="N494" s="254"/>
      <c r="O494" s="463"/>
      <c r="P494" s="253"/>
      <c r="Q494" s="254"/>
      <c r="R494" s="463"/>
      <c r="S494" s="253"/>
      <c r="T494" s="254"/>
      <c r="U494" s="463"/>
      <c r="V494" s="253"/>
      <c r="W494" s="254"/>
      <c r="X494" s="463"/>
      <c r="Y494" s="9"/>
      <c r="Z494" s="9"/>
      <c r="AA494" s="9"/>
      <c r="AB494" s="9"/>
      <c r="AC494" s="234"/>
      <c r="AD494" s="234"/>
      <c r="AE494" s="234"/>
      <c r="AF494" s="234"/>
      <c r="AG494" s="9"/>
      <c r="AH494" s="9"/>
      <c r="AI494" s="9"/>
      <c r="AJ494" s="9"/>
      <c r="AK494" s="245"/>
      <c r="AL494" s="245"/>
      <c r="AM494" s="245"/>
      <c r="AN494" s="245"/>
      <c r="AO494" s="9"/>
      <c r="AP494" s="9"/>
      <c r="AQ494" s="9"/>
      <c r="AR494" s="9"/>
      <c r="AS494" s="9"/>
      <c r="AT494" s="9"/>
      <c r="AU494" s="9"/>
      <c r="AV494" s="9"/>
    </row>
    <row r="495">
      <c r="A495" s="253"/>
      <c r="B495" s="254"/>
      <c r="C495" s="463"/>
      <c r="D495" s="253"/>
      <c r="E495" s="254"/>
      <c r="F495" s="463"/>
      <c r="G495" s="253"/>
      <c r="H495" s="254"/>
      <c r="I495" s="463"/>
      <c r="J495" s="253"/>
      <c r="K495" s="254"/>
      <c r="L495" s="463"/>
      <c r="M495" s="253"/>
      <c r="N495" s="254"/>
      <c r="O495" s="463"/>
      <c r="P495" s="253"/>
      <c r="Q495" s="254"/>
      <c r="R495" s="463"/>
      <c r="S495" s="253"/>
      <c r="T495" s="254"/>
      <c r="U495" s="463"/>
      <c r="V495" s="253"/>
      <c r="W495" s="254"/>
      <c r="X495" s="463"/>
      <c r="Y495" s="9"/>
      <c r="Z495" s="9"/>
      <c r="AA495" s="9"/>
      <c r="AB495" s="9"/>
      <c r="AC495" s="234"/>
      <c r="AD495" s="234"/>
      <c r="AE495" s="234"/>
      <c r="AF495" s="234"/>
      <c r="AG495" s="9"/>
      <c r="AH495" s="9"/>
      <c r="AI495" s="9"/>
      <c r="AJ495" s="9"/>
      <c r="AK495" s="245"/>
      <c r="AL495" s="245"/>
      <c r="AM495" s="245"/>
      <c r="AN495" s="245"/>
      <c r="AO495" s="9"/>
      <c r="AP495" s="9"/>
      <c r="AQ495" s="9"/>
      <c r="AR495" s="9"/>
      <c r="AS495" s="9"/>
      <c r="AT495" s="9"/>
      <c r="AU495" s="9"/>
      <c r="AV495" s="9"/>
    </row>
    <row r="496">
      <c r="A496" s="253"/>
      <c r="B496" s="254"/>
      <c r="C496" s="463"/>
      <c r="D496" s="253"/>
      <c r="E496" s="254"/>
      <c r="F496" s="463"/>
      <c r="G496" s="253"/>
      <c r="H496" s="254"/>
      <c r="I496" s="463"/>
      <c r="J496" s="253"/>
      <c r="K496" s="254"/>
      <c r="L496" s="463"/>
      <c r="M496" s="253"/>
      <c r="N496" s="254"/>
      <c r="O496" s="463"/>
      <c r="P496" s="253"/>
      <c r="Q496" s="254"/>
      <c r="R496" s="463"/>
      <c r="S496" s="253"/>
      <c r="T496" s="254"/>
      <c r="U496" s="463"/>
      <c r="V496" s="253"/>
      <c r="W496" s="254"/>
      <c r="X496" s="463"/>
      <c r="Y496" s="9"/>
      <c r="Z496" s="9"/>
      <c r="AA496" s="9"/>
      <c r="AB496" s="9"/>
      <c r="AC496" s="234"/>
      <c r="AD496" s="234"/>
      <c r="AE496" s="234"/>
      <c r="AF496" s="234"/>
      <c r="AG496" s="9"/>
      <c r="AH496" s="9"/>
      <c r="AI496" s="9"/>
      <c r="AJ496" s="9"/>
      <c r="AK496" s="245"/>
      <c r="AL496" s="245"/>
      <c r="AM496" s="245"/>
      <c r="AN496" s="245"/>
      <c r="AO496" s="9"/>
      <c r="AP496" s="9"/>
      <c r="AQ496" s="9"/>
      <c r="AR496" s="9"/>
      <c r="AS496" s="9"/>
      <c r="AT496" s="9"/>
      <c r="AU496" s="9"/>
      <c r="AV496" s="9"/>
    </row>
    <row r="497">
      <c r="A497" s="253"/>
      <c r="B497" s="254"/>
      <c r="C497" s="463"/>
      <c r="D497" s="253"/>
      <c r="E497" s="254"/>
      <c r="F497" s="463"/>
      <c r="G497" s="253"/>
      <c r="H497" s="254"/>
      <c r="I497" s="463"/>
      <c r="J497" s="253"/>
      <c r="K497" s="254"/>
      <c r="L497" s="463"/>
      <c r="M497" s="253"/>
      <c r="N497" s="254"/>
      <c r="O497" s="463"/>
      <c r="P497" s="253"/>
      <c r="Q497" s="254"/>
      <c r="R497" s="463"/>
      <c r="S497" s="253"/>
      <c r="T497" s="254"/>
      <c r="U497" s="463"/>
      <c r="V497" s="253"/>
      <c r="W497" s="254"/>
      <c r="X497" s="463"/>
      <c r="Y497" s="9"/>
      <c r="Z497" s="9"/>
      <c r="AA497" s="9"/>
      <c r="AB497" s="9"/>
      <c r="AC497" s="234"/>
      <c r="AD497" s="234"/>
      <c r="AE497" s="234"/>
      <c r="AF497" s="234"/>
      <c r="AG497" s="9"/>
      <c r="AH497" s="9"/>
      <c r="AI497" s="9"/>
      <c r="AJ497" s="9"/>
      <c r="AK497" s="245"/>
      <c r="AL497" s="245"/>
      <c r="AM497" s="245"/>
      <c r="AN497" s="245"/>
      <c r="AO497" s="9"/>
      <c r="AP497" s="9"/>
      <c r="AQ497" s="9"/>
      <c r="AR497" s="9"/>
      <c r="AS497" s="9"/>
      <c r="AT497" s="9"/>
      <c r="AU497" s="9"/>
      <c r="AV497" s="9"/>
    </row>
    <row r="498">
      <c r="A498" s="253"/>
      <c r="B498" s="254"/>
      <c r="C498" s="463"/>
      <c r="D498" s="253"/>
      <c r="E498" s="254"/>
      <c r="F498" s="463"/>
      <c r="G498" s="253"/>
      <c r="H498" s="254"/>
      <c r="I498" s="463"/>
      <c r="J498" s="253"/>
      <c r="K498" s="254"/>
      <c r="L498" s="463"/>
      <c r="M498" s="253"/>
      <c r="N498" s="254"/>
      <c r="O498" s="463"/>
      <c r="P498" s="253"/>
      <c r="Q498" s="254"/>
      <c r="R498" s="463"/>
      <c r="S498" s="253"/>
      <c r="T498" s="254"/>
      <c r="U498" s="463"/>
      <c r="V498" s="253"/>
      <c r="W498" s="254"/>
      <c r="X498" s="463"/>
      <c r="Y498" s="9"/>
      <c r="Z498" s="9"/>
      <c r="AA498" s="9"/>
      <c r="AB498" s="9"/>
      <c r="AC498" s="234"/>
      <c r="AD498" s="234"/>
      <c r="AE498" s="234"/>
      <c r="AF498" s="234"/>
      <c r="AG498" s="9"/>
      <c r="AH498" s="9"/>
      <c r="AI498" s="9"/>
      <c r="AJ498" s="9"/>
      <c r="AK498" s="245"/>
      <c r="AL498" s="245"/>
      <c r="AM498" s="245"/>
      <c r="AN498" s="245"/>
      <c r="AO498" s="9"/>
      <c r="AP498" s="9"/>
      <c r="AQ498" s="9"/>
      <c r="AR498" s="9"/>
      <c r="AS498" s="9"/>
      <c r="AT498" s="9"/>
      <c r="AU498" s="9"/>
      <c r="AV498" s="9"/>
    </row>
    <row r="499">
      <c r="A499" s="253"/>
      <c r="B499" s="254"/>
      <c r="C499" s="463"/>
      <c r="D499" s="253"/>
      <c r="E499" s="254"/>
      <c r="F499" s="463"/>
      <c r="G499" s="253"/>
      <c r="H499" s="254"/>
      <c r="I499" s="463"/>
      <c r="J499" s="253"/>
      <c r="K499" s="254"/>
      <c r="L499" s="463"/>
      <c r="M499" s="253"/>
      <c r="N499" s="254"/>
      <c r="O499" s="463"/>
      <c r="P499" s="253"/>
      <c r="Q499" s="254"/>
      <c r="R499" s="463"/>
      <c r="S499" s="253"/>
      <c r="T499" s="254"/>
      <c r="U499" s="463"/>
      <c r="V499" s="253"/>
      <c r="W499" s="254"/>
      <c r="X499" s="463"/>
      <c r="Y499" s="9"/>
      <c r="Z499" s="9"/>
      <c r="AA499" s="9"/>
      <c r="AB499" s="9"/>
      <c r="AC499" s="234"/>
      <c r="AD499" s="234"/>
      <c r="AE499" s="234"/>
      <c r="AF499" s="234"/>
      <c r="AG499" s="9"/>
      <c r="AH499" s="9"/>
      <c r="AI499" s="9"/>
      <c r="AJ499" s="9"/>
      <c r="AK499" s="245"/>
      <c r="AL499" s="245"/>
      <c r="AM499" s="245"/>
      <c r="AN499" s="245"/>
      <c r="AO499" s="9"/>
      <c r="AP499" s="9"/>
      <c r="AQ499" s="9"/>
      <c r="AR499" s="9"/>
      <c r="AS499" s="9"/>
      <c r="AT499" s="9"/>
      <c r="AU499" s="9"/>
      <c r="AV499" s="9"/>
    </row>
    <row r="500">
      <c r="A500" s="253"/>
      <c r="B500" s="254"/>
      <c r="C500" s="463"/>
      <c r="D500" s="253"/>
      <c r="E500" s="254"/>
      <c r="F500" s="463"/>
      <c r="G500" s="253"/>
      <c r="H500" s="254"/>
      <c r="I500" s="463"/>
      <c r="J500" s="253"/>
      <c r="K500" s="254"/>
      <c r="L500" s="463"/>
      <c r="M500" s="253"/>
      <c r="N500" s="254"/>
      <c r="O500" s="463"/>
      <c r="P500" s="253"/>
      <c r="Q500" s="254"/>
      <c r="R500" s="463"/>
      <c r="S500" s="253"/>
      <c r="T500" s="254"/>
      <c r="U500" s="463"/>
      <c r="V500" s="253"/>
      <c r="W500" s="254"/>
      <c r="X500" s="463"/>
      <c r="Y500" s="9"/>
      <c r="Z500" s="9"/>
      <c r="AA500" s="9"/>
      <c r="AB500" s="9"/>
      <c r="AC500" s="234"/>
      <c r="AD500" s="234"/>
      <c r="AE500" s="234"/>
      <c r="AF500" s="234"/>
      <c r="AG500" s="9"/>
      <c r="AH500" s="9"/>
      <c r="AI500" s="9"/>
      <c r="AJ500" s="9"/>
      <c r="AK500" s="245"/>
      <c r="AL500" s="245"/>
      <c r="AM500" s="245"/>
      <c r="AN500" s="245"/>
      <c r="AO500" s="9"/>
      <c r="AP500" s="9"/>
      <c r="AQ500" s="9"/>
      <c r="AR500" s="9"/>
      <c r="AS500" s="9"/>
      <c r="AT500" s="9"/>
      <c r="AU500" s="9"/>
      <c r="AV500" s="9"/>
    </row>
    <row r="501">
      <c r="A501" s="253"/>
      <c r="B501" s="254"/>
      <c r="C501" s="463"/>
      <c r="D501" s="253"/>
      <c r="E501" s="254"/>
      <c r="F501" s="463"/>
      <c r="G501" s="253"/>
      <c r="H501" s="254"/>
      <c r="I501" s="463"/>
      <c r="J501" s="253"/>
      <c r="K501" s="254"/>
      <c r="L501" s="463"/>
      <c r="M501" s="253"/>
      <c r="N501" s="254"/>
      <c r="O501" s="463"/>
      <c r="P501" s="253"/>
      <c r="Q501" s="254"/>
      <c r="R501" s="463"/>
      <c r="S501" s="253"/>
      <c r="T501" s="254"/>
      <c r="U501" s="463"/>
      <c r="V501" s="253"/>
      <c r="W501" s="254"/>
      <c r="X501" s="463"/>
      <c r="Y501" s="9"/>
      <c r="Z501" s="9"/>
      <c r="AA501" s="9"/>
      <c r="AB501" s="9"/>
      <c r="AC501" s="234"/>
      <c r="AD501" s="234"/>
      <c r="AE501" s="234"/>
      <c r="AF501" s="234"/>
      <c r="AG501" s="9"/>
      <c r="AH501" s="9"/>
      <c r="AI501" s="9"/>
      <c r="AJ501" s="9"/>
      <c r="AK501" s="245"/>
      <c r="AL501" s="245"/>
      <c r="AM501" s="245"/>
      <c r="AN501" s="245"/>
      <c r="AO501" s="9"/>
      <c r="AP501" s="9"/>
      <c r="AQ501" s="9"/>
      <c r="AR501" s="9"/>
      <c r="AS501" s="9"/>
      <c r="AT501" s="9"/>
      <c r="AU501" s="9"/>
      <c r="AV501" s="9"/>
    </row>
    <row r="502">
      <c r="A502" s="253"/>
      <c r="B502" s="254"/>
      <c r="C502" s="463"/>
      <c r="D502" s="253"/>
      <c r="E502" s="254"/>
      <c r="F502" s="463"/>
      <c r="G502" s="253"/>
      <c r="H502" s="254"/>
      <c r="I502" s="463"/>
      <c r="J502" s="253"/>
      <c r="K502" s="254"/>
      <c r="L502" s="463"/>
      <c r="M502" s="253"/>
      <c r="N502" s="254"/>
      <c r="O502" s="463"/>
      <c r="P502" s="253"/>
      <c r="Q502" s="254"/>
      <c r="R502" s="463"/>
      <c r="S502" s="253"/>
      <c r="T502" s="254"/>
      <c r="U502" s="463"/>
      <c r="V502" s="253"/>
      <c r="W502" s="254"/>
      <c r="X502" s="463"/>
      <c r="Y502" s="9"/>
      <c r="Z502" s="9"/>
      <c r="AA502" s="9"/>
      <c r="AB502" s="9"/>
      <c r="AC502" s="234"/>
      <c r="AD502" s="234"/>
      <c r="AE502" s="234"/>
      <c r="AF502" s="234"/>
      <c r="AG502" s="9"/>
      <c r="AH502" s="9"/>
      <c r="AI502" s="9"/>
      <c r="AJ502" s="9"/>
      <c r="AK502" s="245"/>
      <c r="AL502" s="245"/>
      <c r="AM502" s="245"/>
      <c r="AN502" s="245"/>
      <c r="AO502" s="9"/>
      <c r="AP502" s="9"/>
      <c r="AQ502" s="9"/>
      <c r="AR502" s="9"/>
      <c r="AS502" s="9"/>
      <c r="AT502" s="9"/>
      <c r="AU502" s="9"/>
      <c r="AV502" s="9"/>
    </row>
    <row r="503">
      <c r="A503" s="253"/>
      <c r="B503" s="254"/>
      <c r="C503" s="463"/>
      <c r="D503" s="253"/>
      <c r="E503" s="254"/>
      <c r="F503" s="463"/>
      <c r="G503" s="253"/>
      <c r="H503" s="254"/>
      <c r="I503" s="463"/>
      <c r="J503" s="253"/>
      <c r="K503" s="254"/>
      <c r="L503" s="463"/>
      <c r="M503" s="253"/>
      <c r="N503" s="254"/>
      <c r="O503" s="463"/>
      <c r="P503" s="253"/>
      <c r="Q503" s="254"/>
      <c r="R503" s="463"/>
      <c r="S503" s="253"/>
      <c r="T503" s="254"/>
      <c r="U503" s="463"/>
      <c r="V503" s="253"/>
      <c r="W503" s="254"/>
      <c r="X503" s="463"/>
      <c r="Y503" s="9"/>
      <c r="Z503" s="9"/>
      <c r="AA503" s="9"/>
      <c r="AB503" s="9"/>
      <c r="AC503" s="234"/>
      <c r="AD503" s="234"/>
      <c r="AE503" s="234"/>
      <c r="AF503" s="234"/>
      <c r="AG503" s="9"/>
      <c r="AH503" s="9"/>
      <c r="AI503" s="9"/>
      <c r="AJ503" s="9"/>
      <c r="AK503" s="245"/>
      <c r="AL503" s="245"/>
      <c r="AM503" s="245"/>
      <c r="AN503" s="245"/>
      <c r="AO503" s="9"/>
      <c r="AP503" s="9"/>
      <c r="AQ503" s="9"/>
      <c r="AR503" s="9"/>
      <c r="AS503" s="9"/>
      <c r="AT503" s="9"/>
      <c r="AU503" s="9"/>
      <c r="AV503" s="9"/>
    </row>
    <row r="504">
      <c r="A504" s="253"/>
      <c r="B504" s="254"/>
      <c r="C504" s="463"/>
      <c r="D504" s="253"/>
      <c r="E504" s="254"/>
      <c r="F504" s="463"/>
      <c r="G504" s="253"/>
      <c r="H504" s="254"/>
      <c r="I504" s="463"/>
      <c r="J504" s="253"/>
      <c r="K504" s="254"/>
      <c r="L504" s="463"/>
      <c r="M504" s="253"/>
      <c r="N504" s="254"/>
      <c r="O504" s="463"/>
      <c r="P504" s="253"/>
      <c r="Q504" s="254"/>
      <c r="R504" s="463"/>
      <c r="S504" s="253"/>
      <c r="T504" s="254"/>
      <c r="U504" s="463"/>
      <c r="V504" s="253"/>
      <c r="W504" s="254"/>
      <c r="X504" s="463"/>
      <c r="Y504" s="9"/>
      <c r="Z504" s="9"/>
      <c r="AA504" s="9"/>
      <c r="AB504" s="9"/>
      <c r="AC504" s="234"/>
      <c r="AD504" s="234"/>
      <c r="AE504" s="234"/>
      <c r="AF504" s="234"/>
      <c r="AG504" s="9"/>
      <c r="AH504" s="9"/>
      <c r="AI504" s="9"/>
      <c r="AJ504" s="9"/>
      <c r="AK504" s="245"/>
      <c r="AL504" s="245"/>
      <c r="AM504" s="245"/>
      <c r="AN504" s="245"/>
      <c r="AO504" s="9"/>
      <c r="AP504" s="9"/>
      <c r="AQ504" s="9"/>
      <c r="AR504" s="9"/>
      <c r="AS504" s="9"/>
      <c r="AT504" s="9"/>
      <c r="AU504" s="9"/>
      <c r="AV504" s="9"/>
    </row>
    <row r="505">
      <c r="A505" s="253"/>
      <c r="B505" s="254"/>
      <c r="C505" s="463"/>
      <c r="D505" s="253"/>
      <c r="E505" s="254"/>
      <c r="F505" s="463"/>
      <c r="G505" s="253"/>
      <c r="H505" s="254"/>
      <c r="I505" s="463"/>
      <c r="J505" s="253"/>
      <c r="K505" s="254"/>
      <c r="L505" s="463"/>
      <c r="M505" s="253"/>
      <c r="N505" s="254"/>
      <c r="O505" s="463"/>
      <c r="P505" s="253"/>
      <c r="Q505" s="254"/>
      <c r="R505" s="463"/>
      <c r="S505" s="253"/>
      <c r="T505" s="254"/>
      <c r="U505" s="463"/>
      <c r="V505" s="253"/>
      <c r="W505" s="254"/>
      <c r="X505" s="463"/>
      <c r="Y505" s="9"/>
      <c r="Z505" s="9"/>
      <c r="AA505" s="9"/>
      <c r="AB505" s="9"/>
      <c r="AC505" s="234"/>
      <c r="AD505" s="234"/>
      <c r="AE505" s="234"/>
      <c r="AF505" s="234"/>
      <c r="AG505" s="9"/>
      <c r="AH505" s="9"/>
      <c r="AI505" s="9"/>
      <c r="AJ505" s="9"/>
      <c r="AK505" s="245"/>
      <c r="AL505" s="245"/>
      <c r="AM505" s="245"/>
      <c r="AN505" s="245"/>
      <c r="AO505" s="9"/>
      <c r="AP505" s="9"/>
      <c r="AQ505" s="9"/>
      <c r="AR505" s="9"/>
      <c r="AS505" s="9"/>
      <c r="AT505" s="9"/>
      <c r="AU505" s="9"/>
      <c r="AV505" s="9"/>
    </row>
    <row r="506">
      <c r="A506" s="253"/>
      <c r="B506" s="254"/>
      <c r="C506" s="463"/>
      <c r="D506" s="253"/>
      <c r="E506" s="254"/>
      <c r="F506" s="463"/>
      <c r="G506" s="253"/>
      <c r="H506" s="254"/>
      <c r="I506" s="463"/>
      <c r="J506" s="253"/>
      <c r="K506" s="254"/>
      <c r="L506" s="463"/>
      <c r="M506" s="253"/>
      <c r="N506" s="254"/>
      <c r="O506" s="463"/>
      <c r="P506" s="253"/>
      <c r="Q506" s="254"/>
      <c r="R506" s="463"/>
      <c r="S506" s="253"/>
      <c r="T506" s="254"/>
      <c r="U506" s="463"/>
      <c r="V506" s="253"/>
      <c r="W506" s="254"/>
      <c r="X506" s="463"/>
      <c r="Y506" s="9"/>
      <c r="Z506" s="9"/>
      <c r="AA506" s="9"/>
      <c r="AB506" s="9"/>
      <c r="AC506" s="234"/>
      <c r="AD506" s="234"/>
      <c r="AE506" s="234"/>
      <c r="AF506" s="234"/>
      <c r="AG506" s="9"/>
      <c r="AH506" s="9"/>
      <c r="AI506" s="9"/>
      <c r="AJ506" s="9"/>
      <c r="AK506" s="245"/>
      <c r="AL506" s="245"/>
      <c r="AM506" s="245"/>
      <c r="AN506" s="245"/>
      <c r="AO506" s="9"/>
      <c r="AP506" s="9"/>
      <c r="AQ506" s="9"/>
      <c r="AR506" s="9"/>
      <c r="AS506" s="9"/>
      <c r="AT506" s="9"/>
      <c r="AU506" s="9"/>
      <c r="AV506" s="9"/>
    </row>
    <row r="507">
      <c r="A507" s="253"/>
      <c r="B507" s="254"/>
      <c r="C507" s="463"/>
      <c r="D507" s="253"/>
      <c r="E507" s="254"/>
      <c r="F507" s="463"/>
      <c r="G507" s="253"/>
      <c r="H507" s="254"/>
      <c r="I507" s="463"/>
      <c r="J507" s="253"/>
      <c r="K507" s="254"/>
      <c r="L507" s="463"/>
      <c r="M507" s="253"/>
      <c r="N507" s="254"/>
      <c r="O507" s="463"/>
      <c r="P507" s="253"/>
      <c r="Q507" s="254"/>
      <c r="R507" s="463"/>
      <c r="S507" s="253"/>
      <c r="T507" s="254"/>
      <c r="U507" s="463"/>
      <c r="V507" s="253"/>
      <c r="W507" s="254"/>
      <c r="X507" s="463"/>
      <c r="Y507" s="9"/>
      <c r="Z507" s="9"/>
      <c r="AA507" s="9"/>
      <c r="AB507" s="9"/>
      <c r="AC507" s="234"/>
      <c r="AD507" s="234"/>
      <c r="AE507" s="234"/>
      <c r="AF507" s="234"/>
      <c r="AG507" s="9"/>
      <c r="AH507" s="9"/>
      <c r="AI507" s="9"/>
      <c r="AJ507" s="9"/>
      <c r="AK507" s="245"/>
      <c r="AL507" s="245"/>
      <c r="AM507" s="245"/>
      <c r="AN507" s="245"/>
      <c r="AO507" s="9"/>
      <c r="AP507" s="9"/>
      <c r="AQ507" s="9"/>
      <c r="AR507" s="9"/>
      <c r="AS507" s="9"/>
      <c r="AT507" s="9"/>
      <c r="AU507" s="9"/>
      <c r="AV507" s="9"/>
    </row>
    <row r="508">
      <c r="A508" s="253"/>
      <c r="B508" s="254"/>
      <c r="C508" s="463"/>
      <c r="D508" s="253"/>
      <c r="E508" s="254"/>
      <c r="F508" s="463"/>
      <c r="G508" s="253"/>
      <c r="H508" s="254"/>
      <c r="I508" s="463"/>
      <c r="J508" s="253"/>
      <c r="K508" s="254"/>
      <c r="L508" s="463"/>
      <c r="M508" s="253"/>
      <c r="N508" s="254"/>
      <c r="O508" s="463"/>
      <c r="P508" s="253"/>
      <c r="Q508" s="254"/>
      <c r="R508" s="463"/>
      <c r="S508" s="253"/>
      <c r="T508" s="254"/>
      <c r="U508" s="463"/>
      <c r="V508" s="253"/>
      <c r="W508" s="254"/>
      <c r="X508" s="463"/>
      <c r="Y508" s="9"/>
      <c r="Z508" s="9"/>
      <c r="AA508" s="9"/>
      <c r="AB508" s="9"/>
      <c r="AC508" s="234"/>
      <c r="AD508" s="234"/>
      <c r="AE508" s="234"/>
      <c r="AF508" s="234"/>
      <c r="AG508" s="9"/>
      <c r="AH508" s="9"/>
      <c r="AI508" s="9"/>
      <c r="AJ508" s="9"/>
      <c r="AK508" s="245"/>
      <c r="AL508" s="245"/>
      <c r="AM508" s="245"/>
      <c r="AN508" s="245"/>
      <c r="AO508" s="9"/>
      <c r="AP508" s="9"/>
      <c r="AQ508" s="9"/>
      <c r="AR508" s="9"/>
      <c r="AS508" s="9"/>
      <c r="AT508" s="9"/>
      <c r="AU508" s="9"/>
      <c r="AV508" s="9"/>
    </row>
    <row r="509">
      <c r="A509" s="253"/>
      <c r="B509" s="254"/>
      <c r="C509" s="463"/>
      <c r="D509" s="253"/>
      <c r="E509" s="254"/>
      <c r="F509" s="463"/>
      <c r="G509" s="253"/>
      <c r="H509" s="254"/>
      <c r="I509" s="463"/>
      <c r="J509" s="253"/>
      <c r="K509" s="254"/>
      <c r="L509" s="463"/>
      <c r="M509" s="253"/>
      <c r="N509" s="254"/>
      <c r="O509" s="463"/>
      <c r="P509" s="253"/>
      <c r="Q509" s="254"/>
      <c r="R509" s="463"/>
      <c r="S509" s="253"/>
      <c r="T509" s="254"/>
      <c r="U509" s="463"/>
      <c r="V509" s="253"/>
      <c r="W509" s="254"/>
      <c r="X509" s="463"/>
      <c r="Y509" s="9"/>
      <c r="Z509" s="9"/>
      <c r="AA509" s="9"/>
      <c r="AB509" s="9"/>
      <c r="AC509" s="234"/>
      <c r="AD509" s="234"/>
      <c r="AE509" s="234"/>
      <c r="AF509" s="234"/>
      <c r="AG509" s="9"/>
      <c r="AH509" s="9"/>
      <c r="AI509" s="9"/>
      <c r="AJ509" s="9"/>
      <c r="AK509" s="245"/>
      <c r="AL509" s="245"/>
      <c r="AM509" s="245"/>
      <c r="AN509" s="245"/>
      <c r="AO509" s="9"/>
      <c r="AP509" s="9"/>
      <c r="AQ509" s="9"/>
      <c r="AR509" s="9"/>
      <c r="AS509" s="9"/>
      <c r="AT509" s="9"/>
      <c r="AU509" s="9"/>
      <c r="AV509" s="9"/>
    </row>
    <row r="510">
      <c r="A510" s="253"/>
      <c r="B510" s="254"/>
      <c r="C510" s="463"/>
      <c r="D510" s="253"/>
      <c r="E510" s="254"/>
      <c r="F510" s="463"/>
      <c r="G510" s="253"/>
      <c r="H510" s="254"/>
      <c r="I510" s="463"/>
      <c r="J510" s="253"/>
      <c r="K510" s="254"/>
      <c r="L510" s="463"/>
      <c r="M510" s="253"/>
      <c r="N510" s="254"/>
      <c r="O510" s="463"/>
      <c r="P510" s="253"/>
      <c r="Q510" s="254"/>
      <c r="R510" s="463"/>
      <c r="S510" s="253"/>
      <c r="T510" s="254"/>
      <c r="U510" s="463"/>
      <c r="V510" s="253"/>
      <c r="W510" s="254"/>
      <c r="X510" s="463"/>
      <c r="Y510" s="9"/>
      <c r="Z510" s="9"/>
      <c r="AA510" s="9"/>
      <c r="AB510" s="9"/>
      <c r="AC510" s="234"/>
      <c r="AD510" s="234"/>
      <c r="AE510" s="234"/>
      <c r="AF510" s="234"/>
      <c r="AG510" s="9"/>
      <c r="AH510" s="9"/>
      <c r="AI510" s="9"/>
      <c r="AJ510" s="9"/>
      <c r="AK510" s="245"/>
      <c r="AL510" s="245"/>
      <c r="AM510" s="245"/>
      <c r="AN510" s="245"/>
      <c r="AO510" s="9"/>
      <c r="AP510" s="9"/>
      <c r="AQ510" s="9"/>
      <c r="AR510" s="9"/>
      <c r="AS510" s="9"/>
      <c r="AT510" s="9"/>
      <c r="AU510" s="9"/>
      <c r="AV510" s="9"/>
    </row>
    <row r="511">
      <c r="A511" s="253"/>
      <c r="B511" s="254"/>
      <c r="C511" s="463"/>
      <c r="D511" s="253"/>
      <c r="E511" s="254"/>
      <c r="F511" s="463"/>
      <c r="G511" s="253"/>
      <c r="H511" s="254"/>
      <c r="I511" s="463"/>
      <c r="J511" s="253"/>
      <c r="K511" s="254"/>
      <c r="L511" s="463"/>
      <c r="M511" s="253"/>
      <c r="N511" s="254"/>
      <c r="O511" s="463"/>
      <c r="P511" s="253"/>
      <c r="Q511" s="254"/>
      <c r="R511" s="463"/>
      <c r="S511" s="253"/>
      <c r="T511" s="254"/>
      <c r="U511" s="463"/>
      <c r="V511" s="253"/>
      <c r="W511" s="254"/>
      <c r="X511" s="463"/>
      <c r="Y511" s="9"/>
      <c r="Z511" s="9"/>
      <c r="AA511" s="9"/>
      <c r="AB511" s="9"/>
      <c r="AC511" s="234"/>
      <c r="AD511" s="234"/>
      <c r="AE511" s="234"/>
      <c r="AF511" s="234"/>
      <c r="AG511" s="9"/>
      <c r="AH511" s="9"/>
      <c r="AI511" s="9"/>
      <c r="AJ511" s="9"/>
      <c r="AK511" s="245"/>
      <c r="AL511" s="245"/>
      <c r="AM511" s="245"/>
      <c r="AN511" s="245"/>
      <c r="AO511" s="9"/>
      <c r="AP511" s="9"/>
      <c r="AQ511" s="9"/>
      <c r="AR511" s="9"/>
      <c r="AS511" s="9"/>
      <c r="AT511" s="9"/>
      <c r="AU511" s="9"/>
      <c r="AV511" s="9"/>
    </row>
    <row r="512">
      <c r="A512" s="253"/>
      <c r="B512" s="254"/>
      <c r="C512" s="463"/>
      <c r="D512" s="253"/>
      <c r="E512" s="254"/>
      <c r="F512" s="463"/>
      <c r="G512" s="253"/>
      <c r="H512" s="254"/>
      <c r="I512" s="463"/>
      <c r="J512" s="253"/>
      <c r="K512" s="254"/>
      <c r="L512" s="463"/>
      <c r="M512" s="253"/>
      <c r="N512" s="254"/>
      <c r="O512" s="463"/>
      <c r="P512" s="253"/>
      <c r="Q512" s="254"/>
      <c r="R512" s="463"/>
      <c r="S512" s="253"/>
      <c r="T512" s="254"/>
      <c r="U512" s="463"/>
      <c r="V512" s="253"/>
      <c r="W512" s="254"/>
      <c r="X512" s="463"/>
      <c r="Y512" s="9"/>
      <c r="Z512" s="9"/>
      <c r="AA512" s="9"/>
      <c r="AB512" s="9"/>
      <c r="AC512" s="234"/>
      <c r="AD512" s="234"/>
      <c r="AE512" s="234"/>
      <c r="AF512" s="234"/>
      <c r="AG512" s="9"/>
      <c r="AH512" s="9"/>
      <c r="AI512" s="9"/>
      <c r="AJ512" s="9"/>
      <c r="AK512" s="245"/>
      <c r="AL512" s="245"/>
      <c r="AM512" s="245"/>
      <c r="AN512" s="245"/>
      <c r="AO512" s="9"/>
      <c r="AP512" s="9"/>
      <c r="AQ512" s="9"/>
      <c r="AR512" s="9"/>
      <c r="AS512" s="9"/>
      <c r="AT512" s="9"/>
      <c r="AU512" s="9"/>
      <c r="AV512" s="9"/>
    </row>
    <row r="513">
      <c r="A513" s="253"/>
      <c r="B513" s="254"/>
      <c r="C513" s="463"/>
      <c r="D513" s="253"/>
      <c r="E513" s="254"/>
      <c r="F513" s="463"/>
      <c r="G513" s="253"/>
      <c r="H513" s="254"/>
      <c r="I513" s="463"/>
      <c r="J513" s="253"/>
      <c r="K513" s="254"/>
      <c r="L513" s="463"/>
      <c r="M513" s="253"/>
      <c r="N513" s="254"/>
      <c r="O513" s="463"/>
      <c r="P513" s="253"/>
      <c r="Q513" s="254"/>
      <c r="R513" s="463"/>
      <c r="S513" s="253"/>
      <c r="T513" s="254"/>
      <c r="U513" s="463"/>
      <c r="V513" s="253"/>
      <c r="W513" s="254"/>
      <c r="X513" s="463"/>
      <c r="Y513" s="9"/>
      <c r="Z513" s="9"/>
      <c r="AA513" s="9"/>
      <c r="AB513" s="9"/>
      <c r="AC513" s="234"/>
      <c r="AD513" s="234"/>
      <c r="AE513" s="234"/>
      <c r="AF513" s="234"/>
      <c r="AG513" s="9"/>
      <c r="AH513" s="9"/>
      <c r="AI513" s="9"/>
      <c r="AJ513" s="9"/>
      <c r="AK513" s="245"/>
      <c r="AL513" s="245"/>
      <c r="AM513" s="245"/>
      <c r="AN513" s="245"/>
      <c r="AO513" s="9"/>
      <c r="AP513" s="9"/>
      <c r="AQ513" s="9"/>
      <c r="AR513" s="9"/>
      <c r="AS513" s="9"/>
      <c r="AT513" s="9"/>
      <c r="AU513" s="9"/>
      <c r="AV513" s="9"/>
    </row>
    <row r="514">
      <c r="A514" s="253"/>
      <c r="B514" s="254"/>
      <c r="C514" s="463"/>
      <c r="D514" s="253"/>
      <c r="E514" s="254"/>
      <c r="F514" s="463"/>
      <c r="G514" s="253"/>
      <c r="H514" s="254"/>
      <c r="I514" s="463"/>
      <c r="J514" s="253"/>
      <c r="K514" s="254"/>
      <c r="L514" s="463"/>
      <c r="M514" s="253"/>
      <c r="N514" s="254"/>
      <c r="O514" s="463"/>
      <c r="P514" s="253"/>
      <c r="Q514" s="254"/>
      <c r="R514" s="463"/>
      <c r="S514" s="253"/>
      <c r="T514" s="254"/>
      <c r="U514" s="463"/>
      <c r="V514" s="253"/>
      <c r="W514" s="254"/>
      <c r="X514" s="463"/>
      <c r="Y514" s="9"/>
      <c r="Z514" s="9"/>
      <c r="AA514" s="9"/>
      <c r="AB514" s="9"/>
      <c r="AC514" s="234"/>
      <c r="AD514" s="234"/>
      <c r="AE514" s="234"/>
      <c r="AF514" s="234"/>
      <c r="AG514" s="9"/>
      <c r="AH514" s="9"/>
      <c r="AI514" s="9"/>
      <c r="AJ514" s="9"/>
      <c r="AK514" s="245"/>
      <c r="AL514" s="245"/>
      <c r="AM514" s="245"/>
      <c r="AN514" s="245"/>
      <c r="AO514" s="9"/>
      <c r="AP514" s="9"/>
      <c r="AQ514" s="9"/>
      <c r="AR514" s="9"/>
      <c r="AS514" s="9"/>
      <c r="AT514" s="9"/>
      <c r="AU514" s="9"/>
      <c r="AV514" s="9"/>
    </row>
    <row r="515">
      <c r="A515" s="253"/>
      <c r="B515" s="254"/>
      <c r="C515" s="463"/>
      <c r="D515" s="253"/>
      <c r="E515" s="254"/>
      <c r="F515" s="463"/>
      <c r="G515" s="253"/>
      <c r="H515" s="254"/>
      <c r="I515" s="463"/>
      <c r="J515" s="253"/>
      <c r="K515" s="254"/>
      <c r="L515" s="463"/>
      <c r="M515" s="253"/>
      <c r="N515" s="254"/>
      <c r="O515" s="463"/>
      <c r="P515" s="253"/>
      <c r="Q515" s="254"/>
      <c r="R515" s="463"/>
      <c r="S515" s="253"/>
      <c r="T515" s="254"/>
      <c r="U515" s="463"/>
      <c r="V515" s="253"/>
      <c r="W515" s="254"/>
      <c r="X515" s="463"/>
      <c r="Y515" s="9"/>
      <c r="Z515" s="9"/>
      <c r="AA515" s="9"/>
      <c r="AB515" s="9"/>
      <c r="AC515" s="234"/>
      <c r="AD515" s="234"/>
      <c r="AE515" s="234"/>
      <c r="AF515" s="234"/>
      <c r="AG515" s="9"/>
      <c r="AH515" s="9"/>
      <c r="AI515" s="9"/>
      <c r="AJ515" s="9"/>
      <c r="AK515" s="245"/>
      <c r="AL515" s="245"/>
      <c r="AM515" s="245"/>
      <c r="AN515" s="245"/>
      <c r="AO515" s="9"/>
      <c r="AP515" s="9"/>
      <c r="AQ515" s="9"/>
      <c r="AR515" s="9"/>
      <c r="AS515" s="9"/>
      <c r="AT515" s="9"/>
      <c r="AU515" s="9"/>
      <c r="AV515" s="9"/>
    </row>
    <row r="516">
      <c r="A516" s="253"/>
      <c r="B516" s="254"/>
      <c r="C516" s="463"/>
      <c r="D516" s="253"/>
      <c r="E516" s="254"/>
      <c r="F516" s="463"/>
      <c r="G516" s="253"/>
      <c r="H516" s="254"/>
      <c r="I516" s="463"/>
      <c r="J516" s="253"/>
      <c r="K516" s="254"/>
      <c r="L516" s="463"/>
      <c r="M516" s="253"/>
      <c r="N516" s="254"/>
      <c r="O516" s="463"/>
      <c r="P516" s="253"/>
      <c r="Q516" s="254"/>
      <c r="R516" s="463"/>
      <c r="S516" s="253"/>
      <c r="T516" s="254"/>
      <c r="U516" s="463"/>
      <c r="V516" s="253"/>
      <c r="W516" s="254"/>
      <c r="X516" s="463"/>
      <c r="Y516" s="9"/>
      <c r="Z516" s="9"/>
      <c r="AA516" s="9"/>
      <c r="AB516" s="9"/>
      <c r="AC516" s="234"/>
      <c r="AD516" s="234"/>
      <c r="AE516" s="234"/>
      <c r="AF516" s="234"/>
      <c r="AG516" s="9"/>
      <c r="AH516" s="9"/>
      <c r="AI516" s="9"/>
      <c r="AJ516" s="9"/>
      <c r="AK516" s="245"/>
      <c r="AL516" s="245"/>
      <c r="AM516" s="245"/>
      <c r="AN516" s="245"/>
      <c r="AO516" s="9"/>
      <c r="AP516" s="9"/>
      <c r="AQ516" s="9"/>
      <c r="AR516" s="9"/>
      <c r="AS516" s="9"/>
      <c r="AT516" s="9"/>
      <c r="AU516" s="9"/>
      <c r="AV516" s="9"/>
    </row>
    <row r="517">
      <c r="A517" s="253"/>
      <c r="B517" s="254"/>
      <c r="C517" s="463"/>
      <c r="D517" s="253"/>
      <c r="E517" s="254"/>
      <c r="F517" s="463"/>
      <c r="G517" s="253"/>
      <c r="H517" s="254"/>
      <c r="I517" s="463"/>
      <c r="J517" s="253"/>
      <c r="K517" s="254"/>
      <c r="L517" s="463"/>
      <c r="M517" s="253"/>
      <c r="N517" s="254"/>
      <c r="O517" s="463"/>
      <c r="P517" s="253"/>
      <c r="Q517" s="254"/>
      <c r="R517" s="463"/>
      <c r="S517" s="253"/>
      <c r="T517" s="254"/>
      <c r="U517" s="463"/>
      <c r="V517" s="253"/>
      <c r="W517" s="254"/>
      <c r="X517" s="463"/>
      <c r="Y517" s="9"/>
      <c r="Z517" s="9"/>
      <c r="AA517" s="9"/>
      <c r="AB517" s="9"/>
      <c r="AC517" s="234"/>
      <c r="AD517" s="234"/>
      <c r="AE517" s="234"/>
      <c r="AF517" s="234"/>
      <c r="AG517" s="9"/>
      <c r="AH517" s="9"/>
      <c r="AI517" s="9"/>
      <c r="AJ517" s="9"/>
      <c r="AK517" s="245"/>
      <c r="AL517" s="245"/>
      <c r="AM517" s="245"/>
      <c r="AN517" s="245"/>
      <c r="AO517" s="9"/>
      <c r="AP517" s="9"/>
      <c r="AQ517" s="9"/>
      <c r="AR517" s="9"/>
      <c r="AS517" s="9"/>
      <c r="AT517" s="9"/>
      <c r="AU517" s="9"/>
      <c r="AV517" s="9"/>
    </row>
    <row r="518">
      <c r="A518" s="253"/>
      <c r="B518" s="254"/>
      <c r="C518" s="463"/>
      <c r="D518" s="253"/>
      <c r="E518" s="254"/>
      <c r="F518" s="463"/>
      <c r="G518" s="253"/>
      <c r="H518" s="254"/>
      <c r="I518" s="463"/>
      <c r="J518" s="253"/>
      <c r="K518" s="254"/>
      <c r="L518" s="463"/>
      <c r="M518" s="253"/>
      <c r="N518" s="254"/>
      <c r="O518" s="463"/>
      <c r="P518" s="253"/>
      <c r="Q518" s="254"/>
      <c r="R518" s="463"/>
      <c r="S518" s="253"/>
      <c r="T518" s="254"/>
      <c r="U518" s="463"/>
      <c r="V518" s="253"/>
      <c r="W518" s="254"/>
      <c r="X518" s="463"/>
      <c r="Y518" s="9"/>
      <c r="Z518" s="9"/>
      <c r="AA518" s="9"/>
      <c r="AB518" s="9"/>
      <c r="AC518" s="234"/>
      <c r="AD518" s="234"/>
      <c r="AE518" s="234"/>
      <c r="AF518" s="234"/>
      <c r="AG518" s="9"/>
      <c r="AH518" s="9"/>
      <c r="AI518" s="9"/>
      <c r="AJ518" s="9"/>
      <c r="AK518" s="245"/>
      <c r="AL518" s="245"/>
      <c r="AM518" s="245"/>
      <c r="AN518" s="245"/>
      <c r="AO518" s="9"/>
      <c r="AP518" s="9"/>
      <c r="AQ518" s="9"/>
      <c r="AR518" s="9"/>
      <c r="AS518" s="9"/>
      <c r="AT518" s="9"/>
      <c r="AU518" s="9"/>
      <c r="AV518" s="9"/>
    </row>
    <row r="519">
      <c r="A519" s="253"/>
      <c r="B519" s="254"/>
      <c r="C519" s="463"/>
      <c r="D519" s="253"/>
      <c r="E519" s="254"/>
      <c r="F519" s="463"/>
      <c r="G519" s="253"/>
      <c r="H519" s="254"/>
      <c r="I519" s="463"/>
      <c r="J519" s="253"/>
      <c r="K519" s="254"/>
      <c r="L519" s="463"/>
      <c r="M519" s="253"/>
      <c r="N519" s="254"/>
      <c r="O519" s="463"/>
      <c r="P519" s="253"/>
      <c r="Q519" s="254"/>
      <c r="R519" s="463"/>
      <c r="S519" s="253"/>
      <c r="T519" s="254"/>
      <c r="U519" s="463"/>
      <c r="V519" s="253"/>
      <c r="W519" s="254"/>
      <c r="X519" s="463"/>
      <c r="Y519" s="9"/>
      <c r="Z519" s="9"/>
      <c r="AA519" s="9"/>
      <c r="AB519" s="9"/>
      <c r="AC519" s="234"/>
      <c r="AD519" s="234"/>
      <c r="AE519" s="234"/>
      <c r="AF519" s="234"/>
      <c r="AG519" s="9"/>
      <c r="AH519" s="9"/>
      <c r="AI519" s="9"/>
      <c r="AJ519" s="9"/>
      <c r="AK519" s="245"/>
      <c r="AL519" s="245"/>
      <c r="AM519" s="245"/>
      <c r="AN519" s="245"/>
      <c r="AO519" s="9"/>
      <c r="AP519" s="9"/>
      <c r="AQ519" s="9"/>
      <c r="AR519" s="9"/>
      <c r="AS519" s="9"/>
      <c r="AT519" s="9"/>
      <c r="AU519" s="9"/>
      <c r="AV519" s="9"/>
    </row>
    <row r="520">
      <c r="A520" s="253"/>
      <c r="B520" s="254"/>
      <c r="C520" s="463"/>
      <c r="D520" s="253"/>
      <c r="E520" s="254"/>
      <c r="F520" s="463"/>
      <c r="G520" s="253"/>
      <c r="H520" s="254"/>
      <c r="I520" s="463"/>
      <c r="J520" s="253"/>
      <c r="K520" s="254"/>
      <c r="L520" s="463"/>
      <c r="M520" s="253"/>
      <c r="N520" s="254"/>
      <c r="O520" s="463"/>
      <c r="P520" s="253"/>
      <c r="Q520" s="254"/>
      <c r="R520" s="463"/>
      <c r="S520" s="253"/>
      <c r="T520" s="254"/>
      <c r="U520" s="463"/>
      <c r="V520" s="253"/>
      <c r="W520" s="254"/>
      <c r="X520" s="463"/>
      <c r="Y520" s="9"/>
      <c r="Z520" s="9"/>
      <c r="AA520" s="9"/>
      <c r="AB520" s="9"/>
      <c r="AC520" s="234"/>
      <c r="AD520" s="234"/>
      <c r="AE520" s="234"/>
      <c r="AF520" s="234"/>
      <c r="AG520" s="9"/>
      <c r="AH520" s="9"/>
      <c r="AI520" s="9"/>
      <c r="AJ520" s="9"/>
      <c r="AK520" s="245"/>
      <c r="AL520" s="245"/>
      <c r="AM520" s="245"/>
      <c r="AN520" s="245"/>
      <c r="AO520" s="9"/>
      <c r="AP520" s="9"/>
      <c r="AQ520" s="9"/>
      <c r="AR520" s="9"/>
      <c r="AS520" s="9"/>
      <c r="AT520" s="9"/>
      <c r="AU520" s="9"/>
      <c r="AV520" s="9"/>
    </row>
    <row r="521">
      <c r="A521" s="253"/>
      <c r="B521" s="254"/>
      <c r="C521" s="463"/>
      <c r="D521" s="253"/>
      <c r="E521" s="254"/>
      <c r="F521" s="463"/>
      <c r="G521" s="253"/>
      <c r="H521" s="254"/>
      <c r="I521" s="463"/>
      <c r="J521" s="253"/>
      <c r="K521" s="254"/>
      <c r="L521" s="463"/>
      <c r="M521" s="253"/>
      <c r="N521" s="254"/>
      <c r="O521" s="463"/>
      <c r="P521" s="253"/>
      <c r="Q521" s="254"/>
      <c r="R521" s="463"/>
      <c r="S521" s="253"/>
      <c r="T521" s="254"/>
      <c r="U521" s="463"/>
      <c r="V521" s="253"/>
      <c r="W521" s="254"/>
      <c r="X521" s="463"/>
      <c r="Y521" s="9"/>
      <c r="Z521" s="9"/>
      <c r="AA521" s="9"/>
      <c r="AB521" s="9"/>
      <c r="AC521" s="234"/>
      <c r="AD521" s="234"/>
      <c r="AE521" s="234"/>
      <c r="AF521" s="234"/>
      <c r="AG521" s="9"/>
      <c r="AH521" s="9"/>
      <c r="AI521" s="9"/>
      <c r="AJ521" s="9"/>
      <c r="AK521" s="245"/>
      <c r="AL521" s="245"/>
      <c r="AM521" s="245"/>
      <c r="AN521" s="245"/>
      <c r="AO521" s="9"/>
      <c r="AP521" s="9"/>
      <c r="AQ521" s="9"/>
      <c r="AR521" s="9"/>
      <c r="AS521" s="9"/>
      <c r="AT521" s="9"/>
      <c r="AU521" s="9"/>
      <c r="AV521" s="9"/>
    </row>
    <row r="522">
      <c r="A522" s="253"/>
      <c r="B522" s="254"/>
      <c r="C522" s="463"/>
      <c r="D522" s="253"/>
      <c r="E522" s="254"/>
      <c r="F522" s="463"/>
      <c r="G522" s="253"/>
      <c r="H522" s="254"/>
      <c r="I522" s="463"/>
      <c r="J522" s="253"/>
      <c r="K522" s="254"/>
      <c r="L522" s="463"/>
      <c r="M522" s="253"/>
      <c r="N522" s="254"/>
      <c r="O522" s="463"/>
      <c r="P522" s="253"/>
      <c r="Q522" s="254"/>
      <c r="R522" s="463"/>
      <c r="S522" s="253"/>
      <c r="T522" s="254"/>
      <c r="U522" s="463"/>
      <c r="V522" s="253"/>
      <c r="W522" s="254"/>
      <c r="X522" s="463"/>
      <c r="Y522" s="9"/>
      <c r="Z522" s="9"/>
      <c r="AA522" s="9"/>
      <c r="AB522" s="9"/>
      <c r="AC522" s="234"/>
      <c r="AD522" s="234"/>
      <c r="AE522" s="234"/>
      <c r="AF522" s="234"/>
      <c r="AG522" s="9"/>
      <c r="AH522" s="9"/>
      <c r="AI522" s="9"/>
      <c r="AJ522" s="9"/>
      <c r="AK522" s="245"/>
      <c r="AL522" s="245"/>
      <c r="AM522" s="245"/>
      <c r="AN522" s="245"/>
      <c r="AO522" s="9"/>
      <c r="AP522" s="9"/>
      <c r="AQ522" s="9"/>
      <c r="AR522" s="9"/>
      <c r="AS522" s="9"/>
      <c r="AT522" s="9"/>
      <c r="AU522" s="9"/>
      <c r="AV522" s="9"/>
    </row>
    <row r="523">
      <c r="A523" s="253"/>
      <c r="B523" s="254"/>
      <c r="C523" s="463"/>
      <c r="D523" s="253"/>
      <c r="E523" s="254"/>
      <c r="F523" s="463"/>
      <c r="G523" s="253"/>
      <c r="H523" s="254"/>
      <c r="I523" s="463"/>
      <c r="J523" s="253"/>
      <c r="K523" s="254"/>
      <c r="L523" s="463"/>
      <c r="M523" s="253"/>
      <c r="N523" s="254"/>
      <c r="O523" s="463"/>
      <c r="P523" s="253"/>
      <c r="Q523" s="254"/>
      <c r="R523" s="463"/>
      <c r="S523" s="253"/>
      <c r="T523" s="254"/>
      <c r="U523" s="463"/>
      <c r="V523" s="253"/>
      <c r="W523" s="254"/>
      <c r="X523" s="463"/>
      <c r="Y523" s="9"/>
      <c r="Z523" s="9"/>
      <c r="AA523" s="9"/>
      <c r="AB523" s="9"/>
      <c r="AC523" s="234"/>
      <c r="AD523" s="234"/>
      <c r="AE523" s="234"/>
      <c r="AF523" s="234"/>
      <c r="AG523" s="9"/>
      <c r="AH523" s="9"/>
      <c r="AI523" s="9"/>
      <c r="AJ523" s="9"/>
      <c r="AK523" s="245"/>
      <c r="AL523" s="245"/>
      <c r="AM523" s="245"/>
      <c r="AN523" s="245"/>
      <c r="AO523" s="9"/>
      <c r="AP523" s="9"/>
      <c r="AQ523" s="9"/>
      <c r="AR523" s="9"/>
      <c r="AS523" s="9"/>
      <c r="AT523" s="9"/>
      <c r="AU523" s="9"/>
      <c r="AV523" s="9"/>
    </row>
    <row r="524">
      <c r="A524" s="253"/>
      <c r="B524" s="254"/>
      <c r="C524" s="463"/>
      <c r="D524" s="253"/>
      <c r="E524" s="254"/>
      <c r="F524" s="463"/>
      <c r="G524" s="253"/>
      <c r="H524" s="254"/>
      <c r="I524" s="463"/>
      <c r="J524" s="253"/>
      <c r="K524" s="254"/>
      <c r="L524" s="463"/>
      <c r="M524" s="253"/>
      <c r="N524" s="254"/>
      <c r="O524" s="463"/>
      <c r="P524" s="253"/>
      <c r="Q524" s="254"/>
      <c r="R524" s="463"/>
      <c r="S524" s="253"/>
      <c r="T524" s="254"/>
      <c r="U524" s="463"/>
      <c r="V524" s="253"/>
      <c r="W524" s="254"/>
      <c r="X524" s="463"/>
      <c r="Y524" s="9"/>
      <c r="Z524" s="9"/>
      <c r="AA524" s="9"/>
      <c r="AB524" s="9"/>
      <c r="AC524" s="234"/>
      <c r="AD524" s="234"/>
      <c r="AE524" s="234"/>
      <c r="AF524" s="234"/>
      <c r="AG524" s="9"/>
      <c r="AH524" s="9"/>
      <c r="AI524" s="9"/>
      <c r="AJ524" s="9"/>
      <c r="AK524" s="245"/>
      <c r="AL524" s="245"/>
      <c r="AM524" s="245"/>
      <c r="AN524" s="245"/>
      <c r="AO524" s="9"/>
      <c r="AP524" s="9"/>
      <c r="AQ524" s="9"/>
      <c r="AR524" s="9"/>
      <c r="AS524" s="9"/>
      <c r="AT524" s="9"/>
      <c r="AU524" s="9"/>
      <c r="AV524" s="9"/>
    </row>
    <row r="525">
      <c r="A525" s="253"/>
      <c r="B525" s="254"/>
      <c r="C525" s="463"/>
      <c r="D525" s="253"/>
      <c r="E525" s="254"/>
      <c r="F525" s="463"/>
      <c r="G525" s="253"/>
      <c r="H525" s="254"/>
      <c r="I525" s="463"/>
      <c r="J525" s="253"/>
      <c r="K525" s="254"/>
      <c r="L525" s="463"/>
      <c r="M525" s="253"/>
      <c r="N525" s="254"/>
      <c r="O525" s="463"/>
      <c r="P525" s="253"/>
      <c r="Q525" s="254"/>
      <c r="R525" s="463"/>
      <c r="S525" s="253"/>
      <c r="T525" s="254"/>
      <c r="U525" s="463"/>
      <c r="V525" s="253"/>
      <c r="W525" s="254"/>
      <c r="X525" s="463"/>
      <c r="Y525" s="9"/>
      <c r="Z525" s="9"/>
      <c r="AA525" s="9"/>
      <c r="AB525" s="9"/>
      <c r="AC525" s="234"/>
      <c r="AD525" s="234"/>
      <c r="AE525" s="234"/>
      <c r="AF525" s="234"/>
      <c r="AG525" s="9"/>
      <c r="AH525" s="9"/>
      <c r="AI525" s="9"/>
      <c r="AJ525" s="9"/>
      <c r="AK525" s="245"/>
      <c r="AL525" s="245"/>
      <c r="AM525" s="245"/>
      <c r="AN525" s="245"/>
      <c r="AO525" s="9"/>
      <c r="AP525" s="9"/>
      <c r="AQ525" s="9"/>
      <c r="AR525" s="9"/>
      <c r="AS525" s="9"/>
      <c r="AT525" s="9"/>
      <c r="AU525" s="9"/>
      <c r="AV525" s="9"/>
    </row>
    <row r="526">
      <c r="A526" s="253"/>
      <c r="B526" s="254"/>
      <c r="C526" s="463"/>
      <c r="D526" s="253"/>
      <c r="E526" s="254"/>
      <c r="F526" s="463"/>
      <c r="G526" s="253"/>
      <c r="H526" s="254"/>
      <c r="I526" s="463"/>
      <c r="J526" s="253"/>
      <c r="K526" s="254"/>
      <c r="L526" s="463"/>
      <c r="M526" s="253"/>
      <c r="N526" s="254"/>
      <c r="O526" s="463"/>
      <c r="P526" s="253"/>
      <c r="Q526" s="254"/>
      <c r="R526" s="463"/>
      <c r="S526" s="253"/>
      <c r="T526" s="254"/>
      <c r="U526" s="463"/>
      <c r="V526" s="253"/>
      <c r="W526" s="254"/>
      <c r="X526" s="463"/>
      <c r="Y526" s="9"/>
      <c r="Z526" s="9"/>
      <c r="AA526" s="9"/>
      <c r="AB526" s="9"/>
      <c r="AC526" s="234"/>
      <c r="AD526" s="234"/>
      <c r="AE526" s="234"/>
      <c r="AF526" s="234"/>
      <c r="AG526" s="9"/>
      <c r="AH526" s="9"/>
      <c r="AI526" s="9"/>
      <c r="AJ526" s="9"/>
      <c r="AK526" s="245"/>
      <c r="AL526" s="245"/>
      <c r="AM526" s="245"/>
      <c r="AN526" s="245"/>
      <c r="AO526" s="9"/>
      <c r="AP526" s="9"/>
      <c r="AQ526" s="9"/>
      <c r="AR526" s="9"/>
      <c r="AS526" s="9"/>
      <c r="AT526" s="9"/>
      <c r="AU526" s="9"/>
      <c r="AV526" s="9"/>
    </row>
    <row r="527">
      <c r="A527" s="253"/>
      <c r="B527" s="254"/>
      <c r="C527" s="463"/>
      <c r="D527" s="253"/>
      <c r="E527" s="254"/>
      <c r="F527" s="463"/>
      <c r="G527" s="253"/>
      <c r="H527" s="254"/>
      <c r="I527" s="463"/>
      <c r="J527" s="253"/>
      <c r="K527" s="254"/>
      <c r="L527" s="463"/>
      <c r="M527" s="253"/>
      <c r="N527" s="254"/>
      <c r="O527" s="463"/>
      <c r="P527" s="253"/>
      <c r="Q527" s="254"/>
      <c r="R527" s="463"/>
      <c r="S527" s="253"/>
      <c r="T527" s="254"/>
      <c r="U527" s="463"/>
      <c r="V527" s="253"/>
      <c r="W527" s="254"/>
      <c r="X527" s="463"/>
      <c r="Y527" s="9"/>
      <c r="Z527" s="9"/>
      <c r="AA527" s="9"/>
      <c r="AB527" s="9"/>
      <c r="AC527" s="234"/>
      <c r="AD527" s="234"/>
      <c r="AE527" s="234"/>
      <c r="AF527" s="234"/>
      <c r="AG527" s="9"/>
      <c r="AH527" s="9"/>
      <c r="AI527" s="9"/>
      <c r="AJ527" s="9"/>
      <c r="AK527" s="245"/>
      <c r="AL527" s="245"/>
      <c r="AM527" s="245"/>
      <c r="AN527" s="245"/>
      <c r="AO527" s="9"/>
      <c r="AP527" s="9"/>
      <c r="AQ527" s="9"/>
      <c r="AR527" s="9"/>
      <c r="AS527" s="9"/>
      <c r="AT527" s="9"/>
      <c r="AU527" s="9"/>
      <c r="AV527" s="9"/>
    </row>
    <row r="528">
      <c r="A528" s="253"/>
      <c r="B528" s="254"/>
      <c r="C528" s="463"/>
      <c r="D528" s="253"/>
      <c r="E528" s="254"/>
      <c r="F528" s="463"/>
      <c r="G528" s="253"/>
      <c r="H528" s="254"/>
      <c r="I528" s="463"/>
      <c r="J528" s="253"/>
      <c r="K528" s="254"/>
      <c r="L528" s="463"/>
      <c r="M528" s="253"/>
      <c r="N528" s="254"/>
      <c r="O528" s="463"/>
      <c r="P528" s="253"/>
      <c r="Q528" s="254"/>
      <c r="R528" s="463"/>
      <c r="S528" s="253"/>
      <c r="T528" s="254"/>
      <c r="U528" s="463"/>
      <c r="V528" s="253"/>
      <c r="W528" s="254"/>
      <c r="X528" s="463"/>
      <c r="Y528" s="9"/>
      <c r="Z528" s="9"/>
      <c r="AA528" s="9"/>
      <c r="AB528" s="9"/>
      <c r="AC528" s="234"/>
      <c r="AD528" s="234"/>
      <c r="AE528" s="234"/>
      <c r="AF528" s="234"/>
      <c r="AG528" s="9"/>
      <c r="AH528" s="9"/>
      <c r="AI528" s="9"/>
      <c r="AJ528" s="9"/>
      <c r="AK528" s="245"/>
      <c r="AL528" s="245"/>
      <c r="AM528" s="245"/>
      <c r="AN528" s="245"/>
      <c r="AO528" s="9"/>
      <c r="AP528" s="9"/>
      <c r="AQ528" s="9"/>
      <c r="AR528" s="9"/>
      <c r="AS528" s="9"/>
      <c r="AT528" s="9"/>
      <c r="AU528" s="9"/>
      <c r="AV528" s="9"/>
    </row>
    <row r="529">
      <c r="A529" s="253"/>
      <c r="B529" s="254"/>
      <c r="C529" s="463"/>
      <c r="D529" s="253"/>
      <c r="E529" s="254"/>
      <c r="F529" s="463"/>
      <c r="G529" s="253"/>
      <c r="H529" s="254"/>
      <c r="I529" s="463"/>
      <c r="J529" s="253"/>
      <c r="K529" s="254"/>
      <c r="L529" s="463"/>
      <c r="M529" s="253"/>
      <c r="N529" s="254"/>
      <c r="O529" s="463"/>
      <c r="P529" s="253"/>
      <c r="Q529" s="254"/>
      <c r="R529" s="463"/>
      <c r="S529" s="253"/>
      <c r="T529" s="254"/>
      <c r="U529" s="463"/>
      <c r="V529" s="253"/>
      <c r="W529" s="254"/>
      <c r="X529" s="463"/>
      <c r="Y529" s="9"/>
      <c r="Z529" s="9"/>
      <c r="AA529" s="9"/>
      <c r="AB529" s="9"/>
      <c r="AC529" s="234"/>
      <c r="AD529" s="234"/>
      <c r="AE529" s="234"/>
      <c r="AF529" s="234"/>
      <c r="AG529" s="9"/>
      <c r="AH529" s="9"/>
      <c r="AI529" s="9"/>
      <c r="AJ529" s="9"/>
      <c r="AK529" s="245"/>
      <c r="AL529" s="245"/>
      <c r="AM529" s="245"/>
      <c r="AN529" s="245"/>
      <c r="AO529" s="9"/>
      <c r="AP529" s="9"/>
      <c r="AQ529" s="9"/>
      <c r="AR529" s="9"/>
      <c r="AS529" s="9"/>
      <c r="AT529" s="9"/>
      <c r="AU529" s="9"/>
      <c r="AV529" s="9"/>
    </row>
    <row r="530">
      <c r="A530" s="253"/>
      <c r="B530" s="254"/>
      <c r="C530" s="463"/>
      <c r="D530" s="253"/>
      <c r="E530" s="254"/>
      <c r="F530" s="463"/>
      <c r="G530" s="253"/>
      <c r="H530" s="254"/>
      <c r="I530" s="463"/>
      <c r="J530" s="253"/>
      <c r="K530" s="254"/>
      <c r="L530" s="463"/>
      <c r="M530" s="253"/>
      <c r="N530" s="254"/>
      <c r="O530" s="463"/>
      <c r="P530" s="253"/>
      <c r="Q530" s="254"/>
      <c r="R530" s="463"/>
      <c r="S530" s="253"/>
      <c r="T530" s="254"/>
      <c r="U530" s="463"/>
      <c r="V530" s="253"/>
      <c r="W530" s="254"/>
      <c r="X530" s="463"/>
      <c r="Y530" s="9"/>
      <c r="Z530" s="9"/>
      <c r="AA530" s="9"/>
      <c r="AB530" s="9"/>
      <c r="AC530" s="234"/>
      <c r="AD530" s="234"/>
      <c r="AE530" s="234"/>
      <c r="AF530" s="234"/>
      <c r="AG530" s="9"/>
      <c r="AH530" s="9"/>
      <c r="AI530" s="9"/>
      <c r="AJ530" s="9"/>
      <c r="AK530" s="245"/>
      <c r="AL530" s="245"/>
      <c r="AM530" s="245"/>
      <c r="AN530" s="245"/>
      <c r="AO530" s="9"/>
      <c r="AP530" s="9"/>
      <c r="AQ530" s="9"/>
      <c r="AR530" s="9"/>
      <c r="AS530" s="9"/>
      <c r="AT530" s="9"/>
      <c r="AU530" s="9"/>
      <c r="AV530" s="9"/>
    </row>
    <row r="531">
      <c r="A531" s="253"/>
      <c r="B531" s="254"/>
      <c r="C531" s="463"/>
      <c r="D531" s="253"/>
      <c r="E531" s="254"/>
      <c r="F531" s="463"/>
      <c r="G531" s="253"/>
      <c r="H531" s="254"/>
      <c r="I531" s="463"/>
      <c r="J531" s="253"/>
      <c r="K531" s="254"/>
      <c r="L531" s="463"/>
      <c r="M531" s="253"/>
      <c r="N531" s="254"/>
      <c r="O531" s="463"/>
      <c r="P531" s="253"/>
      <c r="Q531" s="254"/>
      <c r="R531" s="463"/>
      <c r="S531" s="253"/>
      <c r="T531" s="254"/>
      <c r="U531" s="463"/>
      <c r="V531" s="253"/>
      <c r="W531" s="254"/>
      <c r="X531" s="463"/>
      <c r="Y531" s="9"/>
      <c r="Z531" s="9"/>
      <c r="AA531" s="9"/>
      <c r="AB531" s="9"/>
      <c r="AC531" s="234"/>
      <c r="AD531" s="234"/>
      <c r="AE531" s="234"/>
      <c r="AF531" s="234"/>
      <c r="AG531" s="9"/>
      <c r="AH531" s="9"/>
      <c r="AI531" s="9"/>
      <c r="AJ531" s="9"/>
      <c r="AK531" s="245"/>
      <c r="AL531" s="245"/>
      <c r="AM531" s="245"/>
      <c r="AN531" s="245"/>
      <c r="AO531" s="9"/>
      <c r="AP531" s="9"/>
      <c r="AQ531" s="9"/>
      <c r="AR531" s="9"/>
      <c r="AS531" s="9"/>
      <c r="AT531" s="9"/>
      <c r="AU531" s="9"/>
      <c r="AV531" s="9"/>
    </row>
    <row r="532">
      <c r="A532" s="253"/>
      <c r="B532" s="254"/>
      <c r="C532" s="463"/>
      <c r="D532" s="253"/>
      <c r="E532" s="254"/>
      <c r="F532" s="463"/>
      <c r="G532" s="253"/>
      <c r="H532" s="254"/>
      <c r="I532" s="463"/>
      <c r="J532" s="253"/>
      <c r="K532" s="254"/>
      <c r="L532" s="463"/>
      <c r="M532" s="253"/>
      <c r="N532" s="254"/>
      <c r="O532" s="463"/>
      <c r="P532" s="253"/>
      <c r="Q532" s="254"/>
      <c r="R532" s="463"/>
      <c r="S532" s="253"/>
      <c r="T532" s="254"/>
      <c r="U532" s="463"/>
      <c r="V532" s="253"/>
      <c r="W532" s="254"/>
      <c r="X532" s="463"/>
      <c r="Y532" s="9"/>
      <c r="Z532" s="9"/>
      <c r="AA532" s="9"/>
      <c r="AB532" s="9"/>
      <c r="AC532" s="234"/>
      <c r="AD532" s="234"/>
      <c r="AE532" s="234"/>
      <c r="AF532" s="234"/>
      <c r="AG532" s="9"/>
      <c r="AH532" s="9"/>
      <c r="AI532" s="9"/>
      <c r="AJ532" s="9"/>
      <c r="AK532" s="245"/>
      <c r="AL532" s="245"/>
      <c r="AM532" s="245"/>
      <c r="AN532" s="245"/>
      <c r="AO532" s="9"/>
      <c r="AP532" s="9"/>
      <c r="AQ532" s="9"/>
      <c r="AR532" s="9"/>
      <c r="AS532" s="9"/>
      <c r="AT532" s="9"/>
      <c r="AU532" s="9"/>
      <c r="AV532" s="9"/>
    </row>
    <row r="533">
      <c r="A533" s="253"/>
      <c r="B533" s="254"/>
      <c r="C533" s="463"/>
      <c r="D533" s="253"/>
      <c r="E533" s="254"/>
      <c r="F533" s="463"/>
      <c r="G533" s="253"/>
      <c r="H533" s="254"/>
      <c r="I533" s="463"/>
      <c r="J533" s="253"/>
      <c r="K533" s="254"/>
      <c r="L533" s="463"/>
      <c r="M533" s="253"/>
      <c r="N533" s="254"/>
      <c r="O533" s="463"/>
      <c r="P533" s="253"/>
      <c r="Q533" s="254"/>
      <c r="R533" s="463"/>
      <c r="S533" s="253"/>
      <c r="T533" s="254"/>
      <c r="U533" s="463"/>
      <c r="V533" s="253"/>
      <c r="W533" s="254"/>
      <c r="X533" s="463"/>
      <c r="Y533" s="9"/>
      <c r="Z533" s="9"/>
      <c r="AA533" s="9"/>
      <c r="AB533" s="9"/>
      <c r="AC533" s="234"/>
      <c r="AD533" s="234"/>
      <c r="AE533" s="234"/>
      <c r="AF533" s="234"/>
      <c r="AG533" s="9"/>
      <c r="AH533" s="9"/>
      <c r="AI533" s="9"/>
      <c r="AJ533" s="9"/>
      <c r="AK533" s="245"/>
      <c r="AL533" s="245"/>
      <c r="AM533" s="245"/>
      <c r="AN533" s="245"/>
      <c r="AO533" s="9"/>
      <c r="AP533" s="9"/>
      <c r="AQ533" s="9"/>
      <c r="AR533" s="9"/>
      <c r="AS533" s="9"/>
      <c r="AT533" s="9"/>
      <c r="AU533" s="9"/>
      <c r="AV533" s="9"/>
    </row>
    <row r="534">
      <c r="A534" s="253"/>
      <c r="B534" s="254"/>
      <c r="C534" s="463"/>
      <c r="D534" s="253"/>
      <c r="E534" s="254"/>
      <c r="F534" s="463"/>
      <c r="G534" s="253"/>
      <c r="H534" s="254"/>
      <c r="I534" s="463"/>
      <c r="J534" s="253"/>
      <c r="K534" s="254"/>
      <c r="L534" s="463"/>
      <c r="M534" s="253"/>
      <c r="N534" s="254"/>
      <c r="O534" s="463"/>
      <c r="P534" s="253"/>
      <c r="Q534" s="254"/>
      <c r="R534" s="463"/>
      <c r="S534" s="253"/>
      <c r="T534" s="254"/>
      <c r="U534" s="463"/>
      <c r="V534" s="253"/>
      <c r="W534" s="254"/>
      <c r="X534" s="463"/>
      <c r="Y534" s="9"/>
      <c r="Z534" s="9"/>
      <c r="AA534" s="9"/>
      <c r="AB534" s="9"/>
      <c r="AC534" s="234"/>
      <c r="AD534" s="234"/>
      <c r="AE534" s="234"/>
      <c r="AF534" s="234"/>
      <c r="AG534" s="9"/>
      <c r="AH534" s="9"/>
      <c r="AI534" s="9"/>
      <c r="AJ534" s="9"/>
      <c r="AK534" s="245"/>
      <c r="AL534" s="245"/>
      <c r="AM534" s="245"/>
      <c r="AN534" s="245"/>
      <c r="AO534" s="9"/>
      <c r="AP534" s="9"/>
      <c r="AQ534" s="9"/>
      <c r="AR534" s="9"/>
      <c r="AS534" s="9"/>
      <c r="AT534" s="9"/>
      <c r="AU534" s="9"/>
      <c r="AV534" s="9"/>
    </row>
    <row r="535">
      <c r="A535" s="253"/>
      <c r="B535" s="254"/>
      <c r="C535" s="463"/>
      <c r="D535" s="253"/>
      <c r="E535" s="254"/>
      <c r="F535" s="463"/>
      <c r="G535" s="253"/>
      <c r="H535" s="254"/>
      <c r="I535" s="463"/>
      <c r="J535" s="253"/>
      <c r="K535" s="254"/>
      <c r="L535" s="463"/>
      <c r="M535" s="253"/>
      <c r="N535" s="254"/>
      <c r="O535" s="463"/>
      <c r="P535" s="253"/>
      <c r="Q535" s="254"/>
      <c r="R535" s="463"/>
      <c r="S535" s="253"/>
      <c r="T535" s="254"/>
      <c r="U535" s="463"/>
      <c r="V535" s="253"/>
      <c r="W535" s="254"/>
      <c r="X535" s="463"/>
      <c r="Y535" s="9"/>
      <c r="Z535" s="9"/>
      <c r="AA535" s="9"/>
      <c r="AB535" s="9"/>
      <c r="AC535" s="234"/>
      <c r="AD535" s="234"/>
      <c r="AE535" s="234"/>
      <c r="AF535" s="234"/>
      <c r="AG535" s="9"/>
      <c r="AH535" s="9"/>
      <c r="AI535" s="9"/>
      <c r="AJ535" s="9"/>
      <c r="AK535" s="245"/>
      <c r="AL535" s="245"/>
      <c r="AM535" s="245"/>
      <c r="AN535" s="245"/>
      <c r="AO535" s="9"/>
      <c r="AP535" s="9"/>
      <c r="AQ535" s="9"/>
      <c r="AR535" s="9"/>
      <c r="AS535" s="9"/>
      <c r="AT535" s="9"/>
      <c r="AU535" s="9"/>
      <c r="AV535" s="9"/>
    </row>
    <row r="536">
      <c r="A536" s="253"/>
      <c r="B536" s="254"/>
      <c r="C536" s="463"/>
      <c r="D536" s="253"/>
      <c r="E536" s="254"/>
      <c r="F536" s="463"/>
      <c r="G536" s="253"/>
      <c r="H536" s="254"/>
      <c r="I536" s="463"/>
      <c r="J536" s="253"/>
      <c r="K536" s="254"/>
      <c r="L536" s="463"/>
      <c r="M536" s="253"/>
      <c r="N536" s="254"/>
      <c r="O536" s="463"/>
      <c r="P536" s="253"/>
      <c r="Q536" s="254"/>
      <c r="R536" s="463"/>
      <c r="S536" s="253"/>
      <c r="T536" s="254"/>
      <c r="U536" s="463"/>
      <c r="V536" s="253"/>
      <c r="W536" s="254"/>
      <c r="X536" s="463"/>
      <c r="Y536" s="9"/>
      <c r="Z536" s="9"/>
      <c r="AA536" s="9"/>
      <c r="AB536" s="9"/>
      <c r="AC536" s="234"/>
      <c r="AD536" s="234"/>
      <c r="AE536" s="234"/>
      <c r="AF536" s="234"/>
      <c r="AG536" s="9"/>
      <c r="AH536" s="9"/>
      <c r="AI536" s="9"/>
      <c r="AJ536" s="9"/>
      <c r="AK536" s="245"/>
      <c r="AL536" s="245"/>
      <c r="AM536" s="245"/>
      <c r="AN536" s="245"/>
      <c r="AO536" s="9"/>
      <c r="AP536" s="9"/>
      <c r="AQ536" s="9"/>
      <c r="AR536" s="9"/>
      <c r="AS536" s="9"/>
      <c r="AT536" s="9"/>
      <c r="AU536" s="9"/>
      <c r="AV536" s="9"/>
    </row>
    <row r="537">
      <c r="A537" s="253"/>
      <c r="B537" s="254"/>
      <c r="C537" s="463"/>
      <c r="D537" s="253"/>
      <c r="E537" s="254"/>
      <c r="F537" s="463"/>
      <c r="G537" s="253"/>
      <c r="H537" s="254"/>
      <c r="I537" s="463"/>
      <c r="J537" s="253"/>
      <c r="K537" s="254"/>
      <c r="L537" s="463"/>
      <c r="M537" s="253"/>
      <c r="N537" s="254"/>
      <c r="O537" s="463"/>
      <c r="P537" s="253"/>
      <c r="Q537" s="254"/>
      <c r="R537" s="463"/>
      <c r="S537" s="253"/>
      <c r="T537" s="254"/>
      <c r="U537" s="463"/>
      <c r="V537" s="253"/>
      <c r="W537" s="254"/>
      <c r="X537" s="463"/>
      <c r="Y537" s="9"/>
      <c r="Z537" s="9"/>
      <c r="AA537" s="9"/>
      <c r="AB537" s="9"/>
      <c r="AC537" s="234"/>
      <c r="AD537" s="234"/>
      <c r="AE537" s="234"/>
      <c r="AF537" s="234"/>
      <c r="AG537" s="9"/>
      <c r="AH537" s="9"/>
      <c r="AI537" s="9"/>
      <c r="AJ537" s="9"/>
      <c r="AK537" s="245"/>
      <c r="AL537" s="245"/>
      <c r="AM537" s="245"/>
      <c r="AN537" s="245"/>
      <c r="AO537" s="9"/>
      <c r="AP537" s="9"/>
      <c r="AQ537" s="9"/>
      <c r="AR537" s="9"/>
      <c r="AS537" s="9"/>
      <c r="AT537" s="9"/>
      <c r="AU537" s="9"/>
      <c r="AV537" s="9"/>
    </row>
    <row r="538">
      <c r="A538" s="253"/>
      <c r="B538" s="254"/>
      <c r="C538" s="463"/>
      <c r="D538" s="253"/>
      <c r="E538" s="254"/>
      <c r="F538" s="463"/>
      <c r="G538" s="253"/>
      <c r="H538" s="254"/>
      <c r="I538" s="463"/>
      <c r="J538" s="253"/>
      <c r="K538" s="254"/>
      <c r="L538" s="463"/>
      <c r="M538" s="253"/>
      <c r="N538" s="254"/>
      <c r="O538" s="463"/>
      <c r="P538" s="253"/>
      <c r="Q538" s="254"/>
      <c r="R538" s="463"/>
      <c r="S538" s="253"/>
      <c r="T538" s="254"/>
      <c r="U538" s="463"/>
      <c r="V538" s="253"/>
      <c r="W538" s="254"/>
      <c r="X538" s="463"/>
      <c r="Y538" s="9"/>
      <c r="Z538" s="9"/>
      <c r="AA538" s="9"/>
      <c r="AB538" s="9"/>
      <c r="AC538" s="234"/>
      <c r="AD538" s="234"/>
      <c r="AE538" s="234"/>
      <c r="AF538" s="234"/>
      <c r="AG538" s="9"/>
      <c r="AH538" s="9"/>
      <c r="AI538" s="9"/>
      <c r="AJ538" s="9"/>
      <c r="AK538" s="245"/>
      <c r="AL538" s="245"/>
      <c r="AM538" s="245"/>
      <c r="AN538" s="245"/>
      <c r="AO538" s="9"/>
      <c r="AP538" s="9"/>
      <c r="AQ538" s="9"/>
      <c r="AR538" s="9"/>
      <c r="AS538" s="9"/>
      <c r="AT538" s="9"/>
      <c r="AU538" s="9"/>
      <c r="AV538" s="9"/>
    </row>
    <row r="539">
      <c r="A539" s="253"/>
      <c r="B539" s="254"/>
      <c r="C539" s="463"/>
      <c r="D539" s="253"/>
      <c r="E539" s="254"/>
      <c r="F539" s="463"/>
      <c r="G539" s="253"/>
      <c r="H539" s="254"/>
      <c r="I539" s="463"/>
      <c r="J539" s="253"/>
      <c r="K539" s="254"/>
      <c r="L539" s="463"/>
      <c r="M539" s="253"/>
      <c r="N539" s="254"/>
      <c r="O539" s="463"/>
      <c r="P539" s="253"/>
      <c r="Q539" s="254"/>
      <c r="R539" s="463"/>
      <c r="S539" s="253"/>
      <c r="T539" s="254"/>
      <c r="U539" s="463"/>
      <c r="V539" s="253"/>
      <c r="W539" s="254"/>
      <c r="X539" s="463"/>
      <c r="Y539" s="9"/>
      <c r="Z539" s="9"/>
      <c r="AA539" s="9"/>
      <c r="AB539" s="9"/>
      <c r="AC539" s="234"/>
      <c r="AD539" s="234"/>
      <c r="AE539" s="234"/>
      <c r="AF539" s="234"/>
      <c r="AG539" s="9"/>
      <c r="AH539" s="9"/>
      <c r="AI539" s="9"/>
      <c r="AJ539" s="9"/>
      <c r="AK539" s="245"/>
      <c r="AL539" s="245"/>
      <c r="AM539" s="245"/>
      <c r="AN539" s="245"/>
      <c r="AO539" s="9"/>
      <c r="AP539" s="9"/>
      <c r="AQ539" s="9"/>
      <c r="AR539" s="9"/>
      <c r="AS539" s="9"/>
      <c r="AT539" s="9"/>
      <c r="AU539" s="9"/>
      <c r="AV539" s="9"/>
    </row>
    <row r="540">
      <c r="A540" s="253"/>
      <c r="B540" s="254"/>
      <c r="C540" s="463"/>
      <c r="D540" s="253"/>
      <c r="E540" s="254"/>
      <c r="F540" s="463"/>
      <c r="G540" s="253"/>
      <c r="H540" s="254"/>
      <c r="I540" s="463"/>
      <c r="J540" s="253"/>
      <c r="K540" s="254"/>
      <c r="L540" s="463"/>
      <c r="M540" s="253"/>
      <c r="N540" s="254"/>
      <c r="O540" s="463"/>
      <c r="P540" s="253"/>
      <c r="Q540" s="254"/>
      <c r="R540" s="463"/>
      <c r="S540" s="253"/>
      <c r="T540" s="254"/>
      <c r="U540" s="463"/>
      <c r="V540" s="253"/>
      <c r="W540" s="254"/>
      <c r="X540" s="463"/>
      <c r="Y540" s="9"/>
      <c r="Z540" s="9"/>
      <c r="AA540" s="9"/>
      <c r="AB540" s="9"/>
      <c r="AC540" s="234"/>
      <c r="AD540" s="234"/>
      <c r="AE540" s="234"/>
      <c r="AF540" s="234"/>
      <c r="AG540" s="9"/>
      <c r="AH540" s="9"/>
      <c r="AI540" s="9"/>
      <c r="AJ540" s="9"/>
      <c r="AK540" s="245"/>
      <c r="AL540" s="245"/>
      <c r="AM540" s="245"/>
      <c r="AN540" s="245"/>
      <c r="AO540" s="9"/>
      <c r="AP540" s="9"/>
      <c r="AQ540" s="9"/>
      <c r="AR540" s="9"/>
      <c r="AS540" s="9"/>
      <c r="AT540" s="9"/>
      <c r="AU540" s="9"/>
      <c r="AV540" s="9"/>
    </row>
    <row r="541">
      <c r="A541" s="253"/>
      <c r="B541" s="254"/>
      <c r="C541" s="463"/>
      <c r="D541" s="253"/>
      <c r="E541" s="254"/>
      <c r="F541" s="463"/>
      <c r="G541" s="253"/>
      <c r="H541" s="254"/>
      <c r="I541" s="463"/>
      <c r="J541" s="253"/>
      <c r="K541" s="254"/>
      <c r="L541" s="463"/>
      <c r="M541" s="253"/>
      <c r="N541" s="254"/>
      <c r="O541" s="463"/>
      <c r="P541" s="253"/>
      <c r="Q541" s="254"/>
      <c r="R541" s="463"/>
      <c r="S541" s="253"/>
      <c r="T541" s="254"/>
      <c r="U541" s="463"/>
      <c r="V541" s="253"/>
      <c r="W541" s="254"/>
      <c r="X541" s="463"/>
      <c r="Y541" s="9"/>
      <c r="Z541" s="9"/>
      <c r="AA541" s="9"/>
      <c r="AB541" s="9"/>
      <c r="AC541" s="234"/>
      <c r="AD541" s="234"/>
      <c r="AE541" s="234"/>
      <c r="AF541" s="234"/>
      <c r="AG541" s="9"/>
      <c r="AH541" s="9"/>
      <c r="AI541" s="9"/>
      <c r="AJ541" s="9"/>
      <c r="AK541" s="245"/>
      <c r="AL541" s="245"/>
      <c r="AM541" s="245"/>
      <c r="AN541" s="245"/>
      <c r="AO541" s="9"/>
      <c r="AP541" s="9"/>
      <c r="AQ541" s="9"/>
      <c r="AR541" s="9"/>
      <c r="AS541" s="9"/>
      <c r="AT541" s="9"/>
      <c r="AU541" s="9"/>
      <c r="AV541" s="9"/>
    </row>
    <row r="542">
      <c r="A542" s="253"/>
      <c r="B542" s="254"/>
      <c r="C542" s="463"/>
      <c r="D542" s="253"/>
      <c r="E542" s="254"/>
      <c r="F542" s="463"/>
      <c r="G542" s="253"/>
      <c r="H542" s="254"/>
      <c r="I542" s="463"/>
      <c r="J542" s="253"/>
      <c r="K542" s="254"/>
      <c r="L542" s="463"/>
      <c r="M542" s="253"/>
      <c r="N542" s="254"/>
      <c r="O542" s="463"/>
      <c r="P542" s="253"/>
      <c r="Q542" s="254"/>
      <c r="R542" s="463"/>
      <c r="S542" s="253"/>
      <c r="T542" s="254"/>
      <c r="U542" s="463"/>
      <c r="V542" s="253"/>
      <c r="W542" s="254"/>
      <c r="X542" s="463"/>
      <c r="Y542" s="9"/>
      <c r="Z542" s="9"/>
      <c r="AA542" s="9"/>
      <c r="AB542" s="9"/>
      <c r="AC542" s="234"/>
      <c r="AD542" s="234"/>
      <c r="AE542" s="234"/>
      <c r="AF542" s="234"/>
      <c r="AG542" s="9"/>
      <c r="AH542" s="9"/>
      <c r="AI542" s="9"/>
      <c r="AJ542" s="9"/>
      <c r="AK542" s="245"/>
      <c r="AL542" s="245"/>
      <c r="AM542" s="245"/>
      <c r="AN542" s="245"/>
      <c r="AO542" s="9"/>
      <c r="AP542" s="9"/>
      <c r="AQ542" s="9"/>
      <c r="AR542" s="9"/>
      <c r="AS542" s="9"/>
      <c r="AT542" s="9"/>
      <c r="AU542" s="9"/>
      <c r="AV542" s="9"/>
    </row>
    <row r="543">
      <c r="A543" s="253"/>
      <c r="B543" s="254"/>
      <c r="C543" s="463"/>
      <c r="D543" s="253"/>
      <c r="E543" s="254"/>
      <c r="F543" s="463"/>
      <c r="G543" s="253"/>
      <c r="H543" s="254"/>
      <c r="I543" s="463"/>
      <c r="J543" s="253"/>
      <c r="K543" s="254"/>
      <c r="L543" s="463"/>
      <c r="M543" s="253"/>
      <c r="N543" s="254"/>
      <c r="O543" s="463"/>
      <c r="P543" s="253"/>
      <c r="Q543" s="254"/>
      <c r="R543" s="463"/>
      <c r="S543" s="253"/>
      <c r="T543" s="254"/>
      <c r="U543" s="463"/>
      <c r="V543" s="253"/>
      <c r="W543" s="254"/>
      <c r="X543" s="463"/>
      <c r="Y543" s="9"/>
      <c r="Z543" s="9"/>
      <c r="AA543" s="9"/>
      <c r="AB543" s="9"/>
      <c r="AC543" s="234"/>
      <c r="AD543" s="234"/>
      <c r="AE543" s="234"/>
      <c r="AF543" s="234"/>
      <c r="AG543" s="9"/>
      <c r="AH543" s="9"/>
      <c r="AI543" s="9"/>
      <c r="AJ543" s="9"/>
      <c r="AK543" s="245"/>
      <c r="AL543" s="245"/>
      <c r="AM543" s="245"/>
      <c r="AN543" s="245"/>
      <c r="AO543" s="9"/>
      <c r="AP543" s="9"/>
      <c r="AQ543" s="9"/>
      <c r="AR543" s="9"/>
      <c r="AS543" s="9"/>
      <c r="AT543" s="9"/>
      <c r="AU543" s="9"/>
      <c r="AV543" s="9"/>
    </row>
    <row r="544">
      <c r="A544" s="253"/>
      <c r="B544" s="254"/>
      <c r="C544" s="463"/>
      <c r="D544" s="253"/>
      <c r="E544" s="254"/>
      <c r="F544" s="463"/>
      <c r="G544" s="253"/>
      <c r="H544" s="254"/>
      <c r="I544" s="463"/>
      <c r="J544" s="253"/>
      <c r="K544" s="254"/>
      <c r="L544" s="463"/>
      <c r="M544" s="253"/>
      <c r="N544" s="254"/>
      <c r="O544" s="463"/>
      <c r="P544" s="253"/>
      <c r="Q544" s="254"/>
      <c r="R544" s="463"/>
      <c r="S544" s="253"/>
      <c r="T544" s="254"/>
      <c r="U544" s="463"/>
      <c r="V544" s="253"/>
      <c r="W544" s="254"/>
      <c r="X544" s="463"/>
      <c r="Y544" s="9"/>
      <c r="Z544" s="9"/>
      <c r="AA544" s="9"/>
      <c r="AB544" s="9"/>
      <c r="AC544" s="234"/>
      <c r="AD544" s="234"/>
      <c r="AE544" s="234"/>
      <c r="AF544" s="234"/>
      <c r="AG544" s="9"/>
      <c r="AH544" s="9"/>
      <c r="AI544" s="9"/>
      <c r="AJ544" s="9"/>
      <c r="AK544" s="245"/>
      <c r="AL544" s="245"/>
      <c r="AM544" s="245"/>
      <c r="AN544" s="245"/>
      <c r="AO544" s="9"/>
      <c r="AP544" s="9"/>
      <c r="AQ544" s="9"/>
      <c r="AR544" s="9"/>
      <c r="AS544" s="9"/>
      <c r="AT544" s="9"/>
      <c r="AU544" s="9"/>
      <c r="AV544" s="9"/>
    </row>
    <row r="545">
      <c r="A545" s="253"/>
      <c r="B545" s="254"/>
      <c r="C545" s="463"/>
      <c r="D545" s="253"/>
      <c r="E545" s="254"/>
      <c r="F545" s="463"/>
      <c r="G545" s="253"/>
      <c r="H545" s="254"/>
      <c r="I545" s="463"/>
      <c r="J545" s="253"/>
      <c r="K545" s="254"/>
      <c r="L545" s="463"/>
      <c r="M545" s="253"/>
      <c r="N545" s="254"/>
      <c r="O545" s="463"/>
      <c r="P545" s="253"/>
      <c r="Q545" s="254"/>
      <c r="R545" s="463"/>
      <c r="S545" s="253"/>
      <c r="T545" s="254"/>
      <c r="U545" s="463"/>
      <c r="V545" s="253"/>
      <c r="W545" s="254"/>
      <c r="X545" s="463"/>
      <c r="Y545" s="9"/>
      <c r="Z545" s="9"/>
      <c r="AA545" s="9"/>
      <c r="AB545" s="9"/>
      <c r="AC545" s="234"/>
      <c r="AD545" s="234"/>
      <c r="AE545" s="234"/>
      <c r="AF545" s="234"/>
      <c r="AG545" s="9"/>
      <c r="AH545" s="9"/>
      <c r="AI545" s="9"/>
      <c r="AJ545" s="9"/>
      <c r="AK545" s="245"/>
      <c r="AL545" s="245"/>
      <c r="AM545" s="245"/>
      <c r="AN545" s="245"/>
      <c r="AO545" s="9"/>
      <c r="AP545" s="9"/>
      <c r="AQ545" s="9"/>
      <c r="AR545" s="9"/>
      <c r="AS545" s="9"/>
      <c r="AT545" s="9"/>
      <c r="AU545" s="9"/>
      <c r="AV545" s="9"/>
    </row>
    <row r="546">
      <c r="A546" s="253"/>
      <c r="B546" s="254"/>
      <c r="C546" s="463"/>
      <c r="D546" s="253"/>
      <c r="E546" s="254"/>
      <c r="F546" s="463"/>
      <c r="G546" s="253"/>
      <c r="H546" s="254"/>
      <c r="I546" s="463"/>
      <c r="J546" s="253"/>
      <c r="K546" s="254"/>
      <c r="L546" s="463"/>
      <c r="M546" s="253"/>
      <c r="N546" s="254"/>
      <c r="O546" s="463"/>
      <c r="P546" s="253"/>
      <c r="Q546" s="254"/>
      <c r="R546" s="463"/>
      <c r="S546" s="253"/>
      <c r="T546" s="254"/>
      <c r="U546" s="463"/>
      <c r="V546" s="253"/>
      <c r="W546" s="254"/>
      <c r="X546" s="463"/>
      <c r="Y546" s="9"/>
      <c r="Z546" s="9"/>
      <c r="AA546" s="9"/>
      <c r="AB546" s="9"/>
      <c r="AC546" s="234"/>
      <c r="AD546" s="234"/>
      <c r="AE546" s="234"/>
      <c r="AF546" s="234"/>
      <c r="AG546" s="9"/>
      <c r="AH546" s="9"/>
      <c r="AI546" s="9"/>
      <c r="AJ546" s="9"/>
      <c r="AK546" s="245"/>
      <c r="AL546" s="245"/>
      <c r="AM546" s="245"/>
      <c r="AN546" s="245"/>
      <c r="AO546" s="9"/>
      <c r="AP546" s="9"/>
      <c r="AQ546" s="9"/>
      <c r="AR546" s="9"/>
      <c r="AS546" s="9"/>
      <c r="AT546" s="9"/>
      <c r="AU546" s="9"/>
      <c r="AV546" s="9"/>
    </row>
    <row r="547">
      <c r="A547" s="253"/>
      <c r="B547" s="254"/>
      <c r="C547" s="463"/>
      <c r="D547" s="253"/>
      <c r="E547" s="254"/>
      <c r="F547" s="463"/>
      <c r="G547" s="253"/>
      <c r="H547" s="254"/>
      <c r="I547" s="463"/>
      <c r="J547" s="253"/>
      <c r="K547" s="254"/>
      <c r="L547" s="463"/>
      <c r="M547" s="253"/>
      <c r="N547" s="254"/>
      <c r="O547" s="463"/>
      <c r="P547" s="253"/>
      <c r="Q547" s="254"/>
      <c r="R547" s="463"/>
      <c r="S547" s="253"/>
      <c r="T547" s="254"/>
      <c r="U547" s="463"/>
      <c r="V547" s="253"/>
      <c r="W547" s="254"/>
      <c r="X547" s="463"/>
      <c r="Y547" s="9"/>
      <c r="Z547" s="9"/>
      <c r="AA547" s="9"/>
      <c r="AB547" s="9"/>
      <c r="AC547" s="234"/>
      <c r="AD547" s="234"/>
      <c r="AE547" s="234"/>
      <c r="AF547" s="234"/>
      <c r="AG547" s="9"/>
      <c r="AH547" s="9"/>
      <c r="AI547" s="9"/>
      <c r="AJ547" s="9"/>
      <c r="AK547" s="245"/>
      <c r="AL547" s="245"/>
      <c r="AM547" s="245"/>
      <c r="AN547" s="245"/>
      <c r="AO547" s="9"/>
      <c r="AP547" s="9"/>
      <c r="AQ547" s="9"/>
      <c r="AR547" s="9"/>
      <c r="AS547" s="9"/>
      <c r="AT547" s="9"/>
      <c r="AU547" s="9"/>
      <c r="AV547" s="9"/>
    </row>
    <row r="548">
      <c r="A548" s="253"/>
      <c r="B548" s="254"/>
      <c r="C548" s="463"/>
      <c r="D548" s="253"/>
      <c r="E548" s="254"/>
      <c r="F548" s="463"/>
      <c r="G548" s="253"/>
      <c r="H548" s="254"/>
      <c r="I548" s="463"/>
      <c r="J548" s="253"/>
      <c r="K548" s="254"/>
      <c r="L548" s="463"/>
      <c r="M548" s="253"/>
      <c r="N548" s="254"/>
      <c r="O548" s="463"/>
      <c r="P548" s="253"/>
      <c r="Q548" s="254"/>
      <c r="R548" s="463"/>
      <c r="S548" s="253"/>
      <c r="T548" s="254"/>
      <c r="U548" s="463"/>
      <c r="V548" s="253"/>
      <c r="W548" s="254"/>
      <c r="X548" s="463"/>
      <c r="Y548" s="9"/>
      <c r="Z548" s="9"/>
      <c r="AA548" s="9"/>
      <c r="AB548" s="9"/>
      <c r="AC548" s="234"/>
      <c r="AD548" s="234"/>
      <c r="AE548" s="234"/>
      <c r="AF548" s="234"/>
      <c r="AG548" s="9"/>
      <c r="AH548" s="9"/>
      <c r="AI548" s="9"/>
      <c r="AJ548" s="9"/>
      <c r="AK548" s="245"/>
      <c r="AL548" s="245"/>
      <c r="AM548" s="245"/>
      <c r="AN548" s="245"/>
      <c r="AO548" s="9"/>
      <c r="AP548" s="9"/>
      <c r="AQ548" s="9"/>
      <c r="AR548" s="9"/>
      <c r="AS548" s="9"/>
      <c r="AT548" s="9"/>
      <c r="AU548" s="9"/>
      <c r="AV548" s="9"/>
    </row>
    <row r="549">
      <c r="A549" s="253"/>
      <c r="B549" s="254"/>
      <c r="C549" s="463"/>
      <c r="D549" s="253"/>
      <c r="E549" s="254"/>
      <c r="F549" s="463"/>
      <c r="G549" s="253"/>
      <c r="H549" s="254"/>
      <c r="I549" s="463"/>
      <c r="J549" s="253"/>
      <c r="K549" s="254"/>
      <c r="L549" s="463"/>
      <c r="M549" s="253"/>
      <c r="N549" s="254"/>
      <c r="O549" s="463"/>
      <c r="P549" s="253"/>
      <c r="Q549" s="254"/>
      <c r="R549" s="463"/>
      <c r="S549" s="253"/>
      <c r="T549" s="254"/>
      <c r="U549" s="463"/>
      <c r="V549" s="253"/>
      <c r="W549" s="254"/>
      <c r="X549" s="463"/>
      <c r="Y549" s="9"/>
      <c r="Z549" s="9"/>
      <c r="AA549" s="9"/>
      <c r="AB549" s="9"/>
      <c r="AC549" s="234"/>
      <c r="AD549" s="234"/>
      <c r="AE549" s="234"/>
      <c r="AF549" s="234"/>
      <c r="AG549" s="9"/>
      <c r="AH549" s="9"/>
      <c r="AI549" s="9"/>
      <c r="AJ549" s="9"/>
      <c r="AK549" s="245"/>
      <c r="AL549" s="245"/>
      <c r="AM549" s="245"/>
      <c r="AN549" s="245"/>
      <c r="AO549" s="9"/>
      <c r="AP549" s="9"/>
      <c r="AQ549" s="9"/>
      <c r="AR549" s="9"/>
      <c r="AS549" s="9"/>
      <c r="AT549" s="9"/>
      <c r="AU549" s="9"/>
      <c r="AV549" s="9"/>
    </row>
    <row r="550">
      <c r="A550" s="253"/>
      <c r="B550" s="254"/>
      <c r="C550" s="463"/>
      <c r="D550" s="253"/>
      <c r="E550" s="254"/>
      <c r="F550" s="463"/>
      <c r="G550" s="253"/>
      <c r="H550" s="254"/>
      <c r="I550" s="463"/>
      <c r="J550" s="253"/>
      <c r="K550" s="254"/>
      <c r="L550" s="463"/>
      <c r="M550" s="253"/>
      <c r="N550" s="254"/>
      <c r="O550" s="463"/>
      <c r="P550" s="253"/>
      <c r="Q550" s="254"/>
      <c r="R550" s="463"/>
      <c r="S550" s="253"/>
      <c r="T550" s="254"/>
      <c r="U550" s="463"/>
      <c r="V550" s="253"/>
      <c r="W550" s="254"/>
      <c r="X550" s="463"/>
      <c r="Y550" s="9"/>
      <c r="Z550" s="9"/>
      <c r="AA550" s="9"/>
      <c r="AB550" s="9"/>
      <c r="AC550" s="234"/>
      <c r="AD550" s="234"/>
      <c r="AE550" s="234"/>
      <c r="AF550" s="234"/>
      <c r="AG550" s="9"/>
      <c r="AH550" s="9"/>
      <c r="AI550" s="9"/>
      <c r="AJ550" s="9"/>
      <c r="AK550" s="245"/>
      <c r="AL550" s="245"/>
      <c r="AM550" s="245"/>
      <c r="AN550" s="245"/>
      <c r="AO550" s="9"/>
      <c r="AP550" s="9"/>
      <c r="AQ550" s="9"/>
      <c r="AR550" s="9"/>
      <c r="AS550" s="9"/>
      <c r="AT550" s="9"/>
      <c r="AU550" s="9"/>
      <c r="AV550" s="9"/>
    </row>
    <row r="551">
      <c r="A551" s="253"/>
      <c r="B551" s="254"/>
      <c r="C551" s="463"/>
      <c r="D551" s="253"/>
      <c r="E551" s="254"/>
      <c r="F551" s="463"/>
      <c r="G551" s="253"/>
      <c r="H551" s="254"/>
      <c r="I551" s="463"/>
      <c r="J551" s="253"/>
      <c r="K551" s="254"/>
      <c r="L551" s="463"/>
      <c r="M551" s="253"/>
      <c r="N551" s="254"/>
      <c r="O551" s="463"/>
      <c r="P551" s="253"/>
      <c r="Q551" s="254"/>
      <c r="R551" s="463"/>
      <c r="S551" s="253"/>
      <c r="T551" s="254"/>
      <c r="U551" s="463"/>
      <c r="V551" s="253"/>
      <c r="W551" s="254"/>
      <c r="X551" s="463"/>
      <c r="Y551" s="9"/>
      <c r="Z551" s="9"/>
      <c r="AA551" s="9"/>
      <c r="AB551" s="9"/>
      <c r="AC551" s="234"/>
      <c r="AD551" s="234"/>
      <c r="AE551" s="234"/>
      <c r="AF551" s="234"/>
      <c r="AG551" s="9"/>
      <c r="AH551" s="9"/>
      <c r="AI551" s="9"/>
      <c r="AJ551" s="9"/>
      <c r="AK551" s="245"/>
      <c r="AL551" s="245"/>
      <c r="AM551" s="245"/>
      <c r="AN551" s="245"/>
      <c r="AO551" s="9"/>
      <c r="AP551" s="9"/>
      <c r="AQ551" s="9"/>
      <c r="AR551" s="9"/>
      <c r="AS551" s="9"/>
      <c r="AT551" s="9"/>
      <c r="AU551" s="9"/>
      <c r="AV551" s="9"/>
    </row>
    <row r="552">
      <c r="A552" s="253"/>
      <c r="B552" s="254"/>
      <c r="C552" s="463"/>
      <c r="D552" s="253"/>
      <c r="E552" s="254"/>
      <c r="F552" s="463"/>
      <c r="G552" s="253"/>
      <c r="H552" s="254"/>
      <c r="I552" s="463"/>
      <c r="J552" s="253"/>
      <c r="K552" s="254"/>
      <c r="L552" s="463"/>
      <c r="M552" s="253"/>
      <c r="N552" s="254"/>
      <c r="O552" s="463"/>
      <c r="P552" s="253"/>
      <c r="Q552" s="254"/>
      <c r="R552" s="463"/>
      <c r="S552" s="253"/>
      <c r="T552" s="254"/>
      <c r="U552" s="463"/>
      <c r="V552" s="253"/>
      <c r="W552" s="254"/>
      <c r="X552" s="463"/>
      <c r="Y552" s="9"/>
      <c r="Z552" s="9"/>
      <c r="AA552" s="9"/>
      <c r="AB552" s="9"/>
      <c r="AC552" s="234"/>
      <c r="AD552" s="234"/>
      <c r="AE552" s="234"/>
      <c r="AF552" s="234"/>
      <c r="AG552" s="9"/>
      <c r="AH552" s="9"/>
      <c r="AI552" s="9"/>
      <c r="AJ552" s="9"/>
      <c r="AK552" s="245"/>
      <c r="AL552" s="245"/>
      <c r="AM552" s="245"/>
      <c r="AN552" s="245"/>
      <c r="AO552" s="9"/>
      <c r="AP552" s="9"/>
      <c r="AQ552" s="9"/>
      <c r="AR552" s="9"/>
      <c r="AS552" s="9"/>
      <c r="AT552" s="9"/>
      <c r="AU552" s="9"/>
      <c r="AV552" s="9"/>
    </row>
    <row r="553">
      <c r="A553" s="253"/>
      <c r="B553" s="254"/>
      <c r="C553" s="463"/>
      <c r="D553" s="253"/>
      <c r="E553" s="254"/>
      <c r="F553" s="463"/>
      <c r="G553" s="253"/>
      <c r="H553" s="254"/>
      <c r="I553" s="463"/>
      <c r="J553" s="253"/>
      <c r="K553" s="254"/>
      <c r="L553" s="463"/>
      <c r="M553" s="253"/>
      <c r="N553" s="254"/>
      <c r="O553" s="463"/>
      <c r="P553" s="253"/>
      <c r="Q553" s="254"/>
      <c r="R553" s="463"/>
      <c r="S553" s="253"/>
      <c r="T553" s="254"/>
      <c r="U553" s="463"/>
      <c r="V553" s="253"/>
      <c r="W553" s="254"/>
      <c r="X553" s="463"/>
      <c r="Y553" s="9"/>
      <c r="Z553" s="9"/>
      <c r="AA553" s="9"/>
      <c r="AB553" s="9"/>
      <c r="AC553" s="234"/>
      <c r="AD553" s="234"/>
      <c r="AE553" s="234"/>
      <c r="AF553" s="234"/>
      <c r="AG553" s="9"/>
      <c r="AH553" s="9"/>
      <c r="AI553" s="9"/>
      <c r="AJ553" s="9"/>
      <c r="AK553" s="245"/>
      <c r="AL553" s="245"/>
      <c r="AM553" s="245"/>
      <c r="AN553" s="245"/>
      <c r="AO553" s="9"/>
      <c r="AP553" s="9"/>
      <c r="AQ553" s="9"/>
      <c r="AR553" s="9"/>
      <c r="AS553" s="9"/>
      <c r="AT553" s="9"/>
      <c r="AU553" s="9"/>
      <c r="AV553" s="9"/>
    </row>
    <row r="554">
      <c r="A554" s="253"/>
      <c r="B554" s="254"/>
      <c r="C554" s="463"/>
      <c r="D554" s="253"/>
      <c r="E554" s="254"/>
      <c r="F554" s="463"/>
      <c r="G554" s="253"/>
      <c r="H554" s="254"/>
      <c r="I554" s="463"/>
      <c r="J554" s="253"/>
      <c r="K554" s="254"/>
      <c r="L554" s="463"/>
      <c r="M554" s="253"/>
      <c r="N554" s="254"/>
      <c r="O554" s="463"/>
      <c r="P554" s="253"/>
      <c r="Q554" s="254"/>
      <c r="R554" s="463"/>
      <c r="S554" s="253"/>
      <c r="T554" s="254"/>
      <c r="U554" s="463"/>
      <c r="V554" s="253"/>
      <c r="W554" s="254"/>
      <c r="X554" s="463"/>
      <c r="Y554" s="9"/>
      <c r="Z554" s="9"/>
      <c r="AA554" s="9"/>
      <c r="AB554" s="9"/>
      <c r="AC554" s="234"/>
      <c r="AD554" s="234"/>
      <c r="AE554" s="234"/>
      <c r="AF554" s="234"/>
      <c r="AG554" s="9"/>
      <c r="AH554" s="9"/>
      <c r="AI554" s="9"/>
      <c r="AJ554" s="9"/>
      <c r="AK554" s="245"/>
      <c r="AL554" s="245"/>
      <c r="AM554" s="245"/>
      <c r="AN554" s="245"/>
      <c r="AO554" s="9"/>
      <c r="AP554" s="9"/>
      <c r="AQ554" s="9"/>
      <c r="AR554" s="9"/>
      <c r="AS554" s="9"/>
      <c r="AT554" s="9"/>
      <c r="AU554" s="9"/>
      <c r="AV554" s="9"/>
    </row>
    <row r="555">
      <c r="A555" s="253"/>
      <c r="B555" s="254"/>
      <c r="C555" s="463"/>
      <c r="D555" s="253"/>
      <c r="E555" s="254"/>
      <c r="F555" s="463"/>
      <c r="G555" s="253"/>
      <c r="H555" s="254"/>
      <c r="I555" s="463"/>
      <c r="J555" s="253"/>
      <c r="K555" s="254"/>
      <c r="L555" s="463"/>
      <c r="M555" s="253"/>
      <c r="N555" s="254"/>
      <c r="O555" s="463"/>
      <c r="P555" s="253"/>
      <c r="Q555" s="254"/>
      <c r="R555" s="463"/>
      <c r="S555" s="253"/>
      <c r="T555" s="254"/>
      <c r="U555" s="463"/>
      <c r="V555" s="253"/>
      <c r="W555" s="254"/>
      <c r="X555" s="463"/>
      <c r="Y555" s="9"/>
      <c r="Z555" s="9"/>
      <c r="AA555" s="9"/>
      <c r="AB555" s="9"/>
      <c r="AC555" s="234"/>
      <c r="AD555" s="234"/>
      <c r="AE555" s="234"/>
      <c r="AF555" s="234"/>
      <c r="AG555" s="9"/>
      <c r="AH555" s="9"/>
      <c r="AI555" s="9"/>
      <c r="AJ555" s="9"/>
      <c r="AK555" s="245"/>
      <c r="AL555" s="245"/>
      <c r="AM555" s="245"/>
      <c r="AN555" s="245"/>
      <c r="AO555" s="9"/>
      <c r="AP555" s="9"/>
      <c r="AQ555" s="9"/>
      <c r="AR555" s="9"/>
      <c r="AS555" s="9"/>
      <c r="AT555" s="9"/>
      <c r="AU555" s="9"/>
      <c r="AV555" s="9"/>
    </row>
    <row r="556">
      <c r="A556" s="253"/>
      <c r="B556" s="254"/>
      <c r="C556" s="463"/>
      <c r="D556" s="253"/>
      <c r="E556" s="254"/>
      <c r="F556" s="463"/>
      <c r="G556" s="253"/>
      <c r="H556" s="254"/>
      <c r="I556" s="463"/>
      <c r="J556" s="253"/>
      <c r="K556" s="254"/>
      <c r="L556" s="463"/>
      <c r="M556" s="253"/>
      <c r="N556" s="254"/>
      <c r="O556" s="463"/>
      <c r="P556" s="253"/>
      <c r="Q556" s="254"/>
      <c r="R556" s="463"/>
      <c r="S556" s="253"/>
      <c r="T556" s="254"/>
      <c r="U556" s="463"/>
      <c r="V556" s="253"/>
      <c r="W556" s="254"/>
      <c r="X556" s="463"/>
      <c r="Y556" s="9"/>
      <c r="Z556" s="9"/>
      <c r="AA556" s="9"/>
      <c r="AB556" s="9"/>
      <c r="AC556" s="234"/>
      <c r="AD556" s="234"/>
      <c r="AE556" s="234"/>
      <c r="AF556" s="234"/>
      <c r="AG556" s="9"/>
      <c r="AH556" s="9"/>
      <c r="AI556" s="9"/>
      <c r="AJ556" s="9"/>
      <c r="AK556" s="245"/>
      <c r="AL556" s="245"/>
      <c r="AM556" s="245"/>
      <c r="AN556" s="245"/>
      <c r="AO556" s="9"/>
      <c r="AP556" s="9"/>
      <c r="AQ556" s="9"/>
      <c r="AR556" s="9"/>
      <c r="AS556" s="9"/>
      <c r="AT556" s="9"/>
      <c r="AU556" s="9"/>
      <c r="AV556" s="9"/>
    </row>
    <row r="557">
      <c r="A557" s="253"/>
      <c r="B557" s="254"/>
      <c r="C557" s="463"/>
      <c r="D557" s="253"/>
      <c r="E557" s="254"/>
      <c r="F557" s="463"/>
      <c r="G557" s="253"/>
      <c r="H557" s="254"/>
      <c r="I557" s="463"/>
      <c r="J557" s="253"/>
      <c r="K557" s="254"/>
      <c r="L557" s="463"/>
      <c r="M557" s="253"/>
      <c r="N557" s="254"/>
      <c r="O557" s="463"/>
      <c r="P557" s="253"/>
      <c r="Q557" s="254"/>
      <c r="R557" s="463"/>
      <c r="S557" s="253"/>
      <c r="T557" s="254"/>
      <c r="U557" s="463"/>
      <c r="V557" s="253"/>
      <c r="W557" s="254"/>
      <c r="X557" s="463"/>
      <c r="Y557" s="9"/>
      <c r="Z557" s="9"/>
      <c r="AA557" s="9"/>
      <c r="AB557" s="9"/>
      <c r="AC557" s="234"/>
      <c r="AD557" s="234"/>
      <c r="AE557" s="234"/>
      <c r="AF557" s="234"/>
      <c r="AG557" s="9"/>
      <c r="AH557" s="9"/>
      <c r="AI557" s="9"/>
      <c r="AJ557" s="9"/>
      <c r="AK557" s="245"/>
      <c r="AL557" s="245"/>
      <c r="AM557" s="245"/>
      <c r="AN557" s="245"/>
      <c r="AO557" s="9"/>
      <c r="AP557" s="9"/>
      <c r="AQ557" s="9"/>
      <c r="AR557" s="9"/>
      <c r="AS557" s="9"/>
      <c r="AT557" s="9"/>
      <c r="AU557" s="9"/>
      <c r="AV557" s="9"/>
    </row>
    <row r="558">
      <c r="A558" s="253"/>
      <c r="B558" s="254"/>
      <c r="C558" s="463"/>
      <c r="D558" s="253"/>
      <c r="E558" s="254"/>
      <c r="F558" s="463"/>
      <c r="G558" s="253"/>
      <c r="H558" s="254"/>
      <c r="I558" s="463"/>
      <c r="J558" s="253"/>
      <c r="K558" s="254"/>
      <c r="L558" s="463"/>
      <c r="M558" s="253"/>
      <c r="N558" s="254"/>
      <c r="O558" s="463"/>
      <c r="P558" s="253"/>
      <c r="Q558" s="254"/>
      <c r="R558" s="463"/>
      <c r="S558" s="253"/>
      <c r="T558" s="254"/>
      <c r="U558" s="463"/>
      <c r="V558" s="253"/>
      <c r="W558" s="254"/>
      <c r="X558" s="463"/>
      <c r="Y558" s="9"/>
      <c r="Z558" s="9"/>
      <c r="AA558" s="9"/>
      <c r="AB558" s="9"/>
      <c r="AC558" s="234"/>
      <c r="AD558" s="234"/>
      <c r="AE558" s="234"/>
      <c r="AF558" s="234"/>
      <c r="AG558" s="9"/>
      <c r="AH558" s="9"/>
      <c r="AI558" s="9"/>
      <c r="AJ558" s="9"/>
      <c r="AK558" s="245"/>
      <c r="AL558" s="245"/>
      <c r="AM558" s="245"/>
      <c r="AN558" s="245"/>
      <c r="AO558" s="9"/>
      <c r="AP558" s="9"/>
      <c r="AQ558" s="9"/>
      <c r="AR558" s="9"/>
      <c r="AS558" s="9"/>
      <c r="AT558" s="9"/>
      <c r="AU558" s="9"/>
      <c r="AV558" s="9"/>
    </row>
    <row r="559">
      <c r="A559" s="253"/>
      <c r="B559" s="254"/>
      <c r="C559" s="463"/>
      <c r="D559" s="253"/>
      <c r="E559" s="254"/>
      <c r="F559" s="463"/>
      <c r="G559" s="253"/>
      <c r="H559" s="254"/>
      <c r="I559" s="463"/>
      <c r="J559" s="253"/>
      <c r="K559" s="254"/>
      <c r="L559" s="463"/>
      <c r="M559" s="253"/>
      <c r="N559" s="254"/>
      <c r="O559" s="463"/>
      <c r="P559" s="253"/>
      <c r="Q559" s="254"/>
      <c r="R559" s="463"/>
      <c r="S559" s="253"/>
      <c r="T559" s="254"/>
      <c r="U559" s="463"/>
      <c r="V559" s="253"/>
      <c r="W559" s="254"/>
      <c r="X559" s="463"/>
      <c r="Y559" s="9"/>
      <c r="Z559" s="9"/>
      <c r="AA559" s="9"/>
      <c r="AB559" s="9"/>
      <c r="AC559" s="234"/>
      <c r="AD559" s="234"/>
      <c r="AE559" s="234"/>
      <c r="AF559" s="234"/>
      <c r="AG559" s="9"/>
      <c r="AH559" s="9"/>
      <c r="AI559" s="9"/>
      <c r="AJ559" s="9"/>
      <c r="AK559" s="245"/>
      <c r="AL559" s="245"/>
      <c r="AM559" s="245"/>
      <c r="AN559" s="245"/>
      <c r="AO559" s="9"/>
      <c r="AP559" s="9"/>
      <c r="AQ559" s="9"/>
      <c r="AR559" s="9"/>
      <c r="AS559" s="9"/>
      <c r="AT559" s="9"/>
      <c r="AU559" s="9"/>
      <c r="AV559" s="9"/>
    </row>
    <row r="560">
      <c r="A560" s="253"/>
      <c r="B560" s="254"/>
      <c r="C560" s="463"/>
      <c r="D560" s="253"/>
      <c r="E560" s="254"/>
      <c r="F560" s="463"/>
      <c r="G560" s="253"/>
      <c r="H560" s="254"/>
      <c r="I560" s="463"/>
      <c r="J560" s="253"/>
      <c r="K560" s="254"/>
      <c r="L560" s="463"/>
      <c r="M560" s="253"/>
      <c r="N560" s="254"/>
      <c r="O560" s="463"/>
      <c r="P560" s="253"/>
      <c r="Q560" s="254"/>
      <c r="R560" s="463"/>
      <c r="S560" s="253"/>
      <c r="T560" s="254"/>
      <c r="U560" s="463"/>
      <c r="V560" s="253"/>
      <c r="W560" s="254"/>
      <c r="X560" s="463"/>
      <c r="Y560" s="9"/>
      <c r="Z560" s="9"/>
      <c r="AA560" s="9"/>
      <c r="AB560" s="9"/>
      <c r="AC560" s="234"/>
      <c r="AD560" s="234"/>
      <c r="AE560" s="234"/>
      <c r="AF560" s="234"/>
      <c r="AG560" s="9"/>
      <c r="AH560" s="9"/>
      <c r="AI560" s="9"/>
      <c r="AJ560" s="9"/>
      <c r="AK560" s="245"/>
      <c r="AL560" s="245"/>
      <c r="AM560" s="245"/>
      <c r="AN560" s="245"/>
      <c r="AO560" s="9"/>
      <c r="AP560" s="9"/>
      <c r="AQ560" s="9"/>
      <c r="AR560" s="9"/>
      <c r="AS560" s="9"/>
      <c r="AT560" s="9"/>
      <c r="AU560" s="9"/>
      <c r="AV560" s="9"/>
    </row>
    <row r="561">
      <c r="A561" s="253"/>
      <c r="B561" s="254"/>
      <c r="C561" s="463"/>
      <c r="D561" s="253"/>
      <c r="E561" s="254"/>
      <c r="F561" s="463"/>
      <c r="G561" s="253"/>
      <c r="H561" s="254"/>
      <c r="I561" s="463"/>
      <c r="J561" s="253"/>
      <c r="K561" s="254"/>
      <c r="L561" s="463"/>
      <c r="M561" s="253"/>
      <c r="N561" s="254"/>
      <c r="O561" s="463"/>
      <c r="P561" s="253"/>
      <c r="Q561" s="254"/>
      <c r="R561" s="463"/>
      <c r="S561" s="253"/>
      <c r="T561" s="254"/>
      <c r="U561" s="463"/>
      <c r="V561" s="253"/>
      <c r="W561" s="254"/>
      <c r="X561" s="463"/>
      <c r="Y561" s="9"/>
      <c r="Z561" s="9"/>
      <c r="AA561" s="9"/>
      <c r="AB561" s="9"/>
      <c r="AC561" s="234"/>
      <c r="AD561" s="234"/>
      <c r="AE561" s="234"/>
      <c r="AF561" s="234"/>
      <c r="AG561" s="9"/>
      <c r="AH561" s="9"/>
      <c r="AI561" s="9"/>
      <c r="AJ561" s="9"/>
      <c r="AK561" s="245"/>
      <c r="AL561" s="245"/>
      <c r="AM561" s="245"/>
      <c r="AN561" s="245"/>
      <c r="AO561" s="9"/>
      <c r="AP561" s="9"/>
      <c r="AQ561" s="9"/>
      <c r="AR561" s="9"/>
      <c r="AS561" s="9"/>
      <c r="AT561" s="9"/>
      <c r="AU561" s="9"/>
      <c r="AV561" s="9"/>
    </row>
    <row r="562">
      <c r="A562" s="253"/>
      <c r="B562" s="254"/>
      <c r="C562" s="463"/>
      <c r="D562" s="253"/>
      <c r="E562" s="254"/>
      <c r="F562" s="463"/>
      <c r="G562" s="253"/>
      <c r="H562" s="254"/>
      <c r="I562" s="463"/>
      <c r="J562" s="253"/>
      <c r="K562" s="254"/>
      <c r="L562" s="463"/>
      <c r="M562" s="253"/>
      <c r="N562" s="254"/>
      <c r="O562" s="463"/>
      <c r="P562" s="253"/>
      <c r="Q562" s="254"/>
      <c r="R562" s="463"/>
      <c r="S562" s="253"/>
      <c r="T562" s="254"/>
      <c r="U562" s="463"/>
      <c r="V562" s="253"/>
      <c r="W562" s="254"/>
      <c r="X562" s="463"/>
      <c r="Y562" s="9"/>
      <c r="Z562" s="9"/>
      <c r="AA562" s="9"/>
      <c r="AB562" s="9"/>
      <c r="AC562" s="234"/>
      <c r="AD562" s="234"/>
      <c r="AE562" s="234"/>
      <c r="AF562" s="234"/>
      <c r="AG562" s="9"/>
      <c r="AH562" s="9"/>
      <c r="AI562" s="9"/>
      <c r="AJ562" s="9"/>
      <c r="AK562" s="245"/>
      <c r="AL562" s="245"/>
      <c r="AM562" s="245"/>
      <c r="AN562" s="245"/>
      <c r="AO562" s="9"/>
      <c r="AP562" s="9"/>
      <c r="AQ562" s="9"/>
      <c r="AR562" s="9"/>
      <c r="AS562" s="9"/>
      <c r="AT562" s="9"/>
      <c r="AU562" s="9"/>
      <c r="AV562" s="9"/>
    </row>
    <row r="563">
      <c r="A563" s="253"/>
      <c r="B563" s="254"/>
      <c r="C563" s="463"/>
      <c r="D563" s="253"/>
      <c r="E563" s="254"/>
      <c r="F563" s="463"/>
      <c r="G563" s="253"/>
      <c r="H563" s="254"/>
      <c r="I563" s="463"/>
      <c r="J563" s="253"/>
      <c r="K563" s="254"/>
      <c r="L563" s="463"/>
      <c r="M563" s="253"/>
      <c r="N563" s="254"/>
      <c r="O563" s="463"/>
      <c r="P563" s="253"/>
      <c r="Q563" s="254"/>
      <c r="R563" s="463"/>
      <c r="S563" s="253"/>
      <c r="T563" s="254"/>
      <c r="U563" s="463"/>
      <c r="V563" s="253"/>
      <c r="W563" s="254"/>
      <c r="X563" s="463"/>
      <c r="Y563" s="9"/>
      <c r="Z563" s="9"/>
      <c r="AA563" s="9"/>
      <c r="AB563" s="9"/>
      <c r="AC563" s="234"/>
      <c r="AD563" s="234"/>
      <c r="AE563" s="234"/>
      <c r="AF563" s="234"/>
      <c r="AG563" s="9"/>
      <c r="AH563" s="9"/>
      <c r="AI563" s="9"/>
      <c r="AJ563" s="9"/>
      <c r="AK563" s="245"/>
      <c r="AL563" s="245"/>
      <c r="AM563" s="245"/>
      <c r="AN563" s="245"/>
      <c r="AO563" s="9"/>
      <c r="AP563" s="9"/>
      <c r="AQ563" s="9"/>
      <c r="AR563" s="9"/>
      <c r="AS563" s="9"/>
      <c r="AT563" s="9"/>
      <c r="AU563" s="9"/>
      <c r="AV563" s="9"/>
    </row>
    <row r="564">
      <c r="A564" s="253"/>
      <c r="B564" s="254"/>
      <c r="C564" s="463"/>
      <c r="D564" s="253"/>
      <c r="E564" s="254"/>
      <c r="F564" s="463"/>
      <c r="G564" s="253"/>
      <c r="H564" s="254"/>
      <c r="I564" s="463"/>
      <c r="J564" s="253"/>
      <c r="K564" s="254"/>
      <c r="L564" s="463"/>
      <c r="M564" s="253"/>
      <c r="N564" s="254"/>
      <c r="O564" s="463"/>
      <c r="P564" s="253"/>
      <c r="Q564" s="254"/>
      <c r="R564" s="463"/>
      <c r="S564" s="253"/>
      <c r="T564" s="254"/>
      <c r="U564" s="463"/>
      <c r="V564" s="253"/>
      <c r="W564" s="254"/>
      <c r="X564" s="463"/>
      <c r="Y564" s="9"/>
      <c r="Z564" s="9"/>
      <c r="AA564" s="9"/>
      <c r="AB564" s="9"/>
      <c r="AC564" s="234"/>
      <c r="AD564" s="234"/>
      <c r="AE564" s="234"/>
      <c r="AF564" s="234"/>
      <c r="AG564" s="9"/>
      <c r="AH564" s="9"/>
      <c r="AI564" s="9"/>
      <c r="AJ564" s="9"/>
      <c r="AK564" s="245"/>
      <c r="AL564" s="245"/>
      <c r="AM564" s="245"/>
      <c r="AN564" s="245"/>
      <c r="AO564" s="9"/>
      <c r="AP564" s="9"/>
      <c r="AQ564" s="9"/>
      <c r="AR564" s="9"/>
      <c r="AS564" s="9"/>
      <c r="AT564" s="9"/>
      <c r="AU564" s="9"/>
      <c r="AV564" s="9"/>
    </row>
    <row r="565">
      <c r="A565" s="253"/>
      <c r="B565" s="254"/>
      <c r="C565" s="463"/>
      <c r="D565" s="253"/>
      <c r="E565" s="254"/>
      <c r="F565" s="463"/>
      <c r="G565" s="253"/>
      <c r="H565" s="254"/>
      <c r="I565" s="463"/>
      <c r="J565" s="253"/>
      <c r="K565" s="254"/>
      <c r="L565" s="463"/>
      <c r="M565" s="253"/>
      <c r="N565" s="254"/>
      <c r="O565" s="463"/>
      <c r="P565" s="253"/>
      <c r="Q565" s="254"/>
      <c r="R565" s="463"/>
      <c r="S565" s="253"/>
      <c r="T565" s="254"/>
      <c r="U565" s="463"/>
      <c r="V565" s="253"/>
      <c r="W565" s="254"/>
      <c r="X565" s="463"/>
      <c r="Y565" s="9"/>
      <c r="Z565" s="9"/>
      <c r="AA565" s="9"/>
      <c r="AB565" s="9"/>
      <c r="AC565" s="234"/>
      <c r="AD565" s="234"/>
      <c r="AE565" s="234"/>
      <c r="AF565" s="234"/>
      <c r="AG565" s="9"/>
      <c r="AH565" s="9"/>
      <c r="AI565" s="9"/>
      <c r="AJ565" s="9"/>
      <c r="AK565" s="245"/>
      <c r="AL565" s="245"/>
      <c r="AM565" s="245"/>
      <c r="AN565" s="245"/>
      <c r="AO565" s="9"/>
      <c r="AP565" s="9"/>
      <c r="AQ565" s="9"/>
      <c r="AR565" s="9"/>
      <c r="AS565" s="9"/>
      <c r="AT565" s="9"/>
      <c r="AU565" s="9"/>
      <c r="AV565" s="9"/>
    </row>
    <row r="566">
      <c r="A566" s="253"/>
      <c r="B566" s="254"/>
      <c r="C566" s="463"/>
      <c r="D566" s="253"/>
      <c r="E566" s="254"/>
      <c r="F566" s="463"/>
      <c r="G566" s="253"/>
      <c r="H566" s="254"/>
      <c r="I566" s="463"/>
      <c r="J566" s="253"/>
      <c r="K566" s="254"/>
      <c r="L566" s="463"/>
      <c r="M566" s="253"/>
      <c r="N566" s="254"/>
      <c r="O566" s="463"/>
      <c r="P566" s="253"/>
      <c r="Q566" s="254"/>
      <c r="R566" s="463"/>
      <c r="S566" s="253"/>
      <c r="T566" s="254"/>
      <c r="U566" s="463"/>
      <c r="V566" s="253"/>
      <c r="W566" s="254"/>
      <c r="X566" s="463"/>
      <c r="Y566" s="9"/>
      <c r="Z566" s="9"/>
      <c r="AA566" s="9"/>
      <c r="AB566" s="9"/>
      <c r="AC566" s="234"/>
      <c r="AD566" s="234"/>
      <c r="AE566" s="234"/>
      <c r="AF566" s="234"/>
      <c r="AG566" s="9"/>
      <c r="AH566" s="9"/>
      <c r="AI566" s="9"/>
      <c r="AJ566" s="9"/>
      <c r="AK566" s="245"/>
      <c r="AL566" s="245"/>
      <c r="AM566" s="245"/>
      <c r="AN566" s="245"/>
      <c r="AO566" s="9"/>
      <c r="AP566" s="9"/>
      <c r="AQ566" s="9"/>
      <c r="AR566" s="9"/>
      <c r="AS566" s="9"/>
      <c r="AT566" s="9"/>
      <c r="AU566" s="9"/>
      <c r="AV566" s="9"/>
    </row>
    <row r="567">
      <c r="A567" s="253"/>
      <c r="B567" s="254"/>
      <c r="C567" s="463"/>
      <c r="D567" s="253"/>
      <c r="E567" s="254"/>
      <c r="F567" s="463"/>
      <c r="G567" s="253"/>
      <c r="H567" s="254"/>
      <c r="I567" s="463"/>
      <c r="J567" s="253"/>
      <c r="K567" s="254"/>
      <c r="L567" s="463"/>
      <c r="M567" s="253"/>
      <c r="N567" s="254"/>
      <c r="O567" s="463"/>
      <c r="P567" s="253"/>
      <c r="Q567" s="254"/>
      <c r="R567" s="463"/>
      <c r="S567" s="253"/>
      <c r="T567" s="254"/>
      <c r="U567" s="463"/>
      <c r="V567" s="253"/>
      <c r="W567" s="254"/>
      <c r="X567" s="463"/>
      <c r="Y567" s="9"/>
      <c r="Z567" s="9"/>
      <c r="AA567" s="9"/>
      <c r="AB567" s="9"/>
      <c r="AC567" s="234"/>
      <c r="AD567" s="234"/>
      <c r="AE567" s="234"/>
      <c r="AF567" s="234"/>
      <c r="AG567" s="9"/>
      <c r="AH567" s="9"/>
      <c r="AI567" s="9"/>
      <c r="AJ567" s="9"/>
      <c r="AK567" s="245"/>
      <c r="AL567" s="245"/>
      <c r="AM567" s="245"/>
      <c r="AN567" s="245"/>
      <c r="AO567" s="9"/>
      <c r="AP567" s="9"/>
      <c r="AQ567" s="9"/>
      <c r="AR567" s="9"/>
      <c r="AS567" s="9"/>
      <c r="AT567" s="9"/>
      <c r="AU567" s="9"/>
      <c r="AV567" s="9"/>
    </row>
    <row r="568">
      <c r="A568" s="253"/>
      <c r="B568" s="254"/>
      <c r="C568" s="463"/>
      <c r="D568" s="253"/>
      <c r="E568" s="254"/>
      <c r="F568" s="463"/>
      <c r="G568" s="253"/>
      <c r="H568" s="254"/>
      <c r="I568" s="463"/>
      <c r="J568" s="253"/>
      <c r="K568" s="254"/>
      <c r="L568" s="463"/>
      <c r="M568" s="253"/>
      <c r="N568" s="254"/>
      <c r="O568" s="463"/>
      <c r="P568" s="253"/>
      <c r="Q568" s="254"/>
      <c r="R568" s="463"/>
      <c r="S568" s="253"/>
      <c r="T568" s="254"/>
      <c r="U568" s="463"/>
      <c r="V568" s="253"/>
      <c r="W568" s="254"/>
      <c r="X568" s="463"/>
      <c r="Y568" s="9"/>
      <c r="Z568" s="9"/>
      <c r="AA568" s="9"/>
      <c r="AB568" s="9"/>
      <c r="AC568" s="234"/>
      <c r="AD568" s="234"/>
      <c r="AE568" s="234"/>
      <c r="AF568" s="234"/>
      <c r="AG568" s="9"/>
      <c r="AH568" s="9"/>
      <c r="AI568" s="9"/>
      <c r="AJ568" s="9"/>
      <c r="AK568" s="245"/>
      <c r="AL568" s="245"/>
      <c r="AM568" s="245"/>
      <c r="AN568" s="245"/>
      <c r="AO568" s="9"/>
      <c r="AP568" s="9"/>
      <c r="AQ568" s="9"/>
      <c r="AR568" s="9"/>
      <c r="AS568" s="9"/>
      <c r="AT568" s="9"/>
      <c r="AU568" s="9"/>
      <c r="AV568" s="9"/>
    </row>
    <row r="569">
      <c r="A569" s="253"/>
      <c r="B569" s="254"/>
      <c r="C569" s="463"/>
      <c r="D569" s="253"/>
      <c r="E569" s="254"/>
      <c r="F569" s="463"/>
      <c r="G569" s="253"/>
      <c r="H569" s="254"/>
      <c r="I569" s="463"/>
      <c r="J569" s="253"/>
      <c r="K569" s="254"/>
      <c r="L569" s="463"/>
      <c r="M569" s="253"/>
      <c r="N569" s="254"/>
      <c r="O569" s="463"/>
      <c r="P569" s="253"/>
      <c r="Q569" s="254"/>
      <c r="R569" s="463"/>
      <c r="S569" s="253"/>
      <c r="T569" s="254"/>
      <c r="U569" s="463"/>
      <c r="V569" s="253"/>
      <c r="W569" s="254"/>
      <c r="X569" s="463"/>
      <c r="Y569" s="9"/>
      <c r="Z569" s="9"/>
      <c r="AA569" s="9"/>
      <c r="AB569" s="9"/>
      <c r="AC569" s="234"/>
      <c r="AD569" s="234"/>
      <c r="AE569" s="234"/>
      <c r="AF569" s="234"/>
      <c r="AG569" s="9"/>
      <c r="AH569" s="9"/>
      <c r="AI569" s="9"/>
      <c r="AJ569" s="9"/>
      <c r="AK569" s="245"/>
      <c r="AL569" s="245"/>
      <c r="AM569" s="245"/>
      <c r="AN569" s="245"/>
      <c r="AO569" s="9"/>
      <c r="AP569" s="9"/>
      <c r="AQ569" s="9"/>
      <c r="AR569" s="9"/>
      <c r="AS569" s="9"/>
      <c r="AT569" s="9"/>
      <c r="AU569" s="9"/>
      <c r="AV569" s="9"/>
    </row>
    <row r="570">
      <c r="A570" s="253"/>
      <c r="B570" s="254"/>
      <c r="C570" s="463"/>
      <c r="D570" s="253"/>
      <c r="E570" s="254"/>
      <c r="F570" s="463"/>
      <c r="G570" s="253"/>
      <c r="H570" s="254"/>
      <c r="I570" s="463"/>
      <c r="J570" s="253"/>
      <c r="K570" s="254"/>
      <c r="L570" s="463"/>
      <c r="M570" s="253"/>
      <c r="N570" s="254"/>
      <c r="O570" s="463"/>
      <c r="P570" s="253"/>
      <c r="Q570" s="254"/>
      <c r="R570" s="463"/>
      <c r="S570" s="253"/>
      <c r="T570" s="254"/>
      <c r="U570" s="463"/>
      <c r="V570" s="253"/>
      <c r="W570" s="254"/>
      <c r="X570" s="463"/>
      <c r="Y570" s="9"/>
      <c r="Z570" s="9"/>
      <c r="AA570" s="9"/>
      <c r="AB570" s="9"/>
      <c r="AC570" s="234"/>
      <c r="AD570" s="234"/>
      <c r="AE570" s="234"/>
      <c r="AF570" s="234"/>
      <c r="AG570" s="9"/>
      <c r="AH570" s="9"/>
      <c r="AI570" s="9"/>
      <c r="AJ570" s="9"/>
      <c r="AK570" s="245"/>
      <c r="AL570" s="245"/>
      <c r="AM570" s="245"/>
      <c r="AN570" s="245"/>
      <c r="AO570" s="9"/>
      <c r="AP570" s="9"/>
      <c r="AQ570" s="9"/>
      <c r="AR570" s="9"/>
      <c r="AS570" s="9"/>
      <c r="AT570" s="9"/>
      <c r="AU570" s="9"/>
      <c r="AV570" s="9"/>
    </row>
    <row r="571">
      <c r="A571" s="253"/>
      <c r="B571" s="254"/>
      <c r="C571" s="463"/>
      <c r="D571" s="253"/>
      <c r="E571" s="254"/>
      <c r="F571" s="463"/>
      <c r="G571" s="253"/>
      <c r="H571" s="254"/>
      <c r="I571" s="463"/>
      <c r="J571" s="253"/>
      <c r="K571" s="254"/>
      <c r="L571" s="463"/>
      <c r="M571" s="253"/>
      <c r="N571" s="254"/>
      <c r="O571" s="463"/>
      <c r="P571" s="253"/>
      <c r="Q571" s="254"/>
      <c r="R571" s="463"/>
      <c r="S571" s="253"/>
      <c r="T571" s="254"/>
      <c r="U571" s="463"/>
      <c r="V571" s="253"/>
      <c r="W571" s="254"/>
      <c r="X571" s="463"/>
      <c r="Y571" s="9"/>
      <c r="Z571" s="9"/>
      <c r="AA571" s="9"/>
      <c r="AB571" s="9"/>
      <c r="AC571" s="234"/>
      <c r="AD571" s="234"/>
      <c r="AE571" s="234"/>
      <c r="AF571" s="234"/>
      <c r="AG571" s="9"/>
      <c r="AH571" s="9"/>
      <c r="AI571" s="9"/>
      <c r="AJ571" s="9"/>
      <c r="AK571" s="245"/>
      <c r="AL571" s="245"/>
      <c r="AM571" s="245"/>
      <c r="AN571" s="245"/>
      <c r="AO571" s="9"/>
      <c r="AP571" s="9"/>
      <c r="AQ571" s="9"/>
      <c r="AR571" s="9"/>
      <c r="AS571" s="9"/>
      <c r="AT571" s="9"/>
      <c r="AU571" s="9"/>
      <c r="AV571" s="9"/>
    </row>
    <row r="572">
      <c r="A572" s="253"/>
      <c r="B572" s="254"/>
      <c r="C572" s="463"/>
      <c r="D572" s="253"/>
      <c r="E572" s="254"/>
      <c r="F572" s="463"/>
      <c r="G572" s="253"/>
      <c r="H572" s="254"/>
      <c r="I572" s="463"/>
      <c r="J572" s="253"/>
      <c r="K572" s="254"/>
      <c r="L572" s="463"/>
      <c r="M572" s="253"/>
      <c r="N572" s="254"/>
      <c r="O572" s="463"/>
      <c r="P572" s="253"/>
      <c r="Q572" s="254"/>
      <c r="R572" s="463"/>
      <c r="S572" s="253"/>
      <c r="T572" s="254"/>
      <c r="U572" s="463"/>
      <c r="V572" s="253"/>
      <c r="W572" s="254"/>
      <c r="X572" s="463"/>
      <c r="Y572" s="9"/>
      <c r="Z572" s="9"/>
      <c r="AA572" s="9"/>
      <c r="AB572" s="9"/>
      <c r="AC572" s="234"/>
      <c r="AD572" s="234"/>
      <c r="AE572" s="234"/>
      <c r="AF572" s="234"/>
      <c r="AG572" s="9"/>
      <c r="AH572" s="9"/>
      <c r="AI572" s="9"/>
      <c r="AJ572" s="9"/>
      <c r="AK572" s="245"/>
      <c r="AL572" s="245"/>
      <c r="AM572" s="245"/>
      <c r="AN572" s="245"/>
      <c r="AO572" s="9"/>
      <c r="AP572" s="9"/>
      <c r="AQ572" s="9"/>
      <c r="AR572" s="9"/>
      <c r="AS572" s="9"/>
      <c r="AT572" s="9"/>
      <c r="AU572" s="9"/>
      <c r="AV572" s="9"/>
    </row>
    <row r="573">
      <c r="A573" s="253"/>
      <c r="B573" s="254"/>
      <c r="C573" s="463"/>
      <c r="D573" s="253"/>
      <c r="E573" s="254"/>
      <c r="F573" s="463"/>
      <c r="G573" s="253"/>
      <c r="H573" s="254"/>
      <c r="I573" s="463"/>
      <c r="J573" s="253"/>
      <c r="K573" s="254"/>
      <c r="L573" s="463"/>
      <c r="M573" s="253"/>
      <c r="N573" s="254"/>
      <c r="O573" s="463"/>
      <c r="P573" s="253"/>
      <c r="Q573" s="254"/>
      <c r="R573" s="463"/>
      <c r="S573" s="253"/>
      <c r="T573" s="254"/>
      <c r="U573" s="463"/>
      <c r="V573" s="253"/>
      <c r="W573" s="254"/>
      <c r="X573" s="463"/>
      <c r="Y573" s="9"/>
      <c r="Z573" s="9"/>
      <c r="AA573" s="9"/>
      <c r="AB573" s="9"/>
      <c r="AC573" s="234"/>
      <c r="AD573" s="234"/>
      <c r="AE573" s="234"/>
      <c r="AF573" s="234"/>
      <c r="AG573" s="9"/>
      <c r="AH573" s="9"/>
      <c r="AI573" s="9"/>
      <c r="AJ573" s="9"/>
      <c r="AK573" s="245"/>
      <c r="AL573" s="245"/>
      <c r="AM573" s="245"/>
      <c r="AN573" s="245"/>
      <c r="AO573" s="9"/>
      <c r="AP573" s="9"/>
      <c r="AQ573" s="9"/>
      <c r="AR573" s="9"/>
      <c r="AS573" s="9"/>
      <c r="AT573" s="9"/>
      <c r="AU573" s="9"/>
      <c r="AV573" s="9"/>
    </row>
    <row r="574">
      <c r="A574" s="253"/>
      <c r="B574" s="254"/>
      <c r="C574" s="463"/>
      <c r="D574" s="253"/>
      <c r="E574" s="254"/>
      <c r="F574" s="463"/>
      <c r="G574" s="253"/>
      <c r="H574" s="254"/>
      <c r="I574" s="463"/>
      <c r="J574" s="253"/>
      <c r="K574" s="254"/>
      <c r="L574" s="463"/>
      <c r="M574" s="253"/>
      <c r="N574" s="254"/>
      <c r="O574" s="463"/>
      <c r="P574" s="253"/>
      <c r="Q574" s="254"/>
      <c r="R574" s="463"/>
      <c r="S574" s="253"/>
      <c r="T574" s="254"/>
      <c r="U574" s="463"/>
      <c r="V574" s="253"/>
      <c r="W574" s="254"/>
      <c r="X574" s="463"/>
      <c r="Y574" s="9"/>
      <c r="Z574" s="9"/>
      <c r="AA574" s="9"/>
      <c r="AB574" s="9"/>
      <c r="AC574" s="234"/>
      <c r="AD574" s="234"/>
      <c r="AE574" s="234"/>
      <c r="AF574" s="234"/>
      <c r="AG574" s="9"/>
      <c r="AH574" s="9"/>
      <c r="AI574" s="9"/>
      <c r="AJ574" s="9"/>
      <c r="AK574" s="245"/>
      <c r="AL574" s="245"/>
      <c r="AM574" s="245"/>
      <c r="AN574" s="245"/>
      <c r="AO574" s="9"/>
      <c r="AP574" s="9"/>
      <c r="AQ574" s="9"/>
      <c r="AR574" s="9"/>
      <c r="AS574" s="9"/>
      <c r="AT574" s="9"/>
      <c r="AU574" s="9"/>
      <c r="AV574" s="9"/>
    </row>
    <row r="575">
      <c r="A575" s="253"/>
      <c r="B575" s="254"/>
      <c r="C575" s="463"/>
      <c r="D575" s="253"/>
      <c r="E575" s="254"/>
      <c r="F575" s="463"/>
      <c r="G575" s="253"/>
      <c r="H575" s="254"/>
      <c r="I575" s="463"/>
      <c r="J575" s="253"/>
      <c r="K575" s="254"/>
      <c r="L575" s="463"/>
      <c r="M575" s="253"/>
      <c r="N575" s="254"/>
      <c r="O575" s="463"/>
      <c r="P575" s="253"/>
      <c r="Q575" s="254"/>
      <c r="R575" s="463"/>
      <c r="S575" s="253"/>
      <c r="T575" s="254"/>
      <c r="U575" s="463"/>
      <c r="V575" s="253"/>
      <c r="W575" s="254"/>
      <c r="X575" s="463"/>
      <c r="Y575" s="9"/>
      <c r="Z575" s="9"/>
      <c r="AA575" s="9"/>
      <c r="AB575" s="9"/>
      <c r="AC575" s="234"/>
      <c r="AD575" s="234"/>
      <c r="AE575" s="234"/>
      <c r="AF575" s="234"/>
      <c r="AG575" s="9"/>
      <c r="AH575" s="9"/>
      <c r="AI575" s="9"/>
      <c r="AJ575" s="9"/>
      <c r="AK575" s="245"/>
      <c r="AL575" s="245"/>
      <c r="AM575" s="245"/>
      <c r="AN575" s="245"/>
      <c r="AO575" s="9"/>
      <c r="AP575" s="9"/>
      <c r="AQ575" s="9"/>
      <c r="AR575" s="9"/>
      <c r="AS575" s="9"/>
      <c r="AT575" s="9"/>
      <c r="AU575" s="9"/>
      <c r="AV575" s="9"/>
    </row>
    <row r="576">
      <c r="A576" s="253"/>
      <c r="B576" s="254"/>
      <c r="C576" s="463"/>
      <c r="D576" s="253"/>
      <c r="E576" s="254"/>
      <c r="F576" s="463"/>
      <c r="G576" s="253"/>
      <c r="H576" s="254"/>
      <c r="I576" s="463"/>
      <c r="J576" s="253"/>
      <c r="K576" s="254"/>
      <c r="L576" s="463"/>
      <c r="M576" s="253"/>
      <c r="N576" s="254"/>
      <c r="O576" s="463"/>
      <c r="P576" s="253"/>
      <c r="Q576" s="254"/>
      <c r="R576" s="463"/>
      <c r="S576" s="253"/>
      <c r="T576" s="254"/>
      <c r="U576" s="463"/>
      <c r="V576" s="253"/>
      <c r="W576" s="254"/>
      <c r="X576" s="463"/>
      <c r="Y576" s="9"/>
      <c r="Z576" s="9"/>
      <c r="AA576" s="9"/>
      <c r="AB576" s="9"/>
      <c r="AC576" s="234"/>
      <c r="AD576" s="234"/>
      <c r="AE576" s="234"/>
      <c r="AF576" s="234"/>
      <c r="AG576" s="9"/>
      <c r="AH576" s="9"/>
      <c r="AI576" s="9"/>
      <c r="AJ576" s="9"/>
      <c r="AK576" s="245"/>
      <c r="AL576" s="245"/>
      <c r="AM576" s="245"/>
      <c r="AN576" s="245"/>
      <c r="AO576" s="9"/>
      <c r="AP576" s="9"/>
      <c r="AQ576" s="9"/>
      <c r="AR576" s="9"/>
      <c r="AS576" s="9"/>
      <c r="AT576" s="9"/>
      <c r="AU576" s="9"/>
      <c r="AV576" s="9"/>
    </row>
    <row r="577">
      <c r="A577" s="253"/>
      <c r="B577" s="254"/>
      <c r="C577" s="463"/>
      <c r="D577" s="253"/>
      <c r="E577" s="254"/>
      <c r="F577" s="463"/>
      <c r="G577" s="253"/>
      <c r="H577" s="254"/>
      <c r="I577" s="463"/>
      <c r="J577" s="253"/>
      <c r="K577" s="254"/>
      <c r="L577" s="463"/>
      <c r="M577" s="253"/>
      <c r="N577" s="254"/>
      <c r="O577" s="463"/>
      <c r="P577" s="253"/>
      <c r="Q577" s="254"/>
      <c r="R577" s="463"/>
      <c r="S577" s="253"/>
      <c r="T577" s="254"/>
      <c r="U577" s="463"/>
      <c r="V577" s="253"/>
      <c r="W577" s="254"/>
      <c r="X577" s="463"/>
      <c r="Y577" s="9"/>
      <c r="Z577" s="9"/>
      <c r="AA577" s="9"/>
      <c r="AB577" s="9"/>
      <c r="AC577" s="234"/>
      <c r="AD577" s="234"/>
      <c r="AE577" s="234"/>
      <c r="AF577" s="234"/>
      <c r="AG577" s="9"/>
      <c r="AH577" s="9"/>
      <c r="AI577" s="9"/>
      <c r="AJ577" s="9"/>
      <c r="AK577" s="245"/>
      <c r="AL577" s="245"/>
      <c r="AM577" s="245"/>
      <c r="AN577" s="245"/>
      <c r="AO577" s="9"/>
      <c r="AP577" s="9"/>
      <c r="AQ577" s="9"/>
      <c r="AR577" s="9"/>
      <c r="AS577" s="9"/>
      <c r="AT577" s="9"/>
      <c r="AU577" s="9"/>
      <c r="AV577" s="9"/>
    </row>
    <row r="578">
      <c r="A578" s="253"/>
      <c r="B578" s="254"/>
      <c r="C578" s="463"/>
      <c r="D578" s="253"/>
      <c r="E578" s="254"/>
      <c r="F578" s="463"/>
      <c r="G578" s="253"/>
      <c r="H578" s="254"/>
      <c r="I578" s="463"/>
      <c r="J578" s="253"/>
      <c r="K578" s="254"/>
      <c r="L578" s="463"/>
      <c r="M578" s="253"/>
      <c r="N578" s="254"/>
      <c r="O578" s="463"/>
      <c r="P578" s="253"/>
      <c r="Q578" s="254"/>
      <c r="R578" s="463"/>
      <c r="S578" s="253"/>
      <c r="T578" s="254"/>
      <c r="U578" s="463"/>
      <c r="V578" s="253"/>
      <c r="W578" s="254"/>
      <c r="X578" s="463"/>
      <c r="Y578" s="9"/>
      <c r="Z578" s="9"/>
      <c r="AA578" s="9"/>
      <c r="AB578" s="9"/>
      <c r="AC578" s="234"/>
      <c r="AD578" s="234"/>
      <c r="AE578" s="234"/>
      <c r="AF578" s="234"/>
      <c r="AG578" s="9"/>
      <c r="AH578" s="9"/>
      <c r="AI578" s="9"/>
      <c r="AJ578" s="9"/>
      <c r="AK578" s="245"/>
      <c r="AL578" s="245"/>
      <c r="AM578" s="245"/>
      <c r="AN578" s="245"/>
      <c r="AO578" s="9"/>
      <c r="AP578" s="9"/>
      <c r="AQ578" s="9"/>
      <c r="AR578" s="9"/>
      <c r="AS578" s="9"/>
      <c r="AT578" s="9"/>
      <c r="AU578" s="9"/>
      <c r="AV578" s="9"/>
    </row>
    <row r="579">
      <c r="A579" s="253"/>
      <c r="B579" s="254"/>
      <c r="C579" s="463"/>
      <c r="D579" s="253"/>
      <c r="E579" s="254"/>
      <c r="F579" s="463"/>
      <c r="G579" s="253"/>
      <c r="H579" s="254"/>
      <c r="I579" s="463"/>
      <c r="J579" s="253"/>
      <c r="K579" s="254"/>
      <c r="L579" s="463"/>
      <c r="M579" s="253"/>
      <c r="N579" s="254"/>
      <c r="O579" s="463"/>
      <c r="P579" s="253"/>
      <c r="Q579" s="254"/>
      <c r="R579" s="463"/>
      <c r="S579" s="253"/>
      <c r="T579" s="254"/>
      <c r="U579" s="463"/>
      <c r="V579" s="253"/>
      <c r="W579" s="254"/>
      <c r="X579" s="463"/>
      <c r="Y579" s="9"/>
      <c r="Z579" s="9"/>
      <c r="AA579" s="9"/>
      <c r="AB579" s="9"/>
      <c r="AC579" s="234"/>
      <c r="AD579" s="234"/>
      <c r="AE579" s="234"/>
      <c r="AF579" s="234"/>
      <c r="AG579" s="9"/>
      <c r="AH579" s="9"/>
      <c r="AI579" s="9"/>
      <c r="AJ579" s="9"/>
      <c r="AK579" s="245"/>
      <c r="AL579" s="245"/>
      <c r="AM579" s="245"/>
      <c r="AN579" s="245"/>
      <c r="AO579" s="9"/>
      <c r="AP579" s="9"/>
      <c r="AQ579" s="9"/>
      <c r="AR579" s="9"/>
      <c r="AS579" s="9"/>
      <c r="AT579" s="9"/>
      <c r="AU579" s="9"/>
      <c r="AV579" s="9"/>
    </row>
    <row r="580">
      <c r="A580" s="253"/>
      <c r="B580" s="254"/>
      <c r="C580" s="463"/>
      <c r="D580" s="253"/>
      <c r="E580" s="254"/>
      <c r="F580" s="463"/>
      <c r="G580" s="253"/>
      <c r="H580" s="254"/>
      <c r="I580" s="463"/>
      <c r="J580" s="253"/>
      <c r="K580" s="254"/>
      <c r="L580" s="463"/>
      <c r="M580" s="253"/>
      <c r="N580" s="254"/>
      <c r="O580" s="463"/>
      <c r="P580" s="253"/>
      <c r="Q580" s="254"/>
      <c r="R580" s="463"/>
      <c r="S580" s="253"/>
      <c r="T580" s="254"/>
      <c r="U580" s="463"/>
      <c r="V580" s="253"/>
      <c r="W580" s="254"/>
      <c r="X580" s="463"/>
      <c r="Y580" s="9"/>
      <c r="Z580" s="9"/>
      <c r="AA580" s="9"/>
      <c r="AB580" s="9"/>
      <c r="AC580" s="234"/>
      <c r="AD580" s="234"/>
      <c r="AE580" s="234"/>
      <c r="AF580" s="234"/>
      <c r="AG580" s="9"/>
      <c r="AH580" s="9"/>
      <c r="AI580" s="9"/>
      <c r="AJ580" s="9"/>
      <c r="AK580" s="245"/>
      <c r="AL580" s="245"/>
      <c r="AM580" s="245"/>
      <c r="AN580" s="245"/>
      <c r="AO580" s="9"/>
      <c r="AP580" s="9"/>
      <c r="AQ580" s="9"/>
      <c r="AR580" s="9"/>
      <c r="AS580" s="9"/>
      <c r="AT580" s="9"/>
      <c r="AU580" s="9"/>
      <c r="AV580" s="9"/>
    </row>
    <row r="581">
      <c r="A581" s="253"/>
      <c r="B581" s="254"/>
      <c r="C581" s="463"/>
      <c r="D581" s="253"/>
      <c r="E581" s="254"/>
      <c r="F581" s="463"/>
      <c r="G581" s="253"/>
      <c r="H581" s="254"/>
      <c r="I581" s="463"/>
      <c r="J581" s="253"/>
      <c r="K581" s="254"/>
      <c r="L581" s="463"/>
      <c r="M581" s="253"/>
      <c r="N581" s="254"/>
      <c r="O581" s="463"/>
      <c r="P581" s="253"/>
      <c r="Q581" s="254"/>
      <c r="R581" s="463"/>
      <c r="S581" s="253"/>
      <c r="T581" s="254"/>
      <c r="U581" s="463"/>
      <c r="V581" s="253"/>
      <c r="W581" s="254"/>
      <c r="X581" s="463"/>
      <c r="Y581" s="9"/>
      <c r="Z581" s="9"/>
      <c r="AA581" s="9"/>
      <c r="AB581" s="9"/>
      <c r="AC581" s="234"/>
      <c r="AD581" s="234"/>
      <c r="AE581" s="234"/>
      <c r="AF581" s="234"/>
      <c r="AG581" s="9"/>
      <c r="AH581" s="9"/>
      <c r="AI581" s="9"/>
      <c r="AJ581" s="9"/>
      <c r="AK581" s="245"/>
      <c r="AL581" s="245"/>
      <c r="AM581" s="245"/>
      <c r="AN581" s="245"/>
      <c r="AO581" s="9"/>
      <c r="AP581" s="9"/>
      <c r="AQ581" s="9"/>
      <c r="AR581" s="9"/>
      <c r="AS581" s="9"/>
      <c r="AT581" s="9"/>
      <c r="AU581" s="9"/>
      <c r="AV581" s="9"/>
    </row>
    <row r="582">
      <c r="A582" s="253"/>
      <c r="B582" s="254"/>
      <c r="C582" s="463"/>
      <c r="D582" s="253"/>
      <c r="E582" s="254"/>
      <c r="F582" s="463"/>
      <c r="G582" s="253"/>
      <c r="H582" s="254"/>
      <c r="I582" s="463"/>
      <c r="J582" s="253"/>
      <c r="K582" s="254"/>
      <c r="L582" s="463"/>
      <c r="M582" s="253"/>
      <c r="N582" s="254"/>
      <c r="O582" s="463"/>
      <c r="P582" s="253"/>
      <c r="Q582" s="254"/>
      <c r="R582" s="463"/>
      <c r="S582" s="253"/>
      <c r="T582" s="254"/>
      <c r="U582" s="463"/>
      <c r="V582" s="253"/>
      <c r="W582" s="254"/>
      <c r="X582" s="463"/>
      <c r="Y582" s="9"/>
      <c r="Z582" s="9"/>
      <c r="AA582" s="9"/>
      <c r="AB582" s="9"/>
      <c r="AC582" s="234"/>
      <c r="AD582" s="234"/>
      <c r="AE582" s="234"/>
      <c r="AF582" s="234"/>
      <c r="AG582" s="9"/>
      <c r="AH582" s="9"/>
      <c r="AI582" s="9"/>
      <c r="AJ582" s="9"/>
      <c r="AK582" s="245"/>
      <c r="AL582" s="245"/>
      <c r="AM582" s="245"/>
      <c r="AN582" s="245"/>
      <c r="AO582" s="9"/>
      <c r="AP582" s="9"/>
      <c r="AQ582" s="9"/>
      <c r="AR582" s="9"/>
      <c r="AS582" s="9"/>
      <c r="AT582" s="9"/>
      <c r="AU582" s="9"/>
      <c r="AV582" s="9"/>
    </row>
    <row r="583">
      <c r="A583" s="253"/>
      <c r="B583" s="254"/>
      <c r="C583" s="463"/>
      <c r="D583" s="253"/>
      <c r="E583" s="254"/>
      <c r="F583" s="463"/>
      <c r="G583" s="253"/>
      <c r="H583" s="254"/>
      <c r="I583" s="463"/>
      <c r="J583" s="253"/>
      <c r="K583" s="254"/>
      <c r="L583" s="463"/>
      <c r="M583" s="253"/>
      <c r="N583" s="254"/>
      <c r="O583" s="463"/>
      <c r="P583" s="253"/>
      <c r="Q583" s="254"/>
      <c r="R583" s="463"/>
      <c r="S583" s="253"/>
      <c r="T583" s="254"/>
      <c r="U583" s="463"/>
      <c r="V583" s="253"/>
      <c r="W583" s="254"/>
      <c r="X583" s="463"/>
      <c r="Y583" s="9"/>
      <c r="Z583" s="9"/>
      <c r="AA583" s="9"/>
      <c r="AB583" s="9"/>
      <c r="AC583" s="234"/>
      <c r="AD583" s="234"/>
      <c r="AE583" s="234"/>
      <c r="AF583" s="234"/>
      <c r="AG583" s="9"/>
      <c r="AH583" s="9"/>
      <c r="AI583" s="9"/>
      <c r="AJ583" s="9"/>
      <c r="AK583" s="245"/>
      <c r="AL583" s="245"/>
      <c r="AM583" s="245"/>
      <c r="AN583" s="245"/>
      <c r="AO583" s="9"/>
      <c r="AP583" s="9"/>
      <c r="AQ583" s="9"/>
      <c r="AR583" s="9"/>
      <c r="AS583" s="9"/>
      <c r="AT583" s="9"/>
      <c r="AU583" s="9"/>
      <c r="AV583" s="9"/>
    </row>
    <row r="584">
      <c r="A584" s="253"/>
      <c r="B584" s="254"/>
      <c r="C584" s="463"/>
      <c r="D584" s="253"/>
      <c r="E584" s="254"/>
      <c r="F584" s="463"/>
      <c r="G584" s="253"/>
      <c r="H584" s="254"/>
      <c r="I584" s="463"/>
      <c r="J584" s="253"/>
      <c r="K584" s="254"/>
      <c r="L584" s="463"/>
      <c r="M584" s="253"/>
      <c r="N584" s="254"/>
      <c r="O584" s="463"/>
      <c r="P584" s="253"/>
      <c r="Q584" s="254"/>
      <c r="R584" s="463"/>
      <c r="S584" s="253"/>
      <c r="T584" s="254"/>
      <c r="U584" s="463"/>
      <c r="V584" s="253"/>
      <c r="W584" s="254"/>
      <c r="X584" s="463"/>
      <c r="Y584" s="9"/>
      <c r="Z584" s="9"/>
      <c r="AA584" s="9"/>
      <c r="AB584" s="9"/>
      <c r="AC584" s="234"/>
      <c r="AD584" s="234"/>
      <c r="AE584" s="234"/>
      <c r="AF584" s="234"/>
      <c r="AG584" s="9"/>
      <c r="AH584" s="9"/>
      <c r="AI584" s="9"/>
      <c r="AJ584" s="9"/>
      <c r="AK584" s="245"/>
      <c r="AL584" s="245"/>
      <c r="AM584" s="245"/>
      <c r="AN584" s="245"/>
      <c r="AO584" s="9"/>
      <c r="AP584" s="9"/>
      <c r="AQ584" s="9"/>
      <c r="AR584" s="9"/>
      <c r="AS584" s="9"/>
      <c r="AT584" s="9"/>
      <c r="AU584" s="9"/>
      <c r="AV584" s="9"/>
    </row>
    <row r="585">
      <c r="A585" s="253"/>
      <c r="B585" s="254"/>
      <c r="C585" s="463"/>
      <c r="D585" s="253"/>
      <c r="E585" s="254"/>
      <c r="F585" s="463"/>
      <c r="G585" s="253"/>
      <c r="H585" s="254"/>
      <c r="I585" s="463"/>
      <c r="J585" s="253"/>
      <c r="K585" s="254"/>
      <c r="L585" s="463"/>
      <c r="M585" s="253"/>
      <c r="N585" s="254"/>
      <c r="O585" s="463"/>
      <c r="P585" s="253"/>
      <c r="Q585" s="254"/>
      <c r="R585" s="463"/>
      <c r="S585" s="253"/>
      <c r="T585" s="254"/>
      <c r="U585" s="463"/>
      <c r="V585" s="253"/>
      <c r="W585" s="254"/>
      <c r="X585" s="463"/>
      <c r="Y585" s="9"/>
      <c r="Z585" s="9"/>
      <c r="AA585" s="9"/>
      <c r="AB585" s="9"/>
      <c r="AC585" s="234"/>
      <c r="AD585" s="234"/>
      <c r="AE585" s="234"/>
      <c r="AF585" s="234"/>
      <c r="AG585" s="9"/>
      <c r="AH585" s="9"/>
      <c r="AI585" s="9"/>
      <c r="AJ585" s="9"/>
      <c r="AK585" s="245"/>
      <c r="AL585" s="245"/>
      <c r="AM585" s="245"/>
      <c r="AN585" s="245"/>
      <c r="AO585" s="9"/>
      <c r="AP585" s="9"/>
      <c r="AQ585" s="9"/>
      <c r="AR585" s="9"/>
      <c r="AS585" s="9"/>
      <c r="AT585" s="9"/>
      <c r="AU585" s="9"/>
      <c r="AV585" s="9"/>
    </row>
    <row r="586">
      <c r="A586" s="253"/>
      <c r="B586" s="254"/>
      <c r="C586" s="463"/>
      <c r="D586" s="253"/>
      <c r="E586" s="254"/>
      <c r="F586" s="463"/>
      <c r="G586" s="253"/>
      <c r="H586" s="254"/>
      <c r="I586" s="463"/>
      <c r="J586" s="253"/>
      <c r="K586" s="254"/>
      <c r="L586" s="463"/>
      <c r="M586" s="253"/>
      <c r="N586" s="254"/>
      <c r="O586" s="463"/>
      <c r="P586" s="253"/>
      <c r="Q586" s="254"/>
      <c r="R586" s="463"/>
      <c r="S586" s="253"/>
      <c r="T586" s="254"/>
      <c r="U586" s="463"/>
      <c r="V586" s="253"/>
      <c r="W586" s="254"/>
      <c r="X586" s="463"/>
      <c r="Y586" s="9"/>
      <c r="Z586" s="9"/>
      <c r="AA586" s="9"/>
      <c r="AB586" s="9"/>
      <c r="AC586" s="234"/>
      <c r="AD586" s="234"/>
      <c r="AE586" s="234"/>
      <c r="AF586" s="234"/>
      <c r="AG586" s="9"/>
      <c r="AH586" s="9"/>
      <c r="AI586" s="9"/>
      <c r="AJ586" s="9"/>
      <c r="AK586" s="245"/>
      <c r="AL586" s="245"/>
      <c r="AM586" s="245"/>
      <c r="AN586" s="245"/>
      <c r="AO586" s="9"/>
      <c r="AP586" s="9"/>
      <c r="AQ586" s="9"/>
      <c r="AR586" s="9"/>
      <c r="AS586" s="9"/>
      <c r="AT586" s="9"/>
      <c r="AU586" s="9"/>
      <c r="AV586" s="9"/>
    </row>
    <row r="587">
      <c r="A587" s="253"/>
      <c r="B587" s="254"/>
      <c r="C587" s="463"/>
      <c r="D587" s="253"/>
      <c r="E587" s="254"/>
      <c r="F587" s="463"/>
      <c r="G587" s="253"/>
      <c r="H587" s="254"/>
      <c r="I587" s="463"/>
      <c r="J587" s="253"/>
      <c r="K587" s="254"/>
      <c r="L587" s="463"/>
      <c r="M587" s="253"/>
      <c r="N587" s="254"/>
      <c r="O587" s="463"/>
      <c r="P587" s="253"/>
      <c r="Q587" s="254"/>
      <c r="R587" s="463"/>
      <c r="S587" s="253"/>
      <c r="T587" s="254"/>
      <c r="U587" s="463"/>
      <c r="V587" s="253"/>
      <c r="W587" s="254"/>
      <c r="X587" s="463"/>
      <c r="Y587" s="9"/>
      <c r="Z587" s="9"/>
      <c r="AA587" s="9"/>
      <c r="AB587" s="9"/>
      <c r="AC587" s="234"/>
      <c r="AD587" s="234"/>
      <c r="AE587" s="234"/>
      <c r="AF587" s="234"/>
      <c r="AG587" s="9"/>
      <c r="AH587" s="9"/>
      <c r="AI587" s="9"/>
      <c r="AJ587" s="9"/>
      <c r="AK587" s="245"/>
      <c r="AL587" s="245"/>
      <c r="AM587" s="245"/>
      <c r="AN587" s="245"/>
      <c r="AO587" s="9"/>
      <c r="AP587" s="9"/>
      <c r="AQ587" s="9"/>
      <c r="AR587" s="9"/>
      <c r="AS587" s="9"/>
      <c r="AT587" s="9"/>
      <c r="AU587" s="9"/>
      <c r="AV587" s="9"/>
    </row>
    <row r="588">
      <c r="A588" s="253"/>
      <c r="B588" s="254"/>
      <c r="C588" s="463"/>
      <c r="D588" s="253"/>
      <c r="E588" s="254"/>
      <c r="F588" s="463"/>
      <c r="G588" s="253"/>
      <c r="H588" s="254"/>
      <c r="I588" s="463"/>
      <c r="J588" s="253"/>
      <c r="K588" s="254"/>
      <c r="L588" s="463"/>
      <c r="M588" s="253"/>
      <c r="N588" s="254"/>
      <c r="O588" s="463"/>
      <c r="P588" s="253"/>
      <c r="Q588" s="254"/>
      <c r="R588" s="463"/>
      <c r="S588" s="253"/>
      <c r="T588" s="254"/>
      <c r="U588" s="463"/>
      <c r="V588" s="253"/>
      <c r="W588" s="254"/>
      <c r="X588" s="463"/>
      <c r="Y588" s="9"/>
      <c r="Z588" s="9"/>
      <c r="AA588" s="9"/>
      <c r="AB588" s="9"/>
      <c r="AC588" s="234"/>
      <c r="AD588" s="234"/>
      <c r="AE588" s="234"/>
      <c r="AF588" s="234"/>
      <c r="AG588" s="9"/>
      <c r="AH588" s="9"/>
      <c r="AI588" s="9"/>
      <c r="AJ588" s="9"/>
      <c r="AK588" s="245"/>
      <c r="AL588" s="245"/>
      <c r="AM588" s="245"/>
      <c r="AN588" s="245"/>
      <c r="AO588" s="9"/>
      <c r="AP588" s="9"/>
      <c r="AQ588" s="9"/>
      <c r="AR588" s="9"/>
      <c r="AS588" s="9"/>
      <c r="AT588" s="9"/>
      <c r="AU588" s="9"/>
      <c r="AV588" s="9"/>
    </row>
    <row r="589">
      <c r="A589" s="253"/>
      <c r="B589" s="254"/>
      <c r="C589" s="463"/>
      <c r="D589" s="253"/>
      <c r="E589" s="254"/>
      <c r="F589" s="463"/>
      <c r="G589" s="253"/>
      <c r="H589" s="254"/>
      <c r="I589" s="463"/>
      <c r="J589" s="253"/>
      <c r="K589" s="254"/>
      <c r="L589" s="463"/>
      <c r="M589" s="253"/>
      <c r="N589" s="254"/>
      <c r="O589" s="463"/>
      <c r="P589" s="253"/>
      <c r="Q589" s="254"/>
      <c r="R589" s="463"/>
      <c r="S589" s="253"/>
      <c r="T589" s="254"/>
      <c r="U589" s="463"/>
      <c r="V589" s="253"/>
      <c r="W589" s="254"/>
      <c r="X589" s="463"/>
      <c r="Y589" s="9"/>
      <c r="Z589" s="9"/>
      <c r="AA589" s="9"/>
      <c r="AB589" s="9"/>
      <c r="AC589" s="234"/>
      <c r="AD589" s="234"/>
      <c r="AE589" s="234"/>
      <c r="AF589" s="234"/>
      <c r="AG589" s="9"/>
      <c r="AH589" s="9"/>
      <c r="AI589" s="9"/>
      <c r="AJ589" s="9"/>
      <c r="AK589" s="245"/>
      <c r="AL589" s="245"/>
      <c r="AM589" s="245"/>
      <c r="AN589" s="245"/>
      <c r="AO589" s="9"/>
      <c r="AP589" s="9"/>
      <c r="AQ589" s="9"/>
      <c r="AR589" s="9"/>
      <c r="AS589" s="9"/>
      <c r="AT589" s="9"/>
      <c r="AU589" s="9"/>
      <c r="AV589" s="9"/>
    </row>
    <row r="590">
      <c r="A590" s="253"/>
      <c r="B590" s="254"/>
      <c r="C590" s="463"/>
      <c r="D590" s="253"/>
      <c r="E590" s="254"/>
      <c r="F590" s="463"/>
      <c r="G590" s="253"/>
      <c r="H590" s="254"/>
      <c r="I590" s="463"/>
      <c r="J590" s="253"/>
      <c r="K590" s="254"/>
      <c r="L590" s="463"/>
      <c r="M590" s="253"/>
      <c r="N590" s="254"/>
      <c r="O590" s="463"/>
      <c r="P590" s="253"/>
      <c r="Q590" s="254"/>
      <c r="R590" s="463"/>
      <c r="S590" s="253"/>
      <c r="T590" s="254"/>
      <c r="U590" s="463"/>
      <c r="V590" s="253"/>
      <c r="W590" s="254"/>
      <c r="X590" s="463"/>
      <c r="Y590" s="9"/>
      <c r="Z590" s="9"/>
      <c r="AA590" s="9"/>
      <c r="AB590" s="9"/>
      <c r="AC590" s="234"/>
      <c r="AD590" s="234"/>
      <c r="AE590" s="234"/>
      <c r="AF590" s="234"/>
      <c r="AG590" s="9"/>
      <c r="AH590" s="9"/>
      <c r="AI590" s="9"/>
      <c r="AJ590" s="9"/>
      <c r="AK590" s="245"/>
      <c r="AL590" s="245"/>
      <c r="AM590" s="245"/>
      <c r="AN590" s="245"/>
      <c r="AO590" s="9"/>
      <c r="AP590" s="9"/>
      <c r="AQ590" s="9"/>
      <c r="AR590" s="9"/>
      <c r="AS590" s="9"/>
      <c r="AT590" s="9"/>
      <c r="AU590" s="9"/>
      <c r="AV590" s="9"/>
    </row>
    <row r="591">
      <c r="A591" s="253"/>
      <c r="B591" s="254"/>
      <c r="C591" s="463"/>
      <c r="D591" s="253"/>
      <c r="E591" s="254"/>
      <c r="F591" s="463"/>
      <c r="G591" s="253"/>
      <c r="H591" s="254"/>
      <c r="I591" s="463"/>
      <c r="J591" s="253"/>
      <c r="K591" s="254"/>
      <c r="L591" s="463"/>
      <c r="M591" s="253"/>
      <c r="N591" s="254"/>
      <c r="O591" s="463"/>
      <c r="P591" s="253"/>
      <c r="Q591" s="254"/>
      <c r="R591" s="463"/>
      <c r="S591" s="253"/>
      <c r="T591" s="254"/>
      <c r="U591" s="463"/>
      <c r="V591" s="253"/>
      <c r="W591" s="254"/>
      <c r="X591" s="463"/>
      <c r="Y591" s="9"/>
      <c r="Z591" s="9"/>
      <c r="AA591" s="9"/>
      <c r="AB591" s="9"/>
      <c r="AC591" s="234"/>
      <c r="AD591" s="234"/>
      <c r="AE591" s="234"/>
      <c r="AF591" s="234"/>
      <c r="AG591" s="9"/>
      <c r="AH591" s="9"/>
      <c r="AI591" s="9"/>
      <c r="AJ591" s="9"/>
      <c r="AK591" s="245"/>
      <c r="AL591" s="245"/>
      <c r="AM591" s="245"/>
      <c r="AN591" s="245"/>
      <c r="AO591" s="9"/>
      <c r="AP591" s="9"/>
      <c r="AQ591" s="9"/>
      <c r="AR591" s="9"/>
      <c r="AS591" s="9"/>
      <c r="AT591" s="9"/>
      <c r="AU591" s="9"/>
      <c r="AV591" s="9"/>
    </row>
    <row r="592">
      <c r="A592" s="253"/>
      <c r="B592" s="254"/>
      <c r="C592" s="463"/>
      <c r="D592" s="253"/>
      <c r="E592" s="254"/>
      <c r="F592" s="463"/>
      <c r="G592" s="253"/>
      <c r="H592" s="254"/>
      <c r="I592" s="463"/>
      <c r="J592" s="253"/>
      <c r="K592" s="254"/>
      <c r="L592" s="463"/>
      <c r="M592" s="253"/>
      <c r="N592" s="254"/>
      <c r="O592" s="463"/>
      <c r="P592" s="253"/>
      <c r="Q592" s="254"/>
      <c r="R592" s="463"/>
      <c r="S592" s="253"/>
      <c r="T592" s="254"/>
      <c r="U592" s="463"/>
      <c r="V592" s="253"/>
      <c r="W592" s="254"/>
      <c r="X592" s="463"/>
      <c r="Y592" s="9"/>
      <c r="Z592" s="9"/>
      <c r="AA592" s="9"/>
      <c r="AB592" s="9"/>
      <c r="AC592" s="234"/>
      <c r="AD592" s="234"/>
      <c r="AE592" s="234"/>
      <c r="AF592" s="234"/>
      <c r="AG592" s="9"/>
      <c r="AH592" s="9"/>
      <c r="AI592" s="9"/>
      <c r="AJ592" s="9"/>
      <c r="AK592" s="245"/>
      <c r="AL592" s="245"/>
      <c r="AM592" s="245"/>
      <c r="AN592" s="245"/>
      <c r="AO592" s="9"/>
      <c r="AP592" s="9"/>
      <c r="AQ592" s="9"/>
      <c r="AR592" s="9"/>
      <c r="AS592" s="9"/>
      <c r="AT592" s="9"/>
      <c r="AU592" s="9"/>
      <c r="AV592" s="9"/>
    </row>
    <row r="593">
      <c r="A593" s="253"/>
      <c r="B593" s="254"/>
      <c r="C593" s="463"/>
      <c r="D593" s="253"/>
      <c r="E593" s="254"/>
      <c r="F593" s="463"/>
      <c r="G593" s="253"/>
      <c r="H593" s="254"/>
      <c r="I593" s="463"/>
      <c r="J593" s="253"/>
      <c r="K593" s="254"/>
      <c r="L593" s="463"/>
      <c r="M593" s="253"/>
      <c r="N593" s="254"/>
      <c r="O593" s="463"/>
      <c r="P593" s="253"/>
      <c r="Q593" s="254"/>
      <c r="R593" s="463"/>
      <c r="S593" s="253"/>
      <c r="T593" s="254"/>
      <c r="U593" s="463"/>
      <c r="V593" s="253"/>
      <c r="W593" s="254"/>
      <c r="X593" s="463"/>
      <c r="Y593" s="9"/>
      <c r="Z593" s="9"/>
      <c r="AA593" s="9"/>
      <c r="AB593" s="9"/>
      <c r="AC593" s="234"/>
      <c r="AD593" s="234"/>
      <c r="AE593" s="234"/>
      <c r="AF593" s="234"/>
      <c r="AG593" s="9"/>
      <c r="AH593" s="9"/>
      <c r="AI593" s="9"/>
      <c r="AJ593" s="9"/>
      <c r="AK593" s="245"/>
      <c r="AL593" s="245"/>
      <c r="AM593" s="245"/>
      <c r="AN593" s="245"/>
      <c r="AO593" s="9"/>
      <c r="AP593" s="9"/>
      <c r="AQ593" s="9"/>
      <c r="AR593" s="9"/>
      <c r="AS593" s="9"/>
      <c r="AT593" s="9"/>
      <c r="AU593" s="9"/>
      <c r="AV593" s="9"/>
    </row>
    <row r="594">
      <c r="A594" s="253"/>
      <c r="B594" s="254"/>
      <c r="C594" s="463"/>
      <c r="D594" s="253"/>
      <c r="E594" s="254"/>
      <c r="F594" s="463"/>
      <c r="G594" s="253"/>
      <c r="H594" s="254"/>
      <c r="I594" s="463"/>
      <c r="J594" s="253"/>
      <c r="K594" s="254"/>
      <c r="L594" s="463"/>
      <c r="M594" s="253"/>
      <c r="N594" s="254"/>
      <c r="O594" s="463"/>
      <c r="P594" s="253"/>
      <c r="Q594" s="254"/>
      <c r="R594" s="463"/>
      <c r="S594" s="253"/>
      <c r="T594" s="254"/>
      <c r="U594" s="463"/>
      <c r="V594" s="253"/>
      <c r="W594" s="254"/>
      <c r="X594" s="463"/>
      <c r="Y594" s="9"/>
      <c r="Z594" s="9"/>
      <c r="AA594" s="9"/>
      <c r="AB594" s="9"/>
      <c r="AC594" s="234"/>
      <c r="AD594" s="234"/>
      <c r="AE594" s="234"/>
      <c r="AF594" s="234"/>
      <c r="AG594" s="9"/>
      <c r="AH594" s="9"/>
      <c r="AI594" s="9"/>
      <c r="AJ594" s="9"/>
      <c r="AK594" s="245"/>
      <c r="AL594" s="245"/>
      <c r="AM594" s="245"/>
      <c r="AN594" s="245"/>
      <c r="AO594" s="9"/>
      <c r="AP594" s="9"/>
      <c r="AQ594" s="9"/>
      <c r="AR594" s="9"/>
      <c r="AS594" s="9"/>
      <c r="AT594" s="9"/>
      <c r="AU594" s="9"/>
      <c r="AV594" s="9"/>
    </row>
    <row r="595">
      <c r="A595" s="253"/>
      <c r="B595" s="254"/>
      <c r="C595" s="463"/>
      <c r="D595" s="253"/>
      <c r="E595" s="254"/>
      <c r="F595" s="463"/>
      <c r="G595" s="253"/>
      <c r="H595" s="254"/>
      <c r="I595" s="463"/>
      <c r="J595" s="253"/>
      <c r="K595" s="254"/>
      <c r="L595" s="463"/>
      <c r="M595" s="253"/>
      <c r="N595" s="254"/>
      <c r="O595" s="463"/>
      <c r="P595" s="253"/>
      <c r="Q595" s="254"/>
      <c r="R595" s="463"/>
      <c r="S595" s="253"/>
      <c r="T595" s="254"/>
      <c r="U595" s="463"/>
      <c r="V595" s="253"/>
      <c r="W595" s="254"/>
      <c r="X595" s="463"/>
      <c r="Y595" s="9"/>
      <c r="Z595" s="9"/>
      <c r="AA595" s="9"/>
      <c r="AB595" s="9"/>
      <c r="AC595" s="234"/>
      <c r="AD595" s="234"/>
      <c r="AE595" s="234"/>
      <c r="AF595" s="234"/>
      <c r="AG595" s="9"/>
      <c r="AH595" s="9"/>
      <c r="AI595" s="9"/>
      <c r="AJ595" s="9"/>
      <c r="AK595" s="245"/>
      <c r="AL595" s="245"/>
      <c r="AM595" s="245"/>
      <c r="AN595" s="245"/>
      <c r="AO595" s="9"/>
      <c r="AP595" s="9"/>
      <c r="AQ595" s="9"/>
      <c r="AR595" s="9"/>
      <c r="AS595" s="9"/>
      <c r="AT595" s="9"/>
      <c r="AU595" s="9"/>
      <c r="AV595" s="9"/>
    </row>
    <row r="596">
      <c r="A596" s="253"/>
      <c r="B596" s="254"/>
      <c r="C596" s="463"/>
      <c r="D596" s="253"/>
      <c r="E596" s="254"/>
      <c r="F596" s="463"/>
      <c r="G596" s="253"/>
      <c r="H596" s="254"/>
      <c r="I596" s="463"/>
      <c r="J596" s="253"/>
      <c r="K596" s="254"/>
      <c r="L596" s="463"/>
      <c r="M596" s="253"/>
      <c r="N596" s="254"/>
      <c r="O596" s="463"/>
      <c r="P596" s="253"/>
      <c r="Q596" s="254"/>
      <c r="R596" s="463"/>
      <c r="S596" s="253"/>
      <c r="T596" s="254"/>
      <c r="U596" s="463"/>
      <c r="V596" s="253"/>
      <c r="W596" s="254"/>
      <c r="X596" s="463"/>
      <c r="Y596" s="9"/>
      <c r="Z596" s="9"/>
      <c r="AA596" s="9"/>
      <c r="AB596" s="9"/>
      <c r="AC596" s="234"/>
      <c r="AD596" s="234"/>
      <c r="AE596" s="234"/>
      <c r="AF596" s="234"/>
      <c r="AG596" s="9"/>
      <c r="AH596" s="9"/>
      <c r="AI596" s="9"/>
      <c r="AJ596" s="9"/>
      <c r="AK596" s="245"/>
      <c r="AL596" s="245"/>
      <c r="AM596" s="245"/>
      <c r="AN596" s="245"/>
      <c r="AO596" s="9"/>
      <c r="AP596" s="9"/>
      <c r="AQ596" s="9"/>
      <c r="AR596" s="9"/>
      <c r="AS596" s="9"/>
      <c r="AT596" s="9"/>
      <c r="AU596" s="9"/>
      <c r="AV596" s="9"/>
    </row>
    <row r="597">
      <c r="A597" s="253"/>
      <c r="B597" s="254"/>
      <c r="C597" s="463"/>
      <c r="D597" s="253"/>
      <c r="E597" s="254"/>
      <c r="F597" s="463"/>
      <c r="G597" s="253"/>
      <c r="H597" s="254"/>
      <c r="I597" s="463"/>
      <c r="J597" s="253"/>
      <c r="K597" s="254"/>
      <c r="L597" s="463"/>
      <c r="M597" s="253"/>
      <c r="N597" s="254"/>
      <c r="O597" s="463"/>
      <c r="P597" s="253"/>
      <c r="Q597" s="254"/>
      <c r="R597" s="463"/>
      <c r="S597" s="253"/>
      <c r="T597" s="254"/>
      <c r="U597" s="463"/>
      <c r="V597" s="253"/>
      <c r="W597" s="254"/>
      <c r="X597" s="463"/>
      <c r="Y597" s="9"/>
      <c r="Z597" s="9"/>
      <c r="AA597" s="9"/>
      <c r="AB597" s="9"/>
      <c r="AC597" s="234"/>
      <c r="AD597" s="234"/>
      <c r="AE597" s="234"/>
      <c r="AF597" s="234"/>
      <c r="AG597" s="9"/>
      <c r="AH597" s="9"/>
      <c r="AI597" s="9"/>
      <c r="AJ597" s="9"/>
      <c r="AK597" s="245"/>
      <c r="AL597" s="245"/>
      <c r="AM597" s="245"/>
      <c r="AN597" s="245"/>
      <c r="AO597" s="9"/>
      <c r="AP597" s="9"/>
      <c r="AQ597" s="9"/>
      <c r="AR597" s="9"/>
      <c r="AS597" s="9"/>
      <c r="AT597" s="9"/>
      <c r="AU597" s="9"/>
      <c r="AV597" s="9"/>
    </row>
    <row r="598">
      <c r="A598" s="253"/>
      <c r="B598" s="254"/>
      <c r="C598" s="463"/>
      <c r="D598" s="253"/>
      <c r="E598" s="254"/>
      <c r="F598" s="463"/>
      <c r="G598" s="253"/>
      <c r="H598" s="254"/>
      <c r="I598" s="463"/>
      <c r="J598" s="253"/>
      <c r="K598" s="254"/>
      <c r="L598" s="463"/>
      <c r="M598" s="253"/>
      <c r="N598" s="254"/>
      <c r="O598" s="463"/>
      <c r="P598" s="253"/>
      <c r="Q598" s="254"/>
      <c r="R598" s="463"/>
      <c r="S598" s="253"/>
      <c r="T598" s="254"/>
      <c r="U598" s="463"/>
      <c r="V598" s="253"/>
      <c r="W598" s="254"/>
      <c r="X598" s="463"/>
      <c r="Y598" s="9"/>
      <c r="Z598" s="9"/>
      <c r="AA598" s="9"/>
      <c r="AB598" s="9"/>
      <c r="AC598" s="234"/>
      <c r="AD598" s="234"/>
      <c r="AE598" s="234"/>
      <c r="AF598" s="234"/>
      <c r="AG598" s="9"/>
      <c r="AH598" s="9"/>
      <c r="AI598" s="9"/>
      <c r="AJ598" s="9"/>
      <c r="AK598" s="245"/>
      <c r="AL598" s="245"/>
      <c r="AM598" s="245"/>
      <c r="AN598" s="245"/>
      <c r="AO598" s="9"/>
      <c r="AP598" s="9"/>
      <c r="AQ598" s="9"/>
      <c r="AR598" s="9"/>
      <c r="AS598" s="9"/>
      <c r="AT598" s="9"/>
      <c r="AU598" s="9"/>
      <c r="AV598" s="9"/>
    </row>
    <row r="599">
      <c r="A599" s="253"/>
      <c r="B599" s="254"/>
      <c r="C599" s="463"/>
      <c r="D599" s="253"/>
      <c r="E599" s="254"/>
      <c r="F599" s="463"/>
      <c r="G599" s="253"/>
      <c r="H599" s="254"/>
      <c r="I599" s="463"/>
      <c r="J599" s="253"/>
      <c r="K599" s="254"/>
      <c r="L599" s="463"/>
      <c r="M599" s="253"/>
      <c r="N599" s="254"/>
      <c r="O599" s="463"/>
      <c r="P599" s="253"/>
      <c r="Q599" s="254"/>
      <c r="R599" s="463"/>
      <c r="S599" s="253"/>
      <c r="T599" s="254"/>
      <c r="U599" s="463"/>
      <c r="V599" s="253"/>
      <c r="W599" s="254"/>
      <c r="X599" s="463"/>
      <c r="Y599" s="9"/>
      <c r="Z599" s="9"/>
      <c r="AA599" s="9"/>
      <c r="AB599" s="9"/>
      <c r="AC599" s="234"/>
      <c r="AD599" s="234"/>
      <c r="AE599" s="234"/>
      <c r="AF599" s="234"/>
      <c r="AG599" s="9"/>
      <c r="AH599" s="9"/>
      <c r="AI599" s="9"/>
      <c r="AJ599" s="9"/>
      <c r="AK599" s="245"/>
      <c r="AL599" s="245"/>
      <c r="AM599" s="245"/>
      <c r="AN599" s="245"/>
      <c r="AO599" s="9"/>
      <c r="AP599" s="9"/>
      <c r="AQ599" s="9"/>
      <c r="AR599" s="9"/>
      <c r="AS599" s="9"/>
      <c r="AT599" s="9"/>
      <c r="AU599" s="9"/>
      <c r="AV599" s="9"/>
    </row>
    <row r="600">
      <c r="A600" s="253"/>
      <c r="B600" s="254"/>
      <c r="C600" s="463"/>
      <c r="D600" s="253"/>
      <c r="E600" s="254"/>
      <c r="F600" s="463"/>
      <c r="G600" s="253"/>
      <c r="H600" s="254"/>
      <c r="I600" s="463"/>
      <c r="J600" s="253"/>
      <c r="K600" s="254"/>
      <c r="L600" s="463"/>
      <c r="M600" s="253"/>
      <c r="N600" s="254"/>
      <c r="O600" s="463"/>
      <c r="P600" s="253"/>
      <c r="Q600" s="254"/>
      <c r="R600" s="463"/>
      <c r="S600" s="253"/>
      <c r="T600" s="254"/>
      <c r="U600" s="463"/>
      <c r="V600" s="253"/>
      <c r="W600" s="254"/>
      <c r="X600" s="463"/>
      <c r="Y600" s="9"/>
      <c r="Z600" s="9"/>
      <c r="AA600" s="9"/>
      <c r="AB600" s="9"/>
      <c r="AC600" s="234"/>
      <c r="AD600" s="234"/>
      <c r="AE600" s="234"/>
      <c r="AF600" s="234"/>
      <c r="AG600" s="9"/>
      <c r="AH600" s="9"/>
      <c r="AI600" s="9"/>
      <c r="AJ600" s="9"/>
      <c r="AK600" s="245"/>
      <c r="AL600" s="245"/>
      <c r="AM600" s="245"/>
      <c r="AN600" s="245"/>
      <c r="AO600" s="9"/>
      <c r="AP600" s="9"/>
      <c r="AQ600" s="9"/>
      <c r="AR600" s="9"/>
      <c r="AS600" s="9"/>
      <c r="AT600" s="9"/>
      <c r="AU600" s="9"/>
      <c r="AV600" s="9"/>
    </row>
    <row r="601">
      <c r="A601" s="253"/>
      <c r="B601" s="254"/>
      <c r="C601" s="463"/>
      <c r="D601" s="253"/>
      <c r="E601" s="254"/>
      <c r="F601" s="463"/>
      <c r="G601" s="253"/>
      <c r="H601" s="254"/>
      <c r="I601" s="463"/>
      <c r="J601" s="253"/>
      <c r="K601" s="254"/>
      <c r="L601" s="463"/>
      <c r="M601" s="253"/>
      <c r="N601" s="254"/>
      <c r="O601" s="463"/>
      <c r="P601" s="253"/>
      <c r="Q601" s="254"/>
      <c r="R601" s="463"/>
      <c r="S601" s="253"/>
      <c r="T601" s="254"/>
      <c r="U601" s="463"/>
      <c r="V601" s="253"/>
      <c r="W601" s="254"/>
      <c r="X601" s="463"/>
      <c r="Y601" s="9"/>
      <c r="Z601" s="9"/>
      <c r="AA601" s="9"/>
      <c r="AB601" s="9"/>
      <c r="AC601" s="234"/>
      <c r="AD601" s="234"/>
      <c r="AE601" s="234"/>
      <c r="AF601" s="234"/>
      <c r="AG601" s="9"/>
      <c r="AH601" s="9"/>
      <c r="AI601" s="9"/>
      <c r="AJ601" s="9"/>
      <c r="AK601" s="245"/>
      <c r="AL601" s="245"/>
      <c r="AM601" s="245"/>
      <c r="AN601" s="245"/>
      <c r="AO601" s="9"/>
      <c r="AP601" s="9"/>
      <c r="AQ601" s="9"/>
      <c r="AR601" s="9"/>
      <c r="AS601" s="9"/>
      <c r="AT601" s="9"/>
      <c r="AU601" s="9"/>
      <c r="AV601" s="9"/>
    </row>
    <row r="602">
      <c r="A602" s="253"/>
      <c r="B602" s="254"/>
      <c r="C602" s="463"/>
      <c r="D602" s="253"/>
      <c r="E602" s="254"/>
      <c r="F602" s="463"/>
      <c r="G602" s="253"/>
      <c r="H602" s="254"/>
      <c r="I602" s="463"/>
      <c r="J602" s="253"/>
      <c r="K602" s="254"/>
      <c r="L602" s="463"/>
      <c r="M602" s="253"/>
      <c r="N602" s="254"/>
      <c r="O602" s="463"/>
      <c r="P602" s="253"/>
      <c r="Q602" s="254"/>
      <c r="R602" s="463"/>
      <c r="S602" s="253"/>
      <c r="T602" s="254"/>
      <c r="U602" s="463"/>
      <c r="V602" s="253"/>
      <c r="W602" s="254"/>
      <c r="X602" s="463"/>
      <c r="Y602" s="9"/>
      <c r="Z602" s="9"/>
      <c r="AA602" s="9"/>
      <c r="AB602" s="9"/>
      <c r="AC602" s="234"/>
      <c r="AD602" s="234"/>
      <c r="AE602" s="234"/>
      <c r="AF602" s="234"/>
      <c r="AG602" s="9"/>
      <c r="AH602" s="9"/>
      <c r="AI602" s="9"/>
      <c r="AJ602" s="9"/>
      <c r="AK602" s="245"/>
      <c r="AL602" s="245"/>
      <c r="AM602" s="245"/>
      <c r="AN602" s="245"/>
      <c r="AO602" s="9"/>
      <c r="AP602" s="9"/>
      <c r="AQ602" s="9"/>
      <c r="AR602" s="9"/>
      <c r="AS602" s="9"/>
      <c r="AT602" s="9"/>
      <c r="AU602" s="9"/>
      <c r="AV602" s="9"/>
    </row>
    <row r="603">
      <c r="A603" s="253"/>
      <c r="B603" s="254"/>
      <c r="C603" s="463"/>
      <c r="D603" s="253"/>
      <c r="E603" s="254"/>
      <c r="F603" s="463"/>
      <c r="G603" s="253"/>
      <c r="H603" s="254"/>
      <c r="I603" s="463"/>
      <c r="J603" s="253"/>
      <c r="K603" s="254"/>
      <c r="L603" s="463"/>
      <c r="M603" s="253"/>
      <c r="N603" s="254"/>
      <c r="O603" s="463"/>
      <c r="P603" s="253"/>
      <c r="Q603" s="254"/>
      <c r="R603" s="463"/>
      <c r="S603" s="253"/>
      <c r="T603" s="254"/>
      <c r="U603" s="463"/>
      <c r="V603" s="253"/>
      <c r="W603" s="254"/>
      <c r="X603" s="463"/>
      <c r="Y603" s="9"/>
      <c r="Z603" s="9"/>
      <c r="AA603" s="9"/>
      <c r="AB603" s="9"/>
      <c r="AC603" s="234"/>
      <c r="AD603" s="234"/>
      <c r="AE603" s="234"/>
      <c r="AF603" s="234"/>
      <c r="AG603" s="9"/>
      <c r="AH603" s="9"/>
      <c r="AI603" s="9"/>
      <c r="AJ603" s="9"/>
      <c r="AK603" s="245"/>
      <c r="AL603" s="245"/>
      <c r="AM603" s="245"/>
      <c r="AN603" s="245"/>
      <c r="AO603" s="9"/>
      <c r="AP603" s="9"/>
      <c r="AQ603" s="9"/>
      <c r="AR603" s="9"/>
      <c r="AS603" s="9"/>
      <c r="AT603" s="9"/>
      <c r="AU603" s="9"/>
      <c r="AV603" s="9"/>
    </row>
    <row r="604">
      <c r="A604" s="253"/>
      <c r="B604" s="254"/>
      <c r="C604" s="463"/>
      <c r="D604" s="253"/>
      <c r="E604" s="254"/>
      <c r="F604" s="463"/>
      <c r="G604" s="253"/>
      <c r="H604" s="254"/>
      <c r="I604" s="463"/>
      <c r="J604" s="253"/>
      <c r="K604" s="254"/>
      <c r="L604" s="463"/>
      <c r="M604" s="253"/>
      <c r="N604" s="254"/>
      <c r="O604" s="463"/>
      <c r="P604" s="253"/>
      <c r="Q604" s="254"/>
      <c r="R604" s="463"/>
      <c r="S604" s="253"/>
      <c r="T604" s="254"/>
      <c r="U604" s="463"/>
      <c r="V604" s="253"/>
      <c r="W604" s="254"/>
      <c r="X604" s="463"/>
      <c r="Y604" s="9"/>
      <c r="Z604" s="9"/>
      <c r="AA604" s="9"/>
      <c r="AB604" s="9"/>
      <c r="AC604" s="234"/>
      <c r="AD604" s="234"/>
      <c r="AE604" s="234"/>
      <c r="AF604" s="234"/>
      <c r="AG604" s="9"/>
      <c r="AH604" s="9"/>
      <c r="AI604" s="9"/>
      <c r="AJ604" s="9"/>
      <c r="AK604" s="245"/>
      <c r="AL604" s="245"/>
      <c r="AM604" s="245"/>
      <c r="AN604" s="245"/>
      <c r="AO604" s="9"/>
      <c r="AP604" s="9"/>
      <c r="AQ604" s="9"/>
      <c r="AR604" s="9"/>
      <c r="AS604" s="9"/>
      <c r="AT604" s="9"/>
      <c r="AU604" s="9"/>
      <c r="AV604" s="9"/>
    </row>
    <row r="605">
      <c r="A605" s="253"/>
      <c r="B605" s="254"/>
      <c r="C605" s="463"/>
      <c r="D605" s="253"/>
      <c r="E605" s="254"/>
      <c r="F605" s="463"/>
      <c r="G605" s="253"/>
      <c r="H605" s="254"/>
      <c r="I605" s="463"/>
      <c r="J605" s="253"/>
      <c r="K605" s="254"/>
      <c r="L605" s="463"/>
      <c r="M605" s="253"/>
      <c r="N605" s="254"/>
      <c r="O605" s="463"/>
      <c r="P605" s="253"/>
      <c r="Q605" s="254"/>
      <c r="R605" s="463"/>
      <c r="S605" s="253"/>
      <c r="T605" s="254"/>
      <c r="U605" s="463"/>
      <c r="V605" s="253"/>
      <c r="W605" s="254"/>
      <c r="X605" s="463"/>
      <c r="Y605" s="9"/>
      <c r="Z605" s="9"/>
      <c r="AA605" s="9"/>
      <c r="AB605" s="9"/>
      <c r="AC605" s="234"/>
      <c r="AD605" s="234"/>
      <c r="AE605" s="234"/>
      <c r="AF605" s="234"/>
      <c r="AG605" s="9"/>
      <c r="AH605" s="9"/>
      <c r="AI605" s="9"/>
      <c r="AJ605" s="9"/>
      <c r="AK605" s="245"/>
      <c r="AL605" s="245"/>
      <c r="AM605" s="245"/>
      <c r="AN605" s="245"/>
      <c r="AO605" s="9"/>
      <c r="AP605" s="9"/>
      <c r="AQ605" s="9"/>
      <c r="AR605" s="9"/>
      <c r="AS605" s="9"/>
      <c r="AT605" s="9"/>
      <c r="AU605" s="9"/>
      <c r="AV605" s="9"/>
    </row>
    <row r="606">
      <c r="A606" s="253"/>
      <c r="B606" s="254"/>
      <c r="C606" s="463"/>
      <c r="D606" s="253"/>
      <c r="E606" s="254"/>
      <c r="F606" s="463"/>
      <c r="G606" s="253"/>
      <c r="H606" s="254"/>
      <c r="I606" s="463"/>
      <c r="J606" s="253"/>
      <c r="K606" s="254"/>
      <c r="L606" s="463"/>
      <c r="M606" s="253"/>
      <c r="N606" s="254"/>
      <c r="O606" s="463"/>
      <c r="P606" s="253"/>
      <c r="Q606" s="254"/>
      <c r="R606" s="463"/>
      <c r="S606" s="253"/>
      <c r="T606" s="254"/>
      <c r="U606" s="463"/>
      <c r="V606" s="253"/>
      <c r="W606" s="254"/>
      <c r="X606" s="463"/>
      <c r="Y606" s="9"/>
      <c r="Z606" s="9"/>
      <c r="AA606" s="9"/>
      <c r="AB606" s="9"/>
      <c r="AC606" s="234"/>
      <c r="AD606" s="234"/>
      <c r="AE606" s="234"/>
      <c r="AF606" s="234"/>
      <c r="AG606" s="9"/>
      <c r="AH606" s="9"/>
      <c r="AI606" s="9"/>
      <c r="AJ606" s="9"/>
      <c r="AK606" s="245"/>
      <c r="AL606" s="245"/>
      <c r="AM606" s="245"/>
      <c r="AN606" s="245"/>
      <c r="AO606" s="9"/>
      <c r="AP606" s="9"/>
      <c r="AQ606" s="9"/>
      <c r="AR606" s="9"/>
      <c r="AS606" s="9"/>
      <c r="AT606" s="9"/>
      <c r="AU606" s="9"/>
      <c r="AV606" s="9"/>
    </row>
    <row r="607">
      <c r="A607" s="253"/>
      <c r="B607" s="254"/>
      <c r="C607" s="463"/>
      <c r="D607" s="253"/>
      <c r="E607" s="254"/>
      <c r="F607" s="463"/>
      <c r="G607" s="253"/>
      <c r="H607" s="254"/>
      <c r="I607" s="463"/>
      <c r="J607" s="253"/>
      <c r="K607" s="254"/>
      <c r="L607" s="463"/>
      <c r="M607" s="253"/>
      <c r="N607" s="254"/>
      <c r="O607" s="463"/>
      <c r="P607" s="253"/>
      <c r="Q607" s="254"/>
      <c r="R607" s="463"/>
      <c r="S607" s="253"/>
      <c r="T607" s="254"/>
      <c r="U607" s="463"/>
      <c r="V607" s="253"/>
      <c r="W607" s="254"/>
      <c r="X607" s="463"/>
      <c r="Y607" s="9"/>
      <c r="Z607" s="9"/>
      <c r="AA607" s="9"/>
      <c r="AB607" s="9"/>
      <c r="AC607" s="234"/>
      <c r="AD607" s="234"/>
      <c r="AE607" s="234"/>
      <c r="AF607" s="234"/>
      <c r="AG607" s="9"/>
      <c r="AH607" s="9"/>
      <c r="AI607" s="9"/>
      <c r="AJ607" s="9"/>
      <c r="AK607" s="245"/>
      <c r="AL607" s="245"/>
      <c r="AM607" s="245"/>
      <c r="AN607" s="245"/>
      <c r="AO607" s="9"/>
      <c r="AP607" s="9"/>
      <c r="AQ607" s="9"/>
      <c r="AR607" s="9"/>
      <c r="AS607" s="9"/>
      <c r="AT607" s="9"/>
      <c r="AU607" s="9"/>
      <c r="AV607" s="9"/>
    </row>
    <row r="608">
      <c r="A608" s="253"/>
      <c r="B608" s="254"/>
      <c r="C608" s="463"/>
      <c r="D608" s="253"/>
      <c r="E608" s="254"/>
      <c r="F608" s="463"/>
      <c r="G608" s="253"/>
      <c r="H608" s="254"/>
      <c r="I608" s="463"/>
      <c r="J608" s="253"/>
      <c r="K608" s="254"/>
      <c r="L608" s="463"/>
      <c r="M608" s="253"/>
      <c r="N608" s="254"/>
      <c r="O608" s="463"/>
      <c r="P608" s="253"/>
      <c r="Q608" s="254"/>
      <c r="R608" s="463"/>
      <c r="S608" s="253"/>
      <c r="T608" s="254"/>
      <c r="U608" s="463"/>
      <c r="V608" s="253"/>
      <c r="W608" s="254"/>
      <c r="X608" s="463"/>
      <c r="Y608" s="9"/>
      <c r="Z608" s="9"/>
      <c r="AA608" s="9"/>
      <c r="AB608" s="9"/>
      <c r="AC608" s="234"/>
      <c r="AD608" s="234"/>
      <c r="AE608" s="234"/>
      <c r="AF608" s="234"/>
      <c r="AG608" s="9"/>
      <c r="AH608" s="9"/>
      <c r="AI608" s="9"/>
      <c r="AJ608" s="9"/>
      <c r="AK608" s="245"/>
      <c r="AL608" s="245"/>
      <c r="AM608" s="245"/>
      <c r="AN608" s="245"/>
      <c r="AO608" s="9"/>
      <c r="AP608" s="9"/>
      <c r="AQ608" s="9"/>
      <c r="AR608" s="9"/>
      <c r="AS608" s="9"/>
      <c r="AT608" s="9"/>
      <c r="AU608" s="9"/>
      <c r="AV608" s="9"/>
    </row>
    <row r="609">
      <c r="A609" s="253"/>
      <c r="B609" s="254"/>
      <c r="C609" s="463"/>
      <c r="D609" s="253"/>
      <c r="E609" s="254"/>
      <c r="F609" s="463"/>
      <c r="G609" s="253"/>
      <c r="H609" s="254"/>
      <c r="I609" s="463"/>
      <c r="J609" s="253"/>
      <c r="K609" s="254"/>
      <c r="L609" s="463"/>
      <c r="M609" s="253"/>
      <c r="N609" s="254"/>
      <c r="O609" s="463"/>
      <c r="P609" s="253"/>
      <c r="Q609" s="254"/>
      <c r="R609" s="463"/>
      <c r="S609" s="253"/>
      <c r="T609" s="254"/>
      <c r="U609" s="463"/>
      <c r="V609" s="253"/>
      <c r="W609" s="254"/>
      <c r="X609" s="463"/>
      <c r="Y609" s="9"/>
      <c r="Z609" s="9"/>
      <c r="AA609" s="9"/>
      <c r="AB609" s="9"/>
      <c r="AC609" s="234"/>
      <c r="AD609" s="234"/>
      <c r="AE609" s="234"/>
      <c r="AF609" s="234"/>
      <c r="AG609" s="9"/>
      <c r="AH609" s="9"/>
      <c r="AI609" s="9"/>
      <c r="AJ609" s="9"/>
      <c r="AK609" s="245"/>
      <c r="AL609" s="245"/>
      <c r="AM609" s="245"/>
      <c r="AN609" s="245"/>
      <c r="AO609" s="9"/>
      <c r="AP609" s="9"/>
      <c r="AQ609" s="9"/>
      <c r="AR609" s="9"/>
      <c r="AS609" s="9"/>
      <c r="AT609" s="9"/>
      <c r="AU609" s="9"/>
      <c r="AV609" s="9"/>
    </row>
    <row r="610">
      <c r="A610" s="253"/>
      <c r="B610" s="254"/>
      <c r="C610" s="463"/>
      <c r="D610" s="253"/>
      <c r="E610" s="254"/>
      <c r="F610" s="463"/>
      <c r="G610" s="253"/>
      <c r="H610" s="254"/>
      <c r="I610" s="463"/>
      <c r="J610" s="253"/>
      <c r="K610" s="254"/>
      <c r="L610" s="463"/>
      <c r="M610" s="253"/>
      <c r="N610" s="254"/>
      <c r="O610" s="463"/>
      <c r="P610" s="253"/>
      <c r="Q610" s="254"/>
      <c r="R610" s="463"/>
      <c r="S610" s="253"/>
      <c r="T610" s="254"/>
      <c r="U610" s="463"/>
      <c r="V610" s="253"/>
      <c r="W610" s="254"/>
      <c r="X610" s="463"/>
      <c r="Y610" s="9"/>
      <c r="Z610" s="9"/>
      <c r="AA610" s="9"/>
      <c r="AB610" s="9"/>
      <c r="AC610" s="234"/>
      <c r="AD610" s="234"/>
      <c r="AE610" s="234"/>
      <c r="AF610" s="234"/>
      <c r="AG610" s="9"/>
      <c r="AH610" s="9"/>
      <c r="AI610" s="9"/>
      <c r="AJ610" s="9"/>
      <c r="AK610" s="245"/>
      <c r="AL610" s="245"/>
      <c r="AM610" s="245"/>
      <c r="AN610" s="245"/>
      <c r="AO610" s="9"/>
      <c r="AP610" s="9"/>
      <c r="AQ610" s="9"/>
      <c r="AR610" s="9"/>
      <c r="AS610" s="9"/>
      <c r="AT610" s="9"/>
      <c r="AU610" s="9"/>
      <c r="AV610" s="9"/>
    </row>
    <row r="611">
      <c r="A611" s="253"/>
      <c r="B611" s="254"/>
      <c r="C611" s="463"/>
      <c r="D611" s="253"/>
      <c r="E611" s="254"/>
      <c r="F611" s="463"/>
      <c r="G611" s="253"/>
      <c r="H611" s="254"/>
      <c r="I611" s="463"/>
      <c r="J611" s="253"/>
      <c r="K611" s="254"/>
      <c r="L611" s="463"/>
      <c r="M611" s="253"/>
      <c r="N611" s="254"/>
      <c r="O611" s="463"/>
      <c r="P611" s="253"/>
      <c r="Q611" s="254"/>
      <c r="R611" s="463"/>
      <c r="S611" s="253"/>
      <c r="T611" s="254"/>
      <c r="U611" s="463"/>
      <c r="V611" s="253"/>
      <c r="W611" s="254"/>
      <c r="X611" s="463"/>
      <c r="Y611" s="9"/>
      <c r="Z611" s="9"/>
      <c r="AA611" s="9"/>
      <c r="AB611" s="9"/>
      <c r="AC611" s="234"/>
      <c r="AD611" s="234"/>
      <c r="AE611" s="234"/>
      <c r="AF611" s="234"/>
      <c r="AG611" s="9"/>
      <c r="AH611" s="9"/>
      <c r="AI611" s="9"/>
      <c r="AJ611" s="9"/>
      <c r="AK611" s="245"/>
      <c r="AL611" s="245"/>
      <c r="AM611" s="245"/>
      <c r="AN611" s="245"/>
      <c r="AO611" s="9"/>
      <c r="AP611" s="9"/>
      <c r="AQ611" s="9"/>
      <c r="AR611" s="9"/>
      <c r="AS611" s="9"/>
      <c r="AT611" s="9"/>
      <c r="AU611" s="9"/>
      <c r="AV611" s="9"/>
    </row>
    <row r="612">
      <c r="A612" s="253"/>
      <c r="B612" s="254"/>
      <c r="C612" s="463"/>
      <c r="D612" s="253"/>
      <c r="E612" s="254"/>
      <c r="F612" s="463"/>
      <c r="G612" s="253"/>
      <c r="H612" s="254"/>
      <c r="I612" s="463"/>
      <c r="J612" s="253"/>
      <c r="K612" s="254"/>
      <c r="L612" s="463"/>
      <c r="M612" s="253"/>
      <c r="N612" s="254"/>
      <c r="O612" s="463"/>
      <c r="P612" s="253"/>
      <c r="Q612" s="254"/>
      <c r="R612" s="463"/>
      <c r="S612" s="253"/>
      <c r="T612" s="254"/>
      <c r="U612" s="463"/>
      <c r="V612" s="253"/>
      <c r="W612" s="254"/>
      <c r="X612" s="463"/>
      <c r="Y612" s="9"/>
      <c r="Z612" s="9"/>
      <c r="AA612" s="9"/>
      <c r="AB612" s="9"/>
      <c r="AC612" s="234"/>
      <c r="AD612" s="234"/>
      <c r="AE612" s="234"/>
      <c r="AF612" s="234"/>
      <c r="AG612" s="9"/>
      <c r="AH612" s="9"/>
      <c r="AI612" s="9"/>
      <c r="AJ612" s="9"/>
      <c r="AK612" s="245"/>
      <c r="AL612" s="245"/>
      <c r="AM612" s="245"/>
      <c r="AN612" s="245"/>
      <c r="AO612" s="9"/>
      <c r="AP612" s="9"/>
      <c r="AQ612" s="9"/>
      <c r="AR612" s="9"/>
      <c r="AS612" s="9"/>
      <c r="AT612" s="9"/>
      <c r="AU612" s="9"/>
      <c r="AV612" s="9"/>
    </row>
    <row r="613">
      <c r="A613" s="253"/>
      <c r="B613" s="254"/>
      <c r="C613" s="463"/>
      <c r="D613" s="253"/>
      <c r="E613" s="254"/>
      <c r="F613" s="463"/>
      <c r="G613" s="253"/>
      <c r="H613" s="254"/>
      <c r="I613" s="463"/>
      <c r="J613" s="253"/>
      <c r="K613" s="254"/>
      <c r="L613" s="463"/>
      <c r="M613" s="253"/>
      <c r="N613" s="254"/>
      <c r="O613" s="463"/>
      <c r="P613" s="253"/>
      <c r="Q613" s="254"/>
      <c r="R613" s="463"/>
      <c r="S613" s="253"/>
      <c r="T613" s="254"/>
      <c r="U613" s="463"/>
      <c r="V613" s="253"/>
      <c r="W613" s="254"/>
      <c r="X613" s="463"/>
      <c r="Y613" s="9"/>
      <c r="Z613" s="9"/>
      <c r="AA613" s="9"/>
      <c r="AB613" s="9"/>
      <c r="AC613" s="234"/>
      <c r="AD613" s="234"/>
      <c r="AE613" s="234"/>
      <c r="AF613" s="234"/>
      <c r="AG613" s="9"/>
      <c r="AH613" s="9"/>
      <c r="AI613" s="9"/>
      <c r="AJ613" s="9"/>
      <c r="AK613" s="245"/>
      <c r="AL613" s="245"/>
      <c r="AM613" s="245"/>
      <c r="AN613" s="245"/>
      <c r="AO613" s="9"/>
      <c r="AP613" s="9"/>
      <c r="AQ613" s="9"/>
      <c r="AR613" s="9"/>
      <c r="AS613" s="9"/>
      <c r="AT613" s="9"/>
      <c r="AU613" s="9"/>
      <c r="AV613" s="9"/>
    </row>
    <row r="614">
      <c r="A614" s="253"/>
      <c r="B614" s="254"/>
      <c r="C614" s="463"/>
      <c r="D614" s="253"/>
      <c r="E614" s="254"/>
      <c r="F614" s="463"/>
      <c r="G614" s="253"/>
      <c r="H614" s="254"/>
      <c r="I614" s="463"/>
      <c r="J614" s="253"/>
      <c r="K614" s="254"/>
      <c r="L614" s="463"/>
      <c r="M614" s="253"/>
      <c r="N614" s="254"/>
      <c r="O614" s="463"/>
      <c r="P614" s="253"/>
      <c r="Q614" s="254"/>
      <c r="R614" s="463"/>
      <c r="S614" s="253"/>
      <c r="T614" s="254"/>
      <c r="U614" s="463"/>
      <c r="V614" s="253"/>
      <c r="W614" s="254"/>
      <c r="X614" s="463"/>
      <c r="Y614" s="9"/>
      <c r="Z614" s="9"/>
      <c r="AA614" s="9"/>
      <c r="AB614" s="9"/>
      <c r="AC614" s="234"/>
      <c r="AD614" s="234"/>
      <c r="AE614" s="234"/>
      <c r="AF614" s="234"/>
      <c r="AG614" s="9"/>
      <c r="AH614" s="9"/>
      <c r="AI614" s="9"/>
      <c r="AJ614" s="9"/>
      <c r="AK614" s="245"/>
      <c r="AL614" s="245"/>
      <c r="AM614" s="245"/>
      <c r="AN614" s="245"/>
      <c r="AO614" s="9"/>
      <c r="AP614" s="9"/>
      <c r="AQ614" s="9"/>
      <c r="AR614" s="9"/>
      <c r="AS614" s="9"/>
      <c r="AT614" s="9"/>
      <c r="AU614" s="9"/>
      <c r="AV614" s="9"/>
    </row>
    <row r="615">
      <c r="A615" s="253"/>
      <c r="B615" s="254"/>
      <c r="C615" s="463"/>
      <c r="D615" s="253"/>
      <c r="E615" s="254"/>
      <c r="F615" s="463"/>
      <c r="G615" s="253"/>
      <c r="H615" s="254"/>
      <c r="I615" s="463"/>
      <c r="J615" s="253"/>
      <c r="K615" s="254"/>
      <c r="L615" s="463"/>
      <c r="M615" s="253"/>
      <c r="N615" s="254"/>
      <c r="O615" s="463"/>
      <c r="P615" s="253"/>
      <c r="Q615" s="254"/>
      <c r="R615" s="463"/>
      <c r="S615" s="253"/>
      <c r="T615" s="254"/>
      <c r="U615" s="463"/>
      <c r="V615" s="253"/>
      <c r="W615" s="254"/>
      <c r="X615" s="463"/>
      <c r="Y615" s="9"/>
      <c r="Z615" s="9"/>
      <c r="AA615" s="9"/>
      <c r="AB615" s="9"/>
      <c r="AC615" s="234"/>
      <c r="AD615" s="234"/>
      <c r="AE615" s="234"/>
      <c r="AF615" s="234"/>
      <c r="AG615" s="9"/>
      <c r="AH615" s="9"/>
      <c r="AI615" s="9"/>
      <c r="AJ615" s="9"/>
      <c r="AK615" s="245"/>
      <c r="AL615" s="245"/>
      <c r="AM615" s="245"/>
      <c r="AN615" s="245"/>
      <c r="AO615" s="9"/>
      <c r="AP615" s="9"/>
      <c r="AQ615" s="9"/>
      <c r="AR615" s="9"/>
      <c r="AS615" s="9"/>
      <c r="AT615" s="9"/>
      <c r="AU615" s="9"/>
      <c r="AV615" s="9"/>
    </row>
    <row r="616">
      <c r="A616" s="253"/>
      <c r="B616" s="254"/>
      <c r="C616" s="463"/>
      <c r="D616" s="253"/>
      <c r="E616" s="254"/>
      <c r="F616" s="463"/>
      <c r="G616" s="253"/>
      <c r="H616" s="254"/>
      <c r="I616" s="463"/>
      <c r="J616" s="253"/>
      <c r="K616" s="254"/>
      <c r="L616" s="463"/>
      <c r="M616" s="253"/>
      <c r="N616" s="254"/>
      <c r="O616" s="463"/>
      <c r="P616" s="253"/>
      <c r="Q616" s="254"/>
      <c r="R616" s="463"/>
      <c r="S616" s="253"/>
      <c r="T616" s="254"/>
      <c r="U616" s="463"/>
      <c r="V616" s="253"/>
      <c r="W616" s="254"/>
      <c r="X616" s="463"/>
      <c r="Y616" s="9"/>
      <c r="Z616" s="9"/>
      <c r="AA616" s="9"/>
      <c r="AB616" s="9"/>
      <c r="AC616" s="234"/>
      <c r="AD616" s="234"/>
      <c r="AE616" s="234"/>
      <c r="AF616" s="234"/>
      <c r="AG616" s="9"/>
      <c r="AH616" s="9"/>
      <c r="AI616" s="9"/>
      <c r="AJ616" s="9"/>
      <c r="AK616" s="245"/>
      <c r="AL616" s="245"/>
      <c r="AM616" s="245"/>
      <c r="AN616" s="245"/>
      <c r="AO616" s="9"/>
      <c r="AP616" s="9"/>
      <c r="AQ616" s="9"/>
      <c r="AR616" s="9"/>
      <c r="AS616" s="9"/>
      <c r="AT616" s="9"/>
      <c r="AU616" s="9"/>
      <c r="AV616" s="9"/>
    </row>
    <row r="617">
      <c r="A617" s="253"/>
      <c r="B617" s="254"/>
      <c r="C617" s="463"/>
      <c r="D617" s="253"/>
      <c r="E617" s="254"/>
      <c r="F617" s="463"/>
      <c r="G617" s="253"/>
      <c r="H617" s="254"/>
      <c r="I617" s="463"/>
      <c r="J617" s="253"/>
      <c r="K617" s="254"/>
      <c r="L617" s="463"/>
      <c r="M617" s="253"/>
      <c r="N617" s="254"/>
      <c r="O617" s="463"/>
      <c r="P617" s="253"/>
      <c r="Q617" s="254"/>
      <c r="R617" s="463"/>
      <c r="S617" s="253"/>
      <c r="T617" s="254"/>
      <c r="U617" s="463"/>
      <c r="V617" s="253"/>
      <c r="W617" s="254"/>
      <c r="X617" s="463"/>
      <c r="Y617" s="9"/>
      <c r="Z617" s="9"/>
      <c r="AA617" s="9"/>
      <c r="AB617" s="9"/>
      <c r="AC617" s="234"/>
      <c r="AD617" s="234"/>
      <c r="AE617" s="234"/>
      <c r="AF617" s="234"/>
      <c r="AG617" s="9"/>
      <c r="AH617" s="9"/>
      <c r="AI617" s="9"/>
      <c r="AJ617" s="9"/>
      <c r="AK617" s="245"/>
      <c r="AL617" s="245"/>
      <c r="AM617" s="245"/>
      <c r="AN617" s="245"/>
      <c r="AO617" s="9"/>
      <c r="AP617" s="9"/>
      <c r="AQ617" s="9"/>
      <c r="AR617" s="9"/>
      <c r="AS617" s="9"/>
      <c r="AT617" s="9"/>
      <c r="AU617" s="9"/>
      <c r="AV617" s="9"/>
    </row>
    <row r="618">
      <c r="A618" s="253"/>
      <c r="B618" s="254"/>
      <c r="C618" s="463"/>
      <c r="D618" s="253"/>
      <c r="E618" s="254"/>
      <c r="F618" s="463"/>
      <c r="G618" s="253"/>
      <c r="H618" s="254"/>
      <c r="I618" s="463"/>
      <c r="J618" s="253"/>
      <c r="K618" s="254"/>
      <c r="L618" s="463"/>
      <c r="M618" s="253"/>
      <c r="N618" s="254"/>
      <c r="O618" s="463"/>
      <c r="P618" s="253"/>
      <c r="Q618" s="254"/>
      <c r="R618" s="463"/>
      <c r="S618" s="253"/>
      <c r="T618" s="254"/>
      <c r="U618" s="463"/>
      <c r="V618" s="253"/>
      <c r="W618" s="254"/>
      <c r="X618" s="463"/>
      <c r="Y618" s="9"/>
      <c r="Z618" s="9"/>
      <c r="AA618" s="9"/>
      <c r="AB618" s="9"/>
      <c r="AC618" s="234"/>
      <c r="AD618" s="234"/>
      <c r="AE618" s="234"/>
      <c r="AF618" s="234"/>
      <c r="AG618" s="9"/>
      <c r="AH618" s="9"/>
      <c r="AI618" s="9"/>
      <c r="AJ618" s="9"/>
      <c r="AK618" s="245"/>
      <c r="AL618" s="245"/>
      <c r="AM618" s="245"/>
      <c r="AN618" s="245"/>
      <c r="AO618" s="9"/>
      <c r="AP618" s="9"/>
      <c r="AQ618" s="9"/>
      <c r="AR618" s="9"/>
      <c r="AS618" s="9"/>
      <c r="AT618" s="9"/>
      <c r="AU618" s="9"/>
      <c r="AV618" s="9"/>
    </row>
    <row r="619">
      <c r="A619" s="253"/>
      <c r="B619" s="254"/>
      <c r="C619" s="463"/>
      <c r="D619" s="253"/>
      <c r="E619" s="254"/>
      <c r="F619" s="463"/>
      <c r="G619" s="253"/>
      <c r="H619" s="254"/>
      <c r="I619" s="463"/>
      <c r="J619" s="253"/>
      <c r="K619" s="254"/>
      <c r="L619" s="463"/>
      <c r="M619" s="253"/>
      <c r="N619" s="254"/>
      <c r="O619" s="463"/>
      <c r="P619" s="253"/>
      <c r="Q619" s="254"/>
      <c r="R619" s="463"/>
      <c r="S619" s="253"/>
      <c r="T619" s="254"/>
      <c r="U619" s="463"/>
      <c r="V619" s="253"/>
      <c r="W619" s="254"/>
      <c r="X619" s="463"/>
      <c r="Y619" s="9"/>
      <c r="Z619" s="9"/>
      <c r="AA619" s="9"/>
      <c r="AB619" s="9"/>
      <c r="AC619" s="234"/>
      <c r="AD619" s="234"/>
      <c r="AE619" s="234"/>
      <c r="AF619" s="234"/>
      <c r="AG619" s="9"/>
      <c r="AH619" s="9"/>
      <c r="AI619" s="9"/>
      <c r="AJ619" s="9"/>
      <c r="AK619" s="245"/>
      <c r="AL619" s="245"/>
      <c r="AM619" s="245"/>
      <c r="AN619" s="245"/>
      <c r="AO619" s="9"/>
      <c r="AP619" s="9"/>
      <c r="AQ619" s="9"/>
      <c r="AR619" s="9"/>
      <c r="AS619" s="9"/>
      <c r="AT619" s="9"/>
      <c r="AU619" s="9"/>
      <c r="AV619" s="9"/>
    </row>
    <row r="620">
      <c r="A620" s="253"/>
      <c r="B620" s="254"/>
      <c r="C620" s="463"/>
      <c r="D620" s="253"/>
      <c r="E620" s="254"/>
      <c r="F620" s="463"/>
      <c r="G620" s="253"/>
      <c r="H620" s="254"/>
      <c r="I620" s="463"/>
      <c r="J620" s="253"/>
      <c r="K620" s="254"/>
      <c r="L620" s="463"/>
      <c r="M620" s="253"/>
      <c r="N620" s="254"/>
      <c r="O620" s="463"/>
      <c r="P620" s="253"/>
      <c r="Q620" s="254"/>
      <c r="R620" s="463"/>
      <c r="S620" s="253"/>
      <c r="T620" s="254"/>
      <c r="U620" s="463"/>
      <c r="V620" s="253"/>
      <c r="W620" s="254"/>
      <c r="X620" s="463"/>
      <c r="Y620" s="9"/>
      <c r="Z620" s="9"/>
      <c r="AA620" s="9"/>
      <c r="AB620" s="9"/>
      <c r="AC620" s="234"/>
      <c r="AD620" s="234"/>
      <c r="AE620" s="234"/>
      <c r="AF620" s="234"/>
      <c r="AG620" s="9"/>
      <c r="AH620" s="9"/>
      <c r="AI620" s="9"/>
      <c r="AJ620" s="9"/>
      <c r="AK620" s="245"/>
      <c r="AL620" s="245"/>
      <c r="AM620" s="245"/>
      <c r="AN620" s="245"/>
      <c r="AO620" s="9"/>
      <c r="AP620" s="9"/>
      <c r="AQ620" s="9"/>
      <c r="AR620" s="9"/>
      <c r="AS620" s="9"/>
      <c r="AT620" s="9"/>
      <c r="AU620" s="9"/>
      <c r="AV620" s="9"/>
    </row>
    <row r="621">
      <c r="A621" s="253"/>
      <c r="B621" s="254"/>
      <c r="C621" s="463"/>
      <c r="D621" s="253"/>
      <c r="E621" s="254"/>
      <c r="F621" s="463"/>
      <c r="G621" s="253"/>
      <c r="H621" s="254"/>
      <c r="I621" s="463"/>
      <c r="J621" s="253"/>
      <c r="K621" s="254"/>
      <c r="L621" s="463"/>
      <c r="M621" s="253"/>
      <c r="N621" s="254"/>
      <c r="O621" s="463"/>
      <c r="P621" s="253"/>
      <c r="Q621" s="254"/>
      <c r="R621" s="463"/>
      <c r="S621" s="253"/>
      <c r="T621" s="254"/>
      <c r="U621" s="463"/>
      <c r="V621" s="253"/>
      <c r="W621" s="254"/>
      <c r="X621" s="463"/>
      <c r="Y621" s="9"/>
      <c r="Z621" s="9"/>
      <c r="AA621" s="9"/>
      <c r="AB621" s="9"/>
      <c r="AC621" s="234"/>
      <c r="AD621" s="234"/>
      <c r="AE621" s="234"/>
      <c r="AF621" s="234"/>
      <c r="AG621" s="9"/>
      <c r="AH621" s="9"/>
      <c r="AI621" s="9"/>
      <c r="AJ621" s="9"/>
      <c r="AK621" s="245"/>
      <c r="AL621" s="245"/>
      <c r="AM621" s="245"/>
      <c r="AN621" s="245"/>
      <c r="AO621" s="9"/>
      <c r="AP621" s="9"/>
      <c r="AQ621" s="9"/>
      <c r="AR621" s="9"/>
      <c r="AS621" s="9"/>
      <c r="AT621" s="9"/>
      <c r="AU621" s="9"/>
      <c r="AV621" s="9"/>
    </row>
    <row r="622">
      <c r="A622" s="253"/>
      <c r="B622" s="254"/>
      <c r="C622" s="463"/>
      <c r="D622" s="253"/>
      <c r="E622" s="254"/>
      <c r="F622" s="463"/>
      <c r="G622" s="253"/>
      <c r="H622" s="254"/>
      <c r="I622" s="463"/>
      <c r="J622" s="253"/>
      <c r="K622" s="254"/>
      <c r="L622" s="463"/>
      <c r="M622" s="253"/>
      <c r="N622" s="254"/>
      <c r="O622" s="463"/>
      <c r="P622" s="253"/>
      <c r="Q622" s="254"/>
      <c r="R622" s="463"/>
      <c r="S622" s="253"/>
      <c r="T622" s="254"/>
      <c r="U622" s="463"/>
      <c r="V622" s="253"/>
      <c r="W622" s="254"/>
      <c r="X622" s="463"/>
      <c r="Y622" s="9"/>
      <c r="Z622" s="9"/>
      <c r="AA622" s="9"/>
      <c r="AB622" s="9"/>
      <c r="AC622" s="234"/>
      <c r="AD622" s="234"/>
      <c r="AE622" s="234"/>
      <c r="AF622" s="234"/>
      <c r="AG622" s="9"/>
      <c r="AH622" s="9"/>
      <c r="AI622" s="9"/>
      <c r="AJ622" s="9"/>
      <c r="AK622" s="245"/>
      <c r="AL622" s="245"/>
      <c r="AM622" s="245"/>
      <c r="AN622" s="245"/>
      <c r="AO622" s="9"/>
      <c r="AP622" s="9"/>
      <c r="AQ622" s="9"/>
      <c r="AR622" s="9"/>
      <c r="AS622" s="9"/>
      <c r="AT622" s="9"/>
      <c r="AU622" s="9"/>
      <c r="AV622" s="9"/>
    </row>
    <row r="623">
      <c r="A623" s="253"/>
      <c r="B623" s="254"/>
      <c r="C623" s="463"/>
      <c r="D623" s="253"/>
      <c r="E623" s="254"/>
      <c r="F623" s="463"/>
      <c r="G623" s="253"/>
      <c r="H623" s="254"/>
      <c r="I623" s="463"/>
      <c r="J623" s="253"/>
      <c r="K623" s="254"/>
      <c r="L623" s="463"/>
      <c r="M623" s="253"/>
      <c r="N623" s="254"/>
      <c r="O623" s="463"/>
      <c r="P623" s="253"/>
      <c r="Q623" s="254"/>
      <c r="R623" s="463"/>
      <c r="S623" s="253"/>
      <c r="T623" s="254"/>
      <c r="U623" s="463"/>
      <c r="V623" s="253"/>
      <c r="W623" s="254"/>
      <c r="X623" s="463"/>
      <c r="Y623" s="9"/>
      <c r="Z623" s="9"/>
      <c r="AA623" s="9"/>
      <c r="AB623" s="9"/>
      <c r="AC623" s="234"/>
      <c r="AD623" s="234"/>
      <c r="AE623" s="234"/>
      <c r="AF623" s="234"/>
      <c r="AG623" s="9"/>
      <c r="AH623" s="9"/>
      <c r="AI623" s="9"/>
      <c r="AJ623" s="9"/>
      <c r="AK623" s="245"/>
      <c r="AL623" s="245"/>
      <c r="AM623" s="245"/>
      <c r="AN623" s="245"/>
      <c r="AO623" s="9"/>
      <c r="AP623" s="9"/>
      <c r="AQ623" s="9"/>
      <c r="AR623" s="9"/>
      <c r="AS623" s="9"/>
      <c r="AT623" s="9"/>
      <c r="AU623" s="9"/>
      <c r="AV623" s="9"/>
    </row>
    <row r="624">
      <c r="A624" s="253"/>
      <c r="B624" s="254"/>
      <c r="C624" s="463"/>
      <c r="D624" s="253"/>
      <c r="E624" s="254"/>
      <c r="F624" s="463"/>
      <c r="G624" s="253"/>
      <c r="H624" s="254"/>
      <c r="I624" s="463"/>
      <c r="J624" s="253"/>
      <c r="K624" s="254"/>
      <c r="L624" s="463"/>
      <c r="M624" s="253"/>
      <c r="N624" s="254"/>
      <c r="O624" s="463"/>
      <c r="P624" s="253"/>
      <c r="Q624" s="254"/>
      <c r="R624" s="463"/>
      <c r="S624" s="253"/>
      <c r="T624" s="254"/>
      <c r="U624" s="463"/>
      <c r="V624" s="253"/>
      <c r="W624" s="254"/>
      <c r="X624" s="463"/>
      <c r="Y624" s="9"/>
      <c r="Z624" s="9"/>
      <c r="AA624" s="9"/>
      <c r="AB624" s="9"/>
      <c r="AC624" s="234"/>
      <c r="AD624" s="234"/>
      <c r="AE624" s="234"/>
      <c r="AF624" s="234"/>
      <c r="AG624" s="9"/>
      <c r="AH624" s="9"/>
      <c r="AI624" s="9"/>
      <c r="AJ624" s="9"/>
      <c r="AK624" s="245"/>
      <c r="AL624" s="245"/>
      <c r="AM624" s="245"/>
      <c r="AN624" s="245"/>
      <c r="AO624" s="9"/>
      <c r="AP624" s="9"/>
      <c r="AQ624" s="9"/>
      <c r="AR624" s="9"/>
      <c r="AS624" s="9"/>
      <c r="AT624" s="9"/>
      <c r="AU624" s="9"/>
      <c r="AV624" s="9"/>
    </row>
    <row r="625">
      <c r="A625" s="253"/>
      <c r="B625" s="254"/>
      <c r="C625" s="463"/>
      <c r="D625" s="253"/>
      <c r="E625" s="254"/>
      <c r="F625" s="463"/>
      <c r="G625" s="253"/>
      <c r="H625" s="254"/>
      <c r="I625" s="463"/>
      <c r="J625" s="253"/>
      <c r="K625" s="254"/>
      <c r="L625" s="463"/>
      <c r="M625" s="253"/>
      <c r="N625" s="254"/>
      <c r="O625" s="463"/>
      <c r="P625" s="253"/>
      <c r="Q625" s="254"/>
      <c r="R625" s="463"/>
      <c r="S625" s="253"/>
      <c r="T625" s="254"/>
      <c r="U625" s="463"/>
      <c r="V625" s="253"/>
      <c r="W625" s="254"/>
      <c r="X625" s="463"/>
      <c r="Y625" s="9"/>
      <c r="Z625" s="9"/>
      <c r="AA625" s="9"/>
      <c r="AB625" s="9"/>
      <c r="AC625" s="234"/>
      <c r="AD625" s="234"/>
      <c r="AE625" s="234"/>
      <c r="AF625" s="234"/>
      <c r="AG625" s="9"/>
      <c r="AH625" s="9"/>
      <c r="AI625" s="9"/>
      <c r="AJ625" s="9"/>
      <c r="AK625" s="245"/>
      <c r="AL625" s="245"/>
      <c r="AM625" s="245"/>
      <c r="AN625" s="245"/>
      <c r="AO625" s="9"/>
      <c r="AP625" s="9"/>
      <c r="AQ625" s="9"/>
      <c r="AR625" s="9"/>
      <c r="AS625" s="9"/>
      <c r="AT625" s="9"/>
      <c r="AU625" s="9"/>
      <c r="AV625" s="9"/>
    </row>
    <row r="626">
      <c r="A626" s="253"/>
      <c r="B626" s="254"/>
      <c r="C626" s="463"/>
      <c r="D626" s="253"/>
      <c r="E626" s="254"/>
      <c r="F626" s="463"/>
      <c r="G626" s="253"/>
      <c r="H626" s="254"/>
      <c r="I626" s="463"/>
      <c r="J626" s="253"/>
      <c r="K626" s="254"/>
      <c r="L626" s="463"/>
      <c r="M626" s="253"/>
      <c r="N626" s="254"/>
      <c r="O626" s="463"/>
      <c r="P626" s="253"/>
      <c r="Q626" s="254"/>
      <c r="R626" s="463"/>
      <c r="S626" s="253"/>
      <c r="T626" s="254"/>
      <c r="U626" s="463"/>
      <c r="V626" s="253"/>
      <c r="W626" s="254"/>
      <c r="X626" s="463"/>
      <c r="Y626" s="9"/>
      <c r="Z626" s="9"/>
      <c r="AA626" s="9"/>
      <c r="AB626" s="9"/>
      <c r="AC626" s="234"/>
      <c r="AD626" s="234"/>
      <c r="AE626" s="234"/>
      <c r="AF626" s="234"/>
      <c r="AG626" s="9"/>
      <c r="AH626" s="9"/>
      <c r="AI626" s="9"/>
      <c r="AJ626" s="9"/>
      <c r="AK626" s="245"/>
      <c r="AL626" s="245"/>
      <c r="AM626" s="245"/>
      <c r="AN626" s="245"/>
      <c r="AO626" s="9"/>
      <c r="AP626" s="9"/>
      <c r="AQ626" s="9"/>
      <c r="AR626" s="9"/>
      <c r="AS626" s="9"/>
      <c r="AT626" s="9"/>
      <c r="AU626" s="9"/>
      <c r="AV626" s="9"/>
    </row>
    <row r="627">
      <c r="A627" s="253"/>
      <c r="B627" s="254"/>
      <c r="C627" s="463"/>
      <c r="D627" s="253"/>
      <c r="E627" s="254"/>
      <c r="F627" s="463"/>
      <c r="G627" s="253"/>
      <c r="H627" s="254"/>
      <c r="I627" s="463"/>
      <c r="J627" s="253"/>
      <c r="K627" s="254"/>
      <c r="L627" s="463"/>
      <c r="M627" s="253"/>
      <c r="N627" s="254"/>
      <c r="O627" s="463"/>
      <c r="P627" s="253"/>
      <c r="Q627" s="254"/>
      <c r="R627" s="463"/>
      <c r="S627" s="253"/>
      <c r="T627" s="254"/>
      <c r="U627" s="463"/>
      <c r="V627" s="253"/>
      <c r="W627" s="254"/>
      <c r="X627" s="463"/>
      <c r="Y627" s="9"/>
      <c r="Z627" s="9"/>
      <c r="AA627" s="9"/>
      <c r="AB627" s="9"/>
      <c r="AC627" s="234"/>
      <c r="AD627" s="234"/>
      <c r="AE627" s="234"/>
      <c r="AF627" s="234"/>
      <c r="AG627" s="9"/>
      <c r="AH627" s="9"/>
      <c r="AI627" s="9"/>
      <c r="AJ627" s="9"/>
      <c r="AK627" s="245"/>
      <c r="AL627" s="245"/>
      <c r="AM627" s="245"/>
      <c r="AN627" s="245"/>
      <c r="AO627" s="9"/>
      <c r="AP627" s="9"/>
      <c r="AQ627" s="9"/>
      <c r="AR627" s="9"/>
      <c r="AS627" s="9"/>
      <c r="AT627" s="9"/>
      <c r="AU627" s="9"/>
      <c r="AV627" s="9"/>
    </row>
    <row r="628">
      <c r="A628" s="253"/>
      <c r="B628" s="254"/>
      <c r="C628" s="463"/>
      <c r="D628" s="253"/>
      <c r="E628" s="254"/>
      <c r="F628" s="463"/>
      <c r="G628" s="253"/>
      <c r="H628" s="254"/>
      <c r="I628" s="463"/>
      <c r="J628" s="253"/>
      <c r="K628" s="254"/>
      <c r="L628" s="463"/>
      <c r="M628" s="253"/>
      <c r="N628" s="254"/>
      <c r="O628" s="463"/>
      <c r="P628" s="253"/>
      <c r="Q628" s="254"/>
      <c r="R628" s="463"/>
      <c r="S628" s="253"/>
      <c r="T628" s="254"/>
      <c r="U628" s="463"/>
      <c r="V628" s="253"/>
      <c r="W628" s="254"/>
      <c r="X628" s="463"/>
      <c r="Y628" s="9"/>
      <c r="Z628" s="9"/>
      <c r="AA628" s="9"/>
      <c r="AB628" s="9"/>
      <c r="AC628" s="234"/>
      <c r="AD628" s="234"/>
      <c r="AE628" s="234"/>
      <c r="AF628" s="234"/>
      <c r="AG628" s="9"/>
      <c r="AH628" s="9"/>
      <c r="AI628" s="9"/>
      <c r="AJ628" s="9"/>
      <c r="AK628" s="245"/>
      <c r="AL628" s="245"/>
      <c r="AM628" s="245"/>
      <c r="AN628" s="245"/>
      <c r="AO628" s="9"/>
      <c r="AP628" s="9"/>
      <c r="AQ628" s="9"/>
      <c r="AR628" s="9"/>
      <c r="AS628" s="9"/>
      <c r="AT628" s="9"/>
      <c r="AU628" s="9"/>
      <c r="AV628" s="9"/>
    </row>
    <row r="629">
      <c r="A629" s="253"/>
      <c r="B629" s="254"/>
      <c r="C629" s="463"/>
      <c r="D629" s="253"/>
      <c r="E629" s="254"/>
      <c r="F629" s="463"/>
      <c r="G629" s="253"/>
      <c r="H629" s="254"/>
      <c r="I629" s="463"/>
      <c r="J629" s="253"/>
      <c r="K629" s="254"/>
      <c r="L629" s="463"/>
      <c r="M629" s="253"/>
      <c r="N629" s="254"/>
      <c r="O629" s="463"/>
      <c r="P629" s="253"/>
      <c r="Q629" s="254"/>
      <c r="R629" s="463"/>
      <c r="S629" s="253"/>
      <c r="T629" s="254"/>
      <c r="U629" s="463"/>
      <c r="V629" s="253"/>
      <c r="W629" s="254"/>
      <c r="X629" s="463"/>
      <c r="Y629" s="9"/>
      <c r="Z629" s="9"/>
      <c r="AA629" s="9"/>
      <c r="AB629" s="9"/>
      <c r="AC629" s="234"/>
      <c r="AD629" s="234"/>
      <c r="AE629" s="234"/>
      <c r="AF629" s="234"/>
      <c r="AG629" s="9"/>
      <c r="AH629" s="9"/>
      <c r="AI629" s="9"/>
      <c r="AJ629" s="9"/>
      <c r="AK629" s="245"/>
      <c r="AL629" s="245"/>
      <c r="AM629" s="245"/>
      <c r="AN629" s="245"/>
      <c r="AO629" s="9"/>
      <c r="AP629" s="9"/>
      <c r="AQ629" s="9"/>
      <c r="AR629" s="9"/>
      <c r="AS629" s="9"/>
      <c r="AT629" s="9"/>
      <c r="AU629" s="9"/>
      <c r="AV629" s="9"/>
    </row>
    <row r="630">
      <c r="A630" s="253"/>
      <c r="B630" s="254"/>
      <c r="C630" s="463"/>
      <c r="D630" s="253"/>
      <c r="E630" s="254"/>
      <c r="F630" s="463"/>
      <c r="G630" s="253"/>
      <c r="H630" s="254"/>
      <c r="I630" s="463"/>
      <c r="J630" s="253"/>
      <c r="K630" s="254"/>
      <c r="L630" s="463"/>
      <c r="M630" s="253"/>
      <c r="N630" s="254"/>
      <c r="O630" s="463"/>
      <c r="P630" s="253"/>
      <c r="Q630" s="254"/>
      <c r="R630" s="463"/>
      <c r="S630" s="253"/>
      <c r="T630" s="254"/>
      <c r="U630" s="463"/>
      <c r="V630" s="253"/>
      <c r="W630" s="254"/>
      <c r="X630" s="463"/>
      <c r="Y630" s="9"/>
      <c r="Z630" s="9"/>
      <c r="AA630" s="9"/>
      <c r="AB630" s="9"/>
      <c r="AC630" s="234"/>
      <c r="AD630" s="234"/>
      <c r="AE630" s="234"/>
      <c r="AF630" s="234"/>
      <c r="AG630" s="9"/>
      <c r="AH630" s="9"/>
      <c r="AI630" s="9"/>
      <c r="AJ630" s="9"/>
      <c r="AK630" s="245"/>
      <c r="AL630" s="245"/>
      <c r="AM630" s="245"/>
      <c r="AN630" s="245"/>
      <c r="AO630" s="9"/>
      <c r="AP630" s="9"/>
      <c r="AQ630" s="9"/>
      <c r="AR630" s="9"/>
      <c r="AS630" s="9"/>
      <c r="AT630" s="9"/>
      <c r="AU630" s="9"/>
      <c r="AV630" s="9"/>
    </row>
    <row r="631">
      <c r="A631" s="253"/>
      <c r="B631" s="254"/>
      <c r="C631" s="463"/>
      <c r="D631" s="253"/>
      <c r="E631" s="254"/>
      <c r="F631" s="463"/>
      <c r="G631" s="253"/>
      <c r="H631" s="254"/>
      <c r="I631" s="463"/>
      <c r="J631" s="253"/>
      <c r="K631" s="254"/>
      <c r="L631" s="463"/>
      <c r="M631" s="253"/>
      <c r="N631" s="254"/>
      <c r="O631" s="463"/>
      <c r="P631" s="253"/>
      <c r="Q631" s="254"/>
      <c r="R631" s="463"/>
      <c r="S631" s="253"/>
      <c r="T631" s="254"/>
      <c r="U631" s="463"/>
      <c r="V631" s="253"/>
      <c r="W631" s="254"/>
      <c r="X631" s="463"/>
      <c r="Y631" s="9"/>
      <c r="Z631" s="9"/>
      <c r="AA631" s="9"/>
      <c r="AB631" s="9"/>
      <c r="AC631" s="234"/>
      <c r="AD631" s="234"/>
      <c r="AE631" s="234"/>
      <c r="AF631" s="234"/>
      <c r="AG631" s="9"/>
      <c r="AH631" s="9"/>
      <c r="AI631" s="9"/>
      <c r="AJ631" s="9"/>
      <c r="AK631" s="245"/>
      <c r="AL631" s="245"/>
      <c r="AM631" s="245"/>
      <c r="AN631" s="245"/>
      <c r="AO631" s="9"/>
      <c r="AP631" s="9"/>
      <c r="AQ631" s="9"/>
      <c r="AR631" s="9"/>
      <c r="AS631" s="9"/>
      <c r="AT631" s="9"/>
      <c r="AU631" s="9"/>
      <c r="AV631" s="9"/>
    </row>
    <row r="632">
      <c r="A632" s="253"/>
      <c r="B632" s="254"/>
      <c r="C632" s="463"/>
      <c r="D632" s="253"/>
      <c r="E632" s="254"/>
      <c r="F632" s="463"/>
      <c r="G632" s="253"/>
      <c r="H632" s="254"/>
      <c r="I632" s="463"/>
      <c r="J632" s="253"/>
      <c r="K632" s="254"/>
      <c r="L632" s="463"/>
      <c r="M632" s="253"/>
      <c r="N632" s="254"/>
      <c r="O632" s="463"/>
      <c r="P632" s="253"/>
      <c r="Q632" s="254"/>
      <c r="R632" s="463"/>
      <c r="S632" s="253"/>
      <c r="T632" s="254"/>
      <c r="U632" s="463"/>
      <c r="V632" s="253"/>
      <c r="W632" s="254"/>
      <c r="X632" s="463"/>
      <c r="Y632" s="9"/>
      <c r="Z632" s="9"/>
      <c r="AA632" s="9"/>
      <c r="AB632" s="9"/>
      <c r="AC632" s="234"/>
      <c r="AD632" s="234"/>
      <c r="AE632" s="234"/>
      <c r="AF632" s="234"/>
      <c r="AG632" s="9"/>
      <c r="AH632" s="9"/>
      <c r="AI632" s="9"/>
      <c r="AJ632" s="9"/>
      <c r="AK632" s="245"/>
      <c r="AL632" s="245"/>
      <c r="AM632" s="245"/>
      <c r="AN632" s="245"/>
      <c r="AO632" s="9"/>
      <c r="AP632" s="9"/>
      <c r="AQ632" s="9"/>
      <c r="AR632" s="9"/>
      <c r="AS632" s="9"/>
      <c r="AT632" s="9"/>
      <c r="AU632" s="9"/>
      <c r="AV632" s="9"/>
    </row>
    <row r="633">
      <c r="A633" s="253"/>
      <c r="B633" s="254"/>
      <c r="C633" s="463"/>
      <c r="D633" s="253"/>
      <c r="E633" s="254"/>
      <c r="F633" s="463"/>
      <c r="G633" s="253"/>
      <c r="H633" s="254"/>
      <c r="I633" s="463"/>
      <c r="J633" s="253"/>
      <c r="K633" s="254"/>
      <c r="L633" s="463"/>
      <c r="M633" s="253"/>
      <c r="N633" s="254"/>
      <c r="O633" s="463"/>
      <c r="P633" s="253"/>
      <c r="Q633" s="254"/>
      <c r="R633" s="463"/>
      <c r="S633" s="253"/>
      <c r="T633" s="254"/>
      <c r="U633" s="463"/>
      <c r="V633" s="253"/>
      <c r="W633" s="254"/>
      <c r="X633" s="463"/>
      <c r="Y633" s="9"/>
      <c r="Z633" s="9"/>
      <c r="AA633" s="9"/>
      <c r="AB633" s="9"/>
      <c r="AC633" s="234"/>
      <c r="AD633" s="234"/>
      <c r="AE633" s="234"/>
      <c r="AF633" s="234"/>
      <c r="AG633" s="9"/>
      <c r="AH633" s="9"/>
      <c r="AI633" s="9"/>
      <c r="AJ633" s="9"/>
      <c r="AK633" s="245"/>
      <c r="AL633" s="245"/>
      <c r="AM633" s="245"/>
      <c r="AN633" s="245"/>
      <c r="AO633" s="9"/>
      <c r="AP633" s="9"/>
      <c r="AQ633" s="9"/>
      <c r="AR633" s="9"/>
      <c r="AS633" s="9"/>
      <c r="AT633" s="9"/>
      <c r="AU633" s="9"/>
      <c r="AV633" s="9"/>
    </row>
    <row r="634">
      <c r="A634" s="253"/>
      <c r="B634" s="254"/>
      <c r="C634" s="463"/>
      <c r="D634" s="253"/>
      <c r="E634" s="254"/>
      <c r="F634" s="463"/>
      <c r="G634" s="253"/>
      <c r="H634" s="254"/>
      <c r="I634" s="463"/>
      <c r="J634" s="253"/>
      <c r="K634" s="254"/>
      <c r="L634" s="463"/>
      <c r="M634" s="253"/>
      <c r="N634" s="254"/>
      <c r="O634" s="463"/>
      <c r="P634" s="253"/>
      <c r="Q634" s="254"/>
      <c r="R634" s="463"/>
      <c r="S634" s="253"/>
      <c r="T634" s="254"/>
      <c r="U634" s="463"/>
      <c r="V634" s="253"/>
      <c r="W634" s="254"/>
      <c r="X634" s="463"/>
      <c r="Y634" s="9"/>
      <c r="Z634" s="9"/>
      <c r="AA634" s="9"/>
      <c r="AB634" s="9"/>
      <c r="AC634" s="234"/>
      <c r="AD634" s="234"/>
      <c r="AE634" s="234"/>
      <c r="AF634" s="234"/>
      <c r="AG634" s="9"/>
      <c r="AH634" s="9"/>
      <c r="AI634" s="9"/>
      <c r="AJ634" s="9"/>
      <c r="AK634" s="245"/>
      <c r="AL634" s="245"/>
      <c r="AM634" s="245"/>
      <c r="AN634" s="245"/>
      <c r="AO634" s="9"/>
      <c r="AP634" s="9"/>
      <c r="AQ634" s="9"/>
      <c r="AR634" s="9"/>
      <c r="AS634" s="9"/>
      <c r="AT634" s="9"/>
      <c r="AU634" s="9"/>
      <c r="AV634" s="9"/>
    </row>
    <row r="635">
      <c r="A635" s="253"/>
      <c r="B635" s="254"/>
      <c r="C635" s="463"/>
      <c r="D635" s="253"/>
      <c r="E635" s="254"/>
      <c r="F635" s="463"/>
      <c r="G635" s="253"/>
      <c r="H635" s="254"/>
      <c r="I635" s="463"/>
      <c r="J635" s="253"/>
      <c r="K635" s="254"/>
      <c r="L635" s="463"/>
      <c r="M635" s="253"/>
      <c r="N635" s="254"/>
      <c r="O635" s="463"/>
      <c r="P635" s="253"/>
      <c r="Q635" s="254"/>
      <c r="R635" s="463"/>
      <c r="S635" s="253"/>
      <c r="T635" s="254"/>
      <c r="U635" s="463"/>
      <c r="V635" s="253"/>
      <c r="W635" s="254"/>
      <c r="X635" s="463"/>
      <c r="Y635" s="9"/>
      <c r="Z635" s="9"/>
      <c r="AA635" s="9"/>
      <c r="AB635" s="9"/>
      <c r="AC635" s="234"/>
      <c r="AD635" s="234"/>
      <c r="AE635" s="234"/>
      <c r="AF635" s="234"/>
      <c r="AG635" s="9"/>
      <c r="AH635" s="9"/>
      <c r="AI635" s="9"/>
      <c r="AJ635" s="9"/>
      <c r="AK635" s="245"/>
      <c r="AL635" s="245"/>
      <c r="AM635" s="245"/>
      <c r="AN635" s="245"/>
      <c r="AO635" s="9"/>
      <c r="AP635" s="9"/>
      <c r="AQ635" s="9"/>
      <c r="AR635" s="9"/>
      <c r="AS635" s="9"/>
      <c r="AT635" s="9"/>
      <c r="AU635" s="9"/>
      <c r="AV635" s="9"/>
    </row>
    <row r="636">
      <c r="A636" s="253"/>
      <c r="B636" s="254"/>
      <c r="C636" s="463"/>
      <c r="D636" s="253"/>
      <c r="E636" s="254"/>
      <c r="F636" s="463"/>
      <c r="G636" s="253"/>
      <c r="H636" s="254"/>
      <c r="I636" s="463"/>
      <c r="J636" s="253"/>
      <c r="K636" s="254"/>
      <c r="L636" s="463"/>
      <c r="M636" s="253"/>
      <c r="N636" s="254"/>
      <c r="O636" s="463"/>
      <c r="P636" s="253"/>
      <c r="Q636" s="254"/>
      <c r="R636" s="463"/>
      <c r="S636" s="253"/>
      <c r="T636" s="254"/>
      <c r="U636" s="463"/>
      <c r="V636" s="253"/>
      <c r="W636" s="254"/>
      <c r="X636" s="463"/>
      <c r="Y636" s="9"/>
      <c r="Z636" s="9"/>
      <c r="AA636" s="9"/>
      <c r="AB636" s="9"/>
      <c r="AC636" s="234"/>
      <c r="AD636" s="234"/>
      <c r="AE636" s="234"/>
      <c r="AF636" s="234"/>
      <c r="AG636" s="9"/>
      <c r="AH636" s="9"/>
      <c r="AI636" s="9"/>
      <c r="AJ636" s="9"/>
      <c r="AK636" s="245"/>
      <c r="AL636" s="245"/>
      <c r="AM636" s="245"/>
      <c r="AN636" s="245"/>
      <c r="AO636" s="9"/>
      <c r="AP636" s="9"/>
      <c r="AQ636" s="9"/>
      <c r="AR636" s="9"/>
      <c r="AS636" s="9"/>
      <c r="AT636" s="9"/>
      <c r="AU636" s="9"/>
      <c r="AV636" s="9"/>
    </row>
    <row r="637">
      <c r="A637" s="253"/>
      <c r="B637" s="254"/>
      <c r="C637" s="463"/>
      <c r="D637" s="253"/>
      <c r="E637" s="254"/>
      <c r="F637" s="463"/>
      <c r="G637" s="253"/>
      <c r="H637" s="254"/>
      <c r="I637" s="463"/>
      <c r="J637" s="253"/>
      <c r="K637" s="254"/>
      <c r="L637" s="463"/>
      <c r="M637" s="253"/>
      <c r="N637" s="254"/>
      <c r="O637" s="463"/>
      <c r="P637" s="253"/>
      <c r="Q637" s="254"/>
      <c r="R637" s="463"/>
      <c r="S637" s="253"/>
      <c r="T637" s="254"/>
      <c r="U637" s="463"/>
      <c r="V637" s="253"/>
      <c r="W637" s="254"/>
      <c r="X637" s="463"/>
      <c r="Y637" s="9"/>
      <c r="Z637" s="9"/>
      <c r="AA637" s="9"/>
      <c r="AB637" s="9"/>
      <c r="AC637" s="234"/>
      <c r="AD637" s="234"/>
      <c r="AE637" s="234"/>
      <c r="AF637" s="234"/>
      <c r="AG637" s="9"/>
      <c r="AH637" s="9"/>
      <c r="AI637" s="9"/>
      <c r="AJ637" s="9"/>
      <c r="AK637" s="245"/>
      <c r="AL637" s="245"/>
      <c r="AM637" s="245"/>
      <c r="AN637" s="245"/>
      <c r="AO637" s="9"/>
      <c r="AP637" s="9"/>
      <c r="AQ637" s="9"/>
      <c r="AR637" s="9"/>
      <c r="AS637" s="9"/>
      <c r="AT637" s="9"/>
      <c r="AU637" s="9"/>
      <c r="AV637" s="9"/>
    </row>
    <row r="638">
      <c r="A638" s="253"/>
      <c r="B638" s="254"/>
      <c r="C638" s="463"/>
      <c r="D638" s="253"/>
      <c r="E638" s="254"/>
      <c r="F638" s="463"/>
      <c r="G638" s="253"/>
      <c r="H638" s="254"/>
      <c r="I638" s="463"/>
      <c r="J638" s="253"/>
      <c r="K638" s="254"/>
      <c r="L638" s="463"/>
      <c r="M638" s="253"/>
      <c r="N638" s="254"/>
      <c r="O638" s="463"/>
      <c r="P638" s="253"/>
      <c r="Q638" s="254"/>
      <c r="R638" s="463"/>
      <c r="S638" s="253"/>
      <c r="T638" s="254"/>
      <c r="U638" s="463"/>
      <c r="V638" s="253"/>
      <c r="W638" s="254"/>
      <c r="X638" s="463"/>
      <c r="Y638" s="9"/>
      <c r="Z638" s="9"/>
      <c r="AA638" s="9"/>
      <c r="AB638" s="9"/>
      <c r="AC638" s="234"/>
      <c r="AD638" s="234"/>
      <c r="AE638" s="234"/>
      <c r="AF638" s="234"/>
      <c r="AG638" s="9"/>
      <c r="AH638" s="9"/>
      <c r="AI638" s="9"/>
      <c r="AJ638" s="9"/>
      <c r="AK638" s="245"/>
      <c r="AL638" s="245"/>
      <c r="AM638" s="245"/>
      <c r="AN638" s="245"/>
      <c r="AO638" s="9"/>
      <c r="AP638" s="9"/>
      <c r="AQ638" s="9"/>
      <c r="AR638" s="9"/>
      <c r="AS638" s="9"/>
      <c r="AT638" s="9"/>
      <c r="AU638" s="9"/>
      <c r="AV638" s="9"/>
    </row>
    <row r="639">
      <c r="A639" s="253"/>
      <c r="B639" s="254"/>
      <c r="C639" s="463"/>
      <c r="D639" s="253"/>
      <c r="E639" s="254"/>
      <c r="F639" s="463"/>
      <c r="G639" s="253"/>
      <c r="H639" s="254"/>
      <c r="I639" s="463"/>
      <c r="J639" s="253"/>
      <c r="K639" s="254"/>
      <c r="L639" s="463"/>
      <c r="M639" s="253"/>
      <c r="N639" s="254"/>
      <c r="O639" s="463"/>
      <c r="P639" s="253"/>
      <c r="Q639" s="254"/>
      <c r="R639" s="463"/>
      <c r="S639" s="253"/>
      <c r="T639" s="254"/>
      <c r="U639" s="463"/>
      <c r="V639" s="253"/>
      <c r="W639" s="254"/>
      <c r="X639" s="463"/>
      <c r="Y639" s="9"/>
      <c r="Z639" s="9"/>
      <c r="AA639" s="9"/>
      <c r="AB639" s="9"/>
      <c r="AC639" s="234"/>
      <c r="AD639" s="234"/>
      <c r="AE639" s="234"/>
      <c r="AF639" s="234"/>
      <c r="AG639" s="9"/>
      <c r="AH639" s="9"/>
      <c r="AI639" s="9"/>
      <c r="AJ639" s="9"/>
      <c r="AK639" s="245"/>
      <c r="AL639" s="245"/>
      <c r="AM639" s="245"/>
      <c r="AN639" s="245"/>
      <c r="AO639" s="9"/>
      <c r="AP639" s="9"/>
      <c r="AQ639" s="9"/>
      <c r="AR639" s="9"/>
      <c r="AS639" s="9"/>
      <c r="AT639" s="9"/>
      <c r="AU639" s="9"/>
      <c r="AV639" s="9"/>
    </row>
    <row r="640">
      <c r="A640" s="253"/>
      <c r="B640" s="254"/>
      <c r="C640" s="463"/>
      <c r="D640" s="253"/>
      <c r="E640" s="254"/>
      <c r="F640" s="463"/>
      <c r="G640" s="253"/>
      <c r="H640" s="254"/>
      <c r="I640" s="463"/>
      <c r="J640" s="253"/>
      <c r="K640" s="254"/>
      <c r="L640" s="463"/>
      <c r="M640" s="253"/>
      <c r="N640" s="254"/>
      <c r="O640" s="463"/>
      <c r="P640" s="253"/>
      <c r="Q640" s="254"/>
      <c r="R640" s="463"/>
      <c r="S640" s="253"/>
      <c r="T640" s="254"/>
      <c r="U640" s="463"/>
      <c r="V640" s="253"/>
      <c r="W640" s="254"/>
      <c r="X640" s="463"/>
      <c r="Y640" s="9"/>
      <c r="Z640" s="9"/>
      <c r="AA640" s="9"/>
      <c r="AB640" s="9"/>
      <c r="AC640" s="234"/>
      <c r="AD640" s="234"/>
      <c r="AE640" s="234"/>
      <c r="AF640" s="234"/>
      <c r="AG640" s="9"/>
      <c r="AH640" s="9"/>
      <c r="AI640" s="9"/>
      <c r="AJ640" s="9"/>
      <c r="AK640" s="245"/>
      <c r="AL640" s="245"/>
      <c r="AM640" s="245"/>
      <c r="AN640" s="245"/>
      <c r="AO640" s="9"/>
      <c r="AP640" s="9"/>
      <c r="AQ640" s="9"/>
      <c r="AR640" s="9"/>
      <c r="AS640" s="9"/>
      <c r="AT640" s="9"/>
      <c r="AU640" s="9"/>
      <c r="AV640" s="9"/>
    </row>
    <row r="641">
      <c r="A641" s="253"/>
      <c r="B641" s="254"/>
      <c r="C641" s="463"/>
      <c r="D641" s="253"/>
      <c r="E641" s="254"/>
      <c r="F641" s="463"/>
      <c r="G641" s="253"/>
      <c r="H641" s="254"/>
      <c r="I641" s="463"/>
      <c r="J641" s="253"/>
      <c r="K641" s="254"/>
      <c r="L641" s="463"/>
      <c r="M641" s="253"/>
      <c r="N641" s="254"/>
      <c r="O641" s="463"/>
      <c r="P641" s="253"/>
      <c r="Q641" s="254"/>
      <c r="R641" s="463"/>
      <c r="S641" s="253"/>
      <c r="T641" s="254"/>
      <c r="U641" s="463"/>
      <c r="V641" s="253"/>
      <c r="W641" s="254"/>
      <c r="X641" s="463"/>
      <c r="Y641" s="9"/>
      <c r="Z641" s="9"/>
      <c r="AA641" s="9"/>
      <c r="AB641" s="9"/>
      <c r="AC641" s="234"/>
      <c r="AD641" s="234"/>
      <c r="AE641" s="234"/>
      <c r="AF641" s="234"/>
      <c r="AG641" s="9"/>
      <c r="AH641" s="9"/>
      <c r="AI641" s="9"/>
      <c r="AJ641" s="9"/>
      <c r="AK641" s="245"/>
      <c r="AL641" s="245"/>
      <c r="AM641" s="245"/>
      <c r="AN641" s="245"/>
      <c r="AO641" s="9"/>
      <c r="AP641" s="9"/>
      <c r="AQ641" s="9"/>
      <c r="AR641" s="9"/>
      <c r="AS641" s="9"/>
      <c r="AT641" s="9"/>
      <c r="AU641" s="9"/>
      <c r="AV641" s="9"/>
    </row>
    <row r="642">
      <c r="A642" s="253"/>
      <c r="B642" s="254"/>
      <c r="C642" s="463"/>
      <c r="D642" s="253"/>
      <c r="E642" s="254"/>
      <c r="F642" s="463"/>
      <c r="G642" s="253"/>
      <c r="H642" s="254"/>
      <c r="I642" s="463"/>
      <c r="J642" s="253"/>
      <c r="K642" s="254"/>
      <c r="L642" s="463"/>
      <c r="M642" s="253"/>
      <c r="N642" s="254"/>
      <c r="O642" s="463"/>
      <c r="P642" s="253"/>
      <c r="Q642" s="254"/>
      <c r="R642" s="463"/>
      <c r="S642" s="253"/>
      <c r="T642" s="254"/>
      <c r="U642" s="463"/>
      <c r="V642" s="253"/>
      <c r="W642" s="254"/>
      <c r="X642" s="463"/>
      <c r="Y642" s="9"/>
      <c r="Z642" s="9"/>
      <c r="AA642" s="9"/>
      <c r="AB642" s="9"/>
      <c r="AC642" s="234"/>
      <c r="AD642" s="234"/>
      <c r="AE642" s="234"/>
      <c r="AF642" s="234"/>
      <c r="AG642" s="9"/>
      <c r="AH642" s="9"/>
      <c r="AI642" s="9"/>
      <c r="AJ642" s="9"/>
      <c r="AK642" s="245"/>
      <c r="AL642" s="245"/>
      <c r="AM642" s="245"/>
      <c r="AN642" s="245"/>
      <c r="AO642" s="9"/>
      <c r="AP642" s="9"/>
      <c r="AQ642" s="9"/>
      <c r="AR642" s="9"/>
      <c r="AS642" s="9"/>
      <c r="AT642" s="9"/>
      <c r="AU642" s="9"/>
      <c r="AV642" s="9"/>
    </row>
    <row r="643">
      <c r="A643" s="253"/>
      <c r="B643" s="254"/>
      <c r="C643" s="463"/>
      <c r="D643" s="253"/>
      <c r="E643" s="254"/>
      <c r="F643" s="463"/>
      <c r="G643" s="253"/>
      <c r="H643" s="254"/>
      <c r="I643" s="463"/>
      <c r="J643" s="253"/>
      <c r="K643" s="254"/>
      <c r="L643" s="463"/>
      <c r="M643" s="253"/>
      <c r="N643" s="254"/>
      <c r="O643" s="463"/>
      <c r="P643" s="253"/>
      <c r="Q643" s="254"/>
      <c r="R643" s="463"/>
      <c r="S643" s="253"/>
      <c r="T643" s="254"/>
      <c r="U643" s="463"/>
      <c r="V643" s="253"/>
      <c r="W643" s="254"/>
      <c r="X643" s="463"/>
      <c r="Y643" s="9"/>
      <c r="Z643" s="9"/>
      <c r="AA643" s="9"/>
      <c r="AB643" s="9"/>
      <c r="AC643" s="234"/>
      <c r="AD643" s="234"/>
      <c r="AE643" s="234"/>
      <c r="AF643" s="234"/>
      <c r="AG643" s="9"/>
      <c r="AH643" s="9"/>
      <c r="AI643" s="9"/>
      <c r="AJ643" s="9"/>
      <c r="AK643" s="245"/>
      <c r="AL643" s="245"/>
      <c r="AM643" s="245"/>
      <c r="AN643" s="245"/>
      <c r="AO643" s="9"/>
      <c r="AP643" s="9"/>
      <c r="AQ643" s="9"/>
      <c r="AR643" s="9"/>
      <c r="AS643" s="9"/>
      <c r="AT643" s="9"/>
      <c r="AU643" s="9"/>
      <c r="AV643" s="9"/>
    </row>
    <row r="644">
      <c r="A644" s="253"/>
      <c r="B644" s="254"/>
      <c r="C644" s="463"/>
      <c r="D644" s="253"/>
      <c r="E644" s="254"/>
      <c r="F644" s="463"/>
      <c r="G644" s="253"/>
      <c r="H644" s="254"/>
      <c r="I644" s="463"/>
      <c r="J644" s="253"/>
      <c r="K644" s="254"/>
      <c r="L644" s="463"/>
      <c r="M644" s="253"/>
      <c r="N644" s="254"/>
      <c r="O644" s="463"/>
      <c r="P644" s="253"/>
      <c r="Q644" s="254"/>
      <c r="R644" s="463"/>
      <c r="S644" s="253"/>
      <c r="T644" s="254"/>
      <c r="U644" s="463"/>
      <c r="V644" s="253"/>
      <c r="W644" s="254"/>
      <c r="X644" s="463"/>
      <c r="Y644" s="9"/>
      <c r="Z644" s="9"/>
      <c r="AA644" s="9"/>
      <c r="AB644" s="9"/>
      <c r="AC644" s="234"/>
      <c r="AD644" s="234"/>
      <c r="AE644" s="234"/>
      <c r="AF644" s="234"/>
      <c r="AG644" s="9"/>
      <c r="AH644" s="9"/>
      <c r="AI644" s="9"/>
      <c r="AJ644" s="9"/>
      <c r="AK644" s="245"/>
      <c r="AL644" s="245"/>
      <c r="AM644" s="245"/>
      <c r="AN644" s="245"/>
      <c r="AO644" s="9"/>
      <c r="AP644" s="9"/>
      <c r="AQ644" s="9"/>
      <c r="AR644" s="9"/>
      <c r="AS644" s="9"/>
      <c r="AT644" s="9"/>
      <c r="AU644" s="9"/>
      <c r="AV644" s="9"/>
    </row>
    <row r="645">
      <c r="A645" s="253"/>
      <c r="B645" s="254"/>
      <c r="C645" s="463"/>
      <c r="D645" s="253"/>
      <c r="E645" s="254"/>
      <c r="F645" s="463"/>
      <c r="G645" s="253"/>
      <c r="H645" s="254"/>
      <c r="I645" s="463"/>
      <c r="J645" s="253"/>
      <c r="K645" s="254"/>
      <c r="L645" s="463"/>
      <c r="M645" s="253"/>
      <c r="N645" s="254"/>
      <c r="O645" s="463"/>
      <c r="P645" s="253"/>
      <c r="Q645" s="254"/>
      <c r="R645" s="463"/>
      <c r="S645" s="253"/>
      <c r="T645" s="254"/>
      <c r="U645" s="463"/>
      <c r="V645" s="253"/>
      <c r="W645" s="254"/>
      <c r="X645" s="463"/>
      <c r="Y645" s="9"/>
      <c r="Z645" s="9"/>
      <c r="AA645" s="9"/>
      <c r="AB645" s="9"/>
      <c r="AC645" s="234"/>
      <c r="AD645" s="234"/>
      <c r="AE645" s="234"/>
      <c r="AF645" s="234"/>
      <c r="AG645" s="9"/>
      <c r="AH645" s="9"/>
      <c r="AI645" s="9"/>
      <c r="AJ645" s="9"/>
      <c r="AK645" s="245"/>
      <c r="AL645" s="245"/>
      <c r="AM645" s="245"/>
      <c r="AN645" s="245"/>
      <c r="AO645" s="9"/>
      <c r="AP645" s="9"/>
      <c r="AQ645" s="9"/>
      <c r="AR645" s="9"/>
      <c r="AS645" s="9"/>
      <c r="AT645" s="9"/>
      <c r="AU645" s="9"/>
      <c r="AV645" s="9"/>
    </row>
    <row r="646">
      <c r="A646" s="253"/>
      <c r="B646" s="254"/>
      <c r="C646" s="463"/>
      <c r="D646" s="253"/>
      <c r="E646" s="254"/>
      <c r="F646" s="463"/>
      <c r="G646" s="253"/>
      <c r="H646" s="254"/>
      <c r="I646" s="463"/>
      <c r="J646" s="253"/>
      <c r="K646" s="254"/>
      <c r="L646" s="463"/>
      <c r="M646" s="253"/>
      <c r="N646" s="254"/>
      <c r="O646" s="463"/>
      <c r="P646" s="253"/>
      <c r="Q646" s="254"/>
      <c r="R646" s="463"/>
      <c r="S646" s="253"/>
      <c r="T646" s="254"/>
      <c r="U646" s="463"/>
      <c r="V646" s="253"/>
      <c r="W646" s="254"/>
      <c r="X646" s="463"/>
      <c r="Y646" s="9"/>
      <c r="Z646" s="9"/>
      <c r="AA646" s="9"/>
      <c r="AB646" s="9"/>
      <c r="AC646" s="234"/>
      <c r="AD646" s="234"/>
      <c r="AE646" s="234"/>
      <c r="AF646" s="234"/>
      <c r="AG646" s="9"/>
      <c r="AH646" s="9"/>
      <c r="AI646" s="9"/>
      <c r="AJ646" s="9"/>
      <c r="AK646" s="245"/>
      <c r="AL646" s="245"/>
      <c r="AM646" s="245"/>
      <c r="AN646" s="245"/>
      <c r="AO646" s="9"/>
      <c r="AP646" s="9"/>
      <c r="AQ646" s="9"/>
      <c r="AR646" s="9"/>
      <c r="AS646" s="9"/>
      <c r="AT646" s="9"/>
      <c r="AU646" s="9"/>
      <c r="AV646" s="9"/>
    </row>
    <row r="647">
      <c r="A647" s="253"/>
      <c r="B647" s="254"/>
      <c r="C647" s="463"/>
      <c r="D647" s="253"/>
      <c r="E647" s="254"/>
      <c r="F647" s="463"/>
      <c r="G647" s="253"/>
      <c r="H647" s="254"/>
      <c r="I647" s="463"/>
      <c r="J647" s="253"/>
      <c r="K647" s="254"/>
      <c r="L647" s="463"/>
      <c r="M647" s="253"/>
      <c r="N647" s="254"/>
      <c r="O647" s="463"/>
      <c r="P647" s="253"/>
      <c r="Q647" s="254"/>
      <c r="R647" s="463"/>
      <c r="S647" s="253"/>
      <c r="T647" s="254"/>
      <c r="U647" s="463"/>
      <c r="V647" s="253"/>
      <c r="W647" s="254"/>
      <c r="X647" s="463"/>
      <c r="Y647" s="9"/>
      <c r="Z647" s="9"/>
      <c r="AA647" s="9"/>
      <c r="AB647" s="9"/>
      <c r="AC647" s="234"/>
      <c r="AD647" s="234"/>
      <c r="AE647" s="234"/>
      <c r="AF647" s="234"/>
      <c r="AG647" s="9"/>
      <c r="AH647" s="9"/>
      <c r="AI647" s="9"/>
      <c r="AJ647" s="9"/>
      <c r="AK647" s="245"/>
      <c r="AL647" s="245"/>
      <c r="AM647" s="245"/>
      <c r="AN647" s="245"/>
      <c r="AO647" s="9"/>
      <c r="AP647" s="9"/>
      <c r="AQ647" s="9"/>
      <c r="AR647" s="9"/>
      <c r="AS647" s="9"/>
      <c r="AT647" s="9"/>
      <c r="AU647" s="9"/>
      <c r="AV647" s="9"/>
    </row>
    <row r="648">
      <c r="A648" s="253"/>
      <c r="B648" s="254"/>
      <c r="C648" s="463"/>
      <c r="D648" s="253"/>
      <c r="E648" s="254"/>
      <c r="F648" s="463"/>
      <c r="G648" s="253"/>
      <c r="H648" s="254"/>
      <c r="I648" s="463"/>
      <c r="J648" s="253"/>
      <c r="K648" s="254"/>
      <c r="L648" s="463"/>
      <c r="M648" s="253"/>
      <c r="N648" s="254"/>
      <c r="O648" s="463"/>
      <c r="P648" s="253"/>
      <c r="Q648" s="254"/>
      <c r="R648" s="463"/>
      <c r="S648" s="253"/>
      <c r="T648" s="254"/>
      <c r="U648" s="463"/>
      <c r="V648" s="253"/>
      <c r="W648" s="254"/>
      <c r="X648" s="463"/>
      <c r="Y648" s="9"/>
      <c r="Z648" s="9"/>
      <c r="AA648" s="9"/>
      <c r="AB648" s="9"/>
      <c r="AC648" s="234"/>
      <c r="AD648" s="234"/>
      <c r="AE648" s="234"/>
      <c r="AF648" s="234"/>
      <c r="AG648" s="9"/>
      <c r="AH648" s="9"/>
      <c r="AI648" s="9"/>
      <c r="AJ648" s="9"/>
      <c r="AK648" s="245"/>
      <c r="AL648" s="245"/>
      <c r="AM648" s="245"/>
      <c r="AN648" s="245"/>
      <c r="AO648" s="9"/>
      <c r="AP648" s="9"/>
      <c r="AQ648" s="9"/>
      <c r="AR648" s="9"/>
      <c r="AS648" s="9"/>
      <c r="AT648" s="9"/>
      <c r="AU648" s="9"/>
      <c r="AV648" s="9"/>
    </row>
    <row r="649">
      <c r="A649" s="253"/>
      <c r="B649" s="254"/>
      <c r="C649" s="463"/>
      <c r="D649" s="253"/>
      <c r="E649" s="254"/>
      <c r="F649" s="463"/>
      <c r="G649" s="253"/>
      <c r="H649" s="254"/>
      <c r="I649" s="463"/>
      <c r="J649" s="253"/>
      <c r="K649" s="254"/>
      <c r="L649" s="463"/>
      <c r="M649" s="253"/>
      <c r="N649" s="254"/>
      <c r="O649" s="463"/>
      <c r="P649" s="253"/>
      <c r="Q649" s="254"/>
      <c r="R649" s="463"/>
      <c r="S649" s="253"/>
      <c r="T649" s="254"/>
      <c r="U649" s="463"/>
      <c r="V649" s="253"/>
      <c r="W649" s="254"/>
      <c r="X649" s="463"/>
      <c r="Y649" s="9"/>
      <c r="Z649" s="9"/>
      <c r="AA649" s="9"/>
      <c r="AB649" s="9"/>
      <c r="AC649" s="234"/>
      <c r="AD649" s="234"/>
      <c r="AE649" s="234"/>
      <c r="AF649" s="234"/>
      <c r="AG649" s="9"/>
      <c r="AH649" s="9"/>
      <c r="AI649" s="9"/>
      <c r="AJ649" s="9"/>
      <c r="AK649" s="245"/>
      <c r="AL649" s="245"/>
      <c r="AM649" s="245"/>
      <c r="AN649" s="245"/>
      <c r="AO649" s="9"/>
      <c r="AP649" s="9"/>
      <c r="AQ649" s="9"/>
      <c r="AR649" s="9"/>
      <c r="AS649" s="9"/>
      <c r="AT649" s="9"/>
      <c r="AU649" s="9"/>
      <c r="AV649" s="9"/>
    </row>
    <row r="650">
      <c r="A650" s="253"/>
      <c r="B650" s="254"/>
      <c r="C650" s="463"/>
      <c r="D650" s="253"/>
      <c r="E650" s="254"/>
      <c r="F650" s="463"/>
      <c r="G650" s="253"/>
      <c r="H650" s="254"/>
      <c r="I650" s="463"/>
      <c r="J650" s="253"/>
      <c r="K650" s="254"/>
      <c r="L650" s="463"/>
      <c r="M650" s="253"/>
      <c r="N650" s="254"/>
      <c r="O650" s="463"/>
      <c r="P650" s="253"/>
      <c r="Q650" s="254"/>
      <c r="R650" s="463"/>
      <c r="S650" s="253"/>
      <c r="T650" s="254"/>
      <c r="U650" s="463"/>
      <c r="V650" s="253"/>
      <c r="W650" s="254"/>
      <c r="X650" s="463"/>
      <c r="Y650" s="9"/>
      <c r="Z650" s="9"/>
      <c r="AA650" s="9"/>
      <c r="AB650" s="9"/>
      <c r="AC650" s="234"/>
      <c r="AD650" s="234"/>
      <c r="AE650" s="234"/>
      <c r="AF650" s="234"/>
      <c r="AG650" s="9"/>
      <c r="AH650" s="9"/>
      <c r="AI650" s="9"/>
      <c r="AJ650" s="9"/>
      <c r="AK650" s="245"/>
      <c r="AL650" s="245"/>
      <c r="AM650" s="245"/>
      <c r="AN650" s="245"/>
      <c r="AO650" s="9"/>
      <c r="AP650" s="9"/>
      <c r="AQ650" s="9"/>
      <c r="AR650" s="9"/>
      <c r="AS650" s="9"/>
      <c r="AT650" s="9"/>
      <c r="AU650" s="9"/>
      <c r="AV650" s="9"/>
    </row>
    <row r="651">
      <c r="A651" s="253"/>
      <c r="B651" s="254"/>
      <c r="C651" s="463"/>
      <c r="D651" s="253"/>
      <c r="E651" s="254"/>
      <c r="F651" s="463"/>
      <c r="G651" s="253"/>
      <c r="H651" s="254"/>
      <c r="I651" s="463"/>
      <c r="J651" s="253"/>
      <c r="K651" s="254"/>
      <c r="L651" s="463"/>
      <c r="M651" s="253"/>
      <c r="N651" s="254"/>
      <c r="O651" s="463"/>
      <c r="P651" s="253"/>
      <c r="Q651" s="254"/>
      <c r="R651" s="463"/>
      <c r="S651" s="253"/>
      <c r="T651" s="254"/>
      <c r="U651" s="463"/>
      <c r="V651" s="253"/>
      <c r="W651" s="254"/>
      <c r="X651" s="463"/>
      <c r="Y651" s="9"/>
      <c r="Z651" s="9"/>
      <c r="AA651" s="9"/>
      <c r="AB651" s="9"/>
      <c r="AC651" s="234"/>
      <c r="AD651" s="234"/>
      <c r="AE651" s="234"/>
      <c r="AF651" s="234"/>
      <c r="AG651" s="9"/>
      <c r="AH651" s="9"/>
      <c r="AI651" s="9"/>
      <c r="AJ651" s="9"/>
      <c r="AK651" s="245"/>
      <c r="AL651" s="245"/>
      <c r="AM651" s="245"/>
      <c r="AN651" s="245"/>
      <c r="AO651" s="9"/>
      <c r="AP651" s="9"/>
      <c r="AQ651" s="9"/>
      <c r="AR651" s="9"/>
      <c r="AS651" s="9"/>
      <c r="AT651" s="9"/>
      <c r="AU651" s="9"/>
      <c r="AV651" s="9"/>
    </row>
    <row r="652">
      <c r="A652" s="253"/>
      <c r="B652" s="254"/>
      <c r="C652" s="463"/>
      <c r="D652" s="253"/>
      <c r="E652" s="254"/>
      <c r="F652" s="463"/>
      <c r="G652" s="253"/>
      <c r="H652" s="254"/>
      <c r="I652" s="463"/>
      <c r="J652" s="253"/>
      <c r="K652" s="254"/>
      <c r="L652" s="463"/>
      <c r="M652" s="253"/>
      <c r="N652" s="254"/>
      <c r="O652" s="463"/>
      <c r="P652" s="253"/>
      <c r="Q652" s="254"/>
      <c r="R652" s="463"/>
      <c r="S652" s="253"/>
      <c r="T652" s="254"/>
      <c r="U652" s="463"/>
      <c r="V652" s="253"/>
      <c r="W652" s="254"/>
      <c r="X652" s="463"/>
      <c r="Y652" s="9"/>
      <c r="Z652" s="9"/>
      <c r="AA652" s="9"/>
      <c r="AB652" s="9"/>
      <c r="AC652" s="234"/>
      <c r="AD652" s="234"/>
      <c r="AE652" s="234"/>
      <c r="AF652" s="234"/>
      <c r="AG652" s="9"/>
      <c r="AH652" s="9"/>
      <c r="AI652" s="9"/>
      <c r="AJ652" s="9"/>
      <c r="AK652" s="245"/>
      <c r="AL652" s="245"/>
      <c r="AM652" s="245"/>
      <c r="AN652" s="245"/>
      <c r="AO652" s="9"/>
      <c r="AP652" s="9"/>
      <c r="AQ652" s="9"/>
      <c r="AR652" s="9"/>
      <c r="AS652" s="9"/>
      <c r="AT652" s="9"/>
      <c r="AU652" s="9"/>
      <c r="AV652" s="9"/>
    </row>
    <row r="653">
      <c r="A653" s="253"/>
      <c r="B653" s="254"/>
      <c r="C653" s="463"/>
      <c r="D653" s="253"/>
      <c r="E653" s="254"/>
      <c r="F653" s="463"/>
      <c r="G653" s="253"/>
      <c r="H653" s="254"/>
      <c r="I653" s="463"/>
      <c r="J653" s="253"/>
      <c r="K653" s="254"/>
      <c r="L653" s="463"/>
      <c r="M653" s="253"/>
      <c r="N653" s="254"/>
      <c r="O653" s="463"/>
      <c r="P653" s="253"/>
      <c r="Q653" s="254"/>
      <c r="R653" s="463"/>
      <c r="S653" s="253"/>
      <c r="T653" s="254"/>
      <c r="U653" s="463"/>
      <c r="V653" s="253"/>
      <c r="W653" s="254"/>
      <c r="X653" s="463"/>
      <c r="Y653" s="9"/>
      <c r="Z653" s="9"/>
      <c r="AA653" s="9"/>
      <c r="AB653" s="9"/>
      <c r="AC653" s="234"/>
      <c r="AD653" s="234"/>
      <c r="AE653" s="234"/>
      <c r="AF653" s="234"/>
      <c r="AG653" s="9"/>
      <c r="AH653" s="9"/>
      <c r="AI653" s="9"/>
      <c r="AJ653" s="9"/>
      <c r="AK653" s="245"/>
      <c r="AL653" s="245"/>
      <c r="AM653" s="245"/>
      <c r="AN653" s="245"/>
      <c r="AO653" s="9"/>
      <c r="AP653" s="9"/>
      <c r="AQ653" s="9"/>
      <c r="AR653" s="9"/>
      <c r="AS653" s="9"/>
      <c r="AT653" s="9"/>
      <c r="AU653" s="9"/>
      <c r="AV653" s="9"/>
    </row>
    <row r="654">
      <c r="A654" s="253"/>
      <c r="B654" s="254"/>
      <c r="C654" s="463"/>
      <c r="D654" s="253"/>
      <c r="E654" s="254"/>
      <c r="F654" s="463"/>
      <c r="G654" s="253"/>
      <c r="H654" s="254"/>
      <c r="I654" s="463"/>
      <c r="J654" s="253"/>
      <c r="K654" s="254"/>
      <c r="L654" s="463"/>
      <c r="M654" s="253"/>
      <c r="N654" s="254"/>
      <c r="O654" s="463"/>
      <c r="P654" s="253"/>
      <c r="Q654" s="254"/>
      <c r="R654" s="463"/>
      <c r="S654" s="253"/>
      <c r="T654" s="254"/>
      <c r="U654" s="463"/>
      <c r="V654" s="253"/>
      <c r="W654" s="254"/>
      <c r="X654" s="463"/>
      <c r="Y654" s="9"/>
      <c r="Z654" s="9"/>
      <c r="AA654" s="9"/>
      <c r="AB654" s="9"/>
      <c r="AC654" s="234"/>
      <c r="AD654" s="234"/>
      <c r="AE654" s="234"/>
      <c r="AF654" s="234"/>
      <c r="AG654" s="9"/>
      <c r="AH654" s="9"/>
      <c r="AI654" s="9"/>
      <c r="AJ654" s="9"/>
      <c r="AK654" s="245"/>
      <c r="AL654" s="245"/>
      <c r="AM654" s="245"/>
      <c r="AN654" s="245"/>
      <c r="AO654" s="9"/>
      <c r="AP654" s="9"/>
      <c r="AQ654" s="9"/>
      <c r="AR654" s="9"/>
      <c r="AS654" s="9"/>
      <c r="AT654" s="9"/>
      <c r="AU654" s="9"/>
      <c r="AV654" s="9"/>
    </row>
    <row r="655">
      <c r="A655" s="253"/>
      <c r="B655" s="254"/>
      <c r="C655" s="463"/>
      <c r="D655" s="253"/>
      <c r="E655" s="254"/>
      <c r="F655" s="463"/>
      <c r="G655" s="253"/>
      <c r="H655" s="254"/>
      <c r="I655" s="463"/>
      <c r="J655" s="253"/>
      <c r="K655" s="254"/>
      <c r="L655" s="463"/>
      <c r="M655" s="253"/>
      <c r="N655" s="254"/>
      <c r="O655" s="463"/>
      <c r="P655" s="253"/>
      <c r="Q655" s="254"/>
      <c r="R655" s="463"/>
      <c r="S655" s="253"/>
      <c r="T655" s="254"/>
      <c r="U655" s="463"/>
      <c r="V655" s="253"/>
      <c r="W655" s="254"/>
      <c r="X655" s="463"/>
      <c r="Y655" s="9"/>
      <c r="Z655" s="9"/>
      <c r="AA655" s="9"/>
      <c r="AB655" s="9"/>
      <c r="AC655" s="234"/>
      <c r="AD655" s="234"/>
      <c r="AE655" s="234"/>
      <c r="AF655" s="234"/>
      <c r="AG655" s="9"/>
      <c r="AH655" s="9"/>
      <c r="AI655" s="9"/>
      <c r="AJ655" s="9"/>
      <c r="AK655" s="245"/>
      <c r="AL655" s="245"/>
      <c r="AM655" s="245"/>
      <c r="AN655" s="245"/>
      <c r="AO655" s="9"/>
      <c r="AP655" s="9"/>
      <c r="AQ655" s="9"/>
      <c r="AR655" s="9"/>
      <c r="AS655" s="9"/>
      <c r="AT655" s="9"/>
      <c r="AU655" s="9"/>
      <c r="AV655" s="9"/>
    </row>
    <row r="656">
      <c r="A656" s="253"/>
      <c r="B656" s="254"/>
      <c r="C656" s="463"/>
      <c r="D656" s="253"/>
      <c r="E656" s="254"/>
      <c r="F656" s="463"/>
      <c r="G656" s="253"/>
      <c r="H656" s="254"/>
      <c r="I656" s="463"/>
      <c r="J656" s="253"/>
      <c r="K656" s="254"/>
      <c r="L656" s="463"/>
      <c r="M656" s="253"/>
      <c r="N656" s="254"/>
      <c r="O656" s="463"/>
      <c r="P656" s="253"/>
      <c r="Q656" s="254"/>
      <c r="R656" s="463"/>
      <c r="S656" s="253"/>
      <c r="T656" s="254"/>
      <c r="U656" s="463"/>
      <c r="V656" s="253"/>
      <c r="W656" s="254"/>
      <c r="X656" s="463"/>
      <c r="Y656" s="9"/>
      <c r="Z656" s="9"/>
      <c r="AA656" s="9"/>
      <c r="AB656" s="9"/>
      <c r="AC656" s="234"/>
      <c r="AD656" s="234"/>
      <c r="AE656" s="234"/>
      <c r="AF656" s="234"/>
      <c r="AG656" s="9"/>
      <c r="AH656" s="9"/>
      <c r="AI656" s="9"/>
      <c r="AJ656" s="9"/>
      <c r="AK656" s="245"/>
      <c r="AL656" s="245"/>
      <c r="AM656" s="245"/>
      <c r="AN656" s="245"/>
      <c r="AO656" s="9"/>
      <c r="AP656" s="9"/>
      <c r="AQ656" s="9"/>
      <c r="AR656" s="9"/>
      <c r="AS656" s="9"/>
      <c r="AT656" s="9"/>
      <c r="AU656" s="9"/>
      <c r="AV656" s="9"/>
    </row>
    <row r="657">
      <c r="A657" s="253"/>
      <c r="B657" s="254"/>
      <c r="C657" s="463"/>
      <c r="D657" s="253"/>
      <c r="E657" s="254"/>
      <c r="F657" s="463"/>
      <c r="G657" s="253"/>
      <c r="H657" s="254"/>
      <c r="I657" s="463"/>
      <c r="J657" s="253"/>
      <c r="K657" s="254"/>
      <c r="L657" s="463"/>
      <c r="M657" s="253"/>
      <c r="N657" s="254"/>
      <c r="O657" s="463"/>
      <c r="P657" s="253"/>
      <c r="Q657" s="254"/>
      <c r="R657" s="463"/>
      <c r="S657" s="253"/>
      <c r="T657" s="254"/>
      <c r="U657" s="463"/>
      <c r="V657" s="253"/>
      <c r="W657" s="254"/>
      <c r="X657" s="463"/>
      <c r="Y657" s="9"/>
      <c r="Z657" s="9"/>
      <c r="AA657" s="9"/>
      <c r="AB657" s="9"/>
      <c r="AC657" s="234"/>
      <c r="AD657" s="234"/>
      <c r="AE657" s="234"/>
      <c r="AF657" s="234"/>
      <c r="AG657" s="9"/>
      <c r="AH657" s="9"/>
      <c r="AI657" s="9"/>
      <c r="AJ657" s="9"/>
      <c r="AK657" s="245"/>
      <c r="AL657" s="245"/>
      <c r="AM657" s="245"/>
      <c r="AN657" s="245"/>
      <c r="AO657" s="9"/>
      <c r="AP657" s="9"/>
      <c r="AQ657" s="9"/>
      <c r="AR657" s="9"/>
      <c r="AS657" s="9"/>
      <c r="AT657" s="9"/>
      <c r="AU657" s="9"/>
      <c r="AV657" s="9"/>
    </row>
    <row r="658">
      <c r="A658" s="253"/>
      <c r="B658" s="254"/>
      <c r="C658" s="463"/>
      <c r="D658" s="253"/>
      <c r="E658" s="254"/>
      <c r="F658" s="463"/>
      <c r="G658" s="253"/>
      <c r="H658" s="254"/>
      <c r="I658" s="463"/>
      <c r="J658" s="253"/>
      <c r="K658" s="254"/>
      <c r="L658" s="463"/>
      <c r="M658" s="253"/>
      <c r="N658" s="254"/>
      <c r="O658" s="463"/>
      <c r="P658" s="253"/>
      <c r="Q658" s="254"/>
      <c r="R658" s="463"/>
      <c r="S658" s="253"/>
      <c r="T658" s="254"/>
      <c r="U658" s="463"/>
      <c r="V658" s="253"/>
      <c r="W658" s="254"/>
      <c r="X658" s="463"/>
      <c r="Y658" s="9"/>
      <c r="Z658" s="9"/>
      <c r="AA658" s="9"/>
      <c r="AB658" s="9"/>
      <c r="AC658" s="234"/>
      <c r="AD658" s="234"/>
      <c r="AE658" s="234"/>
      <c r="AF658" s="234"/>
      <c r="AG658" s="9"/>
      <c r="AH658" s="9"/>
      <c r="AI658" s="9"/>
      <c r="AJ658" s="9"/>
      <c r="AK658" s="245"/>
      <c r="AL658" s="245"/>
      <c r="AM658" s="245"/>
      <c r="AN658" s="245"/>
      <c r="AO658" s="9"/>
      <c r="AP658" s="9"/>
      <c r="AQ658" s="9"/>
      <c r="AR658" s="9"/>
      <c r="AS658" s="9"/>
      <c r="AT658" s="9"/>
      <c r="AU658" s="9"/>
      <c r="AV658" s="9"/>
    </row>
    <row r="659">
      <c r="A659" s="253"/>
      <c r="B659" s="254"/>
      <c r="C659" s="463"/>
      <c r="D659" s="253"/>
      <c r="E659" s="254"/>
      <c r="F659" s="463"/>
      <c r="G659" s="253"/>
      <c r="H659" s="254"/>
      <c r="I659" s="463"/>
      <c r="J659" s="253"/>
      <c r="K659" s="254"/>
      <c r="L659" s="463"/>
      <c r="M659" s="253"/>
      <c r="N659" s="254"/>
      <c r="O659" s="463"/>
      <c r="P659" s="253"/>
      <c r="Q659" s="254"/>
      <c r="R659" s="463"/>
      <c r="S659" s="253"/>
      <c r="T659" s="254"/>
      <c r="U659" s="463"/>
      <c r="V659" s="253"/>
      <c r="W659" s="254"/>
      <c r="X659" s="463"/>
      <c r="Y659" s="9"/>
      <c r="Z659" s="9"/>
      <c r="AA659" s="9"/>
      <c r="AB659" s="9"/>
      <c r="AC659" s="234"/>
      <c r="AD659" s="234"/>
      <c r="AE659" s="234"/>
      <c r="AF659" s="234"/>
      <c r="AG659" s="9"/>
      <c r="AH659" s="9"/>
      <c r="AI659" s="9"/>
      <c r="AJ659" s="9"/>
      <c r="AK659" s="245"/>
      <c r="AL659" s="245"/>
      <c r="AM659" s="245"/>
      <c r="AN659" s="245"/>
      <c r="AO659" s="9"/>
      <c r="AP659" s="9"/>
      <c r="AQ659" s="9"/>
      <c r="AR659" s="9"/>
      <c r="AS659" s="9"/>
      <c r="AT659" s="9"/>
      <c r="AU659" s="9"/>
      <c r="AV659" s="9"/>
    </row>
    <row r="660">
      <c r="A660" s="253"/>
      <c r="B660" s="254"/>
      <c r="C660" s="463"/>
      <c r="D660" s="253"/>
      <c r="E660" s="254"/>
      <c r="F660" s="463"/>
      <c r="G660" s="253"/>
      <c r="H660" s="254"/>
      <c r="I660" s="463"/>
      <c r="J660" s="253"/>
      <c r="K660" s="254"/>
      <c r="L660" s="463"/>
      <c r="M660" s="253"/>
      <c r="N660" s="254"/>
      <c r="O660" s="463"/>
      <c r="P660" s="253"/>
      <c r="Q660" s="254"/>
      <c r="R660" s="463"/>
      <c r="S660" s="253"/>
      <c r="T660" s="254"/>
      <c r="U660" s="463"/>
      <c r="V660" s="253"/>
      <c r="W660" s="254"/>
      <c r="X660" s="463"/>
      <c r="Y660" s="9"/>
      <c r="Z660" s="9"/>
      <c r="AA660" s="9"/>
      <c r="AB660" s="9"/>
      <c r="AC660" s="234"/>
      <c r="AD660" s="234"/>
      <c r="AE660" s="234"/>
      <c r="AF660" s="234"/>
      <c r="AG660" s="9"/>
      <c r="AH660" s="9"/>
      <c r="AI660" s="9"/>
      <c r="AJ660" s="9"/>
      <c r="AK660" s="245"/>
      <c r="AL660" s="245"/>
      <c r="AM660" s="245"/>
      <c r="AN660" s="245"/>
      <c r="AO660" s="9"/>
      <c r="AP660" s="9"/>
      <c r="AQ660" s="9"/>
      <c r="AR660" s="9"/>
      <c r="AS660" s="9"/>
      <c r="AT660" s="9"/>
      <c r="AU660" s="9"/>
      <c r="AV660" s="9"/>
    </row>
    <row r="661">
      <c r="A661" s="253"/>
      <c r="B661" s="254"/>
      <c r="C661" s="463"/>
      <c r="D661" s="253"/>
      <c r="E661" s="254"/>
      <c r="F661" s="463"/>
      <c r="G661" s="253"/>
      <c r="H661" s="254"/>
      <c r="I661" s="463"/>
      <c r="J661" s="253"/>
      <c r="K661" s="254"/>
      <c r="L661" s="463"/>
      <c r="M661" s="253"/>
      <c r="N661" s="254"/>
      <c r="O661" s="463"/>
      <c r="P661" s="253"/>
      <c r="Q661" s="254"/>
      <c r="R661" s="463"/>
      <c r="S661" s="253"/>
      <c r="T661" s="254"/>
      <c r="U661" s="463"/>
      <c r="V661" s="253"/>
      <c r="W661" s="254"/>
      <c r="X661" s="463"/>
      <c r="Y661" s="9"/>
      <c r="Z661" s="9"/>
      <c r="AA661" s="9"/>
      <c r="AB661" s="9"/>
      <c r="AC661" s="234"/>
      <c r="AD661" s="234"/>
      <c r="AE661" s="234"/>
      <c r="AF661" s="234"/>
      <c r="AG661" s="9"/>
      <c r="AH661" s="9"/>
      <c r="AI661" s="9"/>
      <c r="AJ661" s="9"/>
      <c r="AK661" s="245"/>
      <c r="AL661" s="245"/>
      <c r="AM661" s="245"/>
      <c r="AN661" s="245"/>
      <c r="AO661" s="9"/>
      <c r="AP661" s="9"/>
      <c r="AQ661" s="9"/>
      <c r="AR661" s="9"/>
      <c r="AS661" s="9"/>
      <c r="AT661" s="9"/>
      <c r="AU661" s="9"/>
      <c r="AV661" s="9"/>
    </row>
    <row r="662">
      <c r="A662" s="253"/>
      <c r="B662" s="254"/>
      <c r="C662" s="463"/>
      <c r="D662" s="253"/>
      <c r="E662" s="254"/>
      <c r="F662" s="463"/>
      <c r="G662" s="253"/>
      <c r="H662" s="254"/>
      <c r="I662" s="463"/>
      <c r="J662" s="253"/>
      <c r="K662" s="254"/>
      <c r="L662" s="463"/>
      <c r="M662" s="253"/>
      <c r="N662" s="254"/>
      <c r="O662" s="463"/>
      <c r="P662" s="253"/>
      <c r="Q662" s="254"/>
      <c r="R662" s="463"/>
      <c r="S662" s="253"/>
      <c r="T662" s="254"/>
      <c r="U662" s="463"/>
      <c r="V662" s="253"/>
      <c r="W662" s="254"/>
      <c r="X662" s="463"/>
      <c r="Y662" s="9"/>
      <c r="Z662" s="9"/>
      <c r="AA662" s="9"/>
      <c r="AB662" s="9"/>
      <c r="AC662" s="234"/>
      <c r="AD662" s="234"/>
      <c r="AE662" s="234"/>
      <c r="AF662" s="234"/>
      <c r="AG662" s="9"/>
      <c r="AH662" s="9"/>
      <c r="AI662" s="9"/>
      <c r="AJ662" s="9"/>
      <c r="AK662" s="245"/>
      <c r="AL662" s="245"/>
      <c r="AM662" s="245"/>
      <c r="AN662" s="245"/>
      <c r="AO662" s="9"/>
      <c r="AP662" s="9"/>
      <c r="AQ662" s="9"/>
      <c r="AR662" s="9"/>
      <c r="AS662" s="9"/>
      <c r="AT662" s="9"/>
      <c r="AU662" s="9"/>
      <c r="AV662" s="9"/>
    </row>
    <row r="663">
      <c r="A663" s="253"/>
      <c r="B663" s="254"/>
      <c r="C663" s="463"/>
      <c r="D663" s="253"/>
      <c r="E663" s="254"/>
      <c r="F663" s="463"/>
      <c r="G663" s="253"/>
      <c r="H663" s="254"/>
      <c r="I663" s="463"/>
      <c r="J663" s="253"/>
      <c r="K663" s="254"/>
      <c r="L663" s="463"/>
      <c r="M663" s="253"/>
      <c r="N663" s="254"/>
      <c r="O663" s="463"/>
      <c r="P663" s="253"/>
      <c r="Q663" s="254"/>
      <c r="R663" s="463"/>
      <c r="S663" s="253"/>
      <c r="T663" s="254"/>
      <c r="U663" s="463"/>
      <c r="V663" s="253"/>
      <c r="W663" s="254"/>
      <c r="X663" s="463"/>
      <c r="Y663" s="9"/>
      <c r="Z663" s="9"/>
      <c r="AA663" s="9"/>
      <c r="AB663" s="9"/>
      <c r="AC663" s="234"/>
      <c r="AD663" s="234"/>
      <c r="AE663" s="234"/>
      <c r="AF663" s="234"/>
      <c r="AG663" s="9"/>
      <c r="AH663" s="9"/>
      <c r="AI663" s="9"/>
      <c r="AJ663" s="9"/>
      <c r="AK663" s="245"/>
      <c r="AL663" s="245"/>
      <c r="AM663" s="245"/>
      <c r="AN663" s="245"/>
      <c r="AO663" s="9"/>
      <c r="AP663" s="9"/>
      <c r="AQ663" s="9"/>
      <c r="AR663" s="9"/>
      <c r="AS663" s="9"/>
      <c r="AT663" s="9"/>
      <c r="AU663" s="9"/>
      <c r="AV663" s="9"/>
    </row>
    <row r="664">
      <c r="A664" s="253"/>
      <c r="B664" s="254"/>
      <c r="C664" s="463"/>
      <c r="D664" s="253"/>
      <c r="E664" s="254"/>
      <c r="F664" s="463"/>
      <c r="G664" s="253"/>
      <c r="H664" s="254"/>
      <c r="I664" s="463"/>
      <c r="J664" s="253"/>
      <c r="K664" s="254"/>
      <c r="L664" s="463"/>
      <c r="M664" s="253"/>
      <c r="N664" s="254"/>
      <c r="O664" s="463"/>
      <c r="P664" s="253"/>
      <c r="Q664" s="254"/>
      <c r="R664" s="463"/>
      <c r="S664" s="253"/>
      <c r="T664" s="254"/>
      <c r="U664" s="463"/>
      <c r="V664" s="253"/>
      <c r="W664" s="254"/>
      <c r="X664" s="463"/>
      <c r="Y664" s="9"/>
      <c r="Z664" s="9"/>
      <c r="AA664" s="9"/>
      <c r="AB664" s="9"/>
      <c r="AC664" s="234"/>
      <c r="AD664" s="234"/>
      <c r="AE664" s="234"/>
      <c r="AF664" s="234"/>
      <c r="AG664" s="9"/>
      <c r="AH664" s="9"/>
      <c r="AI664" s="9"/>
      <c r="AJ664" s="9"/>
      <c r="AK664" s="245"/>
      <c r="AL664" s="245"/>
      <c r="AM664" s="245"/>
      <c r="AN664" s="245"/>
      <c r="AO664" s="9"/>
      <c r="AP664" s="9"/>
      <c r="AQ664" s="9"/>
      <c r="AR664" s="9"/>
      <c r="AS664" s="9"/>
      <c r="AT664" s="9"/>
      <c r="AU664" s="9"/>
      <c r="AV664" s="9"/>
    </row>
    <row r="665">
      <c r="A665" s="253"/>
      <c r="B665" s="254"/>
      <c r="C665" s="463"/>
      <c r="D665" s="253"/>
      <c r="E665" s="254"/>
      <c r="F665" s="463"/>
      <c r="G665" s="253"/>
      <c r="H665" s="254"/>
      <c r="I665" s="463"/>
      <c r="J665" s="253"/>
      <c r="K665" s="254"/>
      <c r="L665" s="463"/>
      <c r="M665" s="253"/>
      <c r="N665" s="254"/>
      <c r="O665" s="463"/>
      <c r="P665" s="253"/>
      <c r="Q665" s="254"/>
      <c r="R665" s="463"/>
      <c r="S665" s="253"/>
      <c r="T665" s="254"/>
      <c r="U665" s="463"/>
      <c r="V665" s="253"/>
      <c r="W665" s="254"/>
      <c r="X665" s="463"/>
      <c r="Y665" s="9"/>
      <c r="Z665" s="9"/>
      <c r="AA665" s="9"/>
      <c r="AB665" s="9"/>
      <c r="AC665" s="234"/>
      <c r="AD665" s="234"/>
      <c r="AE665" s="234"/>
      <c r="AF665" s="234"/>
      <c r="AG665" s="9"/>
      <c r="AH665" s="9"/>
      <c r="AI665" s="9"/>
      <c r="AJ665" s="9"/>
      <c r="AK665" s="245"/>
      <c r="AL665" s="245"/>
      <c r="AM665" s="245"/>
      <c r="AN665" s="245"/>
      <c r="AO665" s="9"/>
      <c r="AP665" s="9"/>
      <c r="AQ665" s="9"/>
      <c r="AR665" s="9"/>
      <c r="AS665" s="9"/>
      <c r="AT665" s="9"/>
      <c r="AU665" s="9"/>
      <c r="AV665" s="9"/>
    </row>
    <row r="666">
      <c r="A666" s="253"/>
      <c r="B666" s="254"/>
      <c r="C666" s="463"/>
      <c r="D666" s="253"/>
      <c r="E666" s="254"/>
      <c r="F666" s="463"/>
      <c r="G666" s="253"/>
      <c r="H666" s="254"/>
      <c r="I666" s="463"/>
      <c r="J666" s="253"/>
      <c r="K666" s="254"/>
      <c r="L666" s="463"/>
      <c r="M666" s="253"/>
      <c r="N666" s="254"/>
      <c r="O666" s="463"/>
      <c r="P666" s="253"/>
      <c r="Q666" s="254"/>
      <c r="R666" s="463"/>
      <c r="S666" s="253"/>
      <c r="T666" s="254"/>
      <c r="U666" s="463"/>
      <c r="V666" s="253"/>
      <c r="W666" s="254"/>
      <c r="X666" s="463"/>
      <c r="Y666" s="9"/>
      <c r="Z666" s="9"/>
      <c r="AA666" s="9"/>
      <c r="AB666" s="9"/>
      <c r="AC666" s="234"/>
      <c r="AD666" s="234"/>
      <c r="AE666" s="234"/>
      <c r="AF666" s="234"/>
      <c r="AG666" s="9"/>
      <c r="AH666" s="9"/>
      <c r="AI666" s="9"/>
      <c r="AJ666" s="9"/>
      <c r="AK666" s="245"/>
      <c r="AL666" s="245"/>
      <c r="AM666" s="245"/>
      <c r="AN666" s="245"/>
      <c r="AO666" s="9"/>
      <c r="AP666" s="9"/>
      <c r="AQ666" s="9"/>
      <c r="AR666" s="9"/>
      <c r="AS666" s="9"/>
      <c r="AT666" s="9"/>
      <c r="AU666" s="9"/>
      <c r="AV666" s="9"/>
    </row>
    <row r="667">
      <c r="A667" s="253"/>
      <c r="B667" s="254"/>
      <c r="C667" s="463"/>
      <c r="D667" s="253"/>
      <c r="E667" s="254"/>
      <c r="F667" s="463"/>
      <c r="G667" s="253"/>
      <c r="H667" s="254"/>
      <c r="I667" s="463"/>
      <c r="J667" s="253"/>
      <c r="K667" s="254"/>
      <c r="L667" s="463"/>
      <c r="M667" s="253"/>
      <c r="N667" s="254"/>
      <c r="O667" s="463"/>
      <c r="P667" s="253"/>
      <c r="Q667" s="254"/>
      <c r="R667" s="463"/>
      <c r="S667" s="253"/>
      <c r="T667" s="254"/>
      <c r="U667" s="463"/>
      <c r="V667" s="253"/>
      <c r="W667" s="254"/>
      <c r="X667" s="463"/>
      <c r="Y667" s="9"/>
      <c r="Z667" s="9"/>
      <c r="AA667" s="9"/>
      <c r="AB667" s="9"/>
      <c r="AC667" s="234"/>
      <c r="AD667" s="234"/>
      <c r="AE667" s="234"/>
      <c r="AF667" s="234"/>
      <c r="AG667" s="9"/>
      <c r="AH667" s="9"/>
      <c r="AI667" s="9"/>
      <c r="AJ667" s="9"/>
      <c r="AK667" s="245"/>
      <c r="AL667" s="245"/>
      <c r="AM667" s="245"/>
      <c r="AN667" s="245"/>
      <c r="AO667" s="9"/>
      <c r="AP667" s="9"/>
      <c r="AQ667" s="9"/>
      <c r="AR667" s="9"/>
      <c r="AS667" s="9"/>
      <c r="AT667" s="9"/>
      <c r="AU667" s="9"/>
      <c r="AV667" s="9"/>
    </row>
    <row r="668">
      <c r="A668" s="253"/>
      <c r="B668" s="254"/>
      <c r="C668" s="463"/>
      <c r="D668" s="253"/>
      <c r="E668" s="254"/>
      <c r="F668" s="463"/>
      <c r="G668" s="253"/>
      <c r="H668" s="254"/>
      <c r="I668" s="463"/>
      <c r="J668" s="253"/>
      <c r="K668" s="254"/>
      <c r="L668" s="463"/>
      <c r="M668" s="253"/>
      <c r="N668" s="254"/>
      <c r="O668" s="463"/>
      <c r="P668" s="253"/>
      <c r="Q668" s="254"/>
      <c r="R668" s="463"/>
      <c r="S668" s="253"/>
      <c r="T668" s="254"/>
      <c r="U668" s="463"/>
      <c r="V668" s="253"/>
      <c r="W668" s="254"/>
      <c r="X668" s="463"/>
      <c r="Y668" s="9"/>
      <c r="Z668" s="9"/>
      <c r="AA668" s="9"/>
      <c r="AB668" s="9"/>
      <c r="AC668" s="234"/>
      <c r="AD668" s="234"/>
      <c r="AE668" s="234"/>
      <c r="AF668" s="234"/>
      <c r="AG668" s="9"/>
      <c r="AH668" s="9"/>
      <c r="AI668" s="9"/>
      <c r="AJ668" s="9"/>
      <c r="AK668" s="245"/>
      <c r="AL668" s="245"/>
      <c r="AM668" s="245"/>
      <c r="AN668" s="245"/>
      <c r="AO668" s="9"/>
      <c r="AP668" s="9"/>
      <c r="AQ668" s="9"/>
      <c r="AR668" s="9"/>
      <c r="AS668" s="9"/>
      <c r="AT668" s="9"/>
      <c r="AU668" s="9"/>
      <c r="AV668" s="9"/>
    </row>
    <row r="669">
      <c r="A669" s="253"/>
      <c r="B669" s="254"/>
      <c r="C669" s="463"/>
      <c r="D669" s="253"/>
      <c r="E669" s="254"/>
      <c r="F669" s="463"/>
      <c r="G669" s="253"/>
      <c r="H669" s="254"/>
      <c r="I669" s="463"/>
      <c r="J669" s="253"/>
      <c r="K669" s="254"/>
      <c r="L669" s="463"/>
      <c r="M669" s="253"/>
      <c r="N669" s="254"/>
      <c r="O669" s="463"/>
      <c r="P669" s="253"/>
      <c r="Q669" s="254"/>
      <c r="R669" s="463"/>
      <c r="S669" s="253"/>
      <c r="T669" s="254"/>
      <c r="U669" s="463"/>
      <c r="V669" s="253"/>
      <c r="W669" s="254"/>
      <c r="X669" s="463"/>
      <c r="Y669" s="9"/>
      <c r="Z669" s="9"/>
      <c r="AA669" s="9"/>
      <c r="AB669" s="9"/>
      <c r="AC669" s="234"/>
      <c r="AD669" s="234"/>
      <c r="AE669" s="234"/>
      <c r="AF669" s="234"/>
      <c r="AG669" s="9"/>
      <c r="AH669" s="9"/>
      <c r="AI669" s="9"/>
      <c r="AJ669" s="9"/>
      <c r="AK669" s="245"/>
      <c r="AL669" s="245"/>
      <c r="AM669" s="245"/>
      <c r="AN669" s="245"/>
      <c r="AO669" s="9"/>
      <c r="AP669" s="9"/>
      <c r="AQ669" s="9"/>
      <c r="AR669" s="9"/>
      <c r="AS669" s="9"/>
      <c r="AT669" s="9"/>
      <c r="AU669" s="9"/>
      <c r="AV669" s="9"/>
    </row>
    <row r="670">
      <c r="A670" s="253"/>
      <c r="B670" s="254"/>
      <c r="C670" s="463"/>
      <c r="D670" s="253"/>
      <c r="E670" s="254"/>
      <c r="F670" s="463"/>
      <c r="G670" s="253"/>
      <c r="H670" s="254"/>
      <c r="I670" s="463"/>
      <c r="J670" s="253"/>
      <c r="K670" s="254"/>
      <c r="L670" s="463"/>
      <c r="M670" s="253"/>
      <c r="N670" s="254"/>
      <c r="O670" s="463"/>
      <c r="P670" s="253"/>
      <c r="Q670" s="254"/>
      <c r="R670" s="463"/>
      <c r="S670" s="253"/>
      <c r="T670" s="254"/>
      <c r="U670" s="463"/>
      <c r="V670" s="253"/>
      <c r="W670" s="254"/>
      <c r="X670" s="463"/>
      <c r="Y670" s="9"/>
      <c r="Z670" s="9"/>
      <c r="AA670" s="9"/>
      <c r="AB670" s="9"/>
      <c r="AC670" s="234"/>
      <c r="AD670" s="234"/>
      <c r="AE670" s="234"/>
      <c r="AF670" s="234"/>
      <c r="AG670" s="9"/>
      <c r="AH670" s="9"/>
      <c r="AI670" s="9"/>
      <c r="AJ670" s="9"/>
      <c r="AK670" s="245"/>
      <c r="AL670" s="245"/>
      <c r="AM670" s="245"/>
      <c r="AN670" s="245"/>
      <c r="AO670" s="9"/>
      <c r="AP670" s="9"/>
      <c r="AQ670" s="9"/>
      <c r="AR670" s="9"/>
      <c r="AS670" s="9"/>
      <c r="AT670" s="9"/>
      <c r="AU670" s="9"/>
      <c r="AV670" s="9"/>
    </row>
    <row r="671">
      <c r="A671" s="253"/>
      <c r="B671" s="254"/>
      <c r="C671" s="463"/>
      <c r="D671" s="253"/>
      <c r="E671" s="254"/>
      <c r="F671" s="463"/>
      <c r="G671" s="253"/>
      <c r="H671" s="254"/>
      <c r="I671" s="463"/>
      <c r="J671" s="253"/>
      <c r="K671" s="254"/>
      <c r="L671" s="463"/>
      <c r="M671" s="253"/>
      <c r="N671" s="254"/>
      <c r="O671" s="463"/>
      <c r="P671" s="253"/>
      <c r="Q671" s="254"/>
      <c r="R671" s="463"/>
      <c r="S671" s="253"/>
      <c r="T671" s="254"/>
      <c r="U671" s="463"/>
      <c r="V671" s="253"/>
      <c r="W671" s="254"/>
      <c r="X671" s="463"/>
      <c r="Y671" s="9"/>
      <c r="Z671" s="9"/>
      <c r="AA671" s="9"/>
      <c r="AB671" s="9"/>
      <c r="AC671" s="234"/>
      <c r="AD671" s="234"/>
      <c r="AE671" s="234"/>
      <c r="AF671" s="234"/>
      <c r="AG671" s="9"/>
      <c r="AH671" s="9"/>
      <c r="AI671" s="9"/>
      <c r="AJ671" s="9"/>
      <c r="AK671" s="245"/>
      <c r="AL671" s="245"/>
      <c r="AM671" s="245"/>
      <c r="AN671" s="245"/>
      <c r="AO671" s="9"/>
      <c r="AP671" s="9"/>
      <c r="AQ671" s="9"/>
      <c r="AR671" s="9"/>
      <c r="AS671" s="9"/>
      <c r="AT671" s="9"/>
      <c r="AU671" s="9"/>
      <c r="AV671" s="9"/>
    </row>
    <row r="672">
      <c r="A672" s="253"/>
      <c r="B672" s="254"/>
      <c r="C672" s="463"/>
      <c r="D672" s="253"/>
      <c r="E672" s="254"/>
      <c r="F672" s="463"/>
      <c r="G672" s="253"/>
      <c r="H672" s="254"/>
      <c r="I672" s="463"/>
      <c r="J672" s="253"/>
      <c r="K672" s="254"/>
      <c r="L672" s="463"/>
      <c r="M672" s="253"/>
      <c r="N672" s="254"/>
      <c r="O672" s="463"/>
      <c r="P672" s="253"/>
      <c r="Q672" s="254"/>
      <c r="R672" s="463"/>
      <c r="S672" s="253"/>
      <c r="T672" s="254"/>
      <c r="U672" s="463"/>
      <c r="V672" s="253"/>
      <c r="W672" s="254"/>
      <c r="X672" s="463"/>
      <c r="Y672" s="9"/>
      <c r="Z672" s="9"/>
      <c r="AA672" s="9"/>
      <c r="AB672" s="9"/>
      <c r="AC672" s="234"/>
      <c r="AD672" s="234"/>
      <c r="AE672" s="234"/>
      <c r="AF672" s="234"/>
      <c r="AG672" s="9"/>
      <c r="AH672" s="9"/>
      <c r="AI672" s="9"/>
      <c r="AJ672" s="9"/>
      <c r="AK672" s="245"/>
      <c r="AL672" s="245"/>
      <c r="AM672" s="245"/>
      <c r="AN672" s="245"/>
      <c r="AO672" s="9"/>
      <c r="AP672" s="9"/>
      <c r="AQ672" s="9"/>
      <c r="AR672" s="9"/>
      <c r="AS672" s="9"/>
      <c r="AT672" s="9"/>
      <c r="AU672" s="9"/>
      <c r="AV672" s="9"/>
    </row>
    <row r="673">
      <c r="A673" s="253"/>
      <c r="B673" s="254"/>
      <c r="C673" s="463"/>
      <c r="D673" s="253"/>
      <c r="E673" s="254"/>
      <c r="F673" s="463"/>
      <c r="G673" s="253"/>
      <c r="H673" s="254"/>
      <c r="I673" s="463"/>
      <c r="J673" s="253"/>
      <c r="K673" s="254"/>
      <c r="L673" s="463"/>
      <c r="M673" s="253"/>
      <c r="N673" s="254"/>
      <c r="O673" s="463"/>
      <c r="P673" s="253"/>
      <c r="Q673" s="254"/>
      <c r="R673" s="463"/>
      <c r="S673" s="253"/>
      <c r="T673" s="254"/>
      <c r="U673" s="463"/>
      <c r="V673" s="253"/>
      <c r="W673" s="254"/>
      <c r="X673" s="463"/>
      <c r="Y673" s="9"/>
      <c r="Z673" s="9"/>
      <c r="AA673" s="9"/>
      <c r="AB673" s="9"/>
      <c r="AC673" s="234"/>
      <c r="AD673" s="234"/>
      <c r="AE673" s="234"/>
      <c r="AF673" s="234"/>
      <c r="AG673" s="9"/>
      <c r="AH673" s="9"/>
      <c r="AI673" s="9"/>
      <c r="AJ673" s="9"/>
      <c r="AK673" s="245"/>
      <c r="AL673" s="245"/>
      <c r="AM673" s="245"/>
      <c r="AN673" s="245"/>
      <c r="AO673" s="9"/>
      <c r="AP673" s="9"/>
      <c r="AQ673" s="9"/>
      <c r="AR673" s="9"/>
      <c r="AS673" s="9"/>
      <c r="AT673" s="9"/>
      <c r="AU673" s="9"/>
      <c r="AV673" s="9"/>
    </row>
    <row r="674">
      <c r="A674" s="253"/>
      <c r="B674" s="254"/>
      <c r="C674" s="463"/>
      <c r="D674" s="253"/>
      <c r="E674" s="254"/>
      <c r="F674" s="463"/>
      <c r="G674" s="253"/>
      <c r="H674" s="254"/>
      <c r="I674" s="463"/>
      <c r="J674" s="253"/>
      <c r="K674" s="254"/>
      <c r="L674" s="463"/>
      <c r="M674" s="253"/>
      <c r="N674" s="254"/>
      <c r="O674" s="463"/>
      <c r="P674" s="253"/>
      <c r="Q674" s="254"/>
      <c r="R674" s="463"/>
      <c r="S674" s="253"/>
      <c r="T674" s="254"/>
      <c r="U674" s="463"/>
      <c r="V674" s="253"/>
      <c r="W674" s="254"/>
      <c r="X674" s="463"/>
      <c r="Y674" s="9"/>
      <c r="Z674" s="9"/>
      <c r="AA674" s="9"/>
      <c r="AB674" s="9"/>
      <c r="AC674" s="234"/>
      <c r="AD674" s="234"/>
      <c r="AE674" s="234"/>
      <c r="AF674" s="234"/>
      <c r="AG674" s="9"/>
      <c r="AH674" s="9"/>
      <c r="AI674" s="9"/>
      <c r="AJ674" s="9"/>
      <c r="AK674" s="245"/>
      <c r="AL674" s="245"/>
      <c r="AM674" s="245"/>
      <c r="AN674" s="245"/>
      <c r="AO674" s="9"/>
      <c r="AP674" s="9"/>
      <c r="AQ674" s="9"/>
      <c r="AR674" s="9"/>
      <c r="AS674" s="9"/>
      <c r="AT674" s="9"/>
      <c r="AU674" s="9"/>
      <c r="AV674" s="9"/>
    </row>
    <row r="675">
      <c r="A675" s="253"/>
      <c r="B675" s="254"/>
      <c r="C675" s="463"/>
      <c r="D675" s="253"/>
      <c r="E675" s="254"/>
      <c r="F675" s="463"/>
      <c r="G675" s="253"/>
      <c r="H675" s="254"/>
      <c r="I675" s="463"/>
      <c r="J675" s="253"/>
      <c r="K675" s="254"/>
      <c r="L675" s="463"/>
      <c r="M675" s="253"/>
      <c r="N675" s="254"/>
      <c r="O675" s="463"/>
      <c r="P675" s="253"/>
      <c r="Q675" s="254"/>
      <c r="R675" s="463"/>
      <c r="S675" s="253"/>
      <c r="T675" s="254"/>
      <c r="U675" s="463"/>
      <c r="V675" s="253"/>
      <c r="W675" s="254"/>
      <c r="X675" s="463"/>
      <c r="Y675" s="9"/>
      <c r="Z675" s="9"/>
      <c r="AA675" s="9"/>
      <c r="AB675" s="9"/>
      <c r="AC675" s="234"/>
      <c r="AD675" s="234"/>
      <c r="AE675" s="234"/>
      <c r="AF675" s="234"/>
      <c r="AG675" s="9"/>
      <c r="AH675" s="9"/>
      <c r="AI675" s="9"/>
      <c r="AJ675" s="9"/>
      <c r="AK675" s="245"/>
      <c r="AL675" s="245"/>
      <c r="AM675" s="245"/>
      <c r="AN675" s="245"/>
      <c r="AO675" s="9"/>
      <c r="AP675" s="9"/>
      <c r="AQ675" s="9"/>
      <c r="AR675" s="9"/>
      <c r="AS675" s="9"/>
      <c r="AT675" s="9"/>
      <c r="AU675" s="9"/>
      <c r="AV675" s="9"/>
    </row>
    <row r="676">
      <c r="A676" s="253"/>
      <c r="B676" s="254"/>
      <c r="C676" s="463"/>
      <c r="D676" s="253"/>
      <c r="E676" s="254"/>
      <c r="F676" s="463"/>
      <c r="G676" s="253"/>
      <c r="H676" s="254"/>
      <c r="I676" s="463"/>
      <c r="J676" s="253"/>
      <c r="K676" s="254"/>
      <c r="L676" s="463"/>
      <c r="M676" s="253"/>
      <c r="N676" s="254"/>
      <c r="O676" s="463"/>
      <c r="P676" s="253"/>
      <c r="Q676" s="254"/>
      <c r="R676" s="463"/>
      <c r="S676" s="253"/>
      <c r="T676" s="254"/>
      <c r="U676" s="463"/>
      <c r="V676" s="253"/>
      <c r="W676" s="254"/>
      <c r="X676" s="463"/>
      <c r="Y676" s="9"/>
      <c r="Z676" s="9"/>
      <c r="AA676" s="9"/>
      <c r="AB676" s="9"/>
      <c r="AC676" s="234"/>
      <c r="AD676" s="234"/>
      <c r="AE676" s="234"/>
      <c r="AF676" s="234"/>
      <c r="AG676" s="9"/>
      <c r="AH676" s="9"/>
      <c r="AI676" s="9"/>
      <c r="AJ676" s="9"/>
      <c r="AK676" s="245"/>
      <c r="AL676" s="245"/>
      <c r="AM676" s="245"/>
      <c r="AN676" s="245"/>
      <c r="AO676" s="9"/>
      <c r="AP676" s="9"/>
      <c r="AQ676" s="9"/>
      <c r="AR676" s="9"/>
      <c r="AS676" s="9"/>
      <c r="AT676" s="9"/>
      <c r="AU676" s="9"/>
      <c r="AV676" s="9"/>
    </row>
    <row r="677">
      <c r="A677" s="253"/>
      <c r="B677" s="254"/>
      <c r="C677" s="463"/>
      <c r="D677" s="253"/>
      <c r="E677" s="254"/>
      <c r="F677" s="463"/>
      <c r="G677" s="253"/>
      <c r="H677" s="254"/>
      <c r="I677" s="463"/>
      <c r="J677" s="253"/>
      <c r="K677" s="254"/>
      <c r="L677" s="463"/>
      <c r="M677" s="253"/>
      <c r="N677" s="254"/>
      <c r="O677" s="463"/>
      <c r="P677" s="253"/>
      <c r="Q677" s="254"/>
      <c r="R677" s="463"/>
      <c r="S677" s="253"/>
      <c r="T677" s="254"/>
      <c r="U677" s="463"/>
      <c r="V677" s="253"/>
      <c r="W677" s="254"/>
      <c r="X677" s="463"/>
      <c r="Y677" s="9"/>
      <c r="Z677" s="9"/>
      <c r="AA677" s="9"/>
      <c r="AB677" s="9"/>
      <c r="AC677" s="234"/>
      <c r="AD677" s="234"/>
      <c r="AE677" s="234"/>
      <c r="AF677" s="234"/>
      <c r="AG677" s="9"/>
      <c r="AH677" s="9"/>
      <c r="AI677" s="9"/>
      <c r="AJ677" s="9"/>
      <c r="AK677" s="245"/>
      <c r="AL677" s="245"/>
      <c r="AM677" s="245"/>
      <c r="AN677" s="245"/>
      <c r="AO677" s="9"/>
      <c r="AP677" s="9"/>
      <c r="AQ677" s="9"/>
      <c r="AR677" s="9"/>
      <c r="AS677" s="9"/>
      <c r="AT677" s="9"/>
      <c r="AU677" s="9"/>
      <c r="AV677" s="9"/>
    </row>
    <row r="678">
      <c r="A678" s="253"/>
      <c r="B678" s="254"/>
      <c r="C678" s="463"/>
      <c r="D678" s="253"/>
      <c r="E678" s="254"/>
      <c r="F678" s="463"/>
      <c r="G678" s="253"/>
      <c r="H678" s="254"/>
      <c r="I678" s="463"/>
      <c r="J678" s="253"/>
      <c r="K678" s="254"/>
      <c r="L678" s="463"/>
      <c r="M678" s="253"/>
      <c r="N678" s="254"/>
      <c r="O678" s="463"/>
      <c r="P678" s="253"/>
      <c r="Q678" s="254"/>
      <c r="R678" s="463"/>
      <c r="S678" s="253"/>
      <c r="T678" s="254"/>
      <c r="U678" s="463"/>
      <c r="V678" s="253"/>
      <c r="W678" s="254"/>
      <c r="X678" s="463"/>
      <c r="Y678" s="9"/>
      <c r="Z678" s="9"/>
      <c r="AA678" s="9"/>
      <c r="AB678" s="9"/>
      <c r="AC678" s="234"/>
      <c r="AD678" s="234"/>
      <c r="AE678" s="234"/>
      <c r="AF678" s="234"/>
      <c r="AG678" s="9"/>
      <c r="AH678" s="9"/>
      <c r="AI678" s="9"/>
      <c r="AJ678" s="9"/>
      <c r="AK678" s="245"/>
      <c r="AL678" s="245"/>
      <c r="AM678" s="245"/>
      <c r="AN678" s="245"/>
      <c r="AO678" s="9"/>
      <c r="AP678" s="9"/>
      <c r="AQ678" s="9"/>
      <c r="AR678" s="9"/>
      <c r="AS678" s="9"/>
      <c r="AT678" s="9"/>
      <c r="AU678" s="9"/>
      <c r="AV678" s="9"/>
    </row>
    <row r="679">
      <c r="A679" s="253"/>
      <c r="B679" s="254"/>
      <c r="C679" s="463"/>
      <c r="D679" s="253"/>
      <c r="E679" s="254"/>
      <c r="F679" s="463"/>
      <c r="G679" s="253"/>
      <c r="H679" s="254"/>
      <c r="I679" s="463"/>
      <c r="J679" s="253"/>
      <c r="K679" s="254"/>
      <c r="L679" s="463"/>
      <c r="M679" s="253"/>
      <c r="N679" s="254"/>
      <c r="O679" s="463"/>
      <c r="P679" s="253"/>
      <c r="Q679" s="254"/>
      <c r="R679" s="463"/>
      <c r="S679" s="253"/>
      <c r="T679" s="254"/>
      <c r="U679" s="463"/>
      <c r="V679" s="253"/>
      <c r="W679" s="254"/>
      <c r="X679" s="463"/>
      <c r="Y679" s="9"/>
      <c r="Z679" s="9"/>
      <c r="AA679" s="9"/>
      <c r="AB679" s="9"/>
      <c r="AC679" s="234"/>
      <c r="AD679" s="234"/>
      <c r="AE679" s="234"/>
      <c r="AF679" s="234"/>
      <c r="AG679" s="9"/>
      <c r="AH679" s="9"/>
      <c r="AI679" s="9"/>
      <c r="AJ679" s="9"/>
      <c r="AK679" s="245"/>
      <c r="AL679" s="245"/>
      <c r="AM679" s="245"/>
      <c r="AN679" s="245"/>
      <c r="AO679" s="9"/>
      <c r="AP679" s="9"/>
      <c r="AQ679" s="9"/>
      <c r="AR679" s="9"/>
      <c r="AS679" s="9"/>
      <c r="AT679" s="9"/>
      <c r="AU679" s="9"/>
      <c r="AV679" s="9"/>
    </row>
    <row r="680">
      <c r="A680" s="253"/>
      <c r="B680" s="254"/>
      <c r="C680" s="463"/>
      <c r="D680" s="253"/>
      <c r="E680" s="254"/>
      <c r="F680" s="463"/>
      <c r="G680" s="253"/>
      <c r="H680" s="254"/>
      <c r="I680" s="463"/>
      <c r="J680" s="253"/>
      <c r="K680" s="254"/>
      <c r="L680" s="463"/>
      <c r="M680" s="253"/>
      <c r="N680" s="254"/>
      <c r="O680" s="463"/>
      <c r="P680" s="253"/>
      <c r="Q680" s="254"/>
      <c r="R680" s="463"/>
      <c r="S680" s="253"/>
      <c r="T680" s="254"/>
      <c r="U680" s="463"/>
      <c r="V680" s="253"/>
      <c r="W680" s="254"/>
      <c r="X680" s="463"/>
      <c r="Y680" s="9"/>
      <c r="Z680" s="9"/>
      <c r="AA680" s="9"/>
      <c r="AB680" s="9"/>
      <c r="AC680" s="234"/>
      <c r="AD680" s="234"/>
      <c r="AE680" s="234"/>
      <c r="AF680" s="234"/>
      <c r="AG680" s="9"/>
      <c r="AH680" s="9"/>
      <c r="AI680" s="9"/>
      <c r="AJ680" s="9"/>
      <c r="AK680" s="245"/>
      <c r="AL680" s="245"/>
      <c r="AM680" s="245"/>
      <c r="AN680" s="245"/>
      <c r="AO680" s="9"/>
      <c r="AP680" s="9"/>
      <c r="AQ680" s="9"/>
      <c r="AR680" s="9"/>
      <c r="AS680" s="9"/>
      <c r="AT680" s="9"/>
      <c r="AU680" s="9"/>
      <c r="AV680" s="9"/>
    </row>
    <row r="681">
      <c r="A681" s="253"/>
      <c r="B681" s="254"/>
      <c r="C681" s="463"/>
      <c r="D681" s="253"/>
      <c r="E681" s="254"/>
      <c r="F681" s="463"/>
      <c r="G681" s="253"/>
      <c r="H681" s="254"/>
      <c r="I681" s="463"/>
      <c r="J681" s="253"/>
      <c r="K681" s="254"/>
      <c r="L681" s="463"/>
      <c r="M681" s="253"/>
      <c r="N681" s="254"/>
      <c r="O681" s="463"/>
      <c r="P681" s="253"/>
      <c r="Q681" s="254"/>
      <c r="R681" s="463"/>
      <c r="S681" s="253"/>
      <c r="T681" s="254"/>
      <c r="U681" s="463"/>
      <c r="V681" s="253"/>
      <c r="W681" s="254"/>
      <c r="X681" s="463"/>
      <c r="Y681" s="9"/>
      <c r="Z681" s="9"/>
      <c r="AA681" s="9"/>
      <c r="AB681" s="9"/>
      <c r="AC681" s="234"/>
      <c r="AD681" s="234"/>
      <c r="AE681" s="234"/>
      <c r="AF681" s="234"/>
      <c r="AG681" s="9"/>
      <c r="AH681" s="9"/>
      <c r="AI681" s="9"/>
      <c r="AJ681" s="9"/>
      <c r="AK681" s="245"/>
      <c r="AL681" s="245"/>
      <c r="AM681" s="245"/>
      <c r="AN681" s="245"/>
      <c r="AO681" s="9"/>
      <c r="AP681" s="9"/>
      <c r="AQ681" s="9"/>
      <c r="AR681" s="9"/>
      <c r="AS681" s="9"/>
      <c r="AT681" s="9"/>
      <c r="AU681" s="9"/>
      <c r="AV681" s="9"/>
    </row>
    <row r="682">
      <c r="A682" s="253"/>
      <c r="B682" s="254"/>
      <c r="C682" s="463"/>
      <c r="D682" s="253"/>
      <c r="E682" s="254"/>
      <c r="F682" s="463"/>
      <c r="G682" s="253"/>
      <c r="H682" s="254"/>
      <c r="I682" s="463"/>
      <c r="J682" s="253"/>
      <c r="K682" s="254"/>
      <c r="L682" s="463"/>
      <c r="M682" s="253"/>
      <c r="N682" s="254"/>
      <c r="O682" s="463"/>
      <c r="P682" s="253"/>
      <c r="Q682" s="254"/>
      <c r="R682" s="463"/>
      <c r="S682" s="253"/>
      <c r="T682" s="254"/>
      <c r="U682" s="463"/>
      <c r="V682" s="253"/>
      <c r="W682" s="254"/>
      <c r="X682" s="463"/>
      <c r="Y682" s="9"/>
      <c r="Z682" s="9"/>
      <c r="AA682" s="9"/>
      <c r="AB682" s="9"/>
      <c r="AC682" s="234"/>
      <c r="AD682" s="234"/>
      <c r="AE682" s="234"/>
      <c r="AF682" s="234"/>
      <c r="AG682" s="9"/>
      <c r="AH682" s="9"/>
      <c r="AI682" s="9"/>
      <c r="AJ682" s="9"/>
      <c r="AK682" s="245"/>
      <c r="AL682" s="245"/>
      <c r="AM682" s="245"/>
      <c r="AN682" s="245"/>
      <c r="AO682" s="9"/>
      <c r="AP682" s="9"/>
      <c r="AQ682" s="9"/>
      <c r="AR682" s="9"/>
      <c r="AS682" s="9"/>
      <c r="AT682" s="9"/>
      <c r="AU682" s="9"/>
      <c r="AV682" s="9"/>
    </row>
    <row r="683">
      <c r="A683" s="253"/>
      <c r="B683" s="254"/>
      <c r="C683" s="463"/>
      <c r="D683" s="253"/>
      <c r="E683" s="254"/>
      <c r="F683" s="463"/>
      <c r="G683" s="253"/>
      <c r="H683" s="254"/>
      <c r="I683" s="463"/>
      <c r="J683" s="253"/>
      <c r="K683" s="254"/>
      <c r="L683" s="463"/>
      <c r="M683" s="253"/>
      <c r="N683" s="254"/>
      <c r="O683" s="463"/>
      <c r="P683" s="253"/>
      <c r="Q683" s="254"/>
      <c r="R683" s="463"/>
      <c r="S683" s="253"/>
      <c r="T683" s="254"/>
      <c r="U683" s="463"/>
      <c r="V683" s="253"/>
      <c r="W683" s="254"/>
      <c r="X683" s="463"/>
      <c r="Y683" s="9"/>
      <c r="Z683" s="9"/>
      <c r="AA683" s="9"/>
      <c r="AB683" s="9"/>
      <c r="AC683" s="234"/>
      <c r="AD683" s="234"/>
      <c r="AE683" s="234"/>
      <c r="AF683" s="234"/>
      <c r="AG683" s="9"/>
      <c r="AH683" s="9"/>
      <c r="AI683" s="9"/>
      <c r="AJ683" s="9"/>
      <c r="AK683" s="245"/>
      <c r="AL683" s="245"/>
      <c r="AM683" s="245"/>
      <c r="AN683" s="245"/>
      <c r="AO683" s="9"/>
      <c r="AP683" s="9"/>
      <c r="AQ683" s="9"/>
      <c r="AR683" s="9"/>
      <c r="AS683" s="9"/>
      <c r="AT683" s="9"/>
      <c r="AU683" s="9"/>
      <c r="AV683" s="9"/>
    </row>
    <row r="684">
      <c r="A684" s="253"/>
      <c r="B684" s="254"/>
      <c r="C684" s="463"/>
      <c r="D684" s="253"/>
      <c r="E684" s="254"/>
      <c r="F684" s="463"/>
      <c r="G684" s="253"/>
      <c r="H684" s="254"/>
      <c r="I684" s="463"/>
      <c r="J684" s="253"/>
      <c r="K684" s="254"/>
      <c r="L684" s="463"/>
      <c r="M684" s="253"/>
      <c r="N684" s="254"/>
      <c r="O684" s="463"/>
      <c r="P684" s="253"/>
      <c r="Q684" s="254"/>
      <c r="R684" s="463"/>
      <c r="S684" s="253"/>
      <c r="T684" s="254"/>
      <c r="U684" s="463"/>
      <c r="V684" s="253"/>
      <c r="W684" s="254"/>
      <c r="X684" s="463"/>
      <c r="Y684" s="9"/>
      <c r="Z684" s="9"/>
      <c r="AA684" s="9"/>
      <c r="AB684" s="9"/>
      <c r="AC684" s="234"/>
      <c r="AD684" s="234"/>
      <c r="AE684" s="234"/>
      <c r="AF684" s="234"/>
      <c r="AG684" s="9"/>
      <c r="AH684" s="9"/>
      <c r="AI684" s="9"/>
      <c r="AJ684" s="9"/>
      <c r="AK684" s="245"/>
      <c r="AL684" s="245"/>
      <c r="AM684" s="245"/>
      <c r="AN684" s="245"/>
      <c r="AO684" s="9"/>
      <c r="AP684" s="9"/>
      <c r="AQ684" s="9"/>
      <c r="AR684" s="9"/>
      <c r="AS684" s="9"/>
      <c r="AT684" s="9"/>
      <c r="AU684" s="9"/>
      <c r="AV684" s="9"/>
    </row>
    <row r="685">
      <c r="A685" s="253"/>
      <c r="B685" s="254"/>
      <c r="C685" s="463"/>
      <c r="D685" s="253"/>
      <c r="E685" s="254"/>
      <c r="F685" s="463"/>
      <c r="G685" s="253"/>
      <c r="H685" s="254"/>
      <c r="I685" s="463"/>
      <c r="J685" s="253"/>
      <c r="K685" s="254"/>
      <c r="L685" s="463"/>
      <c r="M685" s="253"/>
      <c r="N685" s="254"/>
      <c r="O685" s="463"/>
      <c r="P685" s="253"/>
      <c r="Q685" s="254"/>
      <c r="R685" s="463"/>
      <c r="S685" s="253"/>
      <c r="T685" s="254"/>
      <c r="U685" s="463"/>
      <c r="V685" s="253"/>
      <c r="W685" s="254"/>
      <c r="X685" s="463"/>
      <c r="Y685" s="9"/>
      <c r="Z685" s="9"/>
      <c r="AA685" s="9"/>
      <c r="AB685" s="9"/>
      <c r="AC685" s="234"/>
      <c r="AD685" s="234"/>
      <c r="AE685" s="234"/>
      <c r="AF685" s="234"/>
      <c r="AG685" s="9"/>
      <c r="AH685" s="9"/>
      <c r="AI685" s="9"/>
      <c r="AJ685" s="9"/>
      <c r="AK685" s="245"/>
      <c r="AL685" s="245"/>
      <c r="AM685" s="245"/>
      <c r="AN685" s="245"/>
      <c r="AO685" s="9"/>
      <c r="AP685" s="9"/>
      <c r="AQ685" s="9"/>
      <c r="AR685" s="9"/>
      <c r="AS685" s="9"/>
      <c r="AT685" s="9"/>
      <c r="AU685" s="9"/>
      <c r="AV685" s="9"/>
    </row>
    <row r="686">
      <c r="A686" s="253"/>
      <c r="B686" s="254"/>
      <c r="C686" s="463"/>
      <c r="D686" s="253"/>
      <c r="E686" s="254"/>
      <c r="F686" s="463"/>
      <c r="G686" s="253"/>
      <c r="H686" s="254"/>
      <c r="I686" s="463"/>
      <c r="J686" s="253"/>
      <c r="K686" s="254"/>
      <c r="L686" s="463"/>
      <c r="M686" s="253"/>
      <c r="N686" s="254"/>
      <c r="O686" s="463"/>
      <c r="P686" s="253"/>
      <c r="Q686" s="254"/>
      <c r="R686" s="463"/>
      <c r="S686" s="253"/>
      <c r="T686" s="254"/>
      <c r="U686" s="463"/>
      <c r="V686" s="253"/>
      <c r="W686" s="254"/>
      <c r="X686" s="463"/>
      <c r="Y686" s="9"/>
      <c r="Z686" s="9"/>
      <c r="AA686" s="9"/>
      <c r="AB686" s="9"/>
      <c r="AC686" s="234"/>
      <c r="AD686" s="234"/>
      <c r="AE686" s="234"/>
      <c r="AF686" s="234"/>
      <c r="AG686" s="9"/>
      <c r="AH686" s="9"/>
      <c r="AI686" s="9"/>
      <c r="AJ686" s="9"/>
      <c r="AK686" s="245"/>
      <c r="AL686" s="245"/>
      <c r="AM686" s="245"/>
      <c r="AN686" s="245"/>
      <c r="AO686" s="9"/>
      <c r="AP686" s="9"/>
      <c r="AQ686" s="9"/>
      <c r="AR686" s="9"/>
      <c r="AS686" s="9"/>
      <c r="AT686" s="9"/>
      <c r="AU686" s="9"/>
      <c r="AV686" s="9"/>
    </row>
    <row r="687">
      <c r="A687" s="253"/>
      <c r="B687" s="254"/>
      <c r="C687" s="463"/>
      <c r="D687" s="253"/>
      <c r="E687" s="254"/>
      <c r="F687" s="463"/>
      <c r="G687" s="253"/>
      <c r="H687" s="254"/>
      <c r="I687" s="463"/>
      <c r="J687" s="253"/>
      <c r="K687" s="254"/>
      <c r="L687" s="463"/>
      <c r="M687" s="253"/>
      <c r="N687" s="254"/>
      <c r="O687" s="463"/>
      <c r="P687" s="253"/>
      <c r="Q687" s="254"/>
      <c r="R687" s="463"/>
      <c r="S687" s="253"/>
      <c r="T687" s="254"/>
      <c r="U687" s="463"/>
      <c r="V687" s="253"/>
      <c r="W687" s="254"/>
      <c r="X687" s="463"/>
      <c r="Y687" s="9"/>
      <c r="Z687" s="9"/>
      <c r="AA687" s="9"/>
      <c r="AB687" s="9"/>
      <c r="AC687" s="234"/>
      <c r="AD687" s="234"/>
      <c r="AE687" s="234"/>
      <c r="AF687" s="234"/>
      <c r="AG687" s="9"/>
      <c r="AH687" s="9"/>
      <c r="AI687" s="9"/>
      <c r="AJ687" s="9"/>
      <c r="AK687" s="245"/>
      <c r="AL687" s="245"/>
      <c r="AM687" s="245"/>
      <c r="AN687" s="245"/>
      <c r="AO687" s="9"/>
      <c r="AP687" s="9"/>
      <c r="AQ687" s="9"/>
      <c r="AR687" s="9"/>
      <c r="AS687" s="9"/>
      <c r="AT687" s="9"/>
      <c r="AU687" s="9"/>
      <c r="AV687" s="9"/>
    </row>
    <row r="688">
      <c r="A688" s="253"/>
      <c r="B688" s="254"/>
      <c r="C688" s="463"/>
      <c r="D688" s="253"/>
      <c r="E688" s="254"/>
      <c r="F688" s="463"/>
      <c r="G688" s="253"/>
      <c r="H688" s="254"/>
      <c r="I688" s="463"/>
      <c r="J688" s="253"/>
      <c r="K688" s="254"/>
      <c r="L688" s="463"/>
      <c r="M688" s="253"/>
      <c r="N688" s="254"/>
      <c r="O688" s="463"/>
      <c r="P688" s="253"/>
      <c r="Q688" s="254"/>
      <c r="R688" s="463"/>
      <c r="S688" s="253"/>
      <c r="T688" s="254"/>
      <c r="U688" s="463"/>
      <c r="V688" s="253"/>
      <c r="W688" s="254"/>
      <c r="X688" s="463"/>
      <c r="Y688" s="9"/>
      <c r="Z688" s="9"/>
      <c r="AA688" s="9"/>
      <c r="AB688" s="9"/>
      <c r="AC688" s="234"/>
      <c r="AD688" s="234"/>
      <c r="AE688" s="234"/>
      <c r="AF688" s="234"/>
      <c r="AG688" s="9"/>
      <c r="AH688" s="9"/>
      <c r="AI688" s="9"/>
      <c r="AJ688" s="9"/>
      <c r="AK688" s="245"/>
      <c r="AL688" s="245"/>
      <c r="AM688" s="245"/>
      <c r="AN688" s="245"/>
      <c r="AO688" s="9"/>
      <c r="AP688" s="9"/>
      <c r="AQ688" s="9"/>
      <c r="AR688" s="9"/>
      <c r="AS688" s="9"/>
      <c r="AT688" s="9"/>
      <c r="AU688" s="9"/>
      <c r="AV688" s="9"/>
    </row>
    <row r="689">
      <c r="A689" s="253"/>
      <c r="B689" s="254"/>
      <c r="C689" s="463"/>
      <c r="D689" s="253"/>
      <c r="E689" s="254"/>
      <c r="F689" s="463"/>
      <c r="G689" s="253"/>
      <c r="H689" s="254"/>
      <c r="I689" s="463"/>
      <c r="J689" s="253"/>
      <c r="K689" s="254"/>
      <c r="L689" s="463"/>
      <c r="M689" s="253"/>
      <c r="N689" s="254"/>
      <c r="O689" s="463"/>
      <c r="P689" s="253"/>
      <c r="Q689" s="254"/>
      <c r="R689" s="463"/>
      <c r="S689" s="253"/>
      <c r="T689" s="254"/>
      <c r="U689" s="463"/>
      <c r="V689" s="253"/>
      <c r="W689" s="254"/>
      <c r="X689" s="463"/>
      <c r="Y689" s="9"/>
      <c r="Z689" s="9"/>
      <c r="AA689" s="9"/>
      <c r="AB689" s="9"/>
      <c r="AC689" s="234"/>
      <c r="AD689" s="234"/>
      <c r="AE689" s="234"/>
      <c r="AF689" s="234"/>
      <c r="AG689" s="9"/>
      <c r="AH689" s="9"/>
      <c r="AI689" s="9"/>
      <c r="AJ689" s="9"/>
      <c r="AK689" s="245"/>
      <c r="AL689" s="245"/>
      <c r="AM689" s="245"/>
      <c r="AN689" s="245"/>
      <c r="AO689" s="9"/>
      <c r="AP689" s="9"/>
      <c r="AQ689" s="9"/>
      <c r="AR689" s="9"/>
      <c r="AS689" s="9"/>
      <c r="AT689" s="9"/>
      <c r="AU689" s="9"/>
      <c r="AV689" s="9"/>
    </row>
    <row r="690">
      <c r="A690" s="253"/>
      <c r="B690" s="254"/>
      <c r="C690" s="463"/>
      <c r="D690" s="253"/>
      <c r="E690" s="254"/>
      <c r="F690" s="463"/>
      <c r="G690" s="253"/>
      <c r="H690" s="254"/>
      <c r="I690" s="463"/>
      <c r="J690" s="253"/>
      <c r="K690" s="254"/>
      <c r="L690" s="463"/>
      <c r="M690" s="253"/>
      <c r="N690" s="254"/>
      <c r="O690" s="463"/>
      <c r="P690" s="253"/>
      <c r="Q690" s="254"/>
      <c r="R690" s="463"/>
      <c r="S690" s="253"/>
      <c r="T690" s="254"/>
      <c r="U690" s="463"/>
      <c r="V690" s="253"/>
      <c r="W690" s="254"/>
      <c r="X690" s="463"/>
      <c r="Y690" s="9"/>
      <c r="Z690" s="9"/>
      <c r="AA690" s="9"/>
      <c r="AB690" s="9"/>
      <c r="AC690" s="234"/>
      <c r="AD690" s="234"/>
      <c r="AE690" s="234"/>
      <c r="AF690" s="234"/>
      <c r="AG690" s="9"/>
      <c r="AH690" s="9"/>
      <c r="AI690" s="9"/>
      <c r="AJ690" s="9"/>
      <c r="AK690" s="245"/>
      <c r="AL690" s="245"/>
      <c r="AM690" s="245"/>
      <c r="AN690" s="245"/>
      <c r="AO690" s="9"/>
      <c r="AP690" s="9"/>
      <c r="AQ690" s="9"/>
      <c r="AR690" s="9"/>
      <c r="AS690" s="9"/>
      <c r="AT690" s="9"/>
      <c r="AU690" s="9"/>
      <c r="AV690" s="9"/>
    </row>
    <row r="691">
      <c r="A691" s="253"/>
      <c r="B691" s="254"/>
      <c r="C691" s="463"/>
      <c r="D691" s="253"/>
      <c r="E691" s="254"/>
      <c r="F691" s="463"/>
      <c r="G691" s="253"/>
      <c r="H691" s="254"/>
      <c r="I691" s="463"/>
      <c r="J691" s="253"/>
      <c r="K691" s="254"/>
      <c r="L691" s="463"/>
      <c r="M691" s="253"/>
      <c r="N691" s="254"/>
      <c r="O691" s="463"/>
      <c r="P691" s="253"/>
      <c r="Q691" s="254"/>
      <c r="R691" s="463"/>
      <c r="S691" s="253"/>
      <c r="T691" s="254"/>
      <c r="U691" s="463"/>
      <c r="V691" s="253"/>
      <c r="W691" s="254"/>
      <c r="X691" s="463"/>
      <c r="Y691" s="9"/>
      <c r="Z691" s="9"/>
      <c r="AA691" s="9"/>
      <c r="AB691" s="9"/>
      <c r="AC691" s="234"/>
      <c r="AD691" s="234"/>
      <c r="AE691" s="234"/>
      <c r="AF691" s="234"/>
      <c r="AG691" s="9"/>
      <c r="AH691" s="9"/>
      <c r="AI691" s="9"/>
      <c r="AJ691" s="9"/>
      <c r="AK691" s="245"/>
      <c r="AL691" s="245"/>
      <c r="AM691" s="245"/>
      <c r="AN691" s="245"/>
      <c r="AO691" s="9"/>
      <c r="AP691" s="9"/>
      <c r="AQ691" s="9"/>
      <c r="AR691" s="9"/>
      <c r="AS691" s="9"/>
      <c r="AT691" s="9"/>
      <c r="AU691" s="9"/>
      <c r="AV691" s="9"/>
    </row>
    <row r="692">
      <c r="A692" s="253"/>
      <c r="B692" s="254"/>
      <c r="C692" s="463"/>
      <c r="D692" s="253"/>
      <c r="E692" s="254"/>
      <c r="F692" s="463"/>
      <c r="G692" s="253"/>
      <c r="H692" s="254"/>
      <c r="I692" s="463"/>
      <c r="J692" s="253"/>
      <c r="K692" s="254"/>
      <c r="L692" s="463"/>
      <c r="M692" s="253"/>
      <c r="N692" s="254"/>
      <c r="O692" s="463"/>
      <c r="P692" s="253"/>
      <c r="Q692" s="254"/>
      <c r="R692" s="463"/>
      <c r="S692" s="253"/>
      <c r="T692" s="254"/>
      <c r="U692" s="463"/>
      <c r="V692" s="253"/>
      <c r="W692" s="254"/>
      <c r="X692" s="463"/>
      <c r="Y692" s="9"/>
      <c r="Z692" s="9"/>
      <c r="AA692" s="9"/>
      <c r="AB692" s="9"/>
      <c r="AC692" s="234"/>
      <c r="AD692" s="234"/>
      <c r="AE692" s="234"/>
      <c r="AF692" s="234"/>
      <c r="AG692" s="9"/>
      <c r="AH692" s="9"/>
      <c r="AI692" s="9"/>
      <c r="AJ692" s="9"/>
      <c r="AK692" s="245"/>
      <c r="AL692" s="245"/>
      <c r="AM692" s="245"/>
      <c r="AN692" s="245"/>
      <c r="AO692" s="9"/>
      <c r="AP692" s="9"/>
      <c r="AQ692" s="9"/>
      <c r="AR692" s="9"/>
      <c r="AS692" s="9"/>
      <c r="AT692" s="9"/>
      <c r="AU692" s="9"/>
      <c r="AV692" s="9"/>
    </row>
    <row r="693">
      <c r="A693" s="253"/>
      <c r="B693" s="254"/>
      <c r="C693" s="463"/>
      <c r="D693" s="253"/>
      <c r="E693" s="254"/>
      <c r="F693" s="463"/>
      <c r="G693" s="253"/>
      <c r="H693" s="254"/>
      <c r="I693" s="463"/>
      <c r="J693" s="253"/>
      <c r="K693" s="254"/>
      <c r="L693" s="463"/>
      <c r="M693" s="253"/>
      <c r="N693" s="254"/>
      <c r="O693" s="463"/>
      <c r="P693" s="253"/>
      <c r="Q693" s="254"/>
      <c r="R693" s="463"/>
      <c r="S693" s="253"/>
      <c r="T693" s="254"/>
      <c r="U693" s="463"/>
      <c r="V693" s="253"/>
      <c r="W693" s="254"/>
      <c r="X693" s="463"/>
      <c r="Y693" s="9"/>
      <c r="Z693" s="9"/>
      <c r="AA693" s="9"/>
      <c r="AB693" s="9"/>
      <c r="AC693" s="234"/>
      <c r="AD693" s="234"/>
      <c r="AE693" s="234"/>
      <c r="AF693" s="234"/>
      <c r="AG693" s="9"/>
      <c r="AH693" s="9"/>
      <c r="AI693" s="9"/>
      <c r="AJ693" s="9"/>
      <c r="AK693" s="245"/>
      <c r="AL693" s="245"/>
      <c r="AM693" s="245"/>
      <c r="AN693" s="245"/>
      <c r="AO693" s="9"/>
      <c r="AP693" s="9"/>
      <c r="AQ693" s="9"/>
      <c r="AR693" s="9"/>
      <c r="AS693" s="9"/>
      <c r="AT693" s="9"/>
      <c r="AU693" s="9"/>
      <c r="AV693" s="9"/>
    </row>
    <row r="694">
      <c r="A694" s="253"/>
      <c r="B694" s="254"/>
      <c r="C694" s="463"/>
      <c r="D694" s="253"/>
      <c r="E694" s="254"/>
      <c r="F694" s="463"/>
      <c r="G694" s="253"/>
      <c r="H694" s="254"/>
      <c r="I694" s="463"/>
      <c r="J694" s="253"/>
      <c r="K694" s="254"/>
      <c r="L694" s="463"/>
      <c r="M694" s="253"/>
      <c r="N694" s="254"/>
      <c r="O694" s="463"/>
      <c r="P694" s="253"/>
      <c r="Q694" s="254"/>
      <c r="R694" s="463"/>
      <c r="S694" s="253"/>
      <c r="T694" s="254"/>
      <c r="U694" s="463"/>
      <c r="V694" s="253"/>
      <c r="W694" s="254"/>
      <c r="X694" s="463"/>
      <c r="Y694" s="9"/>
      <c r="Z694" s="9"/>
      <c r="AA694" s="9"/>
      <c r="AB694" s="9"/>
      <c r="AC694" s="234"/>
      <c r="AD694" s="234"/>
      <c r="AE694" s="234"/>
      <c r="AF694" s="234"/>
      <c r="AG694" s="9"/>
      <c r="AH694" s="9"/>
      <c r="AI694" s="9"/>
      <c r="AJ694" s="9"/>
      <c r="AK694" s="245"/>
      <c r="AL694" s="245"/>
      <c r="AM694" s="245"/>
      <c r="AN694" s="245"/>
      <c r="AO694" s="9"/>
      <c r="AP694" s="9"/>
      <c r="AQ694" s="9"/>
      <c r="AR694" s="9"/>
      <c r="AS694" s="9"/>
      <c r="AT694" s="9"/>
      <c r="AU694" s="9"/>
      <c r="AV694" s="9"/>
    </row>
    <row r="695">
      <c r="A695" s="253"/>
      <c r="B695" s="254"/>
      <c r="C695" s="463"/>
      <c r="D695" s="253"/>
      <c r="E695" s="254"/>
      <c r="F695" s="463"/>
      <c r="G695" s="253"/>
      <c r="H695" s="254"/>
      <c r="I695" s="463"/>
      <c r="J695" s="253"/>
      <c r="K695" s="254"/>
      <c r="L695" s="463"/>
      <c r="M695" s="253"/>
      <c r="N695" s="254"/>
      <c r="O695" s="463"/>
      <c r="P695" s="253"/>
      <c r="Q695" s="254"/>
      <c r="R695" s="463"/>
      <c r="S695" s="253"/>
      <c r="T695" s="254"/>
      <c r="U695" s="463"/>
      <c r="V695" s="253"/>
      <c r="W695" s="254"/>
      <c r="X695" s="463"/>
      <c r="Y695" s="9"/>
      <c r="Z695" s="9"/>
      <c r="AA695" s="9"/>
      <c r="AB695" s="9"/>
      <c r="AC695" s="234"/>
      <c r="AD695" s="234"/>
      <c r="AE695" s="234"/>
      <c r="AF695" s="234"/>
      <c r="AG695" s="9"/>
      <c r="AH695" s="9"/>
      <c r="AI695" s="9"/>
      <c r="AJ695" s="9"/>
      <c r="AK695" s="245"/>
      <c r="AL695" s="245"/>
      <c r="AM695" s="245"/>
      <c r="AN695" s="245"/>
      <c r="AO695" s="9"/>
      <c r="AP695" s="9"/>
      <c r="AQ695" s="9"/>
      <c r="AR695" s="9"/>
      <c r="AS695" s="9"/>
      <c r="AT695" s="9"/>
      <c r="AU695" s="9"/>
      <c r="AV695" s="9"/>
    </row>
    <row r="696">
      <c r="A696" s="253"/>
      <c r="B696" s="254"/>
      <c r="C696" s="463"/>
      <c r="D696" s="253"/>
      <c r="E696" s="254"/>
      <c r="F696" s="463"/>
      <c r="G696" s="253"/>
      <c r="H696" s="254"/>
      <c r="I696" s="463"/>
      <c r="J696" s="253"/>
      <c r="K696" s="254"/>
      <c r="L696" s="463"/>
      <c r="M696" s="253"/>
      <c r="N696" s="254"/>
      <c r="O696" s="463"/>
      <c r="P696" s="253"/>
      <c r="Q696" s="254"/>
      <c r="R696" s="463"/>
      <c r="S696" s="253"/>
      <c r="T696" s="254"/>
      <c r="U696" s="463"/>
      <c r="V696" s="253"/>
      <c r="W696" s="254"/>
      <c r="X696" s="463"/>
      <c r="Y696" s="9"/>
      <c r="Z696" s="9"/>
      <c r="AA696" s="9"/>
      <c r="AB696" s="9"/>
      <c r="AC696" s="234"/>
      <c r="AD696" s="234"/>
      <c r="AE696" s="234"/>
      <c r="AF696" s="234"/>
      <c r="AG696" s="9"/>
      <c r="AH696" s="9"/>
      <c r="AI696" s="9"/>
      <c r="AJ696" s="9"/>
      <c r="AK696" s="245"/>
      <c r="AL696" s="245"/>
      <c r="AM696" s="245"/>
      <c r="AN696" s="245"/>
      <c r="AO696" s="9"/>
      <c r="AP696" s="9"/>
      <c r="AQ696" s="9"/>
      <c r="AR696" s="9"/>
      <c r="AS696" s="9"/>
      <c r="AT696" s="9"/>
      <c r="AU696" s="9"/>
      <c r="AV696" s="9"/>
    </row>
    <row r="697">
      <c r="A697" s="253"/>
      <c r="B697" s="254"/>
      <c r="C697" s="463"/>
      <c r="D697" s="253"/>
      <c r="E697" s="254"/>
      <c r="F697" s="463"/>
      <c r="G697" s="253"/>
      <c r="H697" s="254"/>
      <c r="I697" s="463"/>
      <c r="J697" s="253"/>
      <c r="K697" s="254"/>
      <c r="L697" s="463"/>
      <c r="M697" s="253"/>
      <c r="N697" s="254"/>
      <c r="O697" s="463"/>
      <c r="P697" s="253"/>
      <c r="Q697" s="254"/>
      <c r="R697" s="463"/>
      <c r="S697" s="253"/>
      <c r="T697" s="254"/>
      <c r="U697" s="463"/>
      <c r="V697" s="253"/>
      <c r="W697" s="254"/>
      <c r="X697" s="463"/>
      <c r="Y697" s="9"/>
      <c r="Z697" s="9"/>
      <c r="AA697" s="9"/>
      <c r="AB697" s="9"/>
      <c r="AC697" s="234"/>
      <c r="AD697" s="234"/>
      <c r="AE697" s="234"/>
      <c r="AF697" s="234"/>
      <c r="AG697" s="9"/>
      <c r="AH697" s="9"/>
      <c r="AI697" s="9"/>
      <c r="AJ697" s="9"/>
      <c r="AK697" s="245"/>
      <c r="AL697" s="245"/>
      <c r="AM697" s="245"/>
      <c r="AN697" s="245"/>
      <c r="AO697" s="9"/>
      <c r="AP697" s="9"/>
      <c r="AQ697" s="9"/>
      <c r="AR697" s="9"/>
      <c r="AS697" s="9"/>
      <c r="AT697" s="9"/>
      <c r="AU697" s="9"/>
      <c r="AV697" s="9"/>
    </row>
    <row r="698">
      <c r="A698" s="253"/>
      <c r="B698" s="254"/>
      <c r="C698" s="463"/>
      <c r="D698" s="253"/>
      <c r="E698" s="254"/>
      <c r="F698" s="463"/>
      <c r="G698" s="253"/>
      <c r="H698" s="254"/>
      <c r="I698" s="463"/>
      <c r="J698" s="253"/>
      <c r="K698" s="254"/>
      <c r="L698" s="463"/>
      <c r="M698" s="253"/>
      <c r="N698" s="254"/>
      <c r="O698" s="463"/>
      <c r="P698" s="253"/>
      <c r="Q698" s="254"/>
      <c r="R698" s="463"/>
      <c r="S698" s="253"/>
      <c r="T698" s="254"/>
      <c r="U698" s="463"/>
      <c r="V698" s="253"/>
      <c r="W698" s="254"/>
      <c r="X698" s="463"/>
      <c r="Y698" s="9"/>
      <c r="Z698" s="9"/>
      <c r="AA698" s="9"/>
      <c r="AB698" s="9"/>
      <c r="AC698" s="234"/>
      <c r="AD698" s="234"/>
      <c r="AE698" s="234"/>
      <c r="AF698" s="234"/>
      <c r="AG698" s="9"/>
      <c r="AH698" s="9"/>
      <c r="AI698" s="9"/>
      <c r="AJ698" s="9"/>
      <c r="AK698" s="245"/>
      <c r="AL698" s="245"/>
      <c r="AM698" s="245"/>
      <c r="AN698" s="245"/>
      <c r="AO698" s="9"/>
      <c r="AP698" s="9"/>
      <c r="AQ698" s="9"/>
      <c r="AR698" s="9"/>
      <c r="AS698" s="9"/>
      <c r="AT698" s="9"/>
      <c r="AU698" s="9"/>
      <c r="AV698" s="9"/>
    </row>
    <row r="699">
      <c r="A699" s="253"/>
      <c r="B699" s="254"/>
      <c r="C699" s="463"/>
      <c r="D699" s="253"/>
      <c r="E699" s="254"/>
      <c r="F699" s="463"/>
      <c r="G699" s="253"/>
      <c r="H699" s="254"/>
      <c r="I699" s="463"/>
      <c r="J699" s="253"/>
      <c r="K699" s="254"/>
      <c r="L699" s="463"/>
      <c r="M699" s="253"/>
      <c r="N699" s="254"/>
      <c r="O699" s="463"/>
      <c r="P699" s="253"/>
      <c r="Q699" s="254"/>
      <c r="R699" s="463"/>
      <c r="S699" s="253"/>
      <c r="T699" s="254"/>
      <c r="U699" s="463"/>
      <c r="V699" s="253"/>
      <c r="W699" s="254"/>
      <c r="X699" s="463"/>
      <c r="Y699" s="9"/>
      <c r="Z699" s="9"/>
      <c r="AA699" s="9"/>
      <c r="AB699" s="9"/>
      <c r="AC699" s="234"/>
      <c r="AD699" s="234"/>
      <c r="AE699" s="234"/>
      <c r="AF699" s="234"/>
      <c r="AG699" s="9"/>
      <c r="AH699" s="9"/>
      <c r="AI699" s="9"/>
      <c r="AJ699" s="9"/>
      <c r="AK699" s="245"/>
      <c r="AL699" s="245"/>
      <c r="AM699" s="245"/>
      <c r="AN699" s="245"/>
      <c r="AO699" s="9"/>
      <c r="AP699" s="9"/>
      <c r="AQ699" s="9"/>
      <c r="AR699" s="9"/>
      <c r="AS699" s="9"/>
      <c r="AT699" s="9"/>
      <c r="AU699" s="9"/>
      <c r="AV699" s="9"/>
    </row>
    <row r="700">
      <c r="A700" s="253"/>
      <c r="B700" s="254"/>
      <c r="C700" s="463"/>
      <c r="D700" s="253"/>
      <c r="E700" s="254"/>
      <c r="F700" s="463"/>
      <c r="G700" s="253"/>
      <c r="H700" s="254"/>
      <c r="I700" s="463"/>
      <c r="J700" s="253"/>
      <c r="K700" s="254"/>
      <c r="L700" s="463"/>
      <c r="M700" s="253"/>
      <c r="N700" s="254"/>
      <c r="O700" s="463"/>
      <c r="P700" s="253"/>
      <c r="Q700" s="254"/>
      <c r="R700" s="463"/>
      <c r="S700" s="253"/>
      <c r="T700" s="254"/>
      <c r="U700" s="463"/>
      <c r="V700" s="253"/>
      <c r="W700" s="254"/>
      <c r="X700" s="463"/>
      <c r="Y700" s="9"/>
      <c r="Z700" s="9"/>
      <c r="AA700" s="9"/>
      <c r="AB700" s="9"/>
      <c r="AC700" s="234"/>
      <c r="AD700" s="234"/>
      <c r="AE700" s="234"/>
      <c r="AF700" s="234"/>
      <c r="AG700" s="9"/>
      <c r="AH700" s="9"/>
      <c r="AI700" s="9"/>
      <c r="AJ700" s="9"/>
      <c r="AK700" s="245"/>
      <c r="AL700" s="245"/>
      <c r="AM700" s="245"/>
      <c r="AN700" s="245"/>
      <c r="AO700" s="9"/>
      <c r="AP700" s="9"/>
      <c r="AQ700" s="9"/>
      <c r="AR700" s="9"/>
      <c r="AS700" s="9"/>
      <c r="AT700" s="9"/>
      <c r="AU700" s="9"/>
      <c r="AV700" s="9"/>
    </row>
    <row r="701">
      <c r="A701" s="253"/>
      <c r="B701" s="254"/>
      <c r="C701" s="463"/>
      <c r="D701" s="253"/>
      <c r="E701" s="254"/>
      <c r="F701" s="463"/>
      <c r="G701" s="253"/>
      <c r="H701" s="254"/>
      <c r="I701" s="463"/>
      <c r="J701" s="253"/>
      <c r="K701" s="254"/>
      <c r="L701" s="463"/>
      <c r="M701" s="253"/>
      <c r="N701" s="254"/>
      <c r="O701" s="463"/>
      <c r="P701" s="253"/>
      <c r="Q701" s="254"/>
      <c r="R701" s="463"/>
      <c r="S701" s="253"/>
      <c r="T701" s="254"/>
      <c r="U701" s="463"/>
      <c r="V701" s="253"/>
      <c r="W701" s="254"/>
      <c r="X701" s="463"/>
      <c r="Y701" s="9"/>
      <c r="Z701" s="9"/>
      <c r="AA701" s="9"/>
      <c r="AB701" s="9"/>
      <c r="AC701" s="234"/>
      <c r="AD701" s="234"/>
      <c r="AE701" s="234"/>
      <c r="AF701" s="234"/>
      <c r="AG701" s="9"/>
      <c r="AH701" s="9"/>
      <c r="AI701" s="9"/>
      <c r="AJ701" s="9"/>
      <c r="AK701" s="245"/>
      <c r="AL701" s="245"/>
      <c r="AM701" s="245"/>
      <c r="AN701" s="245"/>
      <c r="AO701" s="9"/>
      <c r="AP701" s="9"/>
      <c r="AQ701" s="9"/>
      <c r="AR701" s="9"/>
      <c r="AS701" s="9"/>
      <c r="AT701" s="9"/>
      <c r="AU701" s="9"/>
      <c r="AV701" s="9"/>
    </row>
    <row r="702">
      <c r="A702" s="253"/>
      <c r="B702" s="254"/>
      <c r="C702" s="463"/>
      <c r="D702" s="253"/>
      <c r="E702" s="254"/>
      <c r="F702" s="463"/>
      <c r="G702" s="253"/>
      <c r="H702" s="254"/>
      <c r="I702" s="463"/>
      <c r="J702" s="253"/>
      <c r="K702" s="254"/>
      <c r="L702" s="463"/>
      <c r="M702" s="253"/>
      <c r="N702" s="254"/>
      <c r="O702" s="463"/>
      <c r="P702" s="253"/>
      <c r="Q702" s="254"/>
      <c r="R702" s="463"/>
      <c r="S702" s="253"/>
      <c r="T702" s="254"/>
      <c r="U702" s="463"/>
      <c r="V702" s="253"/>
      <c r="W702" s="254"/>
      <c r="X702" s="463"/>
      <c r="Y702" s="9"/>
      <c r="Z702" s="9"/>
      <c r="AA702" s="9"/>
      <c r="AB702" s="9"/>
      <c r="AC702" s="234"/>
      <c r="AD702" s="234"/>
      <c r="AE702" s="234"/>
      <c r="AF702" s="234"/>
      <c r="AG702" s="9"/>
      <c r="AH702" s="9"/>
      <c r="AI702" s="9"/>
      <c r="AJ702" s="9"/>
      <c r="AK702" s="245"/>
      <c r="AL702" s="245"/>
      <c r="AM702" s="245"/>
      <c r="AN702" s="245"/>
      <c r="AO702" s="9"/>
      <c r="AP702" s="9"/>
      <c r="AQ702" s="9"/>
      <c r="AR702" s="9"/>
      <c r="AS702" s="9"/>
      <c r="AT702" s="9"/>
      <c r="AU702" s="9"/>
      <c r="AV702" s="9"/>
    </row>
    <row r="703">
      <c r="A703" s="253"/>
      <c r="B703" s="254"/>
      <c r="C703" s="463"/>
      <c r="D703" s="253"/>
      <c r="E703" s="254"/>
      <c r="F703" s="463"/>
      <c r="G703" s="253"/>
      <c r="H703" s="254"/>
      <c r="I703" s="463"/>
      <c r="J703" s="253"/>
      <c r="K703" s="254"/>
      <c r="L703" s="463"/>
      <c r="M703" s="253"/>
      <c r="N703" s="254"/>
      <c r="O703" s="463"/>
      <c r="P703" s="253"/>
      <c r="Q703" s="254"/>
      <c r="R703" s="463"/>
      <c r="S703" s="253"/>
      <c r="T703" s="254"/>
      <c r="U703" s="463"/>
      <c r="V703" s="253"/>
      <c r="W703" s="254"/>
      <c r="X703" s="463"/>
      <c r="Y703" s="9"/>
      <c r="Z703" s="9"/>
      <c r="AA703" s="9"/>
      <c r="AB703" s="9"/>
      <c r="AC703" s="234"/>
      <c r="AD703" s="234"/>
      <c r="AE703" s="234"/>
      <c r="AF703" s="234"/>
      <c r="AG703" s="9"/>
      <c r="AH703" s="9"/>
      <c r="AI703" s="9"/>
      <c r="AJ703" s="9"/>
      <c r="AK703" s="245"/>
      <c r="AL703" s="245"/>
      <c r="AM703" s="245"/>
      <c r="AN703" s="245"/>
      <c r="AO703" s="9"/>
      <c r="AP703" s="9"/>
      <c r="AQ703" s="9"/>
      <c r="AR703" s="9"/>
      <c r="AS703" s="9"/>
      <c r="AT703" s="9"/>
      <c r="AU703" s="9"/>
      <c r="AV703" s="9"/>
    </row>
    <row r="704">
      <c r="A704" s="253"/>
      <c r="B704" s="254"/>
      <c r="C704" s="463"/>
      <c r="D704" s="253"/>
      <c r="E704" s="254"/>
      <c r="F704" s="463"/>
      <c r="G704" s="253"/>
      <c r="H704" s="254"/>
      <c r="I704" s="463"/>
      <c r="J704" s="253"/>
      <c r="K704" s="254"/>
      <c r="L704" s="463"/>
      <c r="M704" s="253"/>
      <c r="N704" s="254"/>
      <c r="O704" s="463"/>
      <c r="P704" s="253"/>
      <c r="Q704" s="254"/>
      <c r="R704" s="463"/>
      <c r="S704" s="253"/>
      <c r="T704" s="254"/>
      <c r="U704" s="463"/>
      <c r="V704" s="253"/>
      <c r="W704" s="254"/>
      <c r="X704" s="463"/>
      <c r="Y704" s="9"/>
      <c r="Z704" s="9"/>
      <c r="AA704" s="9"/>
      <c r="AB704" s="9"/>
      <c r="AC704" s="234"/>
      <c r="AD704" s="234"/>
      <c r="AE704" s="234"/>
      <c r="AF704" s="234"/>
      <c r="AG704" s="9"/>
      <c r="AH704" s="9"/>
      <c r="AI704" s="9"/>
      <c r="AJ704" s="9"/>
      <c r="AK704" s="245"/>
      <c r="AL704" s="245"/>
      <c r="AM704" s="245"/>
      <c r="AN704" s="245"/>
      <c r="AO704" s="9"/>
      <c r="AP704" s="9"/>
      <c r="AQ704" s="9"/>
      <c r="AR704" s="9"/>
      <c r="AS704" s="9"/>
      <c r="AT704" s="9"/>
      <c r="AU704" s="9"/>
      <c r="AV704" s="9"/>
    </row>
    <row r="705">
      <c r="A705" s="253"/>
      <c r="B705" s="254"/>
      <c r="C705" s="463"/>
      <c r="D705" s="253"/>
      <c r="E705" s="254"/>
      <c r="F705" s="463"/>
      <c r="G705" s="253"/>
      <c r="H705" s="254"/>
      <c r="I705" s="463"/>
      <c r="J705" s="253"/>
      <c r="K705" s="254"/>
      <c r="L705" s="463"/>
      <c r="M705" s="253"/>
      <c r="N705" s="254"/>
      <c r="O705" s="463"/>
      <c r="P705" s="253"/>
      <c r="Q705" s="254"/>
      <c r="R705" s="463"/>
      <c r="S705" s="253"/>
      <c r="T705" s="254"/>
      <c r="U705" s="463"/>
      <c r="V705" s="253"/>
      <c r="W705" s="254"/>
      <c r="X705" s="463"/>
      <c r="Y705" s="9"/>
      <c r="Z705" s="9"/>
      <c r="AA705" s="9"/>
      <c r="AB705" s="9"/>
      <c r="AC705" s="234"/>
      <c r="AD705" s="234"/>
      <c r="AE705" s="234"/>
      <c r="AF705" s="234"/>
      <c r="AG705" s="9"/>
      <c r="AH705" s="9"/>
      <c r="AI705" s="9"/>
      <c r="AJ705" s="9"/>
      <c r="AK705" s="245"/>
      <c r="AL705" s="245"/>
      <c r="AM705" s="245"/>
      <c r="AN705" s="245"/>
      <c r="AO705" s="9"/>
      <c r="AP705" s="9"/>
      <c r="AQ705" s="9"/>
      <c r="AR705" s="9"/>
      <c r="AS705" s="9"/>
      <c r="AT705" s="9"/>
      <c r="AU705" s="9"/>
      <c r="AV705" s="9"/>
    </row>
    <row r="706">
      <c r="A706" s="253"/>
      <c r="B706" s="254"/>
      <c r="C706" s="463"/>
      <c r="D706" s="253"/>
      <c r="E706" s="254"/>
      <c r="F706" s="463"/>
      <c r="G706" s="253"/>
      <c r="H706" s="254"/>
      <c r="I706" s="463"/>
      <c r="J706" s="253"/>
      <c r="K706" s="254"/>
      <c r="L706" s="463"/>
      <c r="M706" s="253"/>
      <c r="N706" s="254"/>
      <c r="O706" s="463"/>
      <c r="P706" s="253"/>
      <c r="Q706" s="254"/>
      <c r="R706" s="463"/>
      <c r="S706" s="253"/>
      <c r="T706" s="254"/>
      <c r="U706" s="463"/>
      <c r="V706" s="253"/>
      <c r="W706" s="254"/>
      <c r="X706" s="463"/>
      <c r="Y706" s="9"/>
      <c r="Z706" s="9"/>
      <c r="AA706" s="9"/>
      <c r="AB706" s="9"/>
      <c r="AC706" s="234"/>
      <c r="AD706" s="234"/>
      <c r="AE706" s="234"/>
      <c r="AF706" s="234"/>
      <c r="AG706" s="9"/>
      <c r="AH706" s="9"/>
      <c r="AI706" s="9"/>
      <c r="AJ706" s="9"/>
      <c r="AK706" s="245"/>
      <c r="AL706" s="245"/>
      <c r="AM706" s="245"/>
      <c r="AN706" s="245"/>
      <c r="AO706" s="9"/>
      <c r="AP706" s="9"/>
      <c r="AQ706" s="9"/>
      <c r="AR706" s="9"/>
      <c r="AS706" s="9"/>
      <c r="AT706" s="9"/>
      <c r="AU706" s="9"/>
      <c r="AV706" s="9"/>
    </row>
    <row r="707">
      <c r="A707" s="253"/>
      <c r="B707" s="254"/>
      <c r="C707" s="463"/>
      <c r="D707" s="253"/>
      <c r="E707" s="254"/>
      <c r="F707" s="463"/>
      <c r="G707" s="253"/>
      <c r="H707" s="254"/>
      <c r="I707" s="463"/>
      <c r="J707" s="253"/>
      <c r="K707" s="254"/>
      <c r="L707" s="463"/>
      <c r="M707" s="253"/>
      <c r="N707" s="254"/>
      <c r="O707" s="463"/>
      <c r="P707" s="253"/>
      <c r="Q707" s="254"/>
      <c r="R707" s="463"/>
      <c r="S707" s="253"/>
      <c r="T707" s="254"/>
      <c r="U707" s="463"/>
      <c r="V707" s="253"/>
      <c r="W707" s="254"/>
      <c r="X707" s="463"/>
      <c r="Y707" s="9"/>
      <c r="Z707" s="9"/>
      <c r="AA707" s="9"/>
      <c r="AB707" s="9"/>
      <c r="AC707" s="234"/>
      <c r="AD707" s="234"/>
      <c r="AE707" s="234"/>
      <c r="AF707" s="234"/>
      <c r="AG707" s="9"/>
      <c r="AH707" s="9"/>
      <c r="AI707" s="9"/>
      <c r="AJ707" s="9"/>
      <c r="AK707" s="245"/>
      <c r="AL707" s="245"/>
      <c r="AM707" s="245"/>
      <c r="AN707" s="245"/>
      <c r="AO707" s="9"/>
      <c r="AP707" s="9"/>
      <c r="AQ707" s="9"/>
      <c r="AR707" s="9"/>
      <c r="AS707" s="9"/>
      <c r="AT707" s="9"/>
      <c r="AU707" s="9"/>
      <c r="AV707" s="9"/>
    </row>
    <row r="708">
      <c r="A708" s="253"/>
      <c r="B708" s="254"/>
      <c r="C708" s="463"/>
      <c r="D708" s="253"/>
      <c r="E708" s="254"/>
      <c r="F708" s="463"/>
      <c r="G708" s="253"/>
      <c r="H708" s="254"/>
      <c r="I708" s="463"/>
      <c r="J708" s="253"/>
      <c r="K708" s="254"/>
      <c r="L708" s="463"/>
      <c r="M708" s="253"/>
      <c r="N708" s="254"/>
      <c r="O708" s="463"/>
      <c r="P708" s="253"/>
      <c r="Q708" s="254"/>
      <c r="R708" s="463"/>
      <c r="S708" s="253"/>
      <c r="T708" s="254"/>
      <c r="U708" s="463"/>
      <c r="V708" s="253"/>
      <c r="W708" s="254"/>
      <c r="X708" s="463"/>
      <c r="Y708" s="9"/>
      <c r="Z708" s="9"/>
      <c r="AA708" s="9"/>
      <c r="AB708" s="9"/>
      <c r="AC708" s="234"/>
      <c r="AD708" s="234"/>
      <c r="AE708" s="234"/>
      <c r="AF708" s="234"/>
      <c r="AG708" s="9"/>
      <c r="AH708" s="9"/>
      <c r="AI708" s="9"/>
      <c r="AJ708" s="9"/>
      <c r="AK708" s="245"/>
      <c r="AL708" s="245"/>
      <c r="AM708" s="245"/>
      <c r="AN708" s="245"/>
      <c r="AO708" s="9"/>
      <c r="AP708" s="9"/>
      <c r="AQ708" s="9"/>
      <c r="AR708" s="9"/>
      <c r="AS708" s="9"/>
      <c r="AT708" s="9"/>
      <c r="AU708" s="9"/>
      <c r="AV708" s="9"/>
    </row>
    <row r="709">
      <c r="A709" s="253"/>
      <c r="B709" s="254"/>
      <c r="C709" s="463"/>
      <c r="D709" s="253"/>
      <c r="E709" s="254"/>
      <c r="F709" s="463"/>
      <c r="G709" s="253"/>
      <c r="H709" s="254"/>
      <c r="I709" s="463"/>
      <c r="J709" s="253"/>
      <c r="K709" s="254"/>
      <c r="L709" s="463"/>
      <c r="M709" s="253"/>
      <c r="N709" s="254"/>
      <c r="O709" s="463"/>
      <c r="P709" s="253"/>
      <c r="Q709" s="254"/>
      <c r="R709" s="463"/>
      <c r="S709" s="253"/>
      <c r="T709" s="254"/>
      <c r="U709" s="463"/>
      <c r="V709" s="253"/>
      <c r="W709" s="254"/>
      <c r="X709" s="463"/>
      <c r="Y709" s="9"/>
      <c r="Z709" s="9"/>
      <c r="AA709" s="9"/>
      <c r="AB709" s="9"/>
      <c r="AC709" s="234"/>
      <c r="AD709" s="234"/>
      <c r="AE709" s="234"/>
      <c r="AF709" s="234"/>
      <c r="AG709" s="9"/>
      <c r="AH709" s="9"/>
      <c r="AI709" s="9"/>
      <c r="AJ709" s="9"/>
      <c r="AK709" s="245"/>
      <c r="AL709" s="245"/>
      <c r="AM709" s="245"/>
      <c r="AN709" s="245"/>
      <c r="AO709" s="9"/>
      <c r="AP709" s="9"/>
      <c r="AQ709" s="9"/>
      <c r="AR709" s="9"/>
      <c r="AS709" s="9"/>
      <c r="AT709" s="9"/>
      <c r="AU709" s="9"/>
      <c r="AV709" s="9"/>
    </row>
    <row r="710">
      <c r="A710" s="253"/>
      <c r="B710" s="254"/>
      <c r="C710" s="463"/>
      <c r="D710" s="253"/>
      <c r="E710" s="254"/>
      <c r="F710" s="463"/>
      <c r="G710" s="253"/>
      <c r="H710" s="254"/>
      <c r="I710" s="463"/>
      <c r="J710" s="253"/>
      <c r="K710" s="254"/>
      <c r="L710" s="463"/>
      <c r="M710" s="253"/>
      <c r="N710" s="254"/>
      <c r="O710" s="463"/>
      <c r="P710" s="253"/>
      <c r="Q710" s="254"/>
      <c r="R710" s="463"/>
      <c r="S710" s="253"/>
      <c r="T710" s="254"/>
      <c r="U710" s="463"/>
      <c r="V710" s="253"/>
      <c r="W710" s="254"/>
      <c r="X710" s="463"/>
      <c r="Y710" s="9"/>
      <c r="Z710" s="9"/>
      <c r="AA710" s="9"/>
      <c r="AB710" s="9"/>
      <c r="AC710" s="234"/>
      <c r="AD710" s="234"/>
      <c r="AE710" s="234"/>
      <c r="AF710" s="234"/>
      <c r="AG710" s="9"/>
      <c r="AH710" s="9"/>
      <c r="AI710" s="9"/>
      <c r="AJ710" s="9"/>
      <c r="AK710" s="245"/>
      <c r="AL710" s="245"/>
      <c r="AM710" s="245"/>
      <c r="AN710" s="245"/>
      <c r="AO710" s="9"/>
      <c r="AP710" s="9"/>
      <c r="AQ710" s="9"/>
      <c r="AR710" s="9"/>
      <c r="AS710" s="9"/>
      <c r="AT710" s="9"/>
      <c r="AU710" s="9"/>
      <c r="AV710" s="9"/>
    </row>
    <row r="711">
      <c r="A711" s="253"/>
      <c r="B711" s="254"/>
      <c r="C711" s="463"/>
      <c r="D711" s="253"/>
      <c r="E711" s="254"/>
      <c r="F711" s="463"/>
      <c r="G711" s="253"/>
      <c r="H711" s="254"/>
      <c r="I711" s="463"/>
      <c r="J711" s="253"/>
      <c r="K711" s="254"/>
      <c r="L711" s="463"/>
      <c r="M711" s="253"/>
      <c r="N711" s="254"/>
      <c r="O711" s="463"/>
      <c r="P711" s="253"/>
      <c r="Q711" s="254"/>
      <c r="R711" s="463"/>
      <c r="S711" s="253"/>
      <c r="T711" s="254"/>
      <c r="U711" s="463"/>
      <c r="V711" s="253"/>
      <c r="W711" s="254"/>
      <c r="X711" s="463"/>
      <c r="Y711" s="9"/>
      <c r="Z711" s="9"/>
      <c r="AA711" s="9"/>
      <c r="AB711" s="9"/>
      <c r="AC711" s="234"/>
      <c r="AD711" s="234"/>
      <c r="AE711" s="234"/>
      <c r="AF711" s="234"/>
      <c r="AG711" s="9"/>
      <c r="AH711" s="9"/>
      <c r="AI711" s="9"/>
      <c r="AJ711" s="9"/>
      <c r="AK711" s="245"/>
      <c r="AL711" s="245"/>
      <c r="AM711" s="245"/>
      <c r="AN711" s="245"/>
      <c r="AO711" s="9"/>
      <c r="AP711" s="9"/>
      <c r="AQ711" s="9"/>
      <c r="AR711" s="9"/>
      <c r="AS711" s="9"/>
      <c r="AT711" s="9"/>
      <c r="AU711" s="9"/>
      <c r="AV711" s="9"/>
    </row>
    <row r="712">
      <c r="A712" s="253"/>
      <c r="B712" s="254"/>
      <c r="C712" s="463"/>
      <c r="D712" s="253"/>
      <c r="E712" s="254"/>
      <c r="F712" s="463"/>
      <c r="G712" s="253"/>
      <c r="H712" s="254"/>
      <c r="I712" s="463"/>
      <c r="J712" s="253"/>
      <c r="K712" s="254"/>
      <c r="L712" s="463"/>
      <c r="M712" s="253"/>
      <c r="N712" s="254"/>
      <c r="O712" s="463"/>
      <c r="P712" s="253"/>
      <c r="Q712" s="254"/>
      <c r="R712" s="463"/>
      <c r="S712" s="253"/>
      <c r="T712" s="254"/>
      <c r="U712" s="463"/>
      <c r="V712" s="253"/>
      <c r="W712" s="254"/>
      <c r="X712" s="463"/>
      <c r="Y712" s="9"/>
      <c r="Z712" s="9"/>
      <c r="AA712" s="9"/>
      <c r="AB712" s="9"/>
      <c r="AC712" s="234"/>
      <c r="AD712" s="234"/>
      <c r="AE712" s="234"/>
      <c r="AF712" s="234"/>
      <c r="AG712" s="9"/>
      <c r="AH712" s="9"/>
      <c r="AI712" s="9"/>
      <c r="AJ712" s="9"/>
      <c r="AK712" s="245"/>
      <c r="AL712" s="245"/>
      <c r="AM712" s="245"/>
      <c r="AN712" s="245"/>
      <c r="AO712" s="9"/>
      <c r="AP712" s="9"/>
      <c r="AQ712" s="9"/>
      <c r="AR712" s="9"/>
      <c r="AS712" s="9"/>
      <c r="AT712" s="9"/>
      <c r="AU712" s="9"/>
      <c r="AV712" s="9"/>
    </row>
    <row r="713">
      <c r="A713" s="253"/>
      <c r="B713" s="254"/>
      <c r="C713" s="463"/>
      <c r="D713" s="253"/>
      <c r="E713" s="254"/>
      <c r="F713" s="463"/>
      <c r="G713" s="253"/>
      <c r="H713" s="254"/>
      <c r="I713" s="463"/>
      <c r="J713" s="253"/>
      <c r="K713" s="254"/>
      <c r="L713" s="463"/>
      <c r="M713" s="253"/>
      <c r="N713" s="254"/>
      <c r="O713" s="463"/>
      <c r="P713" s="253"/>
      <c r="Q713" s="254"/>
      <c r="R713" s="463"/>
      <c r="S713" s="253"/>
      <c r="T713" s="254"/>
      <c r="U713" s="463"/>
      <c r="V713" s="253"/>
      <c r="W713" s="254"/>
      <c r="X713" s="463"/>
      <c r="Y713" s="9"/>
      <c r="Z713" s="9"/>
      <c r="AA713" s="9"/>
      <c r="AB713" s="9"/>
      <c r="AC713" s="234"/>
      <c r="AD713" s="234"/>
      <c r="AE713" s="234"/>
      <c r="AF713" s="234"/>
      <c r="AG713" s="9"/>
      <c r="AH713" s="9"/>
      <c r="AI713" s="9"/>
      <c r="AJ713" s="9"/>
      <c r="AK713" s="245"/>
      <c r="AL713" s="245"/>
      <c r="AM713" s="245"/>
      <c r="AN713" s="245"/>
      <c r="AO713" s="9"/>
      <c r="AP713" s="9"/>
      <c r="AQ713" s="9"/>
      <c r="AR713" s="9"/>
      <c r="AS713" s="9"/>
      <c r="AT713" s="9"/>
      <c r="AU713" s="9"/>
      <c r="AV713" s="9"/>
    </row>
    <row r="714">
      <c r="A714" s="253"/>
      <c r="B714" s="254"/>
      <c r="C714" s="463"/>
      <c r="D714" s="253"/>
      <c r="E714" s="254"/>
      <c r="F714" s="463"/>
      <c r="G714" s="253"/>
      <c r="H714" s="254"/>
      <c r="I714" s="463"/>
      <c r="J714" s="253"/>
      <c r="K714" s="254"/>
      <c r="L714" s="463"/>
      <c r="M714" s="253"/>
      <c r="N714" s="254"/>
      <c r="O714" s="463"/>
      <c r="P714" s="253"/>
      <c r="Q714" s="254"/>
      <c r="R714" s="463"/>
      <c r="S714" s="253"/>
      <c r="T714" s="254"/>
      <c r="U714" s="463"/>
      <c r="V714" s="253"/>
      <c r="W714" s="254"/>
      <c r="X714" s="463"/>
      <c r="Y714" s="9"/>
      <c r="Z714" s="9"/>
      <c r="AA714" s="9"/>
      <c r="AB714" s="9"/>
      <c r="AC714" s="234"/>
      <c r="AD714" s="234"/>
      <c r="AE714" s="234"/>
      <c r="AF714" s="234"/>
      <c r="AG714" s="9"/>
      <c r="AH714" s="9"/>
      <c r="AI714" s="9"/>
      <c r="AJ714" s="9"/>
      <c r="AK714" s="245"/>
      <c r="AL714" s="245"/>
      <c r="AM714" s="245"/>
      <c r="AN714" s="245"/>
      <c r="AO714" s="9"/>
      <c r="AP714" s="9"/>
      <c r="AQ714" s="9"/>
      <c r="AR714" s="9"/>
      <c r="AS714" s="9"/>
      <c r="AT714" s="9"/>
      <c r="AU714" s="9"/>
      <c r="AV714" s="9"/>
    </row>
    <row r="715">
      <c r="A715" s="253"/>
      <c r="B715" s="254"/>
      <c r="C715" s="463"/>
      <c r="D715" s="253"/>
      <c r="E715" s="254"/>
      <c r="F715" s="463"/>
      <c r="G715" s="253"/>
      <c r="H715" s="254"/>
      <c r="I715" s="463"/>
      <c r="J715" s="253"/>
      <c r="K715" s="254"/>
      <c r="L715" s="463"/>
      <c r="M715" s="253"/>
      <c r="N715" s="254"/>
      <c r="O715" s="463"/>
      <c r="P715" s="253"/>
      <c r="Q715" s="254"/>
      <c r="R715" s="463"/>
      <c r="S715" s="253"/>
      <c r="T715" s="254"/>
      <c r="U715" s="463"/>
      <c r="V715" s="253"/>
      <c r="W715" s="254"/>
      <c r="X715" s="463"/>
      <c r="Y715" s="9"/>
      <c r="Z715" s="9"/>
      <c r="AA715" s="9"/>
      <c r="AB715" s="9"/>
      <c r="AC715" s="234"/>
      <c r="AD715" s="234"/>
      <c r="AE715" s="234"/>
      <c r="AF715" s="234"/>
      <c r="AG715" s="9"/>
      <c r="AH715" s="9"/>
      <c r="AI715" s="9"/>
      <c r="AJ715" s="9"/>
      <c r="AK715" s="245"/>
      <c r="AL715" s="245"/>
      <c r="AM715" s="245"/>
      <c r="AN715" s="245"/>
      <c r="AO715" s="9"/>
      <c r="AP715" s="9"/>
      <c r="AQ715" s="9"/>
      <c r="AR715" s="9"/>
      <c r="AS715" s="9"/>
      <c r="AT715" s="9"/>
      <c r="AU715" s="9"/>
      <c r="AV715" s="9"/>
    </row>
    <row r="716">
      <c r="A716" s="253"/>
      <c r="B716" s="254"/>
      <c r="C716" s="463"/>
      <c r="D716" s="253"/>
      <c r="E716" s="254"/>
      <c r="F716" s="463"/>
      <c r="G716" s="253"/>
      <c r="H716" s="254"/>
      <c r="I716" s="463"/>
      <c r="J716" s="253"/>
      <c r="K716" s="254"/>
      <c r="L716" s="463"/>
      <c r="M716" s="253"/>
      <c r="N716" s="254"/>
      <c r="O716" s="463"/>
      <c r="P716" s="253"/>
      <c r="Q716" s="254"/>
      <c r="R716" s="463"/>
      <c r="S716" s="253"/>
      <c r="T716" s="254"/>
      <c r="U716" s="463"/>
      <c r="V716" s="253"/>
      <c r="W716" s="254"/>
      <c r="X716" s="463"/>
      <c r="Y716" s="9"/>
      <c r="Z716" s="9"/>
      <c r="AA716" s="9"/>
      <c r="AB716" s="9"/>
      <c r="AC716" s="234"/>
      <c r="AD716" s="234"/>
      <c r="AE716" s="234"/>
      <c r="AF716" s="234"/>
      <c r="AG716" s="9"/>
      <c r="AH716" s="9"/>
      <c r="AI716" s="9"/>
      <c r="AJ716" s="9"/>
      <c r="AK716" s="245"/>
      <c r="AL716" s="245"/>
      <c r="AM716" s="245"/>
      <c r="AN716" s="245"/>
      <c r="AO716" s="9"/>
      <c r="AP716" s="9"/>
      <c r="AQ716" s="9"/>
      <c r="AR716" s="9"/>
      <c r="AS716" s="9"/>
      <c r="AT716" s="9"/>
      <c r="AU716" s="9"/>
      <c r="AV716" s="9"/>
    </row>
    <row r="717">
      <c r="A717" s="253"/>
      <c r="B717" s="254"/>
      <c r="C717" s="463"/>
      <c r="D717" s="253"/>
      <c r="E717" s="254"/>
      <c r="F717" s="463"/>
      <c r="G717" s="253"/>
      <c r="H717" s="254"/>
      <c r="I717" s="463"/>
      <c r="J717" s="253"/>
      <c r="K717" s="254"/>
      <c r="L717" s="463"/>
      <c r="M717" s="253"/>
      <c r="N717" s="254"/>
      <c r="O717" s="463"/>
      <c r="P717" s="253"/>
      <c r="Q717" s="254"/>
      <c r="R717" s="463"/>
      <c r="S717" s="253"/>
      <c r="T717" s="254"/>
      <c r="U717" s="463"/>
      <c r="V717" s="253"/>
      <c r="W717" s="254"/>
      <c r="X717" s="463"/>
      <c r="Y717" s="9"/>
      <c r="Z717" s="9"/>
      <c r="AA717" s="9"/>
      <c r="AB717" s="9"/>
      <c r="AC717" s="234"/>
      <c r="AD717" s="234"/>
      <c r="AE717" s="234"/>
      <c r="AF717" s="234"/>
      <c r="AG717" s="9"/>
      <c r="AH717" s="9"/>
      <c r="AI717" s="9"/>
      <c r="AJ717" s="9"/>
      <c r="AK717" s="245"/>
      <c r="AL717" s="245"/>
      <c r="AM717" s="245"/>
      <c r="AN717" s="245"/>
      <c r="AO717" s="9"/>
      <c r="AP717" s="9"/>
      <c r="AQ717" s="9"/>
      <c r="AR717" s="9"/>
      <c r="AS717" s="9"/>
      <c r="AT717" s="9"/>
      <c r="AU717" s="9"/>
      <c r="AV717" s="9"/>
    </row>
    <row r="718">
      <c r="A718" s="253"/>
      <c r="B718" s="254"/>
      <c r="C718" s="463"/>
      <c r="D718" s="253"/>
      <c r="E718" s="254"/>
      <c r="F718" s="463"/>
      <c r="G718" s="253"/>
      <c r="H718" s="254"/>
      <c r="I718" s="463"/>
      <c r="J718" s="253"/>
      <c r="K718" s="254"/>
      <c r="L718" s="463"/>
      <c r="M718" s="253"/>
      <c r="N718" s="254"/>
      <c r="O718" s="463"/>
      <c r="P718" s="253"/>
      <c r="Q718" s="254"/>
      <c r="R718" s="463"/>
      <c r="S718" s="253"/>
      <c r="T718" s="254"/>
      <c r="U718" s="463"/>
      <c r="V718" s="253"/>
      <c r="W718" s="254"/>
      <c r="X718" s="463"/>
      <c r="Y718" s="9"/>
      <c r="Z718" s="9"/>
      <c r="AA718" s="9"/>
      <c r="AB718" s="9"/>
      <c r="AC718" s="234"/>
      <c r="AD718" s="234"/>
      <c r="AE718" s="234"/>
      <c r="AF718" s="234"/>
      <c r="AG718" s="9"/>
      <c r="AH718" s="9"/>
      <c r="AI718" s="9"/>
      <c r="AJ718" s="9"/>
      <c r="AK718" s="245"/>
      <c r="AL718" s="245"/>
      <c r="AM718" s="245"/>
      <c r="AN718" s="245"/>
      <c r="AO718" s="9"/>
      <c r="AP718" s="9"/>
      <c r="AQ718" s="9"/>
      <c r="AR718" s="9"/>
      <c r="AS718" s="9"/>
      <c r="AT718" s="9"/>
      <c r="AU718" s="9"/>
      <c r="AV718" s="9"/>
    </row>
    <row r="719">
      <c r="A719" s="253"/>
      <c r="B719" s="254"/>
      <c r="C719" s="463"/>
      <c r="D719" s="253"/>
      <c r="E719" s="254"/>
      <c r="F719" s="463"/>
      <c r="G719" s="253"/>
      <c r="H719" s="254"/>
      <c r="I719" s="463"/>
      <c r="J719" s="253"/>
      <c r="K719" s="254"/>
      <c r="L719" s="463"/>
      <c r="M719" s="253"/>
      <c r="N719" s="254"/>
      <c r="O719" s="463"/>
      <c r="P719" s="253"/>
      <c r="Q719" s="254"/>
      <c r="R719" s="463"/>
      <c r="S719" s="253"/>
      <c r="T719" s="254"/>
      <c r="U719" s="463"/>
      <c r="V719" s="253"/>
      <c r="W719" s="254"/>
      <c r="X719" s="463"/>
      <c r="Y719" s="9"/>
      <c r="Z719" s="9"/>
      <c r="AA719" s="9"/>
      <c r="AB719" s="9"/>
      <c r="AC719" s="234"/>
      <c r="AD719" s="234"/>
      <c r="AE719" s="234"/>
      <c r="AF719" s="234"/>
      <c r="AG719" s="9"/>
      <c r="AH719" s="9"/>
      <c r="AI719" s="9"/>
      <c r="AJ719" s="9"/>
      <c r="AK719" s="245"/>
      <c r="AL719" s="245"/>
      <c r="AM719" s="245"/>
      <c r="AN719" s="245"/>
      <c r="AO719" s="9"/>
      <c r="AP719" s="9"/>
      <c r="AQ719" s="9"/>
      <c r="AR719" s="9"/>
      <c r="AS719" s="9"/>
      <c r="AT719" s="9"/>
      <c r="AU719" s="9"/>
      <c r="AV719" s="9"/>
    </row>
    <row r="720">
      <c r="A720" s="253"/>
      <c r="B720" s="254"/>
      <c r="C720" s="463"/>
      <c r="D720" s="253"/>
      <c r="E720" s="254"/>
      <c r="F720" s="463"/>
      <c r="G720" s="253"/>
      <c r="H720" s="254"/>
      <c r="I720" s="463"/>
      <c r="J720" s="253"/>
      <c r="K720" s="254"/>
      <c r="L720" s="463"/>
      <c r="M720" s="253"/>
      <c r="N720" s="254"/>
      <c r="O720" s="463"/>
      <c r="P720" s="253"/>
      <c r="Q720" s="254"/>
      <c r="R720" s="463"/>
      <c r="S720" s="253"/>
      <c r="T720" s="254"/>
      <c r="U720" s="463"/>
      <c r="V720" s="253"/>
      <c r="W720" s="254"/>
      <c r="X720" s="463"/>
      <c r="Y720" s="9"/>
      <c r="Z720" s="9"/>
      <c r="AA720" s="9"/>
      <c r="AB720" s="9"/>
      <c r="AC720" s="234"/>
      <c r="AD720" s="234"/>
      <c r="AE720" s="234"/>
      <c r="AF720" s="234"/>
      <c r="AG720" s="9"/>
      <c r="AH720" s="9"/>
      <c r="AI720" s="9"/>
      <c r="AJ720" s="9"/>
      <c r="AK720" s="245"/>
      <c r="AL720" s="245"/>
      <c r="AM720" s="245"/>
      <c r="AN720" s="245"/>
      <c r="AO720" s="9"/>
      <c r="AP720" s="9"/>
      <c r="AQ720" s="9"/>
      <c r="AR720" s="9"/>
      <c r="AS720" s="9"/>
      <c r="AT720" s="9"/>
      <c r="AU720" s="9"/>
      <c r="AV720" s="9"/>
    </row>
    <row r="721">
      <c r="A721" s="253"/>
      <c r="B721" s="254"/>
      <c r="C721" s="463"/>
      <c r="D721" s="253"/>
      <c r="E721" s="254"/>
      <c r="F721" s="463"/>
      <c r="G721" s="253"/>
      <c r="H721" s="254"/>
      <c r="I721" s="463"/>
      <c r="J721" s="253"/>
      <c r="K721" s="254"/>
      <c r="L721" s="463"/>
      <c r="M721" s="253"/>
      <c r="N721" s="254"/>
      <c r="O721" s="463"/>
      <c r="P721" s="253"/>
      <c r="Q721" s="254"/>
      <c r="R721" s="463"/>
      <c r="S721" s="253"/>
      <c r="T721" s="254"/>
      <c r="U721" s="463"/>
      <c r="V721" s="253"/>
      <c r="W721" s="254"/>
      <c r="X721" s="463"/>
      <c r="Y721" s="9"/>
      <c r="Z721" s="9"/>
      <c r="AA721" s="9"/>
      <c r="AB721" s="9"/>
      <c r="AC721" s="234"/>
      <c r="AD721" s="234"/>
      <c r="AE721" s="234"/>
      <c r="AF721" s="234"/>
      <c r="AG721" s="9"/>
      <c r="AH721" s="9"/>
      <c r="AI721" s="9"/>
      <c r="AJ721" s="9"/>
      <c r="AK721" s="245"/>
      <c r="AL721" s="245"/>
      <c r="AM721" s="245"/>
      <c r="AN721" s="245"/>
      <c r="AO721" s="9"/>
      <c r="AP721" s="9"/>
      <c r="AQ721" s="9"/>
      <c r="AR721" s="9"/>
      <c r="AS721" s="9"/>
      <c r="AT721" s="9"/>
      <c r="AU721" s="9"/>
      <c r="AV721" s="9"/>
    </row>
    <row r="722">
      <c r="A722" s="253"/>
      <c r="B722" s="254"/>
      <c r="C722" s="463"/>
      <c r="D722" s="253"/>
      <c r="E722" s="254"/>
      <c r="F722" s="463"/>
      <c r="G722" s="253"/>
      <c r="H722" s="254"/>
      <c r="I722" s="463"/>
      <c r="J722" s="253"/>
      <c r="K722" s="254"/>
      <c r="L722" s="463"/>
      <c r="M722" s="253"/>
      <c r="N722" s="254"/>
      <c r="O722" s="463"/>
      <c r="P722" s="253"/>
      <c r="Q722" s="254"/>
      <c r="R722" s="463"/>
      <c r="S722" s="253"/>
      <c r="T722" s="254"/>
      <c r="U722" s="463"/>
      <c r="V722" s="253"/>
      <c r="W722" s="254"/>
      <c r="X722" s="463"/>
      <c r="Y722" s="9"/>
      <c r="Z722" s="9"/>
      <c r="AA722" s="9"/>
      <c r="AB722" s="9"/>
      <c r="AC722" s="234"/>
      <c r="AD722" s="234"/>
      <c r="AE722" s="234"/>
      <c r="AF722" s="234"/>
      <c r="AG722" s="9"/>
      <c r="AH722" s="9"/>
      <c r="AI722" s="9"/>
      <c r="AJ722" s="9"/>
      <c r="AK722" s="245"/>
      <c r="AL722" s="245"/>
      <c r="AM722" s="245"/>
      <c r="AN722" s="245"/>
      <c r="AO722" s="9"/>
      <c r="AP722" s="9"/>
      <c r="AQ722" s="9"/>
      <c r="AR722" s="9"/>
      <c r="AS722" s="9"/>
      <c r="AT722" s="9"/>
      <c r="AU722" s="9"/>
      <c r="AV722" s="9"/>
    </row>
    <row r="723">
      <c r="A723" s="253"/>
      <c r="B723" s="254"/>
      <c r="C723" s="463"/>
      <c r="D723" s="253"/>
      <c r="E723" s="254"/>
      <c r="F723" s="463"/>
      <c r="G723" s="253"/>
      <c r="H723" s="254"/>
      <c r="I723" s="463"/>
      <c r="J723" s="253"/>
      <c r="K723" s="254"/>
      <c r="L723" s="463"/>
      <c r="M723" s="253"/>
      <c r="N723" s="254"/>
      <c r="O723" s="463"/>
      <c r="P723" s="253"/>
      <c r="Q723" s="254"/>
      <c r="R723" s="463"/>
      <c r="S723" s="253"/>
      <c r="T723" s="254"/>
      <c r="U723" s="463"/>
      <c r="V723" s="253"/>
      <c r="W723" s="254"/>
      <c r="X723" s="463"/>
      <c r="Y723" s="9"/>
      <c r="Z723" s="9"/>
      <c r="AA723" s="9"/>
      <c r="AB723" s="9"/>
      <c r="AC723" s="234"/>
      <c r="AD723" s="234"/>
      <c r="AE723" s="234"/>
      <c r="AF723" s="234"/>
      <c r="AG723" s="9"/>
      <c r="AH723" s="9"/>
      <c r="AI723" s="9"/>
      <c r="AJ723" s="9"/>
      <c r="AK723" s="245"/>
      <c r="AL723" s="245"/>
      <c r="AM723" s="245"/>
      <c r="AN723" s="245"/>
      <c r="AO723" s="9"/>
      <c r="AP723" s="9"/>
      <c r="AQ723" s="9"/>
      <c r="AR723" s="9"/>
      <c r="AS723" s="9"/>
      <c r="AT723" s="9"/>
      <c r="AU723" s="9"/>
      <c r="AV723" s="9"/>
    </row>
    <row r="724">
      <c r="A724" s="253"/>
      <c r="B724" s="254"/>
      <c r="C724" s="463"/>
      <c r="D724" s="253"/>
      <c r="E724" s="254"/>
      <c r="F724" s="463"/>
      <c r="G724" s="253"/>
      <c r="H724" s="254"/>
      <c r="I724" s="463"/>
      <c r="J724" s="253"/>
      <c r="K724" s="254"/>
      <c r="L724" s="463"/>
      <c r="M724" s="253"/>
      <c r="N724" s="254"/>
      <c r="O724" s="463"/>
      <c r="P724" s="253"/>
      <c r="Q724" s="254"/>
      <c r="R724" s="463"/>
      <c r="S724" s="253"/>
      <c r="T724" s="254"/>
      <c r="U724" s="463"/>
      <c r="V724" s="253"/>
      <c r="W724" s="254"/>
      <c r="X724" s="463"/>
      <c r="Y724" s="9"/>
      <c r="Z724" s="9"/>
      <c r="AA724" s="9"/>
      <c r="AB724" s="9"/>
      <c r="AC724" s="234"/>
      <c r="AD724" s="234"/>
      <c r="AE724" s="234"/>
      <c r="AF724" s="234"/>
      <c r="AG724" s="9"/>
      <c r="AH724" s="9"/>
      <c r="AI724" s="9"/>
      <c r="AJ724" s="9"/>
      <c r="AK724" s="245"/>
      <c r="AL724" s="245"/>
      <c r="AM724" s="245"/>
      <c r="AN724" s="245"/>
      <c r="AO724" s="9"/>
      <c r="AP724" s="9"/>
      <c r="AQ724" s="9"/>
      <c r="AR724" s="9"/>
      <c r="AS724" s="9"/>
      <c r="AT724" s="9"/>
      <c r="AU724" s="9"/>
      <c r="AV724" s="9"/>
    </row>
    <row r="725">
      <c r="A725" s="253"/>
      <c r="B725" s="254"/>
      <c r="C725" s="463"/>
      <c r="D725" s="253"/>
      <c r="E725" s="254"/>
      <c r="F725" s="463"/>
      <c r="G725" s="253"/>
      <c r="H725" s="254"/>
      <c r="I725" s="463"/>
      <c r="J725" s="253"/>
      <c r="K725" s="254"/>
      <c r="L725" s="463"/>
      <c r="M725" s="253"/>
      <c r="N725" s="254"/>
      <c r="O725" s="463"/>
      <c r="P725" s="253"/>
      <c r="Q725" s="254"/>
      <c r="R725" s="463"/>
      <c r="S725" s="253"/>
      <c r="T725" s="254"/>
      <c r="U725" s="463"/>
      <c r="V725" s="253"/>
      <c r="W725" s="254"/>
      <c r="X725" s="463"/>
      <c r="Y725" s="9"/>
      <c r="Z725" s="9"/>
      <c r="AA725" s="9"/>
      <c r="AB725" s="9"/>
      <c r="AC725" s="234"/>
      <c r="AD725" s="234"/>
      <c r="AE725" s="234"/>
      <c r="AF725" s="234"/>
      <c r="AG725" s="9"/>
      <c r="AH725" s="9"/>
      <c r="AI725" s="9"/>
      <c r="AJ725" s="9"/>
      <c r="AK725" s="245"/>
      <c r="AL725" s="245"/>
      <c r="AM725" s="245"/>
      <c r="AN725" s="245"/>
      <c r="AO725" s="9"/>
      <c r="AP725" s="9"/>
      <c r="AQ725" s="9"/>
      <c r="AR725" s="9"/>
      <c r="AS725" s="9"/>
      <c r="AT725" s="9"/>
      <c r="AU725" s="9"/>
      <c r="AV725" s="9"/>
    </row>
    <row r="726">
      <c r="A726" s="253"/>
      <c r="B726" s="254"/>
      <c r="C726" s="463"/>
      <c r="D726" s="253"/>
      <c r="E726" s="254"/>
      <c r="F726" s="463"/>
      <c r="G726" s="253"/>
      <c r="H726" s="254"/>
      <c r="I726" s="463"/>
      <c r="J726" s="253"/>
      <c r="K726" s="254"/>
      <c r="L726" s="463"/>
      <c r="M726" s="253"/>
      <c r="N726" s="254"/>
      <c r="O726" s="463"/>
      <c r="P726" s="253"/>
      <c r="Q726" s="254"/>
      <c r="R726" s="463"/>
      <c r="S726" s="253"/>
      <c r="T726" s="254"/>
      <c r="U726" s="463"/>
      <c r="V726" s="253"/>
      <c r="W726" s="254"/>
      <c r="X726" s="463"/>
      <c r="Y726" s="9"/>
      <c r="Z726" s="9"/>
      <c r="AA726" s="9"/>
      <c r="AB726" s="9"/>
      <c r="AC726" s="234"/>
      <c r="AD726" s="234"/>
      <c r="AE726" s="234"/>
      <c r="AF726" s="234"/>
      <c r="AG726" s="9"/>
      <c r="AH726" s="9"/>
      <c r="AI726" s="9"/>
      <c r="AJ726" s="9"/>
      <c r="AK726" s="245"/>
      <c r="AL726" s="245"/>
      <c r="AM726" s="245"/>
      <c r="AN726" s="245"/>
      <c r="AO726" s="9"/>
      <c r="AP726" s="9"/>
      <c r="AQ726" s="9"/>
      <c r="AR726" s="9"/>
      <c r="AS726" s="9"/>
      <c r="AT726" s="9"/>
      <c r="AU726" s="9"/>
      <c r="AV726" s="9"/>
    </row>
    <row r="727">
      <c r="A727" s="253"/>
      <c r="B727" s="254"/>
      <c r="C727" s="463"/>
      <c r="D727" s="253"/>
      <c r="E727" s="254"/>
      <c r="F727" s="463"/>
      <c r="G727" s="253"/>
      <c r="H727" s="254"/>
      <c r="I727" s="463"/>
      <c r="J727" s="253"/>
      <c r="K727" s="254"/>
      <c r="L727" s="463"/>
      <c r="M727" s="253"/>
      <c r="N727" s="254"/>
      <c r="O727" s="463"/>
      <c r="P727" s="253"/>
      <c r="Q727" s="254"/>
      <c r="R727" s="463"/>
      <c r="S727" s="253"/>
      <c r="T727" s="254"/>
      <c r="U727" s="463"/>
      <c r="V727" s="253"/>
      <c r="W727" s="254"/>
      <c r="X727" s="463"/>
      <c r="Y727" s="9"/>
      <c r="Z727" s="9"/>
      <c r="AA727" s="9"/>
      <c r="AB727" s="9"/>
      <c r="AC727" s="234"/>
      <c r="AD727" s="234"/>
      <c r="AE727" s="234"/>
      <c r="AF727" s="234"/>
      <c r="AG727" s="9"/>
      <c r="AH727" s="9"/>
      <c r="AI727" s="9"/>
      <c r="AJ727" s="9"/>
      <c r="AK727" s="245"/>
      <c r="AL727" s="245"/>
      <c r="AM727" s="245"/>
      <c r="AN727" s="245"/>
      <c r="AO727" s="9"/>
      <c r="AP727" s="9"/>
      <c r="AQ727" s="9"/>
      <c r="AR727" s="9"/>
      <c r="AS727" s="9"/>
      <c r="AT727" s="9"/>
      <c r="AU727" s="9"/>
      <c r="AV727" s="9"/>
    </row>
    <row r="728">
      <c r="A728" s="253"/>
      <c r="B728" s="254"/>
      <c r="C728" s="463"/>
      <c r="D728" s="253"/>
      <c r="E728" s="254"/>
      <c r="F728" s="463"/>
      <c r="G728" s="253"/>
      <c r="H728" s="254"/>
      <c r="I728" s="463"/>
      <c r="J728" s="253"/>
      <c r="K728" s="254"/>
      <c r="L728" s="463"/>
      <c r="M728" s="253"/>
      <c r="N728" s="254"/>
      <c r="O728" s="463"/>
      <c r="P728" s="253"/>
      <c r="Q728" s="254"/>
      <c r="R728" s="463"/>
      <c r="S728" s="253"/>
      <c r="T728" s="254"/>
      <c r="U728" s="463"/>
      <c r="V728" s="253"/>
      <c r="W728" s="254"/>
      <c r="X728" s="463"/>
      <c r="Y728" s="9"/>
      <c r="Z728" s="9"/>
      <c r="AA728" s="9"/>
      <c r="AB728" s="9"/>
      <c r="AC728" s="234"/>
      <c r="AD728" s="234"/>
      <c r="AE728" s="234"/>
      <c r="AF728" s="234"/>
      <c r="AG728" s="9"/>
      <c r="AH728" s="9"/>
      <c r="AI728" s="9"/>
      <c r="AJ728" s="9"/>
      <c r="AK728" s="245"/>
      <c r="AL728" s="245"/>
      <c r="AM728" s="245"/>
      <c r="AN728" s="245"/>
      <c r="AO728" s="9"/>
      <c r="AP728" s="9"/>
      <c r="AQ728" s="9"/>
      <c r="AR728" s="9"/>
      <c r="AS728" s="9"/>
      <c r="AT728" s="9"/>
      <c r="AU728" s="9"/>
      <c r="AV728" s="9"/>
    </row>
    <row r="729">
      <c r="A729" s="253"/>
      <c r="B729" s="254"/>
      <c r="C729" s="463"/>
      <c r="D729" s="253"/>
      <c r="E729" s="254"/>
      <c r="F729" s="463"/>
      <c r="G729" s="253"/>
      <c r="H729" s="254"/>
      <c r="I729" s="463"/>
      <c r="J729" s="253"/>
      <c r="K729" s="254"/>
      <c r="L729" s="463"/>
      <c r="M729" s="253"/>
      <c r="N729" s="254"/>
      <c r="O729" s="463"/>
      <c r="P729" s="253"/>
      <c r="Q729" s="254"/>
      <c r="R729" s="463"/>
      <c r="S729" s="253"/>
      <c r="T729" s="254"/>
      <c r="U729" s="463"/>
      <c r="V729" s="253"/>
      <c r="W729" s="254"/>
      <c r="X729" s="463"/>
      <c r="Y729" s="9"/>
      <c r="Z729" s="9"/>
      <c r="AA729" s="9"/>
      <c r="AB729" s="9"/>
      <c r="AC729" s="234"/>
      <c r="AD729" s="234"/>
      <c r="AE729" s="234"/>
      <c r="AF729" s="234"/>
      <c r="AG729" s="9"/>
      <c r="AH729" s="9"/>
      <c r="AI729" s="9"/>
      <c r="AJ729" s="9"/>
      <c r="AK729" s="245"/>
      <c r="AL729" s="245"/>
      <c r="AM729" s="245"/>
      <c r="AN729" s="245"/>
      <c r="AO729" s="9"/>
      <c r="AP729" s="9"/>
      <c r="AQ729" s="9"/>
      <c r="AR729" s="9"/>
      <c r="AS729" s="9"/>
      <c r="AT729" s="9"/>
      <c r="AU729" s="9"/>
      <c r="AV729" s="9"/>
    </row>
    <row r="730">
      <c r="A730" s="253"/>
      <c r="B730" s="254"/>
      <c r="C730" s="463"/>
      <c r="D730" s="253"/>
      <c r="E730" s="254"/>
      <c r="F730" s="463"/>
      <c r="G730" s="253"/>
      <c r="H730" s="254"/>
      <c r="I730" s="463"/>
      <c r="J730" s="253"/>
      <c r="K730" s="254"/>
      <c r="L730" s="463"/>
      <c r="M730" s="253"/>
      <c r="N730" s="254"/>
      <c r="O730" s="463"/>
      <c r="P730" s="253"/>
      <c r="Q730" s="254"/>
      <c r="R730" s="463"/>
      <c r="S730" s="253"/>
      <c r="T730" s="254"/>
      <c r="U730" s="463"/>
      <c r="V730" s="253"/>
      <c r="W730" s="254"/>
      <c r="X730" s="463"/>
      <c r="Y730" s="9"/>
      <c r="Z730" s="9"/>
      <c r="AA730" s="9"/>
      <c r="AB730" s="9"/>
      <c r="AC730" s="234"/>
      <c r="AD730" s="234"/>
      <c r="AE730" s="234"/>
      <c r="AF730" s="234"/>
      <c r="AG730" s="9"/>
      <c r="AH730" s="9"/>
      <c r="AI730" s="9"/>
      <c r="AJ730" s="9"/>
      <c r="AK730" s="245"/>
      <c r="AL730" s="245"/>
      <c r="AM730" s="245"/>
      <c r="AN730" s="245"/>
      <c r="AO730" s="9"/>
      <c r="AP730" s="9"/>
      <c r="AQ730" s="9"/>
      <c r="AR730" s="9"/>
      <c r="AS730" s="9"/>
      <c r="AT730" s="9"/>
      <c r="AU730" s="9"/>
      <c r="AV730" s="9"/>
    </row>
    <row r="731">
      <c r="A731" s="253"/>
      <c r="B731" s="254"/>
      <c r="C731" s="463"/>
      <c r="D731" s="253"/>
      <c r="E731" s="254"/>
      <c r="F731" s="463"/>
      <c r="G731" s="253"/>
      <c r="H731" s="254"/>
      <c r="I731" s="463"/>
      <c r="J731" s="253"/>
      <c r="K731" s="254"/>
      <c r="L731" s="463"/>
      <c r="M731" s="253"/>
      <c r="N731" s="254"/>
      <c r="O731" s="463"/>
      <c r="P731" s="253"/>
      <c r="Q731" s="254"/>
      <c r="R731" s="463"/>
      <c r="S731" s="253"/>
      <c r="T731" s="254"/>
      <c r="U731" s="463"/>
      <c r="V731" s="253"/>
      <c r="W731" s="254"/>
      <c r="X731" s="463"/>
      <c r="Y731" s="9"/>
      <c r="Z731" s="9"/>
      <c r="AA731" s="9"/>
      <c r="AB731" s="9"/>
      <c r="AC731" s="234"/>
      <c r="AD731" s="234"/>
      <c r="AE731" s="234"/>
      <c r="AF731" s="234"/>
      <c r="AG731" s="9"/>
      <c r="AH731" s="9"/>
      <c r="AI731" s="9"/>
      <c r="AJ731" s="9"/>
      <c r="AK731" s="245"/>
      <c r="AL731" s="245"/>
      <c r="AM731" s="245"/>
      <c r="AN731" s="245"/>
      <c r="AO731" s="9"/>
      <c r="AP731" s="9"/>
      <c r="AQ731" s="9"/>
      <c r="AR731" s="9"/>
      <c r="AS731" s="9"/>
      <c r="AT731" s="9"/>
      <c r="AU731" s="9"/>
      <c r="AV731" s="9"/>
    </row>
    <row r="732">
      <c r="A732" s="253"/>
      <c r="B732" s="254"/>
      <c r="C732" s="463"/>
      <c r="D732" s="253"/>
      <c r="E732" s="254"/>
      <c r="F732" s="463"/>
      <c r="G732" s="253"/>
      <c r="H732" s="254"/>
      <c r="I732" s="463"/>
      <c r="J732" s="253"/>
      <c r="K732" s="254"/>
      <c r="L732" s="463"/>
      <c r="M732" s="253"/>
      <c r="N732" s="254"/>
      <c r="O732" s="463"/>
      <c r="P732" s="253"/>
      <c r="Q732" s="254"/>
      <c r="R732" s="463"/>
      <c r="S732" s="253"/>
      <c r="T732" s="254"/>
      <c r="U732" s="463"/>
      <c r="V732" s="253"/>
      <c r="W732" s="254"/>
      <c r="X732" s="463"/>
      <c r="Y732" s="9"/>
      <c r="Z732" s="9"/>
      <c r="AA732" s="9"/>
      <c r="AB732" s="9"/>
      <c r="AC732" s="234"/>
      <c r="AD732" s="234"/>
      <c r="AE732" s="234"/>
      <c r="AF732" s="234"/>
      <c r="AG732" s="9"/>
      <c r="AH732" s="9"/>
      <c r="AI732" s="9"/>
      <c r="AJ732" s="9"/>
      <c r="AK732" s="245"/>
      <c r="AL732" s="245"/>
      <c r="AM732" s="245"/>
      <c r="AN732" s="245"/>
      <c r="AO732" s="9"/>
      <c r="AP732" s="9"/>
      <c r="AQ732" s="9"/>
      <c r="AR732" s="9"/>
      <c r="AS732" s="9"/>
      <c r="AT732" s="9"/>
      <c r="AU732" s="9"/>
      <c r="AV732" s="9"/>
    </row>
    <row r="733">
      <c r="A733" s="253"/>
      <c r="B733" s="254"/>
      <c r="C733" s="463"/>
      <c r="D733" s="253"/>
      <c r="E733" s="254"/>
      <c r="F733" s="463"/>
      <c r="G733" s="253"/>
      <c r="H733" s="254"/>
      <c r="I733" s="463"/>
      <c r="J733" s="253"/>
      <c r="K733" s="254"/>
      <c r="L733" s="463"/>
      <c r="M733" s="253"/>
      <c r="N733" s="254"/>
      <c r="O733" s="463"/>
      <c r="P733" s="253"/>
      <c r="Q733" s="254"/>
      <c r="R733" s="463"/>
      <c r="S733" s="253"/>
      <c r="T733" s="254"/>
      <c r="U733" s="463"/>
      <c r="V733" s="253"/>
      <c r="W733" s="254"/>
      <c r="X733" s="463"/>
      <c r="Y733" s="9"/>
      <c r="Z733" s="9"/>
      <c r="AA733" s="9"/>
      <c r="AB733" s="9"/>
      <c r="AC733" s="234"/>
      <c r="AD733" s="234"/>
      <c r="AE733" s="234"/>
      <c r="AF733" s="234"/>
      <c r="AG733" s="9"/>
      <c r="AH733" s="9"/>
      <c r="AI733" s="9"/>
      <c r="AJ733" s="9"/>
      <c r="AK733" s="245"/>
      <c r="AL733" s="245"/>
      <c r="AM733" s="245"/>
      <c r="AN733" s="245"/>
      <c r="AO733" s="9"/>
      <c r="AP733" s="9"/>
      <c r="AQ733" s="9"/>
      <c r="AR733" s="9"/>
      <c r="AS733" s="9"/>
      <c r="AT733" s="9"/>
      <c r="AU733" s="9"/>
      <c r="AV733" s="9"/>
    </row>
    <row r="734">
      <c r="A734" s="253"/>
      <c r="B734" s="254"/>
      <c r="C734" s="463"/>
      <c r="D734" s="253"/>
      <c r="E734" s="254"/>
      <c r="F734" s="463"/>
      <c r="G734" s="253"/>
      <c r="H734" s="254"/>
      <c r="I734" s="463"/>
      <c r="J734" s="253"/>
      <c r="K734" s="254"/>
      <c r="L734" s="463"/>
      <c r="M734" s="253"/>
      <c r="N734" s="254"/>
      <c r="O734" s="463"/>
      <c r="P734" s="253"/>
      <c r="Q734" s="254"/>
      <c r="R734" s="463"/>
      <c r="S734" s="253"/>
      <c r="T734" s="254"/>
      <c r="U734" s="463"/>
      <c r="V734" s="253"/>
      <c r="W734" s="254"/>
      <c r="X734" s="463"/>
      <c r="Y734" s="9"/>
      <c r="Z734" s="9"/>
      <c r="AA734" s="9"/>
      <c r="AB734" s="9"/>
      <c r="AC734" s="234"/>
      <c r="AD734" s="234"/>
      <c r="AE734" s="234"/>
      <c r="AF734" s="234"/>
      <c r="AG734" s="9"/>
      <c r="AH734" s="9"/>
      <c r="AI734" s="9"/>
      <c r="AJ734" s="9"/>
      <c r="AK734" s="245"/>
      <c r="AL734" s="245"/>
      <c r="AM734" s="245"/>
      <c r="AN734" s="245"/>
      <c r="AO734" s="9"/>
      <c r="AP734" s="9"/>
      <c r="AQ734" s="9"/>
      <c r="AR734" s="9"/>
      <c r="AS734" s="9"/>
      <c r="AT734" s="9"/>
      <c r="AU734" s="9"/>
      <c r="AV734" s="9"/>
    </row>
    <row r="735">
      <c r="A735" s="253"/>
      <c r="B735" s="254"/>
      <c r="C735" s="463"/>
      <c r="D735" s="253"/>
      <c r="E735" s="254"/>
      <c r="F735" s="463"/>
      <c r="G735" s="253"/>
      <c r="H735" s="254"/>
      <c r="I735" s="463"/>
      <c r="J735" s="253"/>
      <c r="K735" s="254"/>
      <c r="L735" s="463"/>
      <c r="M735" s="253"/>
      <c r="N735" s="254"/>
      <c r="O735" s="463"/>
      <c r="P735" s="253"/>
      <c r="Q735" s="254"/>
      <c r="R735" s="463"/>
      <c r="S735" s="253"/>
      <c r="T735" s="254"/>
      <c r="U735" s="463"/>
      <c r="V735" s="253"/>
      <c r="W735" s="254"/>
      <c r="X735" s="463"/>
      <c r="Y735" s="9"/>
      <c r="Z735" s="9"/>
      <c r="AA735" s="9"/>
      <c r="AB735" s="9"/>
      <c r="AC735" s="234"/>
      <c r="AD735" s="234"/>
      <c r="AE735" s="234"/>
      <c r="AF735" s="234"/>
      <c r="AG735" s="9"/>
      <c r="AH735" s="9"/>
      <c r="AI735" s="9"/>
      <c r="AJ735" s="9"/>
      <c r="AK735" s="245"/>
      <c r="AL735" s="245"/>
      <c r="AM735" s="245"/>
      <c r="AN735" s="245"/>
      <c r="AO735" s="9"/>
      <c r="AP735" s="9"/>
      <c r="AQ735" s="9"/>
      <c r="AR735" s="9"/>
      <c r="AS735" s="9"/>
      <c r="AT735" s="9"/>
      <c r="AU735" s="9"/>
      <c r="AV735" s="9"/>
    </row>
    <row r="736">
      <c r="A736" s="253"/>
      <c r="B736" s="254"/>
      <c r="C736" s="463"/>
      <c r="D736" s="253"/>
      <c r="E736" s="254"/>
      <c r="F736" s="463"/>
      <c r="G736" s="253"/>
      <c r="H736" s="254"/>
      <c r="I736" s="463"/>
      <c r="J736" s="253"/>
      <c r="K736" s="254"/>
      <c r="L736" s="463"/>
      <c r="M736" s="253"/>
      <c r="N736" s="254"/>
      <c r="O736" s="463"/>
      <c r="P736" s="253"/>
      <c r="Q736" s="254"/>
      <c r="R736" s="463"/>
      <c r="S736" s="253"/>
      <c r="T736" s="254"/>
      <c r="U736" s="463"/>
      <c r="V736" s="253"/>
      <c r="W736" s="254"/>
      <c r="X736" s="463"/>
      <c r="Y736" s="9"/>
      <c r="Z736" s="9"/>
      <c r="AA736" s="9"/>
      <c r="AB736" s="9"/>
      <c r="AC736" s="234"/>
      <c r="AD736" s="234"/>
      <c r="AE736" s="234"/>
      <c r="AF736" s="234"/>
      <c r="AG736" s="9"/>
      <c r="AH736" s="9"/>
      <c r="AI736" s="9"/>
      <c r="AJ736" s="9"/>
      <c r="AK736" s="245"/>
      <c r="AL736" s="245"/>
      <c r="AM736" s="245"/>
      <c r="AN736" s="245"/>
      <c r="AO736" s="9"/>
      <c r="AP736" s="9"/>
      <c r="AQ736" s="9"/>
      <c r="AR736" s="9"/>
      <c r="AS736" s="9"/>
      <c r="AT736" s="9"/>
      <c r="AU736" s="9"/>
      <c r="AV736" s="9"/>
    </row>
    <row r="737">
      <c r="A737" s="253"/>
      <c r="B737" s="254"/>
      <c r="C737" s="463"/>
      <c r="D737" s="253"/>
      <c r="E737" s="254"/>
      <c r="F737" s="463"/>
      <c r="G737" s="253"/>
      <c r="H737" s="254"/>
      <c r="I737" s="463"/>
      <c r="J737" s="253"/>
      <c r="K737" s="254"/>
      <c r="L737" s="463"/>
      <c r="M737" s="253"/>
      <c r="N737" s="254"/>
      <c r="O737" s="463"/>
      <c r="P737" s="253"/>
      <c r="Q737" s="254"/>
      <c r="R737" s="463"/>
      <c r="S737" s="253"/>
      <c r="T737" s="254"/>
      <c r="U737" s="463"/>
      <c r="V737" s="253"/>
      <c r="W737" s="254"/>
      <c r="X737" s="463"/>
      <c r="Y737" s="9"/>
      <c r="Z737" s="9"/>
      <c r="AA737" s="9"/>
      <c r="AB737" s="9"/>
      <c r="AC737" s="234"/>
      <c r="AD737" s="234"/>
      <c r="AE737" s="234"/>
      <c r="AF737" s="234"/>
      <c r="AG737" s="9"/>
      <c r="AH737" s="9"/>
      <c r="AI737" s="9"/>
      <c r="AJ737" s="9"/>
      <c r="AK737" s="245"/>
      <c r="AL737" s="245"/>
      <c r="AM737" s="245"/>
      <c r="AN737" s="245"/>
      <c r="AO737" s="9"/>
      <c r="AP737" s="9"/>
      <c r="AQ737" s="9"/>
      <c r="AR737" s="9"/>
      <c r="AS737" s="9"/>
      <c r="AT737" s="9"/>
      <c r="AU737" s="9"/>
      <c r="AV737" s="9"/>
    </row>
    <row r="738">
      <c r="A738" s="253"/>
      <c r="B738" s="254"/>
      <c r="C738" s="463"/>
      <c r="D738" s="253"/>
      <c r="E738" s="254"/>
      <c r="F738" s="463"/>
      <c r="G738" s="253"/>
      <c r="H738" s="254"/>
      <c r="I738" s="463"/>
      <c r="J738" s="253"/>
      <c r="K738" s="254"/>
      <c r="L738" s="463"/>
      <c r="M738" s="253"/>
      <c r="N738" s="254"/>
      <c r="O738" s="463"/>
      <c r="P738" s="253"/>
      <c r="Q738" s="254"/>
      <c r="R738" s="463"/>
      <c r="S738" s="253"/>
      <c r="T738" s="254"/>
      <c r="U738" s="463"/>
      <c r="V738" s="253"/>
      <c r="W738" s="254"/>
      <c r="X738" s="463"/>
      <c r="Y738" s="9"/>
      <c r="Z738" s="9"/>
      <c r="AA738" s="9"/>
      <c r="AB738" s="9"/>
      <c r="AC738" s="234"/>
      <c r="AD738" s="234"/>
      <c r="AE738" s="234"/>
      <c r="AF738" s="234"/>
      <c r="AG738" s="9"/>
      <c r="AH738" s="9"/>
      <c r="AI738" s="9"/>
      <c r="AJ738" s="9"/>
      <c r="AK738" s="245"/>
      <c r="AL738" s="245"/>
      <c r="AM738" s="245"/>
      <c r="AN738" s="245"/>
      <c r="AO738" s="9"/>
      <c r="AP738" s="9"/>
      <c r="AQ738" s="9"/>
      <c r="AR738" s="9"/>
      <c r="AS738" s="9"/>
      <c r="AT738" s="9"/>
      <c r="AU738" s="9"/>
      <c r="AV738" s="9"/>
    </row>
    <row r="739">
      <c r="A739" s="253"/>
      <c r="B739" s="254"/>
      <c r="C739" s="463"/>
      <c r="D739" s="253"/>
      <c r="E739" s="254"/>
      <c r="F739" s="463"/>
      <c r="G739" s="253"/>
      <c r="H739" s="254"/>
      <c r="I739" s="463"/>
      <c r="J739" s="253"/>
      <c r="K739" s="254"/>
      <c r="L739" s="463"/>
      <c r="M739" s="253"/>
      <c r="N739" s="254"/>
      <c r="O739" s="463"/>
      <c r="P739" s="253"/>
      <c r="Q739" s="254"/>
      <c r="R739" s="463"/>
      <c r="S739" s="253"/>
      <c r="T739" s="254"/>
      <c r="U739" s="463"/>
      <c r="V739" s="253"/>
      <c r="W739" s="254"/>
      <c r="X739" s="463"/>
      <c r="Y739" s="9"/>
      <c r="Z739" s="9"/>
      <c r="AA739" s="9"/>
      <c r="AB739" s="9"/>
      <c r="AC739" s="234"/>
      <c r="AD739" s="234"/>
      <c r="AE739" s="234"/>
      <c r="AF739" s="234"/>
      <c r="AG739" s="9"/>
      <c r="AH739" s="9"/>
      <c r="AI739" s="9"/>
      <c r="AJ739" s="9"/>
      <c r="AK739" s="245"/>
      <c r="AL739" s="245"/>
      <c r="AM739" s="245"/>
      <c r="AN739" s="245"/>
      <c r="AO739" s="9"/>
      <c r="AP739" s="9"/>
      <c r="AQ739" s="9"/>
      <c r="AR739" s="9"/>
      <c r="AS739" s="9"/>
      <c r="AT739" s="9"/>
      <c r="AU739" s="9"/>
      <c r="AV739" s="9"/>
    </row>
    <row r="740">
      <c r="A740" s="253"/>
      <c r="B740" s="254"/>
      <c r="C740" s="463"/>
      <c r="D740" s="253"/>
      <c r="E740" s="254"/>
      <c r="F740" s="463"/>
      <c r="G740" s="253"/>
      <c r="H740" s="254"/>
      <c r="I740" s="463"/>
      <c r="J740" s="253"/>
      <c r="K740" s="254"/>
      <c r="L740" s="463"/>
      <c r="M740" s="253"/>
      <c r="N740" s="254"/>
      <c r="O740" s="463"/>
      <c r="P740" s="253"/>
      <c r="Q740" s="254"/>
      <c r="R740" s="463"/>
      <c r="S740" s="253"/>
      <c r="T740" s="254"/>
      <c r="U740" s="463"/>
      <c r="V740" s="253"/>
      <c r="W740" s="254"/>
      <c r="X740" s="463"/>
      <c r="Y740" s="9"/>
      <c r="Z740" s="9"/>
      <c r="AA740" s="9"/>
      <c r="AB740" s="9"/>
      <c r="AC740" s="234"/>
      <c r="AD740" s="234"/>
      <c r="AE740" s="234"/>
      <c r="AF740" s="234"/>
      <c r="AG740" s="9"/>
      <c r="AH740" s="9"/>
      <c r="AI740" s="9"/>
      <c r="AJ740" s="9"/>
      <c r="AK740" s="245"/>
      <c r="AL740" s="245"/>
      <c r="AM740" s="245"/>
      <c r="AN740" s="245"/>
      <c r="AO740" s="9"/>
      <c r="AP740" s="9"/>
      <c r="AQ740" s="9"/>
      <c r="AR740" s="9"/>
      <c r="AS740" s="9"/>
      <c r="AT740" s="9"/>
      <c r="AU740" s="9"/>
      <c r="AV740" s="9"/>
    </row>
    <row r="741">
      <c r="A741" s="253"/>
      <c r="B741" s="254"/>
      <c r="C741" s="463"/>
      <c r="D741" s="253"/>
      <c r="E741" s="254"/>
      <c r="F741" s="463"/>
      <c r="G741" s="253"/>
      <c r="H741" s="254"/>
      <c r="I741" s="463"/>
      <c r="J741" s="253"/>
      <c r="K741" s="254"/>
      <c r="L741" s="463"/>
      <c r="M741" s="253"/>
      <c r="N741" s="254"/>
      <c r="O741" s="463"/>
      <c r="P741" s="253"/>
      <c r="Q741" s="254"/>
      <c r="R741" s="463"/>
      <c r="S741" s="253"/>
      <c r="T741" s="254"/>
      <c r="U741" s="463"/>
      <c r="V741" s="253"/>
      <c r="W741" s="254"/>
      <c r="X741" s="463"/>
      <c r="Y741" s="9"/>
      <c r="Z741" s="9"/>
      <c r="AA741" s="9"/>
      <c r="AB741" s="9"/>
      <c r="AC741" s="234"/>
      <c r="AD741" s="234"/>
      <c r="AE741" s="234"/>
      <c r="AF741" s="234"/>
      <c r="AG741" s="9"/>
      <c r="AH741" s="9"/>
      <c r="AI741" s="9"/>
      <c r="AJ741" s="9"/>
      <c r="AK741" s="245"/>
      <c r="AL741" s="245"/>
      <c r="AM741" s="245"/>
      <c r="AN741" s="245"/>
      <c r="AO741" s="9"/>
      <c r="AP741" s="9"/>
      <c r="AQ741" s="9"/>
      <c r="AR741" s="9"/>
      <c r="AS741" s="9"/>
      <c r="AT741" s="9"/>
      <c r="AU741" s="9"/>
      <c r="AV741" s="9"/>
    </row>
    <row r="742">
      <c r="A742" s="253"/>
      <c r="B742" s="254"/>
      <c r="C742" s="463"/>
      <c r="D742" s="253"/>
      <c r="E742" s="254"/>
      <c r="F742" s="463"/>
      <c r="G742" s="253"/>
      <c r="H742" s="254"/>
      <c r="I742" s="463"/>
      <c r="J742" s="253"/>
      <c r="K742" s="254"/>
      <c r="L742" s="463"/>
      <c r="M742" s="253"/>
      <c r="N742" s="254"/>
      <c r="O742" s="463"/>
      <c r="P742" s="253"/>
      <c r="Q742" s="254"/>
      <c r="R742" s="463"/>
      <c r="S742" s="253"/>
      <c r="T742" s="254"/>
      <c r="U742" s="463"/>
      <c r="V742" s="253"/>
      <c r="W742" s="254"/>
      <c r="X742" s="463"/>
      <c r="Y742" s="9"/>
      <c r="Z742" s="9"/>
      <c r="AA742" s="9"/>
      <c r="AB742" s="9"/>
      <c r="AC742" s="234"/>
      <c r="AD742" s="234"/>
      <c r="AE742" s="234"/>
      <c r="AF742" s="234"/>
      <c r="AG742" s="9"/>
      <c r="AH742" s="9"/>
      <c r="AI742" s="9"/>
      <c r="AJ742" s="9"/>
      <c r="AK742" s="245"/>
      <c r="AL742" s="245"/>
      <c r="AM742" s="245"/>
      <c r="AN742" s="245"/>
      <c r="AO742" s="9"/>
      <c r="AP742" s="9"/>
      <c r="AQ742" s="9"/>
      <c r="AR742" s="9"/>
      <c r="AS742" s="9"/>
      <c r="AT742" s="9"/>
      <c r="AU742" s="9"/>
      <c r="AV742" s="9"/>
    </row>
    <row r="743">
      <c r="A743" s="253"/>
      <c r="B743" s="254"/>
      <c r="C743" s="463"/>
      <c r="D743" s="253"/>
      <c r="E743" s="254"/>
      <c r="F743" s="463"/>
      <c r="G743" s="253"/>
      <c r="H743" s="254"/>
      <c r="I743" s="463"/>
      <c r="J743" s="253"/>
      <c r="K743" s="254"/>
      <c r="L743" s="463"/>
      <c r="M743" s="253"/>
      <c r="N743" s="254"/>
      <c r="O743" s="463"/>
      <c r="P743" s="253"/>
      <c r="Q743" s="254"/>
      <c r="R743" s="463"/>
      <c r="S743" s="253"/>
      <c r="T743" s="254"/>
      <c r="U743" s="463"/>
      <c r="V743" s="253"/>
      <c r="W743" s="254"/>
      <c r="X743" s="463"/>
      <c r="Y743" s="9"/>
      <c r="Z743" s="9"/>
      <c r="AA743" s="9"/>
      <c r="AB743" s="9"/>
      <c r="AC743" s="234"/>
      <c r="AD743" s="234"/>
      <c r="AE743" s="234"/>
      <c r="AF743" s="234"/>
      <c r="AG743" s="9"/>
      <c r="AH743" s="9"/>
      <c r="AI743" s="9"/>
      <c r="AJ743" s="9"/>
      <c r="AK743" s="245"/>
      <c r="AL743" s="245"/>
      <c r="AM743" s="245"/>
      <c r="AN743" s="245"/>
      <c r="AO743" s="9"/>
      <c r="AP743" s="9"/>
      <c r="AQ743" s="9"/>
      <c r="AR743" s="9"/>
      <c r="AS743" s="9"/>
      <c r="AT743" s="9"/>
      <c r="AU743" s="9"/>
      <c r="AV743" s="9"/>
    </row>
    <row r="744">
      <c r="A744" s="253"/>
      <c r="B744" s="254"/>
      <c r="C744" s="463"/>
      <c r="D744" s="253"/>
      <c r="E744" s="254"/>
      <c r="F744" s="463"/>
      <c r="G744" s="253"/>
      <c r="H744" s="254"/>
      <c r="I744" s="463"/>
      <c r="J744" s="253"/>
      <c r="K744" s="254"/>
      <c r="L744" s="463"/>
      <c r="M744" s="253"/>
      <c r="N744" s="254"/>
      <c r="O744" s="463"/>
      <c r="P744" s="253"/>
      <c r="Q744" s="254"/>
      <c r="R744" s="463"/>
      <c r="S744" s="253"/>
      <c r="T744" s="254"/>
      <c r="U744" s="463"/>
      <c r="V744" s="253"/>
      <c r="W744" s="254"/>
      <c r="X744" s="463"/>
      <c r="Y744" s="9"/>
      <c r="Z744" s="9"/>
      <c r="AA744" s="9"/>
      <c r="AB744" s="9"/>
      <c r="AC744" s="234"/>
      <c r="AD744" s="234"/>
      <c r="AE744" s="234"/>
      <c r="AF744" s="234"/>
      <c r="AG744" s="9"/>
      <c r="AH744" s="9"/>
      <c r="AI744" s="9"/>
      <c r="AJ744" s="9"/>
      <c r="AK744" s="245"/>
      <c r="AL744" s="245"/>
      <c r="AM744" s="245"/>
      <c r="AN744" s="245"/>
      <c r="AO744" s="9"/>
      <c r="AP744" s="9"/>
      <c r="AQ744" s="9"/>
      <c r="AR744" s="9"/>
      <c r="AS744" s="9"/>
      <c r="AT744" s="9"/>
      <c r="AU744" s="9"/>
      <c r="AV744" s="9"/>
    </row>
    <row r="745">
      <c r="A745" s="253"/>
      <c r="B745" s="254"/>
      <c r="C745" s="463"/>
      <c r="D745" s="253"/>
      <c r="E745" s="254"/>
      <c r="F745" s="463"/>
      <c r="G745" s="253"/>
      <c r="H745" s="254"/>
      <c r="I745" s="463"/>
      <c r="J745" s="253"/>
      <c r="K745" s="254"/>
      <c r="L745" s="463"/>
      <c r="M745" s="253"/>
      <c r="N745" s="254"/>
      <c r="O745" s="463"/>
      <c r="P745" s="253"/>
      <c r="Q745" s="254"/>
      <c r="R745" s="463"/>
      <c r="S745" s="253"/>
      <c r="T745" s="254"/>
      <c r="U745" s="463"/>
      <c r="V745" s="253"/>
      <c r="W745" s="254"/>
      <c r="X745" s="463"/>
      <c r="Y745" s="9"/>
      <c r="Z745" s="9"/>
      <c r="AA745" s="9"/>
      <c r="AB745" s="9"/>
      <c r="AC745" s="234"/>
      <c r="AD745" s="234"/>
      <c r="AE745" s="234"/>
      <c r="AF745" s="234"/>
      <c r="AG745" s="9"/>
      <c r="AH745" s="9"/>
      <c r="AI745" s="9"/>
      <c r="AJ745" s="9"/>
      <c r="AK745" s="245"/>
      <c r="AL745" s="245"/>
      <c r="AM745" s="245"/>
      <c r="AN745" s="245"/>
      <c r="AO745" s="9"/>
      <c r="AP745" s="9"/>
      <c r="AQ745" s="9"/>
      <c r="AR745" s="9"/>
      <c r="AS745" s="9"/>
      <c r="AT745" s="9"/>
      <c r="AU745" s="9"/>
      <c r="AV745" s="9"/>
    </row>
    <row r="746">
      <c r="A746" s="253"/>
      <c r="B746" s="254"/>
      <c r="C746" s="463"/>
      <c r="D746" s="253"/>
      <c r="E746" s="254"/>
      <c r="F746" s="463"/>
      <c r="G746" s="253"/>
      <c r="H746" s="254"/>
      <c r="I746" s="463"/>
      <c r="J746" s="253"/>
      <c r="K746" s="254"/>
      <c r="L746" s="463"/>
      <c r="M746" s="253"/>
      <c r="N746" s="254"/>
      <c r="O746" s="463"/>
      <c r="P746" s="253"/>
      <c r="Q746" s="254"/>
      <c r="R746" s="463"/>
      <c r="S746" s="253"/>
      <c r="T746" s="254"/>
      <c r="U746" s="463"/>
      <c r="V746" s="253"/>
      <c r="W746" s="254"/>
      <c r="X746" s="463"/>
      <c r="Y746" s="9"/>
      <c r="Z746" s="9"/>
      <c r="AA746" s="9"/>
      <c r="AB746" s="9"/>
      <c r="AC746" s="234"/>
      <c r="AD746" s="234"/>
      <c r="AE746" s="234"/>
      <c r="AF746" s="234"/>
      <c r="AG746" s="9"/>
      <c r="AH746" s="9"/>
      <c r="AI746" s="9"/>
      <c r="AJ746" s="9"/>
      <c r="AK746" s="245"/>
      <c r="AL746" s="245"/>
      <c r="AM746" s="245"/>
      <c r="AN746" s="245"/>
      <c r="AO746" s="9"/>
      <c r="AP746" s="9"/>
      <c r="AQ746" s="9"/>
      <c r="AR746" s="9"/>
      <c r="AS746" s="9"/>
      <c r="AT746" s="9"/>
      <c r="AU746" s="9"/>
      <c r="AV746" s="9"/>
    </row>
    <row r="747">
      <c r="A747" s="253"/>
      <c r="B747" s="254"/>
      <c r="C747" s="463"/>
      <c r="D747" s="253"/>
      <c r="E747" s="254"/>
      <c r="F747" s="463"/>
      <c r="G747" s="253"/>
      <c r="H747" s="254"/>
      <c r="I747" s="463"/>
      <c r="J747" s="253"/>
      <c r="K747" s="254"/>
      <c r="L747" s="463"/>
      <c r="M747" s="253"/>
      <c r="N747" s="254"/>
      <c r="O747" s="463"/>
      <c r="P747" s="253"/>
      <c r="Q747" s="254"/>
      <c r="R747" s="463"/>
      <c r="S747" s="253"/>
      <c r="T747" s="254"/>
      <c r="U747" s="463"/>
      <c r="V747" s="253"/>
      <c r="W747" s="254"/>
      <c r="X747" s="463"/>
      <c r="Y747" s="9"/>
      <c r="Z747" s="9"/>
      <c r="AA747" s="9"/>
      <c r="AB747" s="9"/>
      <c r="AC747" s="234"/>
      <c r="AD747" s="234"/>
      <c r="AE747" s="234"/>
      <c r="AF747" s="234"/>
      <c r="AG747" s="9"/>
      <c r="AH747" s="9"/>
      <c r="AI747" s="9"/>
      <c r="AJ747" s="9"/>
      <c r="AK747" s="245"/>
      <c r="AL747" s="245"/>
      <c r="AM747" s="245"/>
      <c r="AN747" s="245"/>
      <c r="AO747" s="9"/>
      <c r="AP747" s="9"/>
      <c r="AQ747" s="9"/>
      <c r="AR747" s="9"/>
      <c r="AS747" s="9"/>
      <c r="AT747" s="9"/>
      <c r="AU747" s="9"/>
      <c r="AV747" s="9"/>
    </row>
    <row r="748">
      <c r="A748" s="253"/>
      <c r="B748" s="254"/>
      <c r="C748" s="463"/>
      <c r="D748" s="253"/>
      <c r="E748" s="254"/>
      <c r="F748" s="463"/>
      <c r="G748" s="253"/>
      <c r="H748" s="254"/>
      <c r="I748" s="463"/>
      <c r="J748" s="253"/>
      <c r="K748" s="254"/>
      <c r="L748" s="463"/>
      <c r="M748" s="253"/>
      <c r="N748" s="254"/>
      <c r="O748" s="463"/>
      <c r="P748" s="253"/>
      <c r="Q748" s="254"/>
      <c r="R748" s="463"/>
      <c r="S748" s="253"/>
      <c r="T748" s="254"/>
      <c r="U748" s="463"/>
      <c r="V748" s="253"/>
      <c r="W748" s="254"/>
      <c r="X748" s="463"/>
      <c r="Y748" s="9"/>
      <c r="Z748" s="9"/>
      <c r="AA748" s="9"/>
      <c r="AB748" s="9"/>
      <c r="AC748" s="234"/>
      <c r="AD748" s="234"/>
      <c r="AE748" s="234"/>
      <c r="AF748" s="234"/>
      <c r="AG748" s="9"/>
      <c r="AH748" s="9"/>
      <c r="AI748" s="9"/>
      <c r="AJ748" s="9"/>
      <c r="AK748" s="245"/>
      <c r="AL748" s="245"/>
      <c r="AM748" s="245"/>
      <c r="AN748" s="245"/>
      <c r="AO748" s="9"/>
      <c r="AP748" s="9"/>
      <c r="AQ748" s="9"/>
      <c r="AR748" s="9"/>
      <c r="AS748" s="9"/>
      <c r="AT748" s="9"/>
      <c r="AU748" s="9"/>
      <c r="AV748" s="9"/>
    </row>
    <row r="749">
      <c r="A749" s="253"/>
      <c r="B749" s="254"/>
      <c r="C749" s="463"/>
      <c r="D749" s="253"/>
      <c r="E749" s="254"/>
      <c r="F749" s="463"/>
      <c r="G749" s="253"/>
      <c r="H749" s="254"/>
      <c r="I749" s="463"/>
      <c r="J749" s="253"/>
      <c r="K749" s="254"/>
      <c r="L749" s="463"/>
      <c r="M749" s="253"/>
      <c r="N749" s="254"/>
      <c r="O749" s="463"/>
      <c r="P749" s="253"/>
      <c r="Q749" s="254"/>
      <c r="R749" s="463"/>
      <c r="S749" s="253"/>
      <c r="T749" s="254"/>
      <c r="U749" s="463"/>
      <c r="V749" s="253"/>
      <c r="W749" s="254"/>
      <c r="X749" s="463"/>
      <c r="Y749" s="9"/>
      <c r="Z749" s="9"/>
      <c r="AA749" s="9"/>
      <c r="AB749" s="9"/>
      <c r="AC749" s="234"/>
      <c r="AD749" s="234"/>
      <c r="AE749" s="234"/>
      <c r="AF749" s="234"/>
      <c r="AG749" s="9"/>
      <c r="AH749" s="9"/>
      <c r="AI749" s="9"/>
      <c r="AJ749" s="9"/>
      <c r="AK749" s="245"/>
      <c r="AL749" s="245"/>
      <c r="AM749" s="245"/>
      <c r="AN749" s="245"/>
      <c r="AO749" s="9"/>
      <c r="AP749" s="9"/>
      <c r="AQ749" s="9"/>
      <c r="AR749" s="9"/>
      <c r="AS749" s="9"/>
      <c r="AT749" s="9"/>
      <c r="AU749" s="9"/>
      <c r="AV749" s="9"/>
    </row>
    <row r="750">
      <c r="A750" s="253"/>
      <c r="B750" s="254"/>
      <c r="C750" s="463"/>
      <c r="D750" s="253"/>
      <c r="E750" s="254"/>
      <c r="F750" s="463"/>
      <c r="G750" s="253"/>
      <c r="H750" s="254"/>
      <c r="I750" s="463"/>
      <c r="J750" s="253"/>
      <c r="K750" s="254"/>
      <c r="L750" s="463"/>
      <c r="M750" s="253"/>
      <c r="N750" s="254"/>
      <c r="O750" s="463"/>
      <c r="P750" s="253"/>
      <c r="Q750" s="254"/>
      <c r="R750" s="463"/>
      <c r="S750" s="253"/>
      <c r="T750" s="254"/>
      <c r="U750" s="463"/>
      <c r="V750" s="253"/>
      <c r="W750" s="254"/>
      <c r="X750" s="463"/>
      <c r="Y750" s="9"/>
      <c r="Z750" s="9"/>
      <c r="AA750" s="9"/>
      <c r="AB750" s="9"/>
      <c r="AC750" s="234"/>
      <c r="AD750" s="234"/>
      <c r="AE750" s="234"/>
      <c r="AF750" s="234"/>
      <c r="AG750" s="9"/>
      <c r="AH750" s="9"/>
      <c r="AI750" s="9"/>
      <c r="AJ750" s="9"/>
      <c r="AK750" s="245"/>
      <c r="AL750" s="245"/>
      <c r="AM750" s="245"/>
      <c r="AN750" s="245"/>
      <c r="AO750" s="9"/>
      <c r="AP750" s="9"/>
      <c r="AQ750" s="9"/>
      <c r="AR750" s="9"/>
      <c r="AS750" s="9"/>
      <c r="AT750" s="9"/>
      <c r="AU750" s="9"/>
      <c r="AV750" s="9"/>
    </row>
    <row r="751">
      <c r="A751" s="253"/>
      <c r="B751" s="254"/>
      <c r="C751" s="463"/>
      <c r="D751" s="253"/>
      <c r="E751" s="254"/>
      <c r="F751" s="463"/>
      <c r="G751" s="253"/>
      <c r="H751" s="254"/>
      <c r="I751" s="463"/>
      <c r="J751" s="253"/>
      <c r="K751" s="254"/>
      <c r="L751" s="463"/>
      <c r="M751" s="253"/>
      <c r="N751" s="254"/>
      <c r="O751" s="463"/>
      <c r="P751" s="253"/>
      <c r="Q751" s="254"/>
      <c r="R751" s="463"/>
      <c r="S751" s="253"/>
      <c r="T751" s="254"/>
      <c r="U751" s="463"/>
      <c r="V751" s="253"/>
      <c r="W751" s="254"/>
      <c r="X751" s="463"/>
      <c r="Y751" s="9"/>
      <c r="Z751" s="9"/>
      <c r="AA751" s="9"/>
      <c r="AB751" s="9"/>
      <c r="AC751" s="234"/>
      <c r="AD751" s="234"/>
      <c r="AE751" s="234"/>
      <c r="AF751" s="234"/>
      <c r="AG751" s="9"/>
      <c r="AH751" s="9"/>
      <c r="AI751" s="9"/>
      <c r="AJ751" s="9"/>
      <c r="AK751" s="245"/>
      <c r="AL751" s="245"/>
      <c r="AM751" s="245"/>
      <c r="AN751" s="245"/>
      <c r="AO751" s="9"/>
      <c r="AP751" s="9"/>
      <c r="AQ751" s="9"/>
      <c r="AR751" s="9"/>
      <c r="AS751" s="9"/>
      <c r="AT751" s="9"/>
      <c r="AU751" s="9"/>
      <c r="AV751" s="9"/>
    </row>
    <row r="752">
      <c r="A752" s="253"/>
      <c r="B752" s="254"/>
      <c r="C752" s="463"/>
      <c r="D752" s="253"/>
      <c r="E752" s="254"/>
      <c r="F752" s="463"/>
      <c r="G752" s="253"/>
      <c r="H752" s="254"/>
      <c r="I752" s="463"/>
      <c r="J752" s="253"/>
      <c r="K752" s="254"/>
      <c r="L752" s="463"/>
      <c r="M752" s="253"/>
      <c r="N752" s="254"/>
      <c r="O752" s="463"/>
      <c r="P752" s="253"/>
      <c r="Q752" s="254"/>
      <c r="R752" s="463"/>
      <c r="S752" s="253"/>
      <c r="T752" s="254"/>
      <c r="U752" s="463"/>
      <c r="V752" s="253"/>
      <c r="W752" s="254"/>
      <c r="X752" s="463"/>
      <c r="Y752" s="9"/>
      <c r="Z752" s="9"/>
      <c r="AA752" s="9"/>
      <c r="AB752" s="9"/>
      <c r="AC752" s="234"/>
      <c r="AD752" s="234"/>
      <c r="AE752" s="234"/>
      <c r="AF752" s="234"/>
      <c r="AG752" s="9"/>
      <c r="AH752" s="9"/>
      <c r="AI752" s="9"/>
      <c r="AJ752" s="9"/>
      <c r="AK752" s="245"/>
      <c r="AL752" s="245"/>
      <c r="AM752" s="245"/>
      <c r="AN752" s="245"/>
      <c r="AO752" s="9"/>
      <c r="AP752" s="9"/>
      <c r="AQ752" s="9"/>
      <c r="AR752" s="9"/>
      <c r="AS752" s="9"/>
      <c r="AT752" s="9"/>
      <c r="AU752" s="9"/>
      <c r="AV752" s="9"/>
    </row>
    <row r="753">
      <c r="A753" s="253"/>
      <c r="B753" s="254"/>
      <c r="C753" s="463"/>
      <c r="D753" s="253"/>
      <c r="E753" s="254"/>
      <c r="F753" s="463"/>
      <c r="G753" s="253"/>
      <c r="H753" s="254"/>
      <c r="I753" s="463"/>
      <c r="J753" s="253"/>
      <c r="K753" s="254"/>
      <c r="L753" s="463"/>
      <c r="M753" s="253"/>
      <c r="N753" s="254"/>
      <c r="O753" s="463"/>
      <c r="P753" s="253"/>
      <c r="Q753" s="254"/>
      <c r="R753" s="463"/>
      <c r="S753" s="253"/>
      <c r="T753" s="254"/>
      <c r="U753" s="463"/>
      <c r="V753" s="253"/>
      <c r="W753" s="254"/>
      <c r="X753" s="463"/>
      <c r="Y753" s="9"/>
      <c r="Z753" s="9"/>
      <c r="AA753" s="9"/>
      <c r="AB753" s="9"/>
      <c r="AC753" s="234"/>
      <c r="AD753" s="234"/>
      <c r="AE753" s="234"/>
      <c r="AF753" s="234"/>
      <c r="AG753" s="9"/>
      <c r="AH753" s="9"/>
      <c r="AI753" s="9"/>
      <c r="AJ753" s="9"/>
      <c r="AK753" s="245"/>
      <c r="AL753" s="245"/>
      <c r="AM753" s="245"/>
      <c r="AN753" s="245"/>
      <c r="AO753" s="9"/>
      <c r="AP753" s="9"/>
      <c r="AQ753" s="9"/>
      <c r="AR753" s="9"/>
      <c r="AS753" s="9"/>
      <c r="AT753" s="9"/>
      <c r="AU753" s="9"/>
      <c r="AV753" s="9"/>
    </row>
    <row r="754">
      <c r="A754" s="253"/>
      <c r="B754" s="254"/>
      <c r="C754" s="463"/>
      <c r="D754" s="253"/>
      <c r="E754" s="254"/>
      <c r="F754" s="463"/>
      <c r="G754" s="253"/>
      <c r="H754" s="254"/>
      <c r="I754" s="463"/>
      <c r="J754" s="253"/>
      <c r="K754" s="254"/>
      <c r="L754" s="463"/>
      <c r="M754" s="253"/>
      <c r="N754" s="254"/>
      <c r="O754" s="463"/>
      <c r="P754" s="253"/>
      <c r="Q754" s="254"/>
      <c r="R754" s="463"/>
      <c r="S754" s="253"/>
      <c r="T754" s="254"/>
      <c r="U754" s="463"/>
      <c r="V754" s="253"/>
      <c r="W754" s="254"/>
      <c r="X754" s="463"/>
      <c r="Y754" s="9"/>
      <c r="Z754" s="9"/>
      <c r="AA754" s="9"/>
      <c r="AB754" s="9"/>
      <c r="AC754" s="234"/>
      <c r="AD754" s="234"/>
      <c r="AE754" s="234"/>
      <c r="AF754" s="234"/>
      <c r="AG754" s="9"/>
      <c r="AH754" s="9"/>
      <c r="AI754" s="9"/>
      <c r="AJ754" s="9"/>
      <c r="AK754" s="245"/>
      <c r="AL754" s="245"/>
      <c r="AM754" s="245"/>
      <c r="AN754" s="245"/>
      <c r="AO754" s="9"/>
      <c r="AP754" s="9"/>
      <c r="AQ754" s="9"/>
      <c r="AR754" s="9"/>
      <c r="AS754" s="9"/>
      <c r="AT754" s="9"/>
      <c r="AU754" s="9"/>
      <c r="AV754" s="9"/>
    </row>
    <row r="755">
      <c r="A755" s="253"/>
      <c r="B755" s="254"/>
      <c r="C755" s="463"/>
      <c r="D755" s="253"/>
      <c r="E755" s="254"/>
      <c r="F755" s="463"/>
      <c r="G755" s="253"/>
      <c r="H755" s="254"/>
      <c r="I755" s="463"/>
      <c r="J755" s="253"/>
      <c r="K755" s="254"/>
      <c r="L755" s="463"/>
      <c r="M755" s="253"/>
      <c r="N755" s="254"/>
      <c r="O755" s="463"/>
      <c r="P755" s="253"/>
      <c r="Q755" s="254"/>
      <c r="R755" s="463"/>
      <c r="S755" s="253"/>
      <c r="T755" s="254"/>
      <c r="U755" s="463"/>
      <c r="V755" s="253"/>
      <c r="W755" s="254"/>
      <c r="X755" s="463"/>
      <c r="Y755" s="9"/>
      <c r="Z755" s="9"/>
      <c r="AA755" s="9"/>
      <c r="AB755" s="9"/>
      <c r="AC755" s="234"/>
      <c r="AD755" s="234"/>
      <c r="AE755" s="234"/>
      <c r="AF755" s="234"/>
      <c r="AG755" s="9"/>
      <c r="AH755" s="9"/>
      <c r="AI755" s="9"/>
      <c r="AJ755" s="9"/>
      <c r="AK755" s="245"/>
      <c r="AL755" s="245"/>
      <c r="AM755" s="245"/>
      <c r="AN755" s="245"/>
      <c r="AO755" s="9"/>
      <c r="AP755" s="9"/>
      <c r="AQ755" s="9"/>
      <c r="AR755" s="9"/>
      <c r="AS755" s="9"/>
      <c r="AT755" s="9"/>
      <c r="AU755" s="9"/>
      <c r="AV755" s="9"/>
    </row>
    <row r="756">
      <c r="A756" s="253"/>
      <c r="B756" s="254"/>
      <c r="C756" s="463"/>
      <c r="D756" s="253"/>
      <c r="E756" s="254"/>
      <c r="F756" s="463"/>
      <c r="G756" s="253"/>
      <c r="H756" s="254"/>
      <c r="I756" s="463"/>
      <c r="J756" s="253"/>
      <c r="K756" s="254"/>
      <c r="L756" s="463"/>
      <c r="M756" s="253"/>
      <c r="N756" s="254"/>
      <c r="O756" s="463"/>
      <c r="P756" s="253"/>
      <c r="Q756" s="254"/>
      <c r="R756" s="463"/>
      <c r="S756" s="253"/>
      <c r="T756" s="254"/>
      <c r="U756" s="463"/>
      <c r="V756" s="253"/>
      <c r="W756" s="254"/>
      <c r="X756" s="463"/>
      <c r="Y756" s="9"/>
      <c r="Z756" s="9"/>
      <c r="AA756" s="9"/>
      <c r="AB756" s="9"/>
      <c r="AC756" s="234"/>
      <c r="AD756" s="234"/>
      <c r="AE756" s="234"/>
      <c r="AF756" s="234"/>
      <c r="AG756" s="9"/>
      <c r="AH756" s="9"/>
      <c r="AI756" s="9"/>
      <c r="AJ756" s="9"/>
      <c r="AK756" s="245"/>
      <c r="AL756" s="245"/>
      <c r="AM756" s="245"/>
      <c r="AN756" s="245"/>
      <c r="AO756" s="9"/>
      <c r="AP756" s="9"/>
      <c r="AQ756" s="9"/>
      <c r="AR756" s="9"/>
      <c r="AS756" s="9"/>
      <c r="AT756" s="9"/>
      <c r="AU756" s="9"/>
      <c r="AV756" s="9"/>
    </row>
    <row r="757">
      <c r="A757" s="253"/>
      <c r="B757" s="254"/>
      <c r="C757" s="463"/>
      <c r="D757" s="253"/>
      <c r="E757" s="254"/>
      <c r="F757" s="463"/>
      <c r="G757" s="253"/>
      <c r="H757" s="254"/>
      <c r="I757" s="463"/>
      <c r="J757" s="253"/>
      <c r="K757" s="254"/>
      <c r="L757" s="463"/>
      <c r="M757" s="253"/>
      <c r="N757" s="254"/>
      <c r="O757" s="463"/>
      <c r="P757" s="253"/>
      <c r="Q757" s="254"/>
      <c r="R757" s="463"/>
      <c r="S757" s="253"/>
      <c r="T757" s="254"/>
      <c r="U757" s="463"/>
      <c r="V757" s="253"/>
      <c r="W757" s="254"/>
      <c r="X757" s="463"/>
      <c r="Y757" s="9"/>
      <c r="Z757" s="9"/>
      <c r="AA757" s="9"/>
      <c r="AB757" s="9"/>
      <c r="AC757" s="234"/>
      <c r="AD757" s="234"/>
      <c r="AE757" s="234"/>
      <c r="AF757" s="234"/>
      <c r="AG757" s="9"/>
      <c r="AH757" s="9"/>
      <c r="AI757" s="9"/>
      <c r="AJ757" s="9"/>
      <c r="AK757" s="245"/>
      <c r="AL757" s="245"/>
      <c r="AM757" s="245"/>
      <c r="AN757" s="245"/>
      <c r="AO757" s="9"/>
      <c r="AP757" s="9"/>
      <c r="AQ757" s="9"/>
      <c r="AR757" s="9"/>
      <c r="AS757" s="9"/>
      <c r="AT757" s="9"/>
      <c r="AU757" s="9"/>
      <c r="AV757" s="9"/>
    </row>
    <row r="758">
      <c r="A758" s="253"/>
      <c r="B758" s="254"/>
      <c r="C758" s="463"/>
      <c r="D758" s="253"/>
      <c r="E758" s="254"/>
      <c r="F758" s="463"/>
      <c r="G758" s="253"/>
      <c r="H758" s="254"/>
      <c r="I758" s="463"/>
      <c r="J758" s="253"/>
      <c r="K758" s="254"/>
      <c r="L758" s="463"/>
      <c r="M758" s="253"/>
      <c r="N758" s="254"/>
      <c r="O758" s="463"/>
      <c r="P758" s="253"/>
      <c r="Q758" s="254"/>
      <c r="R758" s="463"/>
      <c r="S758" s="253"/>
      <c r="T758" s="254"/>
      <c r="U758" s="463"/>
      <c r="V758" s="253"/>
      <c r="W758" s="254"/>
      <c r="X758" s="463"/>
      <c r="Y758" s="9"/>
      <c r="Z758" s="9"/>
      <c r="AA758" s="9"/>
      <c r="AB758" s="9"/>
      <c r="AC758" s="234"/>
      <c r="AD758" s="234"/>
      <c r="AE758" s="234"/>
      <c r="AF758" s="234"/>
      <c r="AG758" s="9"/>
      <c r="AH758" s="9"/>
      <c r="AI758" s="9"/>
      <c r="AJ758" s="9"/>
      <c r="AK758" s="245"/>
      <c r="AL758" s="245"/>
      <c r="AM758" s="245"/>
      <c r="AN758" s="245"/>
      <c r="AO758" s="9"/>
      <c r="AP758" s="9"/>
      <c r="AQ758" s="9"/>
      <c r="AR758" s="9"/>
      <c r="AS758" s="9"/>
      <c r="AT758" s="9"/>
      <c r="AU758" s="9"/>
      <c r="AV758" s="9"/>
    </row>
    <row r="759">
      <c r="A759" s="253"/>
      <c r="B759" s="254"/>
      <c r="C759" s="463"/>
      <c r="D759" s="253"/>
      <c r="E759" s="254"/>
      <c r="F759" s="463"/>
      <c r="G759" s="253"/>
      <c r="H759" s="254"/>
      <c r="I759" s="463"/>
      <c r="J759" s="253"/>
      <c r="K759" s="254"/>
      <c r="L759" s="463"/>
      <c r="M759" s="253"/>
      <c r="N759" s="254"/>
      <c r="O759" s="463"/>
      <c r="P759" s="253"/>
      <c r="Q759" s="254"/>
      <c r="R759" s="463"/>
      <c r="S759" s="253"/>
      <c r="T759" s="254"/>
      <c r="U759" s="463"/>
      <c r="V759" s="253"/>
      <c r="W759" s="254"/>
      <c r="X759" s="463"/>
      <c r="Y759" s="9"/>
      <c r="Z759" s="9"/>
      <c r="AA759" s="9"/>
      <c r="AB759" s="9"/>
      <c r="AC759" s="234"/>
      <c r="AD759" s="234"/>
      <c r="AE759" s="234"/>
      <c r="AF759" s="234"/>
      <c r="AG759" s="9"/>
      <c r="AH759" s="9"/>
      <c r="AI759" s="9"/>
      <c r="AJ759" s="9"/>
      <c r="AK759" s="245"/>
      <c r="AL759" s="245"/>
      <c r="AM759" s="245"/>
      <c r="AN759" s="245"/>
      <c r="AO759" s="9"/>
      <c r="AP759" s="9"/>
      <c r="AQ759" s="9"/>
      <c r="AR759" s="9"/>
      <c r="AS759" s="9"/>
      <c r="AT759" s="9"/>
      <c r="AU759" s="9"/>
      <c r="AV759" s="9"/>
    </row>
    <row r="760">
      <c r="A760" s="253"/>
      <c r="B760" s="254"/>
      <c r="C760" s="463"/>
      <c r="D760" s="253"/>
      <c r="E760" s="254"/>
      <c r="F760" s="463"/>
      <c r="G760" s="253"/>
      <c r="H760" s="254"/>
      <c r="I760" s="463"/>
      <c r="J760" s="253"/>
      <c r="K760" s="254"/>
      <c r="L760" s="463"/>
      <c r="M760" s="253"/>
      <c r="N760" s="254"/>
      <c r="O760" s="463"/>
      <c r="P760" s="253"/>
      <c r="Q760" s="254"/>
      <c r="R760" s="463"/>
      <c r="S760" s="253"/>
      <c r="T760" s="254"/>
      <c r="U760" s="463"/>
      <c r="V760" s="253"/>
      <c r="W760" s="254"/>
      <c r="X760" s="463"/>
      <c r="Y760" s="9"/>
      <c r="Z760" s="9"/>
      <c r="AA760" s="9"/>
      <c r="AB760" s="9"/>
      <c r="AC760" s="234"/>
      <c r="AD760" s="234"/>
      <c r="AE760" s="234"/>
      <c r="AF760" s="234"/>
      <c r="AG760" s="9"/>
      <c r="AH760" s="9"/>
      <c r="AI760" s="9"/>
      <c r="AJ760" s="9"/>
      <c r="AK760" s="245"/>
      <c r="AL760" s="245"/>
      <c r="AM760" s="245"/>
      <c r="AN760" s="245"/>
      <c r="AO760" s="9"/>
      <c r="AP760" s="9"/>
      <c r="AQ760" s="9"/>
      <c r="AR760" s="9"/>
      <c r="AS760" s="9"/>
      <c r="AT760" s="9"/>
      <c r="AU760" s="9"/>
      <c r="AV760" s="9"/>
    </row>
    <row r="761">
      <c r="A761" s="253"/>
      <c r="B761" s="254"/>
      <c r="C761" s="463"/>
      <c r="D761" s="253"/>
      <c r="E761" s="254"/>
      <c r="F761" s="463"/>
      <c r="G761" s="253"/>
      <c r="H761" s="254"/>
      <c r="I761" s="463"/>
      <c r="J761" s="253"/>
      <c r="K761" s="254"/>
      <c r="L761" s="463"/>
      <c r="M761" s="253"/>
      <c r="N761" s="254"/>
      <c r="O761" s="463"/>
      <c r="P761" s="253"/>
      <c r="Q761" s="254"/>
      <c r="R761" s="463"/>
      <c r="S761" s="253"/>
      <c r="T761" s="254"/>
      <c r="U761" s="463"/>
      <c r="V761" s="253"/>
      <c r="W761" s="254"/>
      <c r="X761" s="463"/>
      <c r="Y761" s="9"/>
      <c r="Z761" s="9"/>
      <c r="AA761" s="9"/>
      <c r="AB761" s="9"/>
      <c r="AC761" s="234"/>
      <c r="AD761" s="234"/>
      <c r="AE761" s="234"/>
      <c r="AF761" s="234"/>
      <c r="AG761" s="9"/>
      <c r="AH761" s="9"/>
      <c r="AI761" s="9"/>
      <c r="AJ761" s="9"/>
      <c r="AK761" s="245"/>
      <c r="AL761" s="245"/>
      <c r="AM761" s="245"/>
      <c r="AN761" s="245"/>
      <c r="AO761" s="9"/>
      <c r="AP761" s="9"/>
      <c r="AQ761" s="9"/>
      <c r="AR761" s="9"/>
      <c r="AS761" s="9"/>
      <c r="AT761" s="9"/>
      <c r="AU761" s="9"/>
      <c r="AV761" s="9"/>
    </row>
    <row r="762">
      <c r="A762" s="253"/>
      <c r="B762" s="254"/>
      <c r="C762" s="463"/>
      <c r="D762" s="253"/>
      <c r="E762" s="254"/>
      <c r="F762" s="463"/>
      <c r="G762" s="253"/>
      <c r="H762" s="254"/>
      <c r="I762" s="463"/>
      <c r="J762" s="253"/>
      <c r="K762" s="254"/>
      <c r="L762" s="463"/>
      <c r="M762" s="253"/>
      <c r="N762" s="254"/>
      <c r="O762" s="463"/>
      <c r="P762" s="253"/>
      <c r="Q762" s="254"/>
      <c r="R762" s="463"/>
      <c r="S762" s="253"/>
      <c r="T762" s="254"/>
      <c r="U762" s="463"/>
      <c r="V762" s="253"/>
      <c r="W762" s="254"/>
      <c r="X762" s="463"/>
      <c r="Y762" s="9"/>
      <c r="Z762" s="9"/>
      <c r="AA762" s="9"/>
      <c r="AB762" s="9"/>
      <c r="AC762" s="234"/>
      <c r="AD762" s="234"/>
      <c r="AE762" s="234"/>
      <c r="AF762" s="234"/>
      <c r="AG762" s="9"/>
      <c r="AH762" s="9"/>
      <c r="AI762" s="9"/>
      <c r="AJ762" s="9"/>
      <c r="AK762" s="245"/>
      <c r="AL762" s="245"/>
      <c r="AM762" s="245"/>
      <c r="AN762" s="245"/>
      <c r="AO762" s="9"/>
      <c r="AP762" s="9"/>
      <c r="AQ762" s="9"/>
      <c r="AR762" s="9"/>
      <c r="AS762" s="9"/>
      <c r="AT762" s="9"/>
      <c r="AU762" s="9"/>
      <c r="AV762" s="9"/>
    </row>
    <row r="763">
      <c r="A763" s="253"/>
      <c r="B763" s="254"/>
      <c r="C763" s="463"/>
      <c r="D763" s="253"/>
      <c r="E763" s="254"/>
      <c r="F763" s="463"/>
      <c r="G763" s="253"/>
      <c r="H763" s="254"/>
      <c r="I763" s="463"/>
      <c r="J763" s="253"/>
      <c r="K763" s="254"/>
      <c r="L763" s="463"/>
      <c r="M763" s="253"/>
      <c r="N763" s="254"/>
      <c r="O763" s="463"/>
      <c r="P763" s="253"/>
      <c r="Q763" s="254"/>
      <c r="R763" s="463"/>
      <c r="S763" s="253"/>
      <c r="T763" s="254"/>
      <c r="U763" s="463"/>
      <c r="V763" s="253"/>
      <c r="W763" s="254"/>
      <c r="X763" s="463"/>
      <c r="Y763" s="9"/>
      <c r="Z763" s="9"/>
      <c r="AA763" s="9"/>
      <c r="AB763" s="9"/>
      <c r="AC763" s="234"/>
      <c r="AD763" s="234"/>
      <c r="AE763" s="234"/>
      <c r="AF763" s="234"/>
      <c r="AG763" s="9"/>
      <c r="AH763" s="9"/>
      <c r="AI763" s="9"/>
      <c r="AJ763" s="9"/>
      <c r="AK763" s="245"/>
      <c r="AL763" s="245"/>
      <c r="AM763" s="245"/>
      <c r="AN763" s="245"/>
      <c r="AO763" s="9"/>
      <c r="AP763" s="9"/>
      <c r="AQ763" s="9"/>
      <c r="AR763" s="9"/>
      <c r="AS763" s="9"/>
      <c r="AT763" s="9"/>
      <c r="AU763" s="9"/>
      <c r="AV763" s="9"/>
    </row>
    <row r="764">
      <c r="A764" s="253"/>
      <c r="B764" s="254"/>
      <c r="C764" s="463"/>
      <c r="D764" s="253"/>
      <c r="E764" s="254"/>
      <c r="F764" s="463"/>
      <c r="G764" s="253"/>
      <c r="H764" s="254"/>
      <c r="I764" s="463"/>
      <c r="J764" s="253"/>
      <c r="K764" s="254"/>
      <c r="L764" s="463"/>
      <c r="M764" s="253"/>
      <c r="N764" s="254"/>
      <c r="O764" s="463"/>
      <c r="P764" s="253"/>
      <c r="Q764" s="254"/>
      <c r="R764" s="463"/>
      <c r="S764" s="253"/>
      <c r="T764" s="254"/>
      <c r="U764" s="463"/>
      <c r="V764" s="253"/>
      <c r="W764" s="254"/>
      <c r="X764" s="463"/>
      <c r="Y764" s="9"/>
      <c r="Z764" s="9"/>
      <c r="AA764" s="9"/>
      <c r="AB764" s="9"/>
      <c r="AC764" s="234"/>
      <c r="AD764" s="234"/>
      <c r="AE764" s="234"/>
      <c r="AF764" s="234"/>
      <c r="AG764" s="9"/>
      <c r="AH764" s="9"/>
      <c r="AI764" s="9"/>
      <c r="AJ764" s="9"/>
      <c r="AK764" s="245"/>
      <c r="AL764" s="245"/>
      <c r="AM764" s="245"/>
      <c r="AN764" s="245"/>
      <c r="AO764" s="9"/>
      <c r="AP764" s="9"/>
      <c r="AQ764" s="9"/>
      <c r="AR764" s="9"/>
      <c r="AS764" s="9"/>
      <c r="AT764" s="9"/>
      <c r="AU764" s="9"/>
      <c r="AV764" s="9"/>
    </row>
    <row r="765">
      <c r="A765" s="253"/>
      <c r="B765" s="254"/>
      <c r="C765" s="463"/>
      <c r="D765" s="253"/>
      <c r="E765" s="254"/>
      <c r="F765" s="463"/>
      <c r="G765" s="253"/>
      <c r="H765" s="254"/>
      <c r="I765" s="463"/>
      <c r="J765" s="253"/>
      <c r="K765" s="254"/>
      <c r="L765" s="463"/>
      <c r="M765" s="253"/>
      <c r="N765" s="254"/>
      <c r="O765" s="463"/>
      <c r="P765" s="253"/>
      <c r="Q765" s="254"/>
      <c r="R765" s="463"/>
      <c r="S765" s="253"/>
      <c r="T765" s="254"/>
      <c r="U765" s="463"/>
      <c r="V765" s="253"/>
      <c r="W765" s="254"/>
      <c r="X765" s="463"/>
      <c r="Y765" s="9"/>
      <c r="Z765" s="9"/>
      <c r="AA765" s="9"/>
      <c r="AB765" s="9"/>
      <c r="AC765" s="234"/>
      <c r="AD765" s="234"/>
      <c r="AE765" s="234"/>
      <c r="AF765" s="234"/>
      <c r="AG765" s="9"/>
      <c r="AH765" s="9"/>
      <c r="AI765" s="9"/>
      <c r="AJ765" s="9"/>
      <c r="AK765" s="245"/>
      <c r="AL765" s="245"/>
      <c r="AM765" s="245"/>
      <c r="AN765" s="245"/>
      <c r="AO765" s="9"/>
      <c r="AP765" s="9"/>
      <c r="AQ765" s="9"/>
      <c r="AR765" s="9"/>
      <c r="AS765" s="9"/>
      <c r="AT765" s="9"/>
      <c r="AU765" s="9"/>
      <c r="AV765" s="9"/>
    </row>
    <row r="766">
      <c r="A766" s="253"/>
      <c r="B766" s="254"/>
      <c r="C766" s="463"/>
      <c r="D766" s="253"/>
      <c r="E766" s="254"/>
      <c r="F766" s="463"/>
      <c r="G766" s="253"/>
      <c r="H766" s="254"/>
      <c r="I766" s="463"/>
      <c r="J766" s="253"/>
      <c r="K766" s="254"/>
      <c r="L766" s="463"/>
      <c r="M766" s="253"/>
      <c r="N766" s="254"/>
      <c r="O766" s="463"/>
      <c r="P766" s="253"/>
      <c r="Q766" s="254"/>
      <c r="R766" s="463"/>
      <c r="S766" s="253"/>
      <c r="T766" s="254"/>
      <c r="U766" s="463"/>
      <c r="V766" s="253"/>
      <c r="W766" s="254"/>
      <c r="X766" s="463"/>
      <c r="Y766" s="9"/>
      <c r="Z766" s="9"/>
      <c r="AA766" s="9"/>
      <c r="AB766" s="9"/>
      <c r="AC766" s="234"/>
      <c r="AD766" s="234"/>
      <c r="AE766" s="234"/>
      <c r="AF766" s="234"/>
      <c r="AG766" s="9"/>
      <c r="AH766" s="9"/>
      <c r="AI766" s="9"/>
      <c r="AJ766" s="9"/>
      <c r="AK766" s="245"/>
      <c r="AL766" s="245"/>
      <c r="AM766" s="245"/>
      <c r="AN766" s="245"/>
      <c r="AO766" s="9"/>
      <c r="AP766" s="9"/>
      <c r="AQ766" s="9"/>
      <c r="AR766" s="9"/>
      <c r="AS766" s="9"/>
      <c r="AT766" s="9"/>
      <c r="AU766" s="9"/>
      <c r="AV766" s="9"/>
    </row>
    <row r="767">
      <c r="A767" s="253"/>
      <c r="B767" s="254"/>
      <c r="C767" s="463"/>
      <c r="D767" s="253"/>
      <c r="E767" s="254"/>
      <c r="F767" s="463"/>
      <c r="G767" s="253"/>
      <c r="H767" s="254"/>
      <c r="I767" s="463"/>
      <c r="J767" s="253"/>
      <c r="K767" s="254"/>
      <c r="L767" s="463"/>
      <c r="M767" s="253"/>
      <c r="N767" s="254"/>
      <c r="O767" s="463"/>
      <c r="P767" s="253"/>
      <c r="Q767" s="254"/>
      <c r="R767" s="463"/>
      <c r="S767" s="253"/>
      <c r="T767" s="254"/>
      <c r="U767" s="463"/>
      <c r="V767" s="253"/>
      <c r="W767" s="254"/>
      <c r="X767" s="463"/>
      <c r="Y767" s="9"/>
      <c r="Z767" s="9"/>
      <c r="AA767" s="9"/>
      <c r="AB767" s="9"/>
      <c r="AC767" s="234"/>
      <c r="AD767" s="234"/>
      <c r="AE767" s="234"/>
      <c r="AF767" s="234"/>
      <c r="AG767" s="9"/>
      <c r="AH767" s="9"/>
      <c r="AI767" s="9"/>
      <c r="AJ767" s="9"/>
      <c r="AK767" s="245"/>
      <c r="AL767" s="245"/>
      <c r="AM767" s="245"/>
      <c r="AN767" s="245"/>
      <c r="AO767" s="9"/>
      <c r="AP767" s="9"/>
      <c r="AQ767" s="9"/>
      <c r="AR767" s="9"/>
      <c r="AS767" s="9"/>
      <c r="AT767" s="9"/>
      <c r="AU767" s="9"/>
      <c r="AV767" s="9"/>
    </row>
    <row r="768">
      <c r="A768" s="253"/>
      <c r="B768" s="254"/>
      <c r="C768" s="463"/>
      <c r="D768" s="253"/>
      <c r="E768" s="254"/>
      <c r="F768" s="463"/>
      <c r="G768" s="253"/>
      <c r="H768" s="254"/>
      <c r="I768" s="463"/>
      <c r="J768" s="253"/>
      <c r="K768" s="254"/>
      <c r="L768" s="463"/>
      <c r="M768" s="253"/>
      <c r="N768" s="254"/>
      <c r="O768" s="463"/>
      <c r="P768" s="253"/>
      <c r="Q768" s="254"/>
      <c r="R768" s="463"/>
      <c r="S768" s="253"/>
      <c r="T768" s="254"/>
      <c r="U768" s="463"/>
      <c r="V768" s="253"/>
      <c r="W768" s="254"/>
      <c r="X768" s="463"/>
      <c r="Y768" s="9"/>
      <c r="Z768" s="9"/>
      <c r="AA768" s="9"/>
      <c r="AB768" s="9"/>
      <c r="AC768" s="234"/>
      <c r="AD768" s="234"/>
      <c r="AE768" s="234"/>
      <c r="AF768" s="234"/>
      <c r="AG768" s="9"/>
      <c r="AH768" s="9"/>
      <c r="AI768" s="9"/>
      <c r="AJ768" s="9"/>
      <c r="AK768" s="245"/>
      <c r="AL768" s="245"/>
      <c r="AM768" s="245"/>
      <c r="AN768" s="245"/>
      <c r="AO768" s="9"/>
      <c r="AP768" s="9"/>
      <c r="AQ768" s="9"/>
      <c r="AR768" s="9"/>
      <c r="AS768" s="9"/>
      <c r="AT768" s="9"/>
      <c r="AU768" s="9"/>
      <c r="AV768" s="9"/>
    </row>
    <row r="769">
      <c r="A769" s="253"/>
      <c r="B769" s="254"/>
      <c r="C769" s="463"/>
      <c r="D769" s="253"/>
      <c r="E769" s="254"/>
      <c r="F769" s="463"/>
      <c r="G769" s="253"/>
      <c r="H769" s="254"/>
      <c r="I769" s="463"/>
      <c r="J769" s="253"/>
      <c r="K769" s="254"/>
      <c r="L769" s="463"/>
      <c r="M769" s="253"/>
      <c r="N769" s="254"/>
      <c r="O769" s="463"/>
      <c r="P769" s="253"/>
      <c r="Q769" s="254"/>
      <c r="R769" s="463"/>
      <c r="S769" s="253"/>
      <c r="T769" s="254"/>
      <c r="U769" s="463"/>
      <c r="V769" s="253"/>
      <c r="W769" s="254"/>
      <c r="X769" s="463"/>
      <c r="Y769" s="9"/>
      <c r="Z769" s="9"/>
      <c r="AA769" s="9"/>
      <c r="AB769" s="9"/>
      <c r="AC769" s="234"/>
      <c r="AD769" s="234"/>
      <c r="AE769" s="234"/>
      <c r="AF769" s="234"/>
      <c r="AG769" s="9"/>
      <c r="AH769" s="9"/>
      <c r="AI769" s="9"/>
      <c r="AJ769" s="9"/>
      <c r="AK769" s="245"/>
      <c r="AL769" s="245"/>
      <c r="AM769" s="245"/>
      <c r="AN769" s="245"/>
      <c r="AO769" s="9"/>
      <c r="AP769" s="9"/>
      <c r="AQ769" s="9"/>
      <c r="AR769" s="9"/>
      <c r="AS769" s="9"/>
      <c r="AT769" s="9"/>
      <c r="AU769" s="9"/>
      <c r="AV769" s="9"/>
    </row>
    <row r="770">
      <c r="A770" s="253"/>
      <c r="B770" s="254"/>
      <c r="C770" s="463"/>
      <c r="D770" s="253"/>
      <c r="E770" s="254"/>
      <c r="F770" s="463"/>
      <c r="G770" s="253"/>
      <c r="H770" s="254"/>
      <c r="I770" s="463"/>
      <c r="J770" s="253"/>
      <c r="K770" s="254"/>
      <c r="L770" s="463"/>
      <c r="M770" s="253"/>
      <c r="N770" s="254"/>
      <c r="O770" s="463"/>
      <c r="P770" s="253"/>
      <c r="Q770" s="254"/>
      <c r="R770" s="463"/>
      <c r="S770" s="253"/>
      <c r="T770" s="254"/>
      <c r="U770" s="463"/>
      <c r="V770" s="253"/>
      <c r="W770" s="254"/>
      <c r="X770" s="463"/>
      <c r="Y770" s="9"/>
      <c r="Z770" s="9"/>
      <c r="AA770" s="9"/>
      <c r="AB770" s="9"/>
      <c r="AC770" s="234"/>
      <c r="AD770" s="234"/>
      <c r="AE770" s="234"/>
      <c r="AF770" s="234"/>
      <c r="AG770" s="9"/>
      <c r="AH770" s="9"/>
      <c r="AI770" s="9"/>
      <c r="AJ770" s="9"/>
      <c r="AK770" s="245"/>
      <c r="AL770" s="245"/>
      <c r="AM770" s="245"/>
      <c r="AN770" s="245"/>
      <c r="AO770" s="9"/>
      <c r="AP770" s="9"/>
      <c r="AQ770" s="9"/>
      <c r="AR770" s="9"/>
      <c r="AS770" s="9"/>
      <c r="AT770" s="9"/>
      <c r="AU770" s="9"/>
      <c r="AV770" s="9"/>
    </row>
    <row r="771">
      <c r="A771" s="253"/>
      <c r="B771" s="254"/>
      <c r="C771" s="463"/>
      <c r="D771" s="253"/>
      <c r="E771" s="254"/>
      <c r="F771" s="463"/>
      <c r="G771" s="253"/>
      <c r="H771" s="254"/>
      <c r="I771" s="463"/>
      <c r="J771" s="253"/>
      <c r="K771" s="254"/>
      <c r="L771" s="463"/>
      <c r="M771" s="253"/>
      <c r="N771" s="254"/>
      <c r="O771" s="463"/>
      <c r="P771" s="253"/>
      <c r="Q771" s="254"/>
      <c r="R771" s="463"/>
      <c r="S771" s="253"/>
      <c r="T771" s="254"/>
      <c r="U771" s="463"/>
      <c r="V771" s="253"/>
      <c r="W771" s="254"/>
      <c r="X771" s="463"/>
      <c r="Y771" s="9"/>
      <c r="Z771" s="9"/>
      <c r="AA771" s="9"/>
      <c r="AB771" s="9"/>
      <c r="AC771" s="234"/>
      <c r="AD771" s="234"/>
      <c r="AE771" s="234"/>
      <c r="AF771" s="234"/>
      <c r="AG771" s="9"/>
      <c r="AH771" s="9"/>
      <c r="AI771" s="9"/>
      <c r="AJ771" s="9"/>
      <c r="AK771" s="245"/>
      <c r="AL771" s="245"/>
      <c r="AM771" s="245"/>
      <c r="AN771" s="245"/>
      <c r="AO771" s="9"/>
      <c r="AP771" s="9"/>
      <c r="AQ771" s="9"/>
      <c r="AR771" s="9"/>
      <c r="AS771" s="9"/>
      <c r="AT771" s="9"/>
      <c r="AU771" s="9"/>
      <c r="AV771" s="9"/>
    </row>
    <row r="772">
      <c r="A772" s="253"/>
      <c r="B772" s="254"/>
      <c r="C772" s="463"/>
      <c r="D772" s="253"/>
      <c r="E772" s="254"/>
      <c r="F772" s="463"/>
      <c r="G772" s="253"/>
      <c r="H772" s="254"/>
      <c r="I772" s="463"/>
      <c r="J772" s="253"/>
      <c r="K772" s="254"/>
      <c r="L772" s="463"/>
      <c r="M772" s="253"/>
      <c r="N772" s="254"/>
      <c r="O772" s="463"/>
      <c r="P772" s="253"/>
      <c r="Q772" s="254"/>
      <c r="R772" s="463"/>
      <c r="S772" s="253"/>
      <c r="T772" s="254"/>
      <c r="U772" s="463"/>
      <c r="V772" s="253"/>
      <c r="W772" s="254"/>
      <c r="X772" s="463"/>
      <c r="Y772" s="9"/>
      <c r="Z772" s="9"/>
      <c r="AA772" s="9"/>
      <c r="AB772" s="9"/>
      <c r="AC772" s="234"/>
      <c r="AD772" s="234"/>
      <c r="AE772" s="234"/>
      <c r="AF772" s="234"/>
      <c r="AG772" s="9"/>
      <c r="AH772" s="9"/>
      <c r="AI772" s="9"/>
      <c r="AJ772" s="9"/>
      <c r="AK772" s="245"/>
      <c r="AL772" s="245"/>
      <c r="AM772" s="245"/>
      <c r="AN772" s="245"/>
      <c r="AO772" s="9"/>
      <c r="AP772" s="9"/>
      <c r="AQ772" s="9"/>
      <c r="AR772" s="9"/>
      <c r="AS772" s="9"/>
      <c r="AT772" s="9"/>
      <c r="AU772" s="9"/>
      <c r="AV772" s="9"/>
    </row>
    <row r="773">
      <c r="A773" s="253"/>
      <c r="B773" s="254"/>
      <c r="C773" s="463"/>
      <c r="D773" s="253"/>
      <c r="E773" s="254"/>
      <c r="F773" s="463"/>
      <c r="G773" s="253"/>
      <c r="H773" s="254"/>
      <c r="I773" s="463"/>
      <c r="J773" s="253"/>
      <c r="K773" s="254"/>
      <c r="L773" s="463"/>
      <c r="M773" s="253"/>
      <c r="N773" s="254"/>
      <c r="O773" s="463"/>
      <c r="P773" s="253"/>
      <c r="Q773" s="254"/>
      <c r="R773" s="463"/>
      <c r="S773" s="253"/>
      <c r="T773" s="254"/>
      <c r="U773" s="463"/>
      <c r="V773" s="253"/>
      <c r="W773" s="254"/>
      <c r="X773" s="463"/>
      <c r="Y773" s="9"/>
      <c r="Z773" s="9"/>
      <c r="AA773" s="9"/>
      <c r="AB773" s="9"/>
      <c r="AC773" s="234"/>
      <c r="AD773" s="234"/>
      <c r="AE773" s="234"/>
      <c r="AF773" s="234"/>
      <c r="AG773" s="9"/>
      <c r="AH773" s="9"/>
      <c r="AI773" s="9"/>
      <c r="AJ773" s="9"/>
      <c r="AK773" s="245"/>
      <c r="AL773" s="245"/>
      <c r="AM773" s="245"/>
      <c r="AN773" s="245"/>
      <c r="AO773" s="9"/>
      <c r="AP773" s="9"/>
      <c r="AQ773" s="9"/>
      <c r="AR773" s="9"/>
      <c r="AS773" s="9"/>
      <c r="AT773" s="9"/>
      <c r="AU773" s="9"/>
      <c r="AV773" s="9"/>
    </row>
    <row r="774">
      <c r="A774" s="253"/>
      <c r="B774" s="254"/>
      <c r="C774" s="463"/>
      <c r="D774" s="253"/>
      <c r="E774" s="254"/>
      <c r="F774" s="463"/>
      <c r="G774" s="253"/>
      <c r="H774" s="254"/>
      <c r="I774" s="463"/>
      <c r="J774" s="253"/>
      <c r="K774" s="254"/>
      <c r="L774" s="463"/>
      <c r="M774" s="253"/>
      <c r="N774" s="254"/>
      <c r="O774" s="463"/>
      <c r="P774" s="253"/>
      <c r="Q774" s="254"/>
      <c r="R774" s="463"/>
      <c r="S774" s="253"/>
      <c r="T774" s="254"/>
      <c r="U774" s="463"/>
      <c r="V774" s="253"/>
      <c r="W774" s="254"/>
      <c r="X774" s="463"/>
      <c r="Y774" s="9"/>
      <c r="Z774" s="9"/>
      <c r="AA774" s="9"/>
      <c r="AB774" s="9"/>
      <c r="AC774" s="234"/>
      <c r="AD774" s="234"/>
      <c r="AE774" s="234"/>
      <c r="AF774" s="234"/>
      <c r="AG774" s="9"/>
      <c r="AH774" s="9"/>
      <c r="AI774" s="9"/>
      <c r="AJ774" s="9"/>
      <c r="AK774" s="245"/>
      <c r="AL774" s="245"/>
      <c r="AM774" s="245"/>
      <c r="AN774" s="245"/>
      <c r="AO774" s="9"/>
      <c r="AP774" s="9"/>
      <c r="AQ774" s="9"/>
      <c r="AR774" s="9"/>
      <c r="AS774" s="9"/>
      <c r="AT774" s="9"/>
      <c r="AU774" s="9"/>
      <c r="AV774" s="9"/>
    </row>
    <row r="775">
      <c r="A775" s="253"/>
      <c r="B775" s="254"/>
      <c r="C775" s="463"/>
      <c r="D775" s="253"/>
      <c r="E775" s="254"/>
      <c r="F775" s="463"/>
      <c r="G775" s="253"/>
      <c r="H775" s="254"/>
      <c r="I775" s="463"/>
      <c r="J775" s="253"/>
      <c r="K775" s="254"/>
      <c r="L775" s="463"/>
      <c r="M775" s="253"/>
      <c r="N775" s="254"/>
      <c r="O775" s="463"/>
      <c r="P775" s="253"/>
      <c r="Q775" s="254"/>
      <c r="R775" s="463"/>
      <c r="S775" s="253"/>
      <c r="T775" s="254"/>
      <c r="U775" s="463"/>
      <c r="V775" s="253"/>
      <c r="W775" s="254"/>
      <c r="X775" s="463"/>
      <c r="Y775" s="9"/>
      <c r="Z775" s="9"/>
      <c r="AA775" s="9"/>
      <c r="AB775" s="9"/>
      <c r="AC775" s="234"/>
      <c r="AD775" s="234"/>
      <c r="AE775" s="234"/>
      <c r="AF775" s="234"/>
      <c r="AG775" s="9"/>
      <c r="AH775" s="9"/>
      <c r="AI775" s="9"/>
      <c r="AJ775" s="9"/>
      <c r="AK775" s="245"/>
      <c r="AL775" s="245"/>
      <c r="AM775" s="245"/>
      <c r="AN775" s="245"/>
      <c r="AO775" s="9"/>
      <c r="AP775" s="9"/>
      <c r="AQ775" s="9"/>
      <c r="AR775" s="9"/>
      <c r="AS775" s="9"/>
      <c r="AT775" s="9"/>
      <c r="AU775" s="9"/>
      <c r="AV775" s="9"/>
    </row>
    <row r="776">
      <c r="A776" s="253"/>
      <c r="B776" s="254"/>
      <c r="C776" s="463"/>
      <c r="D776" s="253"/>
      <c r="E776" s="254"/>
      <c r="F776" s="463"/>
      <c r="G776" s="253"/>
      <c r="H776" s="254"/>
      <c r="I776" s="463"/>
      <c r="J776" s="253"/>
      <c r="K776" s="254"/>
      <c r="L776" s="463"/>
      <c r="M776" s="253"/>
      <c r="N776" s="254"/>
      <c r="O776" s="463"/>
      <c r="P776" s="253"/>
      <c r="Q776" s="254"/>
      <c r="R776" s="463"/>
      <c r="S776" s="253"/>
      <c r="T776" s="254"/>
      <c r="U776" s="463"/>
      <c r="V776" s="253"/>
      <c r="W776" s="254"/>
      <c r="X776" s="463"/>
      <c r="Y776" s="9"/>
      <c r="Z776" s="9"/>
      <c r="AA776" s="9"/>
      <c r="AB776" s="9"/>
      <c r="AC776" s="234"/>
      <c r="AD776" s="234"/>
      <c r="AE776" s="234"/>
      <c r="AF776" s="234"/>
      <c r="AG776" s="9"/>
      <c r="AH776" s="9"/>
      <c r="AI776" s="9"/>
      <c r="AJ776" s="9"/>
      <c r="AK776" s="245"/>
      <c r="AL776" s="245"/>
      <c r="AM776" s="245"/>
      <c r="AN776" s="245"/>
      <c r="AO776" s="9"/>
      <c r="AP776" s="9"/>
      <c r="AQ776" s="9"/>
      <c r="AR776" s="9"/>
      <c r="AS776" s="9"/>
      <c r="AT776" s="9"/>
      <c r="AU776" s="9"/>
      <c r="AV776" s="9"/>
    </row>
    <row r="777">
      <c r="A777" s="253"/>
      <c r="B777" s="254"/>
      <c r="C777" s="463"/>
      <c r="D777" s="253"/>
      <c r="E777" s="254"/>
      <c r="F777" s="463"/>
      <c r="G777" s="253"/>
      <c r="H777" s="254"/>
      <c r="I777" s="463"/>
      <c r="J777" s="253"/>
      <c r="K777" s="254"/>
      <c r="L777" s="463"/>
      <c r="M777" s="253"/>
      <c r="N777" s="254"/>
      <c r="O777" s="463"/>
      <c r="P777" s="253"/>
      <c r="Q777" s="254"/>
      <c r="R777" s="463"/>
      <c r="S777" s="253"/>
      <c r="T777" s="254"/>
      <c r="U777" s="463"/>
      <c r="V777" s="253"/>
      <c r="W777" s="254"/>
      <c r="X777" s="463"/>
      <c r="Y777" s="9"/>
      <c r="Z777" s="9"/>
      <c r="AA777" s="9"/>
      <c r="AB777" s="9"/>
      <c r="AC777" s="234"/>
      <c r="AD777" s="234"/>
      <c r="AE777" s="234"/>
      <c r="AF777" s="234"/>
      <c r="AG777" s="9"/>
      <c r="AH777" s="9"/>
      <c r="AI777" s="9"/>
      <c r="AJ777" s="9"/>
      <c r="AK777" s="245"/>
      <c r="AL777" s="245"/>
      <c r="AM777" s="245"/>
      <c r="AN777" s="245"/>
      <c r="AO777" s="9"/>
      <c r="AP777" s="9"/>
      <c r="AQ777" s="9"/>
      <c r="AR777" s="9"/>
      <c r="AS777" s="9"/>
      <c r="AT777" s="9"/>
      <c r="AU777" s="9"/>
      <c r="AV777" s="9"/>
    </row>
    <row r="778">
      <c r="A778" s="253"/>
      <c r="B778" s="254"/>
      <c r="C778" s="463"/>
      <c r="D778" s="253"/>
      <c r="E778" s="254"/>
      <c r="F778" s="463"/>
      <c r="G778" s="253"/>
      <c r="H778" s="254"/>
      <c r="I778" s="463"/>
      <c r="J778" s="253"/>
      <c r="K778" s="254"/>
      <c r="L778" s="463"/>
      <c r="M778" s="253"/>
      <c r="N778" s="254"/>
      <c r="O778" s="463"/>
      <c r="P778" s="253"/>
      <c r="Q778" s="254"/>
      <c r="R778" s="463"/>
      <c r="S778" s="253"/>
      <c r="T778" s="254"/>
      <c r="U778" s="463"/>
      <c r="V778" s="253"/>
      <c r="W778" s="254"/>
      <c r="X778" s="463"/>
      <c r="Y778" s="9"/>
      <c r="Z778" s="9"/>
      <c r="AA778" s="9"/>
      <c r="AB778" s="9"/>
      <c r="AC778" s="234"/>
      <c r="AD778" s="234"/>
      <c r="AE778" s="234"/>
      <c r="AF778" s="234"/>
      <c r="AG778" s="9"/>
      <c r="AH778" s="9"/>
      <c r="AI778" s="9"/>
      <c r="AJ778" s="9"/>
      <c r="AK778" s="245"/>
      <c r="AL778" s="245"/>
      <c r="AM778" s="245"/>
      <c r="AN778" s="245"/>
      <c r="AO778" s="9"/>
      <c r="AP778" s="9"/>
      <c r="AQ778" s="9"/>
      <c r="AR778" s="9"/>
      <c r="AS778" s="9"/>
      <c r="AT778" s="9"/>
      <c r="AU778" s="9"/>
      <c r="AV778" s="9"/>
    </row>
    <row r="779">
      <c r="A779" s="253"/>
      <c r="B779" s="254"/>
      <c r="C779" s="463"/>
      <c r="D779" s="253"/>
      <c r="E779" s="254"/>
      <c r="F779" s="463"/>
      <c r="G779" s="253"/>
      <c r="H779" s="254"/>
      <c r="I779" s="463"/>
      <c r="J779" s="253"/>
      <c r="K779" s="254"/>
      <c r="L779" s="463"/>
      <c r="M779" s="253"/>
      <c r="N779" s="254"/>
      <c r="O779" s="463"/>
      <c r="P779" s="253"/>
      <c r="Q779" s="254"/>
      <c r="R779" s="463"/>
      <c r="S779" s="253"/>
      <c r="T779" s="254"/>
      <c r="U779" s="463"/>
      <c r="V779" s="253"/>
      <c r="W779" s="254"/>
      <c r="X779" s="463"/>
      <c r="Y779" s="9"/>
      <c r="Z779" s="9"/>
      <c r="AA779" s="9"/>
      <c r="AB779" s="9"/>
      <c r="AC779" s="234"/>
      <c r="AD779" s="234"/>
      <c r="AE779" s="234"/>
      <c r="AF779" s="234"/>
      <c r="AG779" s="9"/>
      <c r="AH779" s="9"/>
      <c r="AI779" s="9"/>
      <c r="AJ779" s="9"/>
      <c r="AK779" s="245"/>
      <c r="AL779" s="245"/>
      <c r="AM779" s="245"/>
      <c r="AN779" s="245"/>
      <c r="AO779" s="9"/>
      <c r="AP779" s="9"/>
      <c r="AQ779" s="9"/>
      <c r="AR779" s="9"/>
      <c r="AS779" s="9"/>
      <c r="AT779" s="9"/>
      <c r="AU779" s="9"/>
      <c r="AV779" s="9"/>
    </row>
    <row r="780">
      <c r="A780" s="253"/>
      <c r="B780" s="254"/>
      <c r="C780" s="463"/>
      <c r="D780" s="253"/>
      <c r="E780" s="254"/>
      <c r="F780" s="463"/>
      <c r="G780" s="253"/>
      <c r="H780" s="254"/>
      <c r="I780" s="463"/>
      <c r="J780" s="253"/>
      <c r="K780" s="254"/>
      <c r="L780" s="463"/>
      <c r="M780" s="253"/>
      <c r="N780" s="254"/>
      <c r="O780" s="463"/>
      <c r="P780" s="253"/>
      <c r="Q780" s="254"/>
      <c r="R780" s="463"/>
      <c r="S780" s="253"/>
      <c r="T780" s="254"/>
      <c r="U780" s="463"/>
      <c r="V780" s="253"/>
      <c r="W780" s="254"/>
      <c r="X780" s="463"/>
      <c r="Y780" s="9"/>
      <c r="Z780" s="9"/>
      <c r="AA780" s="9"/>
      <c r="AB780" s="9"/>
      <c r="AC780" s="234"/>
      <c r="AD780" s="234"/>
      <c r="AE780" s="234"/>
      <c r="AF780" s="234"/>
      <c r="AG780" s="9"/>
      <c r="AH780" s="9"/>
      <c r="AI780" s="9"/>
      <c r="AJ780" s="9"/>
      <c r="AK780" s="245"/>
      <c r="AL780" s="245"/>
      <c r="AM780" s="245"/>
      <c r="AN780" s="245"/>
      <c r="AO780" s="9"/>
      <c r="AP780" s="9"/>
      <c r="AQ780" s="9"/>
      <c r="AR780" s="9"/>
      <c r="AS780" s="9"/>
      <c r="AT780" s="9"/>
      <c r="AU780" s="9"/>
      <c r="AV780" s="9"/>
    </row>
    <row r="781">
      <c r="A781" s="253"/>
      <c r="B781" s="254"/>
      <c r="C781" s="463"/>
      <c r="D781" s="253"/>
      <c r="E781" s="254"/>
      <c r="F781" s="463"/>
      <c r="G781" s="253"/>
      <c r="H781" s="254"/>
      <c r="I781" s="463"/>
      <c r="J781" s="253"/>
      <c r="K781" s="254"/>
      <c r="L781" s="463"/>
      <c r="M781" s="253"/>
      <c r="N781" s="254"/>
      <c r="O781" s="463"/>
      <c r="P781" s="253"/>
      <c r="Q781" s="254"/>
      <c r="R781" s="463"/>
      <c r="S781" s="253"/>
      <c r="T781" s="254"/>
      <c r="U781" s="463"/>
      <c r="V781" s="253"/>
      <c r="W781" s="254"/>
      <c r="X781" s="463"/>
      <c r="Y781" s="9"/>
      <c r="Z781" s="9"/>
      <c r="AA781" s="9"/>
      <c r="AB781" s="9"/>
      <c r="AC781" s="234"/>
      <c r="AD781" s="234"/>
      <c r="AE781" s="234"/>
      <c r="AF781" s="234"/>
      <c r="AG781" s="9"/>
      <c r="AH781" s="9"/>
      <c r="AI781" s="9"/>
      <c r="AJ781" s="9"/>
      <c r="AK781" s="245"/>
      <c r="AL781" s="245"/>
      <c r="AM781" s="245"/>
      <c r="AN781" s="245"/>
      <c r="AO781" s="9"/>
      <c r="AP781" s="9"/>
      <c r="AQ781" s="9"/>
      <c r="AR781" s="9"/>
      <c r="AS781" s="9"/>
      <c r="AT781" s="9"/>
      <c r="AU781" s="9"/>
      <c r="AV781" s="9"/>
    </row>
    <row r="782">
      <c r="A782" s="253"/>
      <c r="B782" s="254"/>
      <c r="C782" s="463"/>
      <c r="D782" s="253"/>
      <c r="E782" s="254"/>
      <c r="F782" s="463"/>
      <c r="G782" s="253"/>
      <c r="H782" s="254"/>
      <c r="I782" s="463"/>
      <c r="J782" s="253"/>
      <c r="K782" s="254"/>
      <c r="L782" s="463"/>
      <c r="M782" s="253"/>
      <c r="N782" s="254"/>
      <c r="O782" s="463"/>
      <c r="P782" s="253"/>
      <c r="Q782" s="254"/>
      <c r="R782" s="463"/>
      <c r="S782" s="253"/>
      <c r="T782" s="254"/>
      <c r="U782" s="463"/>
      <c r="V782" s="253"/>
      <c r="W782" s="254"/>
      <c r="X782" s="463"/>
      <c r="Y782" s="9"/>
      <c r="Z782" s="9"/>
      <c r="AA782" s="9"/>
      <c r="AB782" s="9"/>
      <c r="AC782" s="234"/>
      <c r="AD782" s="234"/>
      <c r="AE782" s="234"/>
      <c r="AF782" s="234"/>
      <c r="AG782" s="9"/>
      <c r="AH782" s="9"/>
      <c r="AI782" s="9"/>
      <c r="AJ782" s="9"/>
      <c r="AK782" s="245"/>
      <c r="AL782" s="245"/>
      <c r="AM782" s="245"/>
      <c r="AN782" s="245"/>
      <c r="AO782" s="9"/>
      <c r="AP782" s="9"/>
      <c r="AQ782" s="9"/>
      <c r="AR782" s="9"/>
      <c r="AS782" s="9"/>
      <c r="AT782" s="9"/>
      <c r="AU782" s="9"/>
      <c r="AV782" s="9"/>
    </row>
    <row r="783">
      <c r="A783" s="253"/>
      <c r="B783" s="254"/>
      <c r="C783" s="463"/>
      <c r="D783" s="253"/>
      <c r="E783" s="254"/>
      <c r="F783" s="463"/>
      <c r="G783" s="253"/>
      <c r="H783" s="254"/>
      <c r="I783" s="463"/>
      <c r="J783" s="253"/>
      <c r="K783" s="254"/>
      <c r="L783" s="463"/>
      <c r="M783" s="253"/>
      <c r="N783" s="254"/>
      <c r="O783" s="463"/>
      <c r="P783" s="253"/>
      <c r="Q783" s="254"/>
      <c r="R783" s="463"/>
      <c r="S783" s="253"/>
      <c r="T783" s="254"/>
      <c r="U783" s="463"/>
      <c r="V783" s="253"/>
      <c r="W783" s="254"/>
      <c r="X783" s="463"/>
      <c r="Y783" s="9"/>
      <c r="Z783" s="9"/>
      <c r="AA783" s="9"/>
      <c r="AB783" s="9"/>
      <c r="AC783" s="234"/>
      <c r="AD783" s="234"/>
      <c r="AE783" s="234"/>
      <c r="AF783" s="234"/>
      <c r="AG783" s="9"/>
      <c r="AH783" s="9"/>
      <c r="AI783" s="9"/>
      <c r="AJ783" s="9"/>
      <c r="AK783" s="245"/>
      <c r="AL783" s="245"/>
      <c r="AM783" s="245"/>
      <c r="AN783" s="245"/>
      <c r="AO783" s="9"/>
      <c r="AP783" s="9"/>
      <c r="AQ783" s="9"/>
      <c r="AR783" s="9"/>
      <c r="AS783" s="9"/>
      <c r="AT783" s="9"/>
      <c r="AU783" s="9"/>
      <c r="AV783" s="9"/>
    </row>
    <row r="784">
      <c r="A784" s="253"/>
      <c r="B784" s="254"/>
      <c r="C784" s="463"/>
      <c r="D784" s="253"/>
      <c r="E784" s="254"/>
      <c r="F784" s="463"/>
      <c r="G784" s="253"/>
      <c r="H784" s="254"/>
      <c r="I784" s="463"/>
      <c r="J784" s="253"/>
      <c r="K784" s="254"/>
      <c r="L784" s="463"/>
      <c r="M784" s="253"/>
      <c r="N784" s="254"/>
      <c r="O784" s="463"/>
      <c r="P784" s="253"/>
      <c r="Q784" s="254"/>
      <c r="R784" s="463"/>
      <c r="S784" s="253"/>
      <c r="T784" s="254"/>
      <c r="U784" s="463"/>
      <c r="V784" s="253"/>
      <c r="W784" s="254"/>
      <c r="X784" s="463"/>
      <c r="Y784" s="9"/>
      <c r="Z784" s="9"/>
      <c r="AA784" s="9"/>
      <c r="AB784" s="9"/>
      <c r="AC784" s="234"/>
      <c r="AD784" s="234"/>
      <c r="AE784" s="234"/>
      <c r="AF784" s="234"/>
      <c r="AG784" s="9"/>
      <c r="AH784" s="9"/>
      <c r="AI784" s="9"/>
      <c r="AJ784" s="9"/>
      <c r="AK784" s="245"/>
      <c r="AL784" s="245"/>
      <c r="AM784" s="245"/>
      <c r="AN784" s="245"/>
      <c r="AO784" s="9"/>
      <c r="AP784" s="9"/>
      <c r="AQ784" s="9"/>
      <c r="AR784" s="9"/>
      <c r="AS784" s="9"/>
      <c r="AT784" s="9"/>
      <c r="AU784" s="9"/>
      <c r="AV784" s="9"/>
    </row>
    <row r="785">
      <c r="A785" s="253"/>
      <c r="B785" s="254"/>
      <c r="C785" s="463"/>
      <c r="D785" s="253"/>
      <c r="E785" s="254"/>
      <c r="F785" s="463"/>
      <c r="G785" s="253"/>
      <c r="H785" s="254"/>
      <c r="I785" s="463"/>
      <c r="J785" s="253"/>
      <c r="K785" s="254"/>
      <c r="L785" s="463"/>
      <c r="M785" s="253"/>
      <c r="N785" s="254"/>
      <c r="O785" s="463"/>
      <c r="P785" s="253"/>
      <c r="Q785" s="254"/>
      <c r="R785" s="463"/>
      <c r="S785" s="253"/>
      <c r="T785" s="254"/>
      <c r="U785" s="463"/>
      <c r="V785" s="253"/>
      <c r="W785" s="254"/>
      <c r="X785" s="463"/>
      <c r="Y785" s="9"/>
      <c r="Z785" s="9"/>
      <c r="AA785" s="9"/>
      <c r="AB785" s="9"/>
      <c r="AC785" s="234"/>
      <c r="AD785" s="234"/>
      <c r="AE785" s="234"/>
      <c r="AF785" s="234"/>
      <c r="AG785" s="9"/>
      <c r="AH785" s="9"/>
      <c r="AI785" s="9"/>
      <c r="AJ785" s="9"/>
      <c r="AK785" s="245"/>
      <c r="AL785" s="245"/>
      <c r="AM785" s="245"/>
      <c r="AN785" s="245"/>
      <c r="AO785" s="9"/>
      <c r="AP785" s="9"/>
      <c r="AQ785" s="9"/>
      <c r="AR785" s="9"/>
      <c r="AS785" s="9"/>
      <c r="AT785" s="9"/>
      <c r="AU785" s="9"/>
      <c r="AV785" s="9"/>
    </row>
    <row r="786">
      <c r="A786" s="253"/>
      <c r="B786" s="254"/>
      <c r="C786" s="463"/>
      <c r="D786" s="253"/>
      <c r="E786" s="254"/>
      <c r="F786" s="463"/>
      <c r="G786" s="253"/>
      <c r="H786" s="254"/>
      <c r="I786" s="463"/>
      <c r="J786" s="253"/>
      <c r="K786" s="254"/>
      <c r="L786" s="463"/>
      <c r="M786" s="253"/>
      <c r="N786" s="254"/>
      <c r="O786" s="463"/>
      <c r="P786" s="253"/>
      <c r="Q786" s="254"/>
      <c r="R786" s="463"/>
      <c r="S786" s="253"/>
      <c r="T786" s="254"/>
      <c r="U786" s="463"/>
      <c r="V786" s="253"/>
      <c r="W786" s="254"/>
      <c r="X786" s="463"/>
      <c r="Y786" s="9"/>
      <c r="Z786" s="9"/>
      <c r="AA786" s="9"/>
      <c r="AB786" s="9"/>
      <c r="AC786" s="234"/>
      <c r="AD786" s="234"/>
      <c r="AE786" s="234"/>
      <c r="AF786" s="234"/>
      <c r="AG786" s="9"/>
      <c r="AH786" s="9"/>
      <c r="AI786" s="9"/>
      <c r="AJ786" s="9"/>
      <c r="AK786" s="245"/>
      <c r="AL786" s="245"/>
      <c r="AM786" s="245"/>
      <c r="AN786" s="245"/>
      <c r="AO786" s="9"/>
      <c r="AP786" s="9"/>
      <c r="AQ786" s="9"/>
      <c r="AR786" s="9"/>
      <c r="AS786" s="9"/>
      <c r="AT786" s="9"/>
      <c r="AU786" s="9"/>
      <c r="AV786" s="9"/>
    </row>
    <row r="787">
      <c r="A787" s="253"/>
      <c r="B787" s="254"/>
      <c r="C787" s="463"/>
      <c r="D787" s="253"/>
      <c r="E787" s="254"/>
      <c r="F787" s="463"/>
      <c r="G787" s="253"/>
      <c r="H787" s="254"/>
      <c r="I787" s="463"/>
      <c r="J787" s="253"/>
      <c r="K787" s="254"/>
      <c r="L787" s="463"/>
      <c r="M787" s="253"/>
      <c r="N787" s="254"/>
      <c r="O787" s="463"/>
      <c r="P787" s="253"/>
      <c r="Q787" s="254"/>
      <c r="R787" s="463"/>
      <c r="S787" s="253"/>
      <c r="T787" s="254"/>
      <c r="U787" s="463"/>
      <c r="V787" s="253"/>
      <c r="W787" s="254"/>
      <c r="X787" s="463"/>
      <c r="Y787" s="9"/>
      <c r="Z787" s="9"/>
      <c r="AA787" s="9"/>
      <c r="AB787" s="9"/>
      <c r="AC787" s="234"/>
      <c r="AD787" s="234"/>
      <c r="AE787" s="234"/>
      <c r="AF787" s="234"/>
      <c r="AG787" s="9"/>
      <c r="AH787" s="9"/>
      <c r="AI787" s="9"/>
      <c r="AJ787" s="9"/>
      <c r="AK787" s="245"/>
      <c r="AL787" s="245"/>
      <c r="AM787" s="245"/>
      <c r="AN787" s="245"/>
      <c r="AO787" s="9"/>
      <c r="AP787" s="9"/>
      <c r="AQ787" s="9"/>
      <c r="AR787" s="9"/>
      <c r="AS787" s="9"/>
      <c r="AT787" s="9"/>
      <c r="AU787" s="9"/>
      <c r="AV787" s="9"/>
    </row>
    <row r="788">
      <c r="A788" s="253"/>
      <c r="B788" s="254"/>
      <c r="C788" s="463"/>
      <c r="D788" s="253"/>
      <c r="E788" s="254"/>
      <c r="F788" s="463"/>
      <c r="G788" s="253"/>
      <c r="H788" s="254"/>
      <c r="I788" s="463"/>
      <c r="J788" s="253"/>
      <c r="K788" s="254"/>
      <c r="L788" s="463"/>
      <c r="M788" s="253"/>
      <c r="N788" s="254"/>
      <c r="O788" s="463"/>
      <c r="P788" s="253"/>
      <c r="Q788" s="254"/>
      <c r="R788" s="463"/>
      <c r="S788" s="253"/>
      <c r="T788" s="254"/>
      <c r="U788" s="463"/>
      <c r="V788" s="253"/>
      <c r="W788" s="254"/>
      <c r="X788" s="463"/>
      <c r="Y788" s="9"/>
      <c r="Z788" s="9"/>
      <c r="AA788" s="9"/>
      <c r="AB788" s="9"/>
      <c r="AC788" s="234"/>
      <c r="AD788" s="234"/>
      <c r="AE788" s="234"/>
      <c r="AF788" s="234"/>
      <c r="AG788" s="9"/>
      <c r="AH788" s="9"/>
      <c r="AI788" s="9"/>
      <c r="AJ788" s="9"/>
      <c r="AK788" s="245"/>
      <c r="AL788" s="245"/>
      <c r="AM788" s="245"/>
      <c r="AN788" s="245"/>
      <c r="AO788" s="9"/>
      <c r="AP788" s="9"/>
      <c r="AQ788" s="9"/>
      <c r="AR788" s="9"/>
      <c r="AS788" s="9"/>
      <c r="AT788" s="9"/>
      <c r="AU788" s="9"/>
      <c r="AV788" s="9"/>
    </row>
    <row r="789">
      <c r="A789" s="253"/>
      <c r="B789" s="254"/>
      <c r="C789" s="463"/>
      <c r="D789" s="253"/>
      <c r="E789" s="254"/>
      <c r="F789" s="463"/>
      <c r="G789" s="253"/>
      <c r="H789" s="254"/>
      <c r="I789" s="463"/>
      <c r="J789" s="253"/>
      <c r="K789" s="254"/>
      <c r="L789" s="463"/>
      <c r="M789" s="253"/>
      <c r="N789" s="254"/>
      <c r="O789" s="463"/>
      <c r="P789" s="253"/>
      <c r="Q789" s="254"/>
      <c r="R789" s="463"/>
      <c r="S789" s="253"/>
      <c r="T789" s="254"/>
      <c r="U789" s="463"/>
      <c r="V789" s="253"/>
      <c r="W789" s="254"/>
      <c r="X789" s="463"/>
      <c r="Y789" s="9"/>
      <c r="Z789" s="9"/>
      <c r="AA789" s="9"/>
      <c r="AB789" s="9"/>
      <c r="AC789" s="234"/>
      <c r="AD789" s="234"/>
      <c r="AE789" s="234"/>
      <c r="AF789" s="234"/>
      <c r="AG789" s="9"/>
      <c r="AH789" s="9"/>
      <c r="AI789" s="9"/>
      <c r="AJ789" s="9"/>
      <c r="AK789" s="245"/>
      <c r="AL789" s="245"/>
      <c r="AM789" s="245"/>
      <c r="AN789" s="245"/>
      <c r="AO789" s="9"/>
      <c r="AP789" s="9"/>
      <c r="AQ789" s="9"/>
      <c r="AR789" s="9"/>
      <c r="AS789" s="9"/>
      <c r="AT789" s="9"/>
      <c r="AU789" s="9"/>
      <c r="AV789" s="9"/>
    </row>
    <row r="790">
      <c r="A790" s="253"/>
      <c r="B790" s="254"/>
      <c r="C790" s="463"/>
      <c r="D790" s="253"/>
      <c r="E790" s="254"/>
      <c r="F790" s="463"/>
      <c r="G790" s="253"/>
      <c r="H790" s="254"/>
      <c r="I790" s="463"/>
      <c r="J790" s="253"/>
      <c r="K790" s="254"/>
      <c r="L790" s="463"/>
      <c r="M790" s="253"/>
      <c r="N790" s="254"/>
      <c r="O790" s="463"/>
      <c r="P790" s="253"/>
      <c r="Q790" s="254"/>
      <c r="R790" s="463"/>
      <c r="S790" s="253"/>
      <c r="T790" s="254"/>
      <c r="U790" s="463"/>
      <c r="V790" s="253"/>
      <c r="W790" s="254"/>
      <c r="X790" s="463"/>
      <c r="Y790" s="9"/>
      <c r="Z790" s="9"/>
      <c r="AA790" s="9"/>
      <c r="AB790" s="9"/>
      <c r="AC790" s="234"/>
      <c r="AD790" s="234"/>
      <c r="AE790" s="234"/>
      <c r="AF790" s="234"/>
      <c r="AG790" s="9"/>
      <c r="AH790" s="9"/>
      <c r="AI790" s="9"/>
      <c r="AJ790" s="9"/>
      <c r="AK790" s="245"/>
      <c r="AL790" s="245"/>
      <c r="AM790" s="245"/>
      <c r="AN790" s="245"/>
      <c r="AO790" s="9"/>
      <c r="AP790" s="9"/>
      <c r="AQ790" s="9"/>
      <c r="AR790" s="9"/>
      <c r="AS790" s="9"/>
      <c r="AT790" s="9"/>
      <c r="AU790" s="9"/>
      <c r="AV790" s="9"/>
    </row>
    <row r="791">
      <c r="A791" s="253"/>
      <c r="B791" s="254"/>
      <c r="C791" s="463"/>
      <c r="D791" s="253"/>
      <c r="E791" s="254"/>
      <c r="F791" s="463"/>
      <c r="G791" s="253"/>
      <c r="H791" s="254"/>
      <c r="I791" s="463"/>
      <c r="J791" s="253"/>
      <c r="K791" s="254"/>
      <c r="L791" s="463"/>
      <c r="M791" s="253"/>
      <c r="N791" s="254"/>
      <c r="O791" s="463"/>
      <c r="P791" s="253"/>
      <c r="Q791" s="254"/>
      <c r="R791" s="463"/>
      <c r="S791" s="253"/>
      <c r="T791" s="254"/>
      <c r="U791" s="463"/>
      <c r="V791" s="253"/>
      <c r="W791" s="254"/>
      <c r="X791" s="463"/>
      <c r="Y791" s="9"/>
      <c r="Z791" s="9"/>
      <c r="AA791" s="9"/>
      <c r="AB791" s="9"/>
      <c r="AC791" s="234"/>
      <c r="AD791" s="234"/>
      <c r="AE791" s="234"/>
      <c r="AF791" s="234"/>
      <c r="AG791" s="9"/>
      <c r="AH791" s="9"/>
      <c r="AI791" s="9"/>
      <c r="AJ791" s="9"/>
      <c r="AK791" s="245"/>
      <c r="AL791" s="245"/>
      <c r="AM791" s="245"/>
      <c r="AN791" s="245"/>
      <c r="AO791" s="9"/>
      <c r="AP791" s="9"/>
      <c r="AQ791" s="9"/>
      <c r="AR791" s="9"/>
      <c r="AS791" s="9"/>
      <c r="AT791" s="9"/>
      <c r="AU791" s="9"/>
      <c r="AV791" s="9"/>
    </row>
    <row r="792">
      <c r="A792" s="253"/>
      <c r="B792" s="254"/>
      <c r="C792" s="463"/>
      <c r="D792" s="253"/>
      <c r="E792" s="254"/>
      <c r="F792" s="463"/>
      <c r="G792" s="253"/>
      <c r="H792" s="254"/>
      <c r="I792" s="463"/>
      <c r="J792" s="253"/>
      <c r="K792" s="254"/>
      <c r="L792" s="463"/>
      <c r="M792" s="253"/>
      <c r="N792" s="254"/>
      <c r="O792" s="463"/>
      <c r="P792" s="253"/>
      <c r="Q792" s="254"/>
      <c r="R792" s="463"/>
      <c r="S792" s="253"/>
      <c r="T792" s="254"/>
      <c r="U792" s="463"/>
      <c r="V792" s="253"/>
      <c r="W792" s="254"/>
      <c r="X792" s="463"/>
      <c r="Y792" s="9"/>
      <c r="Z792" s="9"/>
      <c r="AA792" s="9"/>
      <c r="AB792" s="9"/>
      <c r="AC792" s="234"/>
      <c r="AD792" s="234"/>
      <c r="AE792" s="234"/>
      <c r="AF792" s="234"/>
      <c r="AG792" s="9"/>
      <c r="AH792" s="9"/>
      <c r="AI792" s="9"/>
      <c r="AJ792" s="9"/>
      <c r="AK792" s="245"/>
      <c r="AL792" s="245"/>
      <c r="AM792" s="245"/>
      <c r="AN792" s="245"/>
      <c r="AO792" s="9"/>
      <c r="AP792" s="9"/>
      <c r="AQ792" s="9"/>
      <c r="AR792" s="9"/>
      <c r="AS792" s="9"/>
      <c r="AT792" s="9"/>
      <c r="AU792" s="9"/>
      <c r="AV792" s="9"/>
    </row>
    <row r="793">
      <c r="A793" s="253"/>
      <c r="B793" s="254"/>
      <c r="C793" s="463"/>
      <c r="D793" s="253"/>
      <c r="E793" s="254"/>
      <c r="F793" s="463"/>
      <c r="G793" s="253"/>
      <c r="H793" s="254"/>
      <c r="I793" s="463"/>
      <c r="J793" s="253"/>
      <c r="K793" s="254"/>
      <c r="L793" s="463"/>
      <c r="M793" s="253"/>
      <c r="N793" s="254"/>
      <c r="O793" s="463"/>
      <c r="P793" s="253"/>
      <c r="Q793" s="254"/>
      <c r="R793" s="463"/>
      <c r="S793" s="253"/>
      <c r="T793" s="254"/>
      <c r="U793" s="463"/>
      <c r="V793" s="253"/>
      <c r="W793" s="254"/>
      <c r="X793" s="463"/>
      <c r="Y793" s="9"/>
      <c r="Z793" s="9"/>
      <c r="AA793" s="9"/>
      <c r="AB793" s="9"/>
      <c r="AC793" s="234"/>
      <c r="AD793" s="234"/>
      <c r="AE793" s="234"/>
      <c r="AF793" s="234"/>
      <c r="AG793" s="9"/>
      <c r="AH793" s="9"/>
      <c r="AI793" s="9"/>
      <c r="AJ793" s="9"/>
      <c r="AK793" s="245"/>
      <c r="AL793" s="245"/>
      <c r="AM793" s="245"/>
      <c r="AN793" s="245"/>
      <c r="AO793" s="9"/>
      <c r="AP793" s="9"/>
      <c r="AQ793" s="9"/>
      <c r="AR793" s="9"/>
      <c r="AS793" s="9"/>
      <c r="AT793" s="9"/>
      <c r="AU793" s="9"/>
      <c r="AV793" s="9"/>
    </row>
    <row r="794">
      <c r="A794" s="253"/>
      <c r="B794" s="254"/>
      <c r="C794" s="463"/>
      <c r="D794" s="253"/>
      <c r="E794" s="254"/>
      <c r="F794" s="463"/>
      <c r="G794" s="253"/>
      <c r="H794" s="254"/>
      <c r="I794" s="463"/>
      <c r="J794" s="253"/>
      <c r="K794" s="254"/>
      <c r="L794" s="463"/>
      <c r="M794" s="253"/>
      <c r="N794" s="254"/>
      <c r="O794" s="463"/>
      <c r="P794" s="253"/>
      <c r="Q794" s="254"/>
      <c r="R794" s="463"/>
      <c r="S794" s="253"/>
      <c r="T794" s="254"/>
      <c r="U794" s="463"/>
      <c r="V794" s="253"/>
      <c r="W794" s="254"/>
      <c r="X794" s="463"/>
      <c r="Y794" s="9"/>
      <c r="Z794" s="9"/>
      <c r="AA794" s="9"/>
      <c r="AB794" s="9"/>
      <c r="AC794" s="234"/>
      <c r="AD794" s="234"/>
      <c r="AE794" s="234"/>
      <c r="AF794" s="234"/>
      <c r="AG794" s="9"/>
      <c r="AH794" s="9"/>
      <c r="AI794" s="9"/>
      <c r="AJ794" s="9"/>
      <c r="AK794" s="245"/>
      <c r="AL794" s="245"/>
      <c r="AM794" s="245"/>
      <c r="AN794" s="245"/>
      <c r="AO794" s="9"/>
      <c r="AP794" s="9"/>
      <c r="AQ794" s="9"/>
      <c r="AR794" s="9"/>
      <c r="AS794" s="9"/>
      <c r="AT794" s="9"/>
      <c r="AU794" s="9"/>
      <c r="AV794" s="9"/>
    </row>
    <row r="795">
      <c r="A795" s="253"/>
      <c r="B795" s="254"/>
      <c r="C795" s="463"/>
      <c r="D795" s="253"/>
      <c r="E795" s="254"/>
      <c r="F795" s="463"/>
      <c r="G795" s="253"/>
      <c r="H795" s="254"/>
      <c r="I795" s="463"/>
      <c r="J795" s="253"/>
      <c r="K795" s="254"/>
      <c r="L795" s="463"/>
      <c r="M795" s="253"/>
      <c r="N795" s="254"/>
      <c r="O795" s="463"/>
      <c r="P795" s="253"/>
      <c r="Q795" s="254"/>
      <c r="R795" s="463"/>
      <c r="S795" s="253"/>
      <c r="T795" s="254"/>
      <c r="U795" s="463"/>
      <c r="V795" s="253"/>
      <c r="W795" s="254"/>
      <c r="X795" s="463"/>
      <c r="Y795" s="9"/>
      <c r="Z795" s="9"/>
      <c r="AA795" s="9"/>
      <c r="AB795" s="9"/>
      <c r="AC795" s="234"/>
      <c r="AD795" s="234"/>
      <c r="AE795" s="234"/>
      <c r="AF795" s="234"/>
      <c r="AG795" s="9"/>
      <c r="AH795" s="9"/>
      <c r="AI795" s="9"/>
      <c r="AJ795" s="9"/>
      <c r="AK795" s="245"/>
      <c r="AL795" s="245"/>
      <c r="AM795" s="245"/>
      <c r="AN795" s="245"/>
      <c r="AO795" s="9"/>
      <c r="AP795" s="9"/>
      <c r="AQ795" s="9"/>
      <c r="AR795" s="9"/>
      <c r="AS795" s="9"/>
      <c r="AT795" s="9"/>
      <c r="AU795" s="9"/>
      <c r="AV795" s="9"/>
    </row>
    <row r="796">
      <c r="A796" s="253"/>
      <c r="B796" s="254"/>
      <c r="C796" s="463"/>
      <c r="D796" s="253"/>
      <c r="E796" s="254"/>
      <c r="F796" s="463"/>
      <c r="G796" s="253"/>
      <c r="H796" s="254"/>
      <c r="I796" s="463"/>
      <c r="J796" s="253"/>
      <c r="K796" s="254"/>
      <c r="L796" s="463"/>
      <c r="M796" s="253"/>
      <c r="N796" s="254"/>
      <c r="O796" s="463"/>
      <c r="P796" s="253"/>
      <c r="Q796" s="254"/>
      <c r="R796" s="463"/>
      <c r="S796" s="253"/>
      <c r="T796" s="254"/>
      <c r="U796" s="463"/>
      <c r="V796" s="253"/>
      <c r="W796" s="254"/>
      <c r="X796" s="463"/>
      <c r="Y796" s="9"/>
      <c r="Z796" s="9"/>
      <c r="AA796" s="9"/>
      <c r="AB796" s="9"/>
      <c r="AC796" s="234"/>
      <c r="AD796" s="234"/>
      <c r="AE796" s="234"/>
      <c r="AF796" s="234"/>
      <c r="AG796" s="9"/>
      <c r="AH796" s="9"/>
      <c r="AI796" s="9"/>
      <c r="AJ796" s="9"/>
      <c r="AK796" s="245"/>
      <c r="AL796" s="245"/>
      <c r="AM796" s="245"/>
      <c r="AN796" s="245"/>
      <c r="AO796" s="9"/>
      <c r="AP796" s="9"/>
      <c r="AQ796" s="9"/>
      <c r="AR796" s="9"/>
      <c r="AS796" s="9"/>
      <c r="AT796" s="9"/>
      <c r="AU796" s="9"/>
      <c r="AV796" s="9"/>
    </row>
    <row r="797">
      <c r="A797" s="253"/>
      <c r="B797" s="254"/>
      <c r="C797" s="463"/>
      <c r="D797" s="253"/>
      <c r="E797" s="254"/>
      <c r="F797" s="463"/>
      <c r="G797" s="253"/>
      <c r="H797" s="254"/>
      <c r="I797" s="463"/>
      <c r="J797" s="253"/>
      <c r="K797" s="254"/>
      <c r="L797" s="463"/>
      <c r="M797" s="253"/>
      <c r="N797" s="254"/>
      <c r="O797" s="463"/>
      <c r="P797" s="253"/>
      <c r="Q797" s="254"/>
      <c r="R797" s="463"/>
      <c r="S797" s="253"/>
      <c r="T797" s="254"/>
      <c r="U797" s="463"/>
      <c r="V797" s="253"/>
      <c r="W797" s="254"/>
      <c r="X797" s="463"/>
      <c r="Y797" s="9"/>
      <c r="Z797" s="9"/>
      <c r="AA797" s="9"/>
      <c r="AB797" s="9"/>
      <c r="AC797" s="234"/>
      <c r="AD797" s="234"/>
      <c r="AE797" s="234"/>
      <c r="AF797" s="234"/>
      <c r="AG797" s="9"/>
      <c r="AH797" s="9"/>
      <c r="AI797" s="9"/>
      <c r="AJ797" s="9"/>
      <c r="AK797" s="245"/>
      <c r="AL797" s="245"/>
      <c r="AM797" s="245"/>
      <c r="AN797" s="245"/>
      <c r="AO797" s="9"/>
      <c r="AP797" s="9"/>
      <c r="AQ797" s="9"/>
      <c r="AR797" s="9"/>
      <c r="AS797" s="9"/>
      <c r="AT797" s="9"/>
      <c r="AU797" s="9"/>
      <c r="AV797" s="9"/>
    </row>
    <row r="798">
      <c r="A798" s="253"/>
      <c r="B798" s="254"/>
      <c r="C798" s="463"/>
      <c r="D798" s="253"/>
      <c r="E798" s="254"/>
      <c r="F798" s="463"/>
      <c r="G798" s="253"/>
      <c r="H798" s="254"/>
      <c r="I798" s="463"/>
      <c r="J798" s="253"/>
      <c r="K798" s="254"/>
      <c r="L798" s="463"/>
      <c r="M798" s="253"/>
      <c r="N798" s="254"/>
      <c r="O798" s="463"/>
      <c r="P798" s="253"/>
      <c r="Q798" s="254"/>
      <c r="R798" s="463"/>
      <c r="S798" s="253"/>
      <c r="T798" s="254"/>
      <c r="U798" s="463"/>
      <c r="V798" s="253"/>
      <c r="W798" s="254"/>
      <c r="X798" s="463"/>
      <c r="Y798" s="9"/>
      <c r="Z798" s="9"/>
      <c r="AA798" s="9"/>
      <c r="AB798" s="9"/>
      <c r="AC798" s="234"/>
      <c r="AD798" s="234"/>
      <c r="AE798" s="234"/>
      <c r="AF798" s="234"/>
      <c r="AG798" s="9"/>
      <c r="AH798" s="9"/>
      <c r="AI798" s="9"/>
      <c r="AJ798" s="9"/>
      <c r="AK798" s="245"/>
      <c r="AL798" s="245"/>
      <c r="AM798" s="245"/>
      <c r="AN798" s="245"/>
      <c r="AO798" s="9"/>
      <c r="AP798" s="9"/>
      <c r="AQ798" s="9"/>
      <c r="AR798" s="9"/>
      <c r="AS798" s="9"/>
      <c r="AT798" s="9"/>
      <c r="AU798" s="9"/>
      <c r="AV798" s="9"/>
    </row>
    <row r="799">
      <c r="A799" s="253"/>
      <c r="B799" s="254"/>
      <c r="C799" s="463"/>
      <c r="D799" s="253"/>
      <c r="E799" s="254"/>
      <c r="F799" s="463"/>
      <c r="G799" s="253"/>
      <c r="H799" s="254"/>
      <c r="I799" s="463"/>
      <c r="J799" s="253"/>
      <c r="K799" s="254"/>
      <c r="L799" s="463"/>
      <c r="M799" s="253"/>
      <c r="N799" s="254"/>
      <c r="O799" s="463"/>
      <c r="P799" s="253"/>
      <c r="Q799" s="254"/>
      <c r="R799" s="463"/>
      <c r="S799" s="253"/>
      <c r="T799" s="254"/>
      <c r="U799" s="463"/>
      <c r="V799" s="253"/>
      <c r="W799" s="254"/>
      <c r="X799" s="463"/>
      <c r="Y799" s="9"/>
      <c r="Z799" s="9"/>
      <c r="AA799" s="9"/>
      <c r="AB799" s="9"/>
      <c r="AC799" s="234"/>
      <c r="AD799" s="234"/>
      <c r="AE799" s="234"/>
      <c r="AF799" s="234"/>
      <c r="AG799" s="9"/>
      <c r="AH799" s="9"/>
      <c r="AI799" s="9"/>
      <c r="AJ799" s="9"/>
      <c r="AK799" s="245"/>
      <c r="AL799" s="245"/>
      <c r="AM799" s="245"/>
      <c r="AN799" s="245"/>
      <c r="AO799" s="9"/>
      <c r="AP799" s="9"/>
      <c r="AQ799" s="9"/>
      <c r="AR799" s="9"/>
      <c r="AS799" s="9"/>
      <c r="AT799" s="9"/>
      <c r="AU799" s="9"/>
      <c r="AV799" s="9"/>
    </row>
    <row r="800">
      <c r="A800" s="253"/>
      <c r="B800" s="254"/>
      <c r="C800" s="463"/>
      <c r="D800" s="253"/>
      <c r="E800" s="254"/>
      <c r="F800" s="463"/>
      <c r="G800" s="253"/>
      <c r="H800" s="254"/>
      <c r="I800" s="463"/>
      <c r="J800" s="253"/>
      <c r="K800" s="254"/>
      <c r="L800" s="463"/>
      <c r="M800" s="253"/>
      <c r="N800" s="254"/>
      <c r="O800" s="463"/>
      <c r="P800" s="253"/>
      <c r="Q800" s="254"/>
      <c r="R800" s="463"/>
      <c r="S800" s="253"/>
      <c r="T800" s="254"/>
      <c r="U800" s="463"/>
      <c r="V800" s="253"/>
      <c r="W800" s="254"/>
      <c r="X800" s="463"/>
      <c r="Y800" s="9"/>
      <c r="Z800" s="9"/>
      <c r="AA800" s="9"/>
      <c r="AB800" s="9"/>
      <c r="AC800" s="234"/>
      <c r="AD800" s="234"/>
      <c r="AE800" s="234"/>
      <c r="AF800" s="234"/>
      <c r="AG800" s="9"/>
      <c r="AH800" s="9"/>
      <c r="AI800" s="9"/>
      <c r="AJ800" s="9"/>
      <c r="AK800" s="245"/>
      <c r="AL800" s="245"/>
      <c r="AM800" s="245"/>
      <c r="AN800" s="245"/>
      <c r="AO800" s="9"/>
      <c r="AP800" s="9"/>
      <c r="AQ800" s="9"/>
      <c r="AR800" s="9"/>
      <c r="AS800" s="9"/>
      <c r="AT800" s="9"/>
      <c r="AU800" s="9"/>
      <c r="AV800" s="9"/>
    </row>
    <row r="801">
      <c r="A801" s="253"/>
      <c r="B801" s="254"/>
      <c r="C801" s="463"/>
      <c r="D801" s="253"/>
      <c r="E801" s="254"/>
      <c r="F801" s="463"/>
      <c r="G801" s="253"/>
      <c r="H801" s="254"/>
      <c r="I801" s="463"/>
      <c r="J801" s="253"/>
      <c r="K801" s="254"/>
      <c r="L801" s="463"/>
      <c r="M801" s="253"/>
      <c r="N801" s="254"/>
      <c r="O801" s="463"/>
      <c r="P801" s="253"/>
      <c r="Q801" s="254"/>
      <c r="R801" s="463"/>
      <c r="S801" s="253"/>
      <c r="T801" s="254"/>
      <c r="U801" s="463"/>
      <c r="V801" s="253"/>
      <c r="W801" s="254"/>
      <c r="X801" s="463"/>
      <c r="Y801" s="9"/>
      <c r="Z801" s="9"/>
      <c r="AA801" s="9"/>
      <c r="AB801" s="9"/>
      <c r="AC801" s="234"/>
      <c r="AD801" s="234"/>
      <c r="AE801" s="234"/>
      <c r="AF801" s="234"/>
      <c r="AG801" s="9"/>
      <c r="AH801" s="9"/>
      <c r="AI801" s="9"/>
      <c r="AJ801" s="9"/>
      <c r="AK801" s="245"/>
      <c r="AL801" s="245"/>
      <c r="AM801" s="245"/>
      <c r="AN801" s="245"/>
      <c r="AO801" s="9"/>
      <c r="AP801" s="9"/>
      <c r="AQ801" s="9"/>
      <c r="AR801" s="9"/>
      <c r="AS801" s="9"/>
      <c r="AT801" s="9"/>
      <c r="AU801" s="9"/>
      <c r="AV801" s="9"/>
    </row>
    <row r="802">
      <c r="A802" s="253"/>
      <c r="B802" s="254"/>
      <c r="C802" s="463"/>
      <c r="D802" s="253"/>
      <c r="E802" s="254"/>
      <c r="F802" s="463"/>
      <c r="G802" s="253"/>
      <c r="H802" s="254"/>
      <c r="I802" s="463"/>
      <c r="J802" s="253"/>
      <c r="K802" s="254"/>
      <c r="L802" s="463"/>
      <c r="M802" s="253"/>
      <c r="N802" s="254"/>
      <c r="O802" s="463"/>
      <c r="P802" s="253"/>
      <c r="Q802" s="254"/>
      <c r="R802" s="463"/>
      <c r="S802" s="253"/>
      <c r="T802" s="254"/>
      <c r="U802" s="463"/>
      <c r="V802" s="253"/>
      <c r="W802" s="254"/>
      <c r="X802" s="463"/>
      <c r="Y802" s="9"/>
      <c r="Z802" s="9"/>
      <c r="AA802" s="9"/>
      <c r="AB802" s="9"/>
      <c r="AC802" s="234"/>
      <c r="AD802" s="234"/>
      <c r="AE802" s="234"/>
      <c r="AF802" s="234"/>
      <c r="AG802" s="9"/>
      <c r="AH802" s="9"/>
      <c r="AI802" s="9"/>
      <c r="AJ802" s="9"/>
      <c r="AK802" s="245"/>
      <c r="AL802" s="245"/>
      <c r="AM802" s="245"/>
      <c r="AN802" s="245"/>
      <c r="AO802" s="9"/>
      <c r="AP802" s="9"/>
      <c r="AQ802" s="9"/>
      <c r="AR802" s="9"/>
      <c r="AS802" s="9"/>
      <c r="AT802" s="9"/>
      <c r="AU802" s="9"/>
      <c r="AV802" s="9"/>
    </row>
    <row r="803">
      <c r="A803" s="253"/>
      <c r="B803" s="254"/>
      <c r="C803" s="463"/>
      <c r="D803" s="253"/>
      <c r="E803" s="254"/>
      <c r="F803" s="463"/>
      <c r="G803" s="253"/>
      <c r="H803" s="254"/>
      <c r="I803" s="463"/>
      <c r="J803" s="253"/>
      <c r="K803" s="254"/>
      <c r="L803" s="463"/>
      <c r="M803" s="253"/>
      <c r="N803" s="254"/>
      <c r="O803" s="463"/>
      <c r="P803" s="253"/>
      <c r="Q803" s="254"/>
      <c r="R803" s="463"/>
      <c r="S803" s="253"/>
      <c r="T803" s="254"/>
      <c r="U803" s="463"/>
      <c r="V803" s="253"/>
      <c r="W803" s="254"/>
      <c r="X803" s="463"/>
      <c r="Y803" s="9"/>
      <c r="Z803" s="9"/>
      <c r="AA803" s="9"/>
      <c r="AB803" s="9"/>
      <c r="AC803" s="234"/>
      <c r="AD803" s="234"/>
      <c r="AE803" s="234"/>
      <c r="AF803" s="234"/>
      <c r="AG803" s="9"/>
      <c r="AH803" s="9"/>
      <c r="AI803" s="9"/>
      <c r="AJ803" s="9"/>
      <c r="AK803" s="245"/>
      <c r="AL803" s="245"/>
      <c r="AM803" s="245"/>
      <c r="AN803" s="245"/>
      <c r="AO803" s="9"/>
      <c r="AP803" s="9"/>
      <c r="AQ803" s="9"/>
      <c r="AR803" s="9"/>
      <c r="AS803" s="9"/>
      <c r="AT803" s="9"/>
      <c r="AU803" s="9"/>
      <c r="AV803" s="9"/>
    </row>
    <row r="804">
      <c r="A804" s="253"/>
      <c r="B804" s="254"/>
      <c r="C804" s="463"/>
      <c r="D804" s="253"/>
      <c r="E804" s="254"/>
      <c r="F804" s="463"/>
      <c r="G804" s="253"/>
      <c r="H804" s="254"/>
      <c r="I804" s="463"/>
      <c r="J804" s="253"/>
      <c r="K804" s="254"/>
      <c r="L804" s="463"/>
      <c r="M804" s="253"/>
      <c r="N804" s="254"/>
      <c r="O804" s="463"/>
      <c r="P804" s="253"/>
      <c r="Q804" s="254"/>
      <c r="R804" s="463"/>
      <c r="S804" s="253"/>
      <c r="T804" s="254"/>
      <c r="U804" s="463"/>
      <c r="V804" s="253"/>
      <c r="W804" s="254"/>
      <c r="X804" s="463"/>
      <c r="Y804" s="9"/>
      <c r="Z804" s="9"/>
      <c r="AA804" s="9"/>
      <c r="AB804" s="9"/>
      <c r="AC804" s="234"/>
      <c r="AD804" s="234"/>
      <c r="AE804" s="234"/>
      <c r="AF804" s="234"/>
      <c r="AG804" s="9"/>
      <c r="AH804" s="9"/>
      <c r="AI804" s="9"/>
      <c r="AJ804" s="9"/>
      <c r="AK804" s="245"/>
      <c r="AL804" s="245"/>
      <c r="AM804" s="245"/>
      <c r="AN804" s="245"/>
      <c r="AO804" s="9"/>
      <c r="AP804" s="9"/>
      <c r="AQ804" s="9"/>
      <c r="AR804" s="9"/>
      <c r="AS804" s="9"/>
      <c r="AT804" s="9"/>
      <c r="AU804" s="9"/>
      <c r="AV804" s="9"/>
    </row>
    <row r="805">
      <c r="A805" s="253"/>
      <c r="B805" s="254"/>
      <c r="C805" s="463"/>
      <c r="D805" s="253"/>
      <c r="E805" s="254"/>
      <c r="F805" s="463"/>
      <c r="G805" s="253"/>
      <c r="H805" s="254"/>
      <c r="I805" s="463"/>
      <c r="J805" s="253"/>
      <c r="K805" s="254"/>
      <c r="L805" s="463"/>
      <c r="M805" s="253"/>
      <c r="N805" s="254"/>
      <c r="O805" s="463"/>
      <c r="P805" s="253"/>
      <c r="Q805" s="254"/>
      <c r="R805" s="463"/>
      <c r="S805" s="253"/>
      <c r="T805" s="254"/>
      <c r="U805" s="463"/>
      <c r="V805" s="253"/>
      <c r="W805" s="254"/>
      <c r="X805" s="463"/>
      <c r="Y805" s="9"/>
      <c r="Z805" s="9"/>
      <c r="AA805" s="9"/>
      <c r="AB805" s="9"/>
      <c r="AC805" s="234"/>
      <c r="AD805" s="234"/>
      <c r="AE805" s="234"/>
      <c r="AF805" s="234"/>
      <c r="AG805" s="9"/>
      <c r="AH805" s="9"/>
      <c r="AI805" s="9"/>
      <c r="AJ805" s="9"/>
      <c r="AK805" s="245"/>
      <c r="AL805" s="245"/>
      <c r="AM805" s="245"/>
      <c r="AN805" s="245"/>
      <c r="AO805" s="9"/>
      <c r="AP805" s="9"/>
      <c r="AQ805" s="9"/>
      <c r="AR805" s="9"/>
      <c r="AS805" s="9"/>
      <c r="AT805" s="9"/>
      <c r="AU805" s="9"/>
      <c r="AV805" s="9"/>
    </row>
    <row r="806">
      <c r="A806" s="253"/>
      <c r="B806" s="254"/>
      <c r="C806" s="463"/>
      <c r="D806" s="253"/>
      <c r="E806" s="254"/>
      <c r="F806" s="463"/>
      <c r="G806" s="253"/>
      <c r="H806" s="254"/>
      <c r="I806" s="463"/>
      <c r="J806" s="253"/>
      <c r="K806" s="254"/>
      <c r="L806" s="463"/>
      <c r="M806" s="253"/>
      <c r="N806" s="254"/>
      <c r="O806" s="463"/>
      <c r="P806" s="253"/>
      <c r="Q806" s="254"/>
      <c r="R806" s="463"/>
      <c r="S806" s="253"/>
      <c r="T806" s="254"/>
      <c r="U806" s="463"/>
      <c r="V806" s="253"/>
      <c r="W806" s="254"/>
      <c r="X806" s="463"/>
      <c r="Y806" s="9"/>
      <c r="Z806" s="9"/>
      <c r="AA806" s="9"/>
      <c r="AB806" s="9"/>
      <c r="AC806" s="234"/>
      <c r="AD806" s="234"/>
      <c r="AE806" s="234"/>
      <c r="AF806" s="234"/>
      <c r="AG806" s="9"/>
      <c r="AH806" s="9"/>
      <c r="AI806" s="9"/>
      <c r="AJ806" s="9"/>
      <c r="AK806" s="245"/>
      <c r="AL806" s="245"/>
      <c r="AM806" s="245"/>
      <c r="AN806" s="245"/>
      <c r="AO806" s="9"/>
      <c r="AP806" s="9"/>
      <c r="AQ806" s="9"/>
      <c r="AR806" s="9"/>
      <c r="AS806" s="9"/>
      <c r="AT806" s="9"/>
      <c r="AU806" s="9"/>
      <c r="AV806" s="9"/>
    </row>
    <row r="807">
      <c r="A807" s="253"/>
      <c r="B807" s="254"/>
      <c r="C807" s="463"/>
      <c r="D807" s="253"/>
      <c r="E807" s="254"/>
      <c r="F807" s="463"/>
      <c r="G807" s="253"/>
      <c r="H807" s="254"/>
      <c r="I807" s="463"/>
      <c r="J807" s="253"/>
      <c r="K807" s="254"/>
      <c r="L807" s="463"/>
      <c r="M807" s="253"/>
      <c r="N807" s="254"/>
      <c r="O807" s="463"/>
      <c r="P807" s="253"/>
      <c r="Q807" s="254"/>
      <c r="R807" s="463"/>
      <c r="S807" s="253"/>
      <c r="T807" s="254"/>
      <c r="U807" s="463"/>
      <c r="V807" s="253"/>
      <c r="W807" s="254"/>
      <c r="X807" s="463"/>
      <c r="Y807" s="9"/>
      <c r="Z807" s="9"/>
      <c r="AA807" s="9"/>
      <c r="AB807" s="9"/>
      <c r="AC807" s="234"/>
      <c r="AD807" s="234"/>
      <c r="AE807" s="234"/>
      <c r="AF807" s="234"/>
      <c r="AG807" s="9"/>
      <c r="AH807" s="9"/>
      <c r="AI807" s="9"/>
      <c r="AJ807" s="9"/>
      <c r="AK807" s="245"/>
      <c r="AL807" s="245"/>
      <c r="AM807" s="245"/>
      <c r="AN807" s="245"/>
      <c r="AO807" s="9"/>
      <c r="AP807" s="9"/>
      <c r="AQ807" s="9"/>
      <c r="AR807" s="9"/>
      <c r="AS807" s="9"/>
      <c r="AT807" s="9"/>
      <c r="AU807" s="9"/>
      <c r="AV807" s="9"/>
    </row>
    <row r="808">
      <c r="A808" s="253"/>
      <c r="B808" s="254"/>
      <c r="C808" s="463"/>
      <c r="D808" s="253"/>
      <c r="E808" s="254"/>
      <c r="F808" s="463"/>
      <c r="G808" s="253"/>
      <c r="H808" s="254"/>
      <c r="I808" s="463"/>
      <c r="J808" s="253"/>
      <c r="K808" s="254"/>
      <c r="L808" s="463"/>
      <c r="M808" s="253"/>
      <c r="N808" s="254"/>
      <c r="O808" s="463"/>
      <c r="P808" s="253"/>
      <c r="Q808" s="254"/>
      <c r="R808" s="463"/>
      <c r="S808" s="253"/>
      <c r="T808" s="254"/>
      <c r="U808" s="463"/>
      <c r="V808" s="253"/>
      <c r="W808" s="254"/>
      <c r="X808" s="463"/>
      <c r="Y808" s="9"/>
      <c r="Z808" s="9"/>
      <c r="AA808" s="9"/>
      <c r="AB808" s="9"/>
      <c r="AC808" s="234"/>
      <c r="AD808" s="234"/>
      <c r="AE808" s="234"/>
      <c r="AF808" s="234"/>
      <c r="AG808" s="9"/>
      <c r="AH808" s="9"/>
      <c r="AI808" s="9"/>
      <c r="AJ808" s="9"/>
      <c r="AK808" s="245"/>
      <c r="AL808" s="245"/>
      <c r="AM808" s="245"/>
      <c r="AN808" s="245"/>
      <c r="AO808" s="9"/>
      <c r="AP808" s="9"/>
      <c r="AQ808" s="9"/>
      <c r="AR808" s="9"/>
      <c r="AS808" s="9"/>
      <c r="AT808" s="9"/>
      <c r="AU808" s="9"/>
      <c r="AV808" s="9"/>
    </row>
    <row r="809">
      <c r="A809" s="253"/>
      <c r="B809" s="254"/>
      <c r="C809" s="463"/>
      <c r="D809" s="253"/>
      <c r="E809" s="254"/>
      <c r="F809" s="463"/>
      <c r="G809" s="253"/>
      <c r="H809" s="254"/>
      <c r="I809" s="463"/>
      <c r="J809" s="253"/>
      <c r="K809" s="254"/>
      <c r="L809" s="463"/>
      <c r="M809" s="253"/>
      <c r="N809" s="254"/>
      <c r="O809" s="463"/>
      <c r="P809" s="253"/>
      <c r="Q809" s="254"/>
      <c r="R809" s="463"/>
      <c r="S809" s="253"/>
      <c r="T809" s="254"/>
      <c r="U809" s="463"/>
      <c r="V809" s="253"/>
      <c r="W809" s="254"/>
      <c r="X809" s="463"/>
      <c r="Y809" s="9"/>
      <c r="Z809" s="9"/>
      <c r="AA809" s="9"/>
      <c r="AB809" s="9"/>
      <c r="AC809" s="234"/>
      <c r="AD809" s="234"/>
      <c r="AE809" s="234"/>
      <c r="AF809" s="234"/>
      <c r="AG809" s="9"/>
      <c r="AH809" s="9"/>
      <c r="AI809" s="9"/>
      <c r="AJ809" s="9"/>
      <c r="AK809" s="245"/>
      <c r="AL809" s="245"/>
      <c r="AM809" s="245"/>
      <c r="AN809" s="245"/>
      <c r="AO809" s="9"/>
      <c r="AP809" s="9"/>
      <c r="AQ809" s="9"/>
      <c r="AR809" s="9"/>
      <c r="AS809" s="9"/>
      <c r="AT809" s="9"/>
      <c r="AU809" s="9"/>
      <c r="AV809" s="9"/>
    </row>
    <row r="810">
      <c r="A810" s="253"/>
      <c r="B810" s="254"/>
      <c r="C810" s="463"/>
      <c r="D810" s="253"/>
      <c r="E810" s="254"/>
      <c r="F810" s="463"/>
      <c r="G810" s="253"/>
      <c r="H810" s="254"/>
      <c r="I810" s="463"/>
      <c r="J810" s="253"/>
      <c r="K810" s="254"/>
      <c r="L810" s="463"/>
      <c r="M810" s="253"/>
      <c r="N810" s="254"/>
      <c r="O810" s="463"/>
      <c r="P810" s="253"/>
      <c r="Q810" s="254"/>
      <c r="R810" s="463"/>
      <c r="S810" s="253"/>
      <c r="T810" s="254"/>
      <c r="U810" s="463"/>
      <c r="V810" s="253"/>
      <c r="W810" s="254"/>
      <c r="X810" s="463"/>
      <c r="Y810" s="9"/>
      <c r="Z810" s="9"/>
      <c r="AA810" s="9"/>
      <c r="AB810" s="9"/>
      <c r="AC810" s="234"/>
      <c r="AD810" s="234"/>
      <c r="AE810" s="234"/>
      <c r="AF810" s="234"/>
      <c r="AG810" s="9"/>
      <c r="AH810" s="9"/>
      <c r="AI810" s="9"/>
      <c r="AJ810" s="9"/>
      <c r="AK810" s="245"/>
      <c r="AL810" s="245"/>
      <c r="AM810" s="245"/>
      <c r="AN810" s="245"/>
      <c r="AO810" s="9"/>
      <c r="AP810" s="9"/>
      <c r="AQ810" s="9"/>
      <c r="AR810" s="9"/>
      <c r="AS810" s="9"/>
      <c r="AT810" s="9"/>
      <c r="AU810" s="9"/>
      <c r="AV810" s="9"/>
    </row>
    <row r="811">
      <c r="A811" s="253"/>
      <c r="B811" s="254"/>
      <c r="C811" s="463"/>
      <c r="D811" s="253"/>
      <c r="E811" s="254"/>
      <c r="F811" s="463"/>
      <c r="G811" s="253"/>
      <c r="H811" s="254"/>
      <c r="I811" s="463"/>
      <c r="J811" s="253"/>
      <c r="K811" s="254"/>
      <c r="L811" s="463"/>
      <c r="M811" s="253"/>
      <c r="N811" s="254"/>
      <c r="O811" s="463"/>
      <c r="P811" s="253"/>
      <c r="Q811" s="254"/>
      <c r="R811" s="463"/>
      <c r="S811" s="253"/>
      <c r="T811" s="254"/>
      <c r="U811" s="463"/>
      <c r="V811" s="253"/>
      <c r="W811" s="254"/>
      <c r="X811" s="463"/>
      <c r="Y811" s="9"/>
      <c r="Z811" s="9"/>
      <c r="AA811" s="9"/>
      <c r="AB811" s="9"/>
      <c r="AC811" s="234"/>
      <c r="AD811" s="234"/>
      <c r="AE811" s="234"/>
      <c r="AF811" s="234"/>
      <c r="AG811" s="9"/>
      <c r="AH811" s="9"/>
      <c r="AI811" s="9"/>
      <c r="AJ811" s="9"/>
      <c r="AK811" s="245"/>
      <c r="AL811" s="245"/>
      <c r="AM811" s="245"/>
      <c r="AN811" s="245"/>
      <c r="AO811" s="9"/>
      <c r="AP811" s="9"/>
      <c r="AQ811" s="9"/>
      <c r="AR811" s="9"/>
      <c r="AS811" s="9"/>
      <c r="AT811" s="9"/>
      <c r="AU811" s="9"/>
      <c r="AV811" s="9"/>
    </row>
    <row r="812">
      <c r="A812" s="253"/>
      <c r="B812" s="254"/>
      <c r="C812" s="463"/>
      <c r="D812" s="253"/>
      <c r="E812" s="254"/>
      <c r="F812" s="463"/>
      <c r="G812" s="253"/>
      <c r="H812" s="254"/>
      <c r="I812" s="463"/>
      <c r="J812" s="253"/>
      <c r="K812" s="254"/>
      <c r="L812" s="463"/>
      <c r="M812" s="253"/>
      <c r="N812" s="254"/>
      <c r="O812" s="463"/>
      <c r="P812" s="253"/>
      <c r="Q812" s="254"/>
      <c r="R812" s="463"/>
      <c r="S812" s="253"/>
      <c r="T812" s="254"/>
      <c r="U812" s="463"/>
      <c r="V812" s="253"/>
      <c r="W812" s="254"/>
      <c r="X812" s="463"/>
      <c r="Y812" s="9"/>
      <c r="Z812" s="9"/>
      <c r="AA812" s="9"/>
      <c r="AB812" s="9"/>
      <c r="AC812" s="234"/>
      <c r="AD812" s="234"/>
      <c r="AE812" s="234"/>
      <c r="AF812" s="234"/>
      <c r="AG812" s="9"/>
      <c r="AH812" s="9"/>
      <c r="AI812" s="9"/>
      <c r="AJ812" s="9"/>
      <c r="AK812" s="245"/>
      <c r="AL812" s="245"/>
      <c r="AM812" s="245"/>
      <c r="AN812" s="245"/>
      <c r="AO812" s="9"/>
      <c r="AP812" s="9"/>
      <c r="AQ812" s="9"/>
      <c r="AR812" s="9"/>
      <c r="AS812" s="9"/>
      <c r="AT812" s="9"/>
      <c r="AU812" s="9"/>
      <c r="AV812" s="9"/>
    </row>
    <row r="813">
      <c r="A813" s="253"/>
      <c r="B813" s="254"/>
      <c r="C813" s="463"/>
      <c r="D813" s="253"/>
      <c r="E813" s="254"/>
      <c r="F813" s="463"/>
      <c r="G813" s="253"/>
      <c r="H813" s="254"/>
      <c r="I813" s="463"/>
      <c r="J813" s="253"/>
      <c r="K813" s="254"/>
      <c r="L813" s="463"/>
      <c r="M813" s="253"/>
      <c r="N813" s="254"/>
      <c r="O813" s="463"/>
      <c r="P813" s="253"/>
      <c r="Q813" s="254"/>
      <c r="R813" s="463"/>
      <c r="S813" s="253"/>
      <c r="T813" s="254"/>
      <c r="U813" s="463"/>
      <c r="V813" s="253"/>
      <c r="W813" s="254"/>
      <c r="X813" s="463"/>
      <c r="Y813" s="9"/>
      <c r="Z813" s="9"/>
      <c r="AA813" s="9"/>
      <c r="AB813" s="9"/>
      <c r="AC813" s="234"/>
      <c r="AD813" s="234"/>
      <c r="AE813" s="234"/>
      <c r="AF813" s="234"/>
      <c r="AG813" s="9"/>
      <c r="AH813" s="9"/>
      <c r="AI813" s="9"/>
      <c r="AJ813" s="9"/>
      <c r="AK813" s="245"/>
      <c r="AL813" s="245"/>
      <c r="AM813" s="245"/>
      <c r="AN813" s="245"/>
      <c r="AO813" s="9"/>
      <c r="AP813" s="9"/>
      <c r="AQ813" s="9"/>
      <c r="AR813" s="9"/>
      <c r="AS813" s="9"/>
      <c r="AT813" s="9"/>
      <c r="AU813" s="9"/>
      <c r="AV813" s="9"/>
    </row>
    <row r="814">
      <c r="A814" s="253"/>
      <c r="B814" s="254"/>
      <c r="C814" s="463"/>
      <c r="D814" s="253"/>
      <c r="E814" s="254"/>
      <c r="F814" s="463"/>
      <c r="G814" s="253"/>
      <c r="H814" s="254"/>
      <c r="I814" s="463"/>
      <c r="J814" s="253"/>
      <c r="K814" s="254"/>
      <c r="L814" s="463"/>
      <c r="M814" s="253"/>
      <c r="N814" s="254"/>
      <c r="O814" s="463"/>
      <c r="P814" s="253"/>
      <c r="Q814" s="254"/>
      <c r="R814" s="463"/>
      <c r="S814" s="253"/>
      <c r="T814" s="254"/>
      <c r="U814" s="463"/>
      <c r="V814" s="253"/>
      <c r="W814" s="254"/>
      <c r="X814" s="463"/>
      <c r="Y814" s="9"/>
      <c r="Z814" s="9"/>
      <c r="AA814" s="9"/>
      <c r="AB814" s="9"/>
      <c r="AC814" s="234"/>
      <c r="AD814" s="234"/>
      <c r="AE814" s="234"/>
      <c r="AF814" s="234"/>
      <c r="AG814" s="9"/>
      <c r="AH814" s="9"/>
      <c r="AI814" s="9"/>
      <c r="AJ814" s="9"/>
      <c r="AK814" s="245"/>
      <c r="AL814" s="245"/>
      <c r="AM814" s="245"/>
      <c r="AN814" s="245"/>
      <c r="AO814" s="9"/>
      <c r="AP814" s="9"/>
      <c r="AQ814" s="9"/>
      <c r="AR814" s="9"/>
      <c r="AS814" s="9"/>
      <c r="AT814" s="9"/>
      <c r="AU814" s="9"/>
      <c r="AV814" s="9"/>
    </row>
    <row r="815">
      <c r="A815" s="253"/>
      <c r="B815" s="254"/>
      <c r="C815" s="463"/>
      <c r="D815" s="253"/>
      <c r="E815" s="254"/>
      <c r="F815" s="463"/>
      <c r="G815" s="253"/>
      <c r="H815" s="254"/>
      <c r="I815" s="463"/>
      <c r="J815" s="253"/>
      <c r="K815" s="254"/>
      <c r="L815" s="463"/>
      <c r="M815" s="253"/>
      <c r="N815" s="254"/>
      <c r="O815" s="463"/>
      <c r="P815" s="253"/>
      <c r="Q815" s="254"/>
      <c r="R815" s="463"/>
      <c r="S815" s="253"/>
      <c r="T815" s="254"/>
      <c r="U815" s="463"/>
      <c r="V815" s="253"/>
      <c r="W815" s="254"/>
      <c r="X815" s="463"/>
      <c r="Y815" s="9"/>
      <c r="Z815" s="9"/>
      <c r="AA815" s="9"/>
      <c r="AB815" s="9"/>
      <c r="AC815" s="234"/>
      <c r="AD815" s="234"/>
      <c r="AE815" s="234"/>
      <c r="AF815" s="234"/>
      <c r="AG815" s="9"/>
      <c r="AH815" s="9"/>
      <c r="AI815" s="9"/>
      <c r="AJ815" s="9"/>
      <c r="AK815" s="245"/>
      <c r="AL815" s="245"/>
      <c r="AM815" s="245"/>
      <c r="AN815" s="245"/>
      <c r="AO815" s="9"/>
      <c r="AP815" s="9"/>
      <c r="AQ815" s="9"/>
      <c r="AR815" s="9"/>
      <c r="AS815" s="9"/>
      <c r="AT815" s="9"/>
      <c r="AU815" s="9"/>
      <c r="AV815" s="9"/>
    </row>
    <row r="816">
      <c r="A816" s="253"/>
      <c r="B816" s="254"/>
      <c r="C816" s="463"/>
      <c r="D816" s="253"/>
      <c r="E816" s="254"/>
      <c r="F816" s="463"/>
      <c r="G816" s="253"/>
      <c r="H816" s="254"/>
      <c r="I816" s="463"/>
      <c r="J816" s="253"/>
      <c r="K816" s="254"/>
      <c r="L816" s="463"/>
      <c r="M816" s="253"/>
      <c r="N816" s="254"/>
      <c r="O816" s="463"/>
      <c r="P816" s="253"/>
      <c r="Q816" s="254"/>
      <c r="R816" s="463"/>
      <c r="S816" s="253"/>
      <c r="T816" s="254"/>
      <c r="U816" s="463"/>
      <c r="V816" s="253"/>
      <c r="W816" s="254"/>
      <c r="X816" s="463"/>
      <c r="Y816" s="9"/>
      <c r="Z816" s="9"/>
      <c r="AA816" s="9"/>
      <c r="AB816" s="9"/>
      <c r="AC816" s="234"/>
      <c r="AD816" s="234"/>
      <c r="AE816" s="234"/>
      <c r="AF816" s="234"/>
      <c r="AG816" s="9"/>
      <c r="AH816" s="9"/>
      <c r="AI816" s="9"/>
      <c r="AJ816" s="9"/>
      <c r="AK816" s="245"/>
      <c r="AL816" s="245"/>
      <c r="AM816" s="245"/>
      <c r="AN816" s="245"/>
      <c r="AO816" s="9"/>
      <c r="AP816" s="9"/>
      <c r="AQ816" s="9"/>
      <c r="AR816" s="9"/>
      <c r="AS816" s="9"/>
      <c r="AT816" s="9"/>
      <c r="AU816" s="9"/>
      <c r="AV816" s="9"/>
    </row>
    <row r="817">
      <c r="A817" s="253"/>
      <c r="B817" s="254"/>
      <c r="C817" s="463"/>
      <c r="D817" s="253"/>
      <c r="E817" s="254"/>
      <c r="F817" s="463"/>
      <c r="G817" s="253"/>
      <c r="H817" s="254"/>
      <c r="I817" s="463"/>
      <c r="J817" s="253"/>
      <c r="K817" s="254"/>
      <c r="L817" s="463"/>
      <c r="M817" s="253"/>
      <c r="N817" s="254"/>
      <c r="O817" s="463"/>
      <c r="P817" s="253"/>
      <c r="Q817" s="254"/>
      <c r="R817" s="463"/>
      <c r="S817" s="253"/>
      <c r="T817" s="254"/>
      <c r="U817" s="463"/>
      <c r="V817" s="253"/>
      <c r="W817" s="254"/>
      <c r="X817" s="463"/>
      <c r="Y817" s="9"/>
      <c r="Z817" s="9"/>
      <c r="AA817" s="9"/>
      <c r="AB817" s="9"/>
      <c r="AC817" s="234"/>
      <c r="AD817" s="234"/>
      <c r="AE817" s="234"/>
      <c r="AF817" s="234"/>
      <c r="AG817" s="9"/>
      <c r="AH817" s="9"/>
      <c r="AI817" s="9"/>
      <c r="AJ817" s="9"/>
      <c r="AK817" s="245"/>
      <c r="AL817" s="245"/>
      <c r="AM817" s="245"/>
      <c r="AN817" s="245"/>
      <c r="AO817" s="9"/>
      <c r="AP817" s="9"/>
      <c r="AQ817" s="9"/>
      <c r="AR817" s="9"/>
      <c r="AS817" s="9"/>
      <c r="AT817" s="9"/>
      <c r="AU817" s="9"/>
      <c r="AV817" s="9"/>
    </row>
    <row r="818">
      <c r="A818" s="253"/>
      <c r="B818" s="254"/>
      <c r="C818" s="463"/>
      <c r="D818" s="253"/>
      <c r="E818" s="254"/>
      <c r="F818" s="463"/>
      <c r="G818" s="253"/>
      <c r="H818" s="254"/>
      <c r="I818" s="463"/>
      <c r="J818" s="253"/>
      <c r="K818" s="254"/>
      <c r="L818" s="463"/>
      <c r="M818" s="253"/>
      <c r="N818" s="254"/>
      <c r="O818" s="463"/>
      <c r="P818" s="253"/>
      <c r="Q818" s="254"/>
      <c r="R818" s="463"/>
      <c r="S818" s="253"/>
      <c r="T818" s="254"/>
      <c r="U818" s="463"/>
      <c r="V818" s="253"/>
      <c r="W818" s="254"/>
      <c r="X818" s="463"/>
      <c r="Y818" s="9"/>
      <c r="Z818" s="9"/>
      <c r="AA818" s="9"/>
      <c r="AB818" s="9"/>
      <c r="AC818" s="234"/>
      <c r="AD818" s="234"/>
      <c r="AE818" s="234"/>
      <c r="AF818" s="234"/>
      <c r="AG818" s="9"/>
      <c r="AH818" s="9"/>
      <c r="AI818" s="9"/>
      <c r="AJ818" s="9"/>
      <c r="AK818" s="245"/>
      <c r="AL818" s="245"/>
      <c r="AM818" s="245"/>
      <c r="AN818" s="245"/>
      <c r="AO818" s="9"/>
      <c r="AP818" s="9"/>
      <c r="AQ818" s="9"/>
      <c r="AR818" s="9"/>
      <c r="AS818" s="9"/>
      <c r="AT818" s="9"/>
      <c r="AU818" s="9"/>
      <c r="AV818" s="9"/>
    </row>
    <row r="819">
      <c r="A819" s="253"/>
      <c r="B819" s="254"/>
      <c r="C819" s="463"/>
      <c r="D819" s="253"/>
      <c r="E819" s="254"/>
      <c r="F819" s="463"/>
      <c r="G819" s="253"/>
      <c r="H819" s="254"/>
      <c r="I819" s="463"/>
      <c r="J819" s="253"/>
      <c r="K819" s="254"/>
      <c r="L819" s="463"/>
      <c r="M819" s="253"/>
      <c r="N819" s="254"/>
      <c r="O819" s="463"/>
      <c r="P819" s="253"/>
      <c r="Q819" s="254"/>
      <c r="R819" s="463"/>
      <c r="S819" s="253"/>
      <c r="T819" s="254"/>
      <c r="U819" s="463"/>
      <c r="V819" s="253"/>
      <c r="W819" s="254"/>
      <c r="X819" s="463"/>
      <c r="Y819" s="9"/>
      <c r="Z819" s="9"/>
      <c r="AA819" s="9"/>
      <c r="AB819" s="9"/>
      <c r="AC819" s="234"/>
      <c r="AD819" s="234"/>
      <c r="AE819" s="234"/>
      <c r="AF819" s="234"/>
      <c r="AG819" s="9"/>
      <c r="AH819" s="9"/>
      <c r="AI819" s="9"/>
      <c r="AJ819" s="9"/>
      <c r="AK819" s="245"/>
      <c r="AL819" s="245"/>
      <c r="AM819" s="245"/>
      <c r="AN819" s="245"/>
      <c r="AO819" s="9"/>
      <c r="AP819" s="9"/>
      <c r="AQ819" s="9"/>
      <c r="AR819" s="9"/>
      <c r="AS819" s="9"/>
      <c r="AT819" s="9"/>
      <c r="AU819" s="9"/>
      <c r="AV819" s="9"/>
    </row>
    <row r="820">
      <c r="A820" s="253"/>
      <c r="B820" s="254"/>
      <c r="C820" s="463"/>
      <c r="D820" s="253"/>
      <c r="E820" s="254"/>
      <c r="F820" s="463"/>
      <c r="G820" s="253"/>
      <c r="H820" s="254"/>
      <c r="I820" s="463"/>
      <c r="J820" s="253"/>
      <c r="K820" s="254"/>
      <c r="L820" s="463"/>
      <c r="M820" s="253"/>
      <c r="N820" s="254"/>
      <c r="O820" s="463"/>
      <c r="P820" s="253"/>
      <c r="Q820" s="254"/>
      <c r="R820" s="463"/>
      <c r="S820" s="253"/>
      <c r="T820" s="254"/>
      <c r="U820" s="463"/>
      <c r="V820" s="253"/>
      <c r="W820" s="254"/>
      <c r="X820" s="463"/>
      <c r="Y820" s="9"/>
      <c r="Z820" s="9"/>
      <c r="AA820" s="9"/>
      <c r="AB820" s="9"/>
      <c r="AC820" s="234"/>
      <c r="AD820" s="234"/>
      <c r="AE820" s="234"/>
      <c r="AF820" s="234"/>
      <c r="AG820" s="9"/>
      <c r="AH820" s="9"/>
      <c r="AI820" s="9"/>
      <c r="AJ820" s="9"/>
      <c r="AK820" s="245"/>
      <c r="AL820" s="245"/>
      <c r="AM820" s="245"/>
      <c r="AN820" s="245"/>
      <c r="AO820" s="9"/>
      <c r="AP820" s="9"/>
      <c r="AQ820" s="9"/>
      <c r="AR820" s="9"/>
      <c r="AS820" s="9"/>
      <c r="AT820" s="9"/>
      <c r="AU820" s="9"/>
      <c r="AV820" s="9"/>
    </row>
    <row r="821">
      <c r="A821" s="253"/>
      <c r="B821" s="254"/>
      <c r="C821" s="463"/>
      <c r="D821" s="253"/>
      <c r="E821" s="254"/>
      <c r="F821" s="463"/>
      <c r="G821" s="253"/>
      <c r="H821" s="254"/>
      <c r="I821" s="463"/>
      <c r="J821" s="253"/>
      <c r="K821" s="254"/>
      <c r="L821" s="463"/>
      <c r="M821" s="253"/>
      <c r="N821" s="254"/>
      <c r="O821" s="463"/>
      <c r="P821" s="253"/>
      <c r="Q821" s="254"/>
      <c r="R821" s="463"/>
      <c r="S821" s="253"/>
      <c r="T821" s="254"/>
      <c r="U821" s="463"/>
      <c r="V821" s="253"/>
      <c r="W821" s="254"/>
      <c r="X821" s="463"/>
      <c r="Y821" s="9"/>
      <c r="Z821" s="9"/>
      <c r="AA821" s="9"/>
      <c r="AB821" s="9"/>
      <c r="AC821" s="234"/>
      <c r="AD821" s="234"/>
      <c r="AE821" s="234"/>
      <c r="AF821" s="234"/>
      <c r="AG821" s="9"/>
      <c r="AH821" s="9"/>
      <c r="AI821" s="9"/>
      <c r="AJ821" s="9"/>
      <c r="AK821" s="245"/>
      <c r="AL821" s="245"/>
      <c r="AM821" s="245"/>
      <c r="AN821" s="245"/>
      <c r="AO821" s="9"/>
      <c r="AP821" s="9"/>
      <c r="AQ821" s="9"/>
      <c r="AR821" s="9"/>
      <c r="AS821" s="9"/>
      <c r="AT821" s="9"/>
      <c r="AU821" s="9"/>
      <c r="AV821" s="9"/>
    </row>
    <row r="822">
      <c r="A822" s="253"/>
      <c r="B822" s="254"/>
      <c r="C822" s="463"/>
      <c r="D822" s="253"/>
      <c r="E822" s="254"/>
      <c r="F822" s="463"/>
      <c r="G822" s="253"/>
      <c r="H822" s="254"/>
      <c r="I822" s="463"/>
      <c r="J822" s="253"/>
      <c r="K822" s="254"/>
      <c r="L822" s="463"/>
      <c r="M822" s="253"/>
      <c r="N822" s="254"/>
      <c r="O822" s="463"/>
      <c r="P822" s="253"/>
      <c r="Q822" s="254"/>
      <c r="R822" s="463"/>
      <c r="S822" s="253"/>
      <c r="T822" s="254"/>
      <c r="U822" s="463"/>
      <c r="V822" s="253"/>
      <c r="W822" s="254"/>
      <c r="X822" s="463"/>
      <c r="Y822" s="9"/>
      <c r="Z822" s="9"/>
      <c r="AA822" s="9"/>
      <c r="AB822" s="9"/>
      <c r="AC822" s="234"/>
      <c r="AD822" s="234"/>
      <c r="AE822" s="234"/>
      <c r="AF822" s="234"/>
      <c r="AG822" s="9"/>
      <c r="AH822" s="9"/>
      <c r="AI822" s="9"/>
      <c r="AJ822" s="9"/>
      <c r="AK822" s="245"/>
      <c r="AL822" s="245"/>
      <c r="AM822" s="245"/>
      <c r="AN822" s="245"/>
      <c r="AO822" s="9"/>
      <c r="AP822" s="9"/>
      <c r="AQ822" s="9"/>
      <c r="AR822" s="9"/>
      <c r="AS822" s="9"/>
      <c r="AT822" s="9"/>
      <c r="AU822" s="9"/>
      <c r="AV822" s="9"/>
    </row>
    <row r="823">
      <c r="A823" s="253"/>
      <c r="B823" s="254"/>
      <c r="C823" s="463"/>
      <c r="D823" s="253"/>
      <c r="E823" s="254"/>
      <c r="F823" s="463"/>
      <c r="G823" s="253"/>
      <c r="H823" s="254"/>
      <c r="I823" s="463"/>
      <c r="J823" s="253"/>
      <c r="K823" s="254"/>
      <c r="L823" s="463"/>
      <c r="M823" s="253"/>
      <c r="N823" s="254"/>
      <c r="O823" s="463"/>
      <c r="P823" s="253"/>
      <c r="Q823" s="254"/>
      <c r="R823" s="463"/>
      <c r="S823" s="253"/>
      <c r="T823" s="254"/>
      <c r="U823" s="463"/>
      <c r="V823" s="253"/>
      <c r="W823" s="254"/>
      <c r="X823" s="463"/>
      <c r="Y823" s="9"/>
      <c r="Z823" s="9"/>
      <c r="AA823" s="9"/>
      <c r="AB823" s="9"/>
      <c r="AC823" s="234"/>
      <c r="AD823" s="234"/>
      <c r="AE823" s="234"/>
      <c r="AF823" s="234"/>
      <c r="AG823" s="9"/>
      <c r="AH823" s="9"/>
      <c r="AI823" s="9"/>
      <c r="AJ823" s="9"/>
      <c r="AK823" s="245"/>
      <c r="AL823" s="245"/>
      <c r="AM823" s="245"/>
      <c r="AN823" s="245"/>
      <c r="AO823" s="9"/>
      <c r="AP823" s="9"/>
      <c r="AQ823" s="9"/>
      <c r="AR823" s="9"/>
      <c r="AS823" s="9"/>
      <c r="AT823" s="9"/>
      <c r="AU823" s="9"/>
      <c r="AV823" s="9"/>
    </row>
    <row r="824">
      <c r="A824" s="253"/>
      <c r="B824" s="254"/>
      <c r="C824" s="463"/>
      <c r="D824" s="253"/>
      <c r="E824" s="254"/>
      <c r="F824" s="463"/>
      <c r="G824" s="253"/>
      <c r="H824" s="254"/>
      <c r="I824" s="463"/>
      <c r="J824" s="253"/>
      <c r="K824" s="254"/>
      <c r="L824" s="463"/>
      <c r="M824" s="253"/>
      <c r="N824" s="254"/>
      <c r="O824" s="463"/>
      <c r="P824" s="253"/>
      <c r="Q824" s="254"/>
      <c r="R824" s="463"/>
      <c r="S824" s="253"/>
      <c r="T824" s="254"/>
      <c r="U824" s="463"/>
      <c r="V824" s="253"/>
      <c r="W824" s="254"/>
      <c r="X824" s="463"/>
      <c r="Y824" s="9"/>
      <c r="Z824" s="9"/>
      <c r="AA824" s="9"/>
      <c r="AB824" s="9"/>
      <c r="AC824" s="234"/>
      <c r="AD824" s="234"/>
      <c r="AE824" s="234"/>
      <c r="AF824" s="234"/>
      <c r="AG824" s="9"/>
      <c r="AH824" s="9"/>
      <c r="AI824" s="9"/>
      <c r="AJ824" s="9"/>
      <c r="AK824" s="245"/>
      <c r="AL824" s="245"/>
      <c r="AM824" s="245"/>
      <c r="AN824" s="245"/>
      <c r="AO824" s="9"/>
      <c r="AP824" s="9"/>
      <c r="AQ824" s="9"/>
      <c r="AR824" s="9"/>
      <c r="AS824" s="9"/>
      <c r="AT824" s="9"/>
      <c r="AU824" s="9"/>
      <c r="AV824" s="9"/>
    </row>
    <row r="825">
      <c r="A825" s="253"/>
      <c r="B825" s="254"/>
      <c r="C825" s="463"/>
      <c r="D825" s="253"/>
      <c r="E825" s="254"/>
      <c r="F825" s="463"/>
      <c r="G825" s="253"/>
      <c r="H825" s="254"/>
      <c r="I825" s="463"/>
      <c r="J825" s="253"/>
      <c r="K825" s="254"/>
      <c r="L825" s="463"/>
      <c r="M825" s="253"/>
      <c r="N825" s="254"/>
      <c r="O825" s="463"/>
      <c r="P825" s="253"/>
      <c r="Q825" s="254"/>
      <c r="R825" s="463"/>
      <c r="S825" s="253"/>
      <c r="T825" s="254"/>
      <c r="U825" s="463"/>
      <c r="V825" s="253"/>
      <c r="W825" s="254"/>
      <c r="X825" s="463"/>
      <c r="Y825" s="9"/>
      <c r="Z825" s="9"/>
      <c r="AA825" s="9"/>
      <c r="AB825" s="9"/>
      <c r="AC825" s="234"/>
      <c r="AD825" s="234"/>
      <c r="AE825" s="234"/>
      <c r="AF825" s="234"/>
      <c r="AG825" s="9"/>
      <c r="AH825" s="9"/>
      <c r="AI825" s="9"/>
      <c r="AJ825" s="9"/>
      <c r="AK825" s="245"/>
      <c r="AL825" s="245"/>
      <c r="AM825" s="245"/>
      <c r="AN825" s="245"/>
      <c r="AO825" s="9"/>
      <c r="AP825" s="9"/>
      <c r="AQ825" s="9"/>
      <c r="AR825" s="9"/>
      <c r="AS825" s="9"/>
      <c r="AT825" s="9"/>
      <c r="AU825" s="9"/>
      <c r="AV825" s="9"/>
    </row>
    <row r="826">
      <c r="A826" s="253"/>
      <c r="B826" s="254"/>
      <c r="C826" s="463"/>
      <c r="D826" s="253"/>
      <c r="E826" s="254"/>
      <c r="F826" s="463"/>
      <c r="G826" s="253"/>
      <c r="H826" s="254"/>
      <c r="I826" s="463"/>
      <c r="J826" s="253"/>
      <c r="K826" s="254"/>
      <c r="L826" s="463"/>
      <c r="M826" s="253"/>
      <c r="N826" s="254"/>
      <c r="O826" s="463"/>
      <c r="P826" s="253"/>
      <c r="Q826" s="254"/>
      <c r="R826" s="463"/>
      <c r="S826" s="253"/>
      <c r="T826" s="254"/>
      <c r="U826" s="463"/>
      <c r="V826" s="253"/>
      <c r="W826" s="254"/>
      <c r="X826" s="463"/>
      <c r="Y826" s="9"/>
      <c r="Z826" s="9"/>
      <c r="AA826" s="9"/>
      <c r="AB826" s="9"/>
      <c r="AC826" s="234"/>
      <c r="AD826" s="234"/>
      <c r="AE826" s="234"/>
      <c r="AF826" s="234"/>
      <c r="AG826" s="9"/>
      <c r="AH826" s="9"/>
      <c r="AI826" s="9"/>
      <c r="AJ826" s="9"/>
      <c r="AK826" s="245"/>
      <c r="AL826" s="245"/>
      <c r="AM826" s="245"/>
      <c r="AN826" s="245"/>
      <c r="AO826" s="9"/>
      <c r="AP826" s="9"/>
      <c r="AQ826" s="9"/>
      <c r="AR826" s="9"/>
      <c r="AS826" s="9"/>
      <c r="AT826" s="9"/>
      <c r="AU826" s="9"/>
      <c r="AV826" s="9"/>
    </row>
    <row r="827">
      <c r="A827" s="253"/>
      <c r="B827" s="254"/>
      <c r="C827" s="463"/>
      <c r="D827" s="253"/>
      <c r="E827" s="254"/>
      <c r="F827" s="463"/>
      <c r="G827" s="253"/>
      <c r="H827" s="254"/>
      <c r="I827" s="463"/>
      <c r="J827" s="253"/>
      <c r="K827" s="254"/>
      <c r="L827" s="463"/>
      <c r="M827" s="253"/>
      <c r="N827" s="254"/>
      <c r="O827" s="463"/>
      <c r="P827" s="253"/>
      <c r="Q827" s="254"/>
      <c r="R827" s="463"/>
      <c r="S827" s="253"/>
      <c r="T827" s="254"/>
      <c r="U827" s="463"/>
      <c r="V827" s="253"/>
      <c r="W827" s="254"/>
      <c r="X827" s="463"/>
      <c r="Y827" s="9"/>
      <c r="Z827" s="9"/>
      <c r="AA827" s="9"/>
      <c r="AB827" s="9"/>
      <c r="AC827" s="234"/>
      <c r="AD827" s="234"/>
      <c r="AE827" s="234"/>
      <c r="AF827" s="234"/>
      <c r="AG827" s="9"/>
      <c r="AH827" s="9"/>
      <c r="AI827" s="9"/>
      <c r="AJ827" s="9"/>
      <c r="AK827" s="245"/>
      <c r="AL827" s="245"/>
      <c r="AM827" s="245"/>
      <c r="AN827" s="245"/>
      <c r="AO827" s="9"/>
      <c r="AP827" s="9"/>
      <c r="AQ827" s="9"/>
      <c r="AR827" s="9"/>
      <c r="AS827" s="9"/>
      <c r="AT827" s="9"/>
      <c r="AU827" s="9"/>
      <c r="AV827" s="9"/>
    </row>
    <row r="828">
      <c r="A828" s="253"/>
      <c r="B828" s="254"/>
      <c r="C828" s="463"/>
      <c r="D828" s="253"/>
      <c r="E828" s="254"/>
      <c r="F828" s="463"/>
      <c r="G828" s="253"/>
      <c r="H828" s="254"/>
      <c r="I828" s="463"/>
      <c r="J828" s="253"/>
      <c r="K828" s="254"/>
      <c r="L828" s="463"/>
      <c r="M828" s="253"/>
      <c r="N828" s="254"/>
      <c r="O828" s="463"/>
      <c r="P828" s="253"/>
      <c r="Q828" s="254"/>
      <c r="R828" s="463"/>
      <c r="S828" s="253"/>
      <c r="T828" s="254"/>
      <c r="U828" s="463"/>
      <c r="V828" s="253"/>
      <c r="W828" s="254"/>
      <c r="X828" s="463"/>
      <c r="Y828" s="9"/>
      <c r="Z828" s="9"/>
      <c r="AA828" s="9"/>
      <c r="AB828" s="9"/>
      <c r="AC828" s="234"/>
      <c r="AD828" s="234"/>
      <c r="AE828" s="234"/>
      <c r="AF828" s="234"/>
      <c r="AG828" s="9"/>
      <c r="AH828" s="9"/>
      <c r="AI828" s="9"/>
      <c r="AJ828" s="9"/>
      <c r="AK828" s="245"/>
      <c r="AL828" s="245"/>
      <c r="AM828" s="245"/>
      <c r="AN828" s="245"/>
      <c r="AO828" s="9"/>
      <c r="AP828" s="9"/>
      <c r="AQ828" s="9"/>
      <c r="AR828" s="9"/>
      <c r="AS828" s="9"/>
      <c r="AT828" s="9"/>
      <c r="AU828" s="9"/>
      <c r="AV828" s="9"/>
    </row>
    <row r="829">
      <c r="A829" s="253"/>
      <c r="B829" s="254"/>
      <c r="C829" s="463"/>
      <c r="D829" s="253"/>
      <c r="E829" s="254"/>
      <c r="F829" s="463"/>
      <c r="G829" s="253"/>
      <c r="H829" s="254"/>
      <c r="I829" s="463"/>
      <c r="J829" s="253"/>
      <c r="K829" s="254"/>
      <c r="L829" s="463"/>
      <c r="M829" s="253"/>
      <c r="N829" s="254"/>
      <c r="O829" s="463"/>
      <c r="P829" s="253"/>
      <c r="Q829" s="254"/>
      <c r="R829" s="463"/>
      <c r="S829" s="253"/>
      <c r="T829" s="254"/>
      <c r="U829" s="463"/>
      <c r="V829" s="253"/>
      <c r="W829" s="254"/>
      <c r="X829" s="463"/>
      <c r="Y829" s="9"/>
      <c r="Z829" s="9"/>
      <c r="AA829" s="9"/>
      <c r="AB829" s="9"/>
      <c r="AC829" s="234"/>
      <c r="AD829" s="234"/>
      <c r="AE829" s="234"/>
      <c r="AF829" s="234"/>
      <c r="AG829" s="9"/>
      <c r="AH829" s="9"/>
      <c r="AI829" s="9"/>
      <c r="AJ829" s="9"/>
      <c r="AK829" s="245"/>
      <c r="AL829" s="245"/>
      <c r="AM829" s="245"/>
      <c r="AN829" s="245"/>
      <c r="AO829" s="9"/>
      <c r="AP829" s="9"/>
      <c r="AQ829" s="9"/>
      <c r="AR829" s="9"/>
      <c r="AS829" s="9"/>
      <c r="AT829" s="9"/>
      <c r="AU829" s="9"/>
      <c r="AV829" s="9"/>
    </row>
    <row r="830">
      <c r="A830" s="253"/>
      <c r="B830" s="254"/>
      <c r="C830" s="463"/>
      <c r="D830" s="253"/>
      <c r="E830" s="254"/>
      <c r="F830" s="463"/>
      <c r="G830" s="253"/>
      <c r="H830" s="254"/>
      <c r="I830" s="463"/>
      <c r="J830" s="253"/>
      <c r="K830" s="254"/>
      <c r="L830" s="463"/>
      <c r="M830" s="253"/>
      <c r="N830" s="254"/>
      <c r="O830" s="463"/>
      <c r="P830" s="253"/>
      <c r="Q830" s="254"/>
      <c r="R830" s="463"/>
      <c r="S830" s="253"/>
      <c r="T830" s="254"/>
      <c r="U830" s="463"/>
      <c r="V830" s="253"/>
      <c r="W830" s="254"/>
      <c r="X830" s="463"/>
      <c r="Y830" s="9"/>
      <c r="Z830" s="9"/>
      <c r="AA830" s="9"/>
      <c r="AB830" s="9"/>
      <c r="AC830" s="234"/>
      <c r="AD830" s="234"/>
      <c r="AE830" s="234"/>
      <c r="AF830" s="234"/>
      <c r="AG830" s="9"/>
      <c r="AH830" s="9"/>
      <c r="AI830" s="9"/>
      <c r="AJ830" s="9"/>
      <c r="AK830" s="245"/>
      <c r="AL830" s="245"/>
      <c r="AM830" s="245"/>
      <c r="AN830" s="245"/>
      <c r="AO830" s="9"/>
      <c r="AP830" s="9"/>
      <c r="AQ830" s="9"/>
      <c r="AR830" s="9"/>
      <c r="AS830" s="9"/>
      <c r="AT830" s="9"/>
      <c r="AU830" s="9"/>
      <c r="AV830" s="9"/>
    </row>
    <row r="831">
      <c r="A831" s="253"/>
      <c r="B831" s="254"/>
      <c r="C831" s="463"/>
      <c r="D831" s="253"/>
      <c r="E831" s="254"/>
      <c r="F831" s="463"/>
      <c r="G831" s="253"/>
      <c r="H831" s="254"/>
      <c r="I831" s="463"/>
      <c r="J831" s="253"/>
      <c r="K831" s="254"/>
      <c r="L831" s="463"/>
      <c r="M831" s="253"/>
      <c r="N831" s="254"/>
      <c r="O831" s="463"/>
      <c r="P831" s="253"/>
      <c r="Q831" s="254"/>
      <c r="R831" s="463"/>
      <c r="S831" s="253"/>
      <c r="T831" s="254"/>
      <c r="U831" s="463"/>
      <c r="V831" s="253"/>
      <c r="W831" s="254"/>
      <c r="X831" s="463"/>
      <c r="Y831" s="9"/>
      <c r="Z831" s="9"/>
      <c r="AA831" s="9"/>
      <c r="AB831" s="9"/>
      <c r="AC831" s="234"/>
      <c r="AD831" s="234"/>
      <c r="AE831" s="234"/>
      <c r="AF831" s="234"/>
      <c r="AG831" s="9"/>
      <c r="AH831" s="9"/>
      <c r="AI831" s="9"/>
      <c r="AJ831" s="9"/>
      <c r="AK831" s="245"/>
      <c r="AL831" s="245"/>
      <c r="AM831" s="245"/>
      <c r="AN831" s="245"/>
      <c r="AO831" s="9"/>
      <c r="AP831" s="9"/>
      <c r="AQ831" s="9"/>
      <c r="AR831" s="9"/>
      <c r="AS831" s="9"/>
      <c r="AT831" s="9"/>
      <c r="AU831" s="9"/>
      <c r="AV831" s="9"/>
    </row>
    <row r="832">
      <c r="A832" s="253"/>
      <c r="B832" s="254"/>
      <c r="C832" s="463"/>
      <c r="D832" s="253"/>
      <c r="E832" s="254"/>
      <c r="F832" s="463"/>
      <c r="G832" s="253"/>
      <c r="H832" s="254"/>
      <c r="I832" s="463"/>
      <c r="J832" s="253"/>
      <c r="K832" s="254"/>
      <c r="L832" s="463"/>
      <c r="M832" s="253"/>
      <c r="N832" s="254"/>
      <c r="O832" s="463"/>
      <c r="P832" s="253"/>
      <c r="Q832" s="254"/>
      <c r="R832" s="463"/>
      <c r="S832" s="253"/>
      <c r="T832" s="254"/>
      <c r="U832" s="463"/>
      <c r="V832" s="253"/>
      <c r="W832" s="254"/>
      <c r="X832" s="463"/>
      <c r="Y832" s="9"/>
      <c r="Z832" s="9"/>
      <c r="AA832" s="9"/>
      <c r="AB832" s="9"/>
      <c r="AC832" s="234"/>
      <c r="AD832" s="234"/>
      <c r="AE832" s="234"/>
      <c r="AF832" s="234"/>
      <c r="AG832" s="9"/>
      <c r="AH832" s="9"/>
      <c r="AI832" s="9"/>
      <c r="AJ832" s="9"/>
      <c r="AK832" s="245"/>
      <c r="AL832" s="245"/>
      <c r="AM832" s="245"/>
      <c r="AN832" s="245"/>
      <c r="AO832" s="9"/>
      <c r="AP832" s="9"/>
      <c r="AQ832" s="9"/>
      <c r="AR832" s="9"/>
      <c r="AS832" s="9"/>
      <c r="AT832" s="9"/>
      <c r="AU832" s="9"/>
      <c r="AV832" s="9"/>
    </row>
    <row r="833">
      <c r="A833" s="253"/>
      <c r="B833" s="254"/>
      <c r="C833" s="463"/>
      <c r="D833" s="253"/>
      <c r="E833" s="254"/>
      <c r="F833" s="463"/>
      <c r="G833" s="253"/>
      <c r="H833" s="254"/>
      <c r="I833" s="463"/>
      <c r="J833" s="253"/>
      <c r="K833" s="254"/>
      <c r="L833" s="463"/>
      <c r="M833" s="253"/>
      <c r="N833" s="254"/>
      <c r="O833" s="463"/>
      <c r="P833" s="253"/>
      <c r="Q833" s="254"/>
      <c r="R833" s="463"/>
      <c r="S833" s="253"/>
      <c r="T833" s="254"/>
      <c r="U833" s="463"/>
      <c r="V833" s="253"/>
      <c r="W833" s="254"/>
      <c r="X833" s="463"/>
      <c r="Y833" s="9"/>
      <c r="Z833" s="9"/>
      <c r="AA833" s="9"/>
      <c r="AB833" s="9"/>
      <c r="AC833" s="234"/>
      <c r="AD833" s="234"/>
      <c r="AE833" s="234"/>
      <c r="AF833" s="234"/>
      <c r="AG833" s="9"/>
      <c r="AH833" s="9"/>
      <c r="AI833" s="9"/>
      <c r="AJ833" s="9"/>
      <c r="AK833" s="245"/>
      <c r="AL833" s="245"/>
      <c r="AM833" s="245"/>
      <c r="AN833" s="245"/>
      <c r="AO833" s="9"/>
      <c r="AP833" s="9"/>
      <c r="AQ833" s="9"/>
      <c r="AR833" s="9"/>
      <c r="AS833" s="9"/>
      <c r="AT833" s="9"/>
      <c r="AU833" s="9"/>
      <c r="AV833" s="9"/>
    </row>
    <row r="834">
      <c r="A834" s="253"/>
      <c r="B834" s="254"/>
      <c r="C834" s="463"/>
      <c r="D834" s="253"/>
      <c r="E834" s="254"/>
      <c r="F834" s="463"/>
      <c r="G834" s="253"/>
      <c r="H834" s="254"/>
      <c r="I834" s="463"/>
      <c r="J834" s="253"/>
      <c r="K834" s="254"/>
      <c r="L834" s="463"/>
      <c r="M834" s="253"/>
      <c r="N834" s="254"/>
      <c r="O834" s="463"/>
      <c r="P834" s="253"/>
      <c r="Q834" s="254"/>
      <c r="R834" s="463"/>
      <c r="S834" s="253"/>
      <c r="T834" s="254"/>
      <c r="U834" s="463"/>
      <c r="V834" s="253"/>
      <c r="W834" s="254"/>
      <c r="X834" s="463"/>
      <c r="Y834" s="9"/>
      <c r="Z834" s="9"/>
      <c r="AA834" s="9"/>
      <c r="AB834" s="9"/>
      <c r="AC834" s="234"/>
      <c r="AD834" s="234"/>
      <c r="AE834" s="234"/>
      <c r="AF834" s="234"/>
      <c r="AG834" s="9"/>
      <c r="AH834" s="9"/>
      <c r="AI834" s="9"/>
      <c r="AJ834" s="9"/>
      <c r="AK834" s="245"/>
      <c r="AL834" s="245"/>
      <c r="AM834" s="245"/>
      <c r="AN834" s="245"/>
      <c r="AO834" s="9"/>
      <c r="AP834" s="9"/>
      <c r="AQ834" s="9"/>
      <c r="AR834" s="9"/>
      <c r="AS834" s="9"/>
      <c r="AT834" s="9"/>
      <c r="AU834" s="9"/>
      <c r="AV834" s="9"/>
    </row>
    <row r="835">
      <c r="A835" s="253"/>
      <c r="B835" s="254"/>
      <c r="C835" s="463"/>
      <c r="D835" s="253"/>
      <c r="E835" s="254"/>
      <c r="F835" s="463"/>
      <c r="G835" s="253"/>
      <c r="H835" s="254"/>
      <c r="I835" s="463"/>
      <c r="J835" s="253"/>
      <c r="K835" s="254"/>
      <c r="L835" s="463"/>
      <c r="M835" s="253"/>
      <c r="N835" s="254"/>
      <c r="O835" s="463"/>
      <c r="P835" s="253"/>
      <c r="Q835" s="254"/>
      <c r="R835" s="463"/>
      <c r="S835" s="253"/>
      <c r="T835" s="254"/>
      <c r="U835" s="463"/>
      <c r="V835" s="253"/>
      <c r="W835" s="254"/>
      <c r="X835" s="463"/>
      <c r="Y835" s="9"/>
      <c r="Z835" s="9"/>
      <c r="AA835" s="9"/>
      <c r="AB835" s="9"/>
      <c r="AC835" s="234"/>
      <c r="AD835" s="234"/>
      <c r="AE835" s="234"/>
      <c r="AF835" s="234"/>
      <c r="AG835" s="9"/>
      <c r="AH835" s="9"/>
      <c r="AI835" s="9"/>
      <c r="AJ835" s="9"/>
      <c r="AK835" s="245"/>
      <c r="AL835" s="245"/>
      <c r="AM835" s="245"/>
      <c r="AN835" s="245"/>
      <c r="AO835" s="9"/>
      <c r="AP835" s="9"/>
      <c r="AQ835" s="9"/>
      <c r="AR835" s="9"/>
      <c r="AS835" s="9"/>
      <c r="AT835" s="9"/>
      <c r="AU835" s="9"/>
      <c r="AV835" s="9"/>
    </row>
    <row r="836">
      <c r="A836" s="253"/>
      <c r="B836" s="254"/>
      <c r="C836" s="463"/>
      <c r="D836" s="253"/>
      <c r="E836" s="254"/>
      <c r="F836" s="463"/>
      <c r="G836" s="253"/>
      <c r="H836" s="254"/>
      <c r="I836" s="463"/>
      <c r="J836" s="253"/>
      <c r="K836" s="254"/>
      <c r="L836" s="463"/>
      <c r="M836" s="253"/>
      <c r="N836" s="254"/>
      <c r="O836" s="463"/>
      <c r="P836" s="253"/>
      <c r="Q836" s="254"/>
      <c r="R836" s="463"/>
      <c r="S836" s="253"/>
      <c r="T836" s="254"/>
      <c r="U836" s="463"/>
      <c r="V836" s="253"/>
      <c r="W836" s="254"/>
      <c r="X836" s="463"/>
      <c r="Y836" s="9"/>
      <c r="Z836" s="9"/>
      <c r="AA836" s="9"/>
      <c r="AB836" s="9"/>
      <c r="AC836" s="234"/>
      <c r="AD836" s="234"/>
      <c r="AE836" s="234"/>
      <c r="AF836" s="234"/>
      <c r="AG836" s="9"/>
      <c r="AH836" s="9"/>
      <c r="AI836" s="9"/>
      <c r="AJ836" s="9"/>
      <c r="AK836" s="245"/>
      <c r="AL836" s="245"/>
      <c r="AM836" s="245"/>
      <c r="AN836" s="245"/>
      <c r="AO836" s="9"/>
      <c r="AP836" s="9"/>
      <c r="AQ836" s="9"/>
      <c r="AR836" s="9"/>
      <c r="AS836" s="9"/>
      <c r="AT836" s="9"/>
      <c r="AU836" s="9"/>
      <c r="AV836" s="9"/>
    </row>
    <row r="837">
      <c r="A837" s="253"/>
      <c r="B837" s="254"/>
      <c r="C837" s="463"/>
      <c r="D837" s="253"/>
      <c r="E837" s="254"/>
      <c r="F837" s="463"/>
      <c r="G837" s="253"/>
      <c r="H837" s="254"/>
      <c r="I837" s="463"/>
      <c r="J837" s="253"/>
      <c r="K837" s="254"/>
      <c r="L837" s="463"/>
      <c r="M837" s="253"/>
      <c r="N837" s="254"/>
      <c r="O837" s="463"/>
      <c r="P837" s="253"/>
      <c r="Q837" s="254"/>
      <c r="R837" s="463"/>
      <c r="S837" s="253"/>
      <c r="T837" s="254"/>
      <c r="U837" s="463"/>
      <c r="V837" s="253"/>
      <c r="W837" s="254"/>
      <c r="X837" s="463"/>
      <c r="Y837" s="9"/>
      <c r="Z837" s="9"/>
      <c r="AA837" s="9"/>
      <c r="AB837" s="9"/>
      <c r="AC837" s="234"/>
      <c r="AD837" s="234"/>
      <c r="AE837" s="234"/>
      <c r="AF837" s="234"/>
      <c r="AG837" s="9"/>
      <c r="AH837" s="9"/>
      <c r="AI837" s="9"/>
      <c r="AJ837" s="9"/>
      <c r="AK837" s="245"/>
      <c r="AL837" s="245"/>
      <c r="AM837" s="245"/>
      <c r="AN837" s="245"/>
      <c r="AO837" s="9"/>
      <c r="AP837" s="9"/>
      <c r="AQ837" s="9"/>
      <c r="AR837" s="9"/>
      <c r="AS837" s="9"/>
      <c r="AT837" s="9"/>
      <c r="AU837" s="9"/>
      <c r="AV837" s="9"/>
    </row>
    <row r="838">
      <c r="A838" s="253"/>
      <c r="B838" s="254"/>
      <c r="C838" s="463"/>
      <c r="D838" s="253"/>
      <c r="E838" s="254"/>
      <c r="F838" s="463"/>
      <c r="G838" s="253"/>
      <c r="H838" s="254"/>
      <c r="I838" s="463"/>
      <c r="J838" s="253"/>
      <c r="K838" s="254"/>
      <c r="L838" s="463"/>
      <c r="M838" s="253"/>
      <c r="N838" s="254"/>
      <c r="O838" s="463"/>
      <c r="P838" s="253"/>
      <c r="Q838" s="254"/>
      <c r="R838" s="463"/>
      <c r="S838" s="253"/>
      <c r="T838" s="254"/>
      <c r="U838" s="463"/>
      <c r="V838" s="253"/>
      <c r="W838" s="254"/>
      <c r="X838" s="463"/>
      <c r="Y838" s="9"/>
      <c r="Z838" s="9"/>
      <c r="AA838" s="9"/>
      <c r="AB838" s="9"/>
      <c r="AC838" s="234"/>
      <c r="AD838" s="234"/>
      <c r="AE838" s="234"/>
      <c r="AF838" s="234"/>
      <c r="AG838" s="9"/>
      <c r="AH838" s="9"/>
      <c r="AI838" s="9"/>
      <c r="AJ838" s="9"/>
      <c r="AK838" s="245"/>
      <c r="AL838" s="245"/>
      <c r="AM838" s="245"/>
      <c r="AN838" s="245"/>
      <c r="AO838" s="9"/>
      <c r="AP838" s="9"/>
      <c r="AQ838" s="9"/>
      <c r="AR838" s="9"/>
      <c r="AS838" s="9"/>
      <c r="AT838" s="9"/>
      <c r="AU838" s="9"/>
      <c r="AV838" s="9"/>
    </row>
    <row r="839">
      <c r="A839" s="253"/>
      <c r="B839" s="254"/>
      <c r="C839" s="463"/>
      <c r="D839" s="253"/>
      <c r="E839" s="254"/>
      <c r="F839" s="463"/>
      <c r="G839" s="253"/>
      <c r="H839" s="254"/>
      <c r="I839" s="463"/>
      <c r="J839" s="253"/>
      <c r="K839" s="254"/>
      <c r="L839" s="463"/>
      <c r="M839" s="253"/>
      <c r="N839" s="254"/>
      <c r="O839" s="463"/>
      <c r="P839" s="253"/>
      <c r="Q839" s="254"/>
      <c r="R839" s="463"/>
      <c r="S839" s="253"/>
      <c r="T839" s="254"/>
      <c r="U839" s="463"/>
      <c r="V839" s="253"/>
      <c r="W839" s="254"/>
      <c r="X839" s="463"/>
      <c r="Y839" s="9"/>
      <c r="Z839" s="9"/>
      <c r="AA839" s="9"/>
      <c r="AB839" s="9"/>
      <c r="AC839" s="234"/>
      <c r="AD839" s="234"/>
      <c r="AE839" s="234"/>
      <c r="AF839" s="234"/>
      <c r="AG839" s="9"/>
      <c r="AH839" s="9"/>
      <c r="AI839" s="9"/>
      <c r="AJ839" s="9"/>
      <c r="AK839" s="245"/>
      <c r="AL839" s="245"/>
      <c r="AM839" s="245"/>
      <c r="AN839" s="245"/>
      <c r="AO839" s="9"/>
      <c r="AP839" s="9"/>
      <c r="AQ839" s="9"/>
      <c r="AR839" s="9"/>
      <c r="AS839" s="9"/>
      <c r="AT839" s="9"/>
      <c r="AU839" s="9"/>
      <c r="AV839" s="9"/>
    </row>
    <row r="840">
      <c r="A840" s="253"/>
      <c r="B840" s="254"/>
      <c r="C840" s="463"/>
      <c r="D840" s="253"/>
      <c r="E840" s="254"/>
      <c r="F840" s="463"/>
      <c r="G840" s="253"/>
      <c r="H840" s="254"/>
      <c r="I840" s="463"/>
      <c r="J840" s="253"/>
      <c r="K840" s="254"/>
      <c r="L840" s="463"/>
      <c r="M840" s="253"/>
      <c r="N840" s="254"/>
      <c r="O840" s="463"/>
      <c r="P840" s="253"/>
      <c r="Q840" s="254"/>
      <c r="R840" s="463"/>
      <c r="S840" s="253"/>
      <c r="T840" s="254"/>
      <c r="U840" s="463"/>
      <c r="V840" s="253"/>
      <c r="W840" s="254"/>
      <c r="X840" s="463"/>
      <c r="Y840" s="9"/>
      <c r="Z840" s="9"/>
      <c r="AA840" s="9"/>
      <c r="AB840" s="9"/>
      <c r="AC840" s="234"/>
      <c r="AD840" s="234"/>
      <c r="AE840" s="234"/>
      <c r="AF840" s="234"/>
      <c r="AG840" s="9"/>
      <c r="AH840" s="9"/>
      <c r="AI840" s="9"/>
      <c r="AJ840" s="9"/>
      <c r="AK840" s="245"/>
      <c r="AL840" s="245"/>
      <c r="AM840" s="245"/>
      <c r="AN840" s="245"/>
      <c r="AO840" s="9"/>
      <c r="AP840" s="9"/>
      <c r="AQ840" s="9"/>
      <c r="AR840" s="9"/>
      <c r="AS840" s="9"/>
      <c r="AT840" s="9"/>
      <c r="AU840" s="9"/>
      <c r="AV840" s="9"/>
    </row>
    <row r="841">
      <c r="A841" s="253"/>
      <c r="B841" s="254"/>
      <c r="C841" s="463"/>
      <c r="D841" s="253"/>
      <c r="E841" s="254"/>
      <c r="F841" s="463"/>
      <c r="G841" s="253"/>
      <c r="H841" s="254"/>
      <c r="I841" s="463"/>
      <c r="J841" s="253"/>
      <c r="K841" s="254"/>
      <c r="L841" s="463"/>
      <c r="M841" s="253"/>
      <c r="N841" s="254"/>
      <c r="O841" s="463"/>
      <c r="P841" s="253"/>
      <c r="Q841" s="254"/>
      <c r="R841" s="463"/>
      <c r="S841" s="253"/>
      <c r="T841" s="254"/>
      <c r="U841" s="463"/>
      <c r="V841" s="253"/>
      <c r="W841" s="254"/>
      <c r="X841" s="463"/>
      <c r="Y841" s="9"/>
      <c r="Z841" s="9"/>
      <c r="AA841" s="9"/>
      <c r="AB841" s="9"/>
      <c r="AC841" s="234"/>
      <c r="AD841" s="234"/>
      <c r="AE841" s="234"/>
      <c r="AF841" s="234"/>
      <c r="AG841" s="9"/>
      <c r="AH841" s="9"/>
      <c r="AI841" s="9"/>
      <c r="AJ841" s="9"/>
      <c r="AK841" s="245"/>
      <c r="AL841" s="245"/>
      <c r="AM841" s="245"/>
      <c r="AN841" s="245"/>
      <c r="AO841" s="9"/>
      <c r="AP841" s="9"/>
      <c r="AQ841" s="9"/>
      <c r="AR841" s="9"/>
      <c r="AS841" s="9"/>
      <c r="AT841" s="9"/>
      <c r="AU841" s="9"/>
      <c r="AV841" s="9"/>
    </row>
    <row r="842">
      <c r="A842" s="253"/>
      <c r="B842" s="254"/>
      <c r="C842" s="463"/>
      <c r="D842" s="253"/>
      <c r="E842" s="254"/>
      <c r="F842" s="463"/>
      <c r="G842" s="253"/>
      <c r="H842" s="254"/>
      <c r="I842" s="463"/>
      <c r="J842" s="253"/>
      <c r="K842" s="254"/>
      <c r="L842" s="463"/>
      <c r="M842" s="253"/>
      <c r="N842" s="254"/>
      <c r="O842" s="463"/>
      <c r="P842" s="253"/>
      <c r="Q842" s="254"/>
      <c r="R842" s="463"/>
      <c r="S842" s="253"/>
      <c r="T842" s="254"/>
      <c r="U842" s="463"/>
      <c r="V842" s="253"/>
      <c r="W842" s="254"/>
      <c r="X842" s="463"/>
      <c r="Y842" s="9"/>
      <c r="Z842" s="9"/>
      <c r="AA842" s="9"/>
      <c r="AB842" s="9"/>
      <c r="AC842" s="234"/>
      <c r="AD842" s="234"/>
      <c r="AE842" s="234"/>
      <c r="AF842" s="234"/>
      <c r="AG842" s="9"/>
      <c r="AH842" s="9"/>
      <c r="AI842" s="9"/>
      <c r="AJ842" s="9"/>
      <c r="AK842" s="245"/>
      <c r="AL842" s="245"/>
      <c r="AM842" s="245"/>
      <c r="AN842" s="245"/>
      <c r="AO842" s="9"/>
      <c r="AP842" s="9"/>
      <c r="AQ842" s="9"/>
      <c r="AR842" s="9"/>
      <c r="AS842" s="9"/>
      <c r="AT842" s="9"/>
      <c r="AU842" s="9"/>
      <c r="AV842" s="9"/>
    </row>
    <row r="843">
      <c r="A843" s="253"/>
      <c r="B843" s="254"/>
      <c r="C843" s="463"/>
      <c r="D843" s="253"/>
      <c r="E843" s="254"/>
      <c r="F843" s="463"/>
      <c r="G843" s="253"/>
      <c r="H843" s="254"/>
      <c r="I843" s="463"/>
      <c r="J843" s="253"/>
      <c r="K843" s="254"/>
      <c r="L843" s="463"/>
      <c r="M843" s="253"/>
      <c r="N843" s="254"/>
      <c r="O843" s="463"/>
      <c r="P843" s="253"/>
      <c r="Q843" s="254"/>
      <c r="R843" s="463"/>
      <c r="S843" s="253"/>
      <c r="T843" s="254"/>
      <c r="U843" s="463"/>
      <c r="V843" s="253"/>
      <c r="W843" s="254"/>
      <c r="X843" s="463"/>
      <c r="Y843" s="9"/>
      <c r="Z843" s="9"/>
      <c r="AA843" s="9"/>
      <c r="AB843" s="9"/>
      <c r="AC843" s="234"/>
      <c r="AD843" s="234"/>
      <c r="AE843" s="234"/>
      <c r="AF843" s="234"/>
      <c r="AG843" s="9"/>
      <c r="AH843" s="9"/>
      <c r="AI843" s="9"/>
      <c r="AJ843" s="9"/>
      <c r="AK843" s="245"/>
      <c r="AL843" s="245"/>
      <c r="AM843" s="245"/>
      <c r="AN843" s="245"/>
      <c r="AO843" s="9"/>
      <c r="AP843" s="9"/>
      <c r="AQ843" s="9"/>
      <c r="AR843" s="9"/>
      <c r="AS843" s="9"/>
      <c r="AT843" s="9"/>
      <c r="AU843" s="9"/>
      <c r="AV843" s="9"/>
    </row>
    <row r="844">
      <c r="A844" s="253"/>
      <c r="B844" s="254"/>
      <c r="C844" s="463"/>
      <c r="D844" s="253"/>
      <c r="E844" s="254"/>
      <c r="F844" s="463"/>
      <c r="G844" s="253"/>
      <c r="H844" s="254"/>
      <c r="I844" s="463"/>
      <c r="J844" s="253"/>
      <c r="K844" s="254"/>
      <c r="L844" s="463"/>
      <c r="M844" s="253"/>
      <c r="N844" s="254"/>
      <c r="O844" s="463"/>
      <c r="P844" s="253"/>
      <c r="Q844" s="254"/>
      <c r="R844" s="463"/>
      <c r="S844" s="253"/>
      <c r="T844" s="254"/>
      <c r="U844" s="463"/>
      <c r="V844" s="253"/>
      <c r="W844" s="254"/>
      <c r="X844" s="463"/>
      <c r="Y844" s="9"/>
      <c r="Z844" s="9"/>
      <c r="AA844" s="9"/>
      <c r="AB844" s="9"/>
      <c r="AC844" s="234"/>
      <c r="AD844" s="234"/>
      <c r="AE844" s="234"/>
      <c r="AF844" s="234"/>
      <c r="AG844" s="9"/>
      <c r="AH844" s="9"/>
      <c r="AI844" s="9"/>
      <c r="AJ844" s="9"/>
      <c r="AK844" s="245"/>
      <c r="AL844" s="245"/>
      <c r="AM844" s="245"/>
      <c r="AN844" s="245"/>
      <c r="AO844" s="9"/>
      <c r="AP844" s="9"/>
      <c r="AQ844" s="9"/>
      <c r="AR844" s="9"/>
      <c r="AS844" s="9"/>
      <c r="AT844" s="9"/>
      <c r="AU844" s="9"/>
      <c r="AV844" s="9"/>
    </row>
    <row r="845">
      <c r="A845" s="253"/>
      <c r="B845" s="254"/>
      <c r="C845" s="463"/>
      <c r="D845" s="253"/>
      <c r="E845" s="254"/>
      <c r="F845" s="463"/>
      <c r="G845" s="253"/>
      <c r="H845" s="254"/>
      <c r="I845" s="463"/>
      <c r="J845" s="253"/>
      <c r="K845" s="254"/>
      <c r="L845" s="463"/>
      <c r="M845" s="253"/>
      <c r="N845" s="254"/>
      <c r="O845" s="463"/>
      <c r="P845" s="253"/>
      <c r="Q845" s="254"/>
      <c r="R845" s="463"/>
      <c r="S845" s="253"/>
      <c r="T845" s="254"/>
      <c r="U845" s="463"/>
      <c r="V845" s="253"/>
      <c r="W845" s="254"/>
      <c r="X845" s="463"/>
      <c r="Y845" s="9"/>
      <c r="Z845" s="9"/>
      <c r="AA845" s="9"/>
      <c r="AB845" s="9"/>
      <c r="AC845" s="234"/>
      <c r="AD845" s="234"/>
      <c r="AE845" s="234"/>
      <c r="AF845" s="234"/>
      <c r="AG845" s="9"/>
      <c r="AH845" s="9"/>
      <c r="AI845" s="9"/>
      <c r="AJ845" s="9"/>
      <c r="AK845" s="245"/>
      <c r="AL845" s="245"/>
      <c r="AM845" s="245"/>
      <c r="AN845" s="245"/>
      <c r="AO845" s="9"/>
      <c r="AP845" s="9"/>
      <c r="AQ845" s="9"/>
      <c r="AR845" s="9"/>
      <c r="AS845" s="9"/>
      <c r="AT845" s="9"/>
      <c r="AU845" s="9"/>
      <c r="AV845" s="9"/>
    </row>
    <row r="846">
      <c r="A846" s="253"/>
      <c r="B846" s="254"/>
      <c r="C846" s="463"/>
      <c r="D846" s="253"/>
      <c r="E846" s="254"/>
      <c r="F846" s="463"/>
      <c r="G846" s="253"/>
      <c r="H846" s="254"/>
      <c r="I846" s="463"/>
      <c r="J846" s="253"/>
      <c r="K846" s="254"/>
      <c r="L846" s="463"/>
      <c r="M846" s="253"/>
      <c r="N846" s="254"/>
      <c r="O846" s="463"/>
      <c r="P846" s="253"/>
      <c r="Q846" s="254"/>
      <c r="R846" s="463"/>
      <c r="S846" s="253"/>
      <c r="T846" s="254"/>
      <c r="U846" s="463"/>
      <c r="V846" s="253"/>
      <c r="W846" s="254"/>
      <c r="X846" s="463"/>
      <c r="Y846" s="9"/>
      <c r="Z846" s="9"/>
      <c r="AA846" s="9"/>
      <c r="AB846" s="9"/>
      <c r="AC846" s="234"/>
      <c r="AD846" s="234"/>
      <c r="AE846" s="234"/>
      <c r="AF846" s="234"/>
      <c r="AG846" s="9"/>
      <c r="AH846" s="9"/>
      <c r="AI846" s="9"/>
      <c r="AJ846" s="9"/>
      <c r="AK846" s="245"/>
      <c r="AL846" s="245"/>
      <c r="AM846" s="245"/>
      <c r="AN846" s="245"/>
      <c r="AO846" s="9"/>
      <c r="AP846" s="9"/>
      <c r="AQ846" s="9"/>
      <c r="AR846" s="9"/>
      <c r="AS846" s="9"/>
      <c r="AT846" s="9"/>
      <c r="AU846" s="9"/>
      <c r="AV846" s="9"/>
    </row>
    <row r="847">
      <c r="A847" s="253"/>
      <c r="B847" s="254"/>
      <c r="C847" s="463"/>
      <c r="D847" s="253"/>
      <c r="E847" s="254"/>
      <c r="F847" s="463"/>
      <c r="G847" s="253"/>
      <c r="H847" s="254"/>
      <c r="I847" s="463"/>
      <c r="J847" s="253"/>
      <c r="K847" s="254"/>
      <c r="L847" s="463"/>
      <c r="M847" s="253"/>
      <c r="N847" s="254"/>
      <c r="O847" s="463"/>
      <c r="P847" s="253"/>
      <c r="Q847" s="254"/>
      <c r="R847" s="463"/>
      <c r="S847" s="253"/>
      <c r="T847" s="254"/>
      <c r="U847" s="463"/>
      <c r="V847" s="253"/>
      <c r="W847" s="254"/>
      <c r="X847" s="463"/>
      <c r="Y847" s="9"/>
      <c r="Z847" s="9"/>
      <c r="AA847" s="9"/>
      <c r="AB847" s="9"/>
      <c r="AC847" s="234"/>
      <c r="AD847" s="234"/>
      <c r="AE847" s="234"/>
      <c r="AF847" s="234"/>
      <c r="AG847" s="9"/>
      <c r="AH847" s="9"/>
      <c r="AI847" s="9"/>
      <c r="AJ847" s="9"/>
      <c r="AK847" s="245"/>
      <c r="AL847" s="245"/>
      <c r="AM847" s="245"/>
      <c r="AN847" s="245"/>
      <c r="AO847" s="9"/>
      <c r="AP847" s="9"/>
      <c r="AQ847" s="9"/>
      <c r="AR847" s="9"/>
      <c r="AS847" s="9"/>
      <c r="AT847" s="9"/>
      <c r="AU847" s="9"/>
      <c r="AV847" s="9"/>
    </row>
    <row r="848">
      <c r="A848" s="253"/>
      <c r="B848" s="254"/>
      <c r="C848" s="463"/>
      <c r="D848" s="253"/>
      <c r="E848" s="254"/>
      <c r="F848" s="463"/>
      <c r="G848" s="253"/>
      <c r="H848" s="254"/>
      <c r="I848" s="463"/>
      <c r="J848" s="253"/>
      <c r="K848" s="254"/>
      <c r="L848" s="463"/>
      <c r="M848" s="253"/>
      <c r="N848" s="254"/>
      <c r="O848" s="463"/>
      <c r="P848" s="253"/>
      <c r="Q848" s="254"/>
      <c r="R848" s="463"/>
      <c r="S848" s="253"/>
      <c r="T848" s="254"/>
      <c r="U848" s="463"/>
      <c r="V848" s="253"/>
      <c r="W848" s="254"/>
      <c r="X848" s="463"/>
      <c r="Y848" s="9"/>
      <c r="Z848" s="9"/>
      <c r="AA848" s="9"/>
      <c r="AB848" s="9"/>
      <c r="AC848" s="234"/>
      <c r="AD848" s="234"/>
      <c r="AE848" s="234"/>
      <c r="AF848" s="234"/>
      <c r="AG848" s="9"/>
      <c r="AH848" s="9"/>
      <c r="AI848" s="9"/>
      <c r="AJ848" s="9"/>
      <c r="AK848" s="245"/>
      <c r="AL848" s="245"/>
      <c r="AM848" s="245"/>
      <c r="AN848" s="245"/>
      <c r="AO848" s="9"/>
      <c r="AP848" s="9"/>
      <c r="AQ848" s="9"/>
      <c r="AR848" s="9"/>
      <c r="AS848" s="9"/>
      <c r="AT848" s="9"/>
      <c r="AU848" s="9"/>
      <c r="AV848" s="9"/>
    </row>
    <row r="849">
      <c r="A849" s="253"/>
      <c r="B849" s="254"/>
      <c r="C849" s="463"/>
      <c r="D849" s="253"/>
      <c r="E849" s="254"/>
      <c r="F849" s="463"/>
      <c r="G849" s="253"/>
      <c r="H849" s="254"/>
      <c r="I849" s="463"/>
      <c r="J849" s="253"/>
      <c r="K849" s="254"/>
      <c r="L849" s="463"/>
      <c r="M849" s="253"/>
      <c r="N849" s="254"/>
      <c r="O849" s="463"/>
      <c r="P849" s="253"/>
      <c r="Q849" s="254"/>
      <c r="R849" s="463"/>
      <c r="S849" s="253"/>
      <c r="T849" s="254"/>
      <c r="U849" s="463"/>
      <c r="V849" s="253"/>
      <c r="W849" s="254"/>
      <c r="X849" s="463"/>
      <c r="Y849" s="9"/>
      <c r="Z849" s="9"/>
      <c r="AA849" s="9"/>
      <c r="AB849" s="9"/>
      <c r="AC849" s="234"/>
      <c r="AD849" s="234"/>
      <c r="AE849" s="234"/>
      <c r="AF849" s="234"/>
      <c r="AG849" s="9"/>
      <c r="AH849" s="9"/>
      <c r="AI849" s="9"/>
      <c r="AJ849" s="9"/>
      <c r="AK849" s="245"/>
      <c r="AL849" s="245"/>
      <c r="AM849" s="245"/>
      <c r="AN849" s="245"/>
      <c r="AO849" s="9"/>
      <c r="AP849" s="9"/>
      <c r="AQ849" s="9"/>
      <c r="AR849" s="9"/>
      <c r="AS849" s="9"/>
      <c r="AT849" s="9"/>
      <c r="AU849" s="9"/>
      <c r="AV849" s="9"/>
    </row>
    <row r="850">
      <c r="A850" s="253"/>
      <c r="B850" s="254"/>
      <c r="C850" s="463"/>
      <c r="D850" s="253"/>
      <c r="E850" s="254"/>
      <c r="F850" s="463"/>
      <c r="G850" s="253"/>
      <c r="H850" s="254"/>
      <c r="I850" s="463"/>
      <c r="J850" s="253"/>
      <c r="K850" s="254"/>
      <c r="L850" s="463"/>
      <c r="M850" s="253"/>
      <c r="N850" s="254"/>
      <c r="O850" s="463"/>
      <c r="P850" s="253"/>
      <c r="Q850" s="254"/>
      <c r="R850" s="463"/>
      <c r="S850" s="253"/>
      <c r="T850" s="254"/>
      <c r="U850" s="463"/>
      <c r="V850" s="253"/>
      <c r="W850" s="254"/>
      <c r="X850" s="463"/>
      <c r="Y850" s="9"/>
      <c r="Z850" s="9"/>
      <c r="AA850" s="9"/>
      <c r="AB850" s="9"/>
      <c r="AC850" s="234"/>
      <c r="AD850" s="234"/>
      <c r="AE850" s="234"/>
      <c r="AF850" s="234"/>
      <c r="AG850" s="9"/>
      <c r="AH850" s="9"/>
      <c r="AI850" s="9"/>
      <c r="AJ850" s="9"/>
      <c r="AK850" s="245"/>
      <c r="AL850" s="245"/>
      <c r="AM850" s="245"/>
      <c r="AN850" s="245"/>
      <c r="AO850" s="9"/>
      <c r="AP850" s="9"/>
      <c r="AQ850" s="9"/>
      <c r="AR850" s="9"/>
      <c r="AS850" s="9"/>
      <c r="AT850" s="9"/>
      <c r="AU850" s="9"/>
      <c r="AV850" s="9"/>
    </row>
    <row r="851">
      <c r="A851" s="253"/>
      <c r="B851" s="254"/>
      <c r="C851" s="463"/>
      <c r="D851" s="253"/>
      <c r="E851" s="254"/>
      <c r="F851" s="463"/>
      <c r="G851" s="253"/>
      <c r="H851" s="254"/>
      <c r="I851" s="463"/>
      <c r="J851" s="253"/>
      <c r="K851" s="254"/>
      <c r="L851" s="463"/>
      <c r="M851" s="253"/>
      <c r="N851" s="254"/>
      <c r="O851" s="463"/>
      <c r="P851" s="253"/>
      <c r="Q851" s="254"/>
      <c r="R851" s="463"/>
      <c r="S851" s="253"/>
      <c r="T851" s="254"/>
      <c r="U851" s="463"/>
      <c r="V851" s="253"/>
      <c r="W851" s="254"/>
      <c r="X851" s="463"/>
      <c r="Y851" s="9"/>
      <c r="Z851" s="9"/>
      <c r="AA851" s="9"/>
      <c r="AB851" s="9"/>
      <c r="AC851" s="234"/>
      <c r="AD851" s="234"/>
      <c r="AE851" s="234"/>
      <c r="AF851" s="234"/>
      <c r="AG851" s="9"/>
      <c r="AH851" s="9"/>
      <c r="AI851" s="9"/>
      <c r="AJ851" s="9"/>
      <c r="AK851" s="245"/>
      <c r="AL851" s="245"/>
      <c r="AM851" s="245"/>
      <c r="AN851" s="245"/>
      <c r="AO851" s="9"/>
      <c r="AP851" s="9"/>
      <c r="AQ851" s="9"/>
      <c r="AR851" s="9"/>
      <c r="AS851" s="9"/>
      <c r="AT851" s="9"/>
      <c r="AU851" s="9"/>
      <c r="AV851" s="9"/>
    </row>
    <row r="852">
      <c r="A852" s="253"/>
      <c r="B852" s="254"/>
      <c r="C852" s="463"/>
      <c r="D852" s="253"/>
      <c r="E852" s="254"/>
      <c r="F852" s="463"/>
      <c r="G852" s="253"/>
      <c r="H852" s="254"/>
      <c r="I852" s="463"/>
      <c r="J852" s="253"/>
      <c r="K852" s="254"/>
      <c r="L852" s="463"/>
      <c r="M852" s="253"/>
      <c r="N852" s="254"/>
      <c r="O852" s="463"/>
      <c r="P852" s="253"/>
      <c r="Q852" s="254"/>
      <c r="R852" s="463"/>
      <c r="S852" s="253"/>
      <c r="T852" s="254"/>
      <c r="U852" s="463"/>
      <c r="V852" s="253"/>
      <c r="W852" s="254"/>
      <c r="X852" s="463"/>
      <c r="Y852" s="9"/>
      <c r="Z852" s="9"/>
      <c r="AA852" s="9"/>
      <c r="AB852" s="9"/>
      <c r="AC852" s="234"/>
      <c r="AD852" s="234"/>
      <c r="AE852" s="234"/>
      <c r="AF852" s="234"/>
      <c r="AG852" s="9"/>
      <c r="AH852" s="9"/>
      <c r="AI852" s="9"/>
      <c r="AJ852" s="9"/>
      <c r="AK852" s="245"/>
      <c r="AL852" s="245"/>
      <c r="AM852" s="245"/>
      <c r="AN852" s="245"/>
      <c r="AO852" s="9"/>
      <c r="AP852" s="9"/>
      <c r="AQ852" s="9"/>
      <c r="AR852" s="9"/>
      <c r="AS852" s="9"/>
      <c r="AT852" s="9"/>
      <c r="AU852" s="9"/>
      <c r="AV852" s="9"/>
    </row>
    <row r="853">
      <c r="A853" s="253"/>
      <c r="B853" s="254"/>
      <c r="C853" s="463"/>
      <c r="D853" s="253"/>
      <c r="E853" s="254"/>
      <c r="F853" s="463"/>
      <c r="G853" s="253"/>
      <c r="H853" s="254"/>
      <c r="I853" s="463"/>
      <c r="J853" s="253"/>
      <c r="K853" s="254"/>
      <c r="L853" s="463"/>
      <c r="M853" s="253"/>
      <c r="N853" s="254"/>
      <c r="O853" s="463"/>
      <c r="P853" s="253"/>
      <c r="Q853" s="254"/>
      <c r="R853" s="463"/>
      <c r="S853" s="253"/>
      <c r="T853" s="254"/>
      <c r="U853" s="463"/>
      <c r="V853" s="253"/>
      <c r="W853" s="254"/>
      <c r="X853" s="463"/>
      <c r="Y853" s="9"/>
      <c r="Z853" s="9"/>
      <c r="AA853" s="9"/>
      <c r="AB853" s="9"/>
      <c r="AC853" s="234"/>
      <c r="AD853" s="234"/>
      <c r="AE853" s="234"/>
      <c r="AF853" s="234"/>
      <c r="AG853" s="9"/>
      <c r="AH853" s="9"/>
      <c r="AI853" s="9"/>
      <c r="AJ853" s="9"/>
      <c r="AK853" s="245"/>
      <c r="AL853" s="245"/>
      <c r="AM853" s="245"/>
      <c r="AN853" s="245"/>
      <c r="AO853" s="9"/>
      <c r="AP853" s="9"/>
      <c r="AQ853" s="9"/>
      <c r="AR853" s="9"/>
      <c r="AS853" s="9"/>
      <c r="AT853" s="9"/>
      <c r="AU853" s="9"/>
      <c r="AV853" s="9"/>
    </row>
    <row r="854">
      <c r="A854" s="253"/>
      <c r="B854" s="254"/>
      <c r="C854" s="463"/>
      <c r="D854" s="253"/>
      <c r="E854" s="254"/>
      <c r="F854" s="463"/>
      <c r="G854" s="253"/>
      <c r="H854" s="254"/>
      <c r="I854" s="463"/>
      <c r="J854" s="253"/>
      <c r="K854" s="254"/>
      <c r="L854" s="463"/>
      <c r="M854" s="253"/>
      <c r="N854" s="254"/>
      <c r="O854" s="463"/>
      <c r="P854" s="253"/>
      <c r="Q854" s="254"/>
      <c r="R854" s="463"/>
      <c r="S854" s="253"/>
      <c r="T854" s="254"/>
      <c r="U854" s="463"/>
      <c r="V854" s="253"/>
      <c r="W854" s="254"/>
      <c r="X854" s="463"/>
      <c r="Y854" s="9"/>
      <c r="Z854" s="9"/>
      <c r="AA854" s="9"/>
      <c r="AB854" s="9"/>
      <c r="AC854" s="234"/>
      <c r="AD854" s="234"/>
      <c r="AE854" s="234"/>
      <c r="AF854" s="234"/>
      <c r="AG854" s="9"/>
      <c r="AH854" s="9"/>
      <c r="AI854" s="9"/>
      <c r="AJ854" s="9"/>
      <c r="AK854" s="245"/>
      <c r="AL854" s="245"/>
      <c r="AM854" s="245"/>
      <c r="AN854" s="245"/>
      <c r="AO854" s="9"/>
      <c r="AP854" s="9"/>
      <c r="AQ854" s="9"/>
      <c r="AR854" s="9"/>
      <c r="AS854" s="9"/>
      <c r="AT854" s="9"/>
      <c r="AU854" s="9"/>
      <c r="AV854" s="9"/>
    </row>
    <row r="855">
      <c r="A855" s="253"/>
      <c r="B855" s="254"/>
      <c r="C855" s="463"/>
      <c r="D855" s="253"/>
      <c r="E855" s="254"/>
      <c r="F855" s="463"/>
      <c r="G855" s="253"/>
      <c r="H855" s="254"/>
      <c r="I855" s="463"/>
      <c r="J855" s="253"/>
      <c r="K855" s="254"/>
      <c r="L855" s="463"/>
      <c r="M855" s="253"/>
      <c r="N855" s="254"/>
      <c r="O855" s="463"/>
      <c r="P855" s="253"/>
      <c r="Q855" s="254"/>
      <c r="R855" s="463"/>
      <c r="S855" s="253"/>
      <c r="T855" s="254"/>
      <c r="U855" s="463"/>
      <c r="V855" s="253"/>
      <c r="W855" s="254"/>
      <c r="X855" s="463"/>
      <c r="Y855" s="9"/>
      <c r="Z855" s="9"/>
      <c r="AA855" s="9"/>
      <c r="AB855" s="9"/>
      <c r="AC855" s="234"/>
      <c r="AD855" s="234"/>
      <c r="AE855" s="234"/>
      <c r="AF855" s="234"/>
      <c r="AG855" s="9"/>
      <c r="AH855" s="9"/>
      <c r="AI855" s="9"/>
      <c r="AJ855" s="9"/>
      <c r="AK855" s="245"/>
      <c r="AL855" s="245"/>
      <c r="AM855" s="245"/>
      <c r="AN855" s="245"/>
      <c r="AO855" s="9"/>
      <c r="AP855" s="9"/>
      <c r="AQ855" s="9"/>
      <c r="AR855" s="9"/>
      <c r="AS855" s="9"/>
      <c r="AT855" s="9"/>
      <c r="AU855" s="9"/>
      <c r="AV855" s="9"/>
    </row>
    <row r="856">
      <c r="A856" s="253"/>
      <c r="B856" s="254"/>
      <c r="C856" s="463"/>
      <c r="D856" s="253"/>
      <c r="E856" s="254"/>
      <c r="F856" s="463"/>
      <c r="G856" s="253"/>
      <c r="H856" s="254"/>
      <c r="I856" s="463"/>
      <c r="J856" s="253"/>
      <c r="K856" s="254"/>
      <c r="L856" s="463"/>
      <c r="M856" s="253"/>
      <c r="N856" s="254"/>
      <c r="O856" s="463"/>
      <c r="P856" s="253"/>
      <c r="Q856" s="254"/>
      <c r="R856" s="463"/>
      <c r="S856" s="253"/>
      <c r="T856" s="254"/>
      <c r="U856" s="463"/>
      <c r="V856" s="253"/>
      <c r="W856" s="254"/>
      <c r="X856" s="463"/>
      <c r="Y856" s="9"/>
      <c r="Z856" s="9"/>
      <c r="AA856" s="9"/>
      <c r="AB856" s="9"/>
      <c r="AC856" s="234"/>
      <c r="AD856" s="234"/>
      <c r="AE856" s="234"/>
      <c r="AF856" s="234"/>
      <c r="AG856" s="9"/>
      <c r="AH856" s="9"/>
      <c r="AI856" s="9"/>
      <c r="AJ856" s="9"/>
      <c r="AK856" s="245"/>
      <c r="AL856" s="245"/>
      <c r="AM856" s="245"/>
      <c r="AN856" s="245"/>
      <c r="AO856" s="9"/>
      <c r="AP856" s="9"/>
      <c r="AQ856" s="9"/>
      <c r="AR856" s="9"/>
      <c r="AS856" s="9"/>
      <c r="AT856" s="9"/>
      <c r="AU856" s="9"/>
      <c r="AV856" s="9"/>
    </row>
    <row r="857">
      <c r="A857" s="253"/>
      <c r="B857" s="254"/>
      <c r="C857" s="463"/>
      <c r="D857" s="253"/>
      <c r="E857" s="254"/>
      <c r="F857" s="463"/>
      <c r="G857" s="253"/>
      <c r="H857" s="254"/>
      <c r="I857" s="463"/>
      <c r="J857" s="253"/>
      <c r="K857" s="254"/>
      <c r="L857" s="463"/>
      <c r="M857" s="253"/>
      <c r="N857" s="254"/>
      <c r="O857" s="463"/>
      <c r="P857" s="253"/>
      <c r="Q857" s="254"/>
      <c r="R857" s="463"/>
      <c r="S857" s="253"/>
      <c r="T857" s="254"/>
      <c r="U857" s="463"/>
      <c r="V857" s="253"/>
      <c r="W857" s="254"/>
      <c r="X857" s="463"/>
      <c r="Y857" s="9"/>
      <c r="Z857" s="9"/>
      <c r="AA857" s="9"/>
      <c r="AB857" s="9"/>
      <c r="AC857" s="234"/>
      <c r="AD857" s="234"/>
      <c r="AE857" s="234"/>
      <c r="AF857" s="234"/>
      <c r="AG857" s="9"/>
      <c r="AH857" s="9"/>
      <c r="AI857" s="9"/>
      <c r="AJ857" s="9"/>
      <c r="AK857" s="245"/>
      <c r="AL857" s="245"/>
      <c r="AM857" s="245"/>
      <c r="AN857" s="245"/>
      <c r="AO857" s="9"/>
      <c r="AP857" s="9"/>
      <c r="AQ857" s="9"/>
      <c r="AR857" s="9"/>
      <c r="AS857" s="9"/>
      <c r="AT857" s="9"/>
      <c r="AU857" s="9"/>
      <c r="AV857" s="9"/>
    </row>
    <row r="858">
      <c r="A858" s="253"/>
      <c r="B858" s="254"/>
      <c r="C858" s="463"/>
      <c r="D858" s="253"/>
      <c r="E858" s="254"/>
      <c r="F858" s="463"/>
      <c r="G858" s="253"/>
      <c r="H858" s="254"/>
      <c r="I858" s="463"/>
      <c r="J858" s="253"/>
      <c r="K858" s="254"/>
      <c r="L858" s="463"/>
      <c r="M858" s="253"/>
      <c r="N858" s="254"/>
      <c r="O858" s="463"/>
      <c r="P858" s="253"/>
      <c r="Q858" s="254"/>
      <c r="R858" s="463"/>
      <c r="S858" s="253"/>
      <c r="T858" s="254"/>
      <c r="U858" s="463"/>
      <c r="V858" s="253"/>
      <c r="W858" s="254"/>
      <c r="X858" s="463"/>
      <c r="Y858" s="9"/>
      <c r="Z858" s="9"/>
      <c r="AA858" s="9"/>
      <c r="AB858" s="9"/>
      <c r="AC858" s="234"/>
      <c r="AD858" s="234"/>
      <c r="AE858" s="234"/>
      <c r="AF858" s="234"/>
      <c r="AG858" s="9"/>
      <c r="AH858" s="9"/>
      <c r="AI858" s="9"/>
      <c r="AJ858" s="9"/>
      <c r="AK858" s="245"/>
      <c r="AL858" s="245"/>
      <c r="AM858" s="245"/>
      <c r="AN858" s="245"/>
      <c r="AO858" s="9"/>
      <c r="AP858" s="9"/>
      <c r="AQ858" s="9"/>
      <c r="AR858" s="9"/>
      <c r="AS858" s="9"/>
      <c r="AT858" s="9"/>
      <c r="AU858" s="9"/>
      <c r="AV858" s="9"/>
    </row>
    <row r="859">
      <c r="A859" s="253"/>
      <c r="B859" s="254"/>
      <c r="C859" s="463"/>
      <c r="D859" s="253"/>
      <c r="E859" s="254"/>
      <c r="F859" s="463"/>
      <c r="G859" s="253"/>
      <c r="H859" s="254"/>
      <c r="I859" s="463"/>
      <c r="J859" s="253"/>
      <c r="K859" s="254"/>
      <c r="L859" s="463"/>
      <c r="M859" s="253"/>
      <c r="N859" s="254"/>
      <c r="O859" s="463"/>
      <c r="P859" s="253"/>
      <c r="Q859" s="254"/>
      <c r="R859" s="463"/>
      <c r="S859" s="253"/>
      <c r="T859" s="254"/>
      <c r="U859" s="463"/>
      <c r="V859" s="253"/>
      <c r="W859" s="254"/>
      <c r="X859" s="463"/>
      <c r="Y859" s="9"/>
      <c r="Z859" s="9"/>
      <c r="AA859" s="9"/>
      <c r="AB859" s="9"/>
      <c r="AC859" s="234"/>
      <c r="AD859" s="234"/>
      <c r="AE859" s="234"/>
      <c r="AF859" s="234"/>
      <c r="AG859" s="9"/>
      <c r="AH859" s="9"/>
      <c r="AI859" s="9"/>
      <c r="AJ859" s="9"/>
      <c r="AK859" s="245"/>
      <c r="AL859" s="245"/>
      <c r="AM859" s="245"/>
      <c r="AN859" s="245"/>
      <c r="AO859" s="9"/>
      <c r="AP859" s="9"/>
      <c r="AQ859" s="9"/>
      <c r="AR859" s="9"/>
      <c r="AS859" s="9"/>
      <c r="AT859" s="9"/>
      <c r="AU859" s="9"/>
      <c r="AV859" s="9"/>
    </row>
    <row r="860">
      <c r="A860" s="253"/>
      <c r="B860" s="254"/>
      <c r="C860" s="463"/>
      <c r="D860" s="253"/>
      <c r="E860" s="254"/>
      <c r="F860" s="463"/>
      <c r="G860" s="253"/>
      <c r="H860" s="254"/>
      <c r="I860" s="463"/>
      <c r="J860" s="253"/>
      <c r="K860" s="254"/>
      <c r="L860" s="463"/>
      <c r="M860" s="253"/>
      <c r="N860" s="254"/>
      <c r="O860" s="463"/>
      <c r="P860" s="253"/>
      <c r="Q860" s="254"/>
      <c r="R860" s="463"/>
      <c r="S860" s="253"/>
      <c r="T860" s="254"/>
      <c r="U860" s="463"/>
      <c r="V860" s="253"/>
      <c r="W860" s="254"/>
      <c r="X860" s="463"/>
      <c r="Y860" s="9"/>
      <c r="Z860" s="9"/>
      <c r="AA860" s="9"/>
      <c r="AB860" s="9"/>
      <c r="AC860" s="234"/>
      <c r="AD860" s="234"/>
      <c r="AE860" s="234"/>
      <c r="AF860" s="234"/>
      <c r="AG860" s="9"/>
      <c r="AH860" s="9"/>
      <c r="AI860" s="9"/>
      <c r="AJ860" s="9"/>
      <c r="AK860" s="245"/>
      <c r="AL860" s="245"/>
      <c r="AM860" s="245"/>
      <c r="AN860" s="245"/>
      <c r="AO860" s="9"/>
      <c r="AP860" s="9"/>
      <c r="AQ860" s="9"/>
      <c r="AR860" s="9"/>
      <c r="AS860" s="9"/>
      <c r="AT860" s="9"/>
      <c r="AU860" s="9"/>
      <c r="AV860" s="9"/>
    </row>
    <row r="861">
      <c r="A861" s="253"/>
      <c r="B861" s="254"/>
      <c r="C861" s="463"/>
      <c r="D861" s="253"/>
      <c r="E861" s="254"/>
      <c r="F861" s="463"/>
      <c r="G861" s="253"/>
      <c r="H861" s="254"/>
      <c r="I861" s="463"/>
      <c r="J861" s="253"/>
      <c r="K861" s="254"/>
      <c r="L861" s="463"/>
      <c r="M861" s="253"/>
      <c r="N861" s="254"/>
      <c r="O861" s="463"/>
      <c r="P861" s="253"/>
      <c r="Q861" s="254"/>
      <c r="R861" s="463"/>
      <c r="S861" s="253"/>
      <c r="T861" s="254"/>
      <c r="U861" s="463"/>
      <c r="V861" s="253"/>
      <c r="W861" s="254"/>
      <c r="X861" s="463"/>
      <c r="Y861" s="9"/>
      <c r="Z861" s="9"/>
      <c r="AA861" s="9"/>
      <c r="AB861" s="9"/>
      <c r="AC861" s="234"/>
      <c r="AD861" s="234"/>
      <c r="AE861" s="234"/>
      <c r="AF861" s="234"/>
      <c r="AG861" s="9"/>
      <c r="AH861" s="9"/>
      <c r="AI861" s="9"/>
      <c r="AJ861" s="9"/>
      <c r="AK861" s="245"/>
      <c r="AL861" s="245"/>
      <c r="AM861" s="245"/>
      <c r="AN861" s="245"/>
      <c r="AO861" s="9"/>
      <c r="AP861" s="9"/>
      <c r="AQ861" s="9"/>
      <c r="AR861" s="9"/>
      <c r="AS861" s="9"/>
      <c r="AT861" s="9"/>
      <c r="AU861" s="9"/>
      <c r="AV861" s="9"/>
    </row>
    <row r="862">
      <c r="A862" s="253"/>
      <c r="B862" s="254"/>
      <c r="C862" s="463"/>
      <c r="D862" s="253"/>
      <c r="E862" s="254"/>
      <c r="F862" s="463"/>
      <c r="G862" s="253"/>
      <c r="H862" s="254"/>
      <c r="I862" s="463"/>
      <c r="J862" s="253"/>
      <c r="K862" s="254"/>
      <c r="L862" s="463"/>
      <c r="M862" s="253"/>
      <c r="N862" s="254"/>
      <c r="O862" s="463"/>
      <c r="P862" s="253"/>
      <c r="Q862" s="254"/>
      <c r="R862" s="463"/>
      <c r="S862" s="253"/>
      <c r="T862" s="254"/>
      <c r="U862" s="463"/>
      <c r="V862" s="253"/>
      <c r="W862" s="254"/>
      <c r="X862" s="463"/>
      <c r="Y862" s="9"/>
      <c r="Z862" s="9"/>
      <c r="AA862" s="9"/>
      <c r="AB862" s="9"/>
      <c r="AC862" s="234"/>
      <c r="AD862" s="234"/>
      <c r="AE862" s="234"/>
      <c r="AF862" s="234"/>
      <c r="AG862" s="9"/>
      <c r="AH862" s="9"/>
      <c r="AI862" s="9"/>
      <c r="AJ862" s="9"/>
      <c r="AK862" s="245"/>
      <c r="AL862" s="245"/>
      <c r="AM862" s="245"/>
      <c r="AN862" s="245"/>
      <c r="AO862" s="9"/>
      <c r="AP862" s="9"/>
      <c r="AQ862" s="9"/>
      <c r="AR862" s="9"/>
      <c r="AS862" s="9"/>
      <c r="AT862" s="9"/>
      <c r="AU862" s="9"/>
      <c r="AV862" s="9"/>
    </row>
    <row r="863">
      <c r="A863" s="253"/>
      <c r="B863" s="254"/>
      <c r="C863" s="463"/>
      <c r="D863" s="253"/>
      <c r="E863" s="254"/>
      <c r="F863" s="463"/>
      <c r="G863" s="253"/>
      <c r="H863" s="254"/>
      <c r="I863" s="463"/>
      <c r="J863" s="253"/>
      <c r="K863" s="254"/>
      <c r="L863" s="463"/>
      <c r="M863" s="253"/>
      <c r="N863" s="254"/>
      <c r="O863" s="463"/>
      <c r="P863" s="253"/>
      <c r="Q863" s="254"/>
      <c r="R863" s="463"/>
      <c r="S863" s="253"/>
      <c r="T863" s="254"/>
      <c r="U863" s="463"/>
      <c r="V863" s="253"/>
      <c r="W863" s="254"/>
      <c r="X863" s="463"/>
      <c r="Y863" s="9"/>
      <c r="Z863" s="9"/>
      <c r="AA863" s="9"/>
      <c r="AB863" s="9"/>
      <c r="AC863" s="234"/>
      <c r="AD863" s="234"/>
      <c r="AE863" s="234"/>
      <c r="AF863" s="234"/>
      <c r="AG863" s="9"/>
      <c r="AH863" s="9"/>
      <c r="AI863" s="9"/>
      <c r="AJ863" s="9"/>
      <c r="AK863" s="245"/>
      <c r="AL863" s="245"/>
      <c r="AM863" s="245"/>
      <c r="AN863" s="245"/>
      <c r="AO863" s="9"/>
      <c r="AP863" s="9"/>
      <c r="AQ863" s="9"/>
      <c r="AR863" s="9"/>
      <c r="AS863" s="9"/>
      <c r="AT863" s="9"/>
      <c r="AU863" s="9"/>
      <c r="AV863" s="9"/>
    </row>
    <row r="864">
      <c r="A864" s="253"/>
      <c r="B864" s="254"/>
      <c r="C864" s="463"/>
      <c r="D864" s="253"/>
      <c r="E864" s="254"/>
      <c r="F864" s="463"/>
      <c r="G864" s="253"/>
      <c r="H864" s="254"/>
      <c r="I864" s="463"/>
      <c r="J864" s="253"/>
      <c r="K864" s="254"/>
      <c r="L864" s="463"/>
      <c r="M864" s="253"/>
      <c r="N864" s="254"/>
      <c r="O864" s="463"/>
      <c r="P864" s="253"/>
      <c r="Q864" s="254"/>
      <c r="R864" s="463"/>
      <c r="S864" s="253"/>
      <c r="T864" s="254"/>
      <c r="U864" s="463"/>
      <c r="V864" s="253"/>
      <c r="W864" s="254"/>
      <c r="X864" s="463"/>
      <c r="Y864" s="9"/>
      <c r="Z864" s="9"/>
      <c r="AA864" s="9"/>
      <c r="AB864" s="9"/>
      <c r="AC864" s="234"/>
      <c r="AD864" s="234"/>
      <c r="AE864" s="234"/>
      <c r="AF864" s="234"/>
      <c r="AG864" s="9"/>
      <c r="AH864" s="9"/>
      <c r="AI864" s="9"/>
      <c r="AJ864" s="9"/>
      <c r="AK864" s="245"/>
      <c r="AL864" s="245"/>
      <c r="AM864" s="245"/>
      <c r="AN864" s="245"/>
      <c r="AO864" s="9"/>
      <c r="AP864" s="9"/>
      <c r="AQ864" s="9"/>
      <c r="AR864" s="9"/>
      <c r="AS864" s="9"/>
      <c r="AT864" s="9"/>
      <c r="AU864" s="9"/>
      <c r="AV864" s="9"/>
    </row>
    <row r="865">
      <c r="A865" s="253"/>
      <c r="B865" s="254"/>
      <c r="C865" s="463"/>
      <c r="D865" s="253"/>
      <c r="E865" s="254"/>
      <c r="F865" s="463"/>
      <c r="G865" s="253"/>
      <c r="H865" s="254"/>
      <c r="I865" s="463"/>
      <c r="J865" s="253"/>
      <c r="K865" s="254"/>
      <c r="L865" s="463"/>
      <c r="M865" s="253"/>
      <c r="N865" s="254"/>
      <c r="O865" s="463"/>
      <c r="P865" s="253"/>
      <c r="Q865" s="254"/>
      <c r="R865" s="463"/>
      <c r="S865" s="253"/>
      <c r="T865" s="254"/>
      <c r="U865" s="463"/>
      <c r="V865" s="253"/>
      <c r="W865" s="254"/>
      <c r="X865" s="463"/>
      <c r="Y865" s="9"/>
      <c r="Z865" s="9"/>
      <c r="AA865" s="9"/>
      <c r="AB865" s="9"/>
      <c r="AC865" s="234"/>
      <c r="AD865" s="234"/>
      <c r="AE865" s="234"/>
      <c r="AF865" s="234"/>
      <c r="AG865" s="9"/>
      <c r="AH865" s="9"/>
      <c r="AI865" s="9"/>
      <c r="AJ865" s="9"/>
      <c r="AK865" s="245"/>
      <c r="AL865" s="245"/>
      <c r="AM865" s="245"/>
      <c r="AN865" s="245"/>
      <c r="AO865" s="9"/>
      <c r="AP865" s="9"/>
      <c r="AQ865" s="9"/>
      <c r="AR865" s="9"/>
      <c r="AS865" s="9"/>
      <c r="AT865" s="9"/>
      <c r="AU865" s="9"/>
      <c r="AV865" s="9"/>
    </row>
    <row r="866">
      <c r="A866" s="253"/>
      <c r="B866" s="254"/>
      <c r="C866" s="463"/>
      <c r="D866" s="253"/>
      <c r="E866" s="254"/>
      <c r="F866" s="463"/>
      <c r="G866" s="253"/>
      <c r="H866" s="254"/>
      <c r="I866" s="463"/>
      <c r="J866" s="253"/>
      <c r="K866" s="254"/>
      <c r="L866" s="463"/>
      <c r="M866" s="253"/>
      <c r="N866" s="254"/>
      <c r="O866" s="463"/>
      <c r="P866" s="253"/>
      <c r="Q866" s="254"/>
      <c r="R866" s="463"/>
      <c r="S866" s="253"/>
      <c r="T866" s="254"/>
      <c r="U866" s="463"/>
      <c r="V866" s="253"/>
      <c r="W866" s="254"/>
      <c r="X866" s="463"/>
      <c r="Y866" s="9"/>
      <c r="Z866" s="9"/>
      <c r="AA866" s="9"/>
      <c r="AB866" s="9"/>
      <c r="AC866" s="234"/>
      <c r="AD866" s="234"/>
      <c r="AE866" s="234"/>
      <c r="AF866" s="234"/>
      <c r="AG866" s="9"/>
      <c r="AH866" s="9"/>
      <c r="AI866" s="9"/>
      <c r="AJ866" s="9"/>
      <c r="AK866" s="245"/>
      <c r="AL866" s="245"/>
      <c r="AM866" s="245"/>
      <c r="AN866" s="245"/>
      <c r="AO866" s="9"/>
      <c r="AP866" s="9"/>
      <c r="AQ866" s="9"/>
      <c r="AR866" s="9"/>
      <c r="AS866" s="9"/>
      <c r="AT866" s="9"/>
      <c r="AU866" s="9"/>
      <c r="AV866" s="9"/>
    </row>
    <row r="867">
      <c r="A867" s="253"/>
      <c r="B867" s="254"/>
      <c r="C867" s="463"/>
      <c r="D867" s="253"/>
      <c r="E867" s="254"/>
      <c r="F867" s="463"/>
      <c r="G867" s="253"/>
      <c r="H867" s="254"/>
      <c r="I867" s="463"/>
      <c r="J867" s="253"/>
      <c r="K867" s="254"/>
      <c r="L867" s="463"/>
      <c r="M867" s="253"/>
      <c r="N867" s="254"/>
      <c r="O867" s="463"/>
      <c r="P867" s="253"/>
      <c r="Q867" s="254"/>
      <c r="R867" s="463"/>
      <c r="S867" s="253"/>
      <c r="T867" s="254"/>
      <c r="U867" s="463"/>
      <c r="V867" s="253"/>
      <c r="W867" s="254"/>
      <c r="X867" s="463"/>
      <c r="Y867" s="9"/>
      <c r="Z867" s="9"/>
      <c r="AA867" s="9"/>
      <c r="AB867" s="9"/>
      <c r="AC867" s="234"/>
      <c r="AD867" s="234"/>
      <c r="AE867" s="234"/>
      <c r="AF867" s="234"/>
      <c r="AG867" s="9"/>
      <c r="AH867" s="9"/>
      <c r="AI867" s="9"/>
      <c r="AJ867" s="9"/>
      <c r="AK867" s="245"/>
      <c r="AL867" s="245"/>
      <c r="AM867" s="245"/>
      <c r="AN867" s="245"/>
      <c r="AO867" s="9"/>
      <c r="AP867" s="9"/>
      <c r="AQ867" s="9"/>
      <c r="AR867" s="9"/>
      <c r="AS867" s="9"/>
      <c r="AT867" s="9"/>
      <c r="AU867" s="9"/>
      <c r="AV867" s="9"/>
    </row>
    <row r="868">
      <c r="A868" s="253"/>
      <c r="B868" s="254"/>
      <c r="C868" s="463"/>
      <c r="D868" s="253"/>
      <c r="E868" s="254"/>
      <c r="F868" s="463"/>
      <c r="G868" s="253"/>
      <c r="H868" s="254"/>
      <c r="I868" s="463"/>
      <c r="J868" s="253"/>
      <c r="K868" s="254"/>
      <c r="L868" s="463"/>
      <c r="M868" s="253"/>
      <c r="N868" s="254"/>
      <c r="O868" s="463"/>
      <c r="P868" s="253"/>
      <c r="Q868" s="254"/>
      <c r="R868" s="463"/>
      <c r="S868" s="253"/>
      <c r="T868" s="254"/>
      <c r="U868" s="463"/>
      <c r="V868" s="253"/>
      <c r="W868" s="254"/>
      <c r="X868" s="463"/>
      <c r="Y868" s="9"/>
      <c r="Z868" s="9"/>
      <c r="AA868" s="9"/>
      <c r="AB868" s="9"/>
      <c r="AC868" s="234"/>
      <c r="AD868" s="234"/>
      <c r="AE868" s="234"/>
      <c r="AF868" s="234"/>
      <c r="AG868" s="9"/>
      <c r="AH868" s="9"/>
      <c r="AI868" s="9"/>
      <c r="AJ868" s="9"/>
      <c r="AK868" s="245"/>
      <c r="AL868" s="245"/>
      <c r="AM868" s="245"/>
      <c r="AN868" s="245"/>
      <c r="AO868" s="9"/>
      <c r="AP868" s="9"/>
      <c r="AQ868" s="9"/>
      <c r="AR868" s="9"/>
      <c r="AS868" s="9"/>
      <c r="AT868" s="9"/>
      <c r="AU868" s="9"/>
      <c r="AV868" s="9"/>
    </row>
    <row r="869">
      <c r="A869" s="253"/>
      <c r="B869" s="254"/>
      <c r="C869" s="463"/>
      <c r="D869" s="253"/>
      <c r="E869" s="254"/>
      <c r="F869" s="463"/>
      <c r="G869" s="253"/>
      <c r="H869" s="254"/>
      <c r="I869" s="463"/>
      <c r="J869" s="253"/>
      <c r="K869" s="254"/>
      <c r="L869" s="463"/>
      <c r="M869" s="253"/>
      <c r="N869" s="254"/>
      <c r="O869" s="463"/>
      <c r="P869" s="253"/>
      <c r="Q869" s="254"/>
      <c r="R869" s="463"/>
      <c r="S869" s="253"/>
      <c r="T869" s="254"/>
      <c r="U869" s="463"/>
      <c r="V869" s="253"/>
      <c r="W869" s="254"/>
      <c r="X869" s="463"/>
      <c r="Y869" s="9"/>
      <c r="Z869" s="9"/>
      <c r="AA869" s="9"/>
      <c r="AB869" s="9"/>
      <c r="AC869" s="234"/>
      <c r="AD869" s="234"/>
      <c r="AE869" s="234"/>
      <c r="AF869" s="234"/>
      <c r="AG869" s="9"/>
      <c r="AH869" s="9"/>
      <c r="AI869" s="9"/>
      <c r="AJ869" s="9"/>
      <c r="AK869" s="245"/>
      <c r="AL869" s="245"/>
      <c r="AM869" s="245"/>
      <c r="AN869" s="245"/>
      <c r="AO869" s="9"/>
      <c r="AP869" s="9"/>
      <c r="AQ869" s="9"/>
      <c r="AR869" s="9"/>
      <c r="AS869" s="9"/>
      <c r="AT869" s="9"/>
      <c r="AU869" s="9"/>
      <c r="AV869" s="9"/>
    </row>
    <row r="870">
      <c r="A870" s="253"/>
      <c r="B870" s="254"/>
      <c r="C870" s="463"/>
      <c r="D870" s="253"/>
      <c r="E870" s="254"/>
      <c r="F870" s="463"/>
      <c r="G870" s="253"/>
      <c r="H870" s="254"/>
      <c r="I870" s="463"/>
      <c r="J870" s="253"/>
      <c r="K870" s="254"/>
      <c r="L870" s="463"/>
      <c r="M870" s="253"/>
      <c r="N870" s="254"/>
      <c r="O870" s="463"/>
      <c r="P870" s="253"/>
      <c r="Q870" s="254"/>
      <c r="R870" s="463"/>
      <c r="S870" s="253"/>
      <c r="T870" s="254"/>
      <c r="U870" s="463"/>
      <c r="V870" s="253"/>
      <c r="W870" s="254"/>
      <c r="X870" s="463"/>
      <c r="Y870" s="9"/>
      <c r="Z870" s="9"/>
      <c r="AA870" s="9"/>
      <c r="AB870" s="9"/>
      <c r="AC870" s="234"/>
      <c r="AD870" s="234"/>
      <c r="AE870" s="234"/>
      <c r="AF870" s="234"/>
      <c r="AG870" s="9"/>
      <c r="AH870" s="9"/>
      <c r="AI870" s="9"/>
      <c r="AJ870" s="9"/>
      <c r="AK870" s="245"/>
      <c r="AL870" s="245"/>
      <c r="AM870" s="245"/>
      <c r="AN870" s="245"/>
      <c r="AO870" s="9"/>
      <c r="AP870" s="9"/>
      <c r="AQ870" s="9"/>
      <c r="AR870" s="9"/>
      <c r="AS870" s="9"/>
      <c r="AT870" s="9"/>
      <c r="AU870" s="9"/>
      <c r="AV870" s="9"/>
    </row>
    <row r="871">
      <c r="A871" s="253"/>
      <c r="B871" s="254"/>
      <c r="C871" s="463"/>
      <c r="D871" s="253"/>
      <c r="E871" s="254"/>
      <c r="F871" s="463"/>
      <c r="G871" s="253"/>
      <c r="H871" s="254"/>
      <c r="I871" s="463"/>
      <c r="J871" s="253"/>
      <c r="K871" s="254"/>
      <c r="L871" s="463"/>
      <c r="M871" s="253"/>
      <c r="N871" s="254"/>
      <c r="O871" s="463"/>
      <c r="P871" s="253"/>
      <c r="Q871" s="254"/>
      <c r="R871" s="463"/>
      <c r="S871" s="253"/>
      <c r="T871" s="254"/>
      <c r="U871" s="463"/>
      <c r="V871" s="253"/>
      <c r="W871" s="254"/>
      <c r="X871" s="463"/>
      <c r="Y871" s="9"/>
      <c r="Z871" s="9"/>
      <c r="AA871" s="9"/>
      <c r="AB871" s="9"/>
      <c r="AC871" s="234"/>
      <c r="AD871" s="234"/>
      <c r="AE871" s="234"/>
      <c r="AF871" s="234"/>
      <c r="AG871" s="9"/>
      <c r="AH871" s="9"/>
      <c r="AI871" s="9"/>
      <c r="AJ871" s="9"/>
      <c r="AK871" s="245"/>
      <c r="AL871" s="245"/>
      <c r="AM871" s="245"/>
      <c r="AN871" s="245"/>
      <c r="AO871" s="9"/>
      <c r="AP871" s="9"/>
      <c r="AQ871" s="9"/>
      <c r="AR871" s="9"/>
      <c r="AS871" s="9"/>
      <c r="AT871" s="9"/>
      <c r="AU871" s="9"/>
      <c r="AV871" s="9"/>
    </row>
    <row r="872">
      <c r="A872" s="253"/>
      <c r="B872" s="254"/>
      <c r="C872" s="463"/>
      <c r="D872" s="253"/>
      <c r="E872" s="254"/>
      <c r="F872" s="463"/>
      <c r="G872" s="253"/>
      <c r="H872" s="254"/>
      <c r="I872" s="463"/>
      <c r="J872" s="253"/>
      <c r="K872" s="254"/>
      <c r="L872" s="463"/>
      <c r="M872" s="253"/>
      <c r="N872" s="254"/>
      <c r="O872" s="463"/>
      <c r="P872" s="253"/>
      <c r="Q872" s="254"/>
      <c r="R872" s="463"/>
      <c r="S872" s="253"/>
      <c r="T872" s="254"/>
      <c r="U872" s="463"/>
      <c r="V872" s="253"/>
      <c r="W872" s="254"/>
      <c r="X872" s="463"/>
      <c r="Y872" s="9"/>
      <c r="Z872" s="9"/>
      <c r="AA872" s="9"/>
      <c r="AB872" s="9"/>
      <c r="AC872" s="234"/>
      <c r="AD872" s="234"/>
      <c r="AE872" s="234"/>
      <c r="AF872" s="234"/>
      <c r="AG872" s="9"/>
      <c r="AH872" s="9"/>
      <c r="AI872" s="9"/>
      <c r="AJ872" s="9"/>
      <c r="AK872" s="245"/>
      <c r="AL872" s="245"/>
      <c r="AM872" s="245"/>
      <c r="AN872" s="245"/>
      <c r="AO872" s="9"/>
      <c r="AP872" s="9"/>
      <c r="AQ872" s="9"/>
      <c r="AR872" s="9"/>
      <c r="AS872" s="9"/>
      <c r="AT872" s="9"/>
      <c r="AU872" s="9"/>
      <c r="AV872" s="9"/>
    </row>
    <row r="873">
      <c r="A873" s="253"/>
      <c r="B873" s="254"/>
      <c r="C873" s="463"/>
      <c r="D873" s="253"/>
      <c r="E873" s="254"/>
      <c r="F873" s="463"/>
      <c r="G873" s="253"/>
      <c r="H873" s="254"/>
      <c r="I873" s="463"/>
      <c r="J873" s="253"/>
      <c r="K873" s="254"/>
      <c r="L873" s="463"/>
      <c r="M873" s="253"/>
      <c r="N873" s="254"/>
      <c r="O873" s="463"/>
      <c r="P873" s="253"/>
      <c r="Q873" s="254"/>
      <c r="R873" s="463"/>
      <c r="S873" s="253"/>
      <c r="T873" s="254"/>
      <c r="U873" s="463"/>
      <c r="V873" s="253"/>
      <c r="W873" s="254"/>
      <c r="X873" s="463"/>
      <c r="Y873" s="9"/>
      <c r="Z873" s="9"/>
      <c r="AA873" s="9"/>
      <c r="AB873" s="9"/>
      <c r="AC873" s="234"/>
      <c r="AD873" s="234"/>
      <c r="AE873" s="234"/>
      <c r="AF873" s="234"/>
      <c r="AG873" s="9"/>
      <c r="AH873" s="9"/>
      <c r="AI873" s="9"/>
      <c r="AJ873" s="9"/>
      <c r="AK873" s="245"/>
      <c r="AL873" s="245"/>
      <c r="AM873" s="245"/>
      <c r="AN873" s="245"/>
      <c r="AO873" s="9"/>
      <c r="AP873" s="9"/>
      <c r="AQ873" s="9"/>
      <c r="AR873" s="9"/>
      <c r="AS873" s="9"/>
      <c r="AT873" s="9"/>
      <c r="AU873" s="9"/>
      <c r="AV873" s="9"/>
    </row>
    <row r="874">
      <c r="A874" s="253"/>
      <c r="B874" s="254"/>
      <c r="C874" s="463"/>
      <c r="D874" s="253"/>
      <c r="E874" s="254"/>
      <c r="F874" s="463"/>
      <c r="G874" s="253"/>
      <c r="H874" s="254"/>
      <c r="I874" s="463"/>
      <c r="J874" s="253"/>
      <c r="K874" s="254"/>
      <c r="L874" s="463"/>
      <c r="M874" s="253"/>
      <c r="N874" s="254"/>
      <c r="O874" s="463"/>
      <c r="P874" s="253"/>
      <c r="Q874" s="254"/>
      <c r="R874" s="463"/>
      <c r="S874" s="253"/>
      <c r="T874" s="254"/>
      <c r="U874" s="463"/>
      <c r="V874" s="253"/>
      <c r="W874" s="254"/>
      <c r="X874" s="463"/>
      <c r="Y874" s="9"/>
      <c r="Z874" s="9"/>
      <c r="AA874" s="9"/>
      <c r="AB874" s="9"/>
      <c r="AC874" s="234"/>
      <c r="AD874" s="234"/>
      <c r="AE874" s="234"/>
      <c r="AF874" s="234"/>
      <c r="AG874" s="9"/>
      <c r="AH874" s="9"/>
      <c r="AI874" s="9"/>
      <c r="AJ874" s="9"/>
      <c r="AK874" s="245"/>
      <c r="AL874" s="245"/>
      <c r="AM874" s="245"/>
      <c r="AN874" s="245"/>
      <c r="AO874" s="9"/>
      <c r="AP874" s="9"/>
      <c r="AQ874" s="9"/>
      <c r="AR874" s="9"/>
      <c r="AS874" s="9"/>
      <c r="AT874" s="9"/>
      <c r="AU874" s="9"/>
      <c r="AV874" s="9"/>
    </row>
    <row r="875">
      <c r="A875" s="253"/>
      <c r="B875" s="254"/>
      <c r="C875" s="463"/>
      <c r="D875" s="253"/>
      <c r="E875" s="254"/>
      <c r="F875" s="463"/>
      <c r="G875" s="253"/>
      <c r="H875" s="254"/>
      <c r="I875" s="463"/>
      <c r="J875" s="253"/>
      <c r="K875" s="254"/>
      <c r="L875" s="463"/>
      <c r="M875" s="253"/>
      <c r="N875" s="254"/>
      <c r="O875" s="463"/>
      <c r="P875" s="253"/>
      <c r="Q875" s="254"/>
      <c r="R875" s="463"/>
      <c r="S875" s="253"/>
      <c r="T875" s="254"/>
      <c r="U875" s="463"/>
      <c r="V875" s="253"/>
      <c r="W875" s="254"/>
      <c r="X875" s="463"/>
      <c r="Y875" s="9"/>
      <c r="Z875" s="9"/>
      <c r="AA875" s="9"/>
      <c r="AB875" s="9"/>
      <c r="AC875" s="234"/>
      <c r="AD875" s="234"/>
      <c r="AE875" s="234"/>
      <c r="AF875" s="234"/>
      <c r="AG875" s="9"/>
      <c r="AH875" s="9"/>
      <c r="AI875" s="9"/>
      <c r="AJ875" s="9"/>
      <c r="AK875" s="245"/>
      <c r="AL875" s="245"/>
      <c r="AM875" s="245"/>
      <c r="AN875" s="245"/>
      <c r="AO875" s="9"/>
      <c r="AP875" s="9"/>
      <c r="AQ875" s="9"/>
      <c r="AR875" s="9"/>
      <c r="AS875" s="9"/>
      <c r="AT875" s="9"/>
      <c r="AU875" s="9"/>
      <c r="AV875" s="9"/>
    </row>
    <row r="876">
      <c r="A876" s="253"/>
      <c r="B876" s="254"/>
      <c r="C876" s="463"/>
      <c r="D876" s="253"/>
      <c r="E876" s="254"/>
      <c r="F876" s="463"/>
      <c r="G876" s="253"/>
      <c r="H876" s="254"/>
      <c r="I876" s="463"/>
      <c r="J876" s="253"/>
      <c r="K876" s="254"/>
      <c r="L876" s="463"/>
      <c r="M876" s="253"/>
      <c r="N876" s="254"/>
      <c r="O876" s="463"/>
      <c r="P876" s="253"/>
      <c r="Q876" s="254"/>
      <c r="R876" s="463"/>
      <c r="S876" s="253"/>
      <c r="T876" s="254"/>
      <c r="U876" s="463"/>
      <c r="V876" s="253"/>
      <c r="W876" s="254"/>
      <c r="X876" s="463"/>
      <c r="Y876" s="9"/>
      <c r="Z876" s="9"/>
      <c r="AA876" s="9"/>
      <c r="AB876" s="9"/>
      <c r="AC876" s="234"/>
      <c r="AD876" s="234"/>
      <c r="AE876" s="234"/>
      <c r="AF876" s="234"/>
      <c r="AG876" s="9"/>
      <c r="AH876" s="9"/>
      <c r="AI876" s="9"/>
      <c r="AJ876" s="9"/>
      <c r="AK876" s="245"/>
      <c r="AL876" s="245"/>
      <c r="AM876" s="245"/>
      <c r="AN876" s="245"/>
      <c r="AO876" s="9"/>
      <c r="AP876" s="9"/>
      <c r="AQ876" s="9"/>
      <c r="AR876" s="9"/>
      <c r="AS876" s="9"/>
      <c r="AT876" s="9"/>
      <c r="AU876" s="9"/>
      <c r="AV876" s="9"/>
    </row>
    <row r="877">
      <c r="A877" s="253"/>
      <c r="B877" s="254"/>
      <c r="C877" s="463"/>
      <c r="D877" s="253"/>
      <c r="E877" s="254"/>
      <c r="F877" s="463"/>
      <c r="G877" s="253"/>
      <c r="H877" s="254"/>
      <c r="I877" s="463"/>
      <c r="J877" s="253"/>
      <c r="K877" s="254"/>
      <c r="L877" s="463"/>
      <c r="M877" s="253"/>
      <c r="N877" s="254"/>
      <c r="O877" s="463"/>
      <c r="P877" s="253"/>
      <c r="Q877" s="254"/>
      <c r="R877" s="463"/>
      <c r="S877" s="253"/>
      <c r="T877" s="254"/>
      <c r="U877" s="463"/>
      <c r="V877" s="253"/>
      <c r="W877" s="254"/>
      <c r="X877" s="463"/>
      <c r="Y877" s="9"/>
      <c r="Z877" s="9"/>
      <c r="AA877" s="9"/>
      <c r="AB877" s="9"/>
      <c r="AC877" s="234"/>
      <c r="AD877" s="234"/>
      <c r="AE877" s="234"/>
      <c r="AF877" s="234"/>
      <c r="AG877" s="9"/>
      <c r="AH877" s="9"/>
      <c r="AI877" s="9"/>
      <c r="AJ877" s="9"/>
      <c r="AK877" s="245"/>
      <c r="AL877" s="245"/>
      <c r="AM877" s="245"/>
      <c r="AN877" s="245"/>
      <c r="AO877" s="9"/>
      <c r="AP877" s="9"/>
      <c r="AQ877" s="9"/>
      <c r="AR877" s="9"/>
      <c r="AS877" s="9"/>
      <c r="AT877" s="9"/>
      <c r="AU877" s="9"/>
      <c r="AV877" s="9"/>
    </row>
    <row r="878">
      <c r="A878" s="253"/>
      <c r="B878" s="254"/>
      <c r="C878" s="463"/>
      <c r="D878" s="253"/>
      <c r="E878" s="254"/>
      <c r="F878" s="463"/>
      <c r="G878" s="253"/>
      <c r="H878" s="254"/>
      <c r="I878" s="463"/>
      <c r="J878" s="253"/>
      <c r="K878" s="254"/>
      <c r="L878" s="463"/>
      <c r="M878" s="253"/>
      <c r="N878" s="254"/>
      <c r="O878" s="463"/>
      <c r="P878" s="253"/>
      <c r="Q878" s="254"/>
      <c r="R878" s="463"/>
      <c r="S878" s="253"/>
      <c r="T878" s="254"/>
      <c r="U878" s="463"/>
      <c r="V878" s="253"/>
      <c r="W878" s="254"/>
      <c r="X878" s="463"/>
      <c r="Y878" s="9"/>
      <c r="Z878" s="9"/>
      <c r="AA878" s="9"/>
      <c r="AB878" s="9"/>
      <c r="AC878" s="234"/>
      <c r="AD878" s="234"/>
      <c r="AE878" s="234"/>
      <c r="AF878" s="234"/>
      <c r="AG878" s="9"/>
      <c r="AH878" s="9"/>
      <c r="AI878" s="9"/>
      <c r="AJ878" s="9"/>
      <c r="AK878" s="245"/>
      <c r="AL878" s="245"/>
      <c r="AM878" s="245"/>
      <c r="AN878" s="245"/>
      <c r="AO878" s="9"/>
      <c r="AP878" s="9"/>
      <c r="AQ878" s="9"/>
      <c r="AR878" s="9"/>
      <c r="AS878" s="9"/>
      <c r="AT878" s="9"/>
      <c r="AU878" s="9"/>
      <c r="AV878" s="9"/>
    </row>
    <row r="879">
      <c r="A879" s="253"/>
      <c r="B879" s="254"/>
      <c r="C879" s="463"/>
      <c r="D879" s="253"/>
      <c r="E879" s="254"/>
      <c r="F879" s="463"/>
      <c r="G879" s="253"/>
      <c r="H879" s="254"/>
      <c r="I879" s="463"/>
      <c r="J879" s="253"/>
      <c r="K879" s="254"/>
      <c r="L879" s="463"/>
      <c r="M879" s="253"/>
      <c r="N879" s="254"/>
      <c r="O879" s="463"/>
      <c r="P879" s="253"/>
      <c r="Q879" s="254"/>
      <c r="R879" s="463"/>
      <c r="S879" s="253"/>
      <c r="T879" s="254"/>
      <c r="U879" s="463"/>
      <c r="V879" s="253"/>
      <c r="W879" s="254"/>
      <c r="X879" s="463"/>
      <c r="Y879" s="9"/>
      <c r="Z879" s="9"/>
      <c r="AA879" s="9"/>
      <c r="AB879" s="9"/>
      <c r="AC879" s="234"/>
      <c r="AD879" s="234"/>
      <c r="AE879" s="234"/>
      <c r="AF879" s="234"/>
      <c r="AG879" s="9"/>
      <c r="AH879" s="9"/>
      <c r="AI879" s="9"/>
      <c r="AJ879" s="9"/>
      <c r="AK879" s="245"/>
      <c r="AL879" s="245"/>
      <c r="AM879" s="245"/>
      <c r="AN879" s="245"/>
      <c r="AO879" s="9"/>
      <c r="AP879" s="9"/>
      <c r="AQ879" s="9"/>
      <c r="AR879" s="9"/>
      <c r="AS879" s="9"/>
      <c r="AT879" s="9"/>
      <c r="AU879" s="9"/>
      <c r="AV879" s="9"/>
    </row>
    <row r="880">
      <c r="A880" s="253"/>
      <c r="B880" s="254"/>
      <c r="C880" s="463"/>
      <c r="D880" s="253"/>
      <c r="E880" s="254"/>
      <c r="F880" s="463"/>
      <c r="G880" s="253"/>
      <c r="H880" s="254"/>
      <c r="I880" s="463"/>
      <c r="J880" s="253"/>
      <c r="K880" s="254"/>
      <c r="L880" s="463"/>
      <c r="M880" s="253"/>
      <c r="N880" s="254"/>
      <c r="O880" s="463"/>
      <c r="P880" s="253"/>
      <c r="Q880" s="254"/>
      <c r="R880" s="463"/>
      <c r="S880" s="253"/>
      <c r="T880" s="254"/>
      <c r="U880" s="463"/>
      <c r="V880" s="253"/>
      <c r="W880" s="254"/>
      <c r="X880" s="463"/>
      <c r="Y880" s="9"/>
      <c r="Z880" s="9"/>
      <c r="AA880" s="9"/>
      <c r="AB880" s="9"/>
      <c r="AC880" s="234"/>
      <c r="AD880" s="234"/>
      <c r="AE880" s="234"/>
      <c r="AF880" s="234"/>
      <c r="AG880" s="9"/>
      <c r="AH880" s="9"/>
      <c r="AI880" s="9"/>
      <c r="AJ880" s="9"/>
      <c r="AK880" s="245"/>
      <c r="AL880" s="245"/>
      <c r="AM880" s="245"/>
      <c r="AN880" s="245"/>
      <c r="AO880" s="9"/>
      <c r="AP880" s="9"/>
      <c r="AQ880" s="9"/>
      <c r="AR880" s="9"/>
      <c r="AS880" s="9"/>
      <c r="AT880" s="9"/>
      <c r="AU880" s="9"/>
      <c r="AV880" s="9"/>
    </row>
    <row r="881">
      <c r="A881" s="253"/>
      <c r="B881" s="254"/>
      <c r="C881" s="463"/>
      <c r="D881" s="253"/>
      <c r="E881" s="254"/>
      <c r="F881" s="463"/>
      <c r="G881" s="253"/>
      <c r="H881" s="254"/>
      <c r="I881" s="463"/>
      <c r="J881" s="253"/>
      <c r="K881" s="254"/>
      <c r="L881" s="463"/>
      <c r="M881" s="253"/>
      <c r="N881" s="254"/>
      <c r="O881" s="463"/>
      <c r="P881" s="253"/>
      <c r="Q881" s="254"/>
      <c r="R881" s="463"/>
      <c r="S881" s="253"/>
      <c r="T881" s="254"/>
      <c r="U881" s="463"/>
      <c r="V881" s="253"/>
      <c r="W881" s="254"/>
      <c r="X881" s="463"/>
      <c r="Y881" s="9"/>
      <c r="Z881" s="9"/>
      <c r="AA881" s="9"/>
      <c r="AB881" s="9"/>
      <c r="AC881" s="234"/>
      <c r="AD881" s="234"/>
      <c r="AE881" s="234"/>
      <c r="AF881" s="234"/>
      <c r="AG881" s="9"/>
      <c r="AH881" s="9"/>
      <c r="AI881" s="9"/>
      <c r="AJ881" s="9"/>
      <c r="AK881" s="245"/>
      <c r="AL881" s="245"/>
      <c r="AM881" s="245"/>
      <c r="AN881" s="245"/>
      <c r="AO881" s="9"/>
      <c r="AP881" s="9"/>
      <c r="AQ881" s="9"/>
      <c r="AR881" s="9"/>
      <c r="AS881" s="9"/>
      <c r="AT881" s="9"/>
      <c r="AU881" s="9"/>
      <c r="AV881" s="9"/>
    </row>
    <row r="882">
      <c r="A882" s="253"/>
      <c r="B882" s="254"/>
      <c r="C882" s="463"/>
      <c r="D882" s="253"/>
      <c r="E882" s="254"/>
      <c r="F882" s="463"/>
      <c r="G882" s="253"/>
      <c r="H882" s="254"/>
      <c r="I882" s="463"/>
      <c r="J882" s="253"/>
      <c r="K882" s="254"/>
      <c r="L882" s="463"/>
      <c r="M882" s="253"/>
      <c r="N882" s="254"/>
      <c r="O882" s="463"/>
      <c r="P882" s="253"/>
      <c r="Q882" s="254"/>
      <c r="R882" s="463"/>
      <c r="S882" s="253"/>
      <c r="T882" s="254"/>
      <c r="U882" s="463"/>
      <c r="V882" s="253"/>
      <c r="W882" s="254"/>
      <c r="X882" s="463"/>
      <c r="Y882" s="9"/>
      <c r="Z882" s="9"/>
      <c r="AA882" s="9"/>
      <c r="AB882" s="9"/>
      <c r="AC882" s="234"/>
      <c r="AD882" s="234"/>
      <c r="AE882" s="234"/>
      <c r="AF882" s="234"/>
      <c r="AG882" s="9"/>
      <c r="AH882" s="9"/>
      <c r="AI882" s="9"/>
      <c r="AJ882" s="9"/>
      <c r="AK882" s="245"/>
      <c r="AL882" s="245"/>
      <c r="AM882" s="245"/>
      <c r="AN882" s="245"/>
      <c r="AO882" s="9"/>
      <c r="AP882" s="9"/>
      <c r="AQ882" s="9"/>
      <c r="AR882" s="9"/>
      <c r="AS882" s="9"/>
      <c r="AT882" s="9"/>
      <c r="AU882" s="9"/>
      <c r="AV882" s="9"/>
    </row>
    <row r="883">
      <c r="A883" s="253"/>
      <c r="B883" s="254"/>
      <c r="C883" s="463"/>
      <c r="D883" s="253"/>
      <c r="E883" s="254"/>
      <c r="F883" s="463"/>
      <c r="G883" s="253"/>
      <c r="H883" s="254"/>
      <c r="I883" s="463"/>
      <c r="J883" s="253"/>
      <c r="K883" s="254"/>
      <c r="L883" s="463"/>
      <c r="M883" s="253"/>
      <c r="N883" s="254"/>
      <c r="O883" s="463"/>
      <c r="P883" s="253"/>
      <c r="Q883" s="254"/>
      <c r="R883" s="463"/>
      <c r="S883" s="253"/>
      <c r="T883" s="254"/>
      <c r="U883" s="463"/>
      <c r="V883" s="253"/>
      <c r="W883" s="254"/>
      <c r="X883" s="463"/>
      <c r="Y883" s="9"/>
      <c r="Z883" s="9"/>
      <c r="AA883" s="9"/>
      <c r="AB883" s="9"/>
      <c r="AC883" s="234"/>
      <c r="AD883" s="234"/>
      <c r="AE883" s="234"/>
      <c r="AF883" s="234"/>
      <c r="AG883" s="9"/>
      <c r="AH883" s="9"/>
      <c r="AI883" s="9"/>
      <c r="AJ883" s="9"/>
      <c r="AK883" s="245"/>
      <c r="AL883" s="245"/>
      <c r="AM883" s="245"/>
      <c r="AN883" s="245"/>
      <c r="AO883" s="9"/>
      <c r="AP883" s="9"/>
      <c r="AQ883" s="9"/>
      <c r="AR883" s="9"/>
      <c r="AS883" s="9"/>
      <c r="AT883" s="9"/>
      <c r="AU883" s="9"/>
      <c r="AV883" s="9"/>
    </row>
    <row r="884">
      <c r="A884" s="253"/>
      <c r="B884" s="254"/>
      <c r="C884" s="463"/>
      <c r="D884" s="253"/>
      <c r="E884" s="254"/>
      <c r="F884" s="463"/>
      <c r="G884" s="253"/>
      <c r="H884" s="254"/>
      <c r="I884" s="463"/>
      <c r="J884" s="253"/>
      <c r="K884" s="254"/>
      <c r="L884" s="463"/>
      <c r="M884" s="253"/>
      <c r="N884" s="254"/>
      <c r="O884" s="463"/>
      <c r="P884" s="253"/>
      <c r="Q884" s="254"/>
      <c r="R884" s="463"/>
      <c r="S884" s="253"/>
      <c r="T884" s="254"/>
      <c r="U884" s="463"/>
      <c r="V884" s="253"/>
      <c r="W884" s="254"/>
      <c r="X884" s="463"/>
      <c r="Y884" s="9"/>
      <c r="Z884" s="9"/>
      <c r="AA884" s="9"/>
      <c r="AB884" s="9"/>
      <c r="AC884" s="234"/>
      <c r="AD884" s="234"/>
      <c r="AE884" s="234"/>
      <c r="AF884" s="234"/>
      <c r="AG884" s="9"/>
      <c r="AH884" s="9"/>
      <c r="AI884" s="9"/>
      <c r="AJ884" s="9"/>
      <c r="AK884" s="245"/>
      <c r="AL884" s="245"/>
      <c r="AM884" s="245"/>
      <c r="AN884" s="245"/>
      <c r="AO884" s="9"/>
      <c r="AP884" s="9"/>
      <c r="AQ884" s="9"/>
      <c r="AR884" s="9"/>
      <c r="AS884" s="9"/>
      <c r="AT884" s="9"/>
      <c r="AU884" s="9"/>
      <c r="AV884" s="9"/>
    </row>
    <row r="885">
      <c r="A885" s="253"/>
      <c r="B885" s="254"/>
      <c r="C885" s="463"/>
      <c r="D885" s="253"/>
      <c r="E885" s="254"/>
      <c r="F885" s="463"/>
      <c r="G885" s="253"/>
      <c r="H885" s="254"/>
      <c r="I885" s="463"/>
      <c r="J885" s="253"/>
      <c r="K885" s="254"/>
      <c r="L885" s="463"/>
      <c r="M885" s="253"/>
      <c r="N885" s="254"/>
      <c r="O885" s="463"/>
      <c r="P885" s="253"/>
      <c r="Q885" s="254"/>
      <c r="R885" s="463"/>
      <c r="S885" s="253"/>
      <c r="T885" s="254"/>
      <c r="U885" s="463"/>
      <c r="V885" s="253"/>
      <c r="W885" s="254"/>
      <c r="X885" s="463"/>
      <c r="Y885" s="9"/>
      <c r="Z885" s="9"/>
      <c r="AA885" s="9"/>
      <c r="AB885" s="9"/>
      <c r="AC885" s="234"/>
      <c r="AD885" s="234"/>
      <c r="AE885" s="234"/>
      <c r="AF885" s="234"/>
      <c r="AG885" s="9"/>
      <c r="AH885" s="9"/>
      <c r="AI885" s="9"/>
      <c r="AJ885" s="9"/>
      <c r="AK885" s="245"/>
      <c r="AL885" s="245"/>
      <c r="AM885" s="245"/>
      <c r="AN885" s="245"/>
      <c r="AO885" s="9"/>
      <c r="AP885" s="9"/>
      <c r="AQ885" s="9"/>
      <c r="AR885" s="9"/>
      <c r="AS885" s="9"/>
      <c r="AT885" s="9"/>
      <c r="AU885" s="9"/>
      <c r="AV885" s="9"/>
    </row>
    <row r="886">
      <c r="A886" s="253"/>
      <c r="B886" s="254"/>
      <c r="C886" s="463"/>
      <c r="D886" s="253"/>
      <c r="E886" s="254"/>
      <c r="F886" s="463"/>
      <c r="G886" s="253"/>
      <c r="H886" s="254"/>
      <c r="I886" s="463"/>
      <c r="J886" s="253"/>
      <c r="K886" s="254"/>
      <c r="L886" s="463"/>
      <c r="M886" s="253"/>
      <c r="N886" s="254"/>
      <c r="O886" s="463"/>
      <c r="P886" s="253"/>
      <c r="Q886" s="254"/>
      <c r="R886" s="463"/>
      <c r="S886" s="253"/>
      <c r="T886" s="254"/>
      <c r="U886" s="463"/>
      <c r="V886" s="253"/>
      <c r="W886" s="254"/>
      <c r="X886" s="463"/>
      <c r="Y886" s="9"/>
      <c r="Z886" s="9"/>
      <c r="AA886" s="9"/>
      <c r="AB886" s="9"/>
      <c r="AC886" s="234"/>
      <c r="AD886" s="234"/>
      <c r="AE886" s="234"/>
      <c r="AF886" s="234"/>
      <c r="AG886" s="9"/>
      <c r="AH886" s="9"/>
      <c r="AI886" s="9"/>
      <c r="AJ886" s="9"/>
      <c r="AK886" s="245"/>
      <c r="AL886" s="245"/>
      <c r="AM886" s="245"/>
      <c r="AN886" s="245"/>
      <c r="AO886" s="9"/>
      <c r="AP886" s="9"/>
      <c r="AQ886" s="9"/>
      <c r="AR886" s="9"/>
      <c r="AS886" s="9"/>
      <c r="AT886" s="9"/>
      <c r="AU886" s="9"/>
      <c r="AV886" s="9"/>
    </row>
    <row r="887">
      <c r="A887" s="253"/>
      <c r="B887" s="254"/>
      <c r="C887" s="463"/>
      <c r="D887" s="253"/>
      <c r="E887" s="254"/>
      <c r="F887" s="463"/>
      <c r="G887" s="253"/>
      <c r="H887" s="254"/>
      <c r="I887" s="463"/>
      <c r="J887" s="253"/>
      <c r="K887" s="254"/>
      <c r="L887" s="463"/>
      <c r="M887" s="253"/>
      <c r="N887" s="254"/>
      <c r="O887" s="463"/>
      <c r="P887" s="253"/>
      <c r="Q887" s="254"/>
      <c r="R887" s="463"/>
      <c r="S887" s="253"/>
      <c r="T887" s="254"/>
      <c r="U887" s="463"/>
      <c r="V887" s="253"/>
      <c r="W887" s="254"/>
      <c r="X887" s="463"/>
      <c r="Y887" s="9"/>
      <c r="Z887" s="9"/>
      <c r="AA887" s="9"/>
      <c r="AB887" s="9"/>
      <c r="AC887" s="234"/>
      <c r="AD887" s="234"/>
      <c r="AE887" s="234"/>
      <c r="AF887" s="234"/>
      <c r="AG887" s="9"/>
      <c r="AH887" s="9"/>
      <c r="AI887" s="9"/>
      <c r="AJ887" s="9"/>
      <c r="AK887" s="245"/>
      <c r="AL887" s="245"/>
      <c r="AM887" s="245"/>
      <c r="AN887" s="245"/>
      <c r="AO887" s="9"/>
      <c r="AP887" s="9"/>
      <c r="AQ887" s="9"/>
      <c r="AR887" s="9"/>
      <c r="AS887" s="9"/>
      <c r="AT887" s="9"/>
      <c r="AU887" s="9"/>
      <c r="AV887" s="9"/>
    </row>
    <row r="888">
      <c r="A888" s="253"/>
      <c r="B888" s="254"/>
      <c r="C888" s="463"/>
      <c r="D888" s="253"/>
      <c r="E888" s="254"/>
      <c r="F888" s="463"/>
      <c r="G888" s="253"/>
      <c r="H888" s="254"/>
      <c r="I888" s="463"/>
      <c r="J888" s="253"/>
      <c r="K888" s="254"/>
      <c r="L888" s="463"/>
      <c r="M888" s="253"/>
      <c r="N888" s="254"/>
      <c r="O888" s="463"/>
      <c r="P888" s="253"/>
      <c r="Q888" s="254"/>
      <c r="R888" s="463"/>
      <c r="S888" s="253"/>
      <c r="T888" s="254"/>
      <c r="U888" s="463"/>
      <c r="V888" s="253"/>
      <c r="W888" s="254"/>
      <c r="X888" s="463"/>
      <c r="Y888" s="9"/>
      <c r="Z888" s="9"/>
      <c r="AA888" s="9"/>
      <c r="AB888" s="9"/>
      <c r="AC888" s="234"/>
      <c r="AD888" s="234"/>
      <c r="AE888" s="234"/>
      <c r="AF888" s="234"/>
      <c r="AG888" s="9"/>
      <c r="AH888" s="9"/>
      <c r="AI888" s="9"/>
      <c r="AJ888" s="9"/>
      <c r="AK888" s="245"/>
      <c r="AL888" s="245"/>
      <c r="AM888" s="245"/>
      <c r="AN888" s="245"/>
      <c r="AO888" s="9"/>
      <c r="AP888" s="9"/>
      <c r="AQ888" s="9"/>
      <c r="AR888" s="9"/>
      <c r="AS888" s="9"/>
      <c r="AT888" s="9"/>
      <c r="AU888" s="9"/>
      <c r="AV888" s="9"/>
    </row>
    <row r="889">
      <c r="A889" s="253"/>
      <c r="B889" s="254"/>
      <c r="C889" s="463"/>
      <c r="D889" s="253"/>
      <c r="E889" s="254"/>
      <c r="F889" s="463"/>
      <c r="G889" s="253"/>
      <c r="H889" s="254"/>
      <c r="I889" s="463"/>
      <c r="J889" s="253"/>
      <c r="K889" s="254"/>
      <c r="L889" s="463"/>
      <c r="M889" s="253"/>
      <c r="N889" s="254"/>
      <c r="O889" s="463"/>
      <c r="P889" s="253"/>
      <c r="Q889" s="254"/>
      <c r="R889" s="463"/>
      <c r="S889" s="253"/>
      <c r="T889" s="254"/>
      <c r="U889" s="463"/>
      <c r="V889" s="253"/>
      <c r="W889" s="254"/>
      <c r="X889" s="463"/>
      <c r="Y889" s="9"/>
      <c r="Z889" s="9"/>
      <c r="AA889" s="9"/>
      <c r="AB889" s="9"/>
      <c r="AC889" s="234"/>
      <c r="AD889" s="234"/>
      <c r="AE889" s="234"/>
      <c r="AF889" s="234"/>
      <c r="AG889" s="9"/>
      <c r="AH889" s="9"/>
      <c r="AI889" s="9"/>
      <c r="AJ889" s="9"/>
      <c r="AK889" s="245"/>
      <c r="AL889" s="245"/>
      <c r="AM889" s="245"/>
      <c r="AN889" s="245"/>
      <c r="AO889" s="9"/>
      <c r="AP889" s="9"/>
      <c r="AQ889" s="9"/>
      <c r="AR889" s="9"/>
      <c r="AS889" s="9"/>
      <c r="AT889" s="9"/>
      <c r="AU889" s="9"/>
      <c r="AV889" s="9"/>
    </row>
    <row r="890">
      <c r="A890" s="253"/>
      <c r="B890" s="254"/>
      <c r="C890" s="463"/>
      <c r="D890" s="253"/>
      <c r="E890" s="254"/>
      <c r="F890" s="463"/>
      <c r="G890" s="253"/>
      <c r="H890" s="254"/>
      <c r="I890" s="463"/>
      <c r="J890" s="253"/>
      <c r="K890" s="254"/>
      <c r="L890" s="463"/>
      <c r="M890" s="253"/>
      <c r="N890" s="254"/>
      <c r="O890" s="463"/>
      <c r="P890" s="253"/>
      <c r="Q890" s="254"/>
      <c r="R890" s="463"/>
      <c r="S890" s="253"/>
      <c r="T890" s="254"/>
      <c r="U890" s="463"/>
      <c r="V890" s="253"/>
      <c r="W890" s="254"/>
      <c r="X890" s="463"/>
      <c r="Y890" s="9"/>
      <c r="Z890" s="9"/>
      <c r="AA890" s="9"/>
      <c r="AB890" s="9"/>
      <c r="AC890" s="234"/>
      <c r="AD890" s="234"/>
      <c r="AE890" s="234"/>
      <c r="AF890" s="234"/>
      <c r="AG890" s="9"/>
      <c r="AH890" s="9"/>
      <c r="AI890" s="9"/>
      <c r="AJ890" s="9"/>
      <c r="AK890" s="245"/>
      <c r="AL890" s="245"/>
      <c r="AM890" s="245"/>
      <c r="AN890" s="245"/>
      <c r="AO890" s="9"/>
      <c r="AP890" s="9"/>
      <c r="AQ890" s="9"/>
      <c r="AR890" s="9"/>
      <c r="AS890" s="9"/>
      <c r="AT890" s="9"/>
      <c r="AU890" s="9"/>
      <c r="AV890" s="9"/>
    </row>
    <row r="891">
      <c r="A891" s="253"/>
      <c r="B891" s="254"/>
      <c r="C891" s="463"/>
      <c r="D891" s="253"/>
      <c r="E891" s="254"/>
      <c r="F891" s="463"/>
      <c r="G891" s="253"/>
      <c r="H891" s="254"/>
      <c r="I891" s="463"/>
      <c r="J891" s="253"/>
      <c r="K891" s="254"/>
      <c r="L891" s="463"/>
      <c r="M891" s="253"/>
      <c r="N891" s="254"/>
      <c r="O891" s="463"/>
      <c r="P891" s="253"/>
      <c r="Q891" s="254"/>
      <c r="R891" s="463"/>
      <c r="S891" s="253"/>
      <c r="T891" s="254"/>
      <c r="U891" s="463"/>
      <c r="V891" s="253"/>
      <c r="W891" s="254"/>
      <c r="X891" s="463"/>
      <c r="Y891" s="9"/>
      <c r="Z891" s="9"/>
      <c r="AA891" s="9"/>
      <c r="AB891" s="9"/>
      <c r="AC891" s="234"/>
      <c r="AD891" s="234"/>
      <c r="AE891" s="234"/>
      <c r="AF891" s="234"/>
      <c r="AG891" s="9"/>
      <c r="AH891" s="9"/>
      <c r="AI891" s="9"/>
      <c r="AJ891" s="9"/>
      <c r="AK891" s="245"/>
      <c r="AL891" s="245"/>
      <c r="AM891" s="245"/>
      <c r="AN891" s="245"/>
      <c r="AO891" s="9"/>
      <c r="AP891" s="9"/>
      <c r="AQ891" s="9"/>
      <c r="AR891" s="9"/>
      <c r="AS891" s="9"/>
      <c r="AT891" s="9"/>
      <c r="AU891" s="9"/>
      <c r="AV891" s="9"/>
    </row>
    <row r="892">
      <c r="A892" s="253"/>
      <c r="B892" s="254"/>
      <c r="C892" s="463"/>
      <c r="D892" s="253"/>
      <c r="E892" s="254"/>
      <c r="F892" s="463"/>
      <c r="G892" s="253"/>
      <c r="H892" s="254"/>
      <c r="I892" s="463"/>
      <c r="J892" s="253"/>
      <c r="K892" s="254"/>
      <c r="L892" s="463"/>
      <c r="M892" s="253"/>
      <c r="N892" s="254"/>
      <c r="O892" s="463"/>
      <c r="P892" s="253"/>
      <c r="Q892" s="254"/>
      <c r="R892" s="463"/>
      <c r="S892" s="253"/>
      <c r="T892" s="254"/>
      <c r="U892" s="463"/>
      <c r="V892" s="253"/>
      <c r="W892" s="254"/>
      <c r="X892" s="463"/>
      <c r="Y892" s="9"/>
      <c r="Z892" s="9"/>
      <c r="AA892" s="9"/>
      <c r="AB892" s="9"/>
      <c r="AC892" s="234"/>
      <c r="AD892" s="234"/>
      <c r="AE892" s="234"/>
      <c r="AF892" s="234"/>
      <c r="AG892" s="9"/>
      <c r="AH892" s="9"/>
      <c r="AI892" s="9"/>
      <c r="AJ892" s="9"/>
      <c r="AK892" s="245"/>
      <c r="AL892" s="245"/>
      <c r="AM892" s="245"/>
      <c r="AN892" s="245"/>
      <c r="AO892" s="9"/>
      <c r="AP892" s="9"/>
      <c r="AQ892" s="9"/>
      <c r="AR892" s="9"/>
      <c r="AS892" s="9"/>
      <c r="AT892" s="9"/>
      <c r="AU892" s="9"/>
      <c r="AV892" s="9"/>
    </row>
    <row r="893">
      <c r="A893" s="253"/>
      <c r="B893" s="254"/>
      <c r="C893" s="463"/>
      <c r="D893" s="253"/>
      <c r="E893" s="254"/>
      <c r="F893" s="463"/>
      <c r="G893" s="253"/>
      <c r="H893" s="254"/>
      <c r="I893" s="463"/>
      <c r="J893" s="253"/>
      <c r="K893" s="254"/>
      <c r="L893" s="463"/>
      <c r="M893" s="253"/>
      <c r="N893" s="254"/>
      <c r="O893" s="463"/>
      <c r="P893" s="253"/>
      <c r="Q893" s="254"/>
      <c r="R893" s="463"/>
      <c r="S893" s="253"/>
      <c r="T893" s="254"/>
      <c r="U893" s="463"/>
      <c r="V893" s="253"/>
      <c r="W893" s="254"/>
      <c r="X893" s="463"/>
      <c r="Y893" s="9"/>
      <c r="Z893" s="9"/>
      <c r="AA893" s="9"/>
      <c r="AB893" s="9"/>
      <c r="AC893" s="234"/>
      <c r="AD893" s="234"/>
      <c r="AE893" s="234"/>
      <c r="AF893" s="234"/>
      <c r="AG893" s="9"/>
      <c r="AH893" s="9"/>
      <c r="AI893" s="9"/>
      <c r="AJ893" s="9"/>
      <c r="AK893" s="245"/>
      <c r="AL893" s="245"/>
      <c r="AM893" s="245"/>
      <c r="AN893" s="245"/>
      <c r="AO893" s="9"/>
      <c r="AP893" s="9"/>
      <c r="AQ893" s="9"/>
      <c r="AR893" s="9"/>
      <c r="AS893" s="9"/>
      <c r="AT893" s="9"/>
      <c r="AU893" s="9"/>
      <c r="AV893" s="9"/>
    </row>
    <row r="894">
      <c r="A894" s="253"/>
      <c r="B894" s="254"/>
      <c r="C894" s="463"/>
      <c r="D894" s="253"/>
      <c r="E894" s="254"/>
      <c r="F894" s="463"/>
      <c r="G894" s="253"/>
      <c r="H894" s="254"/>
      <c r="I894" s="463"/>
      <c r="J894" s="253"/>
      <c r="K894" s="254"/>
      <c r="L894" s="463"/>
      <c r="M894" s="253"/>
      <c r="N894" s="254"/>
      <c r="O894" s="463"/>
      <c r="P894" s="253"/>
      <c r="Q894" s="254"/>
      <c r="R894" s="463"/>
      <c r="S894" s="253"/>
      <c r="T894" s="254"/>
      <c r="U894" s="463"/>
      <c r="V894" s="253"/>
      <c r="W894" s="254"/>
      <c r="X894" s="463"/>
      <c r="Y894" s="9"/>
      <c r="Z894" s="9"/>
      <c r="AA894" s="9"/>
      <c r="AB894" s="9"/>
      <c r="AC894" s="234"/>
      <c r="AD894" s="234"/>
      <c r="AE894" s="234"/>
      <c r="AF894" s="234"/>
      <c r="AG894" s="9"/>
      <c r="AH894" s="9"/>
      <c r="AI894" s="9"/>
      <c r="AJ894" s="9"/>
      <c r="AK894" s="245"/>
      <c r="AL894" s="245"/>
      <c r="AM894" s="245"/>
      <c r="AN894" s="245"/>
      <c r="AO894" s="9"/>
      <c r="AP894" s="9"/>
      <c r="AQ894" s="9"/>
      <c r="AR894" s="9"/>
      <c r="AS894" s="9"/>
      <c r="AT894" s="9"/>
      <c r="AU894" s="9"/>
      <c r="AV894" s="9"/>
    </row>
    <row r="895">
      <c r="A895" s="253"/>
      <c r="B895" s="254"/>
      <c r="C895" s="463"/>
      <c r="D895" s="253"/>
      <c r="E895" s="254"/>
      <c r="F895" s="463"/>
      <c r="G895" s="253"/>
      <c r="H895" s="254"/>
      <c r="I895" s="463"/>
      <c r="J895" s="253"/>
      <c r="K895" s="254"/>
      <c r="L895" s="463"/>
      <c r="M895" s="253"/>
      <c r="N895" s="254"/>
      <c r="O895" s="463"/>
      <c r="P895" s="253"/>
      <c r="Q895" s="254"/>
      <c r="R895" s="463"/>
      <c r="S895" s="253"/>
      <c r="T895" s="254"/>
      <c r="U895" s="463"/>
      <c r="V895" s="253"/>
      <c r="W895" s="254"/>
      <c r="X895" s="463"/>
      <c r="Y895" s="9"/>
      <c r="Z895" s="9"/>
      <c r="AA895" s="9"/>
      <c r="AB895" s="9"/>
      <c r="AC895" s="234"/>
      <c r="AD895" s="234"/>
      <c r="AE895" s="234"/>
      <c r="AF895" s="234"/>
      <c r="AG895" s="9"/>
      <c r="AH895" s="9"/>
      <c r="AI895" s="9"/>
      <c r="AJ895" s="9"/>
      <c r="AK895" s="245"/>
      <c r="AL895" s="245"/>
      <c r="AM895" s="245"/>
      <c r="AN895" s="245"/>
      <c r="AO895" s="9"/>
      <c r="AP895" s="9"/>
      <c r="AQ895" s="9"/>
      <c r="AR895" s="9"/>
      <c r="AS895" s="9"/>
      <c r="AT895" s="9"/>
      <c r="AU895" s="9"/>
      <c r="AV895" s="9"/>
    </row>
    <row r="896">
      <c r="A896" s="253"/>
      <c r="B896" s="254"/>
      <c r="C896" s="463"/>
      <c r="D896" s="253"/>
      <c r="E896" s="254"/>
      <c r="F896" s="463"/>
      <c r="G896" s="253"/>
      <c r="H896" s="254"/>
      <c r="I896" s="463"/>
      <c r="J896" s="253"/>
      <c r="K896" s="254"/>
      <c r="L896" s="463"/>
      <c r="M896" s="253"/>
      <c r="N896" s="254"/>
      <c r="O896" s="463"/>
      <c r="P896" s="253"/>
      <c r="Q896" s="254"/>
      <c r="R896" s="463"/>
      <c r="S896" s="253"/>
      <c r="T896" s="254"/>
      <c r="U896" s="463"/>
      <c r="V896" s="253"/>
      <c r="W896" s="254"/>
      <c r="X896" s="463"/>
      <c r="Y896" s="9"/>
      <c r="Z896" s="9"/>
      <c r="AA896" s="9"/>
      <c r="AB896" s="9"/>
      <c r="AC896" s="234"/>
      <c r="AD896" s="234"/>
      <c r="AE896" s="234"/>
      <c r="AF896" s="234"/>
      <c r="AG896" s="9"/>
      <c r="AH896" s="9"/>
      <c r="AI896" s="9"/>
      <c r="AJ896" s="9"/>
      <c r="AK896" s="245"/>
      <c r="AL896" s="245"/>
      <c r="AM896" s="245"/>
      <c r="AN896" s="245"/>
      <c r="AO896" s="9"/>
      <c r="AP896" s="9"/>
      <c r="AQ896" s="9"/>
      <c r="AR896" s="9"/>
      <c r="AS896" s="9"/>
      <c r="AT896" s="9"/>
      <c r="AU896" s="9"/>
      <c r="AV896" s="9"/>
    </row>
    <row r="897">
      <c r="A897" s="253"/>
      <c r="B897" s="254"/>
      <c r="C897" s="463"/>
      <c r="D897" s="253"/>
      <c r="E897" s="254"/>
      <c r="F897" s="463"/>
      <c r="G897" s="253"/>
      <c r="H897" s="254"/>
      <c r="I897" s="463"/>
      <c r="J897" s="253"/>
      <c r="K897" s="254"/>
      <c r="L897" s="463"/>
      <c r="M897" s="253"/>
      <c r="N897" s="254"/>
      <c r="O897" s="463"/>
      <c r="P897" s="253"/>
      <c r="Q897" s="254"/>
      <c r="R897" s="463"/>
      <c r="S897" s="253"/>
      <c r="T897" s="254"/>
      <c r="U897" s="463"/>
      <c r="V897" s="253"/>
      <c r="W897" s="254"/>
      <c r="X897" s="463"/>
      <c r="Y897" s="9"/>
      <c r="Z897" s="9"/>
      <c r="AA897" s="9"/>
      <c r="AB897" s="9"/>
      <c r="AC897" s="234"/>
      <c r="AD897" s="234"/>
      <c r="AE897" s="234"/>
      <c r="AF897" s="234"/>
      <c r="AG897" s="9"/>
      <c r="AH897" s="9"/>
      <c r="AI897" s="9"/>
      <c r="AJ897" s="9"/>
      <c r="AK897" s="245"/>
      <c r="AL897" s="245"/>
      <c r="AM897" s="245"/>
      <c r="AN897" s="245"/>
      <c r="AO897" s="9"/>
      <c r="AP897" s="9"/>
      <c r="AQ897" s="9"/>
      <c r="AR897" s="9"/>
      <c r="AS897" s="9"/>
      <c r="AT897" s="9"/>
      <c r="AU897" s="9"/>
      <c r="AV897" s="9"/>
    </row>
    <row r="898">
      <c r="A898" s="253"/>
      <c r="B898" s="254"/>
      <c r="C898" s="463"/>
      <c r="D898" s="253"/>
      <c r="E898" s="254"/>
      <c r="F898" s="463"/>
      <c r="G898" s="253"/>
      <c r="H898" s="254"/>
      <c r="I898" s="463"/>
      <c r="J898" s="253"/>
      <c r="K898" s="254"/>
      <c r="L898" s="463"/>
      <c r="M898" s="253"/>
      <c r="N898" s="254"/>
      <c r="O898" s="463"/>
      <c r="P898" s="253"/>
      <c r="Q898" s="254"/>
      <c r="R898" s="463"/>
      <c r="S898" s="253"/>
      <c r="T898" s="254"/>
      <c r="U898" s="463"/>
      <c r="V898" s="253"/>
      <c r="W898" s="254"/>
      <c r="X898" s="463"/>
      <c r="Y898" s="9"/>
      <c r="Z898" s="9"/>
      <c r="AA898" s="9"/>
      <c r="AB898" s="9"/>
      <c r="AC898" s="234"/>
      <c r="AD898" s="234"/>
      <c r="AE898" s="234"/>
      <c r="AF898" s="234"/>
      <c r="AG898" s="9"/>
      <c r="AH898" s="9"/>
      <c r="AI898" s="9"/>
      <c r="AJ898" s="9"/>
      <c r="AK898" s="245"/>
      <c r="AL898" s="245"/>
      <c r="AM898" s="245"/>
      <c r="AN898" s="245"/>
      <c r="AO898" s="9"/>
      <c r="AP898" s="9"/>
      <c r="AQ898" s="9"/>
      <c r="AR898" s="9"/>
      <c r="AS898" s="9"/>
      <c r="AT898" s="9"/>
      <c r="AU898" s="9"/>
      <c r="AV898" s="9"/>
    </row>
    <row r="899">
      <c r="A899" s="253"/>
      <c r="B899" s="254"/>
      <c r="C899" s="463"/>
      <c r="D899" s="253"/>
      <c r="E899" s="254"/>
      <c r="F899" s="463"/>
      <c r="G899" s="253"/>
      <c r="H899" s="254"/>
      <c r="I899" s="463"/>
      <c r="J899" s="253"/>
      <c r="K899" s="254"/>
      <c r="L899" s="463"/>
      <c r="M899" s="253"/>
      <c r="N899" s="254"/>
      <c r="O899" s="463"/>
      <c r="P899" s="253"/>
      <c r="Q899" s="254"/>
      <c r="R899" s="463"/>
      <c r="S899" s="253"/>
      <c r="T899" s="254"/>
      <c r="U899" s="463"/>
      <c r="V899" s="253"/>
      <c r="W899" s="254"/>
      <c r="X899" s="463"/>
      <c r="Y899" s="9"/>
      <c r="Z899" s="9"/>
      <c r="AA899" s="9"/>
      <c r="AB899" s="9"/>
      <c r="AC899" s="234"/>
      <c r="AD899" s="234"/>
      <c r="AE899" s="234"/>
      <c r="AF899" s="234"/>
      <c r="AG899" s="9"/>
      <c r="AH899" s="9"/>
      <c r="AI899" s="9"/>
      <c r="AJ899" s="9"/>
      <c r="AK899" s="245"/>
      <c r="AL899" s="245"/>
      <c r="AM899" s="245"/>
      <c r="AN899" s="245"/>
      <c r="AO899" s="9"/>
      <c r="AP899" s="9"/>
      <c r="AQ899" s="9"/>
      <c r="AR899" s="9"/>
      <c r="AS899" s="9"/>
      <c r="AT899" s="9"/>
      <c r="AU899" s="9"/>
      <c r="AV899" s="9"/>
    </row>
    <row r="900">
      <c r="A900" s="253"/>
      <c r="B900" s="254"/>
      <c r="C900" s="463"/>
      <c r="D900" s="253"/>
      <c r="E900" s="254"/>
      <c r="F900" s="463"/>
      <c r="G900" s="253"/>
      <c r="H900" s="254"/>
      <c r="I900" s="463"/>
      <c r="J900" s="253"/>
      <c r="K900" s="254"/>
      <c r="L900" s="463"/>
      <c r="M900" s="253"/>
      <c r="N900" s="254"/>
      <c r="O900" s="463"/>
      <c r="P900" s="253"/>
      <c r="Q900" s="254"/>
      <c r="R900" s="463"/>
      <c r="S900" s="253"/>
      <c r="T900" s="254"/>
      <c r="U900" s="463"/>
      <c r="V900" s="253"/>
      <c r="W900" s="254"/>
      <c r="X900" s="463"/>
      <c r="Y900" s="9"/>
      <c r="Z900" s="9"/>
      <c r="AA900" s="9"/>
      <c r="AB900" s="9"/>
      <c r="AC900" s="234"/>
      <c r="AD900" s="234"/>
      <c r="AE900" s="234"/>
      <c r="AF900" s="234"/>
      <c r="AG900" s="9"/>
      <c r="AH900" s="9"/>
      <c r="AI900" s="9"/>
      <c r="AJ900" s="9"/>
      <c r="AK900" s="245"/>
      <c r="AL900" s="245"/>
      <c r="AM900" s="245"/>
      <c r="AN900" s="245"/>
      <c r="AO900" s="9"/>
      <c r="AP900" s="9"/>
      <c r="AQ900" s="9"/>
      <c r="AR900" s="9"/>
      <c r="AS900" s="9"/>
      <c r="AT900" s="9"/>
      <c r="AU900" s="9"/>
      <c r="AV900" s="9"/>
    </row>
    <row r="901">
      <c r="A901" s="253"/>
      <c r="B901" s="254"/>
      <c r="C901" s="463"/>
      <c r="D901" s="253"/>
      <c r="E901" s="254"/>
      <c r="F901" s="463"/>
      <c r="G901" s="253"/>
      <c r="H901" s="254"/>
      <c r="I901" s="463"/>
      <c r="J901" s="253"/>
      <c r="K901" s="254"/>
      <c r="L901" s="463"/>
      <c r="M901" s="253"/>
      <c r="N901" s="254"/>
      <c r="O901" s="463"/>
      <c r="P901" s="253"/>
      <c r="Q901" s="254"/>
      <c r="R901" s="463"/>
      <c r="S901" s="253"/>
      <c r="T901" s="254"/>
      <c r="U901" s="463"/>
      <c r="V901" s="253"/>
      <c r="W901" s="254"/>
      <c r="X901" s="463"/>
      <c r="Y901" s="9"/>
      <c r="Z901" s="9"/>
      <c r="AA901" s="9"/>
      <c r="AB901" s="9"/>
      <c r="AC901" s="234"/>
      <c r="AD901" s="234"/>
      <c r="AE901" s="234"/>
      <c r="AF901" s="234"/>
      <c r="AG901" s="9"/>
      <c r="AH901" s="9"/>
      <c r="AI901" s="9"/>
      <c r="AJ901" s="9"/>
      <c r="AK901" s="245"/>
      <c r="AL901" s="245"/>
      <c r="AM901" s="245"/>
      <c r="AN901" s="245"/>
      <c r="AO901" s="9"/>
      <c r="AP901" s="9"/>
      <c r="AQ901" s="9"/>
      <c r="AR901" s="9"/>
      <c r="AS901" s="9"/>
      <c r="AT901" s="9"/>
      <c r="AU901" s="9"/>
      <c r="AV901" s="9"/>
    </row>
    <row r="902">
      <c r="A902" s="253"/>
      <c r="B902" s="254"/>
      <c r="C902" s="463"/>
      <c r="D902" s="253"/>
      <c r="E902" s="254"/>
      <c r="F902" s="463"/>
      <c r="G902" s="253"/>
      <c r="H902" s="254"/>
      <c r="I902" s="463"/>
      <c r="J902" s="253"/>
      <c r="K902" s="254"/>
      <c r="L902" s="463"/>
      <c r="M902" s="253"/>
      <c r="N902" s="254"/>
      <c r="O902" s="463"/>
      <c r="P902" s="253"/>
      <c r="Q902" s="254"/>
      <c r="R902" s="463"/>
      <c r="S902" s="253"/>
      <c r="T902" s="254"/>
      <c r="U902" s="463"/>
      <c r="V902" s="253"/>
      <c r="W902" s="254"/>
      <c r="X902" s="463"/>
      <c r="Y902" s="9"/>
      <c r="Z902" s="9"/>
      <c r="AA902" s="9"/>
      <c r="AB902" s="9"/>
      <c r="AC902" s="234"/>
      <c r="AD902" s="234"/>
      <c r="AE902" s="234"/>
      <c r="AF902" s="234"/>
      <c r="AG902" s="9"/>
      <c r="AH902" s="9"/>
      <c r="AI902" s="9"/>
      <c r="AJ902" s="9"/>
      <c r="AK902" s="245"/>
      <c r="AL902" s="245"/>
      <c r="AM902" s="245"/>
      <c r="AN902" s="245"/>
      <c r="AO902" s="9"/>
      <c r="AP902" s="9"/>
      <c r="AQ902" s="9"/>
      <c r="AR902" s="9"/>
      <c r="AS902" s="9"/>
      <c r="AT902" s="9"/>
      <c r="AU902" s="9"/>
      <c r="AV902" s="9"/>
    </row>
    <row r="903">
      <c r="A903" s="253"/>
      <c r="B903" s="254"/>
      <c r="C903" s="463"/>
      <c r="D903" s="253"/>
      <c r="E903" s="254"/>
      <c r="F903" s="463"/>
      <c r="G903" s="253"/>
      <c r="H903" s="254"/>
      <c r="I903" s="463"/>
      <c r="J903" s="253"/>
      <c r="K903" s="254"/>
      <c r="L903" s="463"/>
      <c r="M903" s="253"/>
      <c r="N903" s="254"/>
      <c r="O903" s="463"/>
      <c r="P903" s="253"/>
      <c r="Q903" s="254"/>
      <c r="R903" s="463"/>
      <c r="S903" s="253"/>
      <c r="T903" s="254"/>
      <c r="U903" s="463"/>
      <c r="V903" s="253"/>
      <c r="W903" s="254"/>
      <c r="X903" s="463"/>
      <c r="Y903" s="9"/>
      <c r="Z903" s="9"/>
      <c r="AA903" s="9"/>
      <c r="AB903" s="9"/>
      <c r="AC903" s="234"/>
      <c r="AD903" s="234"/>
      <c r="AE903" s="234"/>
      <c r="AF903" s="234"/>
      <c r="AG903" s="9"/>
      <c r="AH903" s="9"/>
      <c r="AI903" s="9"/>
      <c r="AJ903" s="9"/>
      <c r="AK903" s="245"/>
      <c r="AL903" s="245"/>
      <c r="AM903" s="245"/>
      <c r="AN903" s="245"/>
      <c r="AO903" s="9"/>
      <c r="AP903" s="9"/>
      <c r="AQ903" s="9"/>
      <c r="AR903" s="9"/>
      <c r="AS903" s="9"/>
      <c r="AT903" s="9"/>
      <c r="AU903" s="9"/>
      <c r="AV903" s="9"/>
    </row>
    <row r="904">
      <c r="A904" s="253"/>
      <c r="B904" s="254"/>
      <c r="C904" s="463"/>
      <c r="D904" s="253"/>
      <c r="E904" s="254"/>
      <c r="F904" s="463"/>
      <c r="G904" s="253"/>
      <c r="H904" s="254"/>
      <c r="I904" s="463"/>
      <c r="J904" s="253"/>
      <c r="K904" s="254"/>
      <c r="L904" s="463"/>
      <c r="M904" s="253"/>
      <c r="N904" s="254"/>
      <c r="O904" s="463"/>
      <c r="P904" s="253"/>
      <c r="Q904" s="254"/>
      <c r="R904" s="463"/>
      <c r="S904" s="253"/>
      <c r="T904" s="254"/>
      <c r="U904" s="463"/>
      <c r="V904" s="253"/>
      <c r="W904" s="254"/>
      <c r="X904" s="463"/>
      <c r="Y904" s="9"/>
      <c r="Z904" s="9"/>
      <c r="AA904" s="9"/>
      <c r="AB904" s="9"/>
      <c r="AC904" s="234"/>
      <c r="AD904" s="234"/>
      <c r="AE904" s="234"/>
      <c r="AF904" s="234"/>
      <c r="AG904" s="9"/>
      <c r="AH904" s="9"/>
      <c r="AI904" s="9"/>
      <c r="AJ904" s="9"/>
      <c r="AK904" s="245"/>
      <c r="AL904" s="245"/>
      <c r="AM904" s="245"/>
      <c r="AN904" s="245"/>
      <c r="AO904" s="9"/>
      <c r="AP904" s="9"/>
      <c r="AQ904" s="9"/>
      <c r="AR904" s="9"/>
      <c r="AS904" s="9"/>
      <c r="AT904" s="9"/>
      <c r="AU904" s="9"/>
      <c r="AV904" s="9"/>
    </row>
    <row r="905">
      <c r="A905" s="253"/>
      <c r="B905" s="254"/>
      <c r="C905" s="463"/>
      <c r="D905" s="253"/>
      <c r="E905" s="254"/>
      <c r="F905" s="463"/>
      <c r="G905" s="253"/>
      <c r="H905" s="254"/>
      <c r="I905" s="463"/>
      <c r="J905" s="253"/>
      <c r="K905" s="254"/>
      <c r="L905" s="463"/>
      <c r="M905" s="253"/>
      <c r="N905" s="254"/>
      <c r="O905" s="463"/>
      <c r="P905" s="253"/>
      <c r="Q905" s="254"/>
      <c r="R905" s="463"/>
      <c r="S905" s="253"/>
      <c r="T905" s="254"/>
      <c r="U905" s="463"/>
      <c r="V905" s="253"/>
      <c r="W905" s="254"/>
      <c r="X905" s="463"/>
      <c r="Y905" s="9"/>
      <c r="Z905" s="9"/>
      <c r="AA905" s="9"/>
      <c r="AB905" s="9"/>
      <c r="AC905" s="234"/>
      <c r="AD905" s="234"/>
      <c r="AE905" s="234"/>
      <c r="AF905" s="234"/>
      <c r="AG905" s="9"/>
      <c r="AH905" s="9"/>
      <c r="AI905" s="9"/>
      <c r="AJ905" s="9"/>
      <c r="AK905" s="245"/>
      <c r="AL905" s="245"/>
      <c r="AM905" s="245"/>
      <c r="AN905" s="245"/>
      <c r="AO905" s="9"/>
      <c r="AP905" s="9"/>
      <c r="AQ905" s="9"/>
      <c r="AR905" s="9"/>
      <c r="AS905" s="9"/>
      <c r="AT905" s="9"/>
      <c r="AU905" s="9"/>
      <c r="AV905" s="9"/>
    </row>
    <row r="906">
      <c r="A906" s="253"/>
      <c r="B906" s="254"/>
      <c r="C906" s="463"/>
      <c r="D906" s="253"/>
      <c r="E906" s="254"/>
      <c r="F906" s="463"/>
      <c r="G906" s="253"/>
      <c r="H906" s="254"/>
      <c r="I906" s="463"/>
      <c r="J906" s="253"/>
      <c r="K906" s="254"/>
      <c r="L906" s="463"/>
      <c r="M906" s="253"/>
      <c r="N906" s="254"/>
      <c r="O906" s="463"/>
      <c r="P906" s="253"/>
      <c r="Q906" s="254"/>
      <c r="R906" s="463"/>
      <c r="S906" s="253"/>
      <c r="T906" s="254"/>
      <c r="U906" s="463"/>
      <c r="V906" s="253"/>
      <c r="W906" s="254"/>
      <c r="X906" s="463"/>
      <c r="Y906" s="9"/>
      <c r="Z906" s="9"/>
      <c r="AA906" s="9"/>
      <c r="AB906" s="9"/>
      <c r="AC906" s="234"/>
      <c r="AD906" s="234"/>
      <c r="AE906" s="234"/>
      <c r="AF906" s="234"/>
      <c r="AG906" s="9"/>
      <c r="AH906" s="9"/>
      <c r="AI906" s="9"/>
      <c r="AJ906" s="9"/>
      <c r="AK906" s="245"/>
      <c r="AL906" s="245"/>
      <c r="AM906" s="245"/>
      <c r="AN906" s="245"/>
      <c r="AO906" s="9"/>
      <c r="AP906" s="9"/>
      <c r="AQ906" s="9"/>
      <c r="AR906" s="9"/>
      <c r="AS906" s="9"/>
      <c r="AT906" s="9"/>
      <c r="AU906" s="9"/>
      <c r="AV906" s="9"/>
    </row>
    <row r="907">
      <c r="A907" s="253"/>
      <c r="B907" s="254"/>
      <c r="C907" s="463"/>
      <c r="D907" s="253"/>
      <c r="E907" s="254"/>
      <c r="F907" s="463"/>
      <c r="G907" s="253"/>
      <c r="H907" s="254"/>
      <c r="I907" s="463"/>
      <c r="J907" s="253"/>
      <c r="K907" s="254"/>
      <c r="L907" s="463"/>
      <c r="M907" s="253"/>
      <c r="N907" s="254"/>
      <c r="O907" s="463"/>
      <c r="P907" s="253"/>
      <c r="Q907" s="254"/>
      <c r="R907" s="463"/>
      <c r="S907" s="253"/>
      <c r="T907" s="254"/>
      <c r="U907" s="463"/>
      <c r="V907" s="253"/>
      <c r="W907" s="254"/>
      <c r="X907" s="463"/>
      <c r="Y907" s="9"/>
      <c r="Z907" s="9"/>
      <c r="AA907" s="9"/>
      <c r="AB907" s="9"/>
      <c r="AC907" s="234"/>
      <c r="AD907" s="234"/>
      <c r="AE907" s="234"/>
      <c r="AF907" s="234"/>
      <c r="AG907" s="9"/>
      <c r="AH907" s="9"/>
      <c r="AI907" s="9"/>
      <c r="AJ907" s="9"/>
      <c r="AK907" s="245"/>
      <c r="AL907" s="245"/>
      <c r="AM907" s="245"/>
      <c r="AN907" s="245"/>
      <c r="AO907" s="9"/>
      <c r="AP907" s="9"/>
      <c r="AQ907" s="9"/>
      <c r="AR907" s="9"/>
      <c r="AS907" s="9"/>
      <c r="AT907" s="9"/>
      <c r="AU907" s="9"/>
      <c r="AV907" s="9"/>
    </row>
    <row r="908">
      <c r="A908" s="253"/>
      <c r="B908" s="254"/>
      <c r="C908" s="463"/>
      <c r="D908" s="253"/>
      <c r="E908" s="254"/>
      <c r="F908" s="463"/>
      <c r="G908" s="253"/>
      <c r="H908" s="254"/>
      <c r="I908" s="463"/>
      <c r="J908" s="253"/>
      <c r="K908" s="254"/>
      <c r="L908" s="463"/>
      <c r="M908" s="253"/>
      <c r="N908" s="254"/>
      <c r="O908" s="463"/>
      <c r="P908" s="253"/>
      <c r="Q908" s="254"/>
      <c r="R908" s="463"/>
      <c r="S908" s="253"/>
      <c r="T908" s="254"/>
      <c r="U908" s="463"/>
      <c r="V908" s="253"/>
      <c r="W908" s="254"/>
      <c r="X908" s="463"/>
      <c r="Y908" s="9"/>
      <c r="Z908" s="9"/>
      <c r="AA908" s="9"/>
      <c r="AB908" s="9"/>
      <c r="AC908" s="234"/>
      <c r="AD908" s="234"/>
      <c r="AE908" s="234"/>
      <c r="AF908" s="234"/>
      <c r="AG908" s="9"/>
      <c r="AH908" s="9"/>
      <c r="AI908" s="9"/>
      <c r="AJ908" s="9"/>
      <c r="AK908" s="245"/>
      <c r="AL908" s="245"/>
      <c r="AM908" s="245"/>
      <c r="AN908" s="245"/>
      <c r="AO908" s="9"/>
      <c r="AP908" s="9"/>
      <c r="AQ908" s="9"/>
      <c r="AR908" s="9"/>
      <c r="AS908" s="9"/>
      <c r="AT908" s="9"/>
      <c r="AU908" s="9"/>
      <c r="AV908" s="9"/>
    </row>
    <row r="909">
      <c r="A909" s="253"/>
      <c r="B909" s="254"/>
      <c r="C909" s="463"/>
      <c r="D909" s="253"/>
      <c r="E909" s="254"/>
      <c r="F909" s="463"/>
      <c r="G909" s="253"/>
      <c r="H909" s="254"/>
      <c r="I909" s="463"/>
      <c r="J909" s="253"/>
      <c r="K909" s="254"/>
      <c r="L909" s="463"/>
      <c r="M909" s="253"/>
      <c r="N909" s="254"/>
      <c r="O909" s="463"/>
      <c r="P909" s="253"/>
      <c r="Q909" s="254"/>
      <c r="R909" s="463"/>
      <c r="S909" s="253"/>
      <c r="T909" s="254"/>
      <c r="U909" s="463"/>
      <c r="V909" s="253"/>
      <c r="W909" s="254"/>
      <c r="X909" s="463"/>
      <c r="Y909" s="9"/>
      <c r="Z909" s="9"/>
      <c r="AA909" s="9"/>
      <c r="AB909" s="9"/>
      <c r="AC909" s="234"/>
      <c r="AD909" s="234"/>
      <c r="AE909" s="234"/>
      <c r="AF909" s="234"/>
      <c r="AG909" s="9"/>
      <c r="AH909" s="9"/>
      <c r="AI909" s="9"/>
      <c r="AJ909" s="9"/>
      <c r="AK909" s="245"/>
      <c r="AL909" s="245"/>
      <c r="AM909" s="245"/>
      <c r="AN909" s="245"/>
      <c r="AO909" s="9"/>
      <c r="AP909" s="9"/>
      <c r="AQ909" s="9"/>
      <c r="AR909" s="9"/>
      <c r="AS909" s="9"/>
      <c r="AT909" s="9"/>
      <c r="AU909" s="9"/>
      <c r="AV909" s="9"/>
    </row>
    <row r="910">
      <c r="A910" s="253"/>
      <c r="B910" s="254"/>
      <c r="C910" s="463"/>
      <c r="D910" s="253"/>
      <c r="E910" s="254"/>
      <c r="F910" s="463"/>
      <c r="G910" s="253"/>
      <c r="H910" s="254"/>
      <c r="I910" s="463"/>
      <c r="J910" s="253"/>
      <c r="K910" s="254"/>
      <c r="L910" s="463"/>
      <c r="M910" s="253"/>
      <c r="N910" s="254"/>
      <c r="O910" s="463"/>
      <c r="P910" s="253"/>
      <c r="Q910" s="254"/>
      <c r="R910" s="463"/>
      <c r="S910" s="253"/>
      <c r="T910" s="254"/>
      <c r="U910" s="463"/>
      <c r="V910" s="253"/>
      <c r="W910" s="254"/>
      <c r="X910" s="463"/>
      <c r="Y910" s="9"/>
      <c r="Z910" s="9"/>
      <c r="AA910" s="9"/>
      <c r="AB910" s="9"/>
      <c r="AC910" s="234"/>
      <c r="AD910" s="234"/>
      <c r="AE910" s="234"/>
      <c r="AF910" s="234"/>
      <c r="AG910" s="9"/>
      <c r="AH910" s="9"/>
      <c r="AI910" s="9"/>
      <c r="AJ910" s="9"/>
      <c r="AK910" s="245"/>
      <c r="AL910" s="245"/>
      <c r="AM910" s="245"/>
      <c r="AN910" s="245"/>
      <c r="AO910" s="9"/>
      <c r="AP910" s="9"/>
      <c r="AQ910" s="9"/>
      <c r="AR910" s="9"/>
      <c r="AS910" s="9"/>
      <c r="AT910" s="9"/>
      <c r="AU910" s="9"/>
      <c r="AV910" s="9"/>
    </row>
    <row r="911">
      <c r="A911" s="253"/>
      <c r="B911" s="254"/>
      <c r="C911" s="463"/>
      <c r="D911" s="253"/>
      <c r="E911" s="254"/>
      <c r="F911" s="463"/>
      <c r="G911" s="253"/>
      <c r="H911" s="254"/>
      <c r="I911" s="463"/>
      <c r="J911" s="253"/>
      <c r="K911" s="254"/>
      <c r="L911" s="463"/>
      <c r="M911" s="253"/>
      <c r="N911" s="254"/>
      <c r="O911" s="463"/>
      <c r="P911" s="253"/>
      <c r="Q911" s="254"/>
      <c r="R911" s="463"/>
      <c r="S911" s="253"/>
      <c r="T911" s="254"/>
      <c r="U911" s="463"/>
      <c r="V911" s="253"/>
      <c r="W911" s="254"/>
      <c r="X911" s="463"/>
      <c r="Y911" s="9"/>
      <c r="Z911" s="9"/>
      <c r="AA911" s="9"/>
      <c r="AB911" s="9"/>
      <c r="AC911" s="234"/>
      <c r="AD911" s="234"/>
      <c r="AE911" s="234"/>
      <c r="AF911" s="234"/>
      <c r="AG911" s="9"/>
      <c r="AH911" s="9"/>
      <c r="AI911" s="9"/>
      <c r="AJ911" s="9"/>
      <c r="AK911" s="245"/>
      <c r="AL911" s="245"/>
      <c r="AM911" s="245"/>
      <c r="AN911" s="245"/>
      <c r="AO911" s="9"/>
      <c r="AP911" s="9"/>
      <c r="AQ911" s="9"/>
      <c r="AR911" s="9"/>
      <c r="AS911" s="9"/>
      <c r="AT911" s="9"/>
      <c r="AU911" s="9"/>
      <c r="AV911" s="9"/>
    </row>
    <row r="912">
      <c r="A912" s="253"/>
      <c r="B912" s="254"/>
      <c r="C912" s="463"/>
      <c r="D912" s="253"/>
      <c r="E912" s="254"/>
      <c r="F912" s="463"/>
      <c r="G912" s="253"/>
      <c r="H912" s="254"/>
      <c r="I912" s="463"/>
      <c r="J912" s="253"/>
      <c r="K912" s="254"/>
      <c r="L912" s="463"/>
      <c r="M912" s="253"/>
      <c r="N912" s="254"/>
      <c r="O912" s="463"/>
      <c r="P912" s="253"/>
      <c r="Q912" s="254"/>
      <c r="R912" s="463"/>
      <c r="S912" s="253"/>
      <c r="T912" s="254"/>
      <c r="U912" s="463"/>
      <c r="V912" s="253"/>
      <c r="W912" s="254"/>
      <c r="X912" s="463"/>
      <c r="Y912" s="9"/>
      <c r="Z912" s="9"/>
      <c r="AA912" s="9"/>
      <c r="AB912" s="9"/>
      <c r="AC912" s="234"/>
      <c r="AD912" s="234"/>
      <c r="AE912" s="234"/>
      <c r="AF912" s="234"/>
      <c r="AG912" s="9"/>
      <c r="AH912" s="9"/>
      <c r="AI912" s="9"/>
      <c r="AJ912" s="9"/>
      <c r="AK912" s="245"/>
      <c r="AL912" s="245"/>
      <c r="AM912" s="245"/>
      <c r="AN912" s="245"/>
      <c r="AO912" s="9"/>
      <c r="AP912" s="9"/>
      <c r="AQ912" s="9"/>
      <c r="AR912" s="9"/>
      <c r="AS912" s="9"/>
      <c r="AT912" s="9"/>
      <c r="AU912" s="9"/>
      <c r="AV912" s="9"/>
    </row>
    <row r="913">
      <c r="A913" s="253"/>
      <c r="B913" s="254"/>
      <c r="C913" s="463"/>
      <c r="D913" s="253"/>
      <c r="E913" s="254"/>
      <c r="F913" s="463"/>
      <c r="G913" s="253"/>
      <c r="H913" s="254"/>
      <c r="I913" s="463"/>
      <c r="J913" s="253"/>
      <c r="K913" s="254"/>
      <c r="L913" s="463"/>
      <c r="M913" s="253"/>
      <c r="N913" s="254"/>
      <c r="O913" s="463"/>
      <c r="P913" s="253"/>
      <c r="Q913" s="254"/>
      <c r="R913" s="463"/>
      <c r="S913" s="253"/>
      <c r="T913" s="254"/>
      <c r="U913" s="463"/>
      <c r="V913" s="253"/>
      <c r="W913" s="254"/>
      <c r="X913" s="463"/>
      <c r="Y913" s="9"/>
      <c r="Z913" s="9"/>
      <c r="AA913" s="9"/>
      <c r="AB913" s="9"/>
      <c r="AC913" s="234"/>
      <c r="AD913" s="234"/>
      <c r="AE913" s="234"/>
      <c r="AF913" s="234"/>
      <c r="AG913" s="9"/>
      <c r="AH913" s="9"/>
      <c r="AI913" s="9"/>
      <c r="AJ913" s="9"/>
      <c r="AK913" s="245"/>
      <c r="AL913" s="245"/>
      <c r="AM913" s="245"/>
      <c r="AN913" s="245"/>
      <c r="AO913" s="9"/>
      <c r="AP913" s="9"/>
      <c r="AQ913" s="9"/>
      <c r="AR913" s="9"/>
      <c r="AS913" s="9"/>
      <c r="AT913" s="9"/>
      <c r="AU913" s="9"/>
      <c r="AV913" s="9"/>
    </row>
    <row r="914">
      <c r="A914" s="253"/>
      <c r="B914" s="254"/>
      <c r="C914" s="463"/>
      <c r="D914" s="253"/>
      <c r="E914" s="254"/>
      <c r="F914" s="463"/>
      <c r="G914" s="253"/>
      <c r="H914" s="254"/>
      <c r="I914" s="463"/>
      <c r="J914" s="253"/>
      <c r="K914" s="254"/>
      <c r="L914" s="463"/>
      <c r="M914" s="253"/>
      <c r="N914" s="254"/>
      <c r="O914" s="463"/>
      <c r="P914" s="253"/>
      <c r="Q914" s="254"/>
      <c r="R914" s="463"/>
      <c r="S914" s="253"/>
      <c r="T914" s="254"/>
      <c r="U914" s="463"/>
      <c r="V914" s="253"/>
      <c r="W914" s="254"/>
      <c r="X914" s="463"/>
      <c r="Y914" s="9"/>
      <c r="Z914" s="9"/>
      <c r="AA914" s="9"/>
      <c r="AB914" s="9"/>
      <c r="AC914" s="234"/>
      <c r="AD914" s="234"/>
      <c r="AE914" s="234"/>
      <c r="AF914" s="234"/>
      <c r="AG914" s="9"/>
      <c r="AH914" s="9"/>
      <c r="AI914" s="9"/>
      <c r="AJ914" s="9"/>
      <c r="AK914" s="245"/>
      <c r="AL914" s="245"/>
      <c r="AM914" s="245"/>
      <c r="AN914" s="245"/>
      <c r="AO914" s="9"/>
      <c r="AP914" s="9"/>
      <c r="AQ914" s="9"/>
      <c r="AR914" s="9"/>
      <c r="AS914" s="9"/>
      <c r="AT914" s="9"/>
      <c r="AU914" s="9"/>
      <c r="AV914" s="9"/>
    </row>
    <row r="915">
      <c r="A915" s="253"/>
      <c r="B915" s="254"/>
      <c r="C915" s="463"/>
      <c r="D915" s="253"/>
      <c r="E915" s="254"/>
      <c r="F915" s="463"/>
      <c r="G915" s="253"/>
      <c r="H915" s="254"/>
      <c r="I915" s="463"/>
      <c r="J915" s="253"/>
      <c r="K915" s="254"/>
      <c r="L915" s="463"/>
      <c r="M915" s="253"/>
      <c r="N915" s="254"/>
      <c r="O915" s="463"/>
      <c r="P915" s="253"/>
      <c r="Q915" s="254"/>
      <c r="R915" s="463"/>
      <c r="S915" s="253"/>
      <c r="T915" s="254"/>
      <c r="U915" s="463"/>
      <c r="V915" s="253"/>
      <c r="W915" s="254"/>
      <c r="X915" s="463"/>
      <c r="Y915" s="9"/>
      <c r="Z915" s="9"/>
      <c r="AA915" s="9"/>
      <c r="AB915" s="9"/>
      <c r="AC915" s="234"/>
      <c r="AD915" s="234"/>
      <c r="AE915" s="234"/>
      <c r="AF915" s="234"/>
      <c r="AG915" s="9"/>
      <c r="AH915" s="9"/>
      <c r="AI915" s="9"/>
      <c r="AJ915" s="9"/>
      <c r="AK915" s="245"/>
      <c r="AL915" s="245"/>
      <c r="AM915" s="245"/>
      <c r="AN915" s="245"/>
      <c r="AO915" s="9"/>
      <c r="AP915" s="9"/>
      <c r="AQ915" s="9"/>
      <c r="AR915" s="9"/>
      <c r="AS915" s="9"/>
      <c r="AT915" s="9"/>
      <c r="AU915" s="9"/>
      <c r="AV915" s="9"/>
    </row>
    <row r="916">
      <c r="A916" s="253"/>
      <c r="B916" s="254"/>
      <c r="C916" s="463"/>
      <c r="D916" s="253"/>
      <c r="E916" s="254"/>
      <c r="F916" s="463"/>
      <c r="G916" s="253"/>
      <c r="H916" s="254"/>
      <c r="I916" s="463"/>
      <c r="J916" s="253"/>
      <c r="K916" s="254"/>
      <c r="L916" s="463"/>
      <c r="M916" s="253"/>
      <c r="N916" s="254"/>
      <c r="O916" s="463"/>
      <c r="P916" s="253"/>
      <c r="Q916" s="254"/>
      <c r="R916" s="463"/>
      <c r="S916" s="253"/>
      <c r="T916" s="254"/>
      <c r="U916" s="463"/>
      <c r="V916" s="253"/>
      <c r="W916" s="254"/>
      <c r="X916" s="463"/>
      <c r="Y916" s="9"/>
      <c r="Z916" s="9"/>
      <c r="AA916" s="9"/>
      <c r="AB916" s="9"/>
      <c r="AC916" s="234"/>
      <c r="AD916" s="234"/>
      <c r="AE916" s="234"/>
      <c r="AF916" s="234"/>
      <c r="AG916" s="9"/>
      <c r="AH916" s="9"/>
      <c r="AI916" s="9"/>
      <c r="AJ916" s="9"/>
      <c r="AK916" s="245"/>
      <c r="AL916" s="245"/>
      <c r="AM916" s="245"/>
      <c r="AN916" s="245"/>
      <c r="AO916" s="9"/>
      <c r="AP916" s="9"/>
      <c r="AQ916" s="9"/>
      <c r="AR916" s="9"/>
      <c r="AS916" s="9"/>
      <c r="AT916" s="9"/>
      <c r="AU916" s="9"/>
      <c r="AV916" s="9"/>
    </row>
    <row r="917">
      <c r="A917" s="253"/>
      <c r="B917" s="254"/>
      <c r="C917" s="463"/>
      <c r="D917" s="253"/>
      <c r="E917" s="254"/>
      <c r="F917" s="463"/>
      <c r="G917" s="253"/>
      <c r="H917" s="254"/>
      <c r="I917" s="463"/>
      <c r="J917" s="253"/>
      <c r="K917" s="254"/>
      <c r="L917" s="463"/>
      <c r="M917" s="253"/>
      <c r="N917" s="254"/>
      <c r="O917" s="463"/>
      <c r="P917" s="253"/>
      <c r="Q917" s="254"/>
      <c r="R917" s="463"/>
      <c r="S917" s="253"/>
      <c r="T917" s="254"/>
      <c r="U917" s="463"/>
      <c r="V917" s="253"/>
      <c r="W917" s="254"/>
      <c r="X917" s="463"/>
      <c r="Y917" s="9"/>
      <c r="Z917" s="9"/>
      <c r="AA917" s="9"/>
      <c r="AB917" s="9"/>
      <c r="AC917" s="234"/>
      <c r="AD917" s="234"/>
      <c r="AE917" s="234"/>
      <c r="AF917" s="234"/>
      <c r="AG917" s="9"/>
      <c r="AH917" s="9"/>
      <c r="AI917" s="9"/>
      <c r="AJ917" s="9"/>
      <c r="AK917" s="245"/>
      <c r="AL917" s="245"/>
      <c r="AM917" s="245"/>
      <c r="AN917" s="245"/>
      <c r="AO917" s="9"/>
      <c r="AP917" s="9"/>
      <c r="AQ917" s="9"/>
      <c r="AR917" s="9"/>
      <c r="AS917" s="9"/>
      <c r="AT917" s="9"/>
      <c r="AU917" s="9"/>
      <c r="AV917" s="9"/>
    </row>
    <row r="918">
      <c r="A918" s="253"/>
      <c r="B918" s="254"/>
      <c r="C918" s="463"/>
      <c r="D918" s="253"/>
      <c r="E918" s="254"/>
      <c r="F918" s="463"/>
      <c r="G918" s="253"/>
      <c r="H918" s="254"/>
      <c r="I918" s="463"/>
      <c r="J918" s="253"/>
      <c r="K918" s="254"/>
      <c r="L918" s="463"/>
      <c r="M918" s="253"/>
      <c r="N918" s="254"/>
      <c r="O918" s="463"/>
      <c r="P918" s="253"/>
      <c r="Q918" s="254"/>
      <c r="R918" s="463"/>
      <c r="S918" s="253"/>
      <c r="T918" s="254"/>
      <c r="U918" s="463"/>
      <c r="V918" s="253"/>
      <c r="W918" s="254"/>
      <c r="X918" s="463"/>
      <c r="Y918" s="9"/>
      <c r="Z918" s="9"/>
      <c r="AA918" s="9"/>
      <c r="AB918" s="9"/>
      <c r="AC918" s="234"/>
      <c r="AD918" s="234"/>
      <c r="AE918" s="234"/>
      <c r="AF918" s="234"/>
      <c r="AG918" s="9"/>
      <c r="AH918" s="9"/>
      <c r="AI918" s="9"/>
      <c r="AJ918" s="9"/>
      <c r="AK918" s="245"/>
      <c r="AL918" s="245"/>
      <c r="AM918" s="245"/>
      <c r="AN918" s="245"/>
      <c r="AO918" s="9"/>
      <c r="AP918" s="9"/>
      <c r="AQ918" s="9"/>
      <c r="AR918" s="9"/>
      <c r="AS918" s="9"/>
      <c r="AT918" s="9"/>
      <c r="AU918" s="9"/>
      <c r="AV918" s="9"/>
    </row>
    <row r="919">
      <c r="A919" s="253"/>
      <c r="B919" s="254"/>
      <c r="C919" s="463"/>
      <c r="D919" s="253"/>
      <c r="E919" s="254"/>
      <c r="F919" s="463"/>
      <c r="G919" s="253"/>
      <c r="H919" s="254"/>
      <c r="I919" s="463"/>
      <c r="J919" s="253"/>
      <c r="K919" s="254"/>
      <c r="L919" s="463"/>
      <c r="M919" s="253"/>
      <c r="N919" s="254"/>
      <c r="O919" s="463"/>
      <c r="P919" s="253"/>
      <c r="Q919" s="254"/>
      <c r="R919" s="463"/>
      <c r="S919" s="253"/>
      <c r="T919" s="254"/>
      <c r="U919" s="463"/>
      <c r="V919" s="253"/>
      <c r="W919" s="254"/>
      <c r="X919" s="463"/>
      <c r="Y919" s="9"/>
      <c r="Z919" s="9"/>
      <c r="AA919" s="9"/>
      <c r="AB919" s="9"/>
      <c r="AC919" s="234"/>
      <c r="AD919" s="234"/>
      <c r="AE919" s="234"/>
      <c r="AF919" s="234"/>
      <c r="AG919" s="9"/>
      <c r="AH919" s="9"/>
      <c r="AI919" s="9"/>
      <c r="AJ919" s="9"/>
      <c r="AK919" s="245"/>
      <c r="AL919" s="245"/>
      <c r="AM919" s="245"/>
      <c r="AN919" s="245"/>
      <c r="AO919" s="9"/>
      <c r="AP919" s="9"/>
      <c r="AQ919" s="9"/>
      <c r="AR919" s="9"/>
      <c r="AS919" s="9"/>
      <c r="AT919" s="9"/>
      <c r="AU919" s="9"/>
      <c r="AV919" s="9"/>
    </row>
    <row r="920">
      <c r="A920" s="253"/>
      <c r="B920" s="254"/>
      <c r="C920" s="463"/>
      <c r="D920" s="253"/>
      <c r="E920" s="254"/>
      <c r="F920" s="463"/>
      <c r="G920" s="253"/>
      <c r="H920" s="254"/>
      <c r="I920" s="463"/>
      <c r="J920" s="253"/>
      <c r="K920" s="254"/>
      <c r="L920" s="463"/>
      <c r="M920" s="253"/>
      <c r="N920" s="254"/>
      <c r="O920" s="463"/>
      <c r="P920" s="253"/>
      <c r="Q920" s="254"/>
      <c r="R920" s="463"/>
      <c r="S920" s="253"/>
      <c r="T920" s="254"/>
      <c r="U920" s="463"/>
      <c r="V920" s="253"/>
      <c r="W920" s="254"/>
      <c r="X920" s="463"/>
      <c r="Y920" s="9"/>
      <c r="Z920" s="9"/>
      <c r="AA920" s="9"/>
      <c r="AB920" s="9"/>
      <c r="AC920" s="234"/>
      <c r="AD920" s="234"/>
      <c r="AE920" s="234"/>
      <c r="AF920" s="234"/>
      <c r="AG920" s="9"/>
      <c r="AH920" s="9"/>
      <c r="AI920" s="9"/>
      <c r="AJ920" s="9"/>
      <c r="AK920" s="245"/>
      <c r="AL920" s="245"/>
      <c r="AM920" s="245"/>
      <c r="AN920" s="245"/>
      <c r="AO920" s="9"/>
      <c r="AP920" s="9"/>
      <c r="AQ920" s="9"/>
      <c r="AR920" s="9"/>
      <c r="AS920" s="9"/>
      <c r="AT920" s="9"/>
      <c r="AU920" s="9"/>
      <c r="AV920" s="9"/>
    </row>
    <row r="921">
      <c r="A921" s="253"/>
      <c r="B921" s="254"/>
      <c r="C921" s="463"/>
      <c r="D921" s="253"/>
      <c r="E921" s="254"/>
      <c r="F921" s="463"/>
      <c r="G921" s="253"/>
      <c r="H921" s="254"/>
      <c r="I921" s="463"/>
      <c r="J921" s="253"/>
      <c r="K921" s="254"/>
      <c r="L921" s="463"/>
      <c r="M921" s="253"/>
      <c r="N921" s="254"/>
      <c r="O921" s="463"/>
      <c r="P921" s="253"/>
      <c r="Q921" s="254"/>
      <c r="R921" s="463"/>
      <c r="S921" s="253"/>
      <c r="T921" s="254"/>
      <c r="U921" s="463"/>
      <c r="V921" s="253"/>
      <c r="W921" s="254"/>
      <c r="X921" s="463"/>
      <c r="Y921" s="9"/>
      <c r="Z921" s="9"/>
      <c r="AA921" s="9"/>
      <c r="AB921" s="9"/>
      <c r="AC921" s="234"/>
      <c r="AD921" s="234"/>
      <c r="AE921" s="234"/>
      <c r="AF921" s="234"/>
      <c r="AG921" s="9"/>
      <c r="AH921" s="9"/>
      <c r="AI921" s="9"/>
      <c r="AJ921" s="9"/>
      <c r="AK921" s="245"/>
      <c r="AL921" s="245"/>
      <c r="AM921" s="245"/>
      <c r="AN921" s="245"/>
      <c r="AO921" s="9"/>
      <c r="AP921" s="9"/>
      <c r="AQ921" s="9"/>
      <c r="AR921" s="9"/>
      <c r="AS921" s="9"/>
      <c r="AT921" s="9"/>
      <c r="AU921" s="9"/>
      <c r="AV921" s="9"/>
    </row>
    <row r="922">
      <c r="A922" s="253"/>
      <c r="B922" s="254"/>
      <c r="C922" s="463"/>
      <c r="D922" s="253"/>
      <c r="E922" s="254"/>
      <c r="F922" s="463"/>
      <c r="G922" s="253"/>
      <c r="H922" s="254"/>
      <c r="I922" s="463"/>
      <c r="J922" s="253"/>
      <c r="K922" s="254"/>
      <c r="L922" s="463"/>
      <c r="M922" s="253"/>
      <c r="N922" s="254"/>
      <c r="O922" s="463"/>
      <c r="P922" s="253"/>
      <c r="Q922" s="254"/>
      <c r="R922" s="463"/>
      <c r="S922" s="253"/>
      <c r="T922" s="254"/>
      <c r="U922" s="463"/>
      <c r="V922" s="253"/>
      <c r="W922" s="254"/>
      <c r="X922" s="463"/>
      <c r="Y922" s="9"/>
      <c r="Z922" s="9"/>
      <c r="AA922" s="9"/>
      <c r="AB922" s="9"/>
      <c r="AC922" s="234"/>
      <c r="AD922" s="234"/>
      <c r="AE922" s="234"/>
      <c r="AF922" s="234"/>
      <c r="AG922" s="9"/>
      <c r="AH922" s="9"/>
      <c r="AI922" s="9"/>
      <c r="AJ922" s="9"/>
      <c r="AK922" s="245"/>
      <c r="AL922" s="245"/>
      <c r="AM922" s="245"/>
      <c r="AN922" s="245"/>
      <c r="AO922" s="9"/>
      <c r="AP922" s="9"/>
      <c r="AQ922" s="9"/>
      <c r="AR922" s="9"/>
      <c r="AS922" s="9"/>
      <c r="AT922" s="9"/>
      <c r="AU922" s="9"/>
      <c r="AV922" s="9"/>
    </row>
    <row r="923">
      <c r="A923" s="253"/>
      <c r="B923" s="254"/>
      <c r="C923" s="463"/>
      <c r="D923" s="253"/>
      <c r="E923" s="254"/>
      <c r="F923" s="463"/>
      <c r="G923" s="253"/>
      <c r="H923" s="254"/>
      <c r="I923" s="463"/>
      <c r="J923" s="253"/>
      <c r="K923" s="254"/>
      <c r="L923" s="463"/>
      <c r="M923" s="253"/>
      <c r="N923" s="254"/>
      <c r="O923" s="463"/>
      <c r="P923" s="253"/>
      <c r="Q923" s="254"/>
      <c r="R923" s="463"/>
      <c r="S923" s="253"/>
      <c r="T923" s="254"/>
      <c r="U923" s="463"/>
      <c r="V923" s="253"/>
      <c r="W923" s="254"/>
      <c r="X923" s="463"/>
      <c r="Y923" s="9"/>
      <c r="Z923" s="9"/>
      <c r="AA923" s="9"/>
      <c r="AB923" s="9"/>
      <c r="AC923" s="234"/>
      <c r="AD923" s="234"/>
      <c r="AE923" s="234"/>
      <c r="AF923" s="234"/>
      <c r="AG923" s="9"/>
      <c r="AH923" s="9"/>
      <c r="AI923" s="9"/>
      <c r="AJ923" s="9"/>
      <c r="AK923" s="245"/>
      <c r="AL923" s="245"/>
      <c r="AM923" s="245"/>
      <c r="AN923" s="245"/>
      <c r="AO923" s="9"/>
      <c r="AP923" s="9"/>
      <c r="AQ923" s="9"/>
      <c r="AR923" s="9"/>
      <c r="AS923" s="9"/>
      <c r="AT923" s="9"/>
      <c r="AU923" s="9"/>
      <c r="AV923" s="9"/>
    </row>
    <row r="924">
      <c r="A924" s="253"/>
      <c r="B924" s="254"/>
      <c r="C924" s="463"/>
      <c r="D924" s="253"/>
      <c r="E924" s="254"/>
      <c r="F924" s="463"/>
      <c r="G924" s="253"/>
      <c r="H924" s="254"/>
      <c r="I924" s="463"/>
      <c r="J924" s="253"/>
      <c r="K924" s="254"/>
      <c r="L924" s="463"/>
      <c r="M924" s="253"/>
      <c r="N924" s="254"/>
      <c r="O924" s="463"/>
      <c r="P924" s="253"/>
      <c r="Q924" s="254"/>
      <c r="R924" s="463"/>
      <c r="S924" s="253"/>
      <c r="T924" s="254"/>
      <c r="U924" s="463"/>
      <c r="V924" s="253"/>
      <c r="W924" s="254"/>
      <c r="X924" s="463"/>
      <c r="Y924" s="9"/>
      <c r="Z924" s="9"/>
      <c r="AA924" s="9"/>
      <c r="AB924" s="9"/>
      <c r="AC924" s="234"/>
      <c r="AD924" s="234"/>
      <c r="AE924" s="234"/>
      <c r="AF924" s="234"/>
      <c r="AG924" s="9"/>
      <c r="AH924" s="9"/>
      <c r="AI924" s="9"/>
      <c r="AJ924" s="9"/>
      <c r="AK924" s="245"/>
      <c r="AL924" s="245"/>
      <c r="AM924" s="245"/>
      <c r="AN924" s="245"/>
      <c r="AO924" s="9"/>
      <c r="AP924" s="9"/>
      <c r="AQ924" s="9"/>
      <c r="AR924" s="9"/>
      <c r="AS924" s="9"/>
      <c r="AT924" s="9"/>
      <c r="AU924" s="9"/>
      <c r="AV924" s="9"/>
    </row>
    <row r="925">
      <c r="A925" s="253"/>
      <c r="B925" s="254"/>
      <c r="C925" s="463"/>
      <c r="D925" s="253"/>
      <c r="E925" s="254"/>
      <c r="F925" s="463"/>
      <c r="G925" s="253"/>
      <c r="H925" s="254"/>
      <c r="I925" s="463"/>
      <c r="J925" s="253"/>
      <c r="K925" s="254"/>
      <c r="L925" s="463"/>
      <c r="M925" s="253"/>
      <c r="N925" s="254"/>
      <c r="O925" s="463"/>
      <c r="P925" s="253"/>
      <c r="Q925" s="254"/>
      <c r="R925" s="463"/>
      <c r="S925" s="253"/>
      <c r="T925" s="254"/>
      <c r="U925" s="463"/>
      <c r="V925" s="253"/>
      <c r="W925" s="254"/>
      <c r="X925" s="463"/>
      <c r="Y925" s="9"/>
      <c r="Z925" s="9"/>
      <c r="AA925" s="9"/>
      <c r="AB925" s="9"/>
      <c r="AC925" s="234"/>
      <c r="AD925" s="234"/>
      <c r="AE925" s="234"/>
      <c r="AF925" s="234"/>
      <c r="AG925" s="9"/>
      <c r="AH925" s="9"/>
      <c r="AI925" s="9"/>
      <c r="AJ925" s="9"/>
      <c r="AK925" s="245"/>
      <c r="AL925" s="245"/>
      <c r="AM925" s="245"/>
      <c r="AN925" s="245"/>
      <c r="AO925" s="9"/>
      <c r="AP925" s="9"/>
      <c r="AQ925" s="9"/>
      <c r="AR925" s="9"/>
      <c r="AS925" s="9"/>
      <c r="AT925" s="9"/>
      <c r="AU925" s="9"/>
      <c r="AV925" s="9"/>
    </row>
    <row r="926">
      <c r="A926" s="253"/>
      <c r="B926" s="254"/>
      <c r="C926" s="463"/>
      <c r="D926" s="253"/>
      <c r="E926" s="254"/>
      <c r="F926" s="463"/>
      <c r="G926" s="253"/>
      <c r="H926" s="254"/>
      <c r="I926" s="463"/>
      <c r="J926" s="253"/>
      <c r="K926" s="254"/>
      <c r="L926" s="463"/>
      <c r="M926" s="253"/>
      <c r="N926" s="254"/>
      <c r="O926" s="463"/>
      <c r="P926" s="253"/>
      <c r="Q926" s="254"/>
      <c r="R926" s="463"/>
      <c r="S926" s="253"/>
      <c r="T926" s="254"/>
      <c r="U926" s="463"/>
      <c r="V926" s="253"/>
      <c r="W926" s="254"/>
      <c r="X926" s="463"/>
      <c r="Y926" s="9"/>
      <c r="Z926" s="9"/>
      <c r="AA926" s="9"/>
      <c r="AB926" s="9"/>
      <c r="AC926" s="234"/>
      <c r="AD926" s="234"/>
      <c r="AE926" s="234"/>
      <c r="AF926" s="234"/>
      <c r="AG926" s="9"/>
      <c r="AH926" s="9"/>
      <c r="AI926" s="9"/>
      <c r="AJ926" s="9"/>
      <c r="AK926" s="245"/>
      <c r="AL926" s="245"/>
      <c r="AM926" s="245"/>
      <c r="AN926" s="245"/>
      <c r="AO926" s="9"/>
      <c r="AP926" s="9"/>
      <c r="AQ926" s="9"/>
      <c r="AR926" s="9"/>
      <c r="AS926" s="9"/>
      <c r="AT926" s="9"/>
      <c r="AU926" s="9"/>
      <c r="AV926" s="9"/>
    </row>
    <row r="927">
      <c r="A927" s="253"/>
      <c r="B927" s="254"/>
      <c r="C927" s="463"/>
      <c r="D927" s="253"/>
      <c r="E927" s="254"/>
      <c r="F927" s="463"/>
      <c r="G927" s="253"/>
      <c r="H927" s="254"/>
      <c r="I927" s="463"/>
      <c r="J927" s="253"/>
      <c r="K927" s="254"/>
      <c r="L927" s="463"/>
      <c r="M927" s="253"/>
      <c r="N927" s="254"/>
      <c r="O927" s="463"/>
      <c r="P927" s="253"/>
      <c r="Q927" s="254"/>
      <c r="R927" s="463"/>
      <c r="S927" s="253"/>
      <c r="T927" s="254"/>
      <c r="U927" s="463"/>
      <c r="V927" s="253"/>
      <c r="W927" s="254"/>
      <c r="X927" s="463"/>
      <c r="Y927" s="9"/>
      <c r="Z927" s="9"/>
      <c r="AA927" s="9"/>
      <c r="AB927" s="9"/>
      <c r="AC927" s="234"/>
      <c r="AD927" s="234"/>
      <c r="AE927" s="234"/>
      <c r="AF927" s="234"/>
      <c r="AG927" s="9"/>
      <c r="AH927" s="9"/>
      <c r="AI927" s="9"/>
      <c r="AJ927" s="9"/>
      <c r="AK927" s="245"/>
      <c r="AL927" s="245"/>
      <c r="AM927" s="245"/>
      <c r="AN927" s="245"/>
      <c r="AO927" s="9"/>
      <c r="AP927" s="9"/>
      <c r="AQ927" s="9"/>
      <c r="AR927" s="9"/>
      <c r="AS927" s="9"/>
      <c r="AT927" s="9"/>
      <c r="AU927" s="9"/>
      <c r="AV927" s="9"/>
    </row>
    <row r="928">
      <c r="A928" s="253"/>
      <c r="B928" s="254"/>
      <c r="C928" s="463"/>
      <c r="D928" s="253"/>
      <c r="E928" s="254"/>
      <c r="F928" s="463"/>
      <c r="G928" s="253"/>
      <c r="H928" s="254"/>
      <c r="I928" s="463"/>
      <c r="J928" s="253"/>
      <c r="K928" s="254"/>
      <c r="L928" s="463"/>
      <c r="M928" s="253"/>
      <c r="N928" s="254"/>
      <c r="O928" s="463"/>
      <c r="P928" s="253"/>
      <c r="Q928" s="254"/>
      <c r="R928" s="463"/>
      <c r="S928" s="253"/>
      <c r="T928" s="254"/>
      <c r="U928" s="463"/>
      <c r="V928" s="253"/>
      <c r="W928" s="254"/>
      <c r="X928" s="463"/>
      <c r="Y928" s="9"/>
      <c r="Z928" s="9"/>
      <c r="AA928" s="9"/>
      <c r="AB928" s="9"/>
      <c r="AC928" s="234"/>
      <c r="AD928" s="234"/>
      <c r="AE928" s="234"/>
      <c r="AF928" s="234"/>
      <c r="AG928" s="9"/>
      <c r="AH928" s="9"/>
      <c r="AI928" s="9"/>
      <c r="AJ928" s="9"/>
      <c r="AK928" s="245"/>
      <c r="AL928" s="245"/>
      <c r="AM928" s="245"/>
      <c r="AN928" s="245"/>
      <c r="AO928" s="9"/>
      <c r="AP928" s="9"/>
      <c r="AQ928" s="9"/>
      <c r="AR928" s="9"/>
      <c r="AS928" s="9"/>
      <c r="AT928" s="9"/>
      <c r="AU928" s="9"/>
      <c r="AV928" s="9"/>
    </row>
    <row r="929">
      <c r="A929" s="253"/>
      <c r="B929" s="254"/>
      <c r="C929" s="463"/>
      <c r="D929" s="253"/>
      <c r="E929" s="254"/>
      <c r="F929" s="463"/>
      <c r="G929" s="253"/>
      <c r="H929" s="254"/>
      <c r="I929" s="463"/>
      <c r="J929" s="253"/>
      <c r="K929" s="254"/>
      <c r="L929" s="463"/>
      <c r="M929" s="253"/>
      <c r="N929" s="254"/>
      <c r="O929" s="463"/>
      <c r="P929" s="253"/>
      <c r="Q929" s="254"/>
      <c r="R929" s="463"/>
      <c r="S929" s="253"/>
      <c r="T929" s="254"/>
      <c r="U929" s="463"/>
      <c r="V929" s="253"/>
      <c r="W929" s="254"/>
      <c r="X929" s="463"/>
      <c r="Y929" s="9"/>
      <c r="Z929" s="9"/>
      <c r="AA929" s="9"/>
      <c r="AB929" s="9"/>
      <c r="AC929" s="234"/>
      <c r="AD929" s="234"/>
      <c r="AE929" s="234"/>
      <c r="AF929" s="234"/>
      <c r="AG929" s="9"/>
      <c r="AH929" s="9"/>
      <c r="AI929" s="9"/>
      <c r="AJ929" s="9"/>
      <c r="AK929" s="245"/>
      <c r="AL929" s="245"/>
      <c r="AM929" s="245"/>
      <c r="AN929" s="245"/>
      <c r="AO929" s="9"/>
      <c r="AP929" s="9"/>
      <c r="AQ929" s="9"/>
      <c r="AR929" s="9"/>
      <c r="AS929" s="9"/>
      <c r="AT929" s="9"/>
      <c r="AU929" s="9"/>
      <c r="AV929" s="9"/>
    </row>
    <row r="930">
      <c r="A930" s="253"/>
      <c r="B930" s="254"/>
      <c r="C930" s="463"/>
      <c r="D930" s="253"/>
      <c r="E930" s="254"/>
      <c r="F930" s="463"/>
      <c r="G930" s="253"/>
      <c r="H930" s="254"/>
      <c r="I930" s="463"/>
      <c r="J930" s="253"/>
      <c r="K930" s="254"/>
      <c r="L930" s="463"/>
      <c r="M930" s="253"/>
      <c r="N930" s="254"/>
      <c r="O930" s="463"/>
      <c r="P930" s="253"/>
      <c r="Q930" s="254"/>
      <c r="R930" s="463"/>
      <c r="S930" s="253"/>
      <c r="T930" s="254"/>
      <c r="U930" s="463"/>
      <c r="V930" s="253"/>
      <c r="W930" s="254"/>
      <c r="X930" s="463"/>
      <c r="Y930" s="9"/>
      <c r="Z930" s="9"/>
      <c r="AA930" s="9"/>
      <c r="AB930" s="9"/>
      <c r="AC930" s="234"/>
      <c r="AD930" s="234"/>
      <c r="AE930" s="234"/>
      <c r="AF930" s="234"/>
      <c r="AG930" s="9"/>
      <c r="AH930" s="9"/>
      <c r="AI930" s="9"/>
      <c r="AJ930" s="9"/>
      <c r="AK930" s="245"/>
      <c r="AL930" s="245"/>
      <c r="AM930" s="245"/>
      <c r="AN930" s="245"/>
      <c r="AO930" s="9"/>
      <c r="AP930" s="9"/>
      <c r="AQ930" s="9"/>
      <c r="AR930" s="9"/>
      <c r="AS930" s="9"/>
      <c r="AT930" s="9"/>
      <c r="AU930" s="9"/>
      <c r="AV930" s="9"/>
    </row>
    <row r="931">
      <c r="A931" s="253"/>
      <c r="B931" s="254"/>
      <c r="C931" s="463"/>
      <c r="D931" s="253"/>
      <c r="E931" s="254"/>
      <c r="F931" s="463"/>
      <c r="G931" s="253"/>
      <c r="H931" s="254"/>
      <c r="I931" s="463"/>
      <c r="J931" s="253"/>
      <c r="K931" s="254"/>
      <c r="L931" s="463"/>
      <c r="M931" s="253"/>
      <c r="N931" s="254"/>
      <c r="O931" s="463"/>
      <c r="P931" s="253"/>
      <c r="Q931" s="254"/>
      <c r="R931" s="463"/>
      <c r="S931" s="253"/>
      <c r="T931" s="254"/>
      <c r="U931" s="463"/>
      <c r="V931" s="253"/>
      <c r="W931" s="254"/>
      <c r="X931" s="463"/>
      <c r="Y931" s="9"/>
      <c r="Z931" s="9"/>
      <c r="AA931" s="9"/>
      <c r="AB931" s="9"/>
      <c r="AC931" s="234"/>
      <c r="AD931" s="234"/>
      <c r="AE931" s="234"/>
      <c r="AF931" s="234"/>
      <c r="AG931" s="9"/>
      <c r="AH931" s="9"/>
      <c r="AI931" s="9"/>
      <c r="AJ931" s="9"/>
      <c r="AK931" s="245"/>
      <c r="AL931" s="245"/>
      <c r="AM931" s="245"/>
      <c r="AN931" s="245"/>
      <c r="AO931" s="9"/>
      <c r="AP931" s="9"/>
      <c r="AQ931" s="9"/>
      <c r="AR931" s="9"/>
      <c r="AS931" s="9"/>
      <c r="AT931" s="9"/>
      <c r="AU931" s="9"/>
      <c r="AV931" s="9"/>
    </row>
    <row r="932">
      <c r="A932" s="253"/>
      <c r="B932" s="254"/>
      <c r="C932" s="463"/>
      <c r="D932" s="253"/>
      <c r="E932" s="254"/>
      <c r="F932" s="463"/>
      <c r="G932" s="253"/>
      <c r="H932" s="254"/>
      <c r="I932" s="463"/>
      <c r="J932" s="253"/>
      <c r="K932" s="254"/>
      <c r="L932" s="463"/>
      <c r="M932" s="253"/>
      <c r="N932" s="254"/>
      <c r="O932" s="463"/>
      <c r="P932" s="253"/>
      <c r="Q932" s="254"/>
      <c r="R932" s="463"/>
      <c r="S932" s="253"/>
      <c r="T932" s="254"/>
      <c r="U932" s="463"/>
      <c r="V932" s="253"/>
      <c r="W932" s="254"/>
      <c r="X932" s="463"/>
      <c r="Y932" s="9"/>
      <c r="Z932" s="9"/>
      <c r="AA932" s="9"/>
      <c r="AB932" s="9"/>
      <c r="AC932" s="234"/>
      <c r="AD932" s="234"/>
      <c r="AE932" s="234"/>
      <c r="AF932" s="234"/>
      <c r="AG932" s="9"/>
      <c r="AH932" s="9"/>
      <c r="AI932" s="9"/>
      <c r="AJ932" s="9"/>
      <c r="AK932" s="245"/>
      <c r="AL932" s="245"/>
      <c r="AM932" s="245"/>
      <c r="AN932" s="245"/>
      <c r="AO932" s="9"/>
      <c r="AP932" s="9"/>
      <c r="AQ932" s="9"/>
      <c r="AR932" s="9"/>
      <c r="AS932" s="9"/>
      <c r="AT932" s="9"/>
      <c r="AU932" s="9"/>
      <c r="AV932" s="9"/>
    </row>
    <row r="933">
      <c r="A933" s="253"/>
      <c r="B933" s="254"/>
      <c r="C933" s="463"/>
      <c r="D933" s="253"/>
      <c r="E933" s="254"/>
      <c r="F933" s="463"/>
      <c r="G933" s="253"/>
      <c r="H933" s="254"/>
      <c r="I933" s="463"/>
      <c r="J933" s="253"/>
      <c r="K933" s="254"/>
      <c r="L933" s="463"/>
      <c r="M933" s="253"/>
      <c r="N933" s="254"/>
      <c r="O933" s="463"/>
      <c r="P933" s="253"/>
      <c r="Q933" s="254"/>
      <c r="R933" s="463"/>
      <c r="S933" s="253"/>
      <c r="T933" s="254"/>
      <c r="U933" s="463"/>
      <c r="V933" s="253"/>
      <c r="W933" s="254"/>
      <c r="X933" s="463"/>
      <c r="Y933" s="9"/>
      <c r="Z933" s="9"/>
      <c r="AA933" s="9"/>
      <c r="AB933" s="9"/>
      <c r="AC933" s="234"/>
      <c r="AD933" s="234"/>
      <c r="AE933" s="234"/>
      <c r="AF933" s="234"/>
      <c r="AG933" s="9"/>
      <c r="AH933" s="9"/>
      <c r="AI933" s="9"/>
      <c r="AJ933" s="9"/>
      <c r="AK933" s="245"/>
      <c r="AL933" s="245"/>
      <c r="AM933" s="245"/>
      <c r="AN933" s="245"/>
      <c r="AO933" s="9"/>
      <c r="AP933" s="9"/>
      <c r="AQ933" s="9"/>
      <c r="AR933" s="9"/>
      <c r="AS933" s="9"/>
      <c r="AT933" s="9"/>
      <c r="AU933" s="9"/>
      <c r="AV933" s="9"/>
    </row>
    <row r="934">
      <c r="A934" s="253"/>
      <c r="B934" s="254"/>
      <c r="C934" s="463"/>
      <c r="D934" s="253"/>
      <c r="E934" s="254"/>
      <c r="F934" s="463"/>
      <c r="G934" s="253"/>
      <c r="H934" s="254"/>
      <c r="I934" s="463"/>
      <c r="J934" s="253"/>
      <c r="K934" s="254"/>
      <c r="L934" s="463"/>
      <c r="M934" s="253"/>
      <c r="N934" s="254"/>
      <c r="O934" s="463"/>
      <c r="P934" s="253"/>
      <c r="Q934" s="254"/>
      <c r="R934" s="463"/>
      <c r="S934" s="253"/>
      <c r="T934" s="254"/>
      <c r="U934" s="463"/>
      <c r="V934" s="253"/>
      <c r="W934" s="254"/>
      <c r="X934" s="463"/>
      <c r="Y934" s="9"/>
      <c r="Z934" s="9"/>
      <c r="AA934" s="9"/>
      <c r="AB934" s="9"/>
      <c r="AC934" s="234"/>
      <c r="AD934" s="234"/>
      <c r="AE934" s="234"/>
      <c r="AF934" s="234"/>
      <c r="AG934" s="9"/>
      <c r="AH934" s="9"/>
      <c r="AI934" s="9"/>
      <c r="AJ934" s="9"/>
      <c r="AK934" s="245"/>
      <c r="AL934" s="245"/>
      <c r="AM934" s="245"/>
      <c r="AN934" s="245"/>
      <c r="AO934" s="9"/>
      <c r="AP934" s="9"/>
      <c r="AQ934" s="9"/>
      <c r="AR934" s="9"/>
      <c r="AS934" s="9"/>
      <c r="AT934" s="9"/>
      <c r="AU934" s="9"/>
      <c r="AV934" s="9"/>
    </row>
    <row r="935">
      <c r="A935" s="253"/>
      <c r="B935" s="254"/>
      <c r="C935" s="463"/>
      <c r="D935" s="253"/>
      <c r="E935" s="254"/>
      <c r="F935" s="463"/>
      <c r="G935" s="253"/>
      <c r="H935" s="254"/>
      <c r="I935" s="463"/>
      <c r="J935" s="253"/>
      <c r="K935" s="254"/>
      <c r="L935" s="463"/>
      <c r="M935" s="253"/>
      <c r="N935" s="254"/>
      <c r="O935" s="463"/>
      <c r="P935" s="253"/>
      <c r="Q935" s="254"/>
      <c r="R935" s="463"/>
      <c r="S935" s="253"/>
      <c r="T935" s="254"/>
      <c r="U935" s="463"/>
      <c r="V935" s="253"/>
      <c r="W935" s="254"/>
      <c r="X935" s="463"/>
      <c r="Y935" s="9"/>
      <c r="Z935" s="9"/>
      <c r="AA935" s="9"/>
      <c r="AB935" s="9"/>
      <c r="AC935" s="234"/>
      <c r="AD935" s="234"/>
      <c r="AE935" s="234"/>
      <c r="AF935" s="234"/>
      <c r="AG935" s="9"/>
      <c r="AH935" s="9"/>
      <c r="AI935" s="9"/>
      <c r="AJ935" s="9"/>
      <c r="AK935" s="245"/>
      <c r="AL935" s="245"/>
      <c r="AM935" s="245"/>
      <c r="AN935" s="245"/>
      <c r="AO935" s="9"/>
      <c r="AP935" s="9"/>
      <c r="AQ935" s="9"/>
      <c r="AR935" s="9"/>
      <c r="AS935" s="9"/>
      <c r="AT935" s="9"/>
      <c r="AU935" s="9"/>
      <c r="AV935" s="9"/>
    </row>
    <row r="936">
      <c r="A936" s="253"/>
      <c r="B936" s="254"/>
      <c r="C936" s="463"/>
      <c r="D936" s="253"/>
      <c r="E936" s="254"/>
      <c r="F936" s="463"/>
      <c r="G936" s="253"/>
      <c r="H936" s="254"/>
      <c r="I936" s="463"/>
      <c r="J936" s="253"/>
      <c r="K936" s="254"/>
      <c r="L936" s="463"/>
      <c r="M936" s="253"/>
      <c r="N936" s="254"/>
      <c r="O936" s="463"/>
      <c r="P936" s="253"/>
      <c r="Q936" s="254"/>
      <c r="R936" s="463"/>
      <c r="S936" s="253"/>
      <c r="T936" s="254"/>
      <c r="U936" s="463"/>
      <c r="V936" s="253"/>
      <c r="W936" s="254"/>
      <c r="X936" s="463"/>
      <c r="Y936" s="9"/>
      <c r="Z936" s="9"/>
      <c r="AA936" s="9"/>
      <c r="AB936" s="9"/>
      <c r="AC936" s="234"/>
      <c r="AD936" s="234"/>
      <c r="AE936" s="234"/>
      <c r="AF936" s="234"/>
      <c r="AG936" s="9"/>
      <c r="AH936" s="9"/>
      <c r="AI936" s="9"/>
      <c r="AJ936" s="9"/>
      <c r="AK936" s="245"/>
      <c r="AL936" s="245"/>
      <c r="AM936" s="245"/>
      <c r="AN936" s="245"/>
      <c r="AO936" s="9"/>
      <c r="AP936" s="9"/>
      <c r="AQ936" s="9"/>
      <c r="AR936" s="9"/>
      <c r="AS936" s="9"/>
      <c r="AT936" s="9"/>
      <c r="AU936" s="9"/>
      <c r="AV936" s="9"/>
    </row>
    <row r="937">
      <c r="A937" s="253"/>
      <c r="B937" s="254"/>
      <c r="C937" s="463"/>
      <c r="D937" s="253"/>
      <c r="E937" s="254"/>
      <c r="F937" s="463"/>
      <c r="G937" s="253"/>
      <c r="H937" s="254"/>
      <c r="I937" s="463"/>
      <c r="J937" s="253"/>
      <c r="K937" s="254"/>
      <c r="L937" s="463"/>
      <c r="M937" s="253"/>
      <c r="N937" s="254"/>
      <c r="O937" s="463"/>
      <c r="P937" s="253"/>
      <c r="Q937" s="254"/>
      <c r="R937" s="463"/>
      <c r="S937" s="253"/>
      <c r="T937" s="254"/>
      <c r="U937" s="463"/>
      <c r="V937" s="253"/>
      <c r="W937" s="254"/>
      <c r="X937" s="463"/>
      <c r="Y937" s="9"/>
      <c r="Z937" s="9"/>
      <c r="AA937" s="9"/>
      <c r="AB937" s="9"/>
      <c r="AC937" s="234"/>
      <c r="AD937" s="234"/>
      <c r="AE937" s="234"/>
      <c r="AF937" s="234"/>
      <c r="AG937" s="9"/>
      <c r="AH937" s="9"/>
      <c r="AI937" s="9"/>
      <c r="AJ937" s="9"/>
      <c r="AK937" s="245"/>
      <c r="AL937" s="245"/>
      <c r="AM937" s="245"/>
      <c r="AN937" s="245"/>
      <c r="AO937" s="9"/>
      <c r="AP937" s="9"/>
      <c r="AQ937" s="9"/>
      <c r="AR937" s="9"/>
      <c r="AS937" s="9"/>
      <c r="AT937" s="9"/>
      <c r="AU937" s="9"/>
      <c r="AV937" s="9"/>
    </row>
    <row r="938">
      <c r="A938" s="253"/>
      <c r="B938" s="254"/>
      <c r="C938" s="463"/>
      <c r="D938" s="253"/>
      <c r="E938" s="254"/>
      <c r="F938" s="463"/>
      <c r="G938" s="253"/>
      <c r="H938" s="254"/>
      <c r="I938" s="463"/>
      <c r="J938" s="253"/>
      <c r="K938" s="254"/>
      <c r="L938" s="463"/>
      <c r="M938" s="253"/>
      <c r="N938" s="254"/>
      <c r="O938" s="463"/>
      <c r="P938" s="253"/>
      <c r="Q938" s="254"/>
      <c r="R938" s="463"/>
      <c r="S938" s="253"/>
      <c r="T938" s="254"/>
      <c r="U938" s="463"/>
      <c r="V938" s="253"/>
      <c r="W938" s="254"/>
      <c r="X938" s="463"/>
      <c r="Y938" s="9"/>
      <c r="Z938" s="9"/>
      <c r="AA938" s="9"/>
      <c r="AB938" s="9"/>
      <c r="AC938" s="234"/>
      <c r="AD938" s="234"/>
      <c r="AE938" s="234"/>
      <c r="AF938" s="234"/>
      <c r="AG938" s="9"/>
      <c r="AH938" s="9"/>
      <c r="AI938" s="9"/>
      <c r="AJ938" s="9"/>
      <c r="AK938" s="245"/>
      <c r="AL938" s="245"/>
      <c r="AM938" s="245"/>
      <c r="AN938" s="245"/>
      <c r="AO938" s="9"/>
      <c r="AP938" s="9"/>
      <c r="AQ938" s="9"/>
      <c r="AR938" s="9"/>
      <c r="AS938" s="9"/>
      <c r="AT938" s="9"/>
      <c r="AU938" s="9"/>
      <c r="AV938" s="9"/>
    </row>
    <row r="939">
      <c r="A939" s="253"/>
      <c r="B939" s="254"/>
      <c r="C939" s="463"/>
      <c r="D939" s="253"/>
      <c r="E939" s="254"/>
      <c r="F939" s="463"/>
      <c r="G939" s="253"/>
      <c r="H939" s="254"/>
      <c r="I939" s="463"/>
      <c r="J939" s="253"/>
      <c r="K939" s="254"/>
      <c r="L939" s="463"/>
      <c r="M939" s="253"/>
      <c r="N939" s="254"/>
      <c r="O939" s="463"/>
      <c r="P939" s="253"/>
      <c r="Q939" s="254"/>
      <c r="R939" s="463"/>
      <c r="S939" s="253"/>
      <c r="T939" s="254"/>
      <c r="U939" s="463"/>
      <c r="V939" s="253"/>
      <c r="W939" s="254"/>
      <c r="X939" s="463"/>
      <c r="Y939" s="9"/>
      <c r="Z939" s="9"/>
      <c r="AA939" s="9"/>
      <c r="AB939" s="9"/>
      <c r="AC939" s="234"/>
      <c r="AD939" s="234"/>
      <c r="AE939" s="234"/>
      <c r="AF939" s="234"/>
      <c r="AG939" s="9"/>
      <c r="AH939" s="9"/>
      <c r="AI939" s="9"/>
      <c r="AJ939" s="9"/>
      <c r="AK939" s="245"/>
      <c r="AL939" s="245"/>
      <c r="AM939" s="245"/>
      <c r="AN939" s="245"/>
      <c r="AO939" s="9"/>
      <c r="AP939" s="9"/>
      <c r="AQ939" s="9"/>
      <c r="AR939" s="9"/>
      <c r="AS939" s="9"/>
      <c r="AT939" s="9"/>
      <c r="AU939" s="9"/>
      <c r="AV939" s="9"/>
    </row>
    <row r="940">
      <c r="A940" s="253"/>
      <c r="B940" s="254"/>
      <c r="C940" s="463"/>
      <c r="D940" s="253"/>
      <c r="E940" s="254"/>
      <c r="F940" s="463"/>
      <c r="G940" s="253"/>
      <c r="H940" s="254"/>
      <c r="I940" s="463"/>
      <c r="J940" s="253"/>
      <c r="K940" s="254"/>
      <c r="L940" s="463"/>
      <c r="M940" s="253"/>
      <c r="N940" s="254"/>
      <c r="O940" s="463"/>
      <c r="P940" s="253"/>
      <c r="Q940" s="254"/>
      <c r="R940" s="463"/>
      <c r="S940" s="253"/>
      <c r="T940" s="254"/>
      <c r="U940" s="463"/>
      <c r="V940" s="253"/>
      <c r="W940" s="254"/>
      <c r="X940" s="463"/>
      <c r="Y940" s="9"/>
      <c r="Z940" s="9"/>
      <c r="AA940" s="9"/>
      <c r="AB940" s="9"/>
      <c r="AC940" s="234"/>
      <c r="AD940" s="234"/>
      <c r="AE940" s="234"/>
      <c r="AF940" s="234"/>
      <c r="AG940" s="9"/>
      <c r="AH940" s="9"/>
      <c r="AI940" s="9"/>
      <c r="AJ940" s="9"/>
      <c r="AK940" s="245"/>
      <c r="AL940" s="245"/>
      <c r="AM940" s="245"/>
      <c r="AN940" s="245"/>
      <c r="AO940" s="9"/>
      <c r="AP940" s="9"/>
      <c r="AQ940" s="9"/>
      <c r="AR940" s="9"/>
      <c r="AS940" s="9"/>
      <c r="AT940" s="9"/>
      <c r="AU940" s="9"/>
      <c r="AV940" s="9"/>
    </row>
    <row r="941">
      <c r="A941" s="253"/>
      <c r="B941" s="254"/>
      <c r="C941" s="463"/>
      <c r="D941" s="253"/>
      <c r="E941" s="254"/>
      <c r="F941" s="463"/>
      <c r="G941" s="253"/>
      <c r="H941" s="254"/>
      <c r="I941" s="463"/>
      <c r="J941" s="253"/>
      <c r="K941" s="254"/>
      <c r="L941" s="463"/>
      <c r="M941" s="253"/>
      <c r="N941" s="254"/>
      <c r="O941" s="463"/>
      <c r="P941" s="253"/>
      <c r="Q941" s="254"/>
      <c r="R941" s="463"/>
      <c r="S941" s="253"/>
      <c r="T941" s="254"/>
      <c r="U941" s="463"/>
      <c r="V941" s="253"/>
      <c r="W941" s="254"/>
      <c r="X941" s="463"/>
      <c r="Y941" s="9"/>
      <c r="Z941" s="9"/>
      <c r="AA941" s="9"/>
      <c r="AB941" s="9"/>
      <c r="AC941" s="234"/>
      <c r="AD941" s="234"/>
      <c r="AE941" s="234"/>
      <c r="AF941" s="234"/>
      <c r="AG941" s="9"/>
      <c r="AH941" s="9"/>
      <c r="AI941" s="9"/>
      <c r="AJ941" s="9"/>
      <c r="AK941" s="245"/>
      <c r="AL941" s="245"/>
      <c r="AM941" s="245"/>
      <c r="AN941" s="245"/>
      <c r="AO941" s="9"/>
      <c r="AP941" s="9"/>
      <c r="AQ941" s="9"/>
      <c r="AR941" s="9"/>
      <c r="AS941" s="9"/>
      <c r="AT941" s="9"/>
      <c r="AU941" s="9"/>
      <c r="AV941" s="9"/>
    </row>
    <row r="942">
      <c r="A942" s="253"/>
      <c r="B942" s="254"/>
      <c r="C942" s="463"/>
      <c r="D942" s="253"/>
      <c r="E942" s="254"/>
      <c r="F942" s="463"/>
      <c r="G942" s="253"/>
      <c r="H942" s="254"/>
      <c r="I942" s="463"/>
      <c r="J942" s="253"/>
      <c r="K942" s="254"/>
      <c r="L942" s="463"/>
      <c r="M942" s="253"/>
      <c r="N942" s="254"/>
      <c r="O942" s="463"/>
      <c r="P942" s="253"/>
      <c r="Q942" s="254"/>
      <c r="R942" s="463"/>
      <c r="S942" s="253"/>
      <c r="T942" s="254"/>
      <c r="U942" s="463"/>
      <c r="V942" s="253"/>
      <c r="W942" s="254"/>
      <c r="X942" s="463"/>
      <c r="Y942" s="9"/>
      <c r="Z942" s="9"/>
      <c r="AA942" s="9"/>
      <c r="AB942" s="9"/>
      <c r="AC942" s="234"/>
      <c r="AD942" s="234"/>
      <c r="AE942" s="234"/>
      <c r="AF942" s="234"/>
      <c r="AG942" s="9"/>
      <c r="AH942" s="9"/>
      <c r="AI942" s="9"/>
      <c r="AJ942" s="9"/>
      <c r="AK942" s="245"/>
      <c r="AL942" s="245"/>
      <c r="AM942" s="245"/>
      <c r="AN942" s="245"/>
      <c r="AO942" s="9"/>
      <c r="AP942" s="9"/>
      <c r="AQ942" s="9"/>
      <c r="AR942" s="9"/>
      <c r="AS942" s="9"/>
      <c r="AT942" s="9"/>
      <c r="AU942" s="9"/>
      <c r="AV942" s="9"/>
    </row>
    <row r="943">
      <c r="A943" s="253"/>
      <c r="B943" s="254"/>
      <c r="C943" s="463"/>
      <c r="D943" s="253"/>
      <c r="E943" s="254"/>
      <c r="F943" s="463"/>
      <c r="G943" s="253"/>
      <c r="H943" s="254"/>
      <c r="I943" s="463"/>
      <c r="J943" s="253"/>
      <c r="K943" s="254"/>
      <c r="L943" s="463"/>
      <c r="M943" s="253"/>
      <c r="N943" s="254"/>
      <c r="O943" s="463"/>
      <c r="P943" s="253"/>
      <c r="Q943" s="254"/>
      <c r="R943" s="463"/>
      <c r="S943" s="253"/>
      <c r="T943" s="254"/>
      <c r="U943" s="463"/>
      <c r="V943" s="253"/>
      <c r="W943" s="254"/>
      <c r="X943" s="463"/>
      <c r="Y943" s="9"/>
      <c r="Z943" s="9"/>
      <c r="AA943" s="9"/>
      <c r="AB943" s="9"/>
      <c r="AC943" s="234"/>
      <c r="AD943" s="234"/>
      <c r="AE943" s="234"/>
      <c r="AF943" s="234"/>
      <c r="AG943" s="9"/>
      <c r="AH943" s="9"/>
      <c r="AI943" s="9"/>
      <c r="AJ943" s="9"/>
      <c r="AK943" s="245"/>
      <c r="AL943" s="245"/>
      <c r="AM943" s="245"/>
      <c r="AN943" s="245"/>
      <c r="AO943" s="9"/>
      <c r="AP943" s="9"/>
      <c r="AQ943" s="9"/>
      <c r="AR943" s="9"/>
      <c r="AS943" s="9"/>
      <c r="AT943" s="9"/>
      <c r="AU943" s="9"/>
      <c r="AV943" s="9"/>
    </row>
    <row r="944">
      <c r="A944" s="253"/>
      <c r="B944" s="254"/>
      <c r="C944" s="463"/>
      <c r="D944" s="253"/>
      <c r="E944" s="254"/>
      <c r="F944" s="463"/>
      <c r="G944" s="253"/>
      <c r="H944" s="254"/>
      <c r="I944" s="463"/>
      <c r="J944" s="253"/>
      <c r="K944" s="254"/>
      <c r="L944" s="463"/>
      <c r="M944" s="253"/>
      <c r="N944" s="254"/>
      <c r="O944" s="463"/>
      <c r="P944" s="253"/>
      <c r="Q944" s="254"/>
      <c r="R944" s="463"/>
      <c r="S944" s="253"/>
      <c r="T944" s="254"/>
      <c r="U944" s="463"/>
      <c r="V944" s="253"/>
      <c r="W944" s="254"/>
      <c r="X944" s="463"/>
      <c r="Y944" s="9"/>
      <c r="Z944" s="9"/>
      <c r="AA944" s="9"/>
      <c r="AB944" s="9"/>
      <c r="AC944" s="234"/>
      <c r="AD944" s="234"/>
      <c r="AE944" s="234"/>
      <c r="AF944" s="234"/>
      <c r="AG944" s="9"/>
      <c r="AH944" s="9"/>
      <c r="AI944" s="9"/>
      <c r="AJ944" s="9"/>
      <c r="AK944" s="245"/>
      <c r="AL944" s="245"/>
      <c r="AM944" s="245"/>
      <c r="AN944" s="245"/>
      <c r="AO944" s="9"/>
      <c r="AP944" s="9"/>
      <c r="AQ944" s="9"/>
      <c r="AR944" s="9"/>
      <c r="AS944" s="9"/>
      <c r="AT944" s="9"/>
      <c r="AU944" s="9"/>
      <c r="AV944" s="9"/>
    </row>
    <row r="945">
      <c r="A945" s="253"/>
      <c r="B945" s="254"/>
      <c r="C945" s="463"/>
      <c r="D945" s="253"/>
      <c r="E945" s="254"/>
      <c r="F945" s="463"/>
      <c r="G945" s="253"/>
      <c r="H945" s="254"/>
      <c r="I945" s="463"/>
      <c r="J945" s="253"/>
      <c r="K945" s="254"/>
      <c r="L945" s="463"/>
      <c r="M945" s="253"/>
      <c r="N945" s="254"/>
      <c r="O945" s="463"/>
      <c r="P945" s="253"/>
      <c r="Q945" s="254"/>
      <c r="R945" s="463"/>
      <c r="S945" s="253"/>
      <c r="T945" s="254"/>
      <c r="U945" s="463"/>
      <c r="V945" s="253"/>
      <c r="W945" s="254"/>
      <c r="X945" s="463"/>
      <c r="Y945" s="9"/>
      <c r="Z945" s="9"/>
      <c r="AA945" s="9"/>
      <c r="AB945" s="9"/>
      <c r="AC945" s="234"/>
      <c r="AD945" s="234"/>
      <c r="AE945" s="234"/>
      <c r="AF945" s="234"/>
      <c r="AG945" s="9"/>
      <c r="AH945" s="9"/>
      <c r="AI945" s="9"/>
      <c r="AJ945" s="9"/>
      <c r="AK945" s="245"/>
      <c r="AL945" s="245"/>
      <c r="AM945" s="245"/>
      <c r="AN945" s="245"/>
      <c r="AO945" s="9"/>
      <c r="AP945" s="9"/>
      <c r="AQ945" s="9"/>
      <c r="AR945" s="9"/>
      <c r="AS945" s="9"/>
      <c r="AT945" s="9"/>
      <c r="AU945" s="9"/>
      <c r="AV945" s="9"/>
    </row>
    <row r="946">
      <c r="A946" s="253"/>
      <c r="B946" s="254"/>
      <c r="C946" s="463"/>
      <c r="D946" s="253"/>
      <c r="E946" s="254"/>
      <c r="F946" s="463"/>
      <c r="G946" s="253"/>
      <c r="H946" s="254"/>
      <c r="I946" s="463"/>
      <c r="J946" s="253"/>
      <c r="K946" s="254"/>
      <c r="L946" s="463"/>
      <c r="M946" s="253"/>
      <c r="N946" s="254"/>
      <c r="O946" s="463"/>
      <c r="P946" s="253"/>
      <c r="Q946" s="254"/>
      <c r="R946" s="463"/>
      <c r="S946" s="253"/>
      <c r="T946" s="254"/>
      <c r="U946" s="463"/>
      <c r="V946" s="253"/>
      <c r="W946" s="254"/>
      <c r="X946" s="463"/>
      <c r="Y946" s="9"/>
      <c r="Z946" s="9"/>
      <c r="AA946" s="9"/>
      <c r="AB946" s="9"/>
      <c r="AC946" s="234"/>
      <c r="AD946" s="234"/>
      <c r="AE946" s="234"/>
      <c r="AF946" s="234"/>
      <c r="AG946" s="9"/>
      <c r="AH946" s="9"/>
      <c r="AI946" s="9"/>
      <c r="AJ946" s="9"/>
      <c r="AK946" s="245"/>
      <c r="AL946" s="245"/>
      <c r="AM946" s="245"/>
      <c r="AN946" s="245"/>
      <c r="AO946" s="9"/>
      <c r="AP946" s="9"/>
      <c r="AQ946" s="9"/>
      <c r="AR946" s="9"/>
      <c r="AS946" s="9"/>
      <c r="AT946" s="9"/>
      <c r="AU946" s="9"/>
      <c r="AV946" s="9"/>
    </row>
    <row r="947">
      <c r="A947" s="253"/>
      <c r="B947" s="254"/>
      <c r="C947" s="463"/>
      <c r="D947" s="253"/>
      <c r="E947" s="254"/>
      <c r="F947" s="463"/>
      <c r="G947" s="253"/>
      <c r="H947" s="254"/>
      <c r="I947" s="463"/>
      <c r="J947" s="253"/>
      <c r="K947" s="254"/>
      <c r="L947" s="463"/>
      <c r="M947" s="253"/>
      <c r="N947" s="254"/>
      <c r="O947" s="463"/>
      <c r="P947" s="253"/>
      <c r="Q947" s="254"/>
      <c r="R947" s="463"/>
      <c r="S947" s="253"/>
      <c r="T947" s="254"/>
      <c r="U947" s="463"/>
      <c r="V947" s="253"/>
      <c r="W947" s="254"/>
      <c r="X947" s="463"/>
      <c r="Y947" s="9"/>
      <c r="Z947" s="9"/>
      <c r="AA947" s="9"/>
      <c r="AB947" s="9"/>
      <c r="AC947" s="234"/>
      <c r="AD947" s="234"/>
      <c r="AE947" s="234"/>
      <c r="AF947" s="234"/>
      <c r="AG947" s="9"/>
      <c r="AH947" s="9"/>
      <c r="AI947" s="9"/>
      <c r="AJ947" s="9"/>
      <c r="AK947" s="245"/>
      <c r="AL947" s="245"/>
      <c r="AM947" s="245"/>
      <c r="AN947" s="245"/>
      <c r="AO947" s="9"/>
      <c r="AP947" s="9"/>
      <c r="AQ947" s="9"/>
      <c r="AR947" s="9"/>
      <c r="AS947" s="9"/>
      <c r="AT947" s="9"/>
      <c r="AU947" s="9"/>
      <c r="AV947" s="9"/>
    </row>
    <row r="948">
      <c r="A948" s="253"/>
      <c r="B948" s="254"/>
      <c r="C948" s="463"/>
      <c r="D948" s="253"/>
      <c r="E948" s="254"/>
      <c r="F948" s="463"/>
      <c r="G948" s="253"/>
      <c r="H948" s="254"/>
      <c r="I948" s="463"/>
      <c r="J948" s="253"/>
      <c r="K948" s="254"/>
      <c r="L948" s="463"/>
      <c r="M948" s="253"/>
      <c r="N948" s="254"/>
      <c r="O948" s="463"/>
      <c r="P948" s="253"/>
      <c r="Q948" s="254"/>
      <c r="R948" s="463"/>
      <c r="S948" s="253"/>
      <c r="T948" s="254"/>
      <c r="U948" s="463"/>
      <c r="V948" s="253"/>
      <c r="W948" s="254"/>
      <c r="X948" s="463"/>
      <c r="Y948" s="9"/>
      <c r="Z948" s="9"/>
      <c r="AA948" s="9"/>
      <c r="AB948" s="9"/>
      <c r="AC948" s="234"/>
      <c r="AD948" s="234"/>
      <c r="AE948" s="234"/>
      <c r="AF948" s="234"/>
      <c r="AG948" s="9"/>
      <c r="AH948" s="9"/>
      <c r="AI948" s="9"/>
      <c r="AJ948" s="9"/>
      <c r="AK948" s="245"/>
      <c r="AL948" s="245"/>
      <c r="AM948" s="245"/>
      <c r="AN948" s="245"/>
      <c r="AO948" s="9"/>
      <c r="AP948" s="9"/>
      <c r="AQ948" s="9"/>
      <c r="AR948" s="9"/>
      <c r="AS948" s="9"/>
      <c r="AT948" s="9"/>
      <c r="AU948" s="9"/>
      <c r="AV948" s="9"/>
    </row>
    <row r="949">
      <c r="A949" s="253"/>
      <c r="B949" s="254"/>
      <c r="C949" s="463"/>
      <c r="D949" s="253"/>
      <c r="E949" s="254"/>
      <c r="F949" s="463"/>
      <c r="G949" s="253"/>
      <c r="H949" s="254"/>
      <c r="I949" s="463"/>
      <c r="J949" s="253"/>
      <c r="K949" s="254"/>
      <c r="L949" s="463"/>
      <c r="M949" s="253"/>
      <c r="N949" s="254"/>
      <c r="O949" s="463"/>
      <c r="P949" s="253"/>
      <c r="Q949" s="254"/>
      <c r="R949" s="463"/>
      <c r="S949" s="253"/>
      <c r="T949" s="254"/>
      <c r="U949" s="463"/>
      <c r="V949" s="253"/>
      <c r="W949" s="254"/>
      <c r="X949" s="463"/>
      <c r="Y949" s="9"/>
      <c r="Z949" s="9"/>
      <c r="AA949" s="9"/>
      <c r="AB949" s="9"/>
      <c r="AC949" s="234"/>
      <c r="AD949" s="234"/>
      <c r="AE949" s="234"/>
      <c r="AF949" s="234"/>
      <c r="AG949" s="9"/>
      <c r="AH949" s="9"/>
      <c r="AI949" s="9"/>
      <c r="AJ949" s="9"/>
      <c r="AK949" s="245"/>
      <c r="AL949" s="245"/>
      <c r="AM949" s="245"/>
      <c r="AN949" s="245"/>
      <c r="AO949" s="9"/>
      <c r="AP949" s="9"/>
      <c r="AQ949" s="9"/>
      <c r="AR949" s="9"/>
      <c r="AS949" s="9"/>
      <c r="AT949" s="9"/>
      <c r="AU949" s="9"/>
      <c r="AV949" s="9"/>
    </row>
    <row r="950">
      <c r="A950" s="253"/>
      <c r="B950" s="254"/>
      <c r="C950" s="463"/>
      <c r="D950" s="253"/>
      <c r="E950" s="254"/>
      <c r="F950" s="463"/>
      <c r="G950" s="253"/>
      <c r="H950" s="254"/>
      <c r="I950" s="463"/>
      <c r="J950" s="253"/>
      <c r="K950" s="254"/>
      <c r="L950" s="463"/>
      <c r="M950" s="253"/>
      <c r="N950" s="254"/>
      <c r="O950" s="463"/>
      <c r="P950" s="253"/>
      <c r="Q950" s="254"/>
      <c r="R950" s="463"/>
      <c r="S950" s="253"/>
      <c r="T950" s="254"/>
      <c r="U950" s="463"/>
      <c r="V950" s="253"/>
      <c r="W950" s="254"/>
      <c r="X950" s="463"/>
      <c r="Y950" s="9"/>
      <c r="Z950" s="9"/>
      <c r="AA950" s="9"/>
      <c r="AB950" s="9"/>
      <c r="AC950" s="234"/>
      <c r="AD950" s="234"/>
      <c r="AE950" s="234"/>
      <c r="AF950" s="234"/>
      <c r="AG950" s="9"/>
      <c r="AH950" s="9"/>
      <c r="AI950" s="9"/>
      <c r="AJ950" s="9"/>
      <c r="AK950" s="245"/>
      <c r="AL950" s="245"/>
      <c r="AM950" s="245"/>
      <c r="AN950" s="245"/>
      <c r="AO950" s="9"/>
      <c r="AP950" s="9"/>
      <c r="AQ950" s="9"/>
      <c r="AR950" s="9"/>
      <c r="AS950" s="9"/>
      <c r="AT950" s="9"/>
      <c r="AU950" s="9"/>
      <c r="AV950" s="9"/>
    </row>
    <row r="951">
      <c r="A951" s="253"/>
      <c r="B951" s="254"/>
      <c r="C951" s="463"/>
      <c r="D951" s="253"/>
      <c r="E951" s="254"/>
      <c r="F951" s="463"/>
      <c r="G951" s="253"/>
      <c r="H951" s="254"/>
      <c r="I951" s="463"/>
      <c r="J951" s="253"/>
      <c r="K951" s="254"/>
      <c r="L951" s="463"/>
      <c r="M951" s="253"/>
      <c r="N951" s="254"/>
      <c r="O951" s="463"/>
      <c r="P951" s="253"/>
      <c r="Q951" s="254"/>
      <c r="R951" s="463"/>
      <c r="S951" s="253"/>
      <c r="T951" s="254"/>
      <c r="U951" s="463"/>
      <c r="V951" s="253"/>
      <c r="W951" s="254"/>
      <c r="X951" s="463"/>
      <c r="Y951" s="9"/>
      <c r="Z951" s="9"/>
      <c r="AA951" s="9"/>
      <c r="AB951" s="9"/>
      <c r="AC951" s="234"/>
      <c r="AD951" s="234"/>
      <c r="AE951" s="234"/>
      <c r="AF951" s="234"/>
      <c r="AG951" s="9"/>
      <c r="AH951" s="9"/>
      <c r="AI951" s="9"/>
      <c r="AJ951" s="9"/>
      <c r="AK951" s="245"/>
      <c r="AL951" s="245"/>
      <c r="AM951" s="245"/>
      <c r="AN951" s="245"/>
      <c r="AO951" s="9"/>
      <c r="AP951" s="9"/>
      <c r="AQ951" s="9"/>
      <c r="AR951" s="9"/>
      <c r="AS951" s="9"/>
      <c r="AT951" s="9"/>
      <c r="AU951" s="9"/>
      <c r="AV951" s="9"/>
    </row>
    <row r="952">
      <c r="A952" s="253"/>
      <c r="B952" s="254"/>
      <c r="C952" s="463"/>
      <c r="D952" s="253"/>
      <c r="E952" s="254"/>
      <c r="F952" s="463"/>
      <c r="G952" s="253"/>
      <c r="H952" s="254"/>
      <c r="I952" s="463"/>
      <c r="J952" s="253"/>
      <c r="K952" s="254"/>
      <c r="L952" s="463"/>
      <c r="M952" s="253"/>
      <c r="N952" s="254"/>
      <c r="O952" s="463"/>
      <c r="P952" s="253"/>
      <c r="Q952" s="254"/>
      <c r="R952" s="463"/>
      <c r="S952" s="253"/>
      <c r="T952" s="254"/>
      <c r="U952" s="463"/>
      <c r="V952" s="253"/>
      <c r="W952" s="254"/>
      <c r="X952" s="463"/>
      <c r="Y952" s="9"/>
      <c r="Z952" s="9"/>
      <c r="AA952" s="9"/>
      <c r="AB952" s="9"/>
      <c r="AC952" s="234"/>
      <c r="AD952" s="234"/>
      <c r="AE952" s="234"/>
      <c r="AF952" s="234"/>
      <c r="AG952" s="9"/>
      <c r="AH952" s="9"/>
      <c r="AI952" s="9"/>
      <c r="AJ952" s="9"/>
      <c r="AK952" s="245"/>
      <c r="AL952" s="245"/>
      <c r="AM952" s="245"/>
      <c r="AN952" s="245"/>
      <c r="AO952" s="9"/>
      <c r="AP952" s="9"/>
      <c r="AQ952" s="9"/>
      <c r="AR952" s="9"/>
      <c r="AS952" s="9"/>
      <c r="AT952" s="9"/>
      <c r="AU952" s="9"/>
      <c r="AV952" s="9"/>
    </row>
    <row r="953">
      <c r="A953" s="253"/>
      <c r="B953" s="254"/>
      <c r="C953" s="463"/>
      <c r="D953" s="253"/>
      <c r="E953" s="254"/>
      <c r="F953" s="463"/>
      <c r="G953" s="253"/>
      <c r="H953" s="254"/>
      <c r="I953" s="463"/>
      <c r="J953" s="253"/>
      <c r="K953" s="254"/>
      <c r="L953" s="463"/>
      <c r="M953" s="253"/>
      <c r="N953" s="254"/>
      <c r="O953" s="463"/>
      <c r="P953" s="253"/>
      <c r="Q953" s="254"/>
      <c r="R953" s="463"/>
      <c r="S953" s="253"/>
      <c r="T953" s="254"/>
      <c r="U953" s="463"/>
      <c r="V953" s="253"/>
      <c r="W953" s="254"/>
      <c r="X953" s="463"/>
      <c r="Y953" s="9"/>
      <c r="Z953" s="9"/>
      <c r="AA953" s="9"/>
      <c r="AB953" s="9"/>
      <c r="AC953" s="234"/>
      <c r="AD953" s="234"/>
      <c r="AE953" s="234"/>
      <c r="AF953" s="234"/>
      <c r="AG953" s="9"/>
      <c r="AH953" s="9"/>
      <c r="AI953" s="9"/>
      <c r="AJ953" s="9"/>
      <c r="AK953" s="245"/>
      <c r="AL953" s="245"/>
      <c r="AM953" s="245"/>
      <c r="AN953" s="245"/>
      <c r="AO953" s="9"/>
      <c r="AP953" s="9"/>
      <c r="AQ953" s="9"/>
      <c r="AR953" s="9"/>
      <c r="AS953" s="9"/>
      <c r="AT953" s="9"/>
      <c r="AU953" s="9"/>
      <c r="AV953" s="9"/>
    </row>
    <row r="954">
      <c r="A954" s="253"/>
      <c r="B954" s="254"/>
      <c r="C954" s="463"/>
      <c r="D954" s="253"/>
      <c r="E954" s="254"/>
      <c r="F954" s="463"/>
      <c r="G954" s="253"/>
      <c r="H954" s="254"/>
      <c r="I954" s="463"/>
      <c r="J954" s="253"/>
      <c r="K954" s="254"/>
      <c r="L954" s="463"/>
      <c r="M954" s="253"/>
      <c r="N954" s="254"/>
      <c r="O954" s="463"/>
      <c r="P954" s="253"/>
      <c r="Q954" s="254"/>
      <c r="R954" s="463"/>
      <c r="S954" s="253"/>
      <c r="T954" s="254"/>
      <c r="U954" s="463"/>
      <c r="V954" s="253"/>
      <c r="W954" s="254"/>
      <c r="X954" s="463"/>
      <c r="Y954" s="9"/>
      <c r="Z954" s="9"/>
      <c r="AA954" s="9"/>
      <c r="AB954" s="9"/>
      <c r="AC954" s="234"/>
      <c r="AD954" s="234"/>
      <c r="AE954" s="234"/>
      <c r="AF954" s="234"/>
      <c r="AG954" s="9"/>
      <c r="AH954" s="9"/>
      <c r="AI954" s="9"/>
      <c r="AJ954" s="9"/>
      <c r="AK954" s="245"/>
      <c r="AL954" s="245"/>
      <c r="AM954" s="245"/>
      <c r="AN954" s="245"/>
      <c r="AO954" s="9"/>
      <c r="AP954" s="9"/>
      <c r="AQ954" s="9"/>
      <c r="AR954" s="9"/>
      <c r="AS954" s="9"/>
      <c r="AT954" s="9"/>
      <c r="AU954" s="9"/>
      <c r="AV954" s="9"/>
    </row>
    <row r="955">
      <c r="A955" s="253"/>
      <c r="B955" s="254"/>
      <c r="C955" s="463"/>
      <c r="D955" s="253"/>
      <c r="E955" s="254"/>
      <c r="F955" s="463"/>
      <c r="G955" s="253"/>
      <c r="H955" s="254"/>
      <c r="I955" s="463"/>
      <c r="J955" s="253"/>
      <c r="K955" s="254"/>
      <c r="L955" s="463"/>
      <c r="M955" s="253"/>
      <c r="N955" s="254"/>
      <c r="O955" s="463"/>
      <c r="P955" s="253"/>
      <c r="Q955" s="254"/>
      <c r="R955" s="463"/>
      <c r="S955" s="253"/>
      <c r="T955" s="254"/>
      <c r="U955" s="463"/>
      <c r="V955" s="253"/>
      <c r="W955" s="254"/>
      <c r="X955" s="463"/>
      <c r="Y955" s="9"/>
      <c r="Z955" s="9"/>
      <c r="AA955" s="9"/>
      <c r="AB955" s="9"/>
      <c r="AC955" s="234"/>
      <c r="AD955" s="234"/>
      <c r="AE955" s="234"/>
      <c r="AF955" s="234"/>
      <c r="AG955" s="9"/>
      <c r="AH955" s="9"/>
      <c r="AI955" s="9"/>
      <c r="AJ955" s="9"/>
      <c r="AK955" s="245"/>
      <c r="AL955" s="245"/>
      <c r="AM955" s="245"/>
      <c r="AN955" s="245"/>
      <c r="AO955" s="9"/>
      <c r="AP955" s="9"/>
      <c r="AQ955" s="9"/>
      <c r="AR955" s="9"/>
      <c r="AS955" s="9"/>
      <c r="AT955" s="9"/>
      <c r="AU955" s="9"/>
      <c r="AV955" s="9"/>
    </row>
    <row r="956">
      <c r="A956" s="253"/>
      <c r="B956" s="254"/>
      <c r="C956" s="463"/>
      <c r="D956" s="253"/>
      <c r="E956" s="254"/>
      <c r="F956" s="463"/>
      <c r="G956" s="253"/>
      <c r="H956" s="254"/>
      <c r="I956" s="463"/>
      <c r="J956" s="253"/>
      <c r="K956" s="254"/>
      <c r="L956" s="463"/>
      <c r="M956" s="253"/>
      <c r="N956" s="254"/>
      <c r="O956" s="463"/>
      <c r="P956" s="253"/>
      <c r="Q956" s="254"/>
      <c r="R956" s="463"/>
      <c r="S956" s="253"/>
      <c r="T956" s="254"/>
      <c r="U956" s="463"/>
      <c r="V956" s="253"/>
      <c r="W956" s="254"/>
      <c r="X956" s="463"/>
      <c r="Y956" s="9"/>
      <c r="Z956" s="9"/>
      <c r="AA956" s="9"/>
      <c r="AB956" s="9"/>
      <c r="AC956" s="234"/>
      <c r="AD956" s="234"/>
      <c r="AE956" s="234"/>
      <c r="AF956" s="234"/>
      <c r="AG956" s="9"/>
      <c r="AH956" s="9"/>
      <c r="AI956" s="9"/>
      <c r="AJ956" s="9"/>
      <c r="AK956" s="245"/>
      <c r="AL956" s="245"/>
      <c r="AM956" s="245"/>
      <c r="AN956" s="245"/>
      <c r="AO956" s="9"/>
      <c r="AP956" s="9"/>
      <c r="AQ956" s="9"/>
      <c r="AR956" s="9"/>
      <c r="AS956" s="9"/>
      <c r="AT956" s="9"/>
      <c r="AU956" s="9"/>
      <c r="AV956" s="9"/>
    </row>
    <row r="957">
      <c r="A957" s="253"/>
      <c r="B957" s="254"/>
      <c r="C957" s="463"/>
      <c r="D957" s="253"/>
      <c r="E957" s="254"/>
      <c r="F957" s="463"/>
      <c r="G957" s="253"/>
      <c r="H957" s="254"/>
      <c r="I957" s="463"/>
      <c r="J957" s="253"/>
      <c r="K957" s="254"/>
      <c r="L957" s="463"/>
      <c r="M957" s="253"/>
      <c r="N957" s="254"/>
      <c r="O957" s="463"/>
      <c r="P957" s="253"/>
      <c r="Q957" s="254"/>
      <c r="R957" s="463"/>
      <c r="S957" s="253"/>
      <c r="T957" s="254"/>
      <c r="U957" s="463"/>
      <c r="V957" s="253"/>
      <c r="W957" s="254"/>
      <c r="X957" s="463"/>
      <c r="Y957" s="9"/>
      <c r="Z957" s="9"/>
      <c r="AA957" s="9"/>
      <c r="AB957" s="9"/>
      <c r="AC957" s="234"/>
      <c r="AD957" s="234"/>
      <c r="AE957" s="234"/>
      <c r="AF957" s="234"/>
      <c r="AG957" s="9"/>
      <c r="AH957" s="9"/>
      <c r="AI957" s="9"/>
      <c r="AJ957" s="9"/>
      <c r="AK957" s="245"/>
      <c r="AL957" s="245"/>
      <c r="AM957" s="245"/>
      <c r="AN957" s="245"/>
      <c r="AO957" s="9"/>
      <c r="AP957" s="9"/>
      <c r="AQ957" s="9"/>
      <c r="AR957" s="9"/>
      <c r="AS957" s="9"/>
      <c r="AT957" s="9"/>
      <c r="AU957" s="9"/>
      <c r="AV957" s="9"/>
    </row>
    <row r="958">
      <c r="A958" s="253"/>
      <c r="B958" s="254"/>
      <c r="C958" s="463"/>
      <c r="D958" s="253"/>
      <c r="E958" s="254"/>
      <c r="F958" s="463"/>
      <c r="G958" s="253"/>
      <c r="H958" s="254"/>
      <c r="I958" s="463"/>
      <c r="J958" s="253"/>
      <c r="K958" s="254"/>
      <c r="L958" s="463"/>
      <c r="M958" s="253"/>
      <c r="N958" s="254"/>
      <c r="O958" s="463"/>
      <c r="P958" s="253"/>
      <c r="Q958" s="254"/>
      <c r="R958" s="463"/>
      <c r="S958" s="253"/>
      <c r="T958" s="254"/>
      <c r="U958" s="463"/>
      <c r="V958" s="253"/>
      <c r="W958" s="254"/>
      <c r="X958" s="463"/>
      <c r="Y958" s="9"/>
      <c r="Z958" s="9"/>
      <c r="AA958" s="9"/>
      <c r="AB958" s="9"/>
      <c r="AC958" s="234"/>
      <c r="AD958" s="234"/>
      <c r="AE958" s="234"/>
      <c r="AF958" s="234"/>
      <c r="AG958" s="9"/>
      <c r="AH958" s="9"/>
      <c r="AI958" s="9"/>
      <c r="AJ958" s="9"/>
      <c r="AK958" s="245"/>
      <c r="AL958" s="245"/>
      <c r="AM958" s="245"/>
      <c r="AN958" s="245"/>
      <c r="AO958" s="9"/>
      <c r="AP958" s="9"/>
      <c r="AQ958" s="9"/>
      <c r="AR958" s="9"/>
      <c r="AS958" s="9"/>
      <c r="AT958" s="9"/>
      <c r="AU958" s="9"/>
      <c r="AV958" s="9"/>
    </row>
    <row r="959">
      <c r="A959" s="253"/>
      <c r="B959" s="254"/>
      <c r="C959" s="463"/>
      <c r="D959" s="253"/>
      <c r="E959" s="254"/>
      <c r="F959" s="463"/>
      <c r="G959" s="253"/>
      <c r="H959" s="254"/>
      <c r="I959" s="463"/>
      <c r="J959" s="253"/>
      <c r="K959" s="254"/>
      <c r="L959" s="463"/>
      <c r="M959" s="253"/>
      <c r="N959" s="254"/>
      <c r="O959" s="463"/>
      <c r="P959" s="253"/>
      <c r="Q959" s="254"/>
      <c r="R959" s="463"/>
      <c r="S959" s="253"/>
      <c r="T959" s="254"/>
      <c r="U959" s="463"/>
      <c r="V959" s="253"/>
      <c r="W959" s="254"/>
      <c r="X959" s="463"/>
      <c r="Y959" s="9"/>
      <c r="Z959" s="9"/>
      <c r="AA959" s="9"/>
      <c r="AB959" s="9"/>
      <c r="AC959" s="234"/>
      <c r="AD959" s="234"/>
      <c r="AE959" s="234"/>
      <c r="AF959" s="234"/>
      <c r="AG959" s="9"/>
      <c r="AH959" s="9"/>
      <c r="AI959" s="9"/>
      <c r="AJ959" s="9"/>
      <c r="AK959" s="245"/>
      <c r="AL959" s="245"/>
      <c r="AM959" s="245"/>
      <c r="AN959" s="245"/>
      <c r="AO959" s="9"/>
      <c r="AP959" s="9"/>
      <c r="AQ959" s="9"/>
      <c r="AR959" s="9"/>
      <c r="AS959" s="9"/>
      <c r="AT959" s="9"/>
      <c r="AU959" s="9"/>
      <c r="AV959" s="9"/>
    </row>
    <row r="960">
      <c r="A960" s="253"/>
      <c r="B960" s="254"/>
      <c r="C960" s="463"/>
      <c r="D960" s="253"/>
      <c r="E960" s="254"/>
      <c r="F960" s="463"/>
      <c r="G960" s="253"/>
      <c r="H960" s="254"/>
      <c r="I960" s="463"/>
      <c r="J960" s="253"/>
      <c r="K960" s="254"/>
      <c r="L960" s="463"/>
      <c r="M960" s="253"/>
      <c r="N960" s="254"/>
      <c r="O960" s="463"/>
      <c r="P960" s="253"/>
      <c r="Q960" s="254"/>
      <c r="R960" s="463"/>
      <c r="S960" s="253"/>
      <c r="T960" s="254"/>
      <c r="U960" s="463"/>
      <c r="V960" s="253"/>
      <c r="W960" s="254"/>
      <c r="X960" s="463"/>
      <c r="Y960" s="9"/>
      <c r="Z960" s="9"/>
      <c r="AA960" s="9"/>
      <c r="AB960" s="9"/>
      <c r="AC960" s="234"/>
      <c r="AD960" s="234"/>
      <c r="AE960" s="234"/>
      <c r="AF960" s="234"/>
      <c r="AG960" s="9"/>
      <c r="AH960" s="9"/>
      <c r="AI960" s="9"/>
      <c r="AJ960" s="9"/>
      <c r="AK960" s="245"/>
      <c r="AL960" s="245"/>
      <c r="AM960" s="245"/>
      <c r="AN960" s="245"/>
      <c r="AO960" s="9"/>
      <c r="AP960" s="9"/>
      <c r="AQ960" s="9"/>
      <c r="AR960" s="9"/>
      <c r="AS960" s="9"/>
      <c r="AT960" s="9"/>
      <c r="AU960" s="9"/>
      <c r="AV960" s="9"/>
    </row>
    <row r="961">
      <c r="A961" s="253"/>
      <c r="B961" s="254"/>
      <c r="C961" s="463"/>
      <c r="D961" s="253"/>
      <c r="E961" s="254"/>
      <c r="F961" s="463"/>
      <c r="G961" s="253"/>
      <c r="H961" s="254"/>
      <c r="I961" s="463"/>
      <c r="J961" s="253"/>
      <c r="K961" s="254"/>
      <c r="L961" s="463"/>
      <c r="M961" s="253"/>
      <c r="N961" s="254"/>
      <c r="O961" s="463"/>
      <c r="P961" s="253"/>
      <c r="Q961" s="254"/>
      <c r="R961" s="463"/>
      <c r="S961" s="253"/>
      <c r="T961" s="254"/>
      <c r="U961" s="463"/>
      <c r="V961" s="253"/>
      <c r="W961" s="254"/>
      <c r="X961" s="463"/>
      <c r="Y961" s="9"/>
      <c r="Z961" s="9"/>
      <c r="AA961" s="9"/>
      <c r="AB961" s="9"/>
      <c r="AC961" s="234"/>
      <c r="AD961" s="234"/>
      <c r="AE961" s="234"/>
      <c r="AF961" s="234"/>
      <c r="AG961" s="9"/>
      <c r="AH961" s="9"/>
      <c r="AI961" s="9"/>
      <c r="AJ961" s="9"/>
      <c r="AK961" s="245"/>
      <c r="AL961" s="245"/>
      <c r="AM961" s="245"/>
      <c r="AN961" s="245"/>
      <c r="AO961" s="9"/>
      <c r="AP961" s="9"/>
      <c r="AQ961" s="9"/>
      <c r="AR961" s="9"/>
      <c r="AS961" s="9"/>
      <c r="AT961" s="9"/>
      <c r="AU961" s="9"/>
      <c r="AV961" s="9"/>
    </row>
    <row r="962">
      <c r="A962" s="253"/>
      <c r="B962" s="254"/>
      <c r="C962" s="463"/>
      <c r="D962" s="253"/>
      <c r="E962" s="254"/>
      <c r="F962" s="463"/>
      <c r="G962" s="253"/>
      <c r="H962" s="254"/>
      <c r="I962" s="463"/>
      <c r="J962" s="253"/>
      <c r="K962" s="254"/>
      <c r="L962" s="463"/>
      <c r="M962" s="253"/>
      <c r="N962" s="254"/>
      <c r="O962" s="463"/>
      <c r="P962" s="253"/>
      <c r="Q962" s="254"/>
      <c r="R962" s="463"/>
      <c r="S962" s="253"/>
      <c r="T962" s="254"/>
      <c r="U962" s="463"/>
      <c r="V962" s="253"/>
      <c r="W962" s="254"/>
      <c r="X962" s="463"/>
      <c r="Y962" s="9"/>
      <c r="Z962" s="9"/>
      <c r="AA962" s="9"/>
      <c r="AB962" s="9"/>
      <c r="AC962" s="234"/>
      <c r="AD962" s="234"/>
      <c r="AE962" s="234"/>
      <c r="AF962" s="234"/>
      <c r="AG962" s="9"/>
      <c r="AH962" s="9"/>
      <c r="AI962" s="9"/>
      <c r="AJ962" s="9"/>
      <c r="AK962" s="245"/>
      <c r="AL962" s="245"/>
      <c r="AM962" s="245"/>
      <c r="AN962" s="245"/>
      <c r="AO962" s="9"/>
      <c r="AP962" s="9"/>
      <c r="AQ962" s="9"/>
      <c r="AR962" s="9"/>
      <c r="AS962" s="9"/>
      <c r="AT962" s="9"/>
      <c r="AU962" s="9"/>
      <c r="AV962" s="9"/>
    </row>
    <row r="963">
      <c r="A963" s="253"/>
      <c r="B963" s="254"/>
      <c r="C963" s="463"/>
      <c r="D963" s="253"/>
      <c r="E963" s="254"/>
      <c r="F963" s="463"/>
      <c r="G963" s="253"/>
      <c r="H963" s="254"/>
      <c r="I963" s="463"/>
      <c r="J963" s="253"/>
      <c r="K963" s="254"/>
      <c r="L963" s="463"/>
      <c r="M963" s="253"/>
      <c r="N963" s="254"/>
      <c r="O963" s="463"/>
      <c r="P963" s="253"/>
      <c r="Q963" s="254"/>
      <c r="R963" s="463"/>
      <c r="S963" s="253"/>
      <c r="T963" s="254"/>
      <c r="U963" s="463"/>
      <c r="V963" s="253"/>
      <c r="W963" s="254"/>
      <c r="X963" s="463"/>
      <c r="Y963" s="9"/>
      <c r="Z963" s="9"/>
      <c r="AA963" s="9"/>
      <c r="AB963" s="9"/>
      <c r="AC963" s="234"/>
      <c r="AD963" s="234"/>
      <c r="AE963" s="234"/>
      <c r="AF963" s="234"/>
      <c r="AG963" s="9"/>
      <c r="AH963" s="9"/>
      <c r="AI963" s="9"/>
      <c r="AJ963" s="9"/>
      <c r="AK963" s="245"/>
      <c r="AL963" s="245"/>
      <c r="AM963" s="245"/>
      <c r="AN963" s="245"/>
      <c r="AO963" s="9"/>
      <c r="AP963" s="9"/>
      <c r="AQ963" s="9"/>
      <c r="AR963" s="9"/>
      <c r="AS963" s="9"/>
      <c r="AT963" s="9"/>
      <c r="AU963" s="9"/>
      <c r="AV963" s="9"/>
    </row>
    <row r="964">
      <c r="A964" s="253"/>
      <c r="B964" s="254"/>
      <c r="C964" s="463"/>
      <c r="D964" s="253"/>
      <c r="E964" s="254"/>
      <c r="F964" s="463"/>
      <c r="G964" s="253"/>
      <c r="H964" s="254"/>
      <c r="I964" s="463"/>
      <c r="J964" s="253"/>
      <c r="K964" s="254"/>
      <c r="L964" s="463"/>
      <c r="M964" s="253"/>
      <c r="N964" s="254"/>
      <c r="O964" s="463"/>
      <c r="P964" s="253"/>
      <c r="Q964" s="254"/>
      <c r="R964" s="463"/>
      <c r="S964" s="253"/>
      <c r="T964" s="254"/>
      <c r="U964" s="463"/>
      <c r="V964" s="253"/>
      <c r="W964" s="254"/>
      <c r="X964" s="463"/>
      <c r="Y964" s="9"/>
      <c r="Z964" s="9"/>
      <c r="AA964" s="9"/>
      <c r="AB964" s="9"/>
      <c r="AC964" s="234"/>
      <c r="AD964" s="234"/>
      <c r="AE964" s="234"/>
      <c r="AF964" s="234"/>
      <c r="AG964" s="9"/>
      <c r="AH964" s="9"/>
      <c r="AI964" s="9"/>
      <c r="AJ964" s="9"/>
      <c r="AK964" s="245"/>
      <c r="AL964" s="245"/>
      <c r="AM964" s="245"/>
      <c r="AN964" s="245"/>
      <c r="AO964" s="9"/>
      <c r="AP964" s="9"/>
      <c r="AQ964" s="9"/>
      <c r="AR964" s="9"/>
      <c r="AS964" s="9"/>
      <c r="AT964" s="9"/>
      <c r="AU964" s="9"/>
      <c r="AV964" s="9"/>
    </row>
    <row r="965">
      <c r="A965" s="253"/>
      <c r="B965" s="254"/>
      <c r="C965" s="463"/>
      <c r="D965" s="253"/>
      <c r="E965" s="254"/>
      <c r="F965" s="463"/>
      <c r="G965" s="253"/>
      <c r="H965" s="254"/>
      <c r="I965" s="463"/>
      <c r="J965" s="253"/>
      <c r="K965" s="254"/>
      <c r="L965" s="463"/>
      <c r="M965" s="253"/>
      <c r="N965" s="254"/>
      <c r="O965" s="463"/>
      <c r="P965" s="253"/>
      <c r="Q965" s="254"/>
      <c r="R965" s="463"/>
      <c r="S965" s="253"/>
      <c r="T965" s="254"/>
      <c r="U965" s="463"/>
      <c r="V965" s="253"/>
      <c r="W965" s="254"/>
      <c r="X965" s="463"/>
      <c r="Y965" s="9"/>
      <c r="Z965" s="9"/>
      <c r="AA965" s="9"/>
      <c r="AB965" s="9"/>
      <c r="AC965" s="234"/>
      <c r="AD965" s="234"/>
      <c r="AE965" s="234"/>
      <c r="AF965" s="234"/>
      <c r="AG965" s="9"/>
      <c r="AH965" s="9"/>
      <c r="AI965" s="9"/>
      <c r="AJ965" s="9"/>
      <c r="AK965" s="245"/>
      <c r="AL965" s="245"/>
      <c r="AM965" s="245"/>
      <c r="AN965" s="245"/>
      <c r="AO965" s="9"/>
      <c r="AP965" s="9"/>
      <c r="AQ965" s="9"/>
      <c r="AR965" s="9"/>
      <c r="AS965" s="9"/>
      <c r="AT965" s="9"/>
      <c r="AU965" s="9"/>
      <c r="AV965" s="9"/>
    </row>
    <row r="966">
      <c r="A966" s="253"/>
      <c r="B966" s="254"/>
      <c r="C966" s="463"/>
      <c r="D966" s="253"/>
      <c r="E966" s="254"/>
      <c r="F966" s="463"/>
      <c r="G966" s="253"/>
      <c r="H966" s="254"/>
      <c r="I966" s="463"/>
      <c r="J966" s="253"/>
      <c r="K966" s="254"/>
      <c r="L966" s="463"/>
      <c r="M966" s="253"/>
      <c r="N966" s="254"/>
      <c r="O966" s="463"/>
      <c r="P966" s="253"/>
      <c r="Q966" s="254"/>
      <c r="R966" s="463"/>
      <c r="S966" s="253"/>
      <c r="T966" s="254"/>
      <c r="U966" s="463"/>
      <c r="V966" s="253"/>
      <c r="W966" s="254"/>
      <c r="X966" s="463"/>
      <c r="Y966" s="9"/>
      <c r="Z966" s="9"/>
      <c r="AA966" s="9"/>
      <c r="AB966" s="9"/>
      <c r="AC966" s="234"/>
      <c r="AD966" s="234"/>
      <c r="AE966" s="234"/>
      <c r="AF966" s="234"/>
      <c r="AG966" s="9"/>
      <c r="AH966" s="9"/>
      <c r="AI966" s="9"/>
      <c r="AJ966" s="9"/>
      <c r="AK966" s="245"/>
      <c r="AL966" s="245"/>
      <c r="AM966" s="245"/>
      <c r="AN966" s="245"/>
      <c r="AO966" s="9"/>
      <c r="AP966" s="9"/>
      <c r="AQ966" s="9"/>
      <c r="AR966" s="9"/>
      <c r="AS966" s="9"/>
      <c r="AT966" s="9"/>
      <c r="AU966" s="9"/>
      <c r="AV966" s="9"/>
    </row>
    <row r="967">
      <c r="A967" s="253"/>
      <c r="B967" s="254"/>
      <c r="C967" s="463"/>
      <c r="D967" s="253"/>
      <c r="E967" s="254"/>
      <c r="F967" s="463"/>
      <c r="G967" s="253"/>
      <c r="H967" s="254"/>
      <c r="I967" s="463"/>
      <c r="J967" s="253"/>
      <c r="K967" s="254"/>
      <c r="L967" s="463"/>
      <c r="M967" s="253"/>
      <c r="N967" s="254"/>
      <c r="O967" s="463"/>
      <c r="P967" s="253"/>
      <c r="Q967" s="254"/>
      <c r="R967" s="463"/>
      <c r="S967" s="253"/>
      <c r="T967" s="254"/>
      <c r="U967" s="463"/>
      <c r="V967" s="253"/>
      <c r="W967" s="254"/>
      <c r="X967" s="463"/>
      <c r="Y967" s="9"/>
      <c r="Z967" s="9"/>
      <c r="AA967" s="9"/>
      <c r="AB967" s="9"/>
      <c r="AC967" s="234"/>
      <c r="AD967" s="234"/>
      <c r="AE967" s="234"/>
      <c r="AF967" s="234"/>
      <c r="AG967" s="9"/>
      <c r="AH967" s="9"/>
      <c r="AI967" s="9"/>
      <c r="AJ967" s="9"/>
      <c r="AK967" s="245"/>
      <c r="AL967" s="245"/>
      <c r="AM967" s="245"/>
      <c r="AN967" s="245"/>
      <c r="AO967" s="9"/>
      <c r="AP967" s="9"/>
      <c r="AQ967" s="9"/>
      <c r="AR967" s="9"/>
      <c r="AS967" s="9"/>
      <c r="AT967" s="9"/>
      <c r="AU967" s="9"/>
      <c r="AV967" s="9"/>
    </row>
    <row r="968">
      <c r="A968" s="253"/>
      <c r="B968" s="254"/>
      <c r="C968" s="463"/>
      <c r="D968" s="253"/>
      <c r="E968" s="254"/>
      <c r="F968" s="463"/>
      <c r="G968" s="253"/>
      <c r="H968" s="254"/>
      <c r="I968" s="463"/>
      <c r="J968" s="253"/>
      <c r="K968" s="254"/>
      <c r="L968" s="463"/>
      <c r="M968" s="253"/>
      <c r="N968" s="254"/>
      <c r="O968" s="463"/>
      <c r="P968" s="253"/>
      <c r="Q968" s="254"/>
      <c r="R968" s="463"/>
      <c r="S968" s="253"/>
      <c r="T968" s="254"/>
      <c r="U968" s="463"/>
      <c r="V968" s="253"/>
      <c r="W968" s="254"/>
      <c r="X968" s="463"/>
      <c r="Y968" s="9"/>
      <c r="Z968" s="9"/>
      <c r="AA968" s="9"/>
      <c r="AB968" s="9"/>
      <c r="AC968" s="234"/>
      <c r="AD968" s="234"/>
      <c r="AE968" s="234"/>
      <c r="AF968" s="234"/>
      <c r="AG968" s="9"/>
      <c r="AH968" s="9"/>
      <c r="AI968" s="9"/>
      <c r="AJ968" s="9"/>
      <c r="AK968" s="245"/>
      <c r="AL968" s="245"/>
      <c r="AM968" s="245"/>
      <c r="AN968" s="245"/>
      <c r="AO968" s="9"/>
      <c r="AP968" s="9"/>
      <c r="AQ968" s="9"/>
      <c r="AR968" s="9"/>
      <c r="AS968" s="9"/>
      <c r="AT968" s="9"/>
      <c r="AU968" s="9"/>
      <c r="AV968" s="9"/>
    </row>
    <row r="969">
      <c r="A969" s="253"/>
      <c r="B969" s="254"/>
      <c r="C969" s="463"/>
      <c r="D969" s="253"/>
      <c r="E969" s="254"/>
      <c r="F969" s="463"/>
      <c r="G969" s="253"/>
      <c r="H969" s="254"/>
      <c r="I969" s="463"/>
      <c r="J969" s="253"/>
      <c r="K969" s="254"/>
      <c r="L969" s="463"/>
      <c r="M969" s="253"/>
      <c r="N969" s="254"/>
      <c r="O969" s="463"/>
      <c r="P969" s="253"/>
      <c r="Q969" s="254"/>
      <c r="R969" s="463"/>
      <c r="S969" s="253"/>
      <c r="T969" s="254"/>
      <c r="U969" s="463"/>
      <c r="V969" s="253"/>
      <c r="W969" s="254"/>
      <c r="X969" s="463"/>
      <c r="Y969" s="9"/>
      <c r="Z969" s="9"/>
      <c r="AA969" s="9"/>
      <c r="AB969" s="9"/>
      <c r="AC969" s="234"/>
      <c r="AD969" s="234"/>
      <c r="AE969" s="234"/>
      <c r="AF969" s="234"/>
      <c r="AG969" s="9"/>
      <c r="AH969" s="9"/>
      <c r="AI969" s="9"/>
      <c r="AJ969" s="9"/>
      <c r="AK969" s="245"/>
      <c r="AL969" s="245"/>
      <c r="AM969" s="245"/>
      <c r="AN969" s="245"/>
      <c r="AO969" s="9"/>
      <c r="AP969" s="9"/>
      <c r="AQ969" s="9"/>
      <c r="AR969" s="9"/>
      <c r="AS969" s="9"/>
      <c r="AT969" s="9"/>
      <c r="AU969" s="9"/>
      <c r="AV969" s="9"/>
    </row>
    <row r="970">
      <c r="A970" s="253"/>
      <c r="B970" s="254"/>
      <c r="C970" s="463"/>
      <c r="D970" s="253"/>
      <c r="E970" s="254"/>
      <c r="F970" s="463"/>
      <c r="G970" s="253"/>
      <c r="H970" s="254"/>
      <c r="I970" s="463"/>
      <c r="J970" s="253"/>
      <c r="K970" s="254"/>
      <c r="L970" s="463"/>
      <c r="M970" s="253"/>
      <c r="N970" s="254"/>
      <c r="O970" s="463"/>
      <c r="P970" s="253"/>
      <c r="Q970" s="254"/>
      <c r="R970" s="463"/>
      <c r="S970" s="253"/>
      <c r="T970" s="254"/>
      <c r="U970" s="463"/>
      <c r="V970" s="253"/>
      <c r="W970" s="254"/>
      <c r="X970" s="463"/>
      <c r="Y970" s="9"/>
      <c r="Z970" s="9"/>
      <c r="AA970" s="9"/>
      <c r="AB970" s="9"/>
      <c r="AC970" s="234"/>
      <c r="AD970" s="234"/>
      <c r="AE970" s="234"/>
      <c r="AF970" s="234"/>
      <c r="AG970" s="9"/>
      <c r="AH970" s="9"/>
      <c r="AI970" s="9"/>
      <c r="AJ970" s="9"/>
      <c r="AK970" s="245"/>
      <c r="AL970" s="245"/>
      <c r="AM970" s="245"/>
      <c r="AN970" s="245"/>
      <c r="AO970" s="9"/>
      <c r="AP970" s="9"/>
      <c r="AQ970" s="9"/>
      <c r="AR970" s="9"/>
      <c r="AS970" s="9"/>
      <c r="AT970" s="9"/>
      <c r="AU970" s="9"/>
      <c r="AV970" s="9"/>
    </row>
    <row r="971">
      <c r="A971" s="253"/>
      <c r="B971" s="254"/>
      <c r="C971" s="463"/>
      <c r="D971" s="253"/>
      <c r="E971" s="254"/>
      <c r="F971" s="463"/>
      <c r="G971" s="253"/>
      <c r="H971" s="254"/>
      <c r="I971" s="463"/>
      <c r="J971" s="253"/>
      <c r="K971" s="254"/>
      <c r="L971" s="463"/>
      <c r="M971" s="253"/>
      <c r="N971" s="254"/>
      <c r="O971" s="463"/>
      <c r="P971" s="253"/>
      <c r="Q971" s="254"/>
      <c r="R971" s="463"/>
      <c r="S971" s="253"/>
      <c r="T971" s="254"/>
      <c r="U971" s="463"/>
      <c r="V971" s="253"/>
      <c r="W971" s="254"/>
      <c r="X971" s="463"/>
      <c r="Y971" s="9"/>
      <c r="Z971" s="9"/>
      <c r="AA971" s="9"/>
      <c r="AB971" s="9"/>
      <c r="AC971" s="234"/>
      <c r="AD971" s="234"/>
      <c r="AE971" s="234"/>
      <c r="AF971" s="234"/>
      <c r="AG971" s="9"/>
      <c r="AH971" s="9"/>
      <c r="AI971" s="9"/>
      <c r="AJ971" s="9"/>
      <c r="AK971" s="245"/>
      <c r="AL971" s="245"/>
      <c r="AM971" s="245"/>
      <c r="AN971" s="245"/>
      <c r="AO971" s="9"/>
      <c r="AP971" s="9"/>
      <c r="AQ971" s="9"/>
      <c r="AR971" s="9"/>
      <c r="AS971" s="9"/>
      <c r="AT971" s="9"/>
      <c r="AU971" s="9"/>
      <c r="AV971" s="9"/>
    </row>
    <row r="972">
      <c r="A972" s="253"/>
      <c r="B972" s="254"/>
      <c r="C972" s="463"/>
      <c r="D972" s="253"/>
      <c r="E972" s="254"/>
      <c r="F972" s="463"/>
      <c r="G972" s="253"/>
      <c r="H972" s="254"/>
      <c r="I972" s="463"/>
      <c r="J972" s="253"/>
      <c r="K972" s="254"/>
      <c r="L972" s="463"/>
      <c r="M972" s="253"/>
      <c r="N972" s="254"/>
      <c r="O972" s="463"/>
      <c r="P972" s="253"/>
      <c r="Q972" s="254"/>
      <c r="R972" s="463"/>
      <c r="S972" s="253"/>
      <c r="T972" s="254"/>
      <c r="U972" s="463"/>
      <c r="V972" s="253"/>
      <c r="W972" s="254"/>
      <c r="X972" s="463"/>
      <c r="Y972" s="9"/>
      <c r="Z972" s="9"/>
      <c r="AA972" s="9"/>
      <c r="AB972" s="9"/>
      <c r="AC972" s="234"/>
      <c r="AD972" s="234"/>
      <c r="AE972" s="234"/>
      <c r="AF972" s="234"/>
      <c r="AG972" s="9"/>
      <c r="AH972" s="9"/>
      <c r="AI972" s="9"/>
      <c r="AJ972" s="9"/>
      <c r="AK972" s="245"/>
      <c r="AL972" s="245"/>
      <c r="AM972" s="245"/>
      <c r="AN972" s="245"/>
      <c r="AO972" s="9"/>
      <c r="AP972" s="9"/>
      <c r="AQ972" s="9"/>
      <c r="AR972" s="9"/>
      <c r="AS972" s="9"/>
      <c r="AT972" s="9"/>
      <c r="AU972" s="9"/>
      <c r="AV972" s="9"/>
    </row>
    <row r="973">
      <c r="A973" s="253"/>
      <c r="B973" s="254"/>
      <c r="C973" s="463"/>
      <c r="D973" s="253"/>
      <c r="E973" s="254"/>
      <c r="F973" s="463"/>
      <c r="G973" s="253"/>
      <c r="H973" s="254"/>
      <c r="I973" s="463"/>
      <c r="J973" s="253"/>
      <c r="K973" s="254"/>
      <c r="L973" s="463"/>
      <c r="M973" s="253"/>
      <c r="N973" s="254"/>
      <c r="O973" s="463"/>
      <c r="P973" s="253"/>
      <c r="Q973" s="254"/>
      <c r="R973" s="463"/>
      <c r="S973" s="253"/>
      <c r="T973" s="254"/>
      <c r="U973" s="463"/>
      <c r="V973" s="253"/>
      <c r="W973" s="254"/>
      <c r="X973" s="463"/>
      <c r="Y973" s="9"/>
      <c r="Z973" s="9"/>
      <c r="AA973" s="9"/>
      <c r="AB973" s="9"/>
      <c r="AC973" s="234"/>
      <c r="AD973" s="234"/>
      <c r="AE973" s="234"/>
      <c r="AF973" s="234"/>
      <c r="AG973" s="9"/>
      <c r="AH973" s="9"/>
      <c r="AI973" s="9"/>
      <c r="AJ973" s="9"/>
      <c r="AK973" s="245"/>
      <c r="AL973" s="245"/>
      <c r="AM973" s="245"/>
      <c r="AN973" s="245"/>
      <c r="AO973" s="9"/>
      <c r="AP973" s="9"/>
      <c r="AQ973" s="9"/>
      <c r="AR973" s="9"/>
      <c r="AS973" s="9"/>
      <c r="AT973" s="9"/>
      <c r="AU973" s="9"/>
      <c r="AV973" s="9"/>
    </row>
    <row r="974">
      <c r="A974" s="253"/>
      <c r="B974" s="254"/>
      <c r="C974" s="463"/>
      <c r="D974" s="253"/>
      <c r="E974" s="254"/>
      <c r="F974" s="463"/>
      <c r="G974" s="253"/>
      <c r="H974" s="254"/>
      <c r="I974" s="463"/>
      <c r="J974" s="253"/>
      <c r="K974" s="254"/>
      <c r="L974" s="463"/>
      <c r="M974" s="253"/>
      <c r="N974" s="254"/>
      <c r="O974" s="463"/>
      <c r="P974" s="253"/>
      <c r="Q974" s="254"/>
      <c r="R974" s="463"/>
      <c r="S974" s="253"/>
      <c r="T974" s="254"/>
      <c r="U974" s="463"/>
      <c r="V974" s="253"/>
      <c r="W974" s="254"/>
      <c r="X974" s="463"/>
      <c r="Y974" s="9"/>
      <c r="Z974" s="9"/>
      <c r="AA974" s="9"/>
      <c r="AB974" s="9"/>
      <c r="AC974" s="234"/>
      <c r="AD974" s="234"/>
      <c r="AE974" s="234"/>
      <c r="AF974" s="234"/>
      <c r="AG974" s="9"/>
      <c r="AH974" s="9"/>
      <c r="AI974" s="9"/>
      <c r="AJ974" s="9"/>
      <c r="AK974" s="245"/>
      <c r="AL974" s="245"/>
      <c r="AM974" s="245"/>
      <c r="AN974" s="245"/>
      <c r="AO974" s="9"/>
      <c r="AP974" s="9"/>
      <c r="AQ974" s="9"/>
      <c r="AR974" s="9"/>
      <c r="AS974" s="9"/>
      <c r="AT974" s="9"/>
      <c r="AU974" s="9"/>
      <c r="AV974" s="9"/>
    </row>
    <row r="975">
      <c r="A975" s="253"/>
      <c r="B975" s="254"/>
      <c r="C975" s="463"/>
      <c r="D975" s="253"/>
      <c r="E975" s="254"/>
      <c r="F975" s="463"/>
      <c r="G975" s="253"/>
      <c r="H975" s="254"/>
      <c r="I975" s="463"/>
      <c r="J975" s="253"/>
      <c r="K975" s="254"/>
      <c r="L975" s="463"/>
      <c r="M975" s="253"/>
      <c r="N975" s="254"/>
      <c r="O975" s="463"/>
      <c r="P975" s="253"/>
      <c r="Q975" s="254"/>
      <c r="R975" s="463"/>
      <c r="S975" s="253"/>
      <c r="T975" s="254"/>
      <c r="U975" s="463"/>
      <c r="V975" s="253"/>
      <c r="W975" s="254"/>
      <c r="X975" s="463"/>
      <c r="Y975" s="9"/>
      <c r="Z975" s="9"/>
      <c r="AA975" s="9"/>
      <c r="AB975" s="9"/>
      <c r="AC975" s="234"/>
      <c r="AD975" s="234"/>
      <c r="AE975" s="234"/>
      <c r="AF975" s="234"/>
      <c r="AG975" s="9"/>
      <c r="AH975" s="9"/>
      <c r="AI975" s="9"/>
      <c r="AJ975" s="9"/>
      <c r="AK975" s="245"/>
      <c r="AL975" s="245"/>
      <c r="AM975" s="245"/>
      <c r="AN975" s="245"/>
      <c r="AO975" s="9"/>
      <c r="AP975" s="9"/>
      <c r="AQ975" s="9"/>
      <c r="AR975" s="9"/>
      <c r="AS975" s="9"/>
      <c r="AT975" s="9"/>
      <c r="AU975" s="9"/>
      <c r="AV975" s="9"/>
    </row>
    <row r="976">
      <c r="A976" s="253"/>
      <c r="B976" s="254"/>
      <c r="C976" s="463"/>
      <c r="D976" s="253"/>
      <c r="E976" s="254"/>
      <c r="F976" s="463"/>
      <c r="G976" s="253"/>
      <c r="H976" s="254"/>
      <c r="I976" s="463"/>
      <c r="J976" s="253"/>
      <c r="K976" s="254"/>
      <c r="L976" s="463"/>
      <c r="M976" s="253"/>
      <c r="N976" s="254"/>
      <c r="O976" s="463"/>
      <c r="P976" s="253"/>
      <c r="Q976" s="254"/>
      <c r="R976" s="463"/>
      <c r="S976" s="253"/>
      <c r="T976" s="254"/>
      <c r="U976" s="463"/>
      <c r="V976" s="253"/>
      <c r="W976" s="254"/>
      <c r="X976" s="463"/>
      <c r="Y976" s="9"/>
      <c r="Z976" s="9"/>
      <c r="AA976" s="9"/>
      <c r="AB976" s="9"/>
      <c r="AC976" s="234"/>
      <c r="AD976" s="234"/>
      <c r="AE976" s="234"/>
      <c r="AF976" s="234"/>
      <c r="AG976" s="9"/>
      <c r="AH976" s="9"/>
      <c r="AI976" s="9"/>
      <c r="AJ976" s="9"/>
      <c r="AK976" s="245"/>
      <c r="AL976" s="245"/>
      <c r="AM976" s="245"/>
      <c r="AN976" s="245"/>
      <c r="AO976" s="9"/>
      <c r="AP976" s="9"/>
      <c r="AQ976" s="9"/>
      <c r="AR976" s="9"/>
      <c r="AS976" s="9"/>
      <c r="AT976" s="9"/>
      <c r="AU976" s="9"/>
      <c r="AV976" s="9"/>
    </row>
    <row r="977">
      <c r="A977" s="253"/>
      <c r="B977" s="254"/>
      <c r="C977" s="463"/>
      <c r="D977" s="253"/>
      <c r="E977" s="254"/>
      <c r="F977" s="463"/>
      <c r="G977" s="253"/>
      <c r="H977" s="254"/>
      <c r="I977" s="463"/>
      <c r="J977" s="253"/>
      <c r="K977" s="254"/>
      <c r="L977" s="463"/>
      <c r="M977" s="253"/>
      <c r="N977" s="254"/>
      <c r="O977" s="463"/>
      <c r="P977" s="253"/>
      <c r="Q977" s="254"/>
      <c r="R977" s="463"/>
      <c r="S977" s="253"/>
      <c r="T977" s="254"/>
      <c r="U977" s="463"/>
      <c r="V977" s="253"/>
      <c r="W977" s="254"/>
      <c r="X977" s="463"/>
      <c r="Y977" s="9"/>
      <c r="Z977" s="9"/>
      <c r="AA977" s="9"/>
      <c r="AB977" s="9"/>
      <c r="AC977" s="234"/>
      <c r="AD977" s="234"/>
      <c r="AE977" s="234"/>
      <c r="AF977" s="234"/>
      <c r="AG977" s="9"/>
      <c r="AH977" s="9"/>
      <c r="AI977" s="9"/>
      <c r="AJ977" s="9"/>
      <c r="AK977" s="245"/>
      <c r="AL977" s="245"/>
      <c r="AM977" s="245"/>
      <c r="AN977" s="245"/>
      <c r="AO977" s="9"/>
      <c r="AP977" s="9"/>
      <c r="AQ977" s="9"/>
      <c r="AR977" s="9"/>
      <c r="AS977" s="9"/>
      <c r="AT977" s="9"/>
      <c r="AU977" s="9"/>
      <c r="AV977" s="9"/>
    </row>
    <row r="978">
      <c r="A978" s="253"/>
      <c r="B978" s="254"/>
      <c r="C978" s="463"/>
      <c r="D978" s="253"/>
      <c r="E978" s="254"/>
      <c r="F978" s="463"/>
      <c r="G978" s="253"/>
      <c r="H978" s="254"/>
      <c r="I978" s="463"/>
      <c r="J978" s="253"/>
      <c r="K978" s="254"/>
      <c r="L978" s="463"/>
      <c r="M978" s="253"/>
      <c r="N978" s="254"/>
      <c r="O978" s="463"/>
      <c r="P978" s="253"/>
      <c r="Q978" s="254"/>
      <c r="R978" s="463"/>
      <c r="S978" s="253"/>
      <c r="T978" s="254"/>
      <c r="U978" s="463"/>
      <c r="V978" s="253"/>
      <c r="W978" s="254"/>
      <c r="X978" s="463"/>
      <c r="Y978" s="9"/>
      <c r="Z978" s="9"/>
      <c r="AA978" s="9"/>
      <c r="AB978" s="9"/>
      <c r="AC978" s="234"/>
      <c r="AD978" s="234"/>
      <c r="AE978" s="234"/>
      <c r="AF978" s="234"/>
      <c r="AG978" s="9"/>
      <c r="AH978" s="9"/>
      <c r="AI978" s="9"/>
      <c r="AJ978" s="9"/>
      <c r="AK978" s="245"/>
      <c r="AL978" s="245"/>
      <c r="AM978" s="245"/>
      <c r="AN978" s="245"/>
      <c r="AO978" s="9"/>
      <c r="AP978" s="9"/>
      <c r="AQ978" s="9"/>
      <c r="AR978" s="9"/>
      <c r="AS978" s="9"/>
      <c r="AT978" s="9"/>
      <c r="AU978" s="9"/>
      <c r="AV978" s="9"/>
    </row>
    <row r="979">
      <c r="A979" s="253"/>
      <c r="B979" s="254"/>
      <c r="C979" s="463"/>
      <c r="D979" s="253"/>
      <c r="E979" s="254"/>
      <c r="F979" s="463"/>
      <c r="G979" s="253"/>
      <c r="H979" s="254"/>
      <c r="I979" s="463"/>
      <c r="J979" s="253"/>
      <c r="K979" s="254"/>
      <c r="L979" s="463"/>
      <c r="M979" s="253"/>
      <c r="N979" s="254"/>
      <c r="O979" s="463"/>
      <c r="P979" s="253"/>
      <c r="Q979" s="254"/>
      <c r="R979" s="463"/>
      <c r="S979" s="253"/>
      <c r="T979" s="254"/>
      <c r="U979" s="463"/>
      <c r="V979" s="253"/>
      <c r="W979" s="254"/>
      <c r="X979" s="463"/>
      <c r="Y979" s="9"/>
      <c r="Z979" s="9"/>
      <c r="AA979" s="9"/>
      <c r="AB979" s="9"/>
      <c r="AC979" s="234"/>
      <c r="AD979" s="234"/>
      <c r="AE979" s="234"/>
      <c r="AF979" s="234"/>
      <c r="AG979" s="9"/>
      <c r="AH979" s="9"/>
      <c r="AI979" s="9"/>
      <c r="AJ979" s="9"/>
      <c r="AK979" s="245"/>
      <c r="AL979" s="245"/>
      <c r="AM979" s="245"/>
      <c r="AN979" s="245"/>
      <c r="AO979" s="9"/>
      <c r="AP979" s="9"/>
      <c r="AQ979" s="9"/>
      <c r="AR979" s="9"/>
      <c r="AS979" s="9"/>
      <c r="AT979" s="9"/>
      <c r="AU979" s="9"/>
      <c r="AV979" s="9"/>
    </row>
    <row r="980">
      <c r="A980" s="253"/>
      <c r="B980" s="254"/>
      <c r="C980" s="463"/>
      <c r="D980" s="253"/>
      <c r="E980" s="254"/>
      <c r="F980" s="463"/>
      <c r="G980" s="253"/>
      <c r="H980" s="254"/>
      <c r="I980" s="463"/>
      <c r="J980" s="253"/>
      <c r="K980" s="254"/>
      <c r="L980" s="463"/>
      <c r="M980" s="253"/>
      <c r="N980" s="254"/>
      <c r="O980" s="463"/>
      <c r="P980" s="253"/>
      <c r="Q980" s="254"/>
      <c r="R980" s="463"/>
      <c r="S980" s="253"/>
      <c r="T980" s="254"/>
      <c r="U980" s="463"/>
      <c r="V980" s="253"/>
      <c r="W980" s="254"/>
      <c r="X980" s="463"/>
      <c r="Y980" s="9"/>
      <c r="Z980" s="9"/>
      <c r="AA980" s="9"/>
      <c r="AB980" s="9"/>
      <c r="AC980" s="234"/>
      <c r="AD980" s="234"/>
      <c r="AE980" s="234"/>
      <c r="AF980" s="234"/>
      <c r="AG980" s="9"/>
      <c r="AH980" s="9"/>
      <c r="AI980" s="9"/>
      <c r="AJ980" s="9"/>
      <c r="AK980" s="245"/>
      <c r="AL980" s="245"/>
      <c r="AM980" s="245"/>
      <c r="AN980" s="245"/>
      <c r="AO980" s="9"/>
      <c r="AP980" s="9"/>
      <c r="AQ980" s="9"/>
      <c r="AR980" s="9"/>
      <c r="AS980" s="9"/>
      <c r="AT980" s="9"/>
      <c r="AU980" s="9"/>
      <c r="AV980" s="9"/>
    </row>
    <row r="981">
      <c r="A981" s="253"/>
      <c r="B981" s="254"/>
      <c r="C981" s="463"/>
      <c r="D981" s="253"/>
      <c r="E981" s="254"/>
      <c r="F981" s="463"/>
      <c r="G981" s="253"/>
      <c r="H981" s="254"/>
      <c r="I981" s="463"/>
      <c r="J981" s="253"/>
      <c r="K981" s="254"/>
      <c r="L981" s="463"/>
      <c r="M981" s="253"/>
      <c r="N981" s="254"/>
      <c r="O981" s="463"/>
      <c r="P981" s="253"/>
      <c r="Q981" s="254"/>
      <c r="R981" s="463"/>
      <c r="S981" s="253"/>
      <c r="T981" s="254"/>
      <c r="U981" s="463"/>
      <c r="V981" s="253"/>
      <c r="W981" s="254"/>
      <c r="X981" s="463"/>
      <c r="Y981" s="9"/>
      <c r="Z981" s="9"/>
      <c r="AA981" s="9"/>
      <c r="AB981" s="9"/>
      <c r="AC981" s="234"/>
      <c r="AD981" s="234"/>
      <c r="AE981" s="234"/>
      <c r="AF981" s="234"/>
      <c r="AG981" s="9"/>
      <c r="AH981" s="9"/>
      <c r="AI981" s="9"/>
      <c r="AJ981" s="9"/>
      <c r="AK981" s="245"/>
      <c r="AL981" s="245"/>
      <c r="AM981" s="245"/>
      <c r="AN981" s="245"/>
      <c r="AO981" s="9"/>
      <c r="AP981" s="9"/>
      <c r="AQ981" s="9"/>
      <c r="AR981" s="9"/>
      <c r="AS981" s="9"/>
      <c r="AT981" s="9"/>
      <c r="AU981" s="9"/>
      <c r="AV981" s="9"/>
    </row>
    <row r="982">
      <c r="A982" s="253"/>
      <c r="B982" s="254"/>
      <c r="C982" s="463"/>
      <c r="D982" s="253"/>
      <c r="E982" s="254"/>
      <c r="F982" s="463"/>
      <c r="G982" s="253"/>
      <c r="H982" s="254"/>
      <c r="I982" s="463"/>
      <c r="J982" s="253"/>
      <c r="K982" s="254"/>
      <c r="L982" s="463"/>
      <c r="M982" s="253"/>
      <c r="N982" s="254"/>
      <c r="O982" s="463"/>
      <c r="P982" s="253"/>
      <c r="Q982" s="254"/>
      <c r="R982" s="463"/>
      <c r="S982" s="253"/>
      <c r="T982" s="254"/>
      <c r="U982" s="463"/>
      <c r="V982" s="253"/>
      <c r="W982" s="254"/>
      <c r="X982" s="463"/>
      <c r="Y982" s="9"/>
      <c r="Z982" s="9"/>
      <c r="AA982" s="9"/>
      <c r="AB982" s="9"/>
      <c r="AC982" s="234"/>
      <c r="AD982" s="234"/>
      <c r="AE982" s="234"/>
      <c r="AF982" s="234"/>
      <c r="AG982" s="9"/>
      <c r="AH982" s="9"/>
      <c r="AI982" s="9"/>
      <c r="AJ982" s="9"/>
      <c r="AK982" s="245"/>
      <c r="AL982" s="245"/>
      <c r="AM982" s="245"/>
      <c r="AN982" s="245"/>
      <c r="AO982" s="9"/>
      <c r="AP982" s="9"/>
      <c r="AQ982" s="9"/>
      <c r="AR982" s="9"/>
      <c r="AS982" s="9"/>
      <c r="AT982" s="9"/>
      <c r="AU982" s="9"/>
      <c r="AV982" s="9"/>
    </row>
    <row r="983">
      <c r="A983" s="253"/>
      <c r="B983" s="254"/>
      <c r="C983" s="463"/>
      <c r="D983" s="253"/>
      <c r="E983" s="254"/>
      <c r="F983" s="463"/>
      <c r="G983" s="253"/>
      <c r="H983" s="254"/>
      <c r="I983" s="463"/>
      <c r="J983" s="253"/>
      <c r="K983" s="254"/>
      <c r="L983" s="463"/>
      <c r="M983" s="253"/>
      <c r="N983" s="254"/>
      <c r="O983" s="463"/>
      <c r="P983" s="253"/>
      <c r="Q983" s="254"/>
      <c r="R983" s="463"/>
      <c r="S983" s="253"/>
      <c r="T983" s="254"/>
      <c r="U983" s="463"/>
      <c r="V983" s="253"/>
      <c r="W983" s="254"/>
      <c r="X983" s="463"/>
      <c r="Y983" s="9"/>
      <c r="Z983" s="9"/>
      <c r="AA983" s="9"/>
      <c r="AB983" s="9"/>
      <c r="AC983" s="234"/>
      <c r="AD983" s="234"/>
      <c r="AE983" s="234"/>
      <c r="AF983" s="234"/>
      <c r="AG983" s="9"/>
      <c r="AH983" s="9"/>
      <c r="AI983" s="9"/>
      <c r="AJ983" s="9"/>
      <c r="AK983" s="245"/>
      <c r="AL983" s="245"/>
      <c r="AM983" s="245"/>
      <c r="AN983" s="245"/>
      <c r="AO983" s="9"/>
      <c r="AP983" s="9"/>
      <c r="AQ983" s="9"/>
      <c r="AR983" s="9"/>
      <c r="AS983" s="9"/>
      <c r="AT983" s="9"/>
      <c r="AU983" s="9"/>
      <c r="AV983" s="9"/>
    </row>
    <row r="984">
      <c r="A984" s="253"/>
      <c r="B984" s="254"/>
      <c r="C984" s="463"/>
      <c r="D984" s="253"/>
      <c r="E984" s="254"/>
      <c r="F984" s="463"/>
      <c r="G984" s="253"/>
      <c r="H984" s="254"/>
      <c r="I984" s="463"/>
      <c r="J984" s="253"/>
      <c r="K984" s="254"/>
      <c r="L984" s="463"/>
      <c r="M984" s="253"/>
      <c r="N984" s="254"/>
      <c r="O984" s="463"/>
      <c r="P984" s="253"/>
      <c r="Q984" s="254"/>
      <c r="R984" s="463"/>
      <c r="S984" s="253"/>
      <c r="T984" s="254"/>
      <c r="U984" s="463"/>
      <c r="V984" s="253"/>
      <c r="W984" s="254"/>
      <c r="X984" s="463"/>
      <c r="Y984" s="9"/>
      <c r="Z984" s="9"/>
      <c r="AA984" s="9"/>
      <c r="AB984" s="9"/>
      <c r="AC984" s="234"/>
      <c r="AD984" s="234"/>
      <c r="AE984" s="234"/>
      <c r="AF984" s="234"/>
      <c r="AG984" s="9"/>
      <c r="AH984" s="9"/>
      <c r="AI984" s="9"/>
      <c r="AJ984" s="9"/>
      <c r="AK984" s="245"/>
      <c r="AL984" s="245"/>
      <c r="AM984" s="245"/>
      <c r="AN984" s="245"/>
      <c r="AO984" s="9"/>
      <c r="AP984" s="9"/>
      <c r="AQ984" s="9"/>
      <c r="AR984" s="9"/>
      <c r="AS984" s="9"/>
      <c r="AT984" s="9"/>
      <c r="AU984" s="9"/>
      <c r="AV984" s="9"/>
    </row>
    <row r="985">
      <c r="A985" s="253"/>
      <c r="B985" s="254"/>
      <c r="C985" s="463"/>
      <c r="D985" s="253"/>
      <c r="E985" s="254"/>
      <c r="F985" s="463"/>
      <c r="G985" s="253"/>
      <c r="H985" s="254"/>
      <c r="I985" s="463"/>
      <c r="J985" s="253"/>
      <c r="K985" s="254"/>
      <c r="L985" s="463"/>
      <c r="M985" s="253"/>
      <c r="N985" s="254"/>
      <c r="O985" s="463"/>
      <c r="P985" s="253"/>
      <c r="Q985" s="254"/>
      <c r="R985" s="463"/>
      <c r="S985" s="253"/>
      <c r="T985" s="254"/>
      <c r="U985" s="463"/>
      <c r="V985" s="253"/>
      <c r="W985" s="254"/>
      <c r="X985" s="463"/>
      <c r="Y985" s="9"/>
      <c r="Z985" s="9"/>
      <c r="AA985" s="9"/>
      <c r="AB985" s="9"/>
      <c r="AC985" s="234"/>
      <c r="AD985" s="234"/>
      <c r="AE985" s="234"/>
      <c r="AF985" s="234"/>
      <c r="AG985" s="9"/>
      <c r="AH985" s="9"/>
      <c r="AI985" s="9"/>
      <c r="AJ985" s="9"/>
      <c r="AK985" s="245"/>
      <c r="AL985" s="245"/>
      <c r="AM985" s="245"/>
      <c r="AN985" s="245"/>
      <c r="AO985" s="9"/>
      <c r="AP985" s="9"/>
      <c r="AQ985" s="9"/>
      <c r="AR985" s="9"/>
      <c r="AS985" s="9"/>
      <c r="AT985" s="9"/>
      <c r="AU985" s="9"/>
      <c r="AV985" s="9"/>
    </row>
    <row r="986">
      <c r="A986" s="253"/>
      <c r="B986" s="254"/>
      <c r="C986" s="463"/>
      <c r="D986" s="253"/>
      <c r="E986" s="254"/>
      <c r="F986" s="463"/>
      <c r="G986" s="253"/>
      <c r="H986" s="254"/>
      <c r="I986" s="463"/>
      <c r="J986" s="253"/>
      <c r="K986" s="254"/>
      <c r="L986" s="463"/>
      <c r="M986" s="253"/>
      <c r="N986" s="254"/>
      <c r="O986" s="463"/>
      <c r="P986" s="253"/>
      <c r="Q986" s="254"/>
      <c r="R986" s="463"/>
      <c r="S986" s="253"/>
      <c r="T986" s="254"/>
      <c r="U986" s="463"/>
      <c r="V986" s="253"/>
      <c r="W986" s="254"/>
      <c r="X986" s="463"/>
      <c r="Y986" s="9"/>
      <c r="Z986" s="9"/>
      <c r="AA986" s="9"/>
      <c r="AB986" s="9"/>
      <c r="AC986" s="234"/>
      <c r="AD986" s="234"/>
      <c r="AE986" s="234"/>
      <c r="AF986" s="234"/>
      <c r="AG986" s="9"/>
      <c r="AH986" s="9"/>
      <c r="AI986" s="9"/>
      <c r="AJ986" s="9"/>
      <c r="AK986" s="245"/>
      <c r="AL986" s="245"/>
      <c r="AM986" s="245"/>
      <c r="AN986" s="245"/>
      <c r="AO986" s="9"/>
      <c r="AP986" s="9"/>
      <c r="AQ986" s="9"/>
      <c r="AR986" s="9"/>
      <c r="AS986" s="9"/>
      <c r="AT986" s="9"/>
      <c r="AU986" s="9"/>
      <c r="AV986" s="9"/>
    </row>
    <row r="987">
      <c r="A987" s="253"/>
      <c r="B987" s="254"/>
      <c r="C987" s="463"/>
      <c r="D987" s="253"/>
      <c r="E987" s="254"/>
      <c r="F987" s="463"/>
      <c r="G987" s="253"/>
      <c r="H987" s="254"/>
      <c r="I987" s="463"/>
      <c r="J987" s="253"/>
      <c r="K987" s="254"/>
      <c r="L987" s="463"/>
      <c r="M987" s="253"/>
      <c r="N987" s="254"/>
      <c r="O987" s="463"/>
      <c r="P987" s="253"/>
      <c r="Q987" s="254"/>
      <c r="R987" s="463"/>
      <c r="S987" s="253"/>
      <c r="T987" s="254"/>
      <c r="U987" s="463"/>
      <c r="V987" s="253"/>
      <c r="W987" s="254"/>
      <c r="X987" s="463"/>
      <c r="Y987" s="9"/>
      <c r="Z987" s="9"/>
      <c r="AA987" s="9"/>
      <c r="AB987" s="9"/>
      <c r="AC987" s="234"/>
      <c r="AD987" s="234"/>
      <c r="AE987" s="234"/>
      <c r="AF987" s="234"/>
      <c r="AG987" s="9"/>
      <c r="AH987" s="9"/>
      <c r="AI987" s="9"/>
      <c r="AJ987" s="9"/>
      <c r="AK987" s="245"/>
      <c r="AL987" s="245"/>
      <c r="AM987" s="245"/>
      <c r="AN987" s="245"/>
      <c r="AO987" s="9"/>
      <c r="AP987" s="9"/>
      <c r="AQ987" s="9"/>
      <c r="AR987" s="9"/>
      <c r="AS987" s="9"/>
      <c r="AT987" s="9"/>
      <c r="AU987" s="9"/>
      <c r="AV987" s="9"/>
    </row>
    <row r="988">
      <c r="A988" s="253"/>
      <c r="B988" s="254"/>
      <c r="C988" s="463"/>
      <c r="D988" s="253"/>
      <c r="E988" s="254"/>
      <c r="F988" s="463"/>
      <c r="G988" s="253"/>
      <c r="H988" s="254"/>
      <c r="I988" s="463"/>
      <c r="J988" s="253"/>
      <c r="K988" s="254"/>
      <c r="L988" s="463"/>
      <c r="M988" s="253"/>
      <c r="N988" s="254"/>
      <c r="O988" s="463"/>
      <c r="P988" s="253"/>
      <c r="Q988" s="254"/>
      <c r="R988" s="463"/>
      <c r="S988" s="253"/>
      <c r="T988" s="254"/>
      <c r="U988" s="463"/>
      <c r="V988" s="253"/>
      <c r="W988" s="254"/>
      <c r="X988" s="463"/>
      <c r="Y988" s="9"/>
      <c r="Z988" s="9"/>
      <c r="AA988" s="9"/>
      <c r="AB988" s="9"/>
      <c r="AC988" s="234"/>
      <c r="AD988" s="234"/>
      <c r="AE988" s="234"/>
      <c r="AF988" s="234"/>
      <c r="AG988" s="9"/>
      <c r="AH988" s="9"/>
      <c r="AI988" s="9"/>
      <c r="AJ988" s="9"/>
      <c r="AK988" s="245"/>
      <c r="AL988" s="245"/>
      <c r="AM988" s="245"/>
      <c r="AN988" s="245"/>
      <c r="AO988" s="9"/>
      <c r="AP988" s="9"/>
      <c r="AQ988" s="9"/>
      <c r="AR988" s="9"/>
      <c r="AS988" s="9"/>
      <c r="AT988" s="9"/>
      <c r="AU988" s="9"/>
      <c r="AV988" s="9"/>
    </row>
    <row r="989">
      <c r="A989" s="253"/>
      <c r="B989" s="254"/>
      <c r="C989" s="463"/>
      <c r="D989" s="253"/>
      <c r="E989" s="254"/>
      <c r="F989" s="463"/>
      <c r="G989" s="253"/>
      <c r="H989" s="254"/>
      <c r="I989" s="463"/>
      <c r="J989" s="253"/>
      <c r="K989" s="254"/>
      <c r="L989" s="463"/>
      <c r="M989" s="253"/>
      <c r="N989" s="254"/>
      <c r="O989" s="463"/>
      <c r="P989" s="253"/>
      <c r="Q989" s="254"/>
      <c r="R989" s="463"/>
      <c r="S989" s="253"/>
      <c r="T989" s="254"/>
      <c r="U989" s="463"/>
      <c r="V989" s="253"/>
      <c r="W989" s="254"/>
      <c r="X989" s="463"/>
      <c r="Y989" s="9"/>
      <c r="Z989" s="9"/>
      <c r="AA989" s="9"/>
      <c r="AB989" s="9"/>
      <c r="AC989" s="234"/>
      <c r="AD989" s="234"/>
      <c r="AE989" s="234"/>
      <c r="AF989" s="234"/>
      <c r="AG989" s="9"/>
      <c r="AH989" s="9"/>
      <c r="AI989" s="9"/>
      <c r="AJ989" s="9"/>
      <c r="AK989" s="245"/>
      <c r="AL989" s="245"/>
      <c r="AM989" s="245"/>
      <c r="AN989" s="245"/>
      <c r="AO989" s="9"/>
      <c r="AP989" s="9"/>
      <c r="AQ989" s="9"/>
      <c r="AR989" s="9"/>
      <c r="AS989" s="9"/>
      <c r="AT989" s="9"/>
      <c r="AU989" s="9"/>
      <c r="AV989" s="9"/>
    </row>
    <row r="990">
      <c r="A990" s="253"/>
      <c r="B990" s="254"/>
      <c r="C990" s="463"/>
      <c r="D990" s="253"/>
      <c r="E990" s="254"/>
      <c r="F990" s="463"/>
      <c r="G990" s="253"/>
      <c r="H990" s="254"/>
      <c r="I990" s="463"/>
      <c r="J990" s="253"/>
      <c r="K990" s="254"/>
      <c r="L990" s="463"/>
      <c r="M990" s="253"/>
      <c r="N990" s="254"/>
      <c r="O990" s="463"/>
      <c r="P990" s="253"/>
      <c r="Q990" s="254"/>
      <c r="R990" s="463"/>
      <c r="S990" s="253"/>
      <c r="T990" s="254"/>
      <c r="U990" s="463"/>
      <c r="V990" s="253"/>
      <c r="W990" s="254"/>
      <c r="X990" s="463"/>
      <c r="Y990" s="9"/>
      <c r="Z990" s="9"/>
      <c r="AA990" s="9"/>
      <c r="AB990" s="9"/>
      <c r="AC990" s="234"/>
      <c r="AD990" s="234"/>
      <c r="AE990" s="234"/>
      <c r="AF990" s="234"/>
      <c r="AG990" s="9"/>
      <c r="AH990" s="9"/>
      <c r="AI990" s="9"/>
      <c r="AJ990" s="9"/>
      <c r="AK990" s="245"/>
      <c r="AL990" s="245"/>
      <c r="AM990" s="245"/>
      <c r="AN990" s="245"/>
      <c r="AO990" s="9"/>
      <c r="AP990" s="9"/>
      <c r="AQ990" s="9"/>
      <c r="AR990" s="9"/>
      <c r="AS990" s="9"/>
      <c r="AT990" s="9"/>
      <c r="AU990" s="9"/>
      <c r="AV990" s="9"/>
    </row>
    <row r="991">
      <c r="A991" s="253"/>
      <c r="B991" s="254"/>
      <c r="C991" s="463"/>
      <c r="D991" s="253"/>
      <c r="E991" s="254"/>
      <c r="F991" s="463"/>
      <c r="G991" s="253"/>
      <c r="H991" s="254"/>
      <c r="I991" s="463"/>
      <c r="J991" s="253"/>
      <c r="K991" s="254"/>
      <c r="L991" s="463"/>
      <c r="M991" s="253"/>
      <c r="N991" s="254"/>
      <c r="O991" s="463"/>
      <c r="P991" s="253"/>
      <c r="Q991" s="254"/>
      <c r="R991" s="463"/>
      <c r="S991" s="253"/>
      <c r="T991" s="254"/>
      <c r="U991" s="463"/>
      <c r="V991" s="253"/>
      <c r="W991" s="254"/>
      <c r="X991" s="463"/>
      <c r="Y991" s="9"/>
      <c r="Z991" s="9"/>
      <c r="AA991" s="9"/>
      <c r="AB991" s="9"/>
      <c r="AC991" s="234"/>
      <c r="AD991" s="234"/>
      <c r="AE991" s="234"/>
      <c r="AF991" s="234"/>
      <c r="AG991" s="9"/>
      <c r="AH991" s="9"/>
      <c r="AI991" s="9"/>
      <c r="AJ991" s="9"/>
      <c r="AK991" s="245"/>
      <c r="AL991" s="245"/>
      <c r="AM991" s="245"/>
      <c r="AN991" s="245"/>
      <c r="AO991" s="9"/>
      <c r="AP991" s="9"/>
      <c r="AQ991" s="9"/>
      <c r="AR991" s="9"/>
      <c r="AS991" s="9"/>
      <c r="AT991" s="9"/>
      <c r="AU991" s="9"/>
      <c r="AV991" s="9"/>
    </row>
    <row r="992">
      <c r="A992" s="253"/>
      <c r="B992" s="254"/>
      <c r="C992" s="463"/>
      <c r="D992" s="253"/>
      <c r="E992" s="254"/>
      <c r="F992" s="463"/>
      <c r="G992" s="253"/>
      <c r="H992" s="254"/>
      <c r="I992" s="463"/>
      <c r="J992" s="253"/>
      <c r="K992" s="254"/>
      <c r="L992" s="463"/>
      <c r="M992" s="253"/>
      <c r="N992" s="254"/>
      <c r="O992" s="463"/>
      <c r="P992" s="253"/>
      <c r="Q992" s="254"/>
      <c r="R992" s="463"/>
      <c r="S992" s="253"/>
      <c r="T992" s="254"/>
      <c r="U992" s="463"/>
      <c r="V992" s="253"/>
      <c r="W992" s="254"/>
      <c r="X992" s="463"/>
      <c r="Y992" s="9"/>
      <c r="Z992" s="9"/>
      <c r="AA992" s="9"/>
      <c r="AB992" s="9"/>
      <c r="AC992" s="234"/>
      <c r="AD992" s="234"/>
      <c r="AE992" s="234"/>
      <c r="AF992" s="234"/>
      <c r="AG992" s="9"/>
      <c r="AH992" s="9"/>
      <c r="AI992" s="9"/>
      <c r="AJ992" s="9"/>
      <c r="AK992" s="245"/>
      <c r="AL992" s="245"/>
      <c r="AM992" s="245"/>
      <c r="AN992" s="245"/>
      <c r="AO992" s="9"/>
      <c r="AP992" s="9"/>
      <c r="AQ992" s="9"/>
      <c r="AR992" s="9"/>
      <c r="AS992" s="9"/>
      <c r="AT992" s="9"/>
      <c r="AU992" s="9"/>
      <c r="AV992" s="9"/>
    </row>
    <row r="993">
      <c r="A993" s="253"/>
      <c r="B993" s="254"/>
      <c r="C993" s="463"/>
      <c r="D993" s="253"/>
      <c r="E993" s="254"/>
      <c r="F993" s="463"/>
      <c r="G993" s="253"/>
      <c r="H993" s="254"/>
      <c r="I993" s="463"/>
      <c r="J993" s="253"/>
      <c r="K993" s="254"/>
      <c r="L993" s="463"/>
      <c r="M993" s="253"/>
      <c r="N993" s="254"/>
      <c r="O993" s="463"/>
      <c r="P993" s="253"/>
      <c r="Q993" s="254"/>
      <c r="R993" s="463"/>
      <c r="S993" s="253"/>
      <c r="T993" s="254"/>
      <c r="U993" s="463"/>
      <c r="V993" s="253"/>
      <c r="W993" s="254"/>
      <c r="X993" s="463"/>
      <c r="Y993" s="9"/>
      <c r="Z993" s="9"/>
      <c r="AA993" s="9"/>
      <c r="AB993" s="9"/>
      <c r="AC993" s="234"/>
      <c r="AD993" s="234"/>
      <c r="AE993" s="234"/>
      <c r="AF993" s="234"/>
      <c r="AG993" s="9"/>
      <c r="AH993" s="9"/>
      <c r="AI993" s="9"/>
      <c r="AJ993" s="9"/>
      <c r="AK993" s="245"/>
      <c r="AL993" s="245"/>
      <c r="AM993" s="245"/>
      <c r="AN993" s="245"/>
      <c r="AO993" s="9"/>
      <c r="AP993" s="9"/>
      <c r="AQ993" s="9"/>
      <c r="AR993" s="9"/>
      <c r="AS993" s="9"/>
      <c r="AT993" s="9"/>
      <c r="AU993" s="9"/>
      <c r="AV993" s="9"/>
    </row>
    <row r="994">
      <c r="A994" s="253"/>
      <c r="B994" s="254"/>
      <c r="C994" s="463"/>
      <c r="D994" s="253"/>
      <c r="E994" s="254"/>
      <c r="F994" s="463"/>
      <c r="G994" s="253"/>
      <c r="H994" s="254"/>
      <c r="I994" s="463"/>
      <c r="J994" s="253"/>
      <c r="K994" s="254"/>
      <c r="L994" s="463"/>
      <c r="M994" s="253"/>
      <c r="N994" s="254"/>
      <c r="O994" s="463"/>
      <c r="P994" s="253"/>
      <c r="Q994" s="254"/>
      <c r="R994" s="463"/>
      <c r="S994" s="253"/>
      <c r="T994" s="254"/>
      <c r="U994" s="463"/>
      <c r="V994" s="253"/>
      <c r="W994" s="254"/>
      <c r="X994" s="463"/>
      <c r="Y994" s="9"/>
      <c r="Z994" s="9"/>
      <c r="AA994" s="9"/>
      <c r="AB994" s="9"/>
      <c r="AC994" s="234"/>
      <c r="AD994" s="234"/>
      <c r="AE994" s="234"/>
      <c r="AF994" s="234"/>
      <c r="AG994" s="9"/>
      <c r="AH994" s="9"/>
      <c r="AI994" s="9"/>
      <c r="AJ994" s="9"/>
      <c r="AK994" s="245"/>
      <c r="AL994" s="245"/>
      <c r="AM994" s="245"/>
      <c r="AN994" s="245"/>
      <c r="AO994" s="9"/>
      <c r="AP994" s="9"/>
      <c r="AQ994" s="9"/>
      <c r="AR994" s="9"/>
      <c r="AS994" s="9"/>
      <c r="AT994" s="9"/>
      <c r="AU994" s="9"/>
      <c r="AV994" s="9"/>
    </row>
    <row r="995">
      <c r="A995" s="253"/>
      <c r="B995" s="254"/>
      <c r="C995" s="463"/>
      <c r="D995" s="253"/>
      <c r="E995" s="254"/>
      <c r="F995" s="463"/>
      <c r="G995" s="253"/>
      <c r="H995" s="254"/>
      <c r="I995" s="463"/>
      <c r="J995" s="253"/>
      <c r="K995" s="254"/>
      <c r="L995" s="463"/>
      <c r="M995" s="253"/>
      <c r="N995" s="254"/>
      <c r="O995" s="463"/>
      <c r="P995" s="253"/>
      <c r="Q995" s="254"/>
      <c r="R995" s="463"/>
      <c r="S995" s="253"/>
      <c r="T995" s="254"/>
      <c r="U995" s="463"/>
      <c r="V995" s="253"/>
      <c r="W995" s="254"/>
      <c r="X995" s="463"/>
      <c r="Y995" s="9"/>
      <c r="Z995" s="9"/>
      <c r="AA995" s="9"/>
      <c r="AB995" s="9"/>
      <c r="AC995" s="234"/>
      <c r="AD995" s="234"/>
      <c r="AE995" s="234"/>
      <c r="AF995" s="234"/>
      <c r="AG995" s="9"/>
      <c r="AH995" s="9"/>
      <c r="AI995" s="9"/>
      <c r="AJ995" s="9"/>
      <c r="AK995" s="245"/>
      <c r="AL995" s="245"/>
      <c r="AM995" s="245"/>
      <c r="AN995" s="245"/>
      <c r="AO995" s="9"/>
      <c r="AP995" s="9"/>
      <c r="AQ995" s="9"/>
      <c r="AR995" s="9"/>
      <c r="AS995" s="9"/>
      <c r="AT995" s="9"/>
      <c r="AU995" s="9"/>
      <c r="AV995" s="9"/>
    </row>
    <row r="996">
      <c r="A996" s="253"/>
      <c r="B996" s="254"/>
      <c r="C996" s="463"/>
      <c r="D996" s="253"/>
      <c r="E996" s="254"/>
      <c r="F996" s="463"/>
      <c r="G996" s="253"/>
      <c r="H996" s="254"/>
      <c r="I996" s="463"/>
      <c r="J996" s="253"/>
      <c r="K996" s="254"/>
      <c r="L996" s="463"/>
      <c r="M996" s="253"/>
      <c r="N996" s="254"/>
      <c r="O996" s="463"/>
      <c r="P996" s="253"/>
      <c r="Q996" s="254"/>
      <c r="R996" s="463"/>
      <c r="S996" s="253"/>
      <c r="T996" s="254"/>
      <c r="U996" s="463"/>
      <c r="V996" s="253"/>
      <c r="W996" s="254"/>
      <c r="X996" s="463"/>
      <c r="Y996" s="9"/>
      <c r="Z996" s="9"/>
      <c r="AA996" s="9"/>
      <c r="AB996" s="9"/>
      <c r="AC996" s="234"/>
      <c r="AD996" s="234"/>
      <c r="AE996" s="234"/>
      <c r="AF996" s="234"/>
      <c r="AG996" s="9"/>
      <c r="AH996" s="9"/>
      <c r="AI996" s="9"/>
      <c r="AJ996" s="9"/>
      <c r="AK996" s="245"/>
      <c r="AL996" s="245"/>
      <c r="AM996" s="245"/>
      <c r="AN996" s="245"/>
      <c r="AO996" s="9"/>
      <c r="AP996" s="9"/>
      <c r="AQ996" s="9"/>
      <c r="AR996" s="9"/>
      <c r="AS996" s="9"/>
      <c r="AT996" s="9"/>
      <c r="AU996" s="9"/>
      <c r="AV996" s="9"/>
    </row>
    <row r="997">
      <c r="A997" s="253"/>
      <c r="B997" s="254"/>
      <c r="C997" s="463"/>
      <c r="D997" s="253"/>
      <c r="E997" s="254"/>
      <c r="F997" s="463"/>
      <c r="G997" s="253"/>
      <c r="H997" s="254"/>
      <c r="I997" s="463"/>
      <c r="J997" s="253"/>
      <c r="K997" s="254"/>
      <c r="L997" s="463"/>
      <c r="M997" s="253"/>
      <c r="N997" s="254"/>
      <c r="O997" s="463"/>
      <c r="P997" s="253"/>
      <c r="Q997" s="254"/>
      <c r="R997" s="463"/>
      <c r="S997" s="253"/>
      <c r="T997" s="254"/>
      <c r="U997" s="463"/>
      <c r="V997" s="253"/>
      <c r="W997" s="254"/>
      <c r="X997" s="463"/>
      <c r="Y997" s="9"/>
      <c r="Z997" s="9"/>
      <c r="AA997" s="9"/>
      <c r="AB997" s="9"/>
      <c r="AC997" s="234"/>
      <c r="AD997" s="234"/>
      <c r="AE997" s="234"/>
      <c r="AF997" s="234"/>
      <c r="AG997" s="9"/>
      <c r="AH997" s="9"/>
      <c r="AI997" s="9"/>
      <c r="AJ997" s="9"/>
      <c r="AK997" s="245"/>
      <c r="AL997" s="245"/>
      <c r="AM997" s="245"/>
      <c r="AN997" s="245"/>
      <c r="AO997" s="9"/>
      <c r="AP997" s="9"/>
      <c r="AQ997" s="9"/>
      <c r="AR997" s="9"/>
      <c r="AS997" s="9"/>
      <c r="AT997" s="9"/>
      <c r="AU997" s="9"/>
      <c r="AV997" s="9"/>
    </row>
    <row r="998">
      <c r="A998" s="253"/>
      <c r="B998" s="254"/>
      <c r="C998" s="463"/>
      <c r="D998" s="253"/>
      <c r="E998" s="254"/>
      <c r="F998" s="463"/>
      <c r="G998" s="253"/>
      <c r="H998" s="254"/>
      <c r="I998" s="463"/>
      <c r="J998" s="253"/>
      <c r="K998" s="254"/>
      <c r="L998" s="463"/>
      <c r="M998" s="253"/>
      <c r="N998" s="254"/>
      <c r="O998" s="463"/>
      <c r="P998" s="253"/>
      <c r="Q998" s="254"/>
      <c r="R998" s="463"/>
      <c r="S998" s="253"/>
      <c r="T998" s="254"/>
      <c r="U998" s="463"/>
      <c r="V998" s="253"/>
      <c r="W998" s="254"/>
      <c r="X998" s="463"/>
      <c r="Y998" s="9"/>
      <c r="Z998" s="9"/>
      <c r="AA998" s="9"/>
      <c r="AB998" s="9"/>
      <c r="AC998" s="234"/>
      <c r="AD998" s="234"/>
      <c r="AE998" s="234"/>
      <c r="AF998" s="234"/>
      <c r="AG998" s="9"/>
      <c r="AH998" s="9"/>
      <c r="AI998" s="9"/>
      <c r="AJ998" s="9"/>
      <c r="AK998" s="245"/>
      <c r="AL998" s="245"/>
      <c r="AM998" s="245"/>
      <c r="AN998" s="245"/>
      <c r="AO998" s="9"/>
      <c r="AP998" s="9"/>
      <c r="AQ998" s="9"/>
      <c r="AR998" s="9"/>
      <c r="AS998" s="9"/>
      <c r="AT998" s="9"/>
      <c r="AU998" s="9"/>
      <c r="AV998" s="9"/>
    </row>
    <row r="999">
      <c r="A999" s="253"/>
      <c r="B999" s="254"/>
      <c r="C999" s="463"/>
      <c r="D999" s="253"/>
      <c r="E999" s="254"/>
      <c r="F999" s="463"/>
      <c r="G999" s="253"/>
      <c r="H999" s="254"/>
      <c r="I999" s="463"/>
      <c r="J999" s="253"/>
      <c r="K999" s="254"/>
      <c r="L999" s="463"/>
      <c r="M999" s="253"/>
      <c r="N999" s="254"/>
      <c r="O999" s="463"/>
      <c r="P999" s="253"/>
      <c r="Q999" s="254"/>
      <c r="R999" s="463"/>
      <c r="S999" s="253"/>
      <c r="T999" s="254"/>
      <c r="U999" s="463"/>
      <c r="V999" s="253"/>
      <c r="W999" s="254"/>
      <c r="X999" s="463"/>
      <c r="Y999" s="9"/>
      <c r="Z999" s="9"/>
      <c r="AA999" s="9"/>
      <c r="AB999" s="9"/>
      <c r="AC999" s="234"/>
      <c r="AD999" s="234"/>
      <c r="AE999" s="234"/>
      <c r="AF999" s="234"/>
      <c r="AG999" s="9"/>
      <c r="AH999" s="9"/>
      <c r="AI999" s="9"/>
      <c r="AJ999" s="9"/>
      <c r="AK999" s="245"/>
      <c r="AL999" s="245"/>
      <c r="AM999" s="245"/>
      <c r="AN999" s="245"/>
      <c r="AO999" s="9"/>
      <c r="AP999" s="9"/>
      <c r="AQ999" s="9"/>
      <c r="AR999" s="9"/>
      <c r="AS999" s="9"/>
      <c r="AT999" s="9"/>
      <c r="AU999" s="9"/>
      <c r="AV999" s="9"/>
    </row>
    <row r="1000">
      <c r="A1000" s="253"/>
      <c r="B1000" s="254"/>
      <c r="C1000" s="463"/>
      <c r="D1000" s="253"/>
      <c r="E1000" s="254"/>
      <c r="F1000" s="463"/>
      <c r="G1000" s="253"/>
      <c r="H1000" s="254"/>
      <c r="I1000" s="463"/>
      <c r="J1000" s="253"/>
      <c r="K1000" s="254"/>
      <c r="L1000" s="463"/>
      <c r="M1000" s="253"/>
      <c r="N1000" s="254"/>
      <c r="O1000" s="463"/>
      <c r="P1000" s="253"/>
      <c r="Q1000" s="254"/>
      <c r="R1000" s="463"/>
      <c r="S1000" s="253"/>
      <c r="T1000" s="254"/>
      <c r="U1000" s="463"/>
      <c r="V1000" s="253"/>
      <c r="W1000" s="254"/>
      <c r="X1000" s="463"/>
      <c r="Y1000" s="9"/>
      <c r="Z1000" s="9"/>
      <c r="AA1000" s="9"/>
      <c r="AB1000" s="9"/>
      <c r="AC1000" s="234"/>
      <c r="AD1000" s="234"/>
      <c r="AE1000" s="234"/>
      <c r="AF1000" s="234"/>
      <c r="AG1000" s="9"/>
      <c r="AH1000" s="9"/>
      <c r="AI1000" s="9"/>
      <c r="AJ1000" s="9"/>
      <c r="AK1000" s="245"/>
      <c r="AL1000" s="245"/>
      <c r="AM1000" s="245"/>
      <c r="AN1000" s="245"/>
      <c r="AO1000" s="9"/>
      <c r="AP1000" s="9"/>
      <c r="AQ1000" s="9"/>
      <c r="AR1000" s="9"/>
      <c r="AS1000" s="9"/>
      <c r="AT1000" s="9"/>
      <c r="AU1000" s="9"/>
      <c r="AV1000" s="9"/>
    </row>
    <row r="1001">
      <c r="A1001" s="253"/>
      <c r="B1001" s="254"/>
      <c r="C1001" s="463"/>
      <c r="D1001" s="253"/>
      <c r="E1001" s="254"/>
      <c r="F1001" s="463"/>
      <c r="G1001" s="253"/>
      <c r="H1001" s="254"/>
      <c r="I1001" s="463"/>
      <c r="J1001" s="253"/>
      <c r="K1001" s="254"/>
      <c r="L1001" s="463"/>
      <c r="M1001" s="253"/>
      <c r="N1001" s="254"/>
      <c r="O1001" s="463"/>
      <c r="P1001" s="253"/>
      <c r="Q1001" s="254"/>
      <c r="R1001" s="463"/>
      <c r="S1001" s="253"/>
      <c r="T1001" s="254"/>
      <c r="U1001" s="463"/>
      <c r="V1001" s="253"/>
      <c r="W1001" s="254"/>
      <c r="X1001" s="463"/>
      <c r="Y1001" s="9"/>
      <c r="Z1001" s="9"/>
      <c r="AA1001" s="9"/>
      <c r="AB1001" s="9"/>
      <c r="AC1001" s="234"/>
      <c r="AD1001" s="234"/>
      <c r="AE1001" s="234"/>
      <c r="AF1001" s="234"/>
      <c r="AG1001" s="9"/>
      <c r="AH1001" s="9"/>
      <c r="AI1001" s="9"/>
      <c r="AJ1001" s="9"/>
      <c r="AK1001" s="245"/>
      <c r="AL1001" s="245"/>
      <c r="AM1001" s="245"/>
      <c r="AN1001" s="245"/>
      <c r="AO1001" s="9"/>
      <c r="AP1001" s="9"/>
      <c r="AQ1001" s="9"/>
      <c r="AR1001" s="9"/>
      <c r="AS1001" s="9"/>
      <c r="AT1001" s="9"/>
      <c r="AU1001" s="9"/>
      <c r="AV1001" s="9"/>
    </row>
    <row r="1002">
      <c r="A1002" s="253"/>
      <c r="B1002" s="254"/>
      <c r="C1002" s="463"/>
      <c r="D1002" s="253"/>
      <c r="E1002" s="254"/>
      <c r="F1002" s="463"/>
      <c r="G1002" s="253"/>
      <c r="H1002" s="254"/>
      <c r="I1002" s="463"/>
      <c r="J1002" s="253"/>
      <c r="K1002" s="254"/>
      <c r="L1002" s="463"/>
      <c r="M1002" s="253"/>
      <c r="N1002" s="254"/>
      <c r="O1002" s="463"/>
      <c r="P1002" s="253"/>
      <c r="Q1002" s="254"/>
      <c r="R1002" s="463"/>
      <c r="S1002" s="253"/>
      <c r="T1002" s="254"/>
      <c r="U1002" s="463"/>
      <c r="V1002" s="253"/>
      <c r="W1002" s="254"/>
      <c r="X1002" s="463"/>
      <c r="Y1002" s="9"/>
      <c r="Z1002" s="9"/>
      <c r="AA1002" s="9"/>
      <c r="AB1002" s="9"/>
      <c r="AC1002" s="234"/>
      <c r="AD1002" s="234"/>
      <c r="AE1002" s="234"/>
      <c r="AF1002" s="234"/>
      <c r="AG1002" s="9"/>
      <c r="AH1002" s="9"/>
      <c r="AI1002" s="9"/>
      <c r="AJ1002" s="9"/>
      <c r="AK1002" s="245"/>
      <c r="AL1002" s="245"/>
      <c r="AM1002" s="245"/>
      <c r="AN1002" s="245"/>
      <c r="AO1002" s="9"/>
      <c r="AP1002" s="9"/>
      <c r="AQ1002" s="9"/>
      <c r="AR1002" s="9"/>
      <c r="AS1002" s="9"/>
      <c r="AT1002" s="9"/>
      <c r="AU1002" s="9"/>
      <c r="AV1002" s="9"/>
    </row>
    <row r="1003">
      <c r="A1003" s="253"/>
      <c r="B1003" s="254"/>
      <c r="C1003" s="463"/>
      <c r="D1003" s="253"/>
      <c r="E1003" s="254"/>
      <c r="F1003" s="463"/>
      <c r="G1003" s="253"/>
      <c r="H1003" s="254"/>
      <c r="I1003" s="463"/>
      <c r="J1003" s="253"/>
      <c r="K1003" s="254"/>
      <c r="L1003" s="463"/>
      <c r="M1003" s="253"/>
      <c r="N1003" s="254"/>
      <c r="O1003" s="463"/>
      <c r="P1003" s="253"/>
      <c r="Q1003" s="254"/>
      <c r="R1003" s="463"/>
      <c r="S1003" s="253"/>
      <c r="T1003" s="254"/>
      <c r="U1003" s="463"/>
      <c r="V1003" s="253"/>
      <c r="W1003" s="254"/>
      <c r="X1003" s="463"/>
      <c r="Y1003" s="9"/>
      <c r="Z1003" s="9"/>
      <c r="AA1003" s="9"/>
      <c r="AB1003" s="9"/>
      <c r="AC1003" s="234"/>
      <c r="AD1003" s="234"/>
      <c r="AE1003" s="234"/>
      <c r="AF1003" s="234"/>
      <c r="AG1003" s="9"/>
      <c r="AH1003" s="9"/>
      <c r="AI1003" s="9"/>
      <c r="AJ1003" s="9"/>
      <c r="AK1003" s="245"/>
      <c r="AL1003" s="245"/>
      <c r="AM1003" s="245"/>
      <c r="AN1003" s="245"/>
      <c r="AO1003" s="9"/>
      <c r="AP1003" s="9"/>
      <c r="AQ1003" s="9"/>
      <c r="AR1003" s="9"/>
      <c r="AS1003" s="9"/>
      <c r="AT1003" s="9"/>
      <c r="AU1003" s="9"/>
      <c r="AV1003" s="9"/>
    </row>
    <row r="1004">
      <c r="A1004" s="253"/>
      <c r="B1004" s="254"/>
      <c r="C1004" s="463"/>
      <c r="D1004" s="253"/>
      <c r="E1004" s="254"/>
      <c r="F1004" s="463"/>
      <c r="G1004" s="253"/>
      <c r="H1004" s="254"/>
      <c r="I1004" s="463"/>
      <c r="J1004" s="253"/>
      <c r="K1004" s="254"/>
      <c r="L1004" s="463"/>
      <c r="M1004" s="253"/>
      <c r="N1004" s="254"/>
      <c r="O1004" s="463"/>
      <c r="P1004" s="253"/>
      <c r="Q1004" s="254"/>
      <c r="R1004" s="463"/>
      <c r="S1004" s="253"/>
      <c r="T1004" s="254"/>
      <c r="U1004" s="463"/>
      <c r="V1004" s="253"/>
      <c r="W1004" s="254"/>
      <c r="X1004" s="463"/>
      <c r="Y1004" s="9"/>
      <c r="Z1004" s="9"/>
      <c r="AA1004" s="9"/>
      <c r="AB1004" s="9"/>
      <c r="AC1004" s="234"/>
      <c r="AD1004" s="234"/>
      <c r="AE1004" s="234"/>
      <c r="AF1004" s="234"/>
      <c r="AG1004" s="9"/>
      <c r="AH1004" s="9"/>
      <c r="AI1004" s="9"/>
      <c r="AJ1004" s="9"/>
      <c r="AK1004" s="245"/>
      <c r="AL1004" s="245"/>
      <c r="AM1004" s="245"/>
      <c r="AN1004" s="245"/>
      <c r="AO1004" s="9"/>
      <c r="AP1004" s="9"/>
      <c r="AQ1004" s="9"/>
      <c r="AR1004" s="9"/>
      <c r="AS1004" s="9"/>
      <c r="AT1004" s="9"/>
      <c r="AU1004" s="9"/>
      <c r="AV1004" s="9"/>
    </row>
    <row r="1005">
      <c r="A1005" s="253"/>
      <c r="B1005" s="254"/>
      <c r="C1005" s="463"/>
      <c r="D1005" s="253"/>
      <c r="E1005" s="254"/>
      <c r="F1005" s="463"/>
      <c r="G1005" s="253"/>
      <c r="H1005" s="254"/>
      <c r="I1005" s="463"/>
      <c r="J1005" s="253"/>
      <c r="K1005" s="254"/>
      <c r="L1005" s="463"/>
      <c r="M1005" s="253"/>
      <c r="N1005" s="254"/>
      <c r="O1005" s="463"/>
      <c r="P1005" s="253"/>
      <c r="Q1005" s="254"/>
      <c r="R1005" s="463"/>
      <c r="S1005" s="253"/>
      <c r="T1005" s="254"/>
      <c r="U1005" s="463"/>
      <c r="V1005" s="253"/>
      <c r="W1005" s="254"/>
      <c r="X1005" s="463"/>
      <c r="Y1005" s="9"/>
      <c r="Z1005" s="9"/>
      <c r="AA1005" s="9"/>
      <c r="AB1005" s="9"/>
      <c r="AC1005" s="234"/>
      <c r="AD1005" s="234"/>
      <c r="AE1005" s="234"/>
      <c r="AF1005" s="234"/>
      <c r="AG1005" s="9"/>
      <c r="AH1005" s="9"/>
      <c r="AI1005" s="9"/>
      <c r="AJ1005" s="9"/>
      <c r="AK1005" s="245"/>
      <c r="AL1005" s="245"/>
      <c r="AM1005" s="245"/>
      <c r="AN1005" s="245"/>
      <c r="AO1005" s="9"/>
      <c r="AP1005" s="9"/>
      <c r="AQ1005" s="9"/>
      <c r="AR1005" s="9"/>
      <c r="AS1005" s="9"/>
      <c r="AT1005" s="9"/>
      <c r="AU1005" s="9"/>
      <c r="AV1005" s="9"/>
    </row>
    <row r="1006">
      <c r="A1006" s="253"/>
      <c r="B1006" s="254"/>
      <c r="C1006" s="463"/>
      <c r="D1006" s="253"/>
      <c r="E1006" s="254"/>
      <c r="F1006" s="463"/>
      <c r="G1006" s="253"/>
      <c r="H1006" s="254"/>
      <c r="I1006" s="463"/>
      <c r="J1006" s="253"/>
      <c r="K1006" s="254"/>
      <c r="L1006" s="463"/>
      <c r="M1006" s="253"/>
      <c r="N1006" s="254"/>
      <c r="O1006" s="463"/>
      <c r="P1006" s="253"/>
      <c r="Q1006" s="254"/>
      <c r="R1006" s="463"/>
      <c r="S1006" s="253"/>
      <c r="T1006" s="254"/>
      <c r="U1006" s="463"/>
      <c r="V1006" s="253"/>
      <c r="W1006" s="254"/>
      <c r="X1006" s="463"/>
      <c r="Y1006" s="9"/>
      <c r="Z1006" s="9"/>
      <c r="AA1006" s="9"/>
      <c r="AB1006" s="9"/>
      <c r="AC1006" s="234"/>
      <c r="AD1006" s="234"/>
      <c r="AE1006" s="234"/>
      <c r="AF1006" s="234"/>
      <c r="AG1006" s="9"/>
      <c r="AH1006" s="9"/>
      <c r="AI1006" s="9"/>
      <c r="AJ1006" s="9"/>
      <c r="AK1006" s="245"/>
      <c r="AL1006" s="245"/>
      <c r="AM1006" s="245"/>
      <c r="AN1006" s="245"/>
      <c r="AO1006" s="9"/>
      <c r="AP1006" s="9"/>
      <c r="AQ1006" s="9"/>
      <c r="AR1006" s="9"/>
      <c r="AS1006" s="9"/>
      <c r="AT1006" s="9"/>
      <c r="AU1006" s="9"/>
      <c r="AV1006" s="9"/>
    </row>
    <row r="1007">
      <c r="A1007" s="253"/>
      <c r="B1007" s="254"/>
      <c r="C1007" s="463"/>
      <c r="D1007" s="253"/>
      <c r="E1007" s="254"/>
      <c r="F1007" s="463"/>
      <c r="G1007" s="253"/>
      <c r="H1007" s="254"/>
      <c r="I1007" s="463"/>
      <c r="J1007" s="253"/>
      <c r="K1007" s="254"/>
      <c r="L1007" s="463"/>
      <c r="M1007" s="253"/>
      <c r="N1007" s="254"/>
      <c r="O1007" s="463"/>
      <c r="P1007" s="253"/>
      <c r="Q1007" s="254"/>
      <c r="R1007" s="463"/>
      <c r="S1007" s="253"/>
      <c r="T1007" s="254"/>
      <c r="U1007" s="463"/>
      <c r="V1007" s="253"/>
      <c r="W1007" s="254"/>
      <c r="X1007" s="463"/>
      <c r="Y1007" s="9"/>
      <c r="Z1007" s="9"/>
      <c r="AA1007" s="9"/>
      <c r="AB1007" s="9"/>
      <c r="AC1007" s="234"/>
      <c r="AD1007" s="234"/>
      <c r="AE1007" s="234"/>
      <c r="AF1007" s="234"/>
      <c r="AG1007" s="9"/>
      <c r="AH1007" s="9"/>
      <c r="AI1007" s="9"/>
      <c r="AJ1007" s="9"/>
      <c r="AK1007" s="245"/>
      <c r="AL1007" s="245"/>
      <c r="AM1007" s="245"/>
      <c r="AN1007" s="245"/>
      <c r="AO1007" s="9"/>
      <c r="AP1007" s="9"/>
      <c r="AQ1007" s="9"/>
      <c r="AR1007" s="9"/>
      <c r="AS1007" s="9"/>
      <c r="AT1007" s="9"/>
      <c r="AU1007" s="9"/>
      <c r="AV1007" s="9"/>
    </row>
    <row r="1008">
      <c r="A1008" s="253"/>
      <c r="B1008" s="254"/>
      <c r="C1008" s="463"/>
      <c r="D1008" s="253"/>
      <c r="E1008" s="254"/>
      <c r="F1008" s="463"/>
      <c r="G1008" s="253"/>
      <c r="H1008" s="254"/>
      <c r="I1008" s="463"/>
      <c r="J1008" s="253"/>
      <c r="K1008" s="254"/>
      <c r="L1008" s="463"/>
      <c r="M1008" s="253"/>
      <c r="N1008" s="254"/>
      <c r="O1008" s="463"/>
      <c r="P1008" s="253"/>
      <c r="Q1008" s="254"/>
      <c r="R1008" s="463"/>
      <c r="S1008" s="253"/>
      <c r="T1008" s="254"/>
      <c r="U1008" s="463"/>
      <c r="V1008" s="253"/>
      <c r="W1008" s="254"/>
      <c r="X1008" s="463"/>
      <c r="Y1008" s="9"/>
      <c r="Z1008" s="9"/>
      <c r="AA1008" s="9"/>
      <c r="AB1008" s="9"/>
      <c r="AC1008" s="234"/>
      <c r="AD1008" s="234"/>
      <c r="AE1008" s="234"/>
      <c r="AF1008" s="234"/>
      <c r="AG1008" s="9"/>
      <c r="AH1008" s="9"/>
      <c r="AI1008" s="9"/>
      <c r="AJ1008" s="9"/>
      <c r="AK1008" s="245"/>
      <c r="AL1008" s="245"/>
      <c r="AM1008" s="245"/>
      <c r="AN1008" s="245"/>
      <c r="AO1008" s="9"/>
      <c r="AP1008" s="9"/>
      <c r="AQ1008" s="9"/>
      <c r="AR1008" s="9"/>
      <c r="AS1008" s="9"/>
      <c r="AT1008" s="9"/>
      <c r="AU1008" s="9"/>
      <c r="AV1008" s="9"/>
    </row>
    <row r="1009">
      <c r="A1009" s="253"/>
      <c r="B1009" s="254"/>
      <c r="C1009" s="463"/>
      <c r="D1009" s="253"/>
      <c r="E1009" s="254"/>
      <c r="F1009" s="463"/>
      <c r="G1009" s="253"/>
      <c r="H1009" s="254"/>
      <c r="I1009" s="463"/>
      <c r="J1009" s="253"/>
      <c r="K1009" s="254"/>
      <c r="L1009" s="463"/>
      <c r="M1009" s="253"/>
      <c r="N1009" s="254"/>
      <c r="O1009" s="463"/>
      <c r="P1009" s="253"/>
      <c r="Q1009" s="254"/>
      <c r="R1009" s="463"/>
      <c r="S1009" s="253"/>
      <c r="T1009" s="254"/>
      <c r="U1009" s="463"/>
      <c r="V1009" s="253"/>
      <c r="W1009" s="254"/>
      <c r="X1009" s="463"/>
      <c r="Y1009" s="9"/>
      <c r="Z1009" s="9"/>
      <c r="AA1009" s="9"/>
      <c r="AB1009" s="9"/>
      <c r="AC1009" s="234"/>
      <c r="AD1009" s="234"/>
      <c r="AE1009" s="234"/>
      <c r="AF1009" s="234"/>
      <c r="AG1009" s="9"/>
      <c r="AH1009" s="9"/>
      <c r="AI1009" s="9"/>
      <c r="AJ1009" s="9"/>
      <c r="AK1009" s="245"/>
      <c r="AL1009" s="245"/>
      <c r="AM1009" s="245"/>
      <c r="AN1009" s="245"/>
      <c r="AO1009" s="9"/>
      <c r="AP1009" s="9"/>
      <c r="AQ1009" s="9"/>
      <c r="AR1009" s="9"/>
      <c r="AS1009" s="9"/>
      <c r="AT1009" s="9"/>
      <c r="AU1009" s="9"/>
      <c r="AV1009" s="9"/>
    </row>
    <row r="1010">
      <c r="A1010" s="253"/>
      <c r="B1010" s="254"/>
      <c r="C1010" s="463"/>
      <c r="D1010" s="253"/>
      <c r="E1010" s="254"/>
      <c r="F1010" s="463"/>
      <c r="G1010" s="253"/>
      <c r="H1010" s="254"/>
      <c r="I1010" s="463"/>
      <c r="J1010" s="253"/>
      <c r="K1010" s="254"/>
      <c r="L1010" s="463"/>
      <c r="M1010" s="253"/>
      <c r="N1010" s="254"/>
      <c r="O1010" s="463"/>
      <c r="P1010" s="253"/>
      <c r="Q1010" s="254"/>
      <c r="R1010" s="463"/>
      <c r="S1010" s="253"/>
      <c r="T1010" s="254"/>
      <c r="U1010" s="463"/>
      <c r="V1010" s="253"/>
      <c r="W1010" s="254"/>
      <c r="X1010" s="463"/>
      <c r="Y1010" s="9"/>
      <c r="Z1010" s="9"/>
      <c r="AA1010" s="9"/>
      <c r="AB1010" s="9"/>
      <c r="AC1010" s="234"/>
      <c r="AD1010" s="234"/>
      <c r="AE1010" s="234"/>
      <c r="AF1010" s="234"/>
      <c r="AG1010" s="9"/>
      <c r="AH1010" s="9"/>
      <c r="AI1010" s="9"/>
      <c r="AJ1010" s="9"/>
      <c r="AK1010" s="245"/>
      <c r="AL1010" s="245"/>
      <c r="AM1010" s="245"/>
      <c r="AN1010" s="245"/>
      <c r="AO1010" s="9"/>
      <c r="AP1010" s="9"/>
      <c r="AQ1010" s="9"/>
      <c r="AR1010" s="9"/>
      <c r="AS1010" s="9"/>
      <c r="AT1010" s="9"/>
      <c r="AU1010" s="9"/>
      <c r="AV1010" s="9"/>
    </row>
    <row r="1011">
      <c r="A1011" s="253"/>
      <c r="B1011" s="254"/>
      <c r="C1011" s="463"/>
      <c r="D1011" s="253"/>
      <c r="E1011" s="254"/>
      <c r="F1011" s="463"/>
      <c r="G1011" s="253"/>
      <c r="H1011" s="254"/>
      <c r="I1011" s="463"/>
      <c r="J1011" s="253"/>
      <c r="K1011" s="254"/>
      <c r="L1011" s="463"/>
      <c r="M1011" s="253"/>
      <c r="N1011" s="254"/>
      <c r="O1011" s="463"/>
      <c r="P1011" s="253"/>
      <c r="Q1011" s="254"/>
      <c r="R1011" s="463"/>
      <c r="S1011" s="253"/>
      <c r="T1011" s="254"/>
      <c r="U1011" s="463"/>
      <c r="V1011" s="253"/>
      <c r="W1011" s="254"/>
      <c r="X1011" s="463"/>
      <c r="Y1011" s="9"/>
      <c r="Z1011" s="9"/>
      <c r="AA1011" s="9"/>
      <c r="AB1011" s="9"/>
      <c r="AC1011" s="336"/>
      <c r="AD1011" s="267"/>
      <c r="AE1011" s="479"/>
      <c r="AF1011" s="234"/>
      <c r="AG1011" s="9"/>
      <c r="AH1011" s="9"/>
      <c r="AI1011" s="9"/>
      <c r="AJ1011" s="9"/>
      <c r="AK1011" s="245"/>
      <c r="AL1011" s="245"/>
      <c r="AM1011" s="245"/>
      <c r="AN1011" s="245"/>
      <c r="AO1011" s="9"/>
      <c r="AP1011" s="9"/>
      <c r="AQ1011" s="9"/>
      <c r="AR1011" s="9"/>
      <c r="AS1011" s="9"/>
      <c r="AT1011" s="9"/>
      <c r="AU1011" s="9"/>
      <c r="AV1011" s="9"/>
    </row>
    <row r="1012">
      <c r="A1012" s="253"/>
      <c r="B1012" s="254"/>
      <c r="C1012" s="463"/>
      <c r="D1012" s="253"/>
      <c r="E1012" s="254"/>
      <c r="F1012" s="463"/>
      <c r="G1012" s="253"/>
      <c r="H1012" s="254"/>
      <c r="I1012" s="463"/>
      <c r="J1012" s="253"/>
      <c r="K1012" s="254"/>
      <c r="L1012" s="463"/>
      <c r="M1012" s="253"/>
      <c r="N1012" s="254"/>
      <c r="O1012" s="463"/>
      <c r="P1012" s="253"/>
      <c r="Q1012" s="254"/>
      <c r="R1012" s="463"/>
      <c r="S1012" s="253"/>
      <c r="T1012" s="254"/>
      <c r="U1012" s="463"/>
      <c r="V1012" s="253"/>
      <c r="W1012" s="254"/>
      <c r="X1012" s="463"/>
      <c r="Y1012" s="9"/>
      <c r="Z1012" s="9"/>
      <c r="AA1012" s="9"/>
      <c r="AB1012" s="9"/>
      <c r="AC1012" s="336"/>
      <c r="AD1012" s="267"/>
      <c r="AE1012" s="479"/>
      <c r="AF1012" s="234"/>
      <c r="AG1012" s="9"/>
      <c r="AH1012" s="9"/>
      <c r="AI1012" s="9"/>
      <c r="AJ1012" s="9"/>
      <c r="AK1012" s="245"/>
      <c r="AL1012" s="245"/>
      <c r="AM1012" s="245"/>
      <c r="AN1012" s="245"/>
      <c r="AO1012" s="9"/>
      <c r="AP1012" s="9"/>
      <c r="AQ1012" s="9"/>
      <c r="AR1012" s="9"/>
      <c r="AS1012" s="9"/>
      <c r="AT1012" s="9"/>
      <c r="AU1012" s="9"/>
      <c r="AV1012" s="9"/>
    </row>
    <row r="1013">
      <c r="A1013" s="253"/>
      <c r="B1013" s="254"/>
      <c r="C1013" s="463"/>
      <c r="D1013" s="253"/>
      <c r="E1013" s="254"/>
      <c r="F1013" s="463"/>
      <c r="G1013" s="253"/>
      <c r="H1013" s="254"/>
      <c r="I1013" s="463"/>
      <c r="J1013" s="253"/>
      <c r="K1013" s="254"/>
      <c r="L1013" s="463"/>
      <c r="M1013" s="253"/>
      <c r="N1013" s="254"/>
      <c r="O1013" s="463"/>
      <c r="P1013" s="253"/>
      <c r="Q1013" s="254"/>
      <c r="R1013" s="463"/>
      <c r="S1013" s="253"/>
      <c r="T1013" s="254"/>
      <c r="U1013" s="463"/>
      <c r="V1013" s="253"/>
      <c r="W1013" s="254"/>
      <c r="X1013" s="463"/>
      <c r="Y1013" s="9"/>
      <c r="Z1013" s="9"/>
      <c r="AA1013" s="9"/>
      <c r="AB1013" s="9"/>
      <c r="AC1013" s="336"/>
      <c r="AD1013" s="267"/>
      <c r="AE1013" s="479"/>
      <c r="AF1013" s="234"/>
      <c r="AG1013" s="9"/>
      <c r="AH1013" s="9"/>
      <c r="AI1013" s="9"/>
      <c r="AJ1013" s="9"/>
      <c r="AK1013" s="245"/>
      <c r="AL1013" s="245"/>
      <c r="AM1013" s="245"/>
      <c r="AN1013" s="245"/>
      <c r="AO1013" s="9"/>
      <c r="AP1013" s="9"/>
      <c r="AQ1013" s="9"/>
      <c r="AR1013" s="9"/>
      <c r="AS1013" s="9"/>
      <c r="AT1013" s="9"/>
      <c r="AU1013" s="9"/>
      <c r="AV1013" s="9"/>
    </row>
    <row r="1014">
      <c r="A1014" s="253"/>
      <c r="B1014" s="254"/>
      <c r="C1014" s="463"/>
      <c r="D1014" s="253"/>
      <c r="E1014" s="254"/>
      <c r="F1014" s="463"/>
      <c r="G1014" s="253"/>
      <c r="H1014" s="254"/>
      <c r="I1014" s="463"/>
      <c r="J1014" s="253"/>
      <c r="K1014" s="254"/>
      <c r="L1014" s="463"/>
      <c r="M1014" s="253"/>
      <c r="N1014" s="254"/>
      <c r="O1014" s="463"/>
      <c r="P1014" s="253"/>
      <c r="Q1014" s="254"/>
      <c r="R1014" s="463"/>
      <c r="S1014" s="253"/>
      <c r="T1014" s="254"/>
      <c r="U1014" s="463"/>
      <c r="V1014" s="253"/>
      <c r="W1014" s="254"/>
      <c r="X1014" s="463"/>
      <c r="Y1014" s="9"/>
      <c r="Z1014" s="9"/>
      <c r="AA1014" s="9"/>
      <c r="AB1014" s="9"/>
      <c r="AC1014" s="336"/>
      <c r="AD1014" s="267"/>
      <c r="AE1014" s="479"/>
      <c r="AF1014" s="234"/>
      <c r="AG1014" s="9"/>
      <c r="AH1014" s="9"/>
      <c r="AI1014" s="9"/>
      <c r="AJ1014" s="9"/>
      <c r="AK1014" s="245"/>
      <c r="AL1014" s="245"/>
      <c r="AM1014" s="245"/>
      <c r="AN1014" s="245"/>
      <c r="AO1014" s="9"/>
      <c r="AP1014" s="9"/>
      <c r="AQ1014" s="9"/>
      <c r="AR1014" s="9"/>
      <c r="AS1014" s="9"/>
      <c r="AT1014" s="9"/>
      <c r="AU1014" s="9"/>
      <c r="AV1014" s="9"/>
    </row>
    <row r="1015">
      <c r="A1015" s="253"/>
      <c r="B1015" s="254"/>
      <c r="C1015" s="463"/>
      <c r="D1015" s="253"/>
      <c r="E1015" s="254"/>
      <c r="F1015" s="463"/>
      <c r="G1015" s="253"/>
      <c r="H1015" s="254"/>
      <c r="I1015" s="463"/>
      <c r="J1015" s="253"/>
      <c r="K1015" s="254"/>
      <c r="L1015" s="463"/>
      <c r="M1015" s="253"/>
      <c r="N1015" s="254"/>
      <c r="O1015" s="463"/>
      <c r="P1015" s="253"/>
      <c r="Q1015" s="254"/>
      <c r="R1015" s="463"/>
      <c r="S1015" s="253"/>
      <c r="T1015" s="254"/>
      <c r="U1015" s="463"/>
      <c r="V1015" s="253"/>
      <c r="W1015" s="254"/>
      <c r="X1015" s="463"/>
      <c r="Y1015" s="9"/>
      <c r="Z1015" s="9"/>
      <c r="AA1015" s="9"/>
      <c r="AB1015" s="9"/>
      <c r="AC1015" s="336"/>
      <c r="AD1015" s="267"/>
      <c r="AE1015" s="479"/>
      <c r="AF1015" s="234"/>
      <c r="AG1015" s="9"/>
      <c r="AH1015" s="9"/>
      <c r="AI1015" s="9"/>
      <c r="AJ1015" s="9"/>
      <c r="AK1015" s="245"/>
      <c r="AL1015" s="245"/>
      <c r="AM1015" s="245"/>
      <c r="AN1015" s="245"/>
      <c r="AO1015" s="9"/>
      <c r="AP1015" s="9"/>
      <c r="AQ1015" s="9"/>
      <c r="AR1015" s="9"/>
      <c r="AS1015" s="9"/>
      <c r="AT1015" s="9"/>
      <c r="AU1015" s="9"/>
      <c r="AV1015" s="9"/>
    </row>
    <row r="1016">
      <c r="A1016" s="253"/>
      <c r="B1016" s="254"/>
      <c r="C1016" s="463"/>
      <c r="D1016" s="253"/>
      <c r="E1016" s="254"/>
      <c r="F1016" s="463"/>
      <c r="G1016" s="253"/>
      <c r="H1016" s="254"/>
      <c r="I1016" s="463"/>
      <c r="J1016" s="253"/>
      <c r="K1016" s="254"/>
      <c r="L1016" s="463"/>
      <c r="M1016" s="253"/>
      <c r="N1016" s="254"/>
      <c r="O1016" s="463"/>
      <c r="P1016" s="253"/>
      <c r="Q1016" s="254"/>
      <c r="R1016" s="463"/>
      <c r="S1016" s="253"/>
      <c r="T1016" s="254"/>
      <c r="U1016" s="463"/>
      <c r="V1016" s="253"/>
      <c r="W1016" s="254"/>
      <c r="X1016" s="463"/>
      <c r="Y1016" s="9"/>
      <c r="Z1016" s="9"/>
      <c r="AA1016" s="9"/>
      <c r="AB1016" s="9"/>
      <c r="AC1016" s="336"/>
      <c r="AD1016" s="267"/>
      <c r="AE1016" s="479"/>
      <c r="AF1016" s="234"/>
      <c r="AG1016" s="9"/>
      <c r="AH1016" s="9"/>
      <c r="AI1016" s="9"/>
      <c r="AJ1016" s="9"/>
      <c r="AK1016" s="245"/>
      <c r="AL1016" s="245"/>
      <c r="AM1016" s="245"/>
      <c r="AN1016" s="245"/>
      <c r="AO1016" s="9"/>
      <c r="AP1016" s="9"/>
      <c r="AQ1016" s="9"/>
      <c r="AR1016" s="9"/>
      <c r="AS1016" s="9"/>
      <c r="AT1016" s="9"/>
      <c r="AU1016" s="9"/>
      <c r="AV1016" s="9"/>
    </row>
    <row r="1017">
      <c r="A1017" s="253"/>
      <c r="B1017" s="254"/>
      <c r="C1017" s="463"/>
      <c r="D1017" s="253"/>
      <c r="E1017" s="254"/>
      <c r="F1017" s="463"/>
      <c r="G1017" s="253"/>
      <c r="H1017" s="254"/>
      <c r="I1017" s="463"/>
      <c r="J1017" s="253"/>
      <c r="K1017" s="254"/>
      <c r="L1017" s="463"/>
      <c r="M1017" s="253"/>
      <c r="N1017" s="254"/>
      <c r="O1017" s="463"/>
      <c r="P1017" s="253"/>
      <c r="Q1017" s="254"/>
      <c r="R1017" s="463"/>
      <c r="S1017" s="253"/>
      <c r="T1017" s="254"/>
      <c r="U1017" s="463"/>
      <c r="V1017" s="253"/>
      <c r="W1017" s="254"/>
      <c r="X1017" s="463"/>
      <c r="Y1017" s="9"/>
      <c r="Z1017" s="9"/>
      <c r="AA1017" s="9"/>
      <c r="AB1017" s="9"/>
      <c r="AC1017" s="336"/>
      <c r="AD1017" s="267"/>
      <c r="AE1017" s="479"/>
      <c r="AF1017" s="234"/>
      <c r="AG1017" s="9"/>
      <c r="AH1017" s="9"/>
      <c r="AI1017" s="9"/>
      <c r="AJ1017" s="9"/>
      <c r="AK1017" s="245"/>
      <c r="AL1017" s="245"/>
      <c r="AM1017" s="245"/>
      <c r="AN1017" s="245"/>
      <c r="AO1017" s="9"/>
      <c r="AP1017" s="9"/>
      <c r="AQ1017" s="9"/>
      <c r="AR1017" s="9"/>
      <c r="AS1017" s="9"/>
      <c r="AT1017" s="9"/>
      <c r="AU1017" s="9"/>
      <c r="AV1017" s="9"/>
    </row>
    <row r="1018">
      <c r="A1018" s="253"/>
      <c r="B1018" s="254"/>
      <c r="C1018" s="463"/>
      <c r="D1018" s="253"/>
      <c r="E1018" s="254"/>
      <c r="F1018" s="463"/>
      <c r="G1018" s="253"/>
      <c r="H1018" s="254"/>
      <c r="I1018" s="463"/>
      <c r="J1018" s="253"/>
      <c r="K1018" s="254"/>
      <c r="L1018" s="463"/>
      <c r="M1018" s="253"/>
      <c r="N1018" s="254"/>
      <c r="O1018" s="463"/>
      <c r="P1018" s="253"/>
      <c r="Q1018" s="254"/>
      <c r="R1018" s="463"/>
      <c r="S1018" s="253"/>
      <c r="T1018" s="254"/>
      <c r="U1018" s="463"/>
      <c r="V1018" s="253"/>
      <c r="W1018" s="254"/>
      <c r="X1018" s="463"/>
      <c r="Y1018" s="9"/>
      <c r="Z1018" s="9"/>
      <c r="AA1018" s="9"/>
      <c r="AB1018" s="9"/>
      <c r="AC1018" s="336"/>
      <c r="AD1018" s="267"/>
      <c r="AE1018" s="479"/>
      <c r="AF1018" s="234"/>
      <c r="AG1018" s="9"/>
      <c r="AH1018" s="9"/>
      <c r="AI1018" s="9"/>
      <c r="AJ1018" s="9"/>
      <c r="AK1018" s="245"/>
      <c r="AL1018" s="245"/>
      <c r="AM1018" s="245"/>
      <c r="AN1018" s="245"/>
      <c r="AO1018" s="9"/>
      <c r="AP1018" s="9"/>
      <c r="AQ1018" s="9"/>
      <c r="AR1018" s="9"/>
      <c r="AS1018" s="9"/>
      <c r="AT1018" s="9"/>
      <c r="AU1018" s="9"/>
      <c r="AV1018" s="9"/>
    </row>
    <row r="1019">
      <c r="A1019" s="253"/>
      <c r="B1019" s="254"/>
      <c r="C1019" s="463"/>
      <c r="D1019" s="253"/>
      <c r="E1019" s="254"/>
      <c r="F1019" s="463"/>
      <c r="G1019" s="253"/>
      <c r="H1019" s="254"/>
      <c r="I1019" s="463"/>
      <c r="J1019" s="253"/>
      <c r="K1019" s="254"/>
      <c r="L1019" s="463"/>
      <c r="M1019" s="253"/>
      <c r="N1019" s="254"/>
      <c r="O1019" s="463"/>
      <c r="P1019" s="253"/>
      <c r="Q1019" s="254"/>
      <c r="R1019" s="463"/>
      <c r="S1019" s="253"/>
      <c r="T1019" s="254"/>
      <c r="U1019" s="463"/>
      <c r="V1019" s="253"/>
      <c r="W1019" s="254"/>
      <c r="X1019" s="463"/>
      <c r="Y1019" s="9"/>
      <c r="Z1019" s="9"/>
      <c r="AA1019" s="9"/>
      <c r="AB1019" s="9"/>
      <c r="AC1019" s="336"/>
      <c r="AD1019" s="267"/>
      <c r="AE1019" s="479"/>
      <c r="AF1019" s="234"/>
      <c r="AG1019" s="9"/>
      <c r="AH1019" s="9"/>
      <c r="AI1019" s="9"/>
      <c r="AJ1019" s="9"/>
      <c r="AK1019" s="245"/>
      <c r="AL1019" s="245"/>
      <c r="AM1019" s="245"/>
      <c r="AN1019" s="245"/>
      <c r="AO1019" s="9"/>
      <c r="AP1019" s="9"/>
      <c r="AQ1019" s="9"/>
      <c r="AR1019" s="9"/>
      <c r="AS1019" s="9"/>
      <c r="AT1019" s="9"/>
      <c r="AU1019" s="9"/>
      <c r="AV1019" s="9"/>
    </row>
    <row r="1020">
      <c r="A1020" s="253"/>
      <c r="B1020" s="254"/>
      <c r="C1020" s="463"/>
      <c r="D1020" s="253"/>
      <c r="E1020" s="254"/>
      <c r="F1020" s="463"/>
      <c r="G1020" s="253"/>
      <c r="H1020" s="254"/>
      <c r="I1020" s="463"/>
      <c r="J1020" s="253"/>
      <c r="K1020" s="254"/>
      <c r="L1020" s="463"/>
      <c r="M1020" s="253"/>
      <c r="N1020" s="254"/>
      <c r="O1020" s="463"/>
      <c r="P1020" s="253"/>
      <c r="Q1020" s="254"/>
      <c r="R1020" s="463"/>
      <c r="S1020" s="253"/>
      <c r="T1020" s="254"/>
      <c r="U1020" s="463"/>
      <c r="V1020" s="253"/>
      <c r="W1020" s="254"/>
      <c r="X1020" s="463"/>
      <c r="Y1020" s="9"/>
      <c r="Z1020" s="9"/>
      <c r="AA1020" s="9"/>
      <c r="AB1020" s="9"/>
      <c r="AC1020" s="336"/>
      <c r="AD1020" s="267"/>
      <c r="AE1020" s="479"/>
      <c r="AF1020" s="234"/>
      <c r="AG1020" s="9"/>
      <c r="AH1020" s="9"/>
      <c r="AI1020" s="9"/>
      <c r="AJ1020" s="9"/>
      <c r="AK1020" s="245"/>
      <c r="AL1020" s="245"/>
      <c r="AM1020" s="245"/>
      <c r="AN1020" s="245"/>
      <c r="AO1020" s="9"/>
      <c r="AP1020" s="9"/>
      <c r="AQ1020" s="9"/>
      <c r="AR1020" s="9"/>
      <c r="AS1020" s="9"/>
      <c r="AT1020" s="9"/>
      <c r="AU1020" s="9"/>
      <c r="AV1020" s="9"/>
    </row>
    <row r="1021">
      <c r="A1021" s="253"/>
      <c r="B1021" s="254"/>
      <c r="C1021" s="463"/>
      <c r="D1021" s="253"/>
      <c r="E1021" s="254"/>
      <c r="F1021" s="463"/>
      <c r="G1021" s="253"/>
      <c r="H1021" s="254"/>
      <c r="I1021" s="463"/>
      <c r="J1021" s="253"/>
      <c r="K1021" s="254"/>
      <c r="L1021" s="463"/>
      <c r="M1021" s="253"/>
      <c r="N1021" s="254"/>
      <c r="O1021" s="463"/>
      <c r="P1021" s="253"/>
      <c r="Q1021" s="254"/>
      <c r="R1021" s="463"/>
      <c r="S1021" s="253"/>
      <c r="T1021" s="254"/>
      <c r="U1021" s="463"/>
      <c r="V1021" s="253"/>
      <c r="W1021" s="254"/>
      <c r="X1021" s="463"/>
      <c r="Y1021" s="9"/>
      <c r="Z1021" s="9"/>
      <c r="AA1021" s="9"/>
      <c r="AB1021" s="9"/>
      <c r="AC1021" s="336"/>
      <c r="AD1021" s="267"/>
      <c r="AE1021" s="479"/>
      <c r="AF1021" s="234"/>
      <c r="AG1021" s="9"/>
      <c r="AH1021" s="9"/>
      <c r="AI1021" s="9"/>
      <c r="AJ1021" s="9"/>
      <c r="AK1021" s="245"/>
      <c r="AL1021" s="245"/>
      <c r="AM1021" s="245"/>
      <c r="AN1021" s="245"/>
      <c r="AO1021" s="9"/>
      <c r="AP1021" s="9"/>
      <c r="AQ1021" s="9"/>
      <c r="AR1021" s="9"/>
      <c r="AS1021" s="9"/>
      <c r="AT1021" s="9"/>
      <c r="AU1021" s="9"/>
      <c r="AV1021" s="9"/>
    </row>
    <row r="1022">
      <c r="A1022" s="253"/>
      <c r="B1022" s="254"/>
      <c r="C1022" s="463"/>
      <c r="D1022" s="253"/>
      <c r="E1022" s="254"/>
      <c r="F1022" s="463"/>
      <c r="G1022" s="253"/>
      <c r="H1022" s="254"/>
      <c r="I1022" s="463"/>
      <c r="J1022" s="253"/>
      <c r="K1022" s="254"/>
      <c r="L1022" s="463"/>
      <c r="M1022" s="253"/>
      <c r="N1022" s="254"/>
      <c r="O1022" s="463"/>
      <c r="P1022" s="253"/>
      <c r="Q1022" s="254"/>
      <c r="R1022" s="463"/>
      <c r="S1022" s="253"/>
      <c r="T1022" s="254"/>
      <c r="U1022" s="463"/>
      <c r="V1022" s="253"/>
      <c r="W1022" s="254"/>
      <c r="X1022" s="463"/>
      <c r="Y1022" s="9"/>
      <c r="Z1022" s="9"/>
      <c r="AA1022" s="9"/>
      <c r="AB1022" s="9"/>
      <c r="AC1022" s="336"/>
      <c r="AD1022" s="267"/>
      <c r="AE1022" s="479"/>
      <c r="AF1022" s="234"/>
      <c r="AG1022" s="9"/>
      <c r="AH1022" s="9"/>
      <c r="AI1022" s="9"/>
      <c r="AJ1022" s="9"/>
      <c r="AK1022" s="245"/>
      <c r="AL1022" s="245"/>
      <c r="AM1022" s="245"/>
      <c r="AN1022" s="245"/>
      <c r="AO1022" s="9"/>
      <c r="AP1022" s="9"/>
      <c r="AQ1022" s="9"/>
      <c r="AR1022" s="9"/>
      <c r="AS1022" s="9"/>
      <c r="AT1022" s="9"/>
      <c r="AU1022" s="9"/>
      <c r="AV1022" s="9"/>
    </row>
    <row r="1023">
      <c r="A1023" s="253"/>
      <c r="B1023" s="254"/>
      <c r="C1023" s="463"/>
      <c r="D1023" s="253"/>
      <c r="E1023" s="254"/>
      <c r="F1023" s="463"/>
      <c r="G1023" s="253"/>
      <c r="H1023" s="254"/>
      <c r="I1023" s="463"/>
      <c r="J1023" s="253"/>
      <c r="K1023" s="254"/>
      <c r="L1023" s="463"/>
      <c r="M1023" s="253"/>
      <c r="N1023" s="254"/>
      <c r="O1023" s="463"/>
      <c r="P1023" s="253"/>
      <c r="Q1023" s="254"/>
      <c r="R1023" s="463"/>
      <c r="S1023" s="253"/>
      <c r="T1023" s="254"/>
      <c r="U1023" s="463"/>
      <c r="V1023" s="253"/>
      <c r="W1023" s="254"/>
      <c r="X1023" s="463"/>
      <c r="Y1023" s="9"/>
      <c r="Z1023" s="9"/>
      <c r="AA1023" s="9"/>
      <c r="AB1023" s="9"/>
      <c r="AC1023" s="336"/>
      <c r="AD1023" s="267"/>
      <c r="AE1023" s="479"/>
      <c r="AF1023" s="234"/>
      <c r="AG1023" s="9"/>
      <c r="AH1023" s="9"/>
      <c r="AI1023" s="9"/>
      <c r="AJ1023" s="9"/>
      <c r="AK1023" s="245"/>
      <c r="AL1023" s="245"/>
      <c r="AM1023" s="245"/>
      <c r="AN1023" s="245"/>
      <c r="AO1023" s="9"/>
      <c r="AP1023" s="9"/>
      <c r="AQ1023" s="9"/>
      <c r="AR1023" s="9"/>
      <c r="AS1023" s="9"/>
      <c r="AT1023" s="9"/>
      <c r="AU1023" s="9"/>
      <c r="AV1023" s="9"/>
    </row>
    <row r="1024">
      <c r="A1024" s="253"/>
      <c r="B1024" s="254"/>
      <c r="C1024" s="463"/>
      <c r="D1024" s="253"/>
      <c r="E1024" s="254"/>
      <c r="F1024" s="463"/>
      <c r="G1024" s="253"/>
      <c r="H1024" s="254"/>
      <c r="I1024" s="463"/>
      <c r="J1024" s="253"/>
      <c r="K1024" s="254"/>
      <c r="L1024" s="463"/>
      <c r="M1024" s="253"/>
      <c r="N1024" s="254"/>
      <c r="O1024" s="463"/>
      <c r="P1024" s="253"/>
      <c r="Q1024" s="254"/>
      <c r="R1024" s="463"/>
      <c r="S1024" s="253"/>
      <c r="T1024" s="254"/>
      <c r="U1024" s="463"/>
      <c r="V1024" s="253"/>
      <c r="W1024" s="254"/>
      <c r="X1024" s="463"/>
      <c r="Y1024" s="9"/>
      <c r="Z1024" s="9"/>
      <c r="AA1024" s="9"/>
      <c r="AB1024" s="9"/>
      <c r="AC1024" s="336"/>
      <c r="AD1024" s="267"/>
      <c r="AE1024" s="479"/>
      <c r="AF1024" s="234"/>
      <c r="AG1024" s="9"/>
      <c r="AH1024" s="9"/>
      <c r="AI1024" s="9"/>
      <c r="AJ1024" s="9"/>
      <c r="AK1024" s="245"/>
      <c r="AL1024" s="245"/>
      <c r="AM1024" s="245"/>
      <c r="AN1024" s="245"/>
      <c r="AO1024" s="9"/>
      <c r="AP1024" s="9"/>
      <c r="AQ1024" s="9"/>
      <c r="AR1024" s="9"/>
      <c r="AS1024" s="9"/>
      <c r="AT1024" s="9"/>
      <c r="AU1024" s="9"/>
      <c r="AV1024" s="9"/>
    </row>
  </sheetData>
  <mergeCells count="108">
    <mergeCell ref="AC20:AF20"/>
    <mergeCell ref="AG20:AJ20"/>
    <mergeCell ref="AK20:AN20"/>
    <mergeCell ref="AO20:AR20"/>
    <mergeCell ref="AS20:AV20"/>
    <mergeCell ref="A20:D20"/>
    <mergeCell ref="E20:H20"/>
    <mergeCell ref="I20:L20"/>
    <mergeCell ref="M20:P20"/>
    <mergeCell ref="Q20:T20"/>
    <mergeCell ref="U20:X20"/>
    <mergeCell ref="Y20:AB20"/>
    <mergeCell ref="AC24:AF24"/>
    <mergeCell ref="AG24:AJ24"/>
    <mergeCell ref="AK24:AN24"/>
    <mergeCell ref="AO24:AR24"/>
    <mergeCell ref="AS24:AV24"/>
    <mergeCell ref="A24:D24"/>
    <mergeCell ref="E24:H24"/>
    <mergeCell ref="I24:L24"/>
    <mergeCell ref="M24:P24"/>
    <mergeCell ref="Q24:T24"/>
    <mergeCell ref="U24:X24"/>
    <mergeCell ref="Y24:AB24"/>
    <mergeCell ref="AC36:AF36"/>
    <mergeCell ref="AG36:AJ36"/>
    <mergeCell ref="AK36:AN36"/>
    <mergeCell ref="AO36:AR36"/>
    <mergeCell ref="AS36:AV36"/>
    <mergeCell ref="A36:D36"/>
    <mergeCell ref="E36:H36"/>
    <mergeCell ref="I36:L36"/>
    <mergeCell ref="M36:P36"/>
    <mergeCell ref="Q36:T36"/>
    <mergeCell ref="U36:X36"/>
    <mergeCell ref="Y36:AB36"/>
    <mergeCell ref="AC47:AF47"/>
    <mergeCell ref="AG47:AJ47"/>
    <mergeCell ref="AK47:AN47"/>
    <mergeCell ref="AO47:AR47"/>
    <mergeCell ref="AS47:AV47"/>
    <mergeCell ref="A47:D47"/>
    <mergeCell ref="E47:H47"/>
    <mergeCell ref="I47:L47"/>
    <mergeCell ref="M47:P47"/>
    <mergeCell ref="Q47:T47"/>
    <mergeCell ref="U47:X47"/>
    <mergeCell ref="Y47:AB47"/>
    <mergeCell ref="AC64:AF64"/>
    <mergeCell ref="AG64:AJ64"/>
    <mergeCell ref="AK64:AN64"/>
    <mergeCell ref="AO64:AR64"/>
    <mergeCell ref="AS64:AV64"/>
    <mergeCell ref="A64:D64"/>
    <mergeCell ref="E64:H64"/>
    <mergeCell ref="I64:L64"/>
    <mergeCell ref="M64:P64"/>
    <mergeCell ref="Q64:T64"/>
    <mergeCell ref="U64:X64"/>
    <mergeCell ref="Y64:AB64"/>
    <mergeCell ref="AC1:AF1"/>
    <mergeCell ref="AG1:AJ1"/>
    <mergeCell ref="AK1:AN1"/>
    <mergeCell ref="AO1:AR1"/>
    <mergeCell ref="AS1:AV1"/>
    <mergeCell ref="A1:D1"/>
    <mergeCell ref="E1:H1"/>
    <mergeCell ref="I1:L1"/>
    <mergeCell ref="M1:P1"/>
    <mergeCell ref="Q1:T1"/>
    <mergeCell ref="U1:X1"/>
    <mergeCell ref="Y1:AB1"/>
    <mergeCell ref="AC3:AF3"/>
    <mergeCell ref="AG3:AJ3"/>
    <mergeCell ref="AK3:AN3"/>
    <mergeCell ref="AO3:AR3"/>
    <mergeCell ref="AS3:AV3"/>
    <mergeCell ref="A3:D3"/>
    <mergeCell ref="E3:H3"/>
    <mergeCell ref="I3:L3"/>
    <mergeCell ref="M3:P3"/>
    <mergeCell ref="Q3:T3"/>
    <mergeCell ref="U3:X3"/>
    <mergeCell ref="Y3:AB3"/>
    <mergeCell ref="AC13:AF13"/>
    <mergeCell ref="AG13:AJ13"/>
    <mergeCell ref="AK13:AN13"/>
    <mergeCell ref="AO13:AR13"/>
    <mergeCell ref="AS13:AV13"/>
    <mergeCell ref="A13:D13"/>
    <mergeCell ref="E13:H13"/>
    <mergeCell ref="I13:L13"/>
    <mergeCell ref="M13:P13"/>
    <mergeCell ref="Q13:T13"/>
    <mergeCell ref="U13:X13"/>
    <mergeCell ref="Y13:AB13"/>
    <mergeCell ref="AC68:AF68"/>
    <mergeCell ref="AG68:AJ68"/>
    <mergeCell ref="AK68:AN68"/>
    <mergeCell ref="AO68:AR68"/>
    <mergeCell ref="AS68:AV68"/>
    <mergeCell ref="A68:D68"/>
    <mergeCell ref="E68:H68"/>
    <mergeCell ref="I68:L68"/>
    <mergeCell ref="M68:P68"/>
    <mergeCell ref="Q68:T68"/>
    <mergeCell ref="U68:X68"/>
    <mergeCell ref="Y68:AB6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16.5"/>
    <col customWidth="1" min="14" max="14" width="33.25"/>
    <col customWidth="1" min="15" max="15" width="21.38"/>
    <col customWidth="1" min="16" max="16" width="25.5"/>
    <col customWidth="1" min="17" max="17" width="21.38"/>
    <col customWidth="1" min="18" max="18" width="25.5"/>
    <col customWidth="1" min="19" max="19" width="21.38"/>
    <col customWidth="1" min="20" max="20" width="31.5"/>
    <col customWidth="1" min="21" max="21" width="16.5"/>
    <col customWidth="1" min="22" max="22" width="33.25"/>
    <col customWidth="1" min="23" max="26" width="30.75"/>
  </cols>
  <sheetData>
    <row r="1">
      <c r="A1" s="482" t="s">
        <v>8338</v>
      </c>
      <c r="B1" s="109" t="s">
        <v>8339</v>
      </c>
      <c r="C1" s="482" t="str">
        <f>IFERROR(__xludf.DUMMYFUNCTION("GOOGLETRANSLATE(A1,""zh-tw"",""ja"")"),"兵器プロジェクト")</f>
        <v>兵器プロジェクト</v>
      </c>
      <c r="D1" s="109" t="str">
        <f>IFERROR(__xludf.DUMMYFUNCTION("GOOGLETRANSLATE(B1,""zh-tw"",""ja"")"),"武器の特性")</f>
        <v>武器の特性</v>
      </c>
      <c r="E1" s="482" t="s">
        <v>8340</v>
      </c>
      <c r="F1" s="109" t="s">
        <v>8341</v>
      </c>
      <c r="G1" s="482" t="str">
        <f>IFERROR(__xludf.DUMMYFUNCTION("GOOGLETRANSLATE(A1,""zh-tw"",""zh"")"),"武器项目")</f>
        <v>武器项目</v>
      </c>
      <c r="H1" s="109" t="str">
        <f>IFERROR(__xludf.DUMMYFUNCTION("GOOGLETRANSLATE(B1,""zh-tw"",""zh"")"),"武器属性")</f>
        <v>武器属性</v>
      </c>
      <c r="I1" s="483" t="str">
        <f>IFERROR(__xludf.DUMMYFUNCTION("GOOGLETRANSLATE(A1,""zh-tw"",""es-MX"")"),"Proyecto de Armas")</f>
        <v>Proyecto de Armas</v>
      </c>
      <c r="J1" s="71" t="str">
        <f>IFERROR(__xludf.DUMMYFUNCTION("GOOGLETRANSLATE(B1,""zh-tw"",""es-MX"")"),"atributos del arma")</f>
        <v>atributos del arma</v>
      </c>
      <c r="K1" s="484" t="str">
        <f>IFERROR(__xludf.DUMMYFUNCTION("GOOGLETRANSLATE(A1,""zh-tw"",""KO"")"),"무기 프로젝트")</f>
        <v>무기 프로젝트</v>
      </c>
      <c r="L1" s="113" t="str">
        <f>IFERROR(__xludf.DUMMYFUNCTION("GOOGLETRANSLATE(B1,""zh-tw"",""KO"")"),"무기 속성")</f>
        <v>무기 속성</v>
      </c>
      <c r="M1" s="111" t="s">
        <v>8342</v>
      </c>
      <c r="N1" s="113" t="s">
        <v>8343</v>
      </c>
      <c r="O1" s="485" t="s">
        <v>8344</v>
      </c>
      <c r="P1" s="44" t="s">
        <v>8343</v>
      </c>
      <c r="Q1" s="482" t="s">
        <v>8345</v>
      </c>
      <c r="R1" s="109" t="s">
        <v>8346</v>
      </c>
      <c r="S1" s="486" t="s">
        <v>8347</v>
      </c>
      <c r="T1" s="487" t="s">
        <v>8348</v>
      </c>
      <c r="U1" s="111" t="s">
        <v>8349</v>
      </c>
      <c r="V1" s="113" t="s">
        <v>8350</v>
      </c>
      <c r="W1" s="113"/>
      <c r="X1" s="113"/>
      <c r="Y1" s="113"/>
      <c r="Z1" s="113"/>
    </row>
    <row r="2">
      <c r="A2" s="200" t="s">
        <v>8351</v>
      </c>
      <c r="C2" s="200" t="s">
        <v>8352</v>
      </c>
      <c r="E2" s="200" t="s">
        <v>8353</v>
      </c>
      <c r="G2" s="200" t="s">
        <v>8354</v>
      </c>
      <c r="I2" s="200"/>
      <c r="K2" s="200"/>
      <c r="M2" s="193" t="s">
        <v>8355</v>
      </c>
      <c r="O2" s="200" t="s">
        <v>8356</v>
      </c>
      <c r="Q2" s="200"/>
      <c r="S2" s="203" t="s">
        <v>8357</v>
      </c>
      <c r="U2" s="200" t="s">
        <v>8358</v>
      </c>
      <c r="W2" s="254"/>
      <c r="X2" s="254"/>
      <c r="Y2" s="254"/>
      <c r="Z2" s="254"/>
    </row>
    <row r="3">
      <c r="A3" s="488" t="s">
        <v>8359</v>
      </c>
      <c r="B3" s="205" t="s">
        <v>8360</v>
      </c>
      <c r="C3" s="489" t="s">
        <v>8361</v>
      </c>
      <c r="D3" s="260" t="s">
        <v>8362</v>
      </c>
      <c r="E3" s="489" t="s">
        <v>8363</v>
      </c>
      <c r="F3" s="260" t="s">
        <v>8364</v>
      </c>
      <c r="G3" s="489" t="str">
        <f>IFERROR(__xludf.DUMMYFUNCTION("GOOGLETRANSLATE(A3,""zh-tw"",""zh"")"),"握紧的拳头")</f>
        <v>握紧的拳头</v>
      </c>
      <c r="H3" s="260" t="str">
        <f>IFERROR(__xludf.DUMMYFUNCTION("GOOGLETRANSLATE(B3,""zh-tw"",""zh"")"),"物攻：2
攻击依照最大体力增加")</f>
        <v>物攻：2
攻击依照最大体力增加</v>
      </c>
      <c r="I3" s="488" t="s">
        <v>8365</v>
      </c>
      <c r="J3" s="254" t="str">
        <f>IFERROR(__xludf.DUMMYFUNCTION("GOOGLETRANSLATE(B3,""zh-tw"",""es-MX"")"),"Ataque físico: 2. El poder de ataque aumenta en función de los PS máximos.")</f>
        <v>Ataque físico: 2. El poder de ataque aumenta en función de los PS máximos.</v>
      </c>
      <c r="K3" s="488" t="s">
        <v>8366</v>
      </c>
      <c r="L3" s="205" t="s">
        <v>8367</v>
      </c>
      <c r="M3" s="253" t="s">
        <v>8368</v>
      </c>
      <c r="N3" s="254" t="s">
        <v>8369</v>
      </c>
      <c r="O3" s="489" t="s">
        <v>8368</v>
      </c>
      <c r="P3" s="260" t="s">
        <v>8370</v>
      </c>
      <c r="Q3" s="489" t="s">
        <v>8371</v>
      </c>
      <c r="R3" s="260" t="s">
        <v>8372</v>
      </c>
      <c r="S3" s="490" t="s">
        <v>8373</v>
      </c>
      <c r="T3" s="491" t="s">
        <v>8374</v>
      </c>
      <c r="U3" s="253" t="s">
        <v>8375</v>
      </c>
      <c r="V3" s="254" t="s">
        <v>8376</v>
      </c>
      <c r="W3" s="254"/>
      <c r="X3" s="254"/>
      <c r="Y3" s="254"/>
      <c r="Z3" s="254"/>
    </row>
    <row r="4">
      <c r="A4" s="489" t="s">
        <v>8377</v>
      </c>
      <c r="B4" s="260" t="s">
        <v>8378</v>
      </c>
      <c r="C4" s="489" t="s">
        <v>8379</v>
      </c>
      <c r="D4" s="260" t="s">
        <v>8380</v>
      </c>
      <c r="E4" s="489" t="s">
        <v>8381</v>
      </c>
      <c r="F4" s="260" t="s">
        <v>8382</v>
      </c>
      <c r="G4" s="489" t="str">
        <f>IFERROR(__xludf.DUMMYFUNCTION("GOOGLETRANSLATE(A4,""zh-tw"",""zh"")"),"硬木剑")</f>
        <v>硬木剑</v>
      </c>
      <c r="H4" s="260" t="str">
        <f>IFERROR(__xludf.DUMMYFUNCTION("GOOGLETRANSLATE(B4,""zh-tw"",""zh"")"),"物攻：15")</f>
        <v>物攻：15</v>
      </c>
      <c r="I4" s="488" t="s">
        <v>8383</v>
      </c>
      <c r="J4" s="254" t="str">
        <f>IFERROR(__xludf.DUMMYFUNCTION("GOOGLETRANSLATE(B4,""zh-tw"",""es-MX"")"),"Ataque físico: 15")</f>
        <v>Ataque físico: 15</v>
      </c>
      <c r="K4" s="489" t="s">
        <v>8384</v>
      </c>
      <c r="L4" s="205" t="s">
        <v>8385</v>
      </c>
      <c r="M4" s="253" t="s">
        <v>8386</v>
      </c>
      <c r="N4" s="254" t="s">
        <v>8387</v>
      </c>
      <c r="O4" s="489" t="s">
        <v>8388</v>
      </c>
      <c r="P4" s="260" t="s">
        <v>8389</v>
      </c>
      <c r="Q4" s="489" t="s">
        <v>8390</v>
      </c>
      <c r="R4" s="260" t="s">
        <v>8391</v>
      </c>
      <c r="S4" s="490" t="s">
        <v>8392</v>
      </c>
      <c r="T4" s="491" t="s">
        <v>8393</v>
      </c>
      <c r="U4" s="253" t="s">
        <v>8394</v>
      </c>
      <c r="V4" s="254" t="s">
        <v>8395</v>
      </c>
      <c r="W4" s="254"/>
      <c r="X4" s="254"/>
      <c r="Y4" s="254"/>
      <c r="Z4" s="254"/>
    </row>
    <row r="5">
      <c r="A5" s="489" t="s">
        <v>8396</v>
      </c>
      <c r="B5" s="260" t="s">
        <v>8397</v>
      </c>
      <c r="C5" s="489" t="s">
        <v>8398</v>
      </c>
      <c r="D5" s="260" t="s">
        <v>8399</v>
      </c>
      <c r="E5" s="489" t="s">
        <v>8400</v>
      </c>
      <c r="F5" s="260" t="s">
        <v>8401</v>
      </c>
      <c r="G5" s="489" t="str">
        <f>IFERROR(__xludf.DUMMYFUNCTION("GOOGLETRANSLATE(A5,""zh-tw"",""zh"")"),"硬木棒")</f>
        <v>硬木棒</v>
      </c>
      <c r="H5" s="260" t="str">
        <f>IFERROR(__xludf.DUMMYFUNCTION("GOOGLETRANSLATE(B5,""zh-tw"",""zh"")"),"物攻：14")</f>
        <v>物攻：14</v>
      </c>
      <c r="I5" s="488" t="s">
        <v>8402</v>
      </c>
      <c r="J5" s="254" t="str">
        <f>IFERROR(__xludf.DUMMYFUNCTION("GOOGLETRANSLATE(B5,""zh-tw"",""es-MX"")"),"Ataque físico: 14")</f>
        <v>Ataque físico: 14</v>
      </c>
      <c r="K5" s="492" t="str">
        <f>IFERROR(__xludf.DUMMYFUNCTION("GOOGLETRANSLATE(A5,""zh-tw"",""KO"")"),"단단한 나무 막대기")</f>
        <v>단단한 나무 막대기</v>
      </c>
      <c r="L5" s="205" t="s">
        <v>8403</v>
      </c>
      <c r="M5" s="253" t="s">
        <v>8404</v>
      </c>
      <c r="N5" s="254" t="s">
        <v>8405</v>
      </c>
      <c r="O5" s="489" t="s">
        <v>8406</v>
      </c>
      <c r="P5" s="260" t="s">
        <v>8407</v>
      </c>
      <c r="Q5" s="489" t="s">
        <v>8408</v>
      </c>
      <c r="R5" s="260" t="s">
        <v>8409</v>
      </c>
      <c r="S5" s="490" t="s">
        <v>8410</v>
      </c>
      <c r="T5" s="491" t="s">
        <v>8411</v>
      </c>
      <c r="U5" s="253" t="s">
        <v>8412</v>
      </c>
      <c r="V5" s="254" t="s">
        <v>8413</v>
      </c>
      <c r="W5" s="254"/>
      <c r="X5" s="254"/>
      <c r="Y5" s="254"/>
      <c r="Z5" s="254"/>
    </row>
    <row r="6">
      <c r="A6" s="489" t="s">
        <v>8414</v>
      </c>
      <c r="B6" s="260" t="s">
        <v>8415</v>
      </c>
      <c r="C6" s="489" t="s">
        <v>8416</v>
      </c>
      <c r="D6" s="260" t="s">
        <v>8417</v>
      </c>
      <c r="E6" s="489" t="s">
        <v>8418</v>
      </c>
      <c r="F6" s="260" t="s">
        <v>8419</v>
      </c>
      <c r="G6" s="489" t="str">
        <f>IFERROR(__xludf.DUMMYFUNCTION("GOOGLETRANSLATE(A6,""zh-tw"",""zh"")"),"伐木斧")</f>
        <v>伐木斧</v>
      </c>
      <c r="H6" s="260" t="str">
        <f>IFERROR(__xludf.DUMMYFUNCTION("GOOGLETRANSLATE(B6,""zh-tw"",""zh"")"),"物攻：24")</f>
        <v>物攻：24</v>
      </c>
      <c r="I6" s="488" t="s">
        <v>8420</v>
      </c>
      <c r="J6" s="254" t="str">
        <f>IFERROR(__xludf.DUMMYFUNCTION("GOOGLETRANSLATE(B6,""zh-tw"",""es-MX"")"),"Ataque físico: 24")</f>
        <v>Ataque físico: 24</v>
      </c>
      <c r="K6" s="488" t="s">
        <v>8421</v>
      </c>
      <c r="L6" s="205" t="s">
        <v>8422</v>
      </c>
      <c r="M6" s="253" t="s">
        <v>8423</v>
      </c>
      <c r="N6" s="254" t="s">
        <v>8424</v>
      </c>
      <c r="O6" s="489" t="s">
        <v>8425</v>
      </c>
      <c r="P6" s="260" t="s">
        <v>8426</v>
      </c>
      <c r="Q6" s="489" t="s">
        <v>8427</v>
      </c>
      <c r="R6" s="260" t="s">
        <v>8428</v>
      </c>
      <c r="S6" s="490" t="s">
        <v>8429</v>
      </c>
      <c r="T6" s="491" t="s">
        <v>8430</v>
      </c>
      <c r="U6" s="253" t="s">
        <v>8431</v>
      </c>
      <c r="V6" s="254" t="s">
        <v>8432</v>
      </c>
      <c r="W6" s="254"/>
      <c r="X6" s="254"/>
      <c r="Y6" s="254"/>
      <c r="Z6" s="254"/>
    </row>
    <row r="7">
      <c r="A7" s="488" t="s">
        <v>8433</v>
      </c>
      <c r="B7" s="205" t="s">
        <v>8434</v>
      </c>
      <c r="C7" s="489" t="s">
        <v>8433</v>
      </c>
      <c r="D7" s="260" t="s">
        <v>8435</v>
      </c>
      <c r="E7" s="489" t="s">
        <v>8436</v>
      </c>
      <c r="F7" s="260" t="s">
        <v>8437</v>
      </c>
      <c r="G7" s="489" t="str">
        <f>IFERROR(__xludf.DUMMYFUNCTION("GOOGLETRANSLATE(A7,""zh-tw"",""zh"")"),"大木槌")</f>
        <v>大木槌</v>
      </c>
      <c r="H7" s="260" t="str">
        <f>IFERROR(__xludf.DUMMYFUNCTION("GOOGLETRANSLATE(B7,""zh-tw"",""zh"")"),"物攻：36
机率晕眩")</f>
        <v>物攻：36
机率晕眩</v>
      </c>
      <c r="I7" s="488" t="s">
        <v>8438</v>
      </c>
      <c r="J7" s="254" t="str">
        <f>IFERROR(__xludf.DUMMYFUNCTION("GOOGLETRANSLATE(B7,""zh-tw"",""es-MX"")"),"Ataque físico: 36% de probabilidad de aturdir.")</f>
        <v>Ataque físico: 36% de probabilidad de aturdir.</v>
      </c>
      <c r="K7" s="492" t="str">
        <f>IFERROR(__xludf.DUMMYFUNCTION("GOOGLETRANSLATE(A7,""zh-tw"",""KO"")"),"큰 나무망치")</f>
        <v>큰 나무망치</v>
      </c>
      <c r="L7" s="254" t="str">
        <f>IFERROR(__xludf.DUMMYFUNCTION("GOOGLETRANSLATE(B7,""zh-tw"",""KO"")"),"물리 공격: 36% 확률로 기절")</f>
        <v>물리 공격: 36% 확률로 기절</v>
      </c>
      <c r="M7" s="253" t="s">
        <v>8439</v>
      </c>
      <c r="N7" s="254" t="s">
        <v>8440</v>
      </c>
      <c r="O7" s="489" t="s">
        <v>8441</v>
      </c>
      <c r="P7" s="260" t="s">
        <v>8442</v>
      </c>
      <c r="Q7" s="489" t="s">
        <v>8443</v>
      </c>
      <c r="R7" s="260" t="s">
        <v>8444</v>
      </c>
      <c r="S7" s="490" t="s">
        <v>8445</v>
      </c>
      <c r="T7" s="491" t="s">
        <v>8446</v>
      </c>
      <c r="U7" s="253" t="s">
        <v>8447</v>
      </c>
      <c r="V7" s="254" t="s">
        <v>8448</v>
      </c>
      <c r="W7" s="254"/>
      <c r="X7" s="254"/>
      <c r="Y7" s="254"/>
      <c r="Z7" s="254"/>
    </row>
    <row r="8">
      <c r="A8" s="489" t="s">
        <v>8449</v>
      </c>
      <c r="B8" s="260" t="s">
        <v>8450</v>
      </c>
      <c r="C8" s="489" t="s">
        <v>8451</v>
      </c>
      <c r="D8" s="260" t="s">
        <v>8452</v>
      </c>
      <c r="E8" s="489" t="s">
        <v>8453</v>
      </c>
      <c r="F8" s="260" t="s">
        <v>8454</v>
      </c>
      <c r="G8" s="489" t="str">
        <f>IFERROR(__xludf.DUMMYFUNCTION("GOOGLETRANSLATE(A8,""zh-tw"",""zh"")"),"兽人的骨釜")</f>
        <v>兽人的骨釜</v>
      </c>
      <c r="H8" s="260" t="str">
        <f>IFERROR(__xludf.DUMMYFUNCTION("GOOGLETRANSLATE(B8,""zh-tw"",""zh"")"),"物攻：42")</f>
        <v>物攻：42</v>
      </c>
      <c r="I8" s="488" t="s">
        <v>8455</v>
      </c>
      <c r="J8" s="254" t="str">
        <f>IFERROR(__xludf.DUMMYFUNCTION("GOOGLETRANSLATE(B8,""zh-tw"",""es-MX"")"),"Ataque físico: 42")</f>
        <v>Ataque físico: 42</v>
      </c>
      <c r="K8" s="489" t="s">
        <v>8456</v>
      </c>
      <c r="L8" s="205" t="s">
        <v>8457</v>
      </c>
      <c r="M8" s="253" t="s">
        <v>8458</v>
      </c>
      <c r="N8" s="254" t="s">
        <v>8459</v>
      </c>
      <c r="O8" s="489" t="s">
        <v>8460</v>
      </c>
      <c r="P8" s="260" t="s">
        <v>8461</v>
      </c>
      <c r="Q8" s="489" t="s">
        <v>8462</v>
      </c>
      <c r="R8" s="260" t="s">
        <v>8463</v>
      </c>
      <c r="S8" s="490" t="s">
        <v>8464</v>
      </c>
      <c r="T8" s="491" t="s">
        <v>8465</v>
      </c>
      <c r="U8" s="253" t="s">
        <v>8466</v>
      </c>
      <c r="V8" s="254" t="s">
        <v>8467</v>
      </c>
      <c r="W8" s="254"/>
      <c r="X8" s="254"/>
      <c r="Y8" s="254"/>
      <c r="Z8" s="254"/>
    </row>
    <row r="9">
      <c r="A9" s="492" t="s">
        <v>8468</v>
      </c>
      <c r="B9" s="254" t="s">
        <v>8469</v>
      </c>
      <c r="C9" s="492" t="s">
        <v>8470</v>
      </c>
      <c r="D9" s="194" t="s">
        <v>8471</v>
      </c>
      <c r="E9" s="493" t="s">
        <v>8472</v>
      </c>
      <c r="F9" s="194" t="s">
        <v>8473</v>
      </c>
      <c r="G9" s="489" t="str">
        <f>IFERROR(__xludf.DUMMYFUNCTION("GOOGLETRANSLATE(A9,""zh-tw"",""zh"")"),"怪鸟的羽毛")</f>
        <v>怪鸟的羽毛</v>
      </c>
      <c r="H9" s="260" t="str">
        <f>IFERROR(__xludf.DUMMYFUNCTION("GOOGLETRANSLATE(B9,""zh-tw"",""zh"")"),"物攻：18
旋风斩提升移速
旋风斩进入漂浮状态")</f>
        <v>物攻：18
旋风斩提升移速
旋风斩进入漂浮状态</v>
      </c>
      <c r="I9" s="488" t="s">
        <v>8474</v>
      </c>
      <c r="J9" s="254" t="str">
        <f>IFERROR(__xludf.DUMMYFUNCTION("GOOGLETRANSLATE(B9,""zh-tw"",""es-MX"")"),"Ataque físico: 18. Corte torbellino aumenta la velocidad de movimiento. Corte torbellino entra en un estado flotante.")</f>
        <v>Ataque físico: 18. Corte torbellino aumenta la velocidad de movimiento. Corte torbellino entra en un estado flotante.</v>
      </c>
      <c r="K9" s="488" t="s">
        <v>8475</v>
      </c>
      <c r="L9" s="254" t="str">
        <f>IFERROR(__xludf.DUMMYFUNCTION("GOOGLETRANSLATE(B9,""zh-tw"",""KO"")"),"물리 공격: 18 회오리베기 이동 속도가 증가합니다. 회오리베기 시 공중 부양 상태가 됩니다.")</f>
        <v>물리 공격: 18 회오리베기 이동 속도가 증가합니다. 회오리베기 시 공중 부양 상태가 됩니다.</v>
      </c>
      <c r="M9" s="253" t="s">
        <v>8476</v>
      </c>
      <c r="N9" s="254" t="s">
        <v>8477</v>
      </c>
      <c r="O9" s="489" t="s">
        <v>8478</v>
      </c>
      <c r="P9" s="260" t="s">
        <v>8479</v>
      </c>
      <c r="Q9" s="493" t="s">
        <v>8480</v>
      </c>
      <c r="R9" s="194" t="s">
        <v>8481</v>
      </c>
      <c r="S9" s="490" t="s">
        <v>8482</v>
      </c>
      <c r="T9" s="491" t="s">
        <v>8483</v>
      </c>
      <c r="U9" s="253" t="s">
        <v>8484</v>
      </c>
      <c r="V9" s="254" t="s">
        <v>8485</v>
      </c>
      <c r="W9" s="254"/>
      <c r="X9" s="254"/>
      <c r="Y9" s="254"/>
      <c r="Z9" s="254"/>
    </row>
    <row r="10">
      <c r="A10" s="489" t="s">
        <v>8486</v>
      </c>
      <c r="B10" s="260" t="s">
        <v>8487</v>
      </c>
      <c r="C10" s="489" t="s">
        <v>8488</v>
      </c>
      <c r="D10" s="260" t="s">
        <v>8489</v>
      </c>
      <c r="E10" s="489" t="s">
        <v>8490</v>
      </c>
      <c r="F10" s="260" t="s">
        <v>8491</v>
      </c>
      <c r="G10" s="489" t="str">
        <f>IFERROR(__xludf.DUMMYFUNCTION("GOOGLETRANSLATE(A10,""zh-tw"",""zh"")"),"巨大蟹钳")</f>
        <v>巨大蟹钳</v>
      </c>
      <c r="H10" s="260" t="str">
        <f>IFERROR(__xludf.DUMMYFUNCTION("GOOGLETRANSLATE(B10,""zh-tw"",""zh"")"),"物攻：15
夹住目标")</f>
        <v>物攻：15
夹住目标</v>
      </c>
      <c r="I10" s="488" t="s">
        <v>8492</v>
      </c>
      <c r="J10" s="254" t="str">
        <f>IFERROR(__xludf.DUMMYFUNCTION("GOOGLETRANSLATE(B10,""zh-tw"",""es-MX"")"),"Ataque físico: 15 Sujetar al objetivo")</f>
        <v>Ataque físico: 15 Sujetar al objetivo</v>
      </c>
      <c r="K10" s="492" t="str">
        <f>IFERROR(__xludf.DUMMYFUNCTION("GOOGLETRANSLATE(A10,""zh-tw"",""KO"")"),"거대 게 발톱")</f>
        <v>거대 게 발톱</v>
      </c>
      <c r="L10" s="254" t="str">
        <f>IFERROR(__xludf.DUMMYFUNCTION("GOOGLETRANSLATE(B10,""zh-tw"",""KO"")"),"물리적 공격: 15 대상을 꽉 조입니다")</f>
        <v>물리적 공격: 15 대상을 꽉 조입니다</v>
      </c>
      <c r="M10" s="253" t="s">
        <v>8493</v>
      </c>
      <c r="N10" s="254" t="s">
        <v>8494</v>
      </c>
      <c r="O10" s="489" t="s">
        <v>8495</v>
      </c>
      <c r="P10" s="260" t="s">
        <v>8496</v>
      </c>
      <c r="Q10" s="489" t="s">
        <v>8497</v>
      </c>
      <c r="R10" s="260" t="s">
        <v>8498</v>
      </c>
      <c r="S10" s="494" t="s">
        <v>8499</v>
      </c>
      <c r="T10" s="491" t="s">
        <v>8500</v>
      </c>
      <c r="U10" s="253" t="s">
        <v>8501</v>
      </c>
      <c r="V10" s="254" t="s">
        <v>8502</v>
      </c>
      <c r="W10" s="254"/>
      <c r="X10" s="254"/>
      <c r="Y10" s="254"/>
      <c r="Z10" s="254"/>
    </row>
    <row r="11">
      <c r="A11" s="489" t="s">
        <v>8503</v>
      </c>
      <c r="B11" s="260" t="s">
        <v>8504</v>
      </c>
      <c r="C11" s="489" t="s">
        <v>8505</v>
      </c>
      <c r="D11" s="260" t="s">
        <v>8506</v>
      </c>
      <c r="E11" s="489" t="s">
        <v>8507</v>
      </c>
      <c r="F11" s="260" t="s">
        <v>8508</v>
      </c>
      <c r="G11" s="489" t="str">
        <f>IFERROR(__xludf.DUMMYFUNCTION("GOOGLETRANSLATE(A11,""zh-tw"",""zh"")"),"香蕉?")</f>
        <v>香蕉?</v>
      </c>
      <c r="H11" s="260" t="str">
        <f>IFERROR(__xludf.DUMMYFUNCTION("GOOGLETRANSLATE(B11,""zh-tw"",""zh"")"),"物攻：10
爆炸")</f>
        <v>物攻：10
爆炸</v>
      </c>
      <c r="I11" s="488" t="s">
        <v>8509</v>
      </c>
      <c r="J11" s="254" t="str">
        <f>IFERROR(__xludf.DUMMYFUNCTION("GOOGLETRANSLATE(B11,""zh-tw"",""es-MX"")"),"Ataque físico: 10 Explosión")</f>
        <v>Ataque físico: 10 Explosión</v>
      </c>
      <c r="K11" s="492" t="str">
        <f>IFERROR(__xludf.DUMMYFUNCTION("GOOGLETRANSLATE(A11,""zh-tw"",""KO"")"),"바나나?")</f>
        <v>바나나?</v>
      </c>
      <c r="L11" s="254" t="str">
        <f>IFERROR(__xludf.DUMMYFUNCTION("GOOGLETRANSLATE(B11,""zh-tw"",""KO"")"),"물리 공격: 폭발 10")</f>
        <v>물리 공격: 폭발 10</v>
      </c>
      <c r="M11" s="253" t="s">
        <v>8510</v>
      </c>
      <c r="N11" s="254" t="s">
        <v>8511</v>
      </c>
      <c r="O11" s="489" t="s">
        <v>8510</v>
      </c>
      <c r="P11" s="260" t="s">
        <v>8512</v>
      </c>
      <c r="Q11" s="489" t="s">
        <v>8513</v>
      </c>
      <c r="R11" s="260" t="s">
        <v>8514</v>
      </c>
      <c r="S11" s="494" t="s">
        <v>8515</v>
      </c>
      <c r="T11" s="491" t="s">
        <v>8516</v>
      </c>
      <c r="U11" s="253" t="s">
        <v>8507</v>
      </c>
      <c r="V11" s="254" t="s">
        <v>8517</v>
      </c>
      <c r="W11" s="254"/>
      <c r="X11" s="254"/>
      <c r="Y11" s="254"/>
      <c r="Z11" s="254"/>
    </row>
    <row r="12">
      <c r="A12" s="493" t="s">
        <v>8518</v>
      </c>
      <c r="B12" s="205" t="s">
        <v>8519</v>
      </c>
      <c r="C12" s="488" t="s">
        <v>6760</v>
      </c>
      <c r="D12" s="205" t="s">
        <v>8520</v>
      </c>
      <c r="E12" s="488" t="s">
        <v>6783</v>
      </c>
      <c r="F12" s="205" t="s">
        <v>8521</v>
      </c>
      <c r="G12" s="489" t="str">
        <f>IFERROR(__xludf.DUMMYFUNCTION("GOOGLETRANSLATE(A12,""zh-tw"",""zh"")"),"胡萝卜大剑")</f>
        <v>胡萝卜大剑</v>
      </c>
      <c r="H12" s="260" t="str">
        <f>IFERROR(__xludf.DUMMYFUNCTION("GOOGLETRANSLATE(B12,""zh-tw"",""zh"")"),"物攻：1
累计伤害型武器
投掷穿刺效果
*特殊传送效果(请参考TIPS)")</f>
        <v>物攻：1
累计伤害型武器
投掷穿刺效果
*特殊传送效果(请参考TIPS)</v>
      </c>
      <c r="I12" s="488" t="s">
        <v>8522</v>
      </c>
      <c r="J12" s="254" t="str">
        <f>IFERROR(__xludf.DUMMYFUNCTION("GOOGLETRANSLATE(B12,""zh-tw"",""es-MX"")"),"Ataque físico: 1 Daño acumulativo Efecto de lanzamiento de arma perforante *Efecto especial de teletransportación (Consulte los CONSEJOS)")</f>
        <v>Ataque físico: 1 Daño acumulativo Efecto de lanzamiento de arma perforante *Efecto especial de teletransportación (Consulte los CONSEJOS)</v>
      </c>
      <c r="K12" s="492" t="str">
        <f>IFERROR(__xludf.DUMMYFUNCTION("GOOGLETRANSLATE(A12,""zh-tw"",""KO"")"),"당근검")</f>
        <v>당근검</v>
      </c>
      <c r="L12" s="254" t="str">
        <f>IFERROR(__xludf.DUMMYFUNCTION("GOOGLETRANSLATE(B12,""zh-tw"",""KO"")"),"물리 공격: 누적 피해 1 무기 투척 관통 효과 *특수 순간 이동 효과 (팁을 참조하세요)")</f>
        <v>물리 공격: 누적 피해 1 무기 투척 관통 효과 *특수 순간 이동 효과 (팁을 참조하세요)</v>
      </c>
      <c r="M12" s="253" t="s">
        <v>6788</v>
      </c>
      <c r="N12" s="254" t="s">
        <v>8523</v>
      </c>
      <c r="O12" s="489" t="s">
        <v>6790</v>
      </c>
      <c r="P12" s="260" t="s">
        <v>8524</v>
      </c>
      <c r="Q12" s="488" t="s">
        <v>6792</v>
      </c>
      <c r="R12" s="205" t="s">
        <v>8525</v>
      </c>
      <c r="S12" s="494" t="s">
        <v>6793</v>
      </c>
      <c r="T12" s="491" t="s">
        <v>8526</v>
      </c>
      <c r="U12" s="253" t="s">
        <v>6795</v>
      </c>
      <c r="V12" s="254" t="s">
        <v>8527</v>
      </c>
      <c r="W12" s="254"/>
      <c r="X12" s="254"/>
      <c r="Y12" s="254"/>
      <c r="Z12" s="254"/>
    </row>
    <row r="13">
      <c r="A13" s="489" t="s">
        <v>8528</v>
      </c>
      <c r="B13" s="260" t="s">
        <v>8529</v>
      </c>
      <c r="C13" s="489" t="s">
        <v>8530</v>
      </c>
      <c r="D13" s="260" t="s">
        <v>8531</v>
      </c>
      <c r="E13" s="489" t="s">
        <v>8532</v>
      </c>
      <c r="F13" s="260" t="s">
        <v>8533</v>
      </c>
      <c r="G13" s="489" t="str">
        <f>IFERROR(__xludf.DUMMYFUNCTION("GOOGLETRANSLATE(A13,""zh-tw"",""zh"")"),"棒球棍")</f>
        <v>棒球棍</v>
      </c>
      <c r="H13" s="260" t="str">
        <f>IFERROR(__xludf.DUMMYFUNCTION("GOOGLETRANSLATE(B13,""zh-tw"",""zh"")"),"物攻：20
反弹抛射物")</f>
        <v>物攻：20
反弹抛射物</v>
      </c>
      <c r="I13" s="488" t="s">
        <v>8534</v>
      </c>
      <c r="J13" s="254" t="str">
        <f>IFERROR(__xludf.DUMMYFUNCTION("GOOGLETRANSLATE(B13,""zh-tw"",""es-MX"")"),"Ataque físico: 20 Refleja proyectiles")</f>
        <v>Ataque físico: 20 Refleja proyectiles</v>
      </c>
      <c r="K13" s="488" t="s">
        <v>8535</v>
      </c>
      <c r="L13" s="205" t="s">
        <v>8536</v>
      </c>
      <c r="M13" s="253" t="s">
        <v>8537</v>
      </c>
      <c r="N13" s="254" t="s">
        <v>8538</v>
      </c>
      <c r="O13" s="489" t="s">
        <v>8539</v>
      </c>
      <c r="P13" s="260" t="s">
        <v>8540</v>
      </c>
      <c r="Q13" s="489" t="s">
        <v>8541</v>
      </c>
      <c r="R13" s="260" t="s">
        <v>8542</v>
      </c>
      <c r="S13" s="494" t="s">
        <v>8543</v>
      </c>
      <c r="T13" s="491" t="s">
        <v>8544</v>
      </c>
      <c r="U13" s="253" t="s">
        <v>8545</v>
      </c>
      <c r="V13" s="254" t="s">
        <v>8546</v>
      </c>
      <c r="W13" s="254"/>
      <c r="X13" s="254"/>
      <c r="Y13" s="254"/>
      <c r="Z13" s="254"/>
    </row>
    <row r="14">
      <c r="A14" s="488" t="s">
        <v>8547</v>
      </c>
      <c r="B14" s="205" t="s">
        <v>8548</v>
      </c>
      <c r="C14" s="488" t="s">
        <v>5363</v>
      </c>
      <c r="D14" s="205" t="s">
        <v>8549</v>
      </c>
      <c r="E14" s="488" t="s">
        <v>8550</v>
      </c>
      <c r="F14" s="205" t="s">
        <v>8551</v>
      </c>
      <c r="G14" s="489" t="str">
        <f>IFERROR(__xludf.DUMMYFUNCTION("GOOGLETRANSLATE(A14,""zh-tw"",""zh"")"),"生锈的铁剑")</f>
        <v>生锈的铁剑</v>
      </c>
      <c r="H14" s="260" t="str">
        <f>IFERROR(__xludf.DUMMYFUNCTION("GOOGLETRANSLATE(B14,""zh-tw"",""zh"")"),"物攻：15
机率附加中毒、出血必定中毒")</f>
        <v>物攻：15
机率附加中毒、出血必定中毒</v>
      </c>
      <c r="I14" s="488" t="s">
        <v>8552</v>
      </c>
      <c r="J14" s="254" t="str">
        <f>IFERROR(__xludf.DUMMYFUNCTION("GOOGLETRANSLATE(B14,""zh-tw"",""es-MX"")"),"Ataque físico: 15% de probabilidad de infligir veneno o sangrado; el envenenamiento está garantizado.")</f>
        <v>Ataque físico: 15% de probabilidad de infligir veneno o sangrado; el envenenamiento está garantizado.</v>
      </c>
      <c r="K14" s="492" t="str">
        <f>IFERROR(__xludf.DUMMYFUNCTION("GOOGLETRANSLATE(A14,""zh-tw"",""KO"")"),"녹슨 철검")</f>
        <v>녹슨 철검</v>
      </c>
      <c r="L14" s="254" t="str">
        <f>IFERROR(__xludf.DUMMYFUNCTION("GOOGLETRANSLATE(B14,""zh-tw"",""KO"")"),"물리 공격: 15% 확률로 독 또는 출혈 효과를 부여합니다. 독 효과는 반드시 적용됩니다.")</f>
        <v>물리 공격: 15% 확률로 독 또는 출혈 효과를 부여합니다. 독 효과는 반드시 적용됩니다.</v>
      </c>
      <c r="M14" s="253" t="s">
        <v>8553</v>
      </c>
      <c r="N14" s="254" t="s">
        <v>8554</v>
      </c>
      <c r="O14" s="489" t="s">
        <v>8555</v>
      </c>
      <c r="P14" s="260" t="s">
        <v>8556</v>
      </c>
      <c r="Q14" s="488" t="s">
        <v>8557</v>
      </c>
      <c r="R14" s="205" t="s">
        <v>8558</v>
      </c>
      <c r="S14" s="494" t="s">
        <v>8559</v>
      </c>
      <c r="T14" s="491" t="s">
        <v>8560</v>
      </c>
      <c r="U14" s="253" t="s">
        <v>8561</v>
      </c>
      <c r="V14" s="254" t="s">
        <v>8562</v>
      </c>
      <c r="W14" s="254"/>
      <c r="X14" s="254"/>
      <c r="Y14" s="254"/>
      <c r="Z14" s="254"/>
    </row>
    <row r="15">
      <c r="A15" s="488" t="s">
        <v>8563</v>
      </c>
      <c r="B15" s="205" t="s">
        <v>8564</v>
      </c>
      <c r="C15" s="488" t="s">
        <v>8565</v>
      </c>
      <c r="D15" s="205" t="s">
        <v>8566</v>
      </c>
      <c r="E15" s="488" t="s">
        <v>8567</v>
      </c>
      <c r="F15" s="205" t="s">
        <v>8568</v>
      </c>
      <c r="G15" s="489" t="str">
        <f>IFERROR(__xludf.DUMMYFUNCTION("GOOGLETRANSLATE(A15,""zh-tw"",""zh"")"),"锻造锤")</f>
        <v>锻造锤</v>
      </c>
      <c r="H15" s="260" t="str">
        <f>IFERROR(__xludf.DUMMYFUNCTION("GOOGLETRANSLATE(B15,""zh-tw"",""zh"")"),"物攻：6
锻造用途，详情于TIPS")</f>
        <v>物攻：6
锻造用途，详情于TIPS</v>
      </c>
      <c r="I15" s="488" t="s">
        <v>8569</v>
      </c>
      <c r="J15" s="254" t="str">
        <f>IFERROR(__xludf.DUMMYFUNCTION("GOOGLETRANSLATE(B15,""zh-tw"",""es-MX"")"),"Ataque físico: 6. Usos de forja, consulte CONSEJOS para obtener más detalles.")</f>
        <v>Ataque físico: 6. Usos de forja, consulte CONSEJOS para obtener más detalles.</v>
      </c>
      <c r="K15" s="492" t="str">
        <f>IFERROR(__xludf.DUMMYFUNCTION("GOOGLETRANSLATE(A15,""zh-tw"",""KO"")"),"단조 망치")</f>
        <v>단조 망치</v>
      </c>
      <c r="L15" s="254" t="str">
        <f>IFERROR(__xludf.DUMMYFUNCTION("GOOGLETRANSLATE(B15,""zh-tw"",""KO"")"),"물리 공격력: 6. 단조 사용에 대한 자세한 내용은 팁을 참조하세요.")</f>
        <v>물리 공격력: 6. 단조 사용에 대한 자세한 내용은 팁을 참조하세요.</v>
      </c>
      <c r="M15" s="253" t="s">
        <v>8570</v>
      </c>
      <c r="N15" s="254" t="s">
        <v>8571</v>
      </c>
      <c r="O15" s="489" t="s">
        <v>8572</v>
      </c>
      <c r="P15" s="260" t="s">
        <v>8573</v>
      </c>
      <c r="Q15" s="488" t="s">
        <v>8574</v>
      </c>
      <c r="R15" s="205" t="s">
        <v>8575</v>
      </c>
      <c r="S15" s="494" t="s">
        <v>8576</v>
      </c>
      <c r="T15" s="491" t="s">
        <v>8577</v>
      </c>
      <c r="U15" s="253" t="s">
        <v>8578</v>
      </c>
      <c r="V15" s="254" t="s">
        <v>8579</v>
      </c>
      <c r="W15" s="254"/>
      <c r="X15" s="254"/>
      <c r="Y15" s="254"/>
      <c r="Z15" s="254"/>
    </row>
    <row r="16">
      <c r="A16" s="489" t="s">
        <v>8580</v>
      </c>
      <c r="B16" s="260" t="s">
        <v>8581</v>
      </c>
      <c r="C16" s="489" t="s">
        <v>8582</v>
      </c>
      <c r="D16" s="260" t="s">
        <v>8583</v>
      </c>
      <c r="E16" s="489" t="s">
        <v>8584</v>
      </c>
      <c r="F16" s="260" t="s">
        <v>8585</v>
      </c>
      <c r="G16" s="489" t="str">
        <f>IFERROR(__xludf.DUMMYFUNCTION("GOOGLETRANSLATE(A16,""zh-tw"",""zh"")"),"木弓")</f>
        <v>木弓</v>
      </c>
      <c r="H16" s="260" t="str">
        <f>IFERROR(__xludf.DUMMYFUNCTION("GOOGLETRANSLATE(B16,""zh-tw"",""zh"")"),"物攻：20
穿透(伤害递减)")</f>
        <v>物攻：20
穿透(伤害递减)</v>
      </c>
      <c r="I16" s="488" t="s">
        <v>8586</v>
      </c>
      <c r="J16" s="254" t="str">
        <f>IFERROR(__xludf.DUMMYFUNCTION("GOOGLETRANSLATE(B16,""zh-tw"",""es-MX"")"),"Ataque físico: 20 de penetración (daño decreciente)")</f>
        <v>Ataque físico: 20 de penetración (daño decreciente)</v>
      </c>
      <c r="K16" s="492" t="str">
        <f>IFERROR(__xludf.DUMMYFUNCTION("GOOGLETRANSLATE(A16,""zh-tw"",""KO"")"),"나무 활")</f>
        <v>나무 활</v>
      </c>
      <c r="L16" s="254" t="str">
        <f>IFERROR(__xludf.DUMMYFUNCTION("GOOGLETRANSLATE(B16,""zh-tw"",""KO"")"),"물리 공격: 관통력 20 (피해량 감소)")</f>
        <v>물리 공격: 관통력 20 (피해량 감소)</v>
      </c>
      <c r="M16" s="253" t="s">
        <v>8587</v>
      </c>
      <c r="N16" s="254" t="s">
        <v>8588</v>
      </c>
      <c r="O16" s="489" t="s">
        <v>8587</v>
      </c>
      <c r="P16" s="260" t="s">
        <v>8589</v>
      </c>
      <c r="Q16" s="489" t="s">
        <v>8590</v>
      </c>
      <c r="R16" s="260" t="s">
        <v>8591</v>
      </c>
      <c r="S16" s="490" t="s">
        <v>8592</v>
      </c>
      <c r="T16" s="491" t="s">
        <v>8593</v>
      </c>
      <c r="U16" s="253" t="s">
        <v>8594</v>
      </c>
      <c r="V16" s="254" t="s">
        <v>8595</v>
      </c>
      <c r="W16" s="254"/>
      <c r="X16" s="254"/>
      <c r="Y16" s="254"/>
      <c r="Z16" s="254"/>
    </row>
    <row r="17">
      <c r="A17" s="200" t="s">
        <v>8596</v>
      </c>
      <c r="C17" s="200" t="s">
        <v>8597</v>
      </c>
      <c r="E17" s="200" t="s">
        <v>8598</v>
      </c>
      <c r="G17" s="200" t="s">
        <v>8599</v>
      </c>
      <c r="I17" s="200"/>
      <c r="K17" s="200"/>
      <c r="M17" s="193" t="s">
        <v>8600</v>
      </c>
      <c r="O17" s="200" t="s">
        <v>8601</v>
      </c>
      <c r="Q17" s="200"/>
      <c r="S17" s="203" t="s">
        <v>8602</v>
      </c>
      <c r="U17" s="200" t="s">
        <v>8603</v>
      </c>
      <c r="W17" s="254"/>
      <c r="X17" s="254"/>
      <c r="Y17" s="254"/>
      <c r="Z17" s="254"/>
    </row>
    <row r="18">
      <c r="A18" s="489" t="s">
        <v>8604</v>
      </c>
      <c r="B18" s="260" t="s">
        <v>8605</v>
      </c>
      <c r="C18" s="489"/>
      <c r="D18" s="260"/>
      <c r="E18" s="489" t="s">
        <v>8606</v>
      </c>
      <c r="F18" s="260" t="s">
        <v>8607</v>
      </c>
      <c r="G18" s="489"/>
      <c r="H18" s="260"/>
      <c r="I18" s="488"/>
      <c r="J18" s="254"/>
      <c r="K18" s="492"/>
      <c r="L18" s="205"/>
      <c r="M18" s="204" t="s">
        <v>8608</v>
      </c>
      <c r="N18" s="205"/>
      <c r="O18" s="489"/>
      <c r="P18" s="260"/>
      <c r="Q18" s="489"/>
      <c r="R18" s="260"/>
      <c r="S18" s="171" t="s">
        <v>8609</v>
      </c>
      <c r="T18" s="495" t="s">
        <v>8610</v>
      </c>
      <c r="U18" s="204" t="s">
        <v>8611</v>
      </c>
      <c r="V18" s="205" t="s">
        <v>8612</v>
      </c>
      <c r="W18" s="254"/>
      <c r="X18" s="254"/>
      <c r="Y18" s="254"/>
      <c r="Z18" s="254"/>
    </row>
    <row r="19">
      <c r="A19" s="489" t="s">
        <v>7922</v>
      </c>
      <c r="B19" s="260" t="s">
        <v>8613</v>
      </c>
      <c r="C19" s="489" t="s">
        <v>8614</v>
      </c>
      <c r="D19" s="260" t="s">
        <v>8615</v>
      </c>
      <c r="E19" s="489" t="s">
        <v>7925</v>
      </c>
      <c r="F19" s="260" t="s">
        <v>8616</v>
      </c>
      <c r="G19" s="489" t="str">
        <f>IFERROR(__xludf.DUMMYFUNCTION("GOOGLETRANSLATE(A19,""zh-tw"",""zh"")"),"骑士之剑")</f>
        <v>骑士之剑</v>
      </c>
      <c r="H19" s="260" t="str">
        <f>IFERROR(__xludf.DUMMYFUNCTION("GOOGLETRANSLATE(B19,""zh-tw"",""zh"")"),"物攻：30
满足条件后翻倍")</f>
        <v>物攻：30
满足条件后翻倍</v>
      </c>
      <c r="I19" s="488" t="s">
        <v>8617</v>
      </c>
      <c r="J19" s="254" t="str">
        <f>IFERROR(__xludf.DUMMYFUNCTION("GOOGLETRANSLATE(B19,""zh-tw"",""es-MX"")"),"Ataque físico: 30 (Se duplica al cumplir ciertas condiciones)")</f>
        <v>Ataque físico: 30 (Se duplica al cumplir ciertas condiciones)</v>
      </c>
      <c r="K19" s="492" t="str">
        <f>IFERROR(__xludf.DUMMYFUNCTION("GOOGLETRANSLATE(A19,""zh-tw"",""KO"")"),"기사의 검")</f>
        <v>기사의 검</v>
      </c>
      <c r="L19" s="205" t="s">
        <v>8618</v>
      </c>
      <c r="M19" s="253" t="s">
        <v>7929</v>
      </c>
      <c r="N19" s="254" t="s">
        <v>8619</v>
      </c>
      <c r="O19" s="489" t="s">
        <v>7931</v>
      </c>
      <c r="P19" s="260" t="s">
        <v>8620</v>
      </c>
      <c r="Q19" s="489" t="s">
        <v>7933</v>
      </c>
      <c r="R19" s="260" t="s">
        <v>8621</v>
      </c>
      <c r="S19" s="490" t="s">
        <v>7936</v>
      </c>
      <c r="T19" s="491" t="s">
        <v>8622</v>
      </c>
      <c r="U19" s="253" t="s">
        <v>7938</v>
      </c>
      <c r="V19" s="254" t="s">
        <v>8623</v>
      </c>
      <c r="W19" s="254"/>
      <c r="X19" s="254"/>
      <c r="Y19" s="254"/>
      <c r="Z19" s="254"/>
    </row>
    <row r="20">
      <c r="A20" s="489" t="s">
        <v>8624</v>
      </c>
      <c r="B20" s="260" t="s">
        <v>8625</v>
      </c>
      <c r="C20" s="489" t="s">
        <v>8626</v>
      </c>
      <c r="D20" s="260" t="s">
        <v>8627</v>
      </c>
      <c r="E20" s="489" t="s">
        <v>8628</v>
      </c>
      <c r="F20" s="260" t="s">
        <v>8629</v>
      </c>
      <c r="G20" s="489" t="str">
        <f>IFERROR(__xludf.DUMMYFUNCTION("GOOGLETRANSLATE(A20,""zh-tw"",""zh"")"),"臭鱼骨")</f>
        <v>臭鱼骨</v>
      </c>
      <c r="H20" s="260" t="str">
        <f>IFERROR(__xludf.DUMMYFUNCTION("GOOGLETRANSLATE(B20,""zh-tw"",""zh"")"),"物攻：14
散发恶臭")</f>
        <v>物攻：14
散发恶臭</v>
      </c>
      <c r="I20" s="488" t="s">
        <v>8630</v>
      </c>
      <c r="J20" s="254" t="str">
        <f>IFERROR(__xludf.DUMMYFUNCTION("GOOGLETRANSLATE(B20,""zh-tw"",""es-MX"")"),"Ataque físico: 14 Emite un hedor repugnante")</f>
        <v>Ataque físico: 14 Emite un hedor repugnante</v>
      </c>
      <c r="K20" s="492" t="str">
        <f>IFERROR(__xludf.DUMMYFUNCTION("GOOGLETRANSLATE(A20,""zh-tw"",""KO"")"),"냄새나는 생선 뼈")</f>
        <v>냄새나는 생선 뼈</v>
      </c>
      <c r="L20" s="205" t="s">
        <v>8631</v>
      </c>
      <c r="M20" s="253" t="s">
        <v>8632</v>
      </c>
      <c r="N20" s="254" t="s">
        <v>8633</v>
      </c>
      <c r="O20" s="489" t="s">
        <v>8634</v>
      </c>
      <c r="P20" s="260" t="s">
        <v>8635</v>
      </c>
      <c r="Q20" s="489" t="s">
        <v>8636</v>
      </c>
      <c r="R20" s="260" t="s">
        <v>8637</v>
      </c>
      <c r="S20" s="494" t="s">
        <v>8638</v>
      </c>
      <c r="T20" s="491" t="s">
        <v>8639</v>
      </c>
      <c r="U20" s="253" t="s">
        <v>8640</v>
      </c>
      <c r="V20" s="254" t="s">
        <v>8641</v>
      </c>
      <c r="W20" s="254"/>
      <c r="X20" s="254"/>
      <c r="Y20" s="254"/>
      <c r="Z20" s="254"/>
    </row>
    <row r="21">
      <c r="A21" s="489" t="s">
        <v>8642</v>
      </c>
      <c r="B21" s="260" t="s">
        <v>8643</v>
      </c>
      <c r="C21" s="489" t="s">
        <v>8642</v>
      </c>
      <c r="D21" s="260" t="s">
        <v>8644</v>
      </c>
      <c r="E21" s="489" t="s">
        <v>8645</v>
      </c>
      <c r="F21" s="260" t="s">
        <v>8646</v>
      </c>
      <c r="G21" s="489" t="str">
        <f>IFERROR(__xludf.DUMMYFUNCTION("GOOGLETRANSLATE(A21,""zh-tw"",""zh"")"),"阳炎")</f>
        <v>阳炎</v>
      </c>
      <c r="H21" s="260" t="str">
        <f>IFERROR(__xludf.DUMMYFUNCTION("GOOGLETRANSLATE(B21,""zh-tw"",""zh"")"),"物攻：24
魔攻：16
炎属性")</f>
        <v>物攻：24
魔攻：16
炎属性</v>
      </c>
      <c r="I21" s="488" t="s">
        <v>8647</v>
      </c>
      <c r="J21" s="254" t="str">
        <f>IFERROR(__xludf.DUMMYFUNCTION("GOOGLETRANSLATE(B21,""zh-tw"",""es-MX"")"),"Ataque físico: 24
Ataque mágico: 16
Atributo fuego")</f>
        <v>Ataque físico: 24
Ataque mágico: 16
Atributo fuego</v>
      </c>
      <c r="K21" s="489" t="s">
        <v>8648</v>
      </c>
      <c r="L21" s="205" t="s">
        <v>8649</v>
      </c>
      <c r="M21" s="253" t="s">
        <v>8650</v>
      </c>
      <c r="N21" s="254" t="s">
        <v>8651</v>
      </c>
      <c r="O21" s="489" t="s">
        <v>8652</v>
      </c>
      <c r="P21" s="260" t="s">
        <v>8653</v>
      </c>
      <c r="Q21" s="489" t="s">
        <v>8654</v>
      </c>
      <c r="R21" s="260" t="s">
        <v>8655</v>
      </c>
      <c r="S21" s="490" t="s">
        <v>8656</v>
      </c>
      <c r="T21" s="495" t="s">
        <v>8657</v>
      </c>
      <c r="U21" s="253" t="s">
        <v>8658</v>
      </c>
      <c r="V21" s="254" t="s">
        <v>8659</v>
      </c>
      <c r="W21" s="254"/>
      <c r="X21" s="254"/>
      <c r="Y21" s="254"/>
      <c r="Z21" s="254"/>
    </row>
    <row r="22">
      <c r="A22" s="489" t="s">
        <v>8660</v>
      </c>
      <c r="B22" s="260" t="s">
        <v>8661</v>
      </c>
      <c r="C22" s="489" t="s">
        <v>8660</v>
      </c>
      <c r="D22" s="260" t="s">
        <v>8662</v>
      </c>
      <c r="E22" s="489" t="s">
        <v>8663</v>
      </c>
      <c r="F22" s="260" t="s">
        <v>8664</v>
      </c>
      <c r="G22" s="489" t="str">
        <f>IFERROR(__xludf.DUMMYFUNCTION("GOOGLETRANSLATE(A22,""zh-tw"",""zh"")"),"霜月")</f>
        <v>霜月</v>
      </c>
      <c r="H22" s="260" t="str">
        <f>IFERROR(__xludf.DUMMYFUNCTION("GOOGLETRANSLATE(B22,""zh-tw"",""zh"")"),"物攻：20
魔攻：14
冰属性")</f>
        <v>物攻：20
魔攻：14
冰属性</v>
      </c>
      <c r="I22" s="488" t="s">
        <v>8665</v>
      </c>
      <c r="J22" s="254" t="str">
        <f>IFERROR(__xludf.DUMMYFUNCTION("GOOGLETRANSLATE(B22,""zh-tw"",""es-MX"")"),"Ataque físico: 20
Ataque mágico: 14
Atributo hielo")</f>
        <v>Ataque físico: 20
Ataque mágico: 14
Atributo hielo</v>
      </c>
      <c r="K22" s="488" t="s">
        <v>8666</v>
      </c>
      <c r="L22" s="205" t="s">
        <v>8667</v>
      </c>
      <c r="M22" s="253" t="s">
        <v>8668</v>
      </c>
      <c r="N22" s="254" t="s">
        <v>8669</v>
      </c>
      <c r="O22" s="489" t="s">
        <v>8670</v>
      </c>
      <c r="P22" s="260" t="s">
        <v>8671</v>
      </c>
      <c r="Q22" s="489" t="s">
        <v>8672</v>
      </c>
      <c r="R22" s="260" t="s">
        <v>8673</v>
      </c>
      <c r="S22" s="490" t="s">
        <v>8674</v>
      </c>
      <c r="T22" s="491" t="s">
        <v>8675</v>
      </c>
      <c r="U22" s="253" t="s">
        <v>8676</v>
      </c>
      <c r="V22" s="254" t="s">
        <v>8677</v>
      </c>
      <c r="W22" s="254"/>
      <c r="X22" s="254"/>
      <c r="Y22" s="254"/>
      <c r="Z22" s="254"/>
    </row>
    <row r="23">
      <c r="A23" s="489" t="s">
        <v>8678</v>
      </c>
      <c r="B23" s="260" t="s">
        <v>8679</v>
      </c>
      <c r="C23" s="489" t="s">
        <v>8680</v>
      </c>
      <c r="D23" s="260" t="s">
        <v>8681</v>
      </c>
      <c r="E23" s="489" t="s">
        <v>8682</v>
      </c>
      <c r="F23" s="260" t="s">
        <v>8683</v>
      </c>
      <c r="G23" s="489" t="str">
        <f>IFERROR(__xludf.DUMMYFUNCTION("GOOGLETRANSLATE(A23,""zh-tw"",""zh"")"),"会漏电的不良品")</f>
        <v>会漏电的不良品</v>
      </c>
      <c r="H23" s="260" t="str">
        <f>IFERROR(__xludf.DUMMYFUNCTION("GOOGLETRANSLATE(B23,""zh-tw"",""zh"")"),"物攻：28
魔攻：12
电属性")</f>
        <v>物攻：28
魔攻：12
电属性</v>
      </c>
      <c r="I23" s="488" t="s">
        <v>8684</v>
      </c>
      <c r="J23" s="254" t="str">
        <f>IFERROR(__xludf.DUMMYFUNCTION("GOOGLETRANSLATE(B23,""zh-tw"",""es-MX"")"),"Ataque físico: 28
Ataque mágico: 12
Atributo eléctrico")</f>
        <v>Ataque físico: 28
Ataque mágico: 12
Atributo eléctrico</v>
      </c>
      <c r="K23" s="488" t="s">
        <v>8685</v>
      </c>
      <c r="L23" s="254" t="str">
        <f>IFERROR(__xludf.DUMMYFUNCTION("GOOGLETRANSLATE(B23,""zh-tw"",""KO"")"),"물리 공격력: 28
마법 공격력: 12
속성: 전기")</f>
        <v>물리 공격력: 28
마법 공격력: 12
속성: 전기</v>
      </c>
      <c r="M23" s="253" t="s">
        <v>8686</v>
      </c>
      <c r="N23" s="254" t="s">
        <v>8687</v>
      </c>
      <c r="O23" s="489" t="s">
        <v>8688</v>
      </c>
      <c r="P23" s="260" t="s">
        <v>8689</v>
      </c>
      <c r="Q23" s="489" t="s">
        <v>8690</v>
      </c>
      <c r="R23" s="260" t="s">
        <v>8691</v>
      </c>
      <c r="S23" s="494" t="s">
        <v>8692</v>
      </c>
      <c r="T23" s="495" t="s">
        <v>8693</v>
      </c>
      <c r="U23" s="253" t="s">
        <v>8694</v>
      </c>
      <c r="V23" s="254" t="s">
        <v>8695</v>
      </c>
      <c r="W23" s="254"/>
      <c r="X23" s="254"/>
      <c r="Y23" s="254"/>
      <c r="Z23" s="254"/>
    </row>
    <row r="24">
      <c r="A24" s="489" t="s">
        <v>8696</v>
      </c>
      <c r="B24" s="260" t="s">
        <v>8697</v>
      </c>
      <c r="C24" s="489" t="s">
        <v>8698</v>
      </c>
      <c r="D24" s="260" t="s">
        <v>8699</v>
      </c>
      <c r="E24" s="489" t="s">
        <v>8700</v>
      </c>
      <c r="F24" s="260" t="s">
        <v>8701</v>
      </c>
      <c r="G24" s="489" t="str">
        <f>IFERROR(__xludf.DUMMYFUNCTION("GOOGLETRANSLATE(A24,""zh-tw"",""zh"")"),"毒孢针")</f>
        <v>毒孢针</v>
      </c>
      <c r="H24" s="260" t="str">
        <f>IFERROR(__xludf.DUMMYFUNCTION("GOOGLETRANSLATE(B24,""zh-tw"",""zh"")"),"物攻：14
毒属性")</f>
        <v>物攻：14
毒属性</v>
      </c>
      <c r="I24" s="488" t="s">
        <v>8702</v>
      </c>
      <c r="J24" s="254" t="str">
        <f>IFERROR(__xludf.DUMMYFUNCTION("GOOGLETRANSLATE(B24,""zh-tw"",""es-MX"")"),"Ataque físico: 14 Atributo de veneno")</f>
        <v>Ataque físico: 14 Atributo de veneno</v>
      </c>
      <c r="K24" s="488" t="s">
        <v>8703</v>
      </c>
      <c r="L24" s="254" t="str">
        <f>IFERROR(__xludf.DUMMYFUNCTION("GOOGLETRANSLATE(B24,""zh-tw"",""KO"")"),"물리 공격력: 14 독 속성")</f>
        <v>물리 공격력: 14 독 속성</v>
      </c>
      <c r="M24" s="253" t="s">
        <v>8704</v>
      </c>
      <c r="N24" s="254" t="s">
        <v>8705</v>
      </c>
      <c r="O24" s="489" t="s">
        <v>8706</v>
      </c>
      <c r="P24" s="260" t="s">
        <v>8707</v>
      </c>
      <c r="Q24" s="489" t="s">
        <v>8708</v>
      </c>
      <c r="R24" s="260" t="s">
        <v>8709</v>
      </c>
      <c r="S24" s="490" t="s">
        <v>8710</v>
      </c>
      <c r="T24" s="491" t="s">
        <v>8711</v>
      </c>
      <c r="U24" s="253" t="s">
        <v>8712</v>
      </c>
      <c r="V24" s="254" t="s">
        <v>8713</v>
      </c>
      <c r="W24" s="254"/>
      <c r="X24" s="254"/>
      <c r="Y24" s="254"/>
      <c r="Z24" s="254"/>
    </row>
    <row r="25">
      <c r="A25" s="489" t="s">
        <v>8714</v>
      </c>
      <c r="B25" s="260" t="s">
        <v>8715</v>
      </c>
      <c r="C25" s="489" t="s">
        <v>8716</v>
      </c>
      <c r="D25" s="260" t="s">
        <v>8717</v>
      </c>
      <c r="E25" s="489" t="s">
        <v>8718</v>
      </c>
      <c r="F25" s="260" t="s">
        <v>8719</v>
      </c>
      <c r="G25" s="489" t="str">
        <f>IFERROR(__xludf.DUMMYFUNCTION("GOOGLETRANSLATE(A25,""zh-tw"",""zh"")"),"银辉大剑")</f>
        <v>银辉大剑</v>
      </c>
      <c r="H25" s="260" t="str">
        <f>IFERROR(__xludf.DUMMYFUNCTION("GOOGLETRANSLATE(B25,""zh-tw"",""zh"")"),"物攻：48
魔抗：20
满足条件类型武器")</f>
        <v>物攻：48
魔抗：20
满足条件类型武器</v>
      </c>
      <c r="I25" s="488" t="s">
        <v>8720</v>
      </c>
      <c r="J25" s="254" t="str">
        <f>IFERROR(__xludf.DUMMYFUNCTION("GOOGLETRANSLATE(B25,""zh-tw"",""es-MX"")"),"Ataque físico: 48
Resistencia mágica: 20
Tipo de arma que cumple los requisitos")</f>
        <v>Ataque físico: 48
Resistencia mágica: 20
Tipo de arma que cumple los requisitos</v>
      </c>
      <c r="K25" s="488" t="s">
        <v>8721</v>
      </c>
      <c r="L25" s="254" t="str">
        <f>IFERROR(__xludf.DUMMYFUNCTION("GOOGLETRANSLATE(B25,""zh-tw"",""KO"")"),"물리 공격력: 48
마법 저항력: 20
요구 조건을 충족하는 무기 유형")</f>
        <v>물리 공격력: 48
마법 저항력: 20
요구 조건을 충족하는 무기 유형</v>
      </c>
      <c r="M25" s="253" t="s">
        <v>8722</v>
      </c>
      <c r="N25" s="254" t="s">
        <v>8723</v>
      </c>
      <c r="O25" s="489" t="s">
        <v>8724</v>
      </c>
      <c r="P25" s="260" t="s">
        <v>8725</v>
      </c>
      <c r="Q25" s="489" t="s">
        <v>8726</v>
      </c>
      <c r="R25" s="260" t="s">
        <v>8727</v>
      </c>
      <c r="S25" s="494" t="s">
        <v>8728</v>
      </c>
      <c r="T25" s="491" t="s">
        <v>8729</v>
      </c>
      <c r="U25" s="253" t="s">
        <v>8730</v>
      </c>
      <c r="V25" s="254" t="s">
        <v>8731</v>
      </c>
      <c r="W25" s="254"/>
      <c r="X25" s="254"/>
      <c r="Y25" s="254"/>
      <c r="Z25" s="254"/>
    </row>
    <row r="26">
      <c r="A26" s="489" t="s">
        <v>8732</v>
      </c>
      <c r="B26" s="260" t="s">
        <v>8733</v>
      </c>
      <c r="C26" s="489" t="s">
        <v>8734</v>
      </c>
      <c r="D26" s="260" t="s">
        <v>8735</v>
      </c>
      <c r="E26" s="489" t="s">
        <v>8736</v>
      </c>
      <c r="F26" s="260" t="s">
        <v>8737</v>
      </c>
      <c r="G26" s="489" t="str">
        <f>IFERROR(__xludf.DUMMYFUNCTION("GOOGLETRANSLATE(A26,""zh-tw"",""zh"")"),"甜筒大剑")</f>
        <v>甜筒大剑</v>
      </c>
      <c r="H26" s="260" t="str">
        <f>IFERROR(__xludf.DUMMYFUNCTION("GOOGLETRANSLATE(B26,""zh-tw"",""zh"")"),"物攻：1
累计伤害型武器")</f>
        <v>物攻：1
累计伤害型武器</v>
      </c>
      <c r="I26" s="488" t="s">
        <v>8738</v>
      </c>
      <c r="J26" s="254" t="str">
        <f>IFERROR(__xludf.DUMMYFUNCTION("GOOGLETRANSLATE(B26,""zh-tw"",""es-MX"")"),"Ataque físico: 1 (arma de tipo daño acumulativo)")</f>
        <v>Ataque físico: 1 (arma de tipo daño acumulativo)</v>
      </c>
      <c r="K26" s="492" t="str">
        <f>IFERROR(__xludf.DUMMYFUNCTION("GOOGLETRANSLATE(A26,""zh-tw"",""KO"")"),"아이스크림 콘 검")</f>
        <v>아이스크림 콘 검</v>
      </c>
      <c r="L26" s="254" t="str">
        <f>IFERROR(__xludf.DUMMYFUNCTION("GOOGLETRANSLATE(B26,""zh-tw"",""KO"")"),"물리 공격: 1 (누적 피해 유형 무기)")</f>
        <v>물리 공격: 1 (누적 피해 유형 무기)</v>
      </c>
      <c r="M26" s="253" t="s">
        <v>8739</v>
      </c>
      <c r="N26" s="254" t="s">
        <v>8740</v>
      </c>
      <c r="O26" s="489" t="s">
        <v>8741</v>
      </c>
      <c r="P26" s="260" t="s">
        <v>8742</v>
      </c>
      <c r="Q26" s="489" t="s">
        <v>8743</v>
      </c>
      <c r="R26" s="260" t="s">
        <v>8744</v>
      </c>
      <c r="S26" s="494" t="s">
        <v>8745</v>
      </c>
      <c r="T26" s="491" t="s">
        <v>8746</v>
      </c>
      <c r="U26" s="253" t="s">
        <v>8747</v>
      </c>
      <c r="V26" s="254" t="s">
        <v>8748</v>
      </c>
      <c r="W26" s="254"/>
      <c r="X26" s="254"/>
      <c r="Y26" s="254"/>
      <c r="Z26" s="254"/>
    </row>
    <row r="27">
      <c r="A27" s="488" t="s">
        <v>8749</v>
      </c>
      <c r="B27" s="205" t="s">
        <v>8733</v>
      </c>
      <c r="C27" s="488" t="s">
        <v>8750</v>
      </c>
      <c r="D27" s="205" t="s">
        <v>8751</v>
      </c>
      <c r="E27" s="488" t="s">
        <v>8752</v>
      </c>
      <c r="F27" s="205" t="s">
        <v>8753</v>
      </c>
      <c r="G27" s="488" t="s">
        <v>8749</v>
      </c>
      <c r="H27" s="205" t="s">
        <v>8754</v>
      </c>
      <c r="I27" s="492"/>
      <c r="J27" s="254"/>
      <c r="K27" s="488" t="s">
        <v>8755</v>
      </c>
      <c r="L27" s="205" t="s">
        <v>8756</v>
      </c>
      <c r="M27" s="192" t="s">
        <v>8757</v>
      </c>
      <c r="N27" s="194" t="s">
        <v>8740</v>
      </c>
      <c r="O27" s="489" t="s">
        <v>8758</v>
      </c>
      <c r="P27" s="260" t="s">
        <v>8742</v>
      </c>
      <c r="Q27" s="492"/>
      <c r="R27" s="254"/>
      <c r="S27" s="496" t="s">
        <v>8759</v>
      </c>
      <c r="T27" s="497" t="s">
        <v>8760</v>
      </c>
      <c r="U27" s="204" t="s">
        <v>8761</v>
      </c>
      <c r="V27" s="205" t="s">
        <v>8762</v>
      </c>
      <c r="W27" s="254"/>
      <c r="X27" s="254"/>
      <c r="Y27" s="254"/>
      <c r="Z27" s="254"/>
    </row>
    <row r="28">
      <c r="A28" s="488" t="s">
        <v>8763</v>
      </c>
      <c r="B28" s="205" t="s">
        <v>8764</v>
      </c>
      <c r="C28" s="488" t="s">
        <v>8765</v>
      </c>
      <c r="D28" s="205" t="s">
        <v>8766</v>
      </c>
      <c r="E28" s="488" t="s">
        <v>6762</v>
      </c>
      <c r="F28" s="205" t="s">
        <v>8767</v>
      </c>
      <c r="G28" s="489" t="str">
        <f>IFERROR(__xludf.DUMMYFUNCTION("GOOGLETRANSLATE(A28,""zh-tw"",""zh"")"),"冻萝卜大剑")</f>
        <v>冻萝卜大剑</v>
      </c>
      <c r="H28" s="260" t="str">
        <f>IFERROR(__xludf.DUMMYFUNCTION("GOOGLETRANSLATE(B28,""zh-tw"",""zh"")"),"物攻：26
物防：2
冻结效果
投掷穿刺效果")</f>
        <v>物攻：26
物防：2
冻结效果
投掷穿刺效果</v>
      </c>
      <c r="I28" s="488" t="s">
        <v>8768</v>
      </c>
      <c r="J28" s="254" t="str">
        <f>IFERROR(__xludf.DUMMYFUNCTION("GOOGLETRANSLATE(B28,""zh-tw"",""es-MX"")"),"Ataque físico: 26
Defensa física: 2
Efecto de congelación
Efecto de perforación al lanzar")</f>
        <v>Ataque físico: 26
Defensa física: 2
Efecto de congelación
Efecto de perforación al lanzar</v>
      </c>
      <c r="K28" s="492" t="str">
        <f>IFERROR(__xludf.DUMMYFUNCTION("GOOGLETRANSLATE(A28,""zh-tw"",""KO"")"),"얼린 무 검")</f>
        <v>얼린 무 검</v>
      </c>
      <c r="L28" s="254" t="str">
        <f>IFERROR(__xludf.DUMMYFUNCTION("GOOGLETRANSLATE(B28,""zh-tw"",""KO"")"),"물리 공격력: 26
물리 방어력: 2
빙결 효과
투척 관통 효과")</f>
        <v>물리 공격력: 26
물리 방어력: 2
빙결 효과
투척 관통 효과</v>
      </c>
      <c r="M28" s="253" t="s">
        <v>6767</v>
      </c>
      <c r="N28" s="254" t="s">
        <v>8769</v>
      </c>
      <c r="O28" s="489" t="s">
        <v>6769</v>
      </c>
      <c r="P28" s="260" t="s">
        <v>8770</v>
      </c>
      <c r="Q28" s="488" t="s">
        <v>6771</v>
      </c>
      <c r="R28" s="205" t="s">
        <v>8771</v>
      </c>
      <c r="S28" s="171" t="s">
        <v>8772</v>
      </c>
      <c r="T28" s="465" t="s">
        <v>8773</v>
      </c>
      <c r="U28" s="253" t="s">
        <v>8774</v>
      </c>
      <c r="V28" s="254" t="s">
        <v>8775</v>
      </c>
      <c r="W28" s="254"/>
      <c r="X28" s="254"/>
      <c r="Y28" s="254"/>
      <c r="Z28" s="254"/>
    </row>
    <row r="29">
      <c r="A29" s="488" t="s">
        <v>8776</v>
      </c>
      <c r="B29" s="205" t="s">
        <v>8777</v>
      </c>
      <c r="C29" s="488" t="s">
        <v>8778</v>
      </c>
      <c r="D29" s="205" t="s">
        <v>8779</v>
      </c>
      <c r="E29" s="488" t="s">
        <v>8780</v>
      </c>
      <c r="F29" s="205" t="s">
        <v>8781</v>
      </c>
      <c r="G29" s="489" t="str">
        <f>IFERROR(__xludf.DUMMYFUNCTION("GOOGLETRANSLATE(A29,""zh-tw"",""zh"")"),"霉萝卜大剑")</f>
        <v>霉萝卜大剑</v>
      </c>
      <c r="H29" s="260" t="str">
        <f>IFERROR(__xludf.DUMMYFUNCTION("GOOGLETRANSLATE(B29,""zh-tw"",""zh"")"),"物攻：10
魔攻：10
中毒效果
投掷穿刺效果")</f>
        <v>物攻：10
魔攻：10
中毒效果
投掷穿刺效果</v>
      </c>
      <c r="I29" s="488" t="s">
        <v>8782</v>
      </c>
      <c r="J29" s="254" t="str">
        <f>IFERROR(__xludf.DUMMYFUNCTION("GOOGLETRANSLATE(B29,""zh-tw"",""es-MX"")"),"Ataque físico: 10
Ataque mágico: 10
Efecto de veneno
Efecto de perforación al lanzar")</f>
        <v>Ataque físico: 10
Ataque mágico: 10
Efecto de veneno
Efecto de perforación al lanzar</v>
      </c>
      <c r="K29" s="492" t="str">
        <f>IFERROR(__xludf.DUMMYFUNCTION("GOOGLETRANSLATE(A29,""zh-tw"",""KO"")"),"성형 무검")</f>
        <v>성형 무검</v>
      </c>
      <c r="L29" s="254" t="str">
        <f>IFERROR(__xludf.DUMMYFUNCTION("GOOGLETRANSLATE(B29,""zh-tw"",""KO"")"),"물리 공격력: 10
마법 공격력: 10
독 효과
투척 관통 효과")</f>
        <v>물리 공격력: 10
마법 공격력: 10
독 효과
투척 관통 효과</v>
      </c>
      <c r="M29" s="253" t="s">
        <v>8783</v>
      </c>
      <c r="N29" s="254" t="s">
        <v>8784</v>
      </c>
      <c r="O29" s="489" t="s">
        <v>8785</v>
      </c>
      <c r="P29" s="260" t="s">
        <v>8786</v>
      </c>
      <c r="Q29" s="488" t="s">
        <v>8787</v>
      </c>
      <c r="R29" s="205" t="s">
        <v>8788</v>
      </c>
      <c r="S29" s="171" t="s">
        <v>8789</v>
      </c>
      <c r="T29" s="465" t="s">
        <v>8790</v>
      </c>
      <c r="U29" s="253" t="s">
        <v>8791</v>
      </c>
      <c r="V29" s="254" t="s">
        <v>8792</v>
      </c>
      <c r="W29" s="254"/>
      <c r="X29" s="254"/>
      <c r="Y29" s="254"/>
      <c r="Z29" s="254"/>
    </row>
    <row r="30">
      <c r="A30" s="489" t="s">
        <v>8793</v>
      </c>
      <c r="B30" s="260" t="s">
        <v>8794</v>
      </c>
      <c r="C30" s="489" t="s">
        <v>8795</v>
      </c>
      <c r="D30" s="260" t="s">
        <v>8796</v>
      </c>
      <c r="E30" s="489" t="s">
        <v>8797</v>
      </c>
      <c r="F30" s="260" t="s">
        <v>8798</v>
      </c>
      <c r="G30" s="489" t="str">
        <f>IFERROR(__xludf.DUMMYFUNCTION("GOOGLETRANSLATE(A30,""zh-tw"",""zh"")"),"巨蜗吸尘器")</f>
        <v>巨蜗吸尘器</v>
      </c>
      <c r="H30" s="260" t="str">
        <f>IFERROR(__xludf.DUMMYFUNCTION("GOOGLETRANSLATE(B30,""zh-tw"",""zh"")"),"物攻：1
魔攻：1
吸取物品")</f>
        <v>物攻：1
魔攻：1
吸取物品</v>
      </c>
      <c r="I30" s="488" t="s">
        <v>8799</v>
      </c>
      <c r="J30" s="254" t="str">
        <f>IFERROR(__xludf.DUMMYFUNCTION("GOOGLETRANSLATE(B30,""zh-tw"",""es-MX"")"),"Ataque físico: 1
Ataque mágico: 1
Absorción de objetos")</f>
        <v>Ataque físico: 1
Ataque mágico: 1
Absorción de objetos</v>
      </c>
      <c r="K30" s="492" t="str">
        <f>IFERROR(__xludf.DUMMYFUNCTION("GOOGLETRANSLATE(A30,""zh-tw"",""KO"")"),"거대 달팽이 진공청소기")</f>
        <v>거대 달팽이 진공청소기</v>
      </c>
      <c r="L30" s="254" t="str">
        <f>IFERROR(__xludf.DUMMYFUNCTION("GOOGLETRANSLATE(B30,""zh-tw"",""KO"")"),"물리 공격력: 1
마법 공격력: 1
아이템 흡수")</f>
        <v>물리 공격력: 1
마법 공격력: 1
아이템 흡수</v>
      </c>
      <c r="M30" s="253" t="s">
        <v>8800</v>
      </c>
      <c r="N30" s="254" t="s">
        <v>8801</v>
      </c>
      <c r="O30" s="489" t="s">
        <v>8802</v>
      </c>
      <c r="P30" s="260" t="s">
        <v>8803</v>
      </c>
      <c r="Q30" s="489" t="s">
        <v>8804</v>
      </c>
      <c r="R30" s="260" t="s">
        <v>8805</v>
      </c>
      <c r="S30" s="494" t="s">
        <v>8806</v>
      </c>
      <c r="T30" s="491" t="s">
        <v>8807</v>
      </c>
      <c r="U30" s="253" t="s">
        <v>8808</v>
      </c>
      <c r="V30" s="254" t="s">
        <v>8809</v>
      </c>
      <c r="W30" s="254"/>
      <c r="X30" s="254"/>
      <c r="Y30" s="254"/>
      <c r="Z30" s="254"/>
    </row>
    <row r="31">
      <c r="A31" s="489" t="s">
        <v>8810</v>
      </c>
      <c r="B31" s="260" t="s">
        <v>8811</v>
      </c>
      <c r="C31" s="489" t="s">
        <v>8206</v>
      </c>
      <c r="D31" s="260" t="s">
        <v>8812</v>
      </c>
      <c r="E31" s="489" t="s">
        <v>8813</v>
      </c>
      <c r="F31" s="260" t="s">
        <v>8814</v>
      </c>
      <c r="G31" s="489" t="str">
        <f>IFERROR(__xludf.DUMMYFUNCTION("GOOGLETRANSLATE(A31,""zh-tw"",""zh"")"),"熔岩杖")</f>
        <v>熔岩杖</v>
      </c>
      <c r="H31" s="260" t="str">
        <f>IFERROR(__xludf.DUMMYFUNCTION("GOOGLETRANSLATE(B31,""zh-tw"",""zh"")"),"物攻：1
魔攻：66
炎属性")</f>
        <v>物攻：1
魔攻：66
炎属性</v>
      </c>
      <c r="I31" s="488" t="s">
        <v>8815</v>
      </c>
      <c r="J31" s="254" t="str">
        <f>IFERROR(__xludf.DUMMYFUNCTION("GOOGLETRANSLATE(B31,""zh-tw"",""es-MX"")"),"Ataque físico: 1
Ataque mágico: 66
Atributo fuego")</f>
        <v>Ataque físico: 1
Ataque mágico: 66
Atributo fuego</v>
      </c>
      <c r="K31" s="492" t="str">
        <f>IFERROR(__xludf.DUMMYFUNCTION("GOOGLETRANSLATE(A31,""zh-tw"",""KO"")"),"라바 스태프")</f>
        <v>라바 스태프</v>
      </c>
      <c r="L31" s="254" t="str">
        <f>IFERROR(__xludf.DUMMYFUNCTION("GOOGLETRANSLATE(B31,""zh-tw"",""KO"")"),"물리 공격력: 1
마법 공격력: 66
화염 속성")</f>
        <v>물리 공격력: 1
마법 공격력: 66
화염 속성</v>
      </c>
      <c r="M31" s="253" t="s">
        <v>8816</v>
      </c>
      <c r="N31" s="254" t="s">
        <v>8817</v>
      </c>
      <c r="O31" s="489" t="s">
        <v>8818</v>
      </c>
      <c r="P31" s="260" t="s">
        <v>8819</v>
      </c>
      <c r="Q31" s="489" t="s">
        <v>8215</v>
      </c>
      <c r="R31" s="260" t="s">
        <v>8820</v>
      </c>
      <c r="S31" s="490" t="s">
        <v>8821</v>
      </c>
      <c r="T31" s="495" t="s">
        <v>8822</v>
      </c>
      <c r="U31" s="253" t="s">
        <v>8823</v>
      </c>
      <c r="V31" s="254" t="s">
        <v>8824</v>
      </c>
      <c r="W31" s="254"/>
      <c r="X31" s="254"/>
      <c r="Y31" s="254"/>
      <c r="Z31" s="254"/>
    </row>
    <row r="32">
      <c r="A32" s="489" t="s">
        <v>8825</v>
      </c>
      <c r="B32" s="260" t="s">
        <v>8826</v>
      </c>
      <c r="C32" s="489" t="s">
        <v>8827</v>
      </c>
      <c r="D32" s="260" t="s">
        <v>8828</v>
      </c>
      <c r="E32" s="489" t="s">
        <v>8829</v>
      </c>
      <c r="F32" s="260" t="s">
        <v>8830</v>
      </c>
      <c r="G32" s="489" t="str">
        <f>IFERROR(__xludf.DUMMYFUNCTION("GOOGLETRANSLATE(A32,""zh-tw"",""zh"")"),"寒冰杖")</f>
        <v>寒冰杖</v>
      </c>
      <c r="H32" s="260" t="str">
        <f>IFERROR(__xludf.DUMMYFUNCTION("GOOGLETRANSLATE(B32,""zh-tw"",""zh"")"),"物攻：1
魔攻：55
冰属性")</f>
        <v>物攻：1
魔攻：55
冰属性</v>
      </c>
      <c r="I32" s="488" t="s">
        <v>8831</v>
      </c>
      <c r="J32" s="254" t="str">
        <f>IFERROR(__xludf.DUMMYFUNCTION("GOOGLETRANSLATE(B32,""zh-tw"",""es-MX"")"),"Ataque físico: 1 Ataque mágico: 55 Atributo hielo")</f>
        <v>Ataque físico: 1 Ataque mágico: 55 Atributo hielo</v>
      </c>
      <c r="K32" s="492" t="str">
        <f>IFERROR(__xludf.DUMMYFUNCTION("GOOGLETRANSLATE(A32,""zh-tw"",""KO"")"),"아이스 스태프")</f>
        <v>아이스 스태프</v>
      </c>
      <c r="L32" s="254" t="str">
        <f>IFERROR(__xludf.DUMMYFUNCTION("GOOGLETRANSLATE(B32,""zh-tw"",""KO"")"),"물리 공격력: 1 마법 공격력: 55 얼음 속성")</f>
        <v>물리 공격력: 1 마법 공격력: 55 얼음 속성</v>
      </c>
      <c r="M32" s="253" t="s">
        <v>8832</v>
      </c>
      <c r="N32" s="254" t="s">
        <v>8833</v>
      </c>
      <c r="O32" s="489" t="s">
        <v>8834</v>
      </c>
      <c r="P32" s="260" t="s">
        <v>8835</v>
      </c>
      <c r="Q32" s="489" t="s">
        <v>8836</v>
      </c>
      <c r="R32" s="260" t="s">
        <v>8837</v>
      </c>
      <c r="S32" s="490" t="s">
        <v>8838</v>
      </c>
      <c r="T32" s="491" t="s">
        <v>8839</v>
      </c>
      <c r="U32" s="253" t="s">
        <v>8840</v>
      </c>
      <c r="V32" s="254" t="s">
        <v>8841</v>
      </c>
      <c r="W32" s="254"/>
      <c r="X32" s="254"/>
      <c r="Y32" s="254"/>
      <c r="Z32" s="254"/>
    </row>
    <row r="33">
      <c r="A33" s="492" t="s">
        <v>8842</v>
      </c>
      <c r="B33" s="205" t="s">
        <v>8843</v>
      </c>
      <c r="C33" s="492" t="s">
        <v>8844</v>
      </c>
      <c r="D33" s="205" t="s">
        <v>8845</v>
      </c>
      <c r="E33" s="492" t="s">
        <v>8846</v>
      </c>
      <c r="F33" s="205" t="s">
        <v>8847</v>
      </c>
      <c r="G33" s="492" t="s">
        <v>8848</v>
      </c>
      <c r="H33" s="205" t="s">
        <v>8849</v>
      </c>
      <c r="I33" s="488" t="s">
        <v>8850</v>
      </c>
      <c r="J33" s="254" t="str">
        <f>IFERROR(__xludf.DUMMYFUNCTION("GOOGLETRANSLATE(B33,""zh-tw"",""es-MX"")"),"Ataque mágico: 40 Exterminación de insectos")</f>
        <v>Ataque mágico: 40 Exterminación de insectos</v>
      </c>
      <c r="K33" s="492" t="str">
        <f>IFERROR(__xludf.DUMMYFUNCTION("GOOGLETRANSLATE(A33,""zh-tw"",""KO"")"),"살충제 스틱")</f>
        <v>살충제 스틱</v>
      </c>
      <c r="L33" s="254" t="str">
        <f>IFERROR(__xludf.DUMMYFUNCTION("GOOGLETRANSLATE(B33,""zh-tw"",""KO"")"),"마법 공격: 곤충 박멸 40")</f>
        <v>마법 공격: 곤충 박멸 40</v>
      </c>
      <c r="M33" s="253" t="s">
        <v>8851</v>
      </c>
      <c r="N33" s="194" t="s">
        <v>8852</v>
      </c>
      <c r="O33" s="489" t="s">
        <v>8853</v>
      </c>
      <c r="P33" s="260" t="s">
        <v>8854</v>
      </c>
      <c r="Q33" s="488" t="s">
        <v>8855</v>
      </c>
      <c r="R33" s="205" t="s">
        <v>8856</v>
      </c>
      <c r="S33" s="272" t="s">
        <v>8857</v>
      </c>
      <c r="T33" s="498" t="s">
        <v>8858</v>
      </c>
      <c r="U33" s="253" t="s">
        <v>8859</v>
      </c>
      <c r="V33" s="205" t="s">
        <v>8860</v>
      </c>
      <c r="W33" s="254"/>
      <c r="X33" s="254"/>
      <c r="Y33" s="254"/>
      <c r="Z33" s="254"/>
    </row>
    <row r="34">
      <c r="A34" s="489" t="s">
        <v>8861</v>
      </c>
      <c r="B34" s="260" t="s">
        <v>8862</v>
      </c>
      <c r="C34" s="489" t="s">
        <v>8863</v>
      </c>
      <c r="D34" s="260" t="s">
        <v>8864</v>
      </c>
      <c r="E34" s="489" t="s">
        <v>8865</v>
      </c>
      <c r="F34" s="260" t="s">
        <v>8866</v>
      </c>
      <c r="G34" s="489" t="str">
        <f>IFERROR(__xludf.DUMMYFUNCTION("GOOGLETRANSLATE(A34,""zh-tw"",""zh"")"),"猎人之弓")</f>
        <v>猎人之弓</v>
      </c>
      <c r="H34" s="260" t="str">
        <f>IFERROR(__xludf.DUMMYFUNCTION("GOOGLETRANSLATE(B34,""zh-tw"",""zh"")"),"物攻：24
穿透")</f>
        <v>物攻：24
穿透</v>
      </c>
      <c r="I34" s="488" t="s">
        <v>8867</v>
      </c>
      <c r="J34" s="254" t="str">
        <f>IFERROR(__xludf.DUMMYFUNCTION("GOOGLETRANSLATE(B34,""zh-tw"",""es-MX"")"),"Ataque físico: 24 de penetración")</f>
        <v>Ataque físico: 24 de penetración</v>
      </c>
      <c r="K34" s="492" t="str">
        <f>IFERROR(__xludf.DUMMYFUNCTION("GOOGLETRANSLATE(A34,""zh-tw"",""KO"")"),"사냥꾼의 활")</f>
        <v>사냥꾼의 활</v>
      </c>
      <c r="L34" s="254" t="str">
        <f>IFERROR(__xludf.DUMMYFUNCTION("GOOGLETRANSLATE(B34,""zh-tw"",""KO"")"),"물리적 공격: 관통력 24")</f>
        <v>물리적 공격: 관통력 24</v>
      </c>
      <c r="M34" s="253" t="s">
        <v>8868</v>
      </c>
      <c r="N34" s="254" t="s">
        <v>8869</v>
      </c>
      <c r="O34" s="489" t="s">
        <v>8870</v>
      </c>
      <c r="P34" s="260" t="s">
        <v>8871</v>
      </c>
      <c r="Q34" s="489" t="s">
        <v>8872</v>
      </c>
      <c r="R34" s="260" t="s">
        <v>8873</v>
      </c>
      <c r="S34" s="494" t="s">
        <v>8874</v>
      </c>
      <c r="T34" s="491" t="s">
        <v>8875</v>
      </c>
      <c r="U34" s="253" t="s">
        <v>8876</v>
      </c>
      <c r="V34" s="254" t="s">
        <v>8877</v>
      </c>
      <c r="W34" s="254"/>
      <c r="X34" s="254"/>
      <c r="Y34" s="254"/>
      <c r="Z34" s="254"/>
    </row>
    <row r="35">
      <c r="A35" s="200" t="s">
        <v>8878</v>
      </c>
      <c r="C35" s="200" t="s">
        <v>8879</v>
      </c>
      <c r="E35" s="200" t="s">
        <v>8880</v>
      </c>
      <c r="G35" s="200" t="s">
        <v>8881</v>
      </c>
      <c r="I35" s="200"/>
      <c r="K35" s="200"/>
      <c r="M35" s="193" t="s">
        <v>8882</v>
      </c>
      <c r="O35" s="200" t="s">
        <v>8883</v>
      </c>
      <c r="Q35" s="200"/>
      <c r="S35" s="203" t="s">
        <v>8884</v>
      </c>
      <c r="U35" s="200" t="s">
        <v>8885</v>
      </c>
      <c r="W35" s="254"/>
      <c r="X35" s="254"/>
      <c r="Y35" s="254"/>
      <c r="Z35" s="254"/>
    </row>
    <row r="36">
      <c r="A36" s="489" t="s">
        <v>8886</v>
      </c>
      <c r="B36" s="260" t="s">
        <v>8887</v>
      </c>
      <c r="C36" s="489" t="s">
        <v>8888</v>
      </c>
      <c r="D36" s="260" t="s">
        <v>8889</v>
      </c>
      <c r="E36" s="489" t="s">
        <v>8890</v>
      </c>
      <c r="F36" s="260" t="s">
        <v>8891</v>
      </c>
      <c r="G36" s="489" t="str">
        <f>IFERROR(__xludf.DUMMYFUNCTION("GOOGLETRANSLATE(A36,""zh-tw"",""zh"")"),"古树残骸")</f>
        <v>古树残骸</v>
      </c>
      <c r="H36" s="260" t="str">
        <f>IFERROR(__xludf.DUMMYFUNCTION("GOOGLETRANSLATE(B36,""zh-tw"",""zh"")"),"物攻：20
物抗：2
累计素质型武器")</f>
        <v>物攻：20
物抗：2
累计素质型武器</v>
      </c>
      <c r="I36" s="488" t="s">
        <v>8892</v>
      </c>
      <c r="J36" s="254" t="str">
        <f>IFERROR(__xludf.DUMMYFUNCTION("GOOGLETRANSLATE(B36,""zh-tw"",""es-MX"")"),"Ataque físico: 20
Resistencia física: 2
Arma basada en estadísticas acumulativas")</f>
        <v>Ataque físico: 20
Resistencia física: 2
Arma basada en estadísticas acumulativas</v>
      </c>
      <c r="K36" s="492" t="str">
        <f>IFERROR(__xludf.DUMMYFUNCTION("GOOGLETRANSLATE(A36,""zh-tw"",""KO"")"),"고대 나무의 잔해")</f>
        <v>고대 나무의 잔해</v>
      </c>
      <c r="L36" s="254" t="str">
        <f>IFERROR(__xludf.DUMMYFUNCTION("GOOGLETRANSLATE(B36,""zh-tw"",""KO"")"),"물리 공격력: 20
물리 저항력: 2
누적형 능력치 기반 무기")</f>
        <v>물리 공격력: 20
물리 저항력: 2
누적형 능력치 기반 무기</v>
      </c>
      <c r="M36" s="253" t="s">
        <v>8893</v>
      </c>
      <c r="N36" s="254" t="s">
        <v>8894</v>
      </c>
      <c r="O36" s="489" t="s">
        <v>8895</v>
      </c>
      <c r="P36" s="260" t="s">
        <v>8896</v>
      </c>
      <c r="Q36" s="489" t="s">
        <v>8897</v>
      </c>
      <c r="R36" s="260" t="s">
        <v>8898</v>
      </c>
      <c r="S36" s="494" t="s">
        <v>8899</v>
      </c>
      <c r="T36" s="491" t="s">
        <v>8900</v>
      </c>
      <c r="U36" s="253" t="s">
        <v>8901</v>
      </c>
      <c r="V36" s="254" t="s">
        <v>8902</v>
      </c>
      <c r="W36" s="254"/>
      <c r="X36" s="254"/>
      <c r="Y36" s="254"/>
      <c r="Z36" s="254"/>
    </row>
    <row r="37">
      <c r="A37" s="489" t="s">
        <v>8903</v>
      </c>
      <c r="B37" s="260" t="s">
        <v>8904</v>
      </c>
      <c r="C37" s="489" t="s">
        <v>8905</v>
      </c>
      <c r="D37" s="260" t="s">
        <v>8906</v>
      </c>
      <c r="E37" s="489" t="s">
        <v>8907</v>
      </c>
      <c r="F37" s="260" t="s">
        <v>8908</v>
      </c>
      <c r="G37" s="489" t="str">
        <f>IFERROR(__xludf.DUMMYFUNCTION("GOOGLETRANSLATE(A37,""zh-tw"",""zh"")"),"来自地狱")</f>
        <v>来自地狱</v>
      </c>
      <c r="H37" s="260" t="str">
        <f>IFERROR(__xludf.DUMMYFUNCTION("GOOGLETRANSLATE(B37,""zh-tw"",""zh"")"),"物攻：30
出血")</f>
        <v>物攻：30
出血</v>
      </c>
      <c r="I37" s="488" t="s">
        <v>8909</v>
      </c>
      <c r="J37" s="254" t="str">
        <f>IFERROR(__xludf.DUMMYFUNCTION("GOOGLETRANSLATE(B37,""zh-tw"",""es-MX"")"),"Ataque físico: 30 sangrado")</f>
        <v>Ataque físico: 30 sangrado</v>
      </c>
      <c r="K37" s="488" t="s">
        <v>8910</v>
      </c>
      <c r="L37" s="254" t="str">
        <f>IFERROR(__xludf.DUMMYFUNCTION("GOOGLETRANSLATE(B37,""zh-tw"",""KO"")"),"물리 공격: 출혈 30")</f>
        <v>물리 공격: 출혈 30</v>
      </c>
      <c r="M37" s="253" t="s">
        <v>8911</v>
      </c>
      <c r="N37" s="254" t="s">
        <v>8912</v>
      </c>
      <c r="O37" s="489" t="s">
        <v>8913</v>
      </c>
      <c r="P37" s="260" t="s">
        <v>8914</v>
      </c>
      <c r="Q37" s="489" t="s">
        <v>8915</v>
      </c>
      <c r="R37" s="260" t="s">
        <v>8916</v>
      </c>
      <c r="S37" s="490" t="s">
        <v>8917</v>
      </c>
      <c r="T37" s="491" t="s">
        <v>8918</v>
      </c>
      <c r="U37" s="253" t="s">
        <v>8919</v>
      </c>
      <c r="V37" s="254" t="s">
        <v>8920</v>
      </c>
      <c r="W37" s="254"/>
      <c r="X37" s="254"/>
      <c r="Y37" s="254"/>
      <c r="Z37" s="254"/>
    </row>
    <row r="38">
      <c r="A38" s="489" t="s">
        <v>8921</v>
      </c>
      <c r="B38" s="260" t="s">
        <v>8922</v>
      </c>
      <c r="C38" s="489" t="s">
        <v>8923</v>
      </c>
      <c r="D38" s="260" t="s">
        <v>8924</v>
      </c>
      <c r="E38" s="489" t="s">
        <v>8925</v>
      </c>
      <c r="F38" s="260" t="s">
        <v>8926</v>
      </c>
      <c r="G38" s="489" t="str">
        <f>IFERROR(__xludf.DUMMYFUNCTION("GOOGLETRANSLATE(A38,""zh-tw"",""zh"")"),"寄生刃")</f>
        <v>寄生刃</v>
      </c>
      <c r="H38" s="260" t="str">
        <f>IFERROR(__xludf.DUMMYFUNCTION("GOOGLETRANSLATE(B38,""zh-tw"",""zh"")"),"物攻：32
击倒回复")</f>
        <v>物攻：32
击倒回复</v>
      </c>
      <c r="I38" s="488" t="s">
        <v>8927</v>
      </c>
      <c r="J38" s="254" t="str">
        <f>IFERROR(__xludf.DUMMYFUNCTION("GOOGLETRANSLATE(B38,""zh-tw"",""es-MX"")"),"Ataque físico: 32 Recuperación tras derribo")</f>
        <v>Ataque físico: 32 Recuperación tras derribo</v>
      </c>
      <c r="K38" s="488" t="s">
        <v>8928</v>
      </c>
      <c r="L38" s="205" t="s">
        <v>8929</v>
      </c>
      <c r="M38" s="253" t="s">
        <v>8930</v>
      </c>
      <c r="N38" s="254" t="s">
        <v>8931</v>
      </c>
      <c r="O38" s="489" t="s">
        <v>8932</v>
      </c>
      <c r="P38" s="260" t="s">
        <v>8933</v>
      </c>
      <c r="Q38" s="489" t="s">
        <v>8934</v>
      </c>
      <c r="R38" s="260" t="s">
        <v>8935</v>
      </c>
      <c r="S38" s="494" t="s">
        <v>8936</v>
      </c>
      <c r="T38" s="491" t="s">
        <v>8937</v>
      </c>
      <c r="U38" s="253" t="s">
        <v>8938</v>
      </c>
      <c r="V38" s="254" t="s">
        <v>8939</v>
      </c>
      <c r="W38" s="254"/>
      <c r="X38" s="254"/>
      <c r="Y38" s="254"/>
      <c r="Z38" s="254"/>
    </row>
    <row r="39">
      <c r="A39" s="492" t="s">
        <v>8940</v>
      </c>
      <c r="B39" s="254" t="s">
        <v>8941</v>
      </c>
      <c r="C39" s="492" t="s">
        <v>8940</v>
      </c>
      <c r="D39" s="205" t="s">
        <v>8942</v>
      </c>
      <c r="E39" s="492" t="s">
        <v>8943</v>
      </c>
      <c r="F39" s="205" t="s">
        <v>8944</v>
      </c>
      <c r="G39" s="489" t="str">
        <f>IFERROR(__xludf.DUMMYFUNCTION("GOOGLETRANSLATE(A39,""zh-tw"",""zh"")"),"日轮")</f>
        <v>日轮</v>
      </c>
      <c r="H39" s="260" t="str">
        <f>IFERROR(__xludf.DUMMYFUNCTION("GOOGLETRANSLATE(B39,""zh-tw"",""zh"")"),"物攻：12
魔攻：30
魔防：30
召唤陨石")</f>
        <v>物攻：12
魔攻：30
魔防：30
召唤陨石</v>
      </c>
      <c r="I39" s="488" t="s">
        <v>8943</v>
      </c>
      <c r="J39" s="254" t="str">
        <f>IFERROR(__xludf.DUMMYFUNCTION("GOOGLETRANSLATE(B39,""zh-tw"",""es-MX"")"),"Ataque físico: 12
Ataque mágico: 30
Defensa mágica: 30
Invocar meteorito")</f>
        <v>Ataque físico: 12
Ataque mágico: 30
Defensa mágica: 30
Invocar meteorito</v>
      </c>
      <c r="K39" s="492" t="str">
        <f>IFERROR(__xludf.DUMMYFUNCTION("GOOGLETRANSLATE(A39,""zh-tw"",""KO"")"),"태양 바퀴")</f>
        <v>태양 바퀴</v>
      </c>
      <c r="L39" s="254" t="str">
        <f>IFERROR(__xludf.DUMMYFUNCTION("GOOGLETRANSLATE(B39,""zh-tw"",""KO"")"),"물리 공격력: 12
마법 공격력: 30
마법 방어력: 30
소환 메테오")</f>
        <v>물리 공격력: 12
마법 공격력: 30
마법 방어력: 30
소환 메테오</v>
      </c>
      <c r="M39" s="253" t="s">
        <v>8945</v>
      </c>
      <c r="N39" s="254" t="s">
        <v>8946</v>
      </c>
      <c r="O39" s="489" t="s">
        <v>8947</v>
      </c>
      <c r="P39" s="260" t="s">
        <v>8948</v>
      </c>
      <c r="Q39" s="493" t="s">
        <v>8949</v>
      </c>
      <c r="R39" s="194" t="s">
        <v>8950</v>
      </c>
      <c r="S39" s="494" t="s">
        <v>8951</v>
      </c>
      <c r="T39" s="491" t="s">
        <v>8952</v>
      </c>
      <c r="U39" s="253" t="s">
        <v>8943</v>
      </c>
      <c r="V39" s="254" t="s">
        <v>8953</v>
      </c>
      <c r="W39" s="254"/>
      <c r="X39" s="254"/>
      <c r="Y39" s="254"/>
      <c r="Z39" s="254"/>
    </row>
    <row r="40">
      <c r="A40" s="492" t="s">
        <v>8954</v>
      </c>
      <c r="B40" s="205" t="s">
        <v>8955</v>
      </c>
      <c r="C40" s="492" t="s">
        <v>8956</v>
      </c>
      <c r="D40" s="254" t="s">
        <v>8957</v>
      </c>
      <c r="E40" s="492" t="s">
        <v>8958</v>
      </c>
      <c r="F40" s="254" t="s">
        <v>8959</v>
      </c>
      <c r="G40" s="489" t="str">
        <f>IFERROR(__xludf.DUMMYFUNCTION("GOOGLETRANSLATE(A40,""zh-tw"",""zh"")"),"登的阴郁手镰")</f>
        <v>登的阴郁手镰</v>
      </c>
      <c r="H40" s="260" t="str">
        <f>IFERROR(__xludf.DUMMYFUNCTION("GOOGLETRANSLATE(B40,""zh-tw"",""zh"")"),"
物攻：18
魔攻：9
回力镖类型武器")</f>
        <v>
物攻：18
魔攻：9
回力镖类型武器</v>
      </c>
      <c r="I40" s="488" t="s">
        <v>8960</v>
      </c>
      <c r="J40" s="254" t="str">
        <f>IFERROR(__xludf.DUMMYFUNCTION("GOOGLETRANSLATE(B40,""zh-tw"",""es-MX"")"),"Ataque físico: 18 Ataque mágico: 9 Arma tipo bumerán")</f>
        <v>Ataque físico: 18 Ataque mágico: 9 Arma tipo bumerán</v>
      </c>
      <c r="K40" s="492" t="str">
        <f>IFERROR(__xludf.DUMMYFUNCTION("GOOGLETRANSLATE(A40,""zh-tw"",""KO"")"),"덩샤오핑의 음울한 낫")</f>
        <v>덩샤오핑의 음울한 낫</v>
      </c>
      <c r="L40" s="254" t="str">
        <f>IFERROR(__xludf.DUMMYFUNCTION("GOOGLETRANSLATE(B40,""zh-tw"",""KO"")"),"물리 공격력: 18 마법 공격력: 9 부메랑형 무기")</f>
        <v>물리 공격력: 18 마법 공격력: 9 부메랑형 무기</v>
      </c>
      <c r="M40" s="253" t="s">
        <v>8961</v>
      </c>
      <c r="N40" s="254" t="s">
        <v>8962</v>
      </c>
      <c r="O40" s="489" t="s">
        <v>8963</v>
      </c>
      <c r="P40" s="260" t="s">
        <v>8964</v>
      </c>
      <c r="Q40" s="493" t="s">
        <v>8965</v>
      </c>
      <c r="R40" s="194" t="s">
        <v>8966</v>
      </c>
      <c r="S40" s="494" t="s">
        <v>8967</v>
      </c>
      <c r="T40" s="491" t="s">
        <v>8968</v>
      </c>
      <c r="U40" s="253" t="s">
        <v>8969</v>
      </c>
      <c r="V40" s="254" t="s">
        <v>8970</v>
      </c>
      <c r="W40" s="254"/>
      <c r="X40" s="254"/>
      <c r="Y40" s="254"/>
      <c r="Z40" s="254"/>
    </row>
    <row r="41">
      <c r="A41" s="489" t="s">
        <v>8971</v>
      </c>
      <c r="B41" s="260" t="s">
        <v>8972</v>
      </c>
      <c r="C41" s="489" t="s">
        <v>8973</v>
      </c>
      <c r="D41" s="260" t="s">
        <v>8974</v>
      </c>
      <c r="E41" s="489" t="s">
        <v>8975</v>
      </c>
      <c r="F41" s="260" t="s">
        <v>8976</v>
      </c>
      <c r="G41" s="489" t="str">
        <f>IFERROR(__xludf.DUMMYFUNCTION("GOOGLETRANSLATE(A41,""zh-tw"",""zh"")"),"星月夜")</f>
        <v>星月夜</v>
      </c>
      <c r="H41" s="260" t="str">
        <f>IFERROR(__xludf.DUMMYFUNCTION("GOOGLETRANSLATE(B41,""zh-tw"",""zh"")"),"物攻：1
魔攻：68
黑洞")</f>
        <v>物攻：1
魔攻：68
黑洞</v>
      </c>
      <c r="I41" s="488" t="s">
        <v>8977</v>
      </c>
      <c r="J41" s="254" t="str">
        <f>IFERROR(__xludf.DUMMYFUNCTION("GOOGLETRANSLATE(B41,""zh-tw"",""es-MX"")"),"Ataque físico: 1 Ataque mágico: 68 Agujero negro")</f>
        <v>Ataque físico: 1 Ataque mágico: 68 Agujero negro</v>
      </c>
      <c r="K41" s="492" t="str">
        <f>IFERROR(__xludf.DUMMYFUNCTION("GOOGLETRANSLATE(A41,""zh-tw"",""KO"")"),"별이 빛나는 달밤")</f>
        <v>별이 빛나는 달밤</v>
      </c>
      <c r="L41" s="254" t="str">
        <f>IFERROR(__xludf.DUMMYFUNCTION("GOOGLETRANSLATE(B41,""zh-tw"",""KO"")"),"물리 공격력: 1 마법 공격력: 68 블랙홀")</f>
        <v>물리 공격력: 1 마법 공격력: 68 블랙홀</v>
      </c>
      <c r="M41" s="253" t="s">
        <v>8978</v>
      </c>
      <c r="N41" s="254" t="s">
        <v>8979</v>
      </c>
      <c r="O41" s="489" t="s">
        <v>8980</v>
      </c>
      <c r="P41" s="260" t="s">
        <v>8981</v>
      </c>
      <c r="Q41" s="489" t="s">
        <v>8982</v>
      </c>
      <c r="R41" s="260" t="s">
        <v>8983</v>
      </c>
      <c r="S41" s="494" t="s">
        <v>8984</v>
      </c>
      <c r="T41" s="491" t="s">
        <v>8985</v>
      </c>
      <c r="U41" s="253" t="s">
        <v>8986</v>
      </c>
      <c r="V41" s="254" t="s">
        <v>8987</v>
      </c>
      <c r="W41" s="254"/>
      <c r="X41" s="254"/>
      <c r="Y41" s="254"/>
      <c r="Z41" s="254"/>
    </row>
    <row r="42">
      <c r="A42" s="488" t="s">
        <v>8988</v>
      </c>
      <c r="B42" s="205" t="s">
        <v>8989</v>
      </c>
      <c r="C42" s="488" t="s">
        <v>8990</v>
      </c>
      <c r="D42" s="205" t="s">
        <v>8991</v>
      </c>
      <c r="E42" s="488" t="s">
        <v>8992</v>
      </c>
      <c r="F42" s="205" t="s">
        <v>8993</v>
      </c>
      <c r="G42" s="489" t="str">
        <f>IFERROR(__xludf.DUMMYFUNCTION("GOOGLETRANSLATE(A42,""zh-tw"",""zh"")"),"潮汐之诗")</f>
        <v>潮汐之诗</v>
      </c>
      <c r="H42" s="260" t="str">
        <f>IFERROR(__xludf.DUMMYFUNCTION("GOOGLETRANSLATE(B42,""zh-tw"",""zh"")"),"物攻：1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2" s="488" t="s">
        <v>8994</v>
      </c>
      <c r="J42" s="254" t="str">
        <f>IFERROR(__xludf.DUMMYFUNCTION("GOOGLETRANSLATE(B42,""zh-tw"",""es-MX"")"),"Ataque físico: 1
Ataque mágico: 45
Defensa mágica: 20
El poder de ataque aumenta al luchar en el agua.
(Perforación ondulante: Puede usarse para impactar la superficie del agua; no se puede combinar con Garra de gato para aumentar el número de impactos e"&amp;"n peces).")</f>
        <v>Ataque físico: 1
Ataque mágico: 45
Defensa mágica: 20
El poder de ataque aumenta al luchar en el agua.
(Perforación ondulante: Puede usarse para impactar la superficie del agua; no se puede combinar con Garra de gato para aumentar el número de impactos en peces).</v>
      </c>
      <c r="K42" s="492" t="str">
        <f>IFERROR(__xludf.DUMMYFUNCTION("GOOGLETRANSLATE(A42,""zh-tw"",""KO"")"),"조수의 시")</f>
        <v>조수의 시</v>
      </c>
      <c r="L42" s="254" t="str">
        <f>IFERROR(__xludf.DUMMYFUNCTION("GOOGLETRANSLATE(B42,""zh-tw"",""KO"")"),"물리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2" s="253" t="s">
        <v>8995</v>
      </c>
      <c r="N42" s="254" t="s">
        <v>8996</v>
      </c>
      <c r="O42" s="489" t="s">
        <v>8997</v>
      </c>
      <c r="P42" s="260" t="s">
        <v>8998</v>
      </c>
      <c r="Q42" s="488" t="s">
        <v>8999</v>
      </c>
      <c r="R42" s="205" t="s">
        <v>9000</v>
      </c>
      <c r="S42" s="149" t="s">
        <v>9001</v>
      </c>
      <c r="T42" s="68" t="s">
        <v>9002</v>
      </c>
      <c r="U42" s="499" t="s">
        <v>9003</v>
      </c>
      <c r="V42" s="254" t="s">
        <v>9004</v>
      </c>
      <c r="W42" s="254"/>
      <c r="X42" s="254"/>
      <c r="Y42" s="254"/>
      <c r="Z42" s="254"/>
    </row>
    <row r="43">
      <c r="A43" s="493" t="s">
        <v>9005</v>
      </c>
      <c r="B43" s="205" t="s">
        <v>9006</v>
      </c>
      <c r="C43" s="493" t="s">
        <v>9005</v>
      </c>
      <c r="D43" s="205" t="s">
        <v>9007</v>
      </c>
      <c r="E43" s="493" t="s">
        <v>9008</v>
      </c>
      <c r="F43" s="205" t="s">
        <v>9009</v>
      </c>
      <c r="G43" s="489" t="str">
        <f>IFERROR(__xludf.DUMMYFUNCTION("GOOGLETRANSLATE(A43,""zh-tw"",""zh"")"),"血狩")</f>
        <v>血狩</v>
      </c>
      <c r="H43" s="260" t="str">
        <f>IFERROR(__xludf.DUMMYFUNCTION("GOOGLETRANSLATE(B43,""zh-tw"",""zh"")"),"物攻：20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43" s="488" t="s">
        <v>9010</v>
      </c>
      <c r="J43" s="254" t="str">
        <f>IFERROR(__xludf.DUMMYFUNCTION("GOOGLETRANSLATE(B43,""zh-tw"",""es-MX"")"),"Ataque físico: 20
1. Puede usar Flecha perforante tras cargarla.
2. Consume puntos de vida propios para aumentar el ataque; recupera puntos de vida tras derrotar a un objetivo.
(Puede recuperar puntos de vida en exceso, superando el máximo y obteniendo"&amp;" invulnerabilidad).")</f>
        <v>Ataque físico: 20
1. Puede usar Flecha perforante tras cargarla.
2. Consume puntos de vida propios para aumentar el ataque; recupera puntos de vida tras derrotar a un objetivo.
(Puede recuperar puntos de vida en exceso, superando el máximo y obteniendo invulnerabilidad).</v>
      </c>
      <c r="K43" s="492" t="str">
        <f>IFERROR(__xludf.DUMMYFUNCTION("GOOGLETRANSLATE(A43,""zh-tw"",""KO"")"),"블러드 헌트")</f>
        <v>블러드 헌트</v>
      </c>
      <c r="L43" s="254" t="str">
        <f>IFERROR(__xludf.DUMMYFUNCTION("GOOGLETRANSLATE(B43,""zh-tw"",""KO"")"),"물리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43" s="253" t="s">
        <v>9011</v>
      </c>
      <c r="N43" s="254" t="s">
        <v>9012</v>
      </c>
      <c r="O43" s="489" t="s">
        <v>9013</v>
      </c>
      <c r="P43" s="260" t="s">
        <v>9014</v>
      </c>
      <c r="Q43" s="493" t="s">
        <v>9015</v>
      </c>
      <c r="R43" s="205" t="s">
        <v>9016</v>
      </c>
      <c r="S43" s="494" t="s">
        <v>9017</v>
      </c>
      <c r="T43" s="495" t="s">
        <v>9018</v>
      </c>
      <c r="U43" s="253" t="s">
        <v>9019</v>
      </c>
      <c r="V43" s="254" t="s">
        <v>9020</v>
      </c>
      <c r="W43" s="254"/>
      <c r="X43" s="254"/>
      <c r="Y43" s="254"/>
      <c r="Z43" s="254"/>
    </row>
    <row r="44">
      <c r="A44" s="489" t="s">
        <v>9021</v>
      </c>
      <c r="B44" s="260" t="s">
        <v>9022</v>
      </c>
      <c r="C44" s="489" t="s">
        <v>9021</v>
      </c>
      <c r="D44" s="260" t="s">
        <v>9023</v>
      </c>
      <c r="E44" s="489" t="s">
        <v>9024</v>
      </c>
      <c r="F44" s="260" t="s">
        <v>9025</v>
      </c>
      <c r="G44" s="489" t="str">
        <f>IFERROR(__xludf.DUMMYFUNCTION("GOOGLETRANSLATE(A44,""zh-tw"",""zh"")"),"千鸟")</f>
        <v>千鸟</v>
      </c>
      <c r="H44" s="260" t="str">
        <f>IFERROR(__xludf.DUMMYFUNCTION("GOOGLETRANSLATE(B44,""zh-tw"",""zh"")"),"物攻：16
魔攻：16
雷属性")</f>
        <v>物攻：16
魔攻：16
雷属性</v>
      </c>
      <c r="I44" s="492" t="str">
        <f>IFERROR(__xludf.DUMMYFUNCTION("GOOGLETRANSLATE(A44,""zh-tw"",""es-MX"")"),"Chidori")</f>
        <v>Chidori</v>
      </c>
      <c r="J44" s="254" t="str">
        <f>IFERROR(__xludf.DUMMYFUNCTION("GOOGLETRANSLATE(B44,""zh-tw"",""es-MX"")"),"Ataque físico: 16
Ataque mágico: 16
Atributo de rayo")</f>
        <v>Ataque físico: 16
Ataque mágico: 16
Atributo de rayo</v>
      </c>
      <c r="K44" s="492" t="str">
        <f>IFERROR(__xludf.DUMMYFUNCTION("GOOGLETRANSLATE(A44,""zh-tw"",""KO"")"),"치도리")</f>
        <v>치도리</v>
      </c>
      <c r="L44" s="254" t="str">
        <f>IFERROR(__xludf.DUMMYFUNCTION("GOOGLETRANSLATE(B44,""zh-tw"",""KO"")"),"물리 공격력: 16
마법 공격력: 16
번개 속성")</f>
        <v>물리 공격력: 16
마법 공격력: 16
번개 속성</v>
      </c>
      <c r="M44" s="253" t="s">
        <v>9026</v>
      </c>
      <c r="N44" s="254" t="s">
        <v>9027</v>
      </c>
      <c r="O44" s="489" t="s">
        <v>9028</v>
      </c>
      <c r="P44" s="260" t="s">
        <v>9029</v>
      </c>
      <c r="Q44" s="489" t="s">
        <v>9030</v>
      </c>
      <c r="R44" s="260" t="s">
        <v>9031</v>
      </c>
      <c r="S44" s="494" t="s">
        <v>9032</v>
      </c>
      <c r="T44" s="491" t="s">
        <v>9033</v>
      </c>
      <c r="U44" s="253" t="s">
        <v>9024</v>
      </c>
      <c r="V44" s="254" t="s">
        <v>9034</v>
      </c>
      <c r="W44" s="254"/>
      <c r="X44" s="254"/>
      <c r="Y44" s="254"/>
      <c r="Z44" s="254"/>
    </row>
    <row r="45">
      <c r="A45" s="489" t="s">
        <v>9035</v>
      </c>
      <c r="B45" s="260" t="s">
        <v>9036</v>
      </c>
      <c r="C45" s="489" t="s">
        <v>9037</v>
      </c>
      <c r="D45" s="260" t="s">
        <v>9038</v>
      </c>
      <c r="E45" s="489" t="s">
        <v>9039</v>
      </c>
      <c r="F45" s="260" t="s">
        <v>9040</v>
      </c>
      <c r="G45" s="489" t="str">
        <f>IFERROR(__xludf.DUMMYFUNCTION("GOOGLETRANSLATE(A45,""zh-tw"",""zh"")"),"火烧云")</f>
        <v>火烧云</v>
      </c>
      <c r="H45" s="260" t="str">
        <f>IFERROR(__xludf.DUMMYFUNCTION("GOOGLETRANSLATE(B45,""zh-tw"",""zh"")"),"物攻：18
魔攻：18
炎属性")</f>
        <v>物攻：18
魔攻：18
炎属性</v>
      </c>
      <c r="I45" s="488" t="s">
        <v>9041</v>
      </c>
      <c r="J45" s="254" t="str">
        <f>IFERROR(__xludf.DUMMYFUNCTION("GOOGLETRANSLATE(B45,""zh-tw"",""es-MX"")"),"Ataque físico: 18
Ataque mágico: 18
Atributo fuego")</f>
        <v>Ataque físico: 18
Ataque mágico: 18
Atributo fuego</v>
      </c>
      <c r="K45" s="492" t="str">
        <f>IFERROR(__xludf.DUMMYFUNCTION("GOOGLETRANSLATE(A45,""zh-tw"",""KO"")"),"불타는 구름")</f>
        <v>불타는 구름</v>
      </c>
      <c r="L45" s="254" t="str">
        <f>IFERROR(__xludf.DUMMYFUNCTION("GOOGLETRANSLATE(B45,""zh-tw"",""KO"")"),"물리 공격력: 18
마법 공격력: 18
불 속성")</f>
        <v>물리 공격력: 18
마법 공격력: 18
불 속성</v>
      </c>
      <c r="M45" s="192" t="s">
        <v>9042</v>
      </c>
      <c r="N45" s="254" t="s">
        <v>9043</v>
      </c>
      <c r="O45" s="489" t="s">
        <v>9044</v>
      </c>
      <c r="P45" s="260" t="s">
        <v>9045</v>
      </c>
      <c r="Q45" s="489" t="s">
        <v>9046</v>
      </c>
      <c r="R45" s="260" t="s">
        <v>9047</v>
      </c>
      <c r="S45" s="494" t="s">
        <v>9048</v>
      </c>
      <c r="T45" s="491" t="s">
        <v>9049</v>
      </c>
      <c r="U45" s="204" t="s">
        <v>9050</v>
      </c>
      <c r="V45" s="254" t="s">
        <v>9051</v>
      </c>
      <c r="W45" s="254"/>
      <c r="X45" s="254"/>
      <c r="Y45" s="254"/>
      <c r="Z45" s="254"/>
    </row>
    <row r="46">
      <c r="A46" s="489" t="s">
        <v>9052</v>
      </c>
      <c r="B46" s="260" t="s">
        <v>9053</v>
      </c>
      <c r="C46" s="489" t="s">
        <v>9052</v>
      </c>
      <c r="D46" s="260" t="s">
        <v>9054</v>
      </c>
      <c r="E46" s="489" t="s">
        <v>9055</v>
      </c>
      <c r="F46" s="260" t="s">
        <v>9056</v>
      </c>
      <c r="G46" s="489" t="str">
        <f>IFERROR(__xludf.DUMMYFUNCTION("GOOGLETRANSLATE(A46,""zh-tw"",""zh"")"),"雪见")</f>
        <v>雪见</v>
      </c>
      <c r="H46" s="260" t="str">
        <f>IFERROR(__xludf.DUMMYFUNCTION("GOOGLETRANSLATE(B46,""zh-tw"",""zh"")"),"物攻：16
魔攻：16
冰属性")</f>
        <v>物攻：16
魔攻：16
冰属性</v>
      </c>
      <c r="I46" s="488" t="s">
        <v>9057</v>
      </c>
      <c r="J46" s="254" t="str">
        <f>IFERROR(__xludf.DUMMYFUNCTION("GOOGLETRANSLATE(B46,""zh-tw"",""es-MX"")"),"Ataque físico: 16
Ataque mágico: 16
Atributo hielo")</f>
        <v>Ataque físico: 16
Ataque mágico: 16
Atributo hielo</v>
      </c>
      <c r="K46" s="492" t="str">
        <f>IFERROR(__xludf.DUMMYFUNCTION("GOOGLETRANSLATE(A46,""zh-tw"",""KO"")"),"쉐지안")</f>
        <v>쉐지안</v>
      </c>
      <c r="L46" s="254" t="str">
        <f>IFERROR(__xludf.DUMMYFUNCTION("GOOGLETRANSLATE(B46,""zh-tw"",""KO"")"),"물리 공격력: 16
마법 공격력: 16
얼음 속성")</f>
        <v>물리 공격력: 16
마법 공격력: 16
얼음 속성</v>
      </c>
      <c r="M46" s="253" t="s">
        <v>9058</v>
      </c>
      <c r="N46" s="254" t="s">
        <v>9059</v>
      </c>
      <c r="O46" s="489" t="s">
        <v>9060</v>
      </c>
      <c r="P46" s="260" t="s">
        <v>9061</v>
      </c>
      <c r="Q46" s="489" t="s">
        <v>9062</v>
      </c>
      <c r="R46" s="260" t="s">
        <v>9063</v>
      </c>
      <c r="S46" s="494" t="s">
        <v>9064</v>
      </c>
      <c r="T46" s="491" t="s">
        <v>9065</v>
      </c>
      <c r="U46" s="253" t="s">
        <v>9066</v>
      </c>
      <c r="V46" s="254" t="s">
        <v>9067</v>
      </c>
      <c r="W46" s="254"/>
      <c r="X46" s="254"/>
      <c r="Y46" s="254"/>
      <c r="Z46" s="254"/>
    </row>
    <row r="47">
      <c r="A47" s="200" t="s">
        <v>9068</v>
      </c>
      <c r="C47" s="200" t="s">
        <v>9069</v>
      </c>
      <c r="E47" s="200" t="s">
        <v>9070</v>
      </c>
      <c r="G47" s="200" t="s">
        <v>9071</v>
      </c>
      <c r="I47" s="200"/>
      <c r="K47" s="200"/>
      <c r="M47" s="193" t="s">
        <v>9072</v>
      </c>
      <c r="O47" s="200" t="s">
        <v>9073</v>
      </c>
      <c r="Q47" s="200"/>
      <c r="S47" s="203" t="s">
        <v>9074</v>
      </c>
      <c r="U47" s="200" t="s">
        <v>9075</v>
      </c>
      <c r="W47" s="254"/>
      <c r="X47" s="254"/>
      <c r="Y47" s="254"/>
      <c r="Z47" s="254"/>
    </row>
    <row r="48">
      <c r="A48" s="489" t="s">
        <v>9076</v>
      </c>
      <c r="B48" s="260" t="s">
        <v>9077</v>
      </c>
      <c r="C48" s="489" t="s">
        <v>9078</v>
      </c>
      <c r="D48" s="260" t="s">
        <v>9079</v>
      </c>
      <c r="E48" s="488" t="s">
        <v>9080</v>
      </c>
      <c r="F48" s="205" t="s">
        <v>9081</v>
      </c>
      <c r="G48" s="489" t="str">
        <f>IFERROR(__xludf.DUMMYFUNCTION("GOOGLETRANSLATE(A48,""zh-tw"",""zh"")"),"柳叶长剑")</f>
        <v>柳叶长剑</v>
      </c>
      <c r="H48" s="260" t="str">
        <f>IFERROR(__xludf.DUMMYFUNCTION("GOOGLETRANSLATE(B48,""zh-tw"",""zh"")"),"物攻：32
分裂攻击")</f>
        <v>物攻：32
分裂攻击</v>
      </c>
      <c r="I48" s="492" t="str">
        <f>IFERROR(__xludf.DUMMYFUNCTION("GOOGLETRANSLATE(A48,""zh-tw"",""es-MX"")"),"Espada larga de hoja de sauce")</f>
        <v>Espada larga de hoja de sauce</v>
      </c>
      <c r="J48" s="254" t="str">
        <f>IFERROR(__xludf.DUMMYFUNCTION("GOOGLETRANSLATE(B48,""zh-tw"",""es-MX"")"),"Ataque físico: 32 Ataque dividido")</f>
        <v>Ataque físico: 32 Ataque dividido</v>
      </c>
      <c r="K48" s="492" t="str">
        <f>IFERROR(__xludf.DUMMYFUNCTION("GOOGLETRANSLATE(A48,""zh-tw"",""KO"")"),"버드나무 잎 장검")</f>
        <v>버드나무 잎 장검</v>
      </c>
      <c r="L48" s="254" t="str">
        <f>IFERROR(__xludf.DUMMYFUNCTION("GOOGLETRANSLATE(B48,""zh-tw"",""KO"")"),"물리 공격: 32 분할 공격")</f>
        <v>물리 공격: 32 분할 공격</v>
      </c>
      <c r="M48" s="253" t="s">
        <v>9082</v>
      </c>
      <c r="N48" s="254" t="s">
        <v>9083</v>
      </c>
      <c r="O48" s="489" t="s">
        <v>9084</v>
      </c>
      <c r="P48" s="260" t="s">
        <v>9085</v>
      </c>
      <c r="Q48" s="489" t="s">
        <v>9086</v>
      </c>
      <c r="R48" s="260" t="s">
        <v>9087</v>
      </c>
      <c r="S48" s="494" t="s">
        <v>9088</v>
      </c>
      <c r="T48" s="495" t="s">
        <v>9089</v>
      </c>
      <c r="U48" s="253" t="s">
        <v>9090</v>
      </c>
      <c r="V48" s="254" t="s">
        <v>9091</v>
      </c>
      <c r="W48" s="254"/>
      <c r="X48" s="254"/>
      <c r="Y48" s="254"/>
      <c r="Z48" s="254"/>
    </row>
    <row r="49">
      <c r="A49" s="489" t="s">
        <v>9092</v>
      </c>
      <c r="B49" s="260" t="s">
        <v>9093</v>
      </c>
      <c r="C49" s="489" t="s">
        <v>9094</v>
      </c>
      <c r="D49" s="260" t="s">
        <v>9095</v>
      </c>
      <c r="E49" s="489" t="s">
        <v>9096</v>
      </c>
      <c r="F49" s="260" t="s">
        <v>9097</v>
      </c>
      <c r="G49" s="489" t="str">
        <f>IFERROR(__xludf.DUMMYFUNCTION("GOOGLETRANSLATE(A49,""zh-tw"",""zh"")"),"斩裂剑提尔锋")</f>
        <v>斩裂剑提尔锋</v>
      </c>
      <c r="H49" s="260" t="str">
        <f>IFERROR(__xludf.DUMMYFUNCTION("GOOGLETRANSLATE(B49,""zh-tw"",""zh"")"),"物攻：40
发射剑波")</f>
        <v>物攻：40
发射剑波</v>
      </c>
      <c r="I49" s="488" t="s">
        <v>9098</v>
      </c>
      <c r="J49" s="254" t="str">
        <f>IFERROR(__xludf.DUMMYFUNCTION("GOOGLETRANSLATE(B49,""zh-tw"",""es-MX"")"),"Ataque físico: 40 Lanza una onda de espada")</f>
        <v>Ataque físico: 40 Lanza una onda de espada</v>
      </c>
      <c r="K49" s="492" t="str">
        <f>IFERROR(__xludf.DUMMYFUNCTION("GOOGLETRANSLATE(A49,""zh-tw"",""KO"")"),"절단검의 날, 티르의 날")</f>
        <v>절단검의 날, 티르의 날</v>
      </c>
      <c r="L49" s="254" t="str">
        <f>IFERROR(__xludf.DUMMYFUNCTION("GOOGLETRANSLATE(B49,""zh-tw"",""KO"")"),"물리 공격: 40 검파를 발사합니다")</f>
        <v>물리 공격: 40 검파를 발사합니다</v>
      </c>
      <c r="M49" s="253" t="s">
        <v>9099</v>
      </c>
      <c r="N49" s="254" t="s">
        <v>9100</v>
      </c>
      <c r="O49" s="489" t="s">
        <v>9101</v>
      </c>
      <c r="P49" s="260" t="s">
        <v>9102</v>
      </c>
      <c r="Q49" s="489" t="s">
        <v>9103</v>
      </c>
      <c r="R49" s="260" t="s">
        <v>9104</v>
      </c>
      <c r="S49" s="494" t="s">
        <v>9105</v>
      </c>
      <c r="T49" s="491" t="s">
        <v>9106</v>
      </c>
      <c r="U49" s="253" t="s">
        <v>9096</v>
      </c>
      <c r="V49" s="254" t="s">
        <v>9107</v>
      </c>
      <c r="W49" s="254"/>
      <c r="X49" s="254"/>
      <c r="Y49" s="254"/>
      <c r="Z49" s="254"/>
    </row>
    <row r="50">
      <c r="A50" s="493" t="s">
        <v>9108</v>
      </c>
      <c r="B50" s="194" t="s">
        <v>9109</v>
      </c>
      <c r="C50" s="493" t="s">
        <v>9110</v>
      </c>
      <c r="D50" s="194" t="s">
        <v>9111</v>
      </c>
      <c r="E50" s="493" t="s">
        <v>9112</v>
      </c>
      <c r="F50" s="194" t="s">
        <v>9113</v>
      </c>
      <c r="G50" s="489" t="str">
        <f>IFERROR(__xludf.DUMMYFUNCTION("GOOGLETRANSLATE(A50,""zh-tw"",""zh"")"),"寄坏剑")</f>
        <v>寄坏剑</v>
      </c>
      <c r="H50" s="260" t="str">
        <f>IFERROR(__xludf.DUMMYFUNCTION("GOOGLETRANSLATE(B50,""zh-tw"",""zh"")"),"物攻：36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50" s="488" t="s">
        <v>9114</v>
      </c>
      <c r="J50" s="254" t="str">
        <f>IFERROR(__xludf.DUMMYFUNCTION("GOOGLETRANSLATE(B50,""zh-tw"",""es-MX"")"),"Ataque físico: 36
1. Aumenta el daño contra objetivos sangrantes
2. Restaura salud al derrotar a un objetivo sangrante
(La salud puede recuperarse en exceso, superando el máximo y otorgando invulnerabilidad)")</f>
        <v>Ataque físico: 36
1. Aumenta el daño contra objetivos sangrantes
2. Restaura salud al derrotar a un objetivo sangrante
(La salud puede recuperarse en exceso, superando el máximo y otorgando invulnerabilidad)</v>
      </c>
      <c r="K50" s="488" t="s">
        <v>9115</v>
      </c>
      <c r="L50" s="254" t="str">
        <f>IFERROR(__xludf.DUMMYFUNCTION("GOOGLETRANSLATE(B50,""zh-tw"",""KO"")"),"물리 공격력: 36
1. 출혈 상태의 적에게 가하는 피해량이 증가합니다.
2. 출혈 상태의 적을 처치하면 체력이 회복됩니다.
(체력이 최대치를 초과하여 회복될 수 있으며, 이 경우 무적 상태가 됩니다.)")</f>
        <v>물리 공격력: 36
1. 출혈 상태의 적에게 가하는 피해량이 증가합니다.
2. 출혈 상태의 적을 처치하면 체력이 회복됩니다.
(체력이 최대치를 초과하여 회복될 수 있으며, 이 경우 무적 상태가 됩니다.)</v>
      </c>
      <c r="M50" s="253" t="s">
        <v>9116</v>
      </c>
      <c r="N50" s="254" t="s">
        <v>9117</v>
      </c>
      <c r="O50" s="489" t="s">
        <v>9118</v>
      </c>
      <c r="P50" s="260" t="s">
        <v>9119</v>
      </c>
      <c r="Q50" s="493" t="s">
        <v>9120</v>
      </c>
      <c r="R50" s="194" t="s">
        <v>9121</v>
      </c>
      <c r="S50" s="494" t="s">
        <v>9122</v>
      </c>
      <c r="T50" s="495" t="s">
        <v>9123</v>
      </c>
      <c r="U50" s="253" t="s">
        <v>9124</v>
      </c>
      <c r="V50" s="254" t="s">
        <v>9125</v>
      </c>
      <c r="W50" s="254"/>
      <c r="X50" s="254"/>
      <c r="Y50" s="254"/>
      <c r="Z50" s="254"/>
    </row>
    <row r="51">
      <c r="A51" s="489" t="s">
        <v>9126</v>
      </c>
      <c r="B51" s="260" t="s">
        <v>9127</v>
      </c>
      <c r="C51" s="489" t="s">
        <v>9128</v>
      </c>
      <c r="D51" s="260" t="s">
        <v>9129</v>
      </c>
      <c r="E51" s="489" t="s">
        <v>9130</v>
      </c>
      <c r="F51" s="260" t="s">
        <v>9131</v>
      </c>
      <c r="G51" s="489" t="str">
        <f>IFERROR(__xludf.DUMMYFUNCTION("GOOGLETRANSLATE(A51,""zh-tw"",""zh"")"),"2号机")</f>
        <v>2号机</v>
      </c>
      <c r="H51" s="260" t="str">
        <f>IFERROR(__xludf.DUMMYFUNCTION("GOOGLETRANSLATE(B51,""zh-tw"",""zh"")"),"消耗金币进行攻击
物攻：2
魔防：20
幸运：20
*可消耗此物品使初号核心升级
(可于商店车购买)")</f>
        <v>消耗金币进行攻击
物攻：2
魔防：20
幸运：20
*可消耗此物品使初号核心升级
(可于商店车购买)</v>
      </c>
      <c r="I51" s="488" t="s">
        <v>9132</v>
      </c>
      <c r="J51" s="254" t="str">
        <f>IFERROR(__xludf.DUMMYFUNCTION("GOOGLETRANSLATE(B51,""zh-tw"",""es-MX"")"),"Ataca consumiendo monedas de oro.
Ataque físico: 2
Defensa mágica: 20
Suerte: 20
*Este objeto se puede usar para mejorar el Núcleo inicial.
(Disponible en el carrito de la tienda)")</f>
        <v>Ataca consumiendo monedas de oro.
Ataque físico: 2
Defensa mágica: 20
Suerte: 20
*Este objeto se puede usar para mejorar el Núcleo inicial.
(Disponible en el carrito de la tienda)</v>
      </c>
      <c r="K51" s="492" t="str">
        <f>IFERROR(__xludf.DUMMYFUNCTION("GOOGLETRANSLATE(A51,""zh-tw"",""KO"")"),"2단원")</f>
        <v>2단원</v>
      </c>
      <c r="L51" s="254" t="str">
        <f>IFERROR(__xludf.DUMMYFUNCTION("GOOGLETRANSLATE(B51,""zh-tw"",""KO"")"),"금화를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51" s="253" t="s">
        <v>9133</v>
      </c>
      <c r="N51" s="254" t="s">
        <v>9134</v>
      </c>
      <c r="O51" s="489" t="s">
        <v>9133</v>
      </c>
      <c r="P51" s="260" t="s">
        <v>9135</v>
      </c>
      <c r="Q51" s="489" t="s">
        <v>9136</v>
      </c>
      <c r="R51" s="260" t="s">
        <v>9137</v>
      </c>
      <c r="S51" s="494" t="s">
        <v>9138</v>
      </c>
      <c r="T51" s="491" t="s">
        <v>9139</v>
      </c>
      <c r="U51" s="253" t="s">
        <v>9140</v>
      </c>
      <c r="V51" s="254" t="s">
        <v>9141</v>
      </c>
      <c r="W51" s="254"/>
      <c r="X51" s="254"/>
      <c r="Y51" s="254"/>
      <c r="Z51" s="254"/>
    </row>
    <row r="52">
      <c r="A52" s="489" t="s">
        <v>9142</v>
      </c>
      <c r="B52" s="260" t="s">
        <v>9143</v>
      </c>
      <c r="C52" s="489" t="s">
        <v>9144</v>
      </c>
      <c r="D52" s="260" t="s">
        <v>9145</v>
      </c>
      <c r="E52" s="489" t="s">
        <v>9146</v>
      </c>
      <c r="F52" s="260" t="s">
        <v>9147</v>
      </c>
      <c r="G52" s="489" t="str">
        <f>IFERROR(__xludf.DUMMYFUNCTION("GOOGLETRANSLATE(A52,""zh-tw"",""zh"")"),"三头连弓地狱犬")</f>
        <v>三头连弓地狱犬</v>
      </c>
      <c r="H52" s="260" t="str">
        <f>IFERROR(__xludf.DUMMYFUNCTION("GOOGLETRANSLATE(B52,""zh-tw"",""zh"")"),"物攻：32
连发")</f>
        <v>物攻：32
连发</v>
      </c>
      <c r="I52" s="488" t="s">
        <v>9148</v>
      </c>
      <c r="J52" s="254" t="str">
        <f>IFERROR(__xludf.DUMMYFUNCTION("GOOGLETRANSLATE(B52,""zh-tw"",""es-MX"")"),"Ataque físico: 32 (Disparo rápido)")</f>
        <v>Ataque físico: 32 (Disparo rápido)</v>
      </c>
      <c r="K52" s="492" t="str">
        <f>IFERROR(__xludf.DUMMYFUNCTION("GOOGLETRANSLATE(A52,""zh-tw"",""KO"")"),"세 머리 케르베로스")</f>
        <v>세 머리 케르베로스</v>
      </c>
      <c r="L52" s="254" t="str">
        <f>IFERROR(__xludf.DUMMYFUNCTION("GOOGLETRANSLATE(B52,""zh-tw"",""KO"")"),"물리 공격력: 32 (연사)")</f>
        <v>물리 공격력: 32 (연사)</v>
      </c>
      <c r="M52" s="253" t="s">
        <v>9149</v>
      </c>
      <c r="N52" s="254" t="s">
        <v>9150</v>
      </c>
      <c r="O52" s="489" t="s">
        <v>9151</v>
      </c>
      <c r="P52" s="260" t="s">
        <v>9152</v>
      </c>
      <c r="Q52" s="489" t="s">
        <v>9153</v>
      </c>
      <c r="R52" s="260" t="s">
        <v>9154</v>
      </c>
      <c r="S52" s="490" t="s">
        <v>9155</v>
      </c>
      <c r="T52" s="491" t="s">
        <v>9156</v>
      </c>
      <c r="U52" s="253" t="s">
        <v>9157</v>
      </c>
      <c r="V52" s="254" t="s">
        <v>9158</v>
      </c>
      <c r="W52" s="254"/>
      <c r="X52" s="254"/>
      <c r="Y52" s="254"/>
      <c r="Z52" s="254"/>
    </row>
    <row r="53">
      <c r="A53" s="200" t="s">
        <v>9159</v>
      </c>
      <c r="C53" s="200" t="s">
        <v>9160</v>
      </c>
      <c r="E53" s="200" t="s">
        <v>9161</v>
      </c>
      <c r="G53" s="200" t="s">
        <v>9162</v>
      </c>
      <c r="I53" s="200"/>
      <c r="K53" s="200"/>
      <c r="M53" s="193" t="s">
        <v>9163</v>
      </c>
      <c r="O53" s="200" t="s">
        <v>9164</v>
      </c>
      <c r="Q53" s="200"/>
      <c r="S53" s="203" t="s">
        <v>9165</v>
      </c>
      <c r="U53" s="200" t="s">
        <v>9166</v>
      </c>
      <c r="W53" s="254"/>
      <c r="X53" s="254"/>
      <c r="Y53" s="254"/>
      <c r="Z53" s="254"/>
    </row>
    <row r="54">
      <c r="A54" s="489" t="s">
        <v>9167</v>
      </c>
      <c r="B54" s="260" t="s">
        <v>9168</v>
      </c>
      <c r="C54" s="489" t="s">
        <v>9169</v>
      </c>
      <c r="D54" s="260" t="s">
        <v>9170</v>
      </c>
      <c r="E54" s="489" t="s">
        <v>9171</v>
      </c>
      <c r="F54" s="260" t="s">
        <v>9172</v>
      </c>
      <c r="G54" s="489" t="str">
        <f>IFERROR(__xludf.DUMMYFUNCTION("GOOGLETRANSLATE(A54,""zh-tw"",""zh"")"),"克里乌之光")</f>
        <v>克里乌之光</v>
      </c>
      <c r="H54" s="260" t="s">
        <v>9173</v>
      </c>
      <c r="I54" s="488" t="s">
        <v>9171</v>
      </c>
      <c r="J54" s="254" t="str">
        <f>IFERROR(__xludf.DUMMYFUNCTION("GOOGLETRANSLATE(B54,""zh-tw"",""es-MX"")"),"Ataque físico: 32
Ataque mágico: 36
Ignora la defensa, Hoja invisible
*Objeto raro de gacha")</f>
        <v>Ataque físico: 32
Ataque mágico: 36
Ignora la defensa, Hoja invisible
*Objeto raro de gacha</v>
      </c>
      <c r="K54" s="492" t="str">
        <f>IFERROR(__xludf.DUMMYFUNCTION("GOOGLETRANSLATE(A54,""zh-tw"",""KO"")"),"크리우의 빛")</f>
        <v>크리우의 빛</v>
      </c>
      <c r="L54" s="254" t="str">
        <f>IFERROR(__xludf.DUMMYFUNCTION("GOOGLETRANSLATE(B54,""zh-tw"",""KO"")"),"물리 공격력: 32
마법 공격력: 36
방어력 무시, 투명 칼날
*레어 가챠 아이템")</f>
        <v>물리 공격력: 32
마법 공격력: 36
방어력 무시, 투명 칼날
*레어 가챠 아이템</v>
      </c>
      <c r="M54" s="253" t="s">
        <v>9174</v>
      </c>
      <c r="N54" s="254" t="s">
        <v>9175</v>
      </c>
      <c r="O54" s="489" t="s">
        <v>9176</v>
      </c>
      <c r="P54" s="260" t="s">
        <v>9177</v>
      </c>
      <c r="Q54" s="489" t="s">
        <v>9178</v>
      </c>
      <c r="R54" s="260" t="s">
        <v>9179</v>
      </c>
      <c r="S54" s="490" t="s">
        <v>9180</v>
      </c>
      <c r="T54" s="491" t="s">
        <v>9181</v>
      </c>
      <c r="U54" s="253" t="s">
        <v>9171</v>
      </c>
      <c r="V54" s="254" t="s">
        <v>9182</v>
      </c>
      <c r="W54" s="254"/>
      <c r="X54" s="254"/>
      <c r="Y54" s="254"/>
      <c r="Z54" s="254"/>
    </row>
    <row r="55">
      <c r="A55" s="489" t="s">
        <v>9183</v>
      </c>
      <c r="B55" s="260" t="s">
        <v>9184</v>
      </c>
      <c r="C55" s="489" t="s">
        <v>9185</v>
      </c>
      <c r="D55" s="260" t="s">
        <v>9186</v>
      </c>
      <c r="E55" s="489" t="s">
        <v>9187</v>
      </c>
      <c r="F55" s="260" t="s">
        <v>9188</v>
      </c>
      <c r="G55" s="489" t="str">
        <f>IFERROR(__xludf.DUMMYFUNCTION("GOOGLETRANSLATE(A55,""zh-tw"",""zh"")"),"荒古荣光")</f>
        <v>荒古荣光</v>
      </c>
      <c r="H55" s="260" t="str">
        <f>IFERROR(__xludf.DUMMYFUNCTION("GOOGLETRANSLATE(B55,""zh-tw"",""zh"")"),"物攻：36
特殊指令强化
*稀有品扭蛋品")</f>
        <v>物攻：36
特殊指令强化
*稀有品扭蛋品</v>
      </c>
      <c r="I55" s="492" t="str">
        <f>IFERROR(__xludf.DUMMYFUNCTION("GOOGLETRANSLATE(A55,""zh-tw"",""es-MX"")"),"Gloria antigua")</f>
        <v>Gloria antigua</v>
      </c>
      <c r="J55" s="254" t="str">
        <f>IFERROR(__xludf.DUMMYFUNCTION("GOOGLETRANSLATE(B55,""zh-tw"",""es-MX"")"),"Ataque físico: 36
Mejora de comando especial
*Objeto raro de gacha")</f>
        <v>Ataque físico: 36
Mejora de comando especial
*Objeto raro de gacha</v>
      </c>
      <c r="K55" s="492" t="str">
        <f>IFERROR(__xludf.DUMMYFUNCTION("GOOGLETRANSLATE(A55,""zh-tw"",""KO"")"),"고대의 영광")</f>
        <v>고대의 영광</v>
      </c>
      <c r="L55" s="254" t="str">
        <f>IFERROR(__xludf.DUMMYFUNCTION("GOOGLETRANSLATE(B55,""zh-tw"",""KO"")"),"물리 공격력: 36
특수 명령 강화
*레어 가챠 아이템")</f>
        <v>물리 공격력: 36
특수 명령 강화
*레어 가챠 아이템</v>
      </c>
      <c r="M55" s="253" t="s">
        <v>9189</v>
      </c>
      <c r="N55" s="254" t="s">
        <v>9190</v>
      </c>
      <c r="O55" s="489" t="s">
        <v>9191</v>
      </c>
      <c r="P55" s="260" t="s">
        <v>9192</v>
      </c>
      <c r="Q55" s="489" t="s">
        <v>9193</v>
      </c>
      <c r="R55" s="260" t="s">
        <v>9194</v>
      </c>
      <c r="S55" s="494" t="s">
        <v>9195</v>
      </c>
      <c r="T55" s="491" t="s">
        <v>9196</v>
      </c>
      <c r="U55" s="253" t="s">
        <v>9197</v>
      </c>
      <c r="V55" s="254" t="s">
        <v>9198</v>
      </c>
      <c r="W55" s="254"/>
      <c r="X55" s="254"/>
      <c r="Y55" s="254"/>
      <c r="Z55" s="254"/>
    </row>
    <row r="56">
      <c r="A56" s="488" t="s">
        <v>9199</v>
      </c>
      <c r="B56" s="205" t="s">
        <v>9200</v>
      </c>
      <c r="C56" s="488" t="s">
        <v>9201</v>
      </c>
      <c r="D56" s="205" t="s">
        <v>9202</v>
      </c>
      <c r="E56" s="488" t="s">
        <v>9203</v>
      </c>
      <c r="F56" s="205" t="s">
        <v>9204</v>
      </c>
      <c r="G56" s="488" t="str">
        <f>IFERROR(__xludf.DUMMYFUNCTION("GOOGLETRANSLATE(A56,""zh-tw"",""zh"")"),"仪式的御柱")</f>
        <v>仪式的御柱</v>
      </c>
      <c r="H56" s="205" t="str">
        <f>IFERROR(__xludf.DUMMYFUNCTION("GOOGLETRANSLATE(B56,""zh-tw"",""zh"")"),"物攻：66
物防：6
魔防：66
高耐久度
游戏时间整点时，可提升大量属性增益")</f>
        <v>物攻：66
物防：6
魔防：66
高耐久度
游戏时间整点时，可提升大量属性增益</v>
      </c>
      <c r="I56" s="492" t="str">
        <f>IFERROR(__xludf.DUMMYFUNCTION("GOOGLETRANSLATE(A56,""zh-tw"",""es-MX"")"),"Pilares rituales")</f>
        <v>Pilares rituales</v>
      </c>
      <c r="J56" s="254" t="str">
        <f>IFERROR(__xludf.DUMMYFUNCTION("GOOGLETRANSLATE(B56,""zh-tw"",""es-MX"")"),"Ataque físico: 66
Defensa física: 6
Defensa mágica: 66
Alta resistencia
Al comienzo de la hora de juego, puede aumentar considerablemente las bonificaciones de atributos.")</f>
        <v>Ataque físico: 66
Defensa física: 6
Defensa mágica: 66
Alta resistencia
Al comienzo de la hora de juego, puede aumentar considerablemente las bonificaciones de atributos.</v>
      </c>
      <c r="K56" s="488" t="str">
        <f>IFERROR(__xludf.DUMMYFUNCTION("GOOGLETRANSLATE(A56,""zh-tw"",""KO"")"),"의례 기둥")</f>
        <v>의례 기둥</v>
      </c>
      <c r="L56" s="205" t="str">
        <f>IFERROR(__xludf.DUMMYFUNCTION("GOOGLETRANSLATE(B56,""zh-tw"",""KO"")"),"물리 공격력: 66
물리 방어력: 6
마법 방어력: 66
높은 내구력
게임 내 최고 시간대에 사용하면 능력치 보너스를 크게 증가시킬 수 있습니다.")</f>
        <v>물리 공격력: 66
물리 방어력: 6
마법 방어력: 66
높은 내구력
게임 내 최고 시간대에 사용하면 능력치 보너스를 크게 증가시킬 수 있습니다.</v>
      </c>
      <c r="M56" s="192" t="s">
        <v>9205</v>
      </c>
      <c r="N56" s="194" t="s">
        <v>9206</v>
      </c>
      <c r="O56" s="489" t="s">
        <v>9207</v>
      </c>
      <c r="P56" s="260" t="s">
        <v>9208</v>
      </c>
      <c r="Q56" s="492" t="s">
        <v>9209</v>
      </c>
      <c r="R56" s="254" t="s">
        <v>9210</v>
      </c>
      <c r="S56" s="496" t="s">
        <v>9211</v>
      </c>
      <c r="T56" s="498" t="s">
        <v>9212</v>
      </c>
      <c r="U56" s="204" t="s">
        <v>9213</v>
      </c>
      <c r="V56" s="205" t="s">
        <v>9214</v>
      </c>
      <c r="W56" s="254"/>
      <c r="X56" s="254"/>
      <c r="Y56" s="254"/>
      <c r="Z56" s="254"/>
    </row>
    <row r="57">
      <c r="A57" s="492"/>
      <c r="B57" s="205"/>
      <c r="C57" s="492"/>
      <c r="D57" s="181"/>
      <c r="E57" s="488"/>
      <c r="F57" s="205"/>
      <c r="G57" s="492"/>
      <c r="H57" s="254"/>
      <c r="I57" s="500"/>
      <c r="J57" s="181"/>
      <c r="K57" s="500"/>
      <c r="L57" s="181"/>
      <c r="M57" s="253"/>
      <c r="N57" s="254"/>
      <c r="O57" s="500"/>
      <c r="P57" s="181"/>
      <c r="Q57" s="492"/>
      <c r="R57" s="254"/>
      <c r="S57" s="253"/>
      <c r="T57" s="254"/>
      <c r="U57" s="253"/>
      <c r="V57" s="254"/>
      <c r="W57" s="254"/>
      <c r="X57" s="254"/>
      <c r="Y57" s="254"/>
      <c r="Z57" s="254"/>
    </row>
    <row r="58">
      <c r="A58" s="492"/>
      <c r="B58" s="254"/>
      <c r="C58" s="492"/>
      <c r="D58" s="181"/>
      <c r="E58" s="492"/>
      <c r="F58" s="254"/>
      <c r="G58" s="492"/>
      <c r="H58" s="254"/>
      <c r="I58" s="500"/>
      <c r="J58" s="181"/>
      <c r="K58" s="500"/>
      <c r="L58" s="181"/>
      <c r="M58" s="253"/>
      <c r="N58" s="254"/>
      <c r="O58" s="500"/>
      <c r="P58" s="181"/>
      <c r="Q58" s="492"/>
      <c r="R58" s="254"/>
      <c r="S58" s="253"/>
      <c r="T58" s="254"/>
      <c r="U58" s="253"/>
      <c r="V58" s="254"/>
      <c r="W58" s="254"/>
      <c r="X58" s="254"/>
      <c r="Y58" s="254"/>
      <c r="Z58" s="254"/>
    </row>
    <row r="59">
      <c r="A59" s="492"/>
      <c r="B59" s="254"/>
      <c r="C59" s="492"/>
      <c r="D59" s="181"/>
      <c r="E59" s="492"/>
      <c r="F59" s="254"/>
      <c r="G59" s="492"/>
      <c r="H59" s="254"/>
      <c r="I59" s="500"/>
      <c r="J59" s="181"/>
      <c r="K59" s="500"/>
      <c r="L59" s="181"/>
      <c r="M59" s="253"/>
      <c r="N59" s="254"/>
      <c r="O59" s="500"/>
      <c r="P59" s="181"/>
      <c r="Q59" s="492"/>
      <c r="R59" s="254"/>
      <c r="S59" s="253"/>
      <c r="T59" s="254"/>
      <c r="U59" s="253"/>
      <c r="V59" s="254"/>
      <c r="W59" s="254"/>
      <c r="X59" s="254"/>
      <c r="Y59" s="254"/>
      <c r="Z59" s="254"/>
    </row>
    <row r="60">
      <c r="A60" s="492"/>
      <c r="B60" s="254"/>
      <c r="C60" s="492"/>
      <c r="D60" s="181"/>
      <c r="E60" s="492"/>
      <c r="F60" s="254"/>
      <c r="G60" s="492"/>
      <c r="H60" s="254"/>
      <c r="I60" s="500"/>
      <c r="J60" s="181"/>
      <c r="K60" s="500"/>
      <c r="L60" s="181"/>
      <c r="M60" s="253"/>
      <c r="N60" s="254"/>
      <c r="O60" s="500"/>
      <c r="P60" s="181"/>
      <c r="Q60" s="492"/>
      <c r="R60" s="254"/>
      <c r="S60" s="253"/>
      <c r="T60" s="254"/>
      <c r="U60" s="253"/>
      <c r="V60" s="254"/>
      <c r="W60" s="254"/>
      <c r="X60" s="254"/>
      <c r="Y60" s="254"/>
      <c r="Z60" s="254"/>
    </row>
    <row r="61">
      <c r="A61" s="492"/>
      <c r="B61" s="254"/>
      <c r="C61" s="492"/>
      <c r="D61" s="181"/>
      <c r="E61" s="492"/>
      <c r="F61" s="254"/>
      <c r="G61" s="492"/>
      <c r="H61" s="254"/>
      <c r="I61" s="500"/>
      <c r="J61" s="181"/>
      <c r="K61" s="500"/>
      <c r="L61" s="181"/>
      <c r="M61" s="253"/>
      <c r="N61" s="254"/>
      <c r="O61" s="500"/>
      <c r="P61" s="181"/>
      <c r="Q61" s="492"/>
      <c r="R61" s="254"/>
      <c r="S61" s="253"/>
      <c r="T61" s="254"/>
      <c r="U61" s="253"/>
      <c r="V61" s="254"/>
      <c r="W61" s="254"/>
      <c r="X61" s="254"/>
      <c r="Y61" s="254"/>
      <c r="Z61" s="254"/>
    </row>
    <row r="62">
      <c r="A62" s="492"/>
      <c r="B62" s="254"/>
      <c r="C62" s="492"/>
      <c r="D62" s="181"/>
      <c r="E62" s="492"/>
      <c r="F62" s="254"/>
      <c r="G62" s="492"/>
      <c r="H62" s="254"/>
      <c r="I62" s="500"/>
      <c r="J62" s="181"/>
      <c r="K62" s="500"/>
      <c r="L62" s="181"/>
      <c r="M62" s="253"/>
      <c r="N62" s="254"/>
      <c r="O62" s="500"/>
      <c r="P62" s="181"/>
      <c r="Q62" s="492"/>
      <c r="R62" s="254"/>
      <c r="S62" s="253"/>
      <c r="T62" s="254"/>
      <c r="U62" s="253"/>
      <c r="V62" s="254"/>
      <c r="W62" s="254"/>
      <c r="X62" s="254"/>
      <c r="Y62" s="254"/>
      <c r="Z62" s="254"/>
    </row>
    <row r="63">
      <c r="A63" s="492"/>
      <c r="B63" s="254"/>
      <c r="C63" s="492"/>
      <c r="D63" s="181"/>
      <c r="E63" s="492"/>
      <c r="F63" s="254"/>
      <c r="G63" s="492"/>
      <c r="H63" s="254"/>
      <c r="I63" s="500"/>
      <c r="J63" s="181"/>
      <c r="K63" s="500"/>
      <c r="L63" s="181"/>
      <c r="M63" s="253"/>
      <c r="N63" s="254"/>
      <c r="O63" s="500"/>
      <c r="P63" s="181"/>
      <c r="Q63" s="492"/>
      <c r="R63" s="254"/>
      <c r="S63" s="253"/>
      <c r="T63" s="254"/>
      <c r="U63" s="253"/>
      <c r="V63" s="254"/>
      <c r="W63" s="254"/>
      <c r="X63" s="254"/>
      <c r="Y63" s="254"/>
      <c r="Z63" s="254"/>
    </row>
    <row r="64">
      <c r="A64" s="492"/>
      <c r="B64" s="254"/>
      <c r="C64" s="492"/>
      <c r="D64" s="181"/>
      <c r="E64" s="492"/>
      <c r="F64" s="254"/>
      <c r="G64" s="492"/>
      <c r="H64" s="254"/>
      <c r="I64" s="500"/>
      <c r="J64" s="181"/>
      <c r="K64" s="500"/>
      <c r="L64" s="181"/>
      <c r="M64" s="253"/>
      <c r="N64" s="254"/>
      <c r="O64" s="500"/>
      <c r="P64" s="181"/>
      <c r="Q64" s="492"/>
      <c r="R64" s="254"/>
      <c r="S64" s="253"/>
      <c r="T64" s="254"/>
      <c r="U64" s="253"/>
      <c r="V64" s="254"/>
      <c r="W64" s="254"/>
      <c r="X64" s="254"/>
      <c r="Y64" s="254"/>
      <c r="Z64" s="254"/>
    </row>
    <row r="65">
      <c r="A65" s="492"/>
      <c r="B65" s="254"/>
      <c r="C65" s="492"/>
      <c r="D65" s="181"/>
      <c r="E65" s="492"/>
      <c r="F65" s="254"/>
      <c r="G65" s="492"/>
      <c r="H65" s="254"/>
      <c r="I65" s="500"/>
      <c r="J65" s="181"/>
      <c r="K65" s="500"/>
      <c r="L65" s="181"/>
      <c r="M65" s="253"/>
      <c r="N65" s="254"/>
      <c r="O65" s="500"/>
      <c r="P65" s="181"/>
      <c r="Q65" s="492"/>
      <c r="R65" s="254"/>
      <c r="S65" s="253"/>
      <c r="T65" s="254"/>
      <c r="U65" s="253"/>
      <c r="V65" s="254"/>
      <c r="W65" s="254"/>
      <c r="X65" s="254"/>
      <c r="Y65" s="254"/>
      <c r="Z65" s="254"/>
    </row>
    <row r="66">
      <c r="A66" s="492"/>
      <c r="B66" s="254"/>
      <c r="C66" s="492"/>
      <c r="D66" s="181"/>
      <c r="E66" s="492"/>
      <c r="F66" s="254"/>
      <c r="G66" s="492"/>
      <c r="H66" s="254"/>
      <c r="I66" s="500"/>
      <c r="J66" s="181"/>
      <c r="K66" s="500"/>
      <c r="L66" s="181"/>
      <c r="M66" s="253"/>
      <c r="N66" s="254"/>
      <c r="O66" s="500"/>
      <c r="P66" s="181"/>
      <c r="Q66" s="492"/>
      <c r="R66" s="254"/>
      <c r="S66" s="253"/>
      <c r="T66" s="254"/>
      <c r="U66" s="253"/>
      <c r="V66" s="254"/>
      <c r="W66" s="254"/>
      <c r="X66" s="254"/>
      <c r="Y66" s="254"/>
      <c r="Z66" s="254"/>
    </row>
    <row r="67">
      <c r="A67" s="492"/>
      <c r="B67" s="254"/>
      <c r="C67" s="492"/>
      <c r="D67" s="181"/>
      <c r="E67" s="492"/>
      <c r="F67" s="254"/>
      <c r="G67" s="492"/>
      <c r="H67" s="254"/>
      <c r="I67" s="500"/>
      <c r="J67" s="181"/>
      <c r="K67" s="500"/>
      <c r="L67" s="181"/>
      <c r="M67" s="253"/>
      <c r="N67" s="254"/>
      <c r="O67" s="500"/>
      <c r="P67" s="181"/>
      <c r="Q67" s="492"/>
      <c r="R67" s="254"/>
      <c r="S67" s="253"/>
      <c r="T67" s="254"/>
      <c r="U67" s="253"/>
      <c r="V67" s="254"/>
      <c r="W67" s="254"/>
      <c r="X67" s="254"/>
      <c r="Y67" s="254"/>
      <c r="Z67" s="254"/>
    </row>
    <row r="68">
      <c r="A68" s="492"/>
      <c r="B68" s="254"/>
      <c r="C68" s="492"/>
      <c r="D68" s="181"/>
      <c r="E68" s="492"/>
      <c r="F68" s="254"/>
      <c r="G68" s="492"/>
      <c r="H68" s="254"/>
      <c r="I68" s="500"/>
      <c r="J68" s="181"/>
      <c r="K68" s="500"/>
      <c r="L68" s="181"/>
      <c r="M68" s="253"/>
      <c r="N68" s="254"/>
      <c r="O68" s="500"/>
      <c r="P68" s="181"/>
      <c r="Q68" s="492"/>
      <c r="R68" s="254"/>
      <c r="S68" s="253"/>
      <c r="T68" s="254"/>
      <c r="U68" s="253"/>
      <c r="V68" s="254"/>
      <c r="W68" s="254"/>
      <c r="X68" s="254"/>
      <c r="Y68" s="254"/>
      <c r="Z68" s="254"/>
    </row>
    <row r="69">
      <c r="A69" s="492"/>
      <c r="B69" s="254"/>
      <c r="C69" s="492"/>
      <c r="D69" s="181"/>
      <c r="E69" s="492"/>
      <c r="F69" s="254"/>
      <c r="G69" s="492"/>
      <c r="H69" s="254"/>
      <c r="I69" s="500"/>
      <c r="J69" s="181"/>
      <c r="K69" s="500"/>
      <c r="L69" s="181"/>
      <c r="M69" s="253"/>
      <c r="N69" s="254"/>
      <c r="O69" s="500"/>
      <c r="P69" s="181"/>
      <c r="Q69" s="492"/>
      <c r="R69" s="254"/>
      <c r="S69" s="253"/>
      <c r="T69" s="254"/>
      <c r="U69" s="253"/>
      <c r="V69" s="254"/>
      <c r="W69" s="254"/>
      <c r="X69" s="254"/>
      <c r="Y69" s="254"/>
      <c r="Z69" s="254"/>
    </row>
    <row r="70">
      <c r="A70" s="492"/>
      <c r="B70" s="254"/>
      <c r="C70" s="492"/>
      <c r="D70" s="181"/>
      <c r="E70" s="492"/>
      <c r="F70" s="254"/>
      <c r="G70" s="492"/>
      <c r="H70" s="254"/>
      <c r="I70" s="500"/>
      <c r="J70" s="181"/>
      <c r="K70" s="500"/>
      <c r="L70" s="181"/>
      <c r="M70" s="253"/>
      <c r="N70" s="254"/>
      <c r="O70" s="500"/>
      <c r="P70" s="181"/>
      <c r="Q70" s="492"/>
      <c r="R70" s="254"/>
      <c r="S70" s="253"/>
      <c r="T70" s="254"/>
      <c r="U70" s="253"/>
      <c r="V70" s="254"/>
      <c r="W70" s="254"/>
      <c r="X70" s="254"/>
      <c r="Y70" s="254"/>
      <c r="Z70" s="254"/>
    </row>
    <row r="71">
      <c r="A71" s="492"/>
      <c r="B71" s="254"/>
      <c r="C71" s="492"/>
      <c r="D71" s="181"/>
      <c r="E71" s="492"/>
      <c r="F71" s="254"/>
      <c r="G71" s="492"/>
      <c r="H71" s="254"/>
      <c r="I71" s="500"/>
      <c r="J71" s="181"/>
      <c r="K71" s="500"/>
      <c r="L71" s="181"/>
      <c r="M71" s="253"/>
      <c r="N71" s="254"/>
      <c r="O71" s="500"/>
      <c r="P71" s="181"/>
      <c r="Q71" s="492"/>
      <c r="R71" s="254"/>
      <c r="S71" s="253"/>
      <c r="T71" s="254"/>
      <c r="U71" s="253"/>
      <c r="V71" s="254"/>
      <c r="W71" s="254"/>
      <c r="X71" s="254"/>
      <c r="Y71" s="254"/>
      <c r="Z71" s="254"/>
    </row>
    <row r="72">
      <c r="A72" s="492"/>
      <c r="B72" s="254"/>
      <c r="C72" s="492"/>
      <c r="D72" s="181"/>
      <c r="E72" s="492"/>
      <c r="F72" s="254"/>
      <c r="G72" s="492"/>
      <c r="H72" s="254"/>
      <c r="I72" s="500"/>
      <c r="J72" s="181"/>
      <c r="K72" s="500"/>
      <c r="L72" s="181"/>
      <c r="M72" s="253"/>
      <c r="N72" s="254"/>
      <c r="O72" s="500"/>
      <c r="P72" s="181"/>
      <c r="Q72" s="492"/>
      <c r="R72" s="254"/>
      <c r="S72" s="253"/>
      <c r="T72" s="254"/>
      <c r="U72" s="253"/>
      <c r="V72" s="254"/>
      <c r="W72" s="254"/>
      <c r="X72" s="254"/>
      <c r="Y72" s="254"/>
      <c r="Z72" s="254"/>
    </row>
    <row r="73">
      <c r="A73" s="492"/>
      <c r="B73" s="254"/>
      <c r="C73" s="492"/>
      <c r="D73" s="181"/>
      <c r="E73" s="492"/>
      <c r="F73" s="254"/>
      <c r="G73" s="492"/>
      <c r="H73" s="254"/>
      <c r="I73" s="500"/>
      <c r="J73" s="181"/>
      <c r="K73" s="500"/>
      <c r="L73" s="181"/>
      <c r="M73" s="253"/>
      <c r="N73" s="254"/>
      <c r="O73" s="500"/>
      <c r="P73" s="181"/>
      <c r="Q73" s="492"/>
      <c r="R73" s="254"/>
      <c r="S73" s="253"/>
      <c r="T73" s="254"/>
      <c r="U73" s="253"/>
      <c r="V73" s="254"/>
      <c r="W73" s="254"/>
      <c r="X73" s="254"/>
      <c r="Y73" s="254"/>
      <c r="Z73" s="254"/>
    </row>
    <row r="74">
      <c r="A74" s="492"/>
      <c r="B74" s="254"/>
      <c r="C74" s="492"/>
      <c r="D74" s="181"/>
      <c r="E74" s="492"/>
      <c r="F74" s="254"/>
      <c r="G74" s="492"/>
      <c r="H74" s="254"/>
      <c r="I74" s="500"/>
      <c r="J74" s="181"/>
      <c r="K74" s="500"/>
      <c r="L74" s="181"/>
      <c r="M74" s="253"/>
      <c r="N74" s="254"/>
      <c r="O74" s="500"/>
      <c r="P74" s="181"/>
      <c r="Q74" s="492"/>
      <c r="R74" s="254"/>
      <c r="S74" s="253"/>
      <c r="T74" s="254"/>
      <c r="U74" s="253"/>
      <c r="V74" s="254"/>
      <c r="W74" s="254"/>
      <c r="X74" s="254"/>
      <c r="Y74" s="254"/>
      <c r="Z74" s="254"/>
    </row>
    <row r="75">
      <c r="A75" s="492"/>
      <c r="B75" s="254"/>
      <c r="C75" s="492"/>
      <c r="D75" s="181"/>
      <c r="E75" s="492"/>
      <c r="F75" s="254"/>
      <c r="G75" s="492"/>
      <c r="H75" s="254"/>
      <c r="I75" s="500"/>
      <c r="J75" s="181"/>
      <c r="K75" s="500"/>
      <c r="L75" s="181"/>
      <c r="M75" s="253"/>
      <c r="N75" s="254"/>
      <c r="O75" s="500"/>
      <c r="P75" s="181"/>
      <c r="Q75" s="492"/>
      <c r="R75" s="254"/>
      <c r="S75" s="253"/>
      <c r="T75" s="254"/>
      <c r="U75" s="253"/>
      <c r="V75" s="254"/>
      <c r="W75" s="254"/>
      <c r="X75" s="254"/>
      <c r="Y75" s="254"/>
      <c r="Z75" s="254"/>
    </row>
    <row r="76">
      <c r="A76" s="492"/>
      <c r="B76" s="254"/>
      <c r="C76" s="492"/>
      <c r="D76" s="181"/>
      <c r="E76" s="492"/>
      <c r="F76" s="254"/>
      <c r="G76" s="492"/>
      <c r="H76" s="254"/>
      <c r="I76" s="500"/>
      <c r="J76" s="181"/>
      <c r="K76" s="500"/>
      <c r="L76" s="181"/>
      <c r="M76" s="253"/>
      <c r="N76" s="254"/>
      <c r="O76" s="500"/>
      <c r="P76" s="181"/>
      <c r="Q76" s="492"/>
      <c r="R76" s="254"/>
      <c r="S76" s="253"/>
      <c r="T76" s="254"/>
      <c r="U76" s="253"/>
      <c r="V76" s="254"/>
      <c r="W76" s="254"/>
      <c r="X76" s="254"/>
      <c r="Y76" s="254"/>
      <c r="Z76" s="254"/>
    </row>
    <row r="77">
      <c r="A77" s="492"/>
      <c r="B77" s="254"/>
      <c r="C77" s="492"/>
      <c r="D77" s="181"/>
      <c r="E77" s="492"/>
      <c r="F77" s="254"/>
      <c r="G77" s="492"/>
      <c r="H77" s="254"/>
      <c r="I77" s="500"/>
      <c r="J77" s="181"/>
      <c r="K77" s="500"/>
      <c r="L77" s="181"/>
      <c r="M77" s="253"/>
      <c r="N77" s="254"/>
      <c r="O77" s="500"/>
      <c r="P77" s="181"/>
      <c r="Q77" s="492"/>
      <c r="R77" s="254"/>
      <c r="S77" s="253"/>
      <c r="T77" s="254"/>
      <c r="U77" s="253"/>
      <c r="V77" s="254"/>
      <c r="W77" s="254"/>
      <c r="X77" s="254"/>
      <c r="Y77" s="254"/>
      <c r="Z77" s="254"/>
    </row>
    <row r="78">
      <c r="A78" s="492"/>
      <c r="B78" s="254"/>
      <c r="C78" s="492"/>
      <c r="D78" s="181"/>
      <c r="E78" s="492"/>
      <c r="F78" s="254"/>
      <c r="G78" s="492"/>
      <c r="H78" s="254"/>
      <c r="I78" s="500"/>
      <c r="J78" s="181"/>
      <c r="K78" s="500"/>
      <c r="L78" s="181"/>
      <c r="M78" s="253"/>
      <c r="N78" s="254"/>
      <c r="O78" s="500"/>
      <c r="P78" s="181"/>
      <c r="Q78" s="492"/>
      <c r="R78" s="254"/>
      <c r="S78" s="253"/>
      <c r="T78" s="254"/>
      <c r="U78" s="253"/>
      <c r="V78" s="254"/>
      <c r="W78" s="254"/>
      <c r="X78" s="254"/>
      <c r="Y78" s="254"/>
      <c r="Z78" s="254"/>
    </row>
    <row r="79">
      <c r="A79" s="492"/>
      <c r="B79" s="254"/>
      <c r="C79" s="492"/>
      <c r="D79" s="181"/>
      <c r="E79" s="492"/>
      <c r="F79" s="254"/>
      <c r="G79" s="492"/>
      <c r="H79" s="254"/>
      <c r="I79" s="500"/>
      <c r="J79" s="181"/>
      <c r="K79" s="500"/>
      <c r="L79" s="181"/>
      <c r="M79" s="253"/>
      <c r="N79" s="254"/>
      <c r="O79" s="500"/>
      <c r="P79" s="181"/>
      <c r="Q79" s="492"/>
      <c r="R79" s="254"/>
      <c r="S79" s="253"/>
      <c r="T79" s="254"/>
      <c r="U79" s="253"/>
      <c r="V79" s="254"/>
      <c r="W79" s="254"/>
      <c r="X79" s="254"/>
      <c r="Y79" s="254"/>
      <c r="Z79" s="254"/>
    </row>
    <row r="80">
      <c r="A80" s="492"/>
      <c r="B80" s="254"/>
      <c r="C80" s="492"/>
      <c r="D80" s="181"/>
      <c r="E80" s="492"/>
      <c r="F80" s="254"/>
      <c r="G80" s="492"/>
      <c r="H80" s="254"/>
      <c r="I80" s="500"/>
      <c r="J80" s="181"/>
      <c r="K80" s="500"/>
      <c r="L80" s="181"/>
      <c r="M80" s="253"/>
      <c r="N80" s="254"/>
      <c r="O80" s="500"/>
      <c r="P80" s="181"/>
      <c r="Q80" s="492"/>
      <c r="R80" s="254"/>
      <c r="S80" s="253"/>
      <c r="T80" s="254"/>
      <c r="U80" s="253"/>
      <c r="V80" s="254"/>
      <c r="W80" s="254"/>
      <c r="X80" s="254"/>
      <c r="Y80" s="254"/>
      <c r="Z80" s="254"/>
    </row>
    <row r="81">
      <c r="A81" s="492"/>
      <c r="B81" s="254"/>
      <c r="C81" s="492"/>
      <c r="D81" s="181"/>
      <c r="E81" s="492"/>
      <c r="F81" s="254"/>
      <c r="G81" s="492"/>
      <c r="H81" s="254"/>
      <c r="I81" s="500"/>
      <c r="J81" s="181"/>
      <c r="K81" s="500"/>
      <c r="L81" s="181"/>
      <c r="M81" s="253"/>
      <c r="N81" s="254"/>
      <c r="O81" s="500"/>
      <c r="P81" s="181"/>
      <c r="Q81" s="492"/>
      <c r="R81" s="254"/>
      <c r="S81" s="253"/>
      <c r="T81" s="254"/>
      <c r="U81" s="253"/>
      <c r="V81" s="254"/>
      <c r="W81" s="254"/>
      <c r="X81" s="254"/>
      <c r="Y81" s="254"/>
      <c r="Z81" s="254"/>
    </row>
    <row r="82">
      <c r="A82" s="492"/>
      <c r="B82" s="254"/>
      <c r="C82" s="492"/>
      <c r="D82" s="181"/>
      <c r="E82" s="492"/>
      <c r="F82" s="254"/>
      <c r="G82" s="492"/>
      <c r="H82" s="254"/>
      <c r="I82" s="500"/>
      <c r="J82" s="181"/>
      <c r="K82" s="500"/>
      <c r="L82" s="181"/>
      <c r="M82" s="253"/>
      <c r="N82" s="254"/>
      <c r="O82" s="500"/>
      <c r="P82" s="181"/>
      <c r="Q82" s="492"/>
      <c r="R82" s="254"/>
      <c r="S82" s="253"/>
      <c r="T82" s="254"/>
      <c r="U82" s="253"/>
      <c r="V82" s="254"/>
      <c r="W82" s="254"/>
      <c r="X82" s="254"/>
      <c r="Y82" s="254"/>
      <c r="Z82" s="254"/>
    </row>
    <row r="83">
      <c r="A83" s="492"/>
      <c r="B83" s="254"/>
      <c r="C83" s="492"/>
      <c r="D83" s="181"/>
      <c r="E83" s="492"/>
      <c r="F83" s="254"/>
      <c r="G83" s="492"/>
      <c r="H83" s="254"/>
      <c r="I83" s="500"/>
      <c r="J83" s="181"/>
      <c r="K83" s="500"/>
      <c r="L83" s="181"/>
      <c r="M83" s="253"/>
      <c r="N83" s="254"/>
      <c r="O83" s="500"/>
      <c r="P83" s="181"/>
      <c r="Q83" s="492"/>
      <c r="R83" s="254"/>
      <c r="S83" s="253"/>
      <c r="T83" s="254"/>
      <c r="U83" s="253"/>
      <c r="V83" s="254"/>
      <c r="W83" s="254"/>
      <c r="X83" s="254"/>
      <c r="Y83" s="254"/>
      <c r="Z83" s="254"/>
    </row>
    <row r="84">
      <c r="A84" s="492"/>
      <c r="B84" s="254"/>
      <c r="C84" s="492"/>
      <c r="D84" s="181"/>
      <c r="E84" s="492"/>
      <c r="F84" s="254"/>
      <c r="G84" s="492"/>
      <c r="H84" s="254"/>
      <c r="I84" s="500"/>
      <c r="J84" s="181"/>
      <c r="K84" s="500"/>
      <c r="L84" s="181"/>
      <c r="M84" s="253"/>
      <c r="N84" s="254"/>
      <c r="O84" s="500"/>
      <c r="P84" s="181"/>
      <c r="Q84" s="492"/>
      <c r="R84" s="254"/>
      <c r="S84" s="253"/>
      <c r="T84" s="254"/>
      <c r="U84" s="253"/>
      <c r="V84" s="254"/>
      <c r="W84" s="254"/>
      <c r="X84" s="254"/>
      <c r="Y84" s="254"/>
      <c r="Z84" s="254"/>
    </row>
    <row r="85">
      <c r="A85" s="492"/>
      <c r="B85" s="254"/>
      <c r="C85" s="492"/>
      <c r="D85" s="181"/>
      <c r="E85" s="492"/>
      <c r="F85" s="254"/>
      <c r="G85" s="492"/>
      <c r="H85" s="254"/>
      <c r="I85" s="500"/>
      <c r="J85" s="181"/>
      <c r="K85" s="500"/>
      <c r="L85" s="181"/>
      <c r="M85" s="253"/>
      <c r="N85" s="254"/>
      <c r="O85" s="500"/>
      <c r="P85" s="181"/>
      <c r="Q85" s="492"/>
      <c r="R85" s="254"/>
      <c r="S85" s="253"/>
      <c r="T85" s="254"/>
      <c r="U85" s="253"/>
      <c r="V85" s="254"/>
      <c r="W85" s="254"/>
      <c r="X85" s="254"/>
      <c r="Y85" s="254"/>
      <c r="Z85" s="254"/>
    </row>
    <row r="86">
      <c r="A86" s="492"/>
      <c r="B86" s="254"/>
      <c r="C86" s="492"/>
      <c r="D86" s="181"/>
      <c r="E86" s="492"/>
      <c r="F86" s="254"/>
      <c r="G86" s="492"/>
      <c r="H86" s="254"/>
      <c r="I86" s="500"/>
      <c r="J86" s="181"/>
      <c r="K86" s="500"/>
      <c r="L86" s="181"/>
      <c r="M86" s="253"/>
      <c r="N86" s="254"/>
      <c r="O86" s="500"/>
      <c r="P86" s="181"/>
      <c r="Q86" s="492"/>
      <c r="R86" s="254"/>
      <c r="S86" s="253"/>
      <c r="T86" s="254"/>
      <c r="U86" s="253"/>
      <c r="V86" s="254"/>
      <c r="W86" s="254"/>
      <c r="X86" s="254"/>
      <c r="Y86" s="254"/>
      <c r="Z86" s="254"/>
    </row>
    <row r="87">
      <c r="A87" s="492"/>
      <c r="B87" s="254"/>
      <c r="C87" s="492"/>
      <c r="D87" s="181"/>
      <c r="E87" s="492"/>
      <c r="F87" s="254"/>
      <c r="G87" s="492"/>
      <c r="H87" s="254"/>
      <c r="I87" s="500"/>
      <c r="J87" s="181"/>
      <c r="K87" s="500"/>
      <c r="L87" s="181"/>
      <c r="M87" s="253"/>
      <c r="N87" s="254"/>
      <c r="O87" s="500"/>
      <c r="P87" s="181"/>
      <c r="Q87" s="492"/>
      <c r="R87" s="254"/>
      <c r="S87" s="253"/>
      <c r="T87" s="254"/>
      <c r="U87" s="253"/>
      <c r="V87" s="254"/>
      <c r="W87" s="254"/>
      <c r="X87" s="254"/>
      <c r="Y87" s="254"/>
      <c r="Z87" s="254"/>
    </row>
    <row r="88">
      <c r="A88" s="492"/>
      <c r="B88" s="254"/>
      <c r="C88" s="492"/>
      <c r="D88" s="181"/>
      <c r="E88" s="492"/>
      <c r="F88" s="254"/>
      <c r="G88" s="492"/>
      <c r="H88" s="254"/>
      <c r="I88" s="500"/>
      <c r="J88" s="181"/>
      <c r="K88" s="500"/>
      <c r="L88" s="181"/>
      <c r="M88" s="253"/>
      <c r="N88" s="254"/>
      <c r="O88" s="500"/>
      <c r="P88" s="181"/>
      <c r="Q88" s="492"/>
      <c r="R88" s="254"/>
      <c r="S88" s="253"/>
      <c r="T88" s="254"/>
      <c r="U88" s="253"/>
      <c r="V88" s="254"/>
      <c r="W88" s="254"/>
      <c r="X88" s="254"/>
      <c r="Y88" s="254"/>
      <c r="Z88" s="254"/>
    </row>
    <row r="89">
      <c r="A89" s="492"/>
      <c r="B89" s="254"/>
      <c r="C89" s="492"/>
      <c r="D89" s="181"/>
      <c r="E89" s="492"/>
      <c r="F89" s="254"/>
      <c r="G89" s="492"/>
      <c r="H89" s="254"/>
      <c r="I89" s="500"/>
      <c r="J89" s="181"/>
      <c r="K89" s="500"/>
      <c r="L89" s="181"/>
      <c r="M89" s="253"/>
      <c r="N89" s="254"/>
      <c r="O89" s="500"/>
      <c r="P89" s="181"/>
      <c r="Q89" s="492"/>
      <c r="R89" s="254"/>
      <c r="S89" s="253"/>
      <c r="T89" s="254"/>
      <c r="U89" s="253"/>
      <c r="V89" s="254"/>
      <c r="W89" s="254"/>
      <c r="X89" s="254"/>
      <c r="Y89" s="254"/>
      <c r="Z89" s="254"/>
    </row>
    <row r="90">
      <c r="A90" s="492"/>
      <c r="B90" s="254"/>
      <c r="C90" s="492"/>
      <c r="D90" s="181"/>
      <c r="E90" s="492"/>
      <c r="F90" s="254"/>
      <c r="G90" s="492"/>
      <c r="H90" s="254"/>
      <c r="I90" s="500"/>
      <c r="J90" s="181"/>
      <c r="K90" s="500"/>
      <c r="L90" s="181"/>
      <c r="M90" s="253"/>
      <c r="N90" s="254"/>
      <c r="O90" s="500"/>
      <c r="P90" s="181"/>
      <c r="Q90" s="492"/>
      <c r="R90" s="254"/>
      <c r="S90" s="253"/>
      <c r="T90" s="254"/>
      <c r="U90" s="253"/>
      <c r="V90" s="254"/>
      <c r="W90" s="254"/>
      <c r="X90" s="254"/>
      <c r="Y90" s="254"/>
      <c r="Z90" s="254"/>
    </row>
    <row r="91">
      <c r="A91" s="492"/>
      <c r="B91" s="254"/>
      <c r="C91" s="492"/>
      <c r="D91" s="181"/>
      <c r="E91" s="492"/>
      <c r="F91" s="254"/>
      <c r="G91" s="492"/>
      <c r="H91" s="254"/>
      <c r="I91" s="500"/>
      <c r="J91" s="181"/>
      <c r="K91" s="500"/>
      <c r="L91" s="181"/>
      <c r="M91" s="253"/>
      <c r="N91" s="254"/>
      <c r="O91" s="500"/>
      <c r="P91" s="181"/>
      <c r="Q91" s="492"/>
      <c r="R91" s="254"/>
      <c r="S91" s="253"/>
      <c r="T91" s="254"/>
      <c r="U91" s="253"/>
      <c r="V91" s="254"/>
      <c r="W91" s="254"/>
      <c r="X91" s="254"/>
      <c r="Y91" s="254"/>
      <c r="Z91" s="254"/>
    </row>
    <row r="92">
      <c r="A92" s="492"/>
      <c r="B92" s="254"/>
      <c r="C92" s="492"/>
      <c r="D92" s="181"/>
      <c r="E92" s="492"/>
      <c r="F92" s="254"/>
      <c r="G92" s="492"/>
      <c r="H92" s="254"/>
      <c r="I92" s="500"/>
      <c r="J92" s="181"/>
      <c r="K92" s="500"/>
      <c r="L92" s="181"/>
      <c r="M92" s="253"/>
      <c r="N92" s="254"/>
      <c r="O92" s="500"/>
      <c r="P92" s="181"/>
      <c r="Q92" s="492"/>
      <c r="R92" s="254"/>
      <c r="S92" s="253"/>
      <c r="T92" s="254"/>
      <c r="U92" s="253"/>
      <c r="V92" s="254"/>
      <c r="W92" s="254"/>
      <c r="X92" s="254"/>
      <c r="Y92" s="254"/>
      <c r="Z92" s="254"/>
    </row>
    <row r="93">
      <c r="A93" s="492"/>
      <c r="B93" s="254"/>
      <c r="C93" s="492"/>
      <c r="D93" s="181"/>
      <c r="E93" s="492"/>
      <c r="F93" s="254"/>
      <c r="G93" s="492"/>
      <c r="H93" s="254"/>
      <c r="I93" s="500"/>
      <c r="J93" s="181"/>
      <c r="K93" s="500"/>
      <c r="L93" s="181"/>
      <c r="M93" s="253"/>
      <c r="N93" s="254"/>
      <c r="O93" s="500"/>
      <c r="P93" s="181"/>
      <c r="Q93" s="492"/>
      <c r="R93" s="254"/>
      <c r="S93" s="253"/>
      <c r="T93" s="254"/>
      <c r="U93" s="253"/>
      <c r="V93" s="254"/>
      <c r="W93" s="254"/>
      <c r="X93" s="254"/>
      <c r="Y93" s="254"/>
      <c r="Z93" s="254"/>
    </row>
    <row r="94">
      <c r="A94" s="492"/>
      <c r="B94" s="254"/>
      <c r="C94" s="492"/>
      <c r="D94" s="181"/>
      <c r="E94" s="492"/>
      <c r="F94" s="254"/>
      <c r="G94" s="492"/>
      <c r="H94" s="254"/>
      <c r="I94" s="500"/>
      <c r="J94" s="181"/>
      <c r="K94" s="500"/>
      <c r="L94" s="181"/>
      <c r="M94" s="253"/>
      <c r="N94" s="254"/>
      <c r="O94" s="500"/>
      <c r="P94" s="181"/>
      <c r="Q94" s="492"/>
      <c r="R94" s="254"/>
      <c r="S94" s="501"/>
      <c r="T94" s="101"/>
      <c r="U94" s="253"/>
      <c r="V94" s="254"/>
      <c r="W94" s="254"/>
      <c r="X94" s="254"/>
      <c r="Y94" s="254"/>
      <c r="Z94" s="254"/>
    </row>
    <row r="95">
      <c r="A95" s="492"/>
      <c r="B95" s="254"/>
      <c r="C95" s="492"/>
      <c r="D95" s="181"/>
      <c r="E95" s="492"/>
      <c r="F95" s="254"/>
      <c r="G95" s="492"/>
      <c r="H95" s="254"/>
      <c r="I95" s="500"/>
      <c r="J95" s="181"/>
      <c r="K95" s="500"/>
      <c r="L95" s="181"/>
      <c r="M95" s="253"/>
      <c r="N95" s="254"/>
      <c r="O95" s="500"/>
      <c r="P95" s="181"/>
      <c r="Q95" s="492"/>
      <c r="R95" s="254"/>
      <c r="S95" s="501"/>
      <c r="T95" s="101"/>
      <c r="U95" s="253"/>
      <c r="V95" s="254"/>
      <c r="W95" s="254"/>
      <c r="X95" s="254"/>
      <c r="Y95" s="254"/>
      <c r="Z95" s="254"/>
    </row>
    <row r="96">
      <c r="A96" s="492"/>
      <c r="B96" s="254"/>
      <c r="C96" s="492"/>
      <c r="D96" s="181"/>
      <c r="E96" s="492"/>
      <c r="F96" s="254"/>
      <c r="G96" s="492"/>
      <c r="H96" s="254"/>
      <c r="I96" s="500"/>
      <c r="J96" s="181"/>
      <c r="K96" s="500"/>
      <c r="L96" s="181"/>
      <c r="M96" s="253"/>
      <c r="N96" s="254"/>
      <c r="O96" s="500"/>
      <c r="P96" s="181"/>
      <c r="Q96" s="492"/>
      <c r="R96" s="254"/>
      <c r="S96" s="501"/>
      <c r="T96" s="101"/>
      <c r="U96" s="253"/>
      <c r="V96" s="254"/>
      <c r="W96" s="254"/>
      <c r="X96" s="254"/>
      <c r="Y96" s="254"/>
      <c r="Z96" s="254"/>
    </row>
    <row r="97">
      <c r="A97" s="492"/>
      <c r="B97" s="254"/>
      <c r="C97" s="492"/>
      <c r="D97" s="181"/>
      <c r="E97" s="492"/>
      <c r="F97" s="254"/>
      <c r="G97" s="492"/>
      <c r="H97" s="254"/>
      <c r="I97" s="500"/>
      <c r="J97" s="181"/>
      <c r="K97" s="500"/>
      <c r="L97" s="181"/>
      <c r="M97" s="253"/>
      <c r="N97" s="254"/>
      <c r="O97" s="500"/>
      <c r="P97" s="181"/>
      <c r="Q97" s="492"/>
      <c r="R97" s="254"/>
      <c r="S97" s="501"/>
      <c r="T97" s="101"/>
      <c r="U97" s="253"/>
      <c r="V97" s="254"/>
      <c r="W97" s="254"/>
      <c r="X97" s="254"/>
      <c r="Y97" s="254"/>
      <c r="Z97" s="254"/>
    </row>
    <row r="98">
      <c r="A98" s="492"/>
      <c r="B98" s="254"/>
      <c r="C98" s="492"/>
      <c r="D98" s="181"/>
      <c r="E98" s="492"/>
      <c r="F98" s="254"/>
      <c r="G98" s="492"/>
      <c r="H98" s="254"/>
      <c r="I98" s="500"/>
      <c r="J98" s="181"/>
      <c r="K98" s="500"/>
      <c r="L98" s="181"/>
      <c r="M98" s="253"/>
      <c r="N98" s="254"/>
      <c r="O98" s="500"/>
      <c r="P98" s="181"/>
      <c r="Q98" s="492"/>
      <c r="R98" s="254"/>
      <c r="S98" s="501"/>
      <c r="T98" s="101"/>
      <c r="U98" s="253"/>
      <c r="V98" s="254"/>
      <c r="W98" s="254"/>
      <c r="X98" s="254"/>
      <c r="Y98" s="254"/>
      <c r="Z98" s="254"/>
    </row>
    <row r="99">
      <c r="A99" s="492"/>
      <c r="B99" s="254"/>
      <c r="C99" s="492"/>
      <c r="D99" s="181"/>
      <c r="E99" s="492"/>
      <c r="F99" s="254"/>
      <c r="G99" s="492"/>
      <c r="H99" s="254"/>
      <c r="I99" s="500"/>
      <c r="J99" s="181"/>
      <c r="K99" s="500"/>
      <c r="L99" s="181"/>
      <c r="M99" s="253"/>
      <c r="N99" s="254"/>
      <c r="O99" s="500"/>
      <c r="P99" s="181"/>
      <c r="Q99" s="492"/>
      <c r="R99" s="254"/>
      <c r="S99" s="501"/>
      <c r="T99" s="101"/>
      <c r="U99" s="253"/>
      <c r="V99" s="254"/>
      <c r="W99" s="254"/>
      <c r="X99" s="254"/>
      <c r="Y99" s="254"/>
      <c r="Z99" s="254"/>
    </row>
    <row r="100">
      <c r="A100" s="492"/>
      <c r="B100" s="254"/>
      <c r="C100" s="492"/>
      <c r="D100" s="181"/>
      <c r="E100" s="492"/>
      <c r="F100" s="254"/>
      <c r="G100" s="492"/>
      <c r="H100" s="254"/>
      <c r="I100" s="500"/>
      <c r="J100" s="181"/>
      <c r="K100" s="500"/>
      <c r="L100" s="181"/>
      <c r="M100" s="253"/>
      <c r="N100" s="254"/>
      <c r="O100" s="500"/>
      <c r="P100" s="181"/>
      <c r="Q100" s="492"/>
      <c r="R100" s="254"/>
      <c r="S100" s="501"/>
      <c r="T100" s="101"/>
      <c r="U100" s="253"/>
      <c r="V100" s="254"/>
      <c r="W100" s="254"/>
      <c r="X100" s="254"/>
      <c r="Y100" s="254"/>
      <c r="Z100" s="254"/>
    </row>
    <row r="101">
      <c r="A101" s="492"/>
      <c r="B101" s="254"/>
      <c r="C101" s="492"/>
      <c r="D101" s="181"/>
      <c r="E101" s="492"/>
      <c r="F101" s="254"/>
      <c r="G101" s="492"/>
      <c r="H101" s="254"/>
      <c r="I101" s="500"/>
      <c r="J101" s="181"/>
      <c r="K101" s="500"/>
      <c r="L101" s="181"/>
      <c r="M101" s="253"/>
      <c r="N101" s="254"/>
      <c r="O101" s="500"/>
      <c r="P101" s="181"/>
      <c r="Q101" s="492"/>
      <c r="R101" s="254"/>
      <c r="S101" s="501"/>
      <c r="T101" s="101"/>
      <c r="U101" s="253"/>
      <c r="V101" s="254"/>
      <c r="W101" s="254"/>
      <c r="X101" s="254"/>
      <c r="Y101" s="254"/>
      <c r="Z101" s="254"/>
    </row>
    <row r="102">
      <c r="A102" s="492"/>
      <c r="B102" s="254"/>
      <c r="C102" s="492"/>
      <c r="D102" s="181"/>
      <c r="E102" s="492"/>
      <c r="F102" s="254"/>
      <c r="G102" s="492"/>
      <c r="H102" s="254"/>
      <c r="I102" s="500"/>
      <c r="J102" s="181"/>
      <c r="K102" s="500"/>
      <c r="L102" s="181"/>
      <c r="M102" s="253"/>
      <c r="N102" s="254"/>
      <c r="O102" s="500"/>
      <c r="P102" s="181"/>
      <c r="Q102" s="492"/>
      <c r="R102" s="254"/>
      <c r="S102" s="501"/>
      <c r="T102" s="101"/>
      <c r="U102" s="253"/>
      <c r="V102" s="254"/>
      <c r="W102" s="254"/>
      <c r="X102" s="254"/>
      <c r="Y102" s="254"/>
      <c r="Z102" s="254"/>
    </row>
    <row r="103">
      <c r="A103" s="492"/>
      <c r="B103" s="254"/>
      <c r="C103" s="492"/>
      <c r="D103" s="181"/>
      <c r="E103" s="492"/>
      <c r="F103" s="254"/>
      <c r="G103" s="492"/>
      <c r="H103" s="254"/>
      <c r="I103" s="500"/>
      <c r="J103" s="181"/>
      <c r="K103" s="500"/>
      <c r="L103" s="181"/>
      <c r="M103" s="253"/>
      <c r="N103" s="254"/>
      <c r="O103" s="500"/>
      <c r="P103" s="181"/>
      <c r="Q103" s="492"/>
      <c r="R103" s="254"/>
      <c r="S103" s="501"/>
      <c r="T103" s="101"/>
      <c r="U103" s="253"/>
      <c r="V103" s="254"/>
      <c r="W103" s="254"/>
      <c r="X103" s="254"/>
      <c r="Y103" s="254"/>
      <c r="Z103" s="254"/>
    </row>
    <row r="104">
      <c r="A104" s="492"/>
      <c r="B104" s="254"/>
      <c r="C104" s="492"/>
      <c r="D104" s="181"/>
      <c r="E104" s="492"/>
      <c r="F104" s="254"/>
      <c r="G104" s="492"/>
      <c r="H104" s="254"/>
      <c r="I104" s="500"/>
      <c r="J104" s="181"/>
      <c r="K104" s="500"/>
      <c r="L104" s="181"/>
      <c r="M104" s="253"/>
      <c r="N104" s="254"/>
      <c r="O104" s="500"/>
      <c r="P104" s="181"/>
      <c r="Q104" s="492"/>
      <c r="R104" s="254"/>
      <c r="S104" s="501"/>
      <c r="T104" s="101"/>
      <c r="U104" s="253"/>
      <c r="V104" s="254"/>
      <c r="W104" s="254"/>
      <c r="X104" s="254"/>
      <c r="Y104" s="254"/>
      <c r="Z104" s="254"/>
    </row>
    <row r="105">
      <c r="A105" s="492"/>
      <c r="B105" s="254"/>
      <c r="C105" s="492"/>
      <c r="D105" s="181"/>
      <c r="E105" s="492"/>
      <c r="F105" s="254"/>
      <c r="G105" s="492"/>
      <c r="H105" s="254"/>
      <c r="I105" s="500"/>
      <c r="J105" s="181"/>
      <c r="K105" s="500"/>
      <c r="L105" s="181"/>
      <c r="M105" s="253"/>
      <c r="N105" s="254"/>
      <c r="O105" s="500"/>
      <c r="P105" s="181"/>
      <c r="Q105" s="492"/>
      <c r="R105" s="254"/>
      <c r="S105" s="501"/>
      <c r="T105" s="101"/>
      <c r="U105" s="253"/>
      <c r="V105" s="254"/>
      <c r="W105" s="254"/>
      <c r="X105" s="254"/>
      <c r="Y105" s="254"/>
      <c r="Z105" s="254"/>
    </row>
    <row r="106">
      <c r="A106" s="492"/>
      <c r="B106" s="254"/>
      <c r="C106" s="492"/>
      <c r="D106" s="181"/>
      <c r="E106" s="492"/>
      <c r="F106" s="254"/>
      <c r="G106" s="492"/>
      <c r="H106" s="254"/>
      <c r="I106" s="500"/>
      <c r="J106" s="181"/>
      <c r="K106" s="500"/>
      <c r="L106" s="181"/>
      <c r="M106" s="253"/>
      <c r="N106" s="254"/>
      <c r="O106" s="500"/>
      <c r="P106" s="181"/>
      <c r="Q106" s="492"/>
      <c r="R106" s="254"/>
      <c r="S106" s="501"/>
      <c r="T106" s="101"/>
      <c r="U106" s="253"/>
      <c r="V106" s="254"/>
      <c r="W106" s="254"/>
      <c r="X106" s="254"/>
      <c r="Y106" s="254"/>
      <c r="Z106" s="254"/>
    </row>
    <row r="107">
      <c r="A107" s="492"/>
      <c r="B107" s="254"/>
      <c r="C107" s="492"/>
      <c r="D107" s="181"/>
      <c r="E107" s="492"/>
      <c r="F107" s="254"/>
      <c r="G107" s="492"/>
      <c r="H107" s="254"/>
      <c r="I107" s="500"/>
      <c r="J107" s="181"/>
      <c r="K107" s="500"/>
      <c r="L107" s="181"/>
      <c r="M107" s="253"/>
      <c r="N107" s="254"/>
      <c r="O107" s="500"/>
      <c r="P107" s="181"/>
      <c r="Q107" s="492"/>
      <c r="R107" s="254"/>
      <c r="S107" s="501"/>
      <c r="T107" s="101"/>
      <c r="U107" s="253"/>
      <c r="V107" s="254"/>
      <c r="W107" s="254"/>
      <c r="X107" s="254"/>
      <c r="Y107" s="254"/>
      <c r="Z107" s="254"/>
    </row>
    <row r="108">
      <c r="A108" s="492"/>
      <c r="B108" s="254"/>
      <c r="C108" s="492"/>
      <c r="D108" s="181"/>
      <c r="E108" s="492"/>
      <c r="F108" s="254"/>
      <c r="G108" s="492"/>
      <c r="H108" s="254"/>
      <c r="I108" s="500"/>
      <c r="J108" s="181"/>
      <c r="K108" s="500"/>
      <c r="L108" s="181"/>
      <c r="M108" s="253"/>
      <c r="N108" s="254"/>
      <c r="O108" s="500"/>
      <c r="P108" s="181"/>
      <c r="Q108" s="492"/>
      <c r="R108" s="254"/>
      <c r="S108" s="501"/>
      <c r="T108" s="101"/>
      <c r="U108" s="253"/>
      <c r="V108" s="254"/>
      <c r="W108" s="254"/>
      <c r="X108" s="254"/>
      <c r="Y108" s="254"/>
      <c r="Z108" s="254"/>
    </row>
    <row r="109">
      <c r="A109" s="492"/>
      <c r="B109" s="254"/>
      <c r="C109" s="492"/>
      <c r="D109" s="181"/>
      <c r="E109" s="492"/>
      <c r="F109" s="254"/>
      <c r="G109" s="492"/>
      <c r="H109" s="254"/>
      <c r="I109" s="500"/>
      <c r="J109" s="181"/>
      <c r="K109" s="500"/>
      <c r="L109" s="181"/>
      <c r="M109" s="253"/>
      <c r="N109" s="254"/>
      <c r="O109" s="500"/>
      <c r="P109" s="181"/>
      <c r="Q109" s="492"/>
      <c r="R109" s="254"/>
      <c r="S109" s="501"/>
      <c r="T109" s="101"/>
      <c r="U109" s="253"/>
      <c r="V109" s="254"/>
      <c r="W109" s="254"/>
      <c r="X109" s="254"/>
      <c r="Y109" s="254"/>
      <c r="Z109" s="254"/>
    </row>
    <row r="110">
      <c r="A110" s="492"/>
      <c r="B110" s="254"/>
      <c r="C110" s="492"/>
      <c r="D110" s="181"/>
      <c r="E110" s="492"/>
      <c r="F110" s="254"/>
      <c r="G110" s="492"/>
      <c r="H110" s="254"/>
      <c r="I110" s="500"/>
      <c r="J110" s="181"/>
      <c r="K110" s="500"/>
      <c r="L110" s="181"/>
      <c r="M110" s="253"/>
      <c r="N110" s="254"/>
      <c r="O110" s="500"/>
      <c r="P110" s="181"/>
      <c r="Q110" s="492"/>
      <c r="R110" s="254"/>
      <c r="S110" s="501"/>
      <c r="T110" s="101"/>
      <c r="U110" s="253"/>
      <c r="V110" s="254"/>
      <c r="W110" s="254"/>
      <c r="X110" s="254"/>
      <c r="Y110" s="254"/>
      <c r="Z110" s="254"/>
    </row>
    <row r="111">
      <c r="A111" s="492"/>
      <c r="B111" s="254"/>
      <c r="C111" s="492"/>
      <c r="D111" s="181"/>
      <c r="E111" s="492"/>
      <c r="F111" s="254"/>
      <c r="G111" s="492"/>
      <c r="H111" s="254"/>
      <c r="I111" s="500"/>
      <c r="J111" s="181"/>
      <c r="K111" s="500"/>
      <c r="L111" s="181"/>
      <c r="M111" s="253"/>
      <c r="N111" s="254"/>
      <c r="O111" s="500"/>
      <c r="P111" s="181"/>
      <c r="Q111" s="492"/>
      <c r="R111" s="254"/>
      <c r="S111" s="501"/>
      <c r="T111" s="101"/>
      <c r="U111" s="253"/>
      <c r="V111" s="254"/>
      <c r="W111" s="254"/>
      <c r="X111" s="254"/>
      <c r="Y111" s="254"/>
      <c r="Z111" s="254"/>
    </row>
    <row r="112">
      <c r="A112" s="492"/>
      <c r="B112" s="254"/>
      <c r="C112" s="492"/>
      <c r="D112" s="181"/>
      <c r="E112" s="492"/>
      <c r="F112" s="254"/>
      <c r="G112" s="492"/>
      <c r="H112" s="254"/>
      <c r="I112" s="500"/>
      <c r="J112" s="181"/>
      <c r="K112" s="500"/>
      <c r="L112" s="181"/>
      <c r="M112" s="253"/>
      <c r="N112" s="254"/>
      <c r="O112" s="500"/>
      <c r="P112" s="181"/>
      <c r="Q112" s="492"/>
      <c r="R112" s="254"/>
      <c r="S112" s="501"/>
      <c r="T112" s="101"/>
      <c r="U112" s="253"/>
      <c r="V112" s="254"/>
      <c r="W112" s="254"/>
      <c r="X112" s="254"/>
      <c r="Y112" s="254"/>
      <c r="Z112" s="254"/>
    </row>
    <row r="113">
      <c r="A113" s="492"/>
      <c r="B113" s="254"/>
      <c r="C113" s="492"/>
      <c r="D113" s="181"/>
      <c r="E113" s="492"/>
      <c r="F113" s="254"/>
      <c r="G113" s="492"/>
      <c r="H113" s="254"/>
      <c r="I113" s="500"/>
      <c r="J113" s="181"/>
      <c r="K113" s="500"/>
      <c r="L113" s="181"/>
      <c r="M113" s="253"/>
      <c r="N113" s="254"/>
      <c r="O113" s="500"/>
      <c r="P113" s="181"/>
      <c r="Q113" s="492"/>
      <c r="R113" s="254"/>
      <c r="S113" s="501"/>
      <c r="T113" s="101"/>
      <c r="U113" s="253"/>
      <c r="V113" s="254"/>
      <c r="W113" s="254"/>
      <c r="X113" s="254"/>
      <c r="Y113" s="254"/>
      <c r="Z113" s="254"/>
    </row>
    <row r="114">
      <c r="A114" s="492"/>
      <c r="B114" s="254"/>
      <c r="C114" s="492"/>
      <c r="D114" s="181"/>
      <c r="E114" s="492"/>
      <c r="F114" s="254"/>
      <c r="G114" s="492"/>
      <c r="H114" s="254"/>
      <c r="I114" s="500"/>
      <c r="J114" s="181"/>
      <c r="K114" s="500"/>
      <c r="L114" s="181"/>
      <c r="M114" s="253"/>
      <c r="N114" s="254"/>
      <c r="O114" s="500"/>
      <c r="P114" s="181"/>
      <c r="Q114" s="492"/>
      <c r="R114" s="254"/>
      <c r="S114" s="501"/>
      <c r="T114" s="101"/>
      <c r="U114" s="253"/>
      <c r="V114" s="254"/>
      <c r="W114" s="254"/>
      <c r="X114" s="254"/>
      <c r="Y114" s="254"/>
      <c r="Z114" s="254"/>
    </row>
    <row r="115">
      <c r="A115" s="492"/>
      <c r="B115" s="254"/>
      <c r="C115" s="492"/>
      <c r="D115" s="181"/>
      <c r="E115" s="492"/>
      <c r="F115" s="254"/>
      <c r="G115" s="492"/>
      <c r="H115" s="254"/>
      <c r="I115" s="500"/>
      <c r="J115" s="181"/>
      <c r="K115" s="500"/>
      <c r="L115" s="181"/>
      <c r="M115" s="253"/>
      <c r="N115" s="254"/>
      <c r="O115" s="500"/>
      <c r="P115" s="181"/>
      <c r="Q115" s="492"/>
      <c r="R115" s="254"/>
      <c r="S115" s="501"/>
      <c r="T115" s="101"/>
      <c r="U115" s="253"/>
      <c r="V115" s="254"/>
      <c r="W115" s="254"/>
      <c r="X115" s="254"/>
      <c r="Y115" s="254"/>
      <c r="Z115" s="254"/>
    </row>
    <row r="116">
      <c r="A116" s="492"/>
      <c r="B116" s="254"/>
      <c r="C116" s="492"/>
      <c r="D116" s="181"/>
      <c r="E116" s="492"/>
      <c r="F116" s="254"/>
      <c r="G116" s="492"/>
      <c r="H116" s="254"/>
      <c r="I116" s="500"/>
      <c r="J116" s="181"/>
      <c r="K116" s="500"/>
      <c r="L116" s="181"/>
      <c r="M116" s="253"/>
      <c r="N116" s="254"/>
      <c r="O116" s="500"/>
      <c r="P116" s="181"/>
      <c r="Q116" s="492"/>
      <c r="R116" s="254"/>
      <c r="S116" s="501"/>
      <c r="T116" s="101"/>
      <c r="U116" s="253"/>
      <c r="V116" s="254"/>
      <c r="W116" s="254"/>
      <c r="X116" s="254"/>
      <c r="Y116" s="254"/>
      <c r="Z116" s="254"/>
    </row>
    <row r="117">
      <c r="A117" s="492"/>
      <c r="B117" s="254"/>
      <c r="C117" s="492"/>
      <c r="D117" s="181"/>
      <c r="E117" s="492"/>
      <c r="F117" s="254"/>
      <c r="G117" s="492"/>
      <c r="H117" s="254"/>
      <c r="I117" s="500"/>
      <c r="J117" s="181"/>
      <c r="K117" s="500"/>
      <c r="L117" s="181"/>
      <c r="M117" s="253"/>
      <c r="N117" s="254"/>
      <c r="O117" s="500"/>
      <c r="P117" s="181"/>
      <c r="Q117" s="492"/>
      <c r="R117" s="254"/>
      <c r="S117" s="501"/>
      <c r="T117" s="101"/>
      <c r="U117" s="253"/>
      <c r="V117" s="254"/>
      <c r="W117" s="254"/>
      <c r="X117" s="254"/>
      <c r="Y117" s="254"/>
      <c r="Z117" s="254"/>
    </row>
    <row r="118">
      <c r="A118" s="492"/>
      <c r="B118" s="254"/>
      <c r="C118" s="492"/>
      <c r="D118" s="181"/>
      <c r="E118" s="492"/>
      <c r="F118" s="254"/>
      <c r="G118" s="492"/>
      <c r="H118" s="254"/>
      <c r="I118" s="500"/>
      <c r="J118" s="181"/>
      <c r="K118" s="500"/>
      <c r="L118" s="181"/>
      <c r="M118" s="253"/>
      <c r="N118" s="254"/>
      <c r="O118" s="500"/>
      <c r="P118" s="181"/>
      <c r="Q118" s="492"/>
      <c r="R118" s="254"/>
      <c r="S118" s="501"/>
      <c r="T118" s="101"/>
      <c r="U118" s="253"/>
      <c r="V118" s="254"/>
      <c r="W118" s="254"/>
      <c r="X118" s="254"/>
      <c r="Y118" s="254"/>
      <c r="Z118" s="254"/>
    </row>
    <row r="119">
      <c r="A119" s="492"/>
      <c r="B119" s="254"/>
      <c r="C119" s="492"/>
      <c r="D119" s="181"/>
      <c r="E119" s="492"/>
      <c r="F119" s="254"/>
      <c r="G119" s="492"/>
      <c r="H119" s="254"/>
      <c r="I119" s="500"/>
      <c r="J119" s="181"/>
      <c r="K119" s="500"/>
      <c r="L119" s="181"/>
      <c r="M119" s="253"/>
      <c r="N119" s="254"/>
      <c r="O119" s="500"/>
      <c r="P119" s="181"/>
      <c r="Q119" s="492"/>
      <c r="R119" s="254"/>
      <c r="S119" s="501"/>
      <c r="T119" s="101"/>
      <c r="U119" s="253"/>
      <c r="V119" s="254"/>
      <c r="W119" s="254"/>
      <c r="X119" s="254"/>
      <c r="Y119" s="254"/>
      <c r="Z119" s="254"/>
    </row>
    <row r="120">
      <c r="A120" s="492"/>
      <c r="B120" s="254"/>
      <c r="C120" s="492"/>
      <c r="D120" s="181"/>
      <c r="E120" s="492"/>
      <c r="F120" s="254"/>
      <c r="G120" s="492"/>
      <c r="H120" s="254"/>
      <c r="I120" s="500"/>
      <c r="J120" s="181"/>
      <c r="K120" s="500"/>
      <c r="L120" s="181"/>
      <c r="M120" s="253"/>
      <c r="N120" s="254"/>
      <c r="O120" s="500"/>
      <c r="P120" s="181"/>
      <c r="Q120" s="492"/>
      <c r="R120" s="254"/>
      <c r="S120" s="501"/>
      <c r="T120" s="101"/>
      <c r="U120" s="253"/>
      <c r="V120" s="254"/>
      <c r="W120" s="254"/>
      <c r="X120" s="254"/>
      <c r="Y120" s="254"/>
      <c r="Z120" s="254"/>
    </row>
    <row r="121">
      <c r="A121" s="492"/>
      <c r="B121" s="254"/>
      <c r="C121" s="492"/>
      <c r="D121" s="181"/>
      <c r="E121" s="492"/>
      <c r="F121" s="254"/>
      <c r="G121" s="492"/>
      <c r="H121" s="254"/>
      <c r="I121" s="500"/>
      <c r="J121" s="181"/>
      <c r="K121" s="500"/>
      <c r="L121" s="181"/>
      <c r="M121" s="253"/>
      <c r="N121" s="254"/>
      <c r="O121" s="500"/>
      <c r="P121" s="181"/>
      <c r="Q121" s="492"/>
      <c r="R121" s="254"/>
      <c r="S121" s="501"/>
      <c r="T121" s="101"/>
      <c r="U121" s="253"/>
      <c r="V121" s="254"/>
      <c r="W121" s="254"/>
      <c r="X121" s="254"/>
      <c r="Y121" s="254"/>
      <c r="Z121" s="254"/>
    </row>
    <row r="122">
      <c r="A122" s="492"/>
      <c r="B122" s="254"/>
      <c r="C122" s="492"/>
      <c r="D122" s="181"/>
      <c r="E122" s="492"/>
      <c r="F122" s="254"/>
      <c r="G122" s="492"/>
      <c r="H122" s="254"/>
      <c r="I122" s="500"/>
      <c r="J122" s="181"/>
      <c r="K122" s="500"/>
      <c r="L122" s="181"/>
      <c r="M122" s="253"/>
      <c r="N122" s="254"/>
      <c r="O122" s="500"/>
      <c r="P122" s="181"/>
      <c r="Q122" s="492"/>
      <c r="R122" s="254"/>
      <c r="S122" s="501"/>
      <c r="T122" s="101"/>
      <c r="U122" s="253"/>
      <c r="V122" s="254"/>
      <c r="W122" s="254"/>
      <c r="X122" s="254"/>
      <c r="Y122" s="254"/>
      <c r="Z122" s="254"/>
    </row>
    <row r="123">
      <c r="A123" s="492"/>
      <c r="B123" s="254"/>
      <c r="C123" s="492"/>
      <c r="D123" s="181"/>
      <c r="E123" s="492"/>
      <c r="F123" s="254"/>
      <c r="G123" s="492"/>
      <c r="H123" s="254"/>
      <c r="I123" s="500"/>
      <c r="J123" s="181"/>
      <c r="K123" s="500"/>
      <c r="L123" s="181"/>
      <c r="M123" s="253"/>
      <c r="N123" s="254"/>
      <c r="O123" s="500"/>
      <c r="P123" s="181"/>
      <c r="Q123" s="492"/>
      <c r="R123" s="254"/>
      <c r="S123" s="501"/>
      <c r="T123" s="101"/>
      <c r="U123" s="253"/>
      <c r="V123" s="254"/>
      <c r="W123" s="254"/>
      <c r="X123" s="254"/>
      <c r="Y123" s="254"/>
      <c r="Z123" s="254"/>
    </row>
    <row r="124">
      <c r="A124" s="492"/>
      <c r="B124" s="254"/>
      <c r="C124" s="492"/>
      <c r="D124" s="181"/>
      <c r="E124" s="492"/>
      <c r="F124" s="254"/>
      <c r="G124" s="492"/>
      <c r="H124" s="254"/>
      <c r="I124" s="500"/>
      <c r="J124" s="181"/>
      <c r="K124" s="500"/>
      <c r="L124" s="181"/>
      <c r="M124" s="253"/>
      <c r="N124" s="254"/>
      <c r="O124" s="500"/>
      <c r="P124" s="181"/>
      <c r="Q124" s="492"/>
      <c r="R124" s="254"/>
      <c r="S124" s="501"/>
      <c r="T124" s="101"/>
      <c r="U124" s="253"/>
      <c r="V124" s="254"/>
      <c r="W124" s="254"/>
      <c r="X124" s="254"/>
      <c r="Y124" s="254"/>
      <c r="Z124" s="254"/>
    </row>
    <row r="125">
      <c r="A125" s="492"/>
      <c r="B125" s="254"/>
      <c r="C125" s="492"/>
      <c r="D125" s="181"/>
      <c r="E125" s="492"/>
      <c r="F125" s="254"/>
      <c r="G125" s="492"/>
      <c r="H125" s="254"/>
      <c r="I125" s="500"/>
      <c r="J125" s="181"/>
      <c r="K125" s="500"/>
      <c r="L125" s="181"/>
      <c r="M125" s="253"/>
      <c r="N125" s="254"/>
      <c r="O125" s="500"/>
      <c r="P125" s="181"/>
      <c r="Q125" s="492"/>
      <c r="R125" s="254"/>
      <c r="S125" s="501"/>
      <c r="T125" s="101"/>
      <c r="U125" s="253"/>
      <c r="V125" s="254"/>
      <c r="W125" s="254"/>
      <c r="X125" s="254"/>
      <c r="Y125" s="254"/>
      <c r="Z125" s="254"/>
    </row>
    <row r="126">
      <c r="A126" s="492"/>
      <c r="B126" s="254"/>
      <c r="C126" s="492"/>
      <c r="D126" s="181"/>
      <c r="E126" s="492"/>
      <c r="F126" s="254"/>
      <c r="G126" s="492"/>
      <c r="H126" s="254"/>
      <c r="I126" s="500"/>
      <c r="J126" s="181"/>
      <c r="K126" s="500"/>
      <c r="L126" s="181"/>
      <c r="M126" s="253"/>
      <c r="N126" s="254"/>
      <c r="O126" s="500"/>
      <c r="P126" s="181"/>
      <c r="Q126" s="492"/>
      <c r="R126" s="254"/>
      <c r="S126" s="501"/>
      <c r="T126" s="101"/>
      <c r="U126" s="253"/>
      <c r="V126" s="254"/>
      <c r="W126" s="254"/>
      <c r="X126" s="254"/>
      <c r="Y126" s="254"/>
      <c r="Z126" s="254"/>
    </row>
    <row r="127">
      <c r="A127" s="492"/>
      <c r="B127" s="254"/>
      <c r="C127" s="492"/>
      <c r="D127" s="181"/>
      <c r="E127" s="492"/>
      <c r="F127" s="254"/>
      <c r="G127" s="492"/>
      <c r="H127" s="254"/>
      <c r="I127" s="500"/>
      <c r="J127" s="181"/>
      <c r="K127" s="500"/>
      <c r="L127" s="181"/>
      <c r="M127" s="253"/>
      <c r="N127" s="254"/>
      <c r="O127" s="500"/>
      <c r="P127" s="181"/>
      <c r="Q127" s="492"/>
      <c r="R127" s="254"/>
      <c r="S127" s="501"/>
      <c r="T127" s="101"/>
      <c r="U127" s="253"/>
      <c r="V127" s="254"/>
      <c r="W127" s="254"/>
      <c r="X127" s="254"/>
      <c r="Y127" s="254"/>
      <c r="Z127" s="254"/>
    </row>
    <row r="128">
      <c r="A128" s="492"/>
      <c r="B128" s="254"/>
      <c r="C128" s="492"/>
      <c r="D128" s="181"/>
      <c r="E128" s="492"/>
      <c r="F128" s="254"/>
      <c r="G128" s="492"/>
      <c r="H128" s="254"/>
      <c r="I128" s="500"/>
      <c r="J128" s="181"/>
      <c r="K128" s="500"/>
      <c r="L128" s="181"/>
      <c r="M128" s="253"/>
      <c r="N128" s="254"/>
      <c r="O128" s="500"/>
      <c r="P128" s="181"/>
      <c r="Q128" s="492"/>
      <c r="R128" s="254"/>
      <c r="S128" s="501"/>
      <c r="T128" s="101"/>
      <c r="U128" s="253"/>
      <c r="V128" s="254"/>
      <c r="W128" s="254"/>
      <c r="X128" s="254"/>
      <c r="Y128" s="254"/>
      <c r="Z128" s="254"/>
    </row>
    <row r="129">
      <c r="A129" s="492"/>
      <c r="B129" s="254"/>
      <c r="C129" s="492"/>
      <c r="D129" s="181"/>
      <c r="E129" s="492"/>
      <c r="F129" s="254"/>
      <c r="G129" s="492"/>
      <c r="H129" s="254"/>
      <c r="I129" s="500"/>
      <c r="J129" s="181"/>
      <c r="K129" s="500"/>
      <c r="L129" s="181"/>
      <c r="M129" s="253"/>
      <c r="N129" s="254"/>
      <c r="O129" s="500"/>
      <c r="P129" s="181"/>
      <c r="Q129" s="492"/>
      <c r="R129" s="254"/>
      <c r="S129" s="501"/>
      <c r="T129" s="101"/>
      <c r="U129" s="253"/>
      <c r="V129" s="254"/>
      <c r="W129" s="254"/>
      <c r="X129" s="254"/>
      <c r="Y129" s="254"/>
      <c r="Z129" s="254"/>
    </row>
    <row r="130">
      <c r="A130" s="492"/>
      <c r="B130" s="254"/>
      <c r="C130" s="492"/>
      <c r="D130" s="181"/>
      <c r="E130" s="492"/>
      <c r="F130" s="254"/>
      <c r="G130" s="492"/>
      <c r="H130" s="254"/>
      <c r="I130" s="500"/>
      <c r="J130" s="181"/>
      <c r="K130" s="500"/>
      <c r="L130" s="181"/>
      <c r="M130" s="253"/>
      <c r="N130" s="254"/>
      <c r="O130" s="500"/>
      <c r="P130" s="181"/>
      <c r="Q130" s="492"/>
      <c r="R130" s="254"/>
      <c r="S130" s="501"/>
      <c r="T130" s="101"/>
      <c r="U130" s="253"/>
      <c r="V130" s="254"/>
      <c r="W130" s="254"/>
      <c r="X130" s="254"/>
      <c r="Y130" s="254"/>
      <c r="Z130" s="254"/>
    </row>
    <row r="131">
      <c r="A131" s="492"/>
      <c r="B131" s="254"/>
      <c r="C131" s="492"/>
      <c r="D131" s="181"/>
      <c r="E131" s="492"/>
      <c r="F131" s="254"/>
      <c r="G131" s="492"/>
      <c r="H131" s="254"/>
      <c r="I131" s="500"/>
      <c r="J131" s="181"/>
      <c r="K131" s="500"/>
      <c r="L131" s="181"/>
      <c r="M131" s="253"/>
      <c r="N131" s="254"/>
      <c r="O131" s="500"/>
      <c r="P131" s="181"/>
      <c r="Q131" s="492"/>
      <c r="R131" s="254"/>
      <c r="S131" s="501"/>
      <c r="T131" s="101"/>
      <c r="U131" s="253"/>
      <c r="V131" s="254"/>
      <c r="W131" s="254"/>
      <c r="X131" s="254"/>
      <c r="Y131" s="254"/>
      <c r="Z131" s="254"/>
    </row>
    <row r="132">
      <c r="A132" s="492"/>
      <c r="B132" s="254"/>
      <c r="C132" s="492"/>
      <c r="D132" s="181"/>
      <c r="E132" s="492"/>
      <c r="F132" s="254"/>
      <c r="G132" s="492"/>
      <c r="H132" s="254"/>
      <c r="I132" s="500"/>
      <c r="J132" s="181"/>
      <c r="K132" s="500"/>
      <c r="L132" s="181"/>
      <c r="M132" s="253"/>
      <c r="N132" s="254"/>
      <c r="O132" s="500"/>
      <c r="P132" s="181"/>
      <c r="Q132" s="492"/>
      <c r="R132" s="254"/>
      <c r="S132" s="501"/>
      <c r="T132" s="101"/>
      <c r="U132" s="253"/>
      <c r="V132" s="254"/>
      <c r="W132" s="254"/>
      <c r="X132" s="254"/>
      <c r="Y132" s="254"/>
      <c r="Z132" s="254"/>
    </row>
    <row r="133">
      <c r="A133" s="492"/>
      <c r="B133" s="254"/>
      <c r="C133" s="492"/>
      <c r="D133" s="181"/>
      <c r="E133" s="492"/>
      <c r="F133" s="254"/>
      <c r="G133" s="492"/>
      <c r="H133" s="254"/>
      <c r="I133" s="500"/>
      <c r="J133" s="181"/>
      <c r="K133" s="500"/>
      <c r="L133" s="181"/>
      <c r="M133" s="253"/>
      <c r="N133" s="254"/>
      <c r="O133" s="500"/>
      <c r="P133" s="181"/>
      <c r="Q133" s="492"/>
      <c r="R133" s="254"/>
      <c r="S133" s="501"/>
      <c r="T133" s="101"/>
      <c r="U133" s="253"/>
      <c r="V133" s="254"/>
      <c r="W133" s="254"/>
      <c r="X133" s="254"/>
      <c r="Y133" s="254"/>
      <c r="Z133" s="254"/>
    </row>
    <row r="134">
      <c r="A134" s="492"/>
      <c r="B134" s="254"/>
      <c r="C134" s="492"/>
      <c r="D134" s="181"/>
      <c r="E134" s="492"/>
      <c r="F134" s="254"/>
      <c r="G134" s="492"/>
      <c r="H134" s="254"/>
      <c r="I134" s="500"/>
      <c r="J134" s="181"/>
      <c r="K134" s="500"/>
      <c r="L134" s="181"/>
      <c r="M134" s="253"/>
      <c r="N134" s="254"/>
      <c r="O134" s="500"/>
      <c r="P134" s="181"/>
      <c r="Q134" s="492"/>
      <c r="R134" s="254"/>
      <c r="S134" s="501"/>
      <c r="T134" s="101"/>
      <c r="U134" s="253"/>
      <c r="V134" s="254"/>
      <c r="W134" s="254"/>
      <c r="X134" s="254"/>
      <c r="Y134" s="254"/>
      <c r="Z134" s="254"/>
    </row>
    <row r="135">
      <c r="A135" s="492"/>
      <c r="B135" s="254"/>
      <c r="C135" s="492"/>
      <c r="D135" s="181"/>
      <c r="E135" s="492"/>
      <c r="F135" s="254"/>
      <c r="G135" s="492"/>
      <c r="H135" s="254"/>
      <c r="I135" s="500"/>
      <c r="J135" s="181"/>
      <c r="K135" s="500"/>
      <c r="L135" s="181"/>
      <c r="M135" s="253"/>
      <c r="N135" s="254"/>
      <c r="O135" s="500"/>
      <c r="P135" s="181"/>
      <c r="Q135" s="492"/>
      <c r="R135" s="254"/>
      <c r="S135" s="501"/>
      <c r="T135" s="101"/>
      <c r="U135" s="253"/>
      <c r="V135" s="254"/>
      <c r="W135" s="254"/>
      <c r="X135" s="254"/>
      <c r="Y135" s="254"/>
      <c r="Z135" s="254"/>
    </row>
    <row r="136">
      <c r="A136" s="492"/>
      <c r="B136" s="254"/>
      <c r="C136" s="492"/>
      <c r="D136" s="181"/>
      <c r="E136" s="492"/>
      <c r="F136" s="254"/>
      <c r="G136" s="492"/>
      <c r="H136" s="254"/>
      <c r="I136" s="500"/>
      <c r="J136" s="181"/>
      <c r="K136" s="500"/>
      <c r="L136" s="181"/>
      <c r="M136" s="253"/>
      <c r="N136" s="254"/>
      <c r="O136" s="500"/>
      <c r="P136" s="181"/>
      <c r="Q136" s="492"/>
      <c r="R136" s="254"/>
      <c r="S136" s="501"/>
      <c r="T136" s="101"/>
      <c r="U136" s="253"/>
      <c r="V136" s="254"/>
      <c r="W136" s="254"/>
      <c r="X136" s="254"/>
      <c r="Y136" s="254"/>
      <c r="Z136" s="254"/>
    </row>
    <row r="137">
      <c r="A137" s="492"/>
      <c r="B137" s="254"/>
      <c r="C137" s="492"/>
      <c r="D137" s="181"/>
      <c r="E137" s="492"/>
      <c r="F137" s="254"/>
      <c r="G137" s="492"/>
      <c r="H137" s="254"/>
      <c r="I137" s="500"/>
      <c r="J137" s="181"/>
      <c r="K137" s="500"/>
      <c r="L137" s="181"/>
      <c r="M137" s="253"/>
      <c r="N137" s="254"/>
      <c r="O137" s="500"/>
      <c r="P137" s="181"/>
      <c r="Q137" s="492"/>
      <c r="R137" s="254"/>
      <c r="S137" s="501"/>
      <c r="T137" s="101"/>
      <c r="U137" s="253"/>
      <c r="V137" s="254"/>
      <c r="W137" s="254"/>
      <c r="X137" s="254"/>
      <c r="Y137" s="254"/>
      <c r="Z137" s="254"/>
    </row>
    <row r="138">
      <c r="A138" s="492"/>
      <c r="B138" s="254"/>
      <c r="C138" s="492"/>
      <c r="D138" s="181"/>
      <c r="E138" s="492"/>
      <c r="F138" s="254"/>
      <c r="G138" s="492"/>
      <c r="H138" s="254"/>
      <c r="I138" s="500"/>
      <c r="J138" s="181"/>
      <c r="K138" s="500"/>
      <c r="L138" s="181"/>
      <c r="M138" s="253"/>
      <c r="N138" s="254"/>
      <c r="O138" s="500"/>
      <c r="P138" s="181"/>
      <c r="Q138" s="492"/>
      <c r="R138" s="254"/>
      <c r="S138" s="501"/>
      <c r="T138" s="101"/>
      <c r="U138" s="253"/>
      <c r="V138" s="254"/>
      <c r="W138" s="254"/>
      <c r="X138" s="254"/>
      <c r="Y138" s="254"/>
      <c r="Z138" s="254"/>
    </row>
    <row r="139">
      <c r="A139" s="492"/>
      <c r="B139" s="254"/>
      <c r="C139" s="492"/>
      <c r="D139" s="181"/>
      <c r="E139" s="492"/>
      <c r="F139" s="254"/>
      <c r="G139" s="492"/>
      <c r="H139" s="254"/>
      <c r="I139" s="500"/>
      <c r="J139" s="181"/>
      <c r="K139" s="500"/>
      <c r="L139" s="181"/>
      <c r="M139" s="253"/>
      <c r="N139" s="254"/>
      <c r="O139" s="500"/>
      <c r="P139" s="181"/>
      <c r="Q139" s="492"/>
      <c r="R139" s="254"/>
      <c r="S139" s="501"/>
      <c r="T139" s="101"/>
      <c r="U139" s="253"/>
      <c r="V139" s="254"/>
      <c r="W139" s="254"/>
      <c r="X139" s="254"/>
      <c r="Y139" s="254"/>
      <c r="Z139" s="254"/>
    </row>
    <row r="140">
      <c r="A140" s="492"/>
      <c r="B140" s="254"/>
      <c r="C140" s="492"/>
      <c r="D140" s="181"/>
      <c r="E140" s="492"/>
      <c r="F140" s="254"/>
      <c r="G140" s="492"/>
      <c r="H140" s="254"/>
      <c r="I140" s="500"/>
      <c r="J140" s="181"/>
      <c r="K140" s="500"/>
      <c r="L140" s="181"/>
      <c r="M140" s="253"/>
      <c r="N140" s="254"/>
      <c r="O140" s="500"/>
      <c r="P140" s="181"/>
      <c r="Q140" s="492"/>
      <c r="R140" s="254"/>
      <c r="S140" s="501"/>
      <c r="T140" s="101"/>
      <c r="U140" s="253"/>
      <c r="V140" s="254"/>
      <c r="W140" s="254"/>
      <c r="X140" s="254"/>
      <c r="Y140" s="254"/>
      <c r="Z140" s="254"/>
    </row>
    <row r="141">
      <c r="A141" s="492"/>
      <c r="B141" s="254"/>
      <c r="C141" s="492"/>
      <c r="D141" s="181"/>
      <c r="E141" s="492"/>
      <c r="F141" s="254"/>
      <c r="G141" s="492"/>
      <c r="H141" s="254"/>
      <c r="I141" s="500"/>
      <c r="J141" s="181"/>
      <c r="K141" s="500"/>
      <c r="L141" s="181"/>
      <c r="M141" s="253"/>
      <c r="N141" s="254"/>
      <c r="O141" s="500"/>
      <c r="P141" s="181"/>
      <c r="Q141" s="492"/>
      <c r="R141" s="254"/>
      <c r="S141" s="501"/>
      <c r="T141" s="101"/>
      <c r="U141" s="253"/>
      <c r="V141" s="254"/>
      <c r="W141" s="254"/>
      <c r="X141" s="254"/>
      <c r="Y141" s="254"/>
      <c r="Z141" s="254"/>
    </row>
    <row r="142">
      <c r="A142" s="492"/>
      <c r="B142" s="254"/>
      <c r="C142" s="492"/>
      <c r="D142" s="181"/>
      <c r="E142" s="492"/>
      <c r="F142" s="254"/>
      <c r="G142" s="492"/>
      <c r="H142" s="254"/>
      <c r="I142" s="500"/>
      <c r="J142" s="181"/>
      <c r="K142" s="500"/>
      <c r="L142" s="181"/>
      <c r="M142" s="253"/>
      <c r="N142" s="254"/>
      <c r="O142" s="500"/>
      <c r="P142" s="181"/>
      <c r="Q142" s="492"/>
      <c r="R142" s="254"/>
      <c r="S142" s="501"/>
      <c r="T142" s="101"/>
      <c r="U142" s="253"/>
      <c r="V142" s="254"/>
      <c r="W142" s="254"/>
      <c r="X142" s="254"/>
      <c r="Y142" s="254"/>
      <c r="Z142" s="254"/>
    </row>
    <row r="143">
      <c r="A143" s="492"/>
      <c r="B143" s="254"/>
      <c r="C143" s="492"/>
      <c r="D143" s="181"/>
      <c r="E143" s="492"/>
      <c r="F143" s="254"/>
      <c r="G143" s="492"/>
      <c r="H143" s="254"/>
      <c r="I143" s="500"/>
      <c r="J143" s="181"/>
      <c r="K143" s="500"/>
      <c r="L143" s="181"/>
      <c r="M143" s="253"/>
      <c r="N143" s="254"/>
      <c r="O143" s="500"/>
      <c r="P143" s="181"/>
      <c r="Q143" s="492"/>
      <c r="R143" s="254"/>
      <c r="S143" s="501"/>
      <c r="T143" s="101"/>
      <c r="U143" s="253"/>
      <c r="V143" s="254"/>
      <c r="W143" s="254"/>
      <c r="X143" s="254"/>
      <c r="Y143" s="254"/>
      <c r="Z143" s="254"/>
    </row>
    <row r="144">
      <c r="A144" s="492"/>
      <c r="B144" s="254"/>
      <c r="C144" s="492"/>
      <c r="D144" s="181"/>
      <c r="E144" s="492"/>
      <c r="F144" s="254"/>
      <c r="G144" s="492"/>
      <c r="H144" s="254"/>
      <c r="I144" s="500"/>
      <c r="J144" s="181"/>
      <c r="K144" s="500"/>
      <c r="L144" s="181"/>
      <c r="M144" s="253"/>
      <c r="N144" s="254"/>
      <c r="O144" s="500"/>
      <c r="P144" s="181"/>
      <c r="Q144" s="492"/>
      <c r="R144" s="254"/>
      <c r="S144" s="501"/>
      <c r="T144" s="101"/>
      <c r="U144" s="253"/>
      <c r="V144" s="254"/>
      <c r="W144" s="254"/>
      <c r="X144" s="254"/>
      <c r="Y144" s="254"/>
      <c r="Z144" s="254"/>
    </row>
    <row r="145">
      <c r="A145" s="492"/>
      <c r="B145" s="254"/>
      <c r="C145" s="492"/>
      <c r="D145" s="181"/>
      <c r="E145" s="492"/>
      <c r="F145" s="254"/>
      <c r="G145" s="492"/>
      <c r="H145" s="254"/>
      <c r="I145" s="500"/>
      <c r="J145" s="181"/>
      <c r="K145" s="500"/>
      <c r="L145" s="181"/>
      <c r="M145" s="253"/>
      <c r="N145" s="254"/>
      <c r="O145" s="500"/>
      <c r="P145" s="181"/>
      <c r="Q145" s="492"/>
      <c r="R145" s="254"/>
      <c r="S145" s="501"/>
      <c r="T145" s="101"/>
      <c r="U145" s="253"/>
      <c r="V145" s="254"/>
      <c r="W145" s="254"/>
      <c r="X145" s="254"/>
      <c r="Y145" s="254"/>
      <c r="Z145" s="254"/>
    </row>
    <row r="146">
      <c r="A146" s="492"/>
      <c r="B146" s="254"/>
      <c r="C146" s="492"/>
      <c r="D146" s="181"/>
      <c r="E146" s="492"/>
      <c r="F146" s="254"/>
      <c r="G146" s="492"/>
      <c r="H146" s="254"/>
      <c r="I146" s="500"/>
      <c r="J146" s="181"/>
      <c r="K146" s="500"/>
      <c r="L146" s="181"/>
      <c r="M146" s="253"/>
      <c r="N146" s="254"/>
      <c r="O146" s="500"/>
      <c r="P146" s="181"/>
      <c r="Q146" s="492"/>
      <c r="R146" s="254"/>
      <c r="S146" s="501"/>
      <c r="T146" s="101"/>
      <c r="U146" s="253"/>
      <c r="V146" s="254"/>
      <c r="W146" s="254"/>
      <c r="X146" s="254"/>
      <c r="Y146" s="254"/>
      <c r="Z146" s="254"/>
    </row>
    <row r="147">
      <c r="A147" s="492"/>
      <c r="B147" s="254"/>
      <c r="C147" s="492"/>
      <c r="D147" s="181"/>
      <c r="E147" s="492"/>
      <c r="F147" s="254"/>
      <c r="G147" s="492"/>
      <c r="H147" s="254"/>
      <c r="I147" s="500"/>
      <c r="J147" s="181"/>
      <c r="K147" s="500"/>
      <c r="L147" s="181"/>
      <c r="M147" s="253"/>
      <c r="N147" s="254"/>
      <c r="O147" s="500"/>
      <c r="P147" s="181"/>
      <c r="Q147" s="492"/>
      <c r="R147" s="254"/>
      <c r="S147" s="501"/>
      <c r="T147" s="101"/>
      <c r="U147" s="253"/>
      <c r="V147" s="254"/>
      <c r="W147" s="254"/>
      <c r="X147" s="254"/>
      <c r="Y147" s="254"/>
      <c r="Z147" s="254"/>
    </row>
    <row r="148">
      <c r="A148" s="492"/>
      <c r="B148" s="254"/>
      <c r="C148" s="492"/>
      <c r="D148" s="181"/>
      <c r="E148" s="492"/>
      <c r="F148" s="254"/>
      <c r="G148" s="492"/>
      <c r="H148" s="254"/>
      <c r="I148" s="500"/>
      <c r="J148" s="181"/>
      <c r="K148" s="500"/>
      <c r="L148" s="181"/>
      <c r="M148" s="253"/>
      <c r="N148" s="254"/>
      <c r="O148" s="500"/>
      <c r="P148" s="181"/>
      <c r="Q148" s="492"/>
      <c r="R148" s="254"/>
      <c r="S148" s="501"/>
      <c r="T148" s="101"/>
      <c r="U148" s="253"/>
      <c r="V148" s="254"/>
      <c r="W148" s="254"/>
      <c r="X148" s="254"/>
      <c r="Y148" s="254"/>
      <c r="Z148" s="254"/>
    </row>
    <row r="149">
      <c r="A149" s="492"/>
      <c r="B149" s="254"/>
      <c r="C149" s="492"/>
      <c r="D149" s="181"/>
      <c r="E149" s="492"/>
      <c r="F149" s="254"/>
      <c r="G149" s="492"/>
      <c r="H149" s="254"/>
      <c r="I149" s="500"/>
      <c r="J149" s="181"/>
      <c r="K149" s="500"/>
      <c r="L149" s="181"/>
      <c r="M149" s="253"/>
      <c r="N149" s="254"/>
      <c r="O149" s="500"/>
      <c r="P149" s="181"/>
      <c r="Q149" s="492"/>
      <c r="R149" s="254"/>
      <c r="S149" s="501"/>
      <c r="T149" s="101"/>
      <c r="U149" s="253"/>
      <c r="V149" s="254"/>
      <c r="W149" s="254"/>
      <c r="X149" s="254"/>
      <c r="Y149" s="254"/>
      <c r="Z149" s="254"/>
    </row>
    <row r="150">
      <c r="A150" s="492"/>
      <c r="B150" s="254"/>
      <c r="C150" s="492"/>
      <c r="D150" s="181"/>
      <c r="E150" s="492"/>
      <c r="F150" s="254"/>
      <c r="G150" s="492"/>
      <c r="H150" s="254"/>
      <c r="I150" s="500"/>
      <c r="J150" s="181"/>
      <c r="K150" s="500"/>
      <c r="L150" s="181"/>
      <c r="M150" s="253"/>
      <c r="N150" s="254"/>
      <c r="O150" s="500"/>
      <c r="P150" s="181"/>
      <c r="Q150" s="492"/>
      <c r="R150" s="254"/>
      <c r="S150" s="501"/>
      <c r="T150" s="101"/>
      <c r="U150" s="253"/>
      <c r="V150" s="254"/>
      <c r="W150" s="254"/>
      <c r="X150" s="254"/>
      <c r="Y150" s="254"/>
      <c r="Z150" s="254"/>
    </row>
    <row r="151">
      <c r="A151" s="492"/>
      <c r="B151" s="254"/>
      <c r="C151" s="492"/>
      <c r="D151" s="181"/>
      <c r="E151" s="492"/>
      <c r="F151" s="254"/>
      <c r="G151" s="492"/>
      <c r="H151" s="254"/>
      <c r="I151" s="500"/>
      <c r="J151" s="181"/>
      <c r="K151" s="500"/>
      <c r="L151" s="181"/>
      <c r="M151" s="253"/>
      <c r="N151" s="254"/>
      <c r="O151" s="500"/>
      <c r="P151" s="181"/>
      <c r="Q151" s="492"/>
      <c r="R151" s="254"/>
      <c r="S151" s="501"/>
      <c r="T151" s="101"/>
      <c r="U151" s="253"/>
      <c r="V151" s="254"/>
      <c r="W151" s="254"/>
      <c r="X151" s="254"/>
      <c r="Y151" s="254"/>
      <c r="Z151" s="254"/>
    </row>
    <row r="152">
      <c r="A152" s="492"/>
      <c r="B152" s="254"/>
      <c r="C152" s="492"/>
      <c r="D152" s="181"/>
      <c r="E152" s="492"/>
      <c r="F152" s="254"/>
      <c r="G152" s="492"/>
      <c r="H152" s="254"/>
      <c r="I152" s="500"/>
      <c r="J152" s="181"/>
      <c r="K152" s="500"/>
      <c r="L152" s="181"/>
      <c r="M152" s="253"/>
      <c r="N152" s="254"/>
      <c r="O152" s="500"/>
      <c r="P152" s="181"/>
      <c r="Q152" s="492"/>
      <c r="R152" s="254"/>
      <c r="S152" s="501"/>
      <c r="T152" s="101"/>
      <c r="U152" s="253"/>
      <c r="V152" s="254"/>
      <c r="W152" s="254"/>
      <c r="X152" s="254"/>
      <c r="Y152" s="254"/>
      <c r="Z152" s="254"/>
    </row>
    <row r="153">
      <c r="A153" s="492"/>
      <c r="B153" s="254"/>
      <c r="C153" s="492"/>
      <c r="D153" s="181"/>
      <c r="E153" s="492"/>
      <c r="F153" s="254"/>
      <c r="G153" s="492"/>
      <c r="H153" s="254"/>
      <c r="I153" s="500"/>
      <c r="J153" s="181"/>
      <c r="K153" s="500"/>
      <c r="L153" s="181"/>
      <c r="M153" s="253"/>
      <c r="N153" s="254"/>
      <c r="O153" s="500"/>
      <c r="P153" s="181"/>
      <c r="Q153" s="492"/>
      <c r="R153" s="254"/>
      <c r="S153" s="501"/>
      <c r="T153" s="101"/>
      <c r="U153" s="253"/>
      <c r="V153" s="254"/>
      <c r="W153" s="254"/>
      <c r="X153" s="254"/>
      <c r="Y153" s="254"/>
      <c r="Z153" s="254"/>
    </row>
    <row r="154">
      <c r="A154" s="492"/>
      <c r="B154" s="254"/>
      <c r="C154" s="492"/>
      <c r="D154" s="181"/>
      <c r="E154" s="492"/>
      <c r="F154" s="254"/>
      <c r="G154" s="492"/>
      <c r="H154" s="254"/>
      <c r="I154" s="500"/>
      <c r="J154" s="181"/>
      <c r="K154" s="500"/>
      <c r="L154" s="181"/>
      <c r="M154" s="253"/>
      <c r="N154" s="254"/>
      <c r="O154" s="500"/>
      <c r="P154" s="181"/>
      <c r="Q154" s="492"/>
      <c r="R154" s="254"/>
      <c r="S154" s="501"/>
      <c r="T154" s="101"/>
      <c r="U154" s="253"/>
      <c r="V154" s="254"/>
      <c r="W154" s="254"/>
      <c r="X154" s="254"/>
      <c r="Y154" s="254"/>
      <c r="Z154" s="254"/>
    </row>
    <row r="155">
      <c r="A155" s="492"/>
      <c r="B155" s="254"/>
      <c r="C155" s="492"/>
      <c r="D155" s="181"/>
      <c r="E155" s="492"/>
      <c r="F155" s="254"/>
      <c r="G155" s="492"/>
      <c r="H155" s="254"/>
      <c r="I155" s="500"/>
      <c r="J155" s="181"/>
      <c r="K155" s="500"/>
      <c r="L155" s="181"/>
      <c r="M155" s="253"/>
      <c r="N155" s="254"/>
      <c r="O155" s="500"/>
      <c r="P155" s="181"/>
      <c r="Q155" s="492"/>
      <c r="R155" s="254"/>
      <c r="S155" s="501"/>
      <c r="T155" s="101"/>
      <c r="U155" s="253"/>
      <c r="V155" s="254"/>
      <c r="W155" s="254"/>
      <c r="X155" s="254"/>
      <c r="Y155" s="254"/>
      <c r="Z155" s="254"/>
    </row>
    <row r="156">
      <c r="A156" s="492"/>
      <c r="B156" s="254"/>
      <c r="C156" s="492"/>
      <c r="D156" s="181"/>
      <c r="E156" s="492"/>
      <c r="F156" s="254"/>
      <c r="G156" s="492"/>
      <c r="H156" s="254"/>
      <c r="I156" s="500"/>
      <c r="J156" s="181"/>
      <c r="K156" s="500"/>
      <c r="L156" s="181"/>
      <c r="M156" s="253"/>
      <c r="N156" s="254"/>
      <c r="O156" s="500"/>
      <c r="P156" s="181"/>
      <c r="Q156" s="492"/>
      <c r="R156" s="254"/>
      <c r="S156" s="501"/>
      <c r="T156" s="101"/>
      <c r="U156" s="253"/>
      <c r="V156" s="254"/>
      <c r="W156" s="254"/>
      <c r="X156" s="254"/>
      <c r="Y156" s="254"/>
      <c r="Z156" s="254"/>
    </row>
    <row r="157">
      <c r="A157" s="492"/>
      <c r="B157" s="254"/>
      <c r="C157" s="492"/>
      <c r="D157" s="181"/>
      <c r="E157" s="492"/>
      <c r="F157" s="254"/>
      <c r="G157" s="492"/>
      <c r="H157" s="254"/>
      <c r="I157" s="500"/>
      <c r="J157" s="181"/>
      <c r="K157" s="500"/>
      <c r="L157" s="181"/>
      <c r="M157" s="253"/>
      <c r="N157" s="254"/>
      <c r="O157" s="500"/>
      <c r="P157" s="181"/>
      <c r="Q157" s="492"/>
      <c r="R157" s="254"/>
      <c r="S157" s="501"/>
      <c r="T157" s="101"/>
      <c r="U157" s="253"/>
      <c r="V157" s="254"/>
      <c r="W157" s="254"/>
      <c r="X157" s="254"/>
      <c r="Y157" s="254"/>
      <c r="Z157" s="254"/>
    </row>
    <row r="158">
      <c r="A158" s="492"/>
      <c r="B158" s="254"/>
      <c r="C158" s="492"/>
      <c r="D158" s="181"/>
      <c r="E158" s="492"/>
      <c r="F158" s="254"/>
      <c r="G158" s="492"/>
      <c r="H158" s="254"/>
      <c r="I158" s="500"/>
      <c r="J158" s="181"/>
      <c r="K158" s="500"/>
      <c r="L158" s="181"/>
      <c r="M158" s="253"/>
      <c r="N158" s="254"/>
      <c r="O158" s="500"/>
      <c r="P158" s="181"/>
      <c r="Q158" s="492"/>
      <c r="R158" s="254"/>
      <c r="S158" s="501"/>
      <c r="T158" s="101"/>
      <c r="U158" s="253"/>
      <c r="V158" s="254"/>
      <c r="W158" s="254"/>
      <c r="X158" s="254"/>
      <c r="Y158" s="254"/>
      <c r="Z158" s="254"/>
    </row>
    <row r="159">
      <c r="A159" s="492"/>
      <c r="B159" s="254"/>
      <c r="C159" s="492"/>
      <c r="D159" s="181"/>
      <c r="E159" s="492"/>
      <c r="F159" s="254"/>
      <c r="G159" s="492"/>
      <c r="H159" s="254"/>
      <c r="I159" s="500"/>
      <c r="J159" s="181"/>
      <c r="K159" s="500"/>
      <c r="L159" s="181"/>
      <c r="M159" s="253"/>
      <c r="N159" s="254"/>
      <c r="O159" s="500"/>
      <c r="P159" s="181"/>
      <c r="Q159" s="492"/>
      <c r="R159" s="254"/>
      <c r="S159" s="501"/>
      <c r="T159" s="101"/>
      <c r="U159" s="253"/>
      <c r="V159" s="254"/>
      <c r="W159" s="254"/>
      <c r="X159" s="254"/>
      <c r="Y159" s="254"/>
      <c r="Z159" s="254"/>
    </row>
    <row r="160">
      <c r="A160" s="492"/>
      <c r="B160" s="254"/>
      <c r="C160" s="492"/>
      <c r="D160" s="181"/>
      <c r="E160" s="492"/>
      <c r="F160" s="254"/>
      <c r="G160" s="492"/>
      <c r="H160" s="254"/>
      <c r="I160" s="500"/>
      <c r="J160" s="181"/>
      <c r="K160" s="500"/>
      <c r="L160" s="181"/>
      <c r="M160" s="253"/>
      <c r="N160" s="254"/>
      <c r="O160" s="500"/>
      <c r="P160" s="181"/>
      <c r="Q160" s="492"/>
      <c r="R160" s="254"/>
      <c r="S160" s="501"/>
      <c r="T160" s="101"/>
      <c r="U160" s="253"/>
      <c r="V160" s="254"/>
      <c r="W160" s="254"/>
      <c r="X160" s="254"/>
      <c r="Y160" s="254"/>
      <c r="Z160" s="254"/>
    </row>
    <row r="161">
      <c r="A161" s="492"/>
      <c r="B161" s="254"/>
      <c r="C161" s="492"/>
      <c r="D161" s="181"/>
      <c r="E161" s="492"/>
      <c r="F161" s="254"/>
      <c r="G161" s="492"/>
      <c r="H161" s="254"/>
      <c r="I161" s="500"/>
      <c r="J161" s="181"/>
      <c r="K161" s="500"/>
      <c r="L161" s="181"/>
      <c r="M161" s="253"/>
      <c r="N161" s="254"/>
      <c r="O161" s="500"/>
      <c r="P161" s="181"/>
      <c r="Q161" s="492"/>
      <c r="R161" s="254"/>
      <c r="S161" s="501"/>
      <c r="T161" s="101"/>
      <c r="U161" s="253"/>
      <c r="V161" s="254"/>
      <c r="W161" s="254"/>
      <c r="X161" s="254"/>
      <c r="Y161" s="254"/>
      <c r="Z161" s="254"/>
    </row>
    <row r="162">
      <c r="A162" s="492"/>
      <c r="B162" s="254"/>
      <c r="C162" s="492"/>
      <c r="D162" s="181"/>
      <c r="E162" s="492"/>
      <c r="F162" s="254"/>
      <c r="G162" s="492"/>
      <c r="H162" s="254"/>
      <c r="I162" s="500"/>
      <c r="J162" s="181"/>
      <c r="K162" s="500"/>
      <c r="L162" s="181"/>
      <c r="M162" s="253"/>
      <c r="N162" s="254"/>
      <c r="O162" s="500"/>
      <c r="P162" s="181"/>
      <c r="Q162" s="492"/>
      <c r="R162" s="254"/>
      <c r="S162" s="501"/>
      <c r="T162" s="101"/>
      <c r="U162" s="253"/>
      <c r="V162" s="254"/>
      <c r="W162" s="254"/>
      <c r="X162" s="254"/>
      <c r="Y162" s="254"/>
      <c r="Z162" s="254"/>
    </row>
    <row r="163">
      <c r="A163" s="492"/>
      <c r="B163" s="254"/>
      <c r="C163" s="492"/>
      <c r="D163" s="181"/>
      <c r="E163" s="492"/>
      <c r="F163" s="254"/>
      <c r="G163" s="492"/>
      <c r="H163" s="254"/>
      <c r="I163" s="500"/>
      <c r="J163" s="181"/>
      <c r="K163" s="500"/>
      <c r="L163" s="181"/>
      <c r="M163" s="253"/>
      <c r="N163" s="254"/>
      <c r="O163" s="500"/>
      <c r="P163" s="181"/>
      <c r="Q163" s="492"/>
      <c r="R163" s="254"/>
      <c r="S163" s="501"/>
      <c r="T163" s="101"/>
      <c r="U163" s="253"/>
      <c r="V163" s="254"/>
      <c r="W163" s="254"/>
      <c r="X163" s="254"/>
      <c r="Y163" s="254"/>
      <c r="Z163" s="254"/>
    </row>
    <row r="164">
      <c r="A164" s="492"/>
      <c r="B164" s="254"/>
      <c r="C164" s="492"/>
      <c r="D164" s="181"/>
      <c r="E164" s="492"/>
      <c r="F164" s="254"/>
      <c r="G164" s="492"/>
      <c r="H164" s="254"/>
      <c r="I164" s="500"/>
      <c r="J164" s="181"/>
      <c r="K164" s="500"/>
      <c r="L164" s="181"/>
      <c r="M164" s="253"/>
      <c r="N164" s="254"/>
      <c r="O164" s="500"/>
      <c r="P164" s="181"/>
      <c r="Q164" s="492"/>
      <c r="R164" s="254"/>
      <c r="S164" s="501"/>
      <c r="T164" s="101"/>
      <c r="U164" s="253"/>
      <c r="V164" s="254"/>
      <c r="W164" s="254"/>
      <c r="X164" s="254"/>
      <c r="Y164" s="254"/>
      <c r="Z164" s="254"/>
    </row>
    <row r="165">
      <c r="A165" s="492"/>
      <c r="B165" s="254"/>
      <c r="C165" s="492"/>
      <c r="D165" s="181"/>
      <c r="E165" s="492"/>
      <c r="F165" s="254"/>
      <c r="G165" s="492"/>
      <c r="H165" s="254"/>
      <c r="I165" s="500"/>
      <c r="J165" s="181"/>
      <c r="K165" s="500"/>
      <c r="L165" s="181"/>
      <c r="M165" s="253"/>
      <c r="N165" s="254"/>
      <c r="O165" s="500"/>
      <c r="P165" s="181"/>
      <c r="Q165" s="492"/>
      <c r="R165" s="254"/>
      <c r="S165" s="501"/>
      <c r="T165" s="101"/>
      <c r="U165" s="253"/>
      <c r="V165" s="254"/>
      <c r="W165" s="254"/>
      <c r="X165" s="254"/>
      <c r="Y165" s="254"/>
      <c r="Z165" s="254"/>
    </row>
    <row r="166">
      <c r="A166" s="492"/>
      <c r="B166" s="254"/>
      <c r="C166" s="492"/>
      <c r="D166" s="181"/>
      <c r="E166" s="492"/>
      <c r="F166" s="254"/>
      <c r="G166" s="492"/>
      <c r="H166" s="254"/>
      <c r="I166" s="500"/>
      <c r="J166" s="181"/>
      <c r="K166" s="500"/>
      <c r="L166" s="181"/>
      <c r="M166" s="253"/>
      <c r="N166" s="254"/>
      <c r="O166" s="500"/>
      <c r="P166" s="181"/>
      <c r="Q166" s="492"/>
      <c r="R166" s="254"/>
      <c r="S166" s="501"/>
      <c r="T166" s="101"/>
      <c r="U166" s="253"/>
      <c r="V166" s="254"/>
      <c r="W166" s="254"/>
      <c r="X166" s="254"/>
      <c r="Y166" s="254"/>
      <c r="Z166" s="254"/>
    </row>
    <row r="167">
      <c r="A167" s="492"/>
      <c r="B167" s="254"/>
      <c r="C167" s="492"/>
      <c r="D167" s="181"/>
      <c r="E167" s="492"/>
      <c r="F167" s="254"/>
      <c r="G167" s="492"/>
      <c r="H167" s="254"/>
      <c r="I167" s="500"/>
      <c r="J167" s="181"/>
      <c r="K167" s="500"/>
      <c r="L167" s="181"/>
      <c r="M167" s="253"/>
      <c r="N167" s="254"/>
      <c r="O167" s="500"/>
      <c r="P167" s="181"/>
      <c r="Q167" s="492"/>
      <c r="R167" s="254"/>
      <c r="S167" s="501"/>
      <c r="T167" s="101"/>
      <c r="U167" s="253"/>
      <c r="V167" s="254"/>
      <c r="W167" s="254"/>
      <c r="X167" s="254"/>
      <c r="Y167" s="254"/>
      <c r="Z167" s="254"/>
    </row>
    <row r="168">
      <c r="A168" s="492"/>
      <c r="B168" s="254"/>
      <c r="C168" s="492"/>
      <c r="D168" s="181"/>
      <c r="E168" s="492"/>
      <c r="F168" s="254"/>
      <c r="G168" s="492"/>
      <c r="H168" s="254"/>
      <c r="I168" s="500"/>
      <c r="J168" s="181"/>
      <c r="K168" s="500"/>
      <c r="L168" s="181"/>
      <c r="M168" s="253"/>
      <c r="N168" s="254"/>
      <c r="O168" s="500"/>
      <c r="P168" s="181"/>
      <c r="Q168" s="492"/>
      <c r="R168" s="254"/>
      <c r="S168" s="501"/>
      <c r="T168" s="101"/>
      <c r="U168" s="253"/>
      <c r="V168" s="254"/>
      <c r="W168" s="254"/>
      <c r="X168" s="254"/>
      <c r="Y168" s="254"/>
      <c r="Z168" s="254"/>
    </row>
    <row r="169">
      <c r="A169" s="492"/>
      <c r="B169" s="254"/>
      <c r="C169" s="492"/>
      <c r="D169" s="181"/>
      <c r="E169" s="492"/>
      <c r="F169" s="254"/>
      <c r="G169" s="492"/>
      <c r="H169" s="254"/>
      <c r="I169" s="500"/>
      <c r="J169" s="181"/>
      <c r="K169" s="500"/>
      <c r="L169" s="181"/>
      <c r="M169" s="253"/>
      <c r="N169" s="254"/>
      <c r="O169" s="500"/>
      <c r="P169" s="181"/>
      <c r="Q169" s="492"/>
      <c r="R169" s="254"/>
      <c r="S169" s="501"/>
      <c r="T169" s="101"/>
      <c r="U169" s="253"/>
      <c r="V169" s="254"/>
      <c r="W169" s="254"/>
      <c r="X169" s="254"/>
      <c r="Y169" s="254"/>
      <c r="Z169" s="254"/>
    </row>
    <row r="170">
      <c r="A170" s="492"/>
      <c r="B170" s="254"/>
      <c r="C170" s="492"/>
      <c r="D170" s="181"/>
      <c r="E170" s="492"/>
      <c r="F170" s="254"/>
      <c r="G170" s="492"/>
      <c r="H170" s="254"/>
      <c r="I170" s="500"/>
      <c r="J170" s="181"/>
      <c r="K170" s="500"/>
      <c r="L170" s="181"/>
      <c r="M170" s="253"/>
      <c r="N170" s="254"/>
      <c r="O170" s="500"/>
      <c r="P170" s="181"/>
      <c r="Q170" s="492"/>
      <c r="R170" s="254"/>
      <c r="S170" s="501"/>
      <c r="T170" s="101"/>
      <c r="U170" s="253"/>
      <c r="V170" s="254"/>
      <c r="W170" s="254"/>
      <c r="X170" s="254"/>
      <c r="Y170" s="254"/>
      <c r="Z170" s="254"/>
    </row>
    <row r="171">
      <c r="A171" s="492"/>
      <c r="B171" s="254"/>
      <c r="C171" s="492"/>
      <c r="D171" s="181"/>
      <c r="E171" s="492"/>
      <c r="F171" s="254"/>
      <c r="G171" s="492"/>
      <c r="H171" s="254"/>
      <c r="I171" s="500"/>
      <c r="J171" s="181"/>
      <c r="K171" s="500"/>
      <c r="L171" s="181"/>
      <c r="M171" s="253"/>
      <c r="N171" s="254"/>
      <c r="O171" s="500"/>
      <c r="P171" s="181"/>
      <c r="Q171" s="492"/>
      <c r="R171" s="254"/>
      <c r="S171" s="501"/>
      <c r="T171" s="101"/>
      <c r="U171" s="253"/>
      <c r="V171" s="254"/>
      <c r="W171" s="254"/>
      <c r="X171" s="254"/>
      <c r="Y171" s="254"/>
      <c r="Z171" s="254"/>
    </row>
    <row r="172">
      <c r="A172" s="492"/>
      <c r="B172" s="254"/>
      <c r="C172" s="492"/>
      <c r="D172" s="181"/>
      <c r="E172" s="492"/>
      <c r="F172" s="254"/>
      <c r="G172" s="492"/>
      <c r="H172" s="254"/>
      <c r="I172" s="500"/>
      <c r="J172" s="181"/>
      <c r="K172" s="500"/>
      <c r="L172" s="181"/>
      <c r="M172" s="253"/>
      <c r="N172" s="254"/>
      <c r="O172" s="500"/>
      <c r="P172" s="181"/>
      <c r="Q172" s="492"/>
      <c r="R172" s="254"/>
      <c r="S172" s="501"/>
      <c r="T172" s="101"/>
      <c r="U172" s="253"/>
      <c r="V172" s="254"/>
      <c r="W172" s="254"/>
      <c r="X172" s="254"/>
      <c r="Y172" s="254"/>
      <c r="Z172" s="254"/>
    </row>
    <row r="173">
      <c r="A173" s="492"/>
      <c r="B173" s="254"/>
      <c r="C173" s="492"/>
      <c r="D173" s="181"/>
      <c r="E173" s="492"/>
      <c r="F173" s="254"/>
      <c r="G173" s="492"/>
      <c r="H173" s="254"/>
      <c r="I173" s="500"/>
      <c r="J173" s="181"/>
      <c r="K173" s="500"/>
      <c r="L173" s="181"/>
      <c r="M173" s="253"/>
      <c r="N173" s="254"/>
      <c r="O173" s="500"/>
      <c r="P173" s="181"/>
      <c r="Q173" s="492"/>
      <c r="R173" s="254"/>
      <c r="S173" s="501"/>
      <c r="T173" s="101"/>
      <c r="U173" s="253"/>
      <c r="V173" s="254"/>
      <c r="W173" s="254"/>
      <c r="X173" s="254"/>
      <c r="Y173" s="254"/>
      <c r="Z173" s="254"/>
    </row>
    <row r="174">
      <c r="A174" s="492"/>
      <c r="B174" s="254"/>
      <c r="C174" s="492"/>
      <c r="D174" s="181"/>
      <c r="E174" s="492"/>
      <c r="F174" s="254"/>
      <c r="G174" s="492"/>
      <c r="H174" s="254"/>
      <c r="I174" s="500"/>
      <c r="J174" s="181"/>
      <c r="K174" s="500"/>
      <c r="L174" s="181"/>
      <c r="M174" s="253"/>
      <c r="N174" s="254"/>
      <c r="O174" s="500"/>
      <c r="P174" s="181"/>
      <c r="Q174" s="492"/>
      <c r="R174" s="254"/>
      <c r="S174" s="501"/>
      <c r="T174" s="101"/>
      <c r="U174" s="253"/>
      <c r="V174" s="254"/>
      <c r="W174" s="254"/>
      <c r="X174" s="254"/>
      <c r="Y174" s="254"/>
      <c r="Z174" s="254"/>
    </row>
    <row r="175">
      <c r="A175" s="492"/>
      <c r="B175" s="254"/>
      <c r="C175" s="492"/>
      <c r="D175" s="181"/>
      <c r="E175" s="492"/>
      <c r="F175" s="254"/>
      <c r="G175" s="492"/>
      <c r="H175" s="254"/>
      <c r="I175" s="500"/>
      <c r="J175" s="181"/>
      <c r="K175" s="500"/>
      <c r="L175" s="181"/>
      <c r="M175" s="253"/>
      <c r="N175" s="254"/>
      <c r="O175" s="500"/>
      <c r="P175" s="181"/>
      <c r="Q175" s="492"/>
      <c r="R175" s="254"/>
      <c r="S175" s="501"/>
      <c r="T175" s="101"/>
      <c r="U175" s="253"/>
      <c r="V175" s="254"/>
      <c r="W175" s="254"/>
      <c r="X175" s="254"/>
      <c r="Y175" s="254"/>
      <c r="Z175" s="254"/>
    </row>
    <row r="176">
      <c r="A176" s="492"/>
      <c r="B176" s="254"/>
      <c r="C176" s="492"/>
      <c r="D176" s="181"/>
      <c r="E176" s="492"/>
      <c r="F176" s="254"/>
      <c r="G176" s="492"/>
      <c r="H176" s="254"/>
      <c r="I176" s="500"/>
      <c r="J176" s="181"/>
      <c r="K176" s="500"/>
      <c r="L176" s="181"/>
      <c r="M176" s="253"/>
      <c r="N176" s="254"/>
      <c r="O176" s="500"/>
      <c r="P176" s="181"/>
      <c r="Q176" s="492"/>
      <c r="R176" s="254"/>
      <c r="S176" s="501"/>
      <c r="T176" s="101"/>
      <c r="U176" s="253"/>
      <c r="V176" s="254"/>
      <c r="W176" s="254"/>
      <c r="X176" s="254"/>
      <c r="Y176" s="254"/>
      <c r="Z176" s="254"/>
    </row>
    <row r="177">
      <c r="A177" s="492"/>
      <c r="B177" s="254"/>
      <c r="C177" s="492"/>
      <c r="D177" s="181"/>
      <c r="E177" s="492"/>
      <c r="F177" s="254"/>
      <c r="G177" s="492"/>
      <c r="H177" s="254"/>
      <c r="I177" s="500"/>
      <c r="J177" s="181"/>
      <c r="K177" s="500"/>
      <c r="L177" s="181"/>
      <c r="M177" s="253"/>
      <c r="N177" s="254"/>
      <c r="O177" s="500"/>
      <c r="P177" s="181"/>
      <c r="Q177" s="492"/>
      <c r="R177" s="254"/>
      <c r="S177" s="501"/>
      <c r="T177" s="101"/>
      <c r="U177" s="253"/>
      <c r="V177" s="254"/>
      <c r="W177" s="254"/>
      <c r="X177" s="254"/>
      <c r="Y177" s="254"/>
      <c r="Z177" s="254"/>
    </row>
    <row r="178">
      <c r="A178" s="492"/>
      <c r="B178" s="254"/>
      <c r="C178" s="492"/>
      <c r="D178" s="181"/>
      <c r="E178" s="492"/>
      <c r="F178" s="254"/>
      <c r="G178" s="492"/>
      <c r="H178" s="254"/>
      <c r="I178" s="500"/>
      <c r="J178" s="181"/>
      <c r="K178" s="500"/>
      <c r="L178" s="181"/>
      <c r="M178" s="253"/>
      <c r="N178" s="254"/>
      <c r="O178" s="500"/>
      <c r="P178" s="181"/>
      <c r="Q178" s="492"/>
      <c r="R178" s="254"/>
      <c r="S178" s="501"/>
      <c r="T178" s="101"/>
      <c r="U178" s="253"/>
      <c r="V178" s="254"/>
      <c r="W178" s="254"/>
      <c r="X178" s="254"/>
      <c r="Y178" s="254"/>
      <c r="Z178" s="254"/>
    </row>
    <row r="179">
      <c r="A179" s="492"/>
      <c r="B179" s="254"/>
      <c r="C179" s="492"/>
      <c r="D179" s="181"/>
      <c r="E179" s="492"/>
      <c r="F179" s="254"/>
      <c r="G179" s="492"/>
      <c r="H179" s="254"/>
      <c r="I179" s="500"/>
      <c r="J179" s="181"/>
      <c r="K179" s="500"/>
      <c r="L179" s="181"/>
      <c r="M179" s="253"/>
      <c r="N179" s="254"/>
      <c r="O179" s="500"/>
      <c r="P179" s="181"/>
      <c r="Q179" s="492"/>
      <c r="R179" s="254"/>
      <c r="S179" s="501"/>
      <c r="T179" s="101"/>
      <c r="U179" s="253"/>
      <c r="V179" s="254"/>
      <c r="W179" s="254"/>
      <c r="X179" s="254"/>
      <c r="Y179" s="254"/>
      <c r="Z179" s="254"/>
    </row>
    <row r="180">
      <c r="A180" s="492"/>
      <c r="B180" s="254"/>
      <c r="C180" s="492"/>
      <c r="D180" s="181"/>
      <c r="E180" s="492"/>
      <c r="F180" s="254"/>
      <c r="G180" s="492"/>
      <c r="H180" s="254"/>
      <c r="I180" s="500"/>
      <c r="J180" s="181"/>
      <c r="K180" s="500"/>
      <c r="L180" s="181"/>
      <c r="M180" s="253"/>
      <c r="N180" s="254"/>
      <c r="O180" s="500"/>
      <c r="P180" s="181"/>
      <c r="Q180" s="492"/>
      <c r="R180" s="254"/>
      <c r="S180" s="501"/>
      <c r="T180" s="101"/>
      <c r="U180" s="253"/>
      <c r="V180" s="254"/>
      <c r="W180" s="254"/>
      <c r="X180" s="254"/>
      <c r="Y180" s="254"/>
      <c r="Z180" s="254"/>
    </row>
    <row r="181">
      <c r="A181" s="492"/>
      <c r="B181" s="254"/>
      <c r="C181" s="492"/>
      <c r="D181" s="181"/>
      <c r="E181" s="492"/>
      <c r="F181" s="254"/>
      <c r="G181" s="492"/>
      <c r="H181" s="254"/>
      <c r="I181" s="500"/>
      <c r="J181" s="181"/>
      <c r="K181" s="500"/>
      <c r="L181" s="181"/>
      <c r="M181" s="253"/>
      <c r="N181" s="254"/>
      <c r="O181" s="500"/>
      <c r="P181" s="181"/>
      <c r="Q181" s="492"/>
      <c r="R181" s="254"/>
      <c r="S181" s="501"/>
      <c r="T181" s="101"/>
      <c r="U181" s="253"/>
      <c r="V181" s="254"/>
      <c r="W181" s="254"/>
      <c r="X181" s="254"/>
      <c r="Y181" s="254"/>
      <c r="Z181" s="254"/>
    </row>
    <row r="182">
      <c r="A182" s="492"/>
      <c r="B182" s="254"/>
      <c r="C182" s="492"/>
      <c r="D182" s="181"/>
      <c r="E182" s="492"/>
      <c r="F182" s="254"/>
      <c r="G182" s="492"/>
      <c r="H182" s="254"/>
      <c r="I182" s="500"/>
      <c r="J182" s="181"/>
      <c r="K182" s="500"/>
      <c r="L182" s="181"/>
      <c r="M182" s="253"/>
      <c r="N182" s="254"/>
      <c r="O182" s="500"/>
      <c r="P182" s="181"/>
      <c r="Q182" s="492"/>
      <c r="R182" s="254"/>
      <c r="S182" s="501"/>
      <c r="T182" s="101"/>
      <c r="U182" s="253"/>
      <c r="V182" s="254"/>
      <c r="W182" s="254"/>
      <c r="X182" s="254"/>
      <c r="Y182" s="254"/>
      <c r="Z182" s="254"/>
    </row>
    <row r="183">
      <c r="A183" s="492"/>
      <c r="B183" s="254"/>
      <c r="C183" s="492"/>
      <c r="D183" s="181"/>
      <c r="E183" s="492"/>
      <c r="F183" s="254"/>
      <c r="G183" s="492"/>
      <c r="H183" s="254"/>
      <c r="I183" s="500"/>
      <c r="J183" s="181"/>
      <c r="K183" s="500"/>
      <c r="L183" s="181"/>
      <c r="M183" s="253"/>
      <c r="N183" s="254"/>
      <c r="O183" s="500"/>
      <c r="P183" s="181"/>
      <c r="Q183" s="492"/>
      <c r="R183" s="254"/>
      <c r="S183" s="501"/>
      <c r="T183" s="101"/>
      <c r="U183" s="253"/>
      <c r="V183" s="254"/>
      <c r="W183" s="254"/>
      <c r="X183" s="254"/>
      <c r="Y183" s="254"/>
      <c r="Z183" s="254"/>
    </row>
    <row r="184">
      <c r="A184" s="492"/>
      <c r="B184" s="254"/>
      <c r="C184" s="492"/>
      <c r="D184" s="181"/>
      <c r="E184" s="492"/>
      <c r="F184" s="254"/>
      <c r="G184" s="492"/>
      <c r="H184" s="254"/>
      <c r="I184" s="500"/>
      <c r="J184" s="181"/>
      <c r="K184" s="500"/>
      <c r="L184" s="181"/>
      <c r="M184" s="253"/>
      <c r="N184" s="254"/>
      <c r="O184" s="500"/>
      <c r="P184" s="181"/>
      <c r="Q184" s="492"/>
      <c r="R184" s="254"/>
      <c r="S184" s="501"/>
      <c r="T184" s="101"/>
      <c r="U184" s="253"/>
      <c r="V184" s="254"/>
      <c r="W184" s="254"/>
      <c r="X184" s="254"/>
      <c r="Y184" s="254"/>
      <c r="Z184" s="254"/>
    </row>
    <row r="185">
      <c r="A185" s="492"/>
      <c r="B185" s="254"/>
      <c r="C185" s="492"/>
      <c r="D185" s="181"/>
      <c r="E185" s="492"/>
      <c r="F185" s="254"/>
      <c r="G185" s="492"/>
      <c r="H185" s="254"/>
      <c r="I185" s="500"/>
      <c r="J185" s="181"/>
      <c r="K185" s="500"/>
      <c r="L185" s="181"/>
      <c r="M185" s="253"/>
      <c r="N185" s="254"/>
      <c r="O185" s="500"/>
      <c r="P185" s="181"/>
      <c r="Q185" s="492"/>
      <c r="R185" s="254"/>
      <c r="S185" s="501"/>
      <c r="T185" s="101"/>
      <c r="U185" s="253"/>
      <c r="V185" s="254"/>
      <c r="W185" s="254"/>
      <c r="X185" s="254"/>
      <c r="Y185" s="254"/>
      <c r="Z185" s="254"/>
    </row>
    <row r="186">
      <c r="A186" s="492"/>
      <c r="B186" s="254"/>
      <c r="C186" s="492"/>
      <c r="D186" s="181"/>
      <c r="E186" s="492"/>
      <c r="F186" s="254"/>
      <c r="G186" s="492"/>
      <c r="H186" s="254"/>
      <c r="I186" s="500"/>
      <c r="J186" s="181"/>
      <c r="K186" s="500"/>
      <c r="L186" s="181"/>
      <c r="M186" s="253"/>
      <c r="N186" s="254"/>
      <c r="O186" s="500"/>
      <c r="P186" s="181"/>
      <c r="Q186" s="492"/>
      <c r="R186" s="254"/>
      <c r="S186" s="501"/>
      <c r="T186" s="101"/>
      <c r="U186" s="253"/>
      <c r="V186" s="254"/>
      <c r="W186" s="254"/>
      <c r="X186" s="254"/>
      <c r="Y186" s="254"/>
      <c r="Z186" s="254"/>
    </row>
    <row r="187">
      <c r="A187" s="492"/>
      <c r="B187" s="254"/>
      <c r="C187" s="492"/>
      <c r="D187" s="181"/>
      <c r="E187" s="492"/>
      <c r="F187" s="254"/>
      <c r="G187" s="492"/>
      <c r="H187" s="254"/>
      <c r="I187" s="500"/>
      <c r="J187" s="181"/>
      <c r="K187" s="500"/>
      <c r="L187" s="181"/>
      <c r="M187" s="253"/>
      <c r="N187" s="254"/>
      <c r="O187" s="500"/>
      <c r="P187" s="181"/>
      <c r="Q187" s="492"/>
      <c r="R187" s="254"/>
      <c r="S187" s="501"/>
      <c r="T187" s="101"/>
      <c r="U187" s="253"/>
      <c r="V187" s="254"/>
      <c r="W187" s="254"/>
      <c r="X187" s="254"/>
      <c r="Y187" s="254"/>
      <c r="Z187" s="254"/>
    </row>
    <row r="188">
      <c r="A188" s="492"/>
      <c r="B188" s="254"/>
      <c r="C188" s="492"/>
      <c r="D188" s="181"/>
      <c r="E188" s="492"/>
      <c r="F188" s="254"/>
      <c r="G188" s="492"/>
      <c r="H188" s="254"/>
      <c r="I188" s="500"/>
      <c r="J188" s="181"/>
      <c r="K188" s="500"/>
      <c r="L188" s="181"/>
      <c r="M188" s="253"/>
      <c r="N188" s="254"/>
      <c r="O188" s="500"/>
      <c r="P188" s="181"/>
      <c r="Q188" s="492"/>
      <c r="R188" s="254"/>
      <c r="S188" s="501"/>
      <c r="T188" s="101"/>
      <c r="U188" s="253"/>
      <c r="V188" s="254"/>
      <c r="W188" s="254"/>
      <c r="X188" s="254"/>
      <c r="Y188" s="254"/>
      <c r="Z188" s="254"/>
    </row>
    <row r="189">
      <c r="A189" s="492"/>
      <c r="B189" s="254"/>
      <c r="C189" s="492"/>
      <c r="D189" s="181"/>
      <c r="E189" s="492"/>
      <c r="F189" s="254"/>
      <c r="G189" s="492"/>
      <c r="H189" s="254"/>
      <c r="I189" s="500"/>
      <c r="J189" s="181"/>
      <c r="K189" s="500"/>
      <c r="L189" s="181"/>
      <c r="M189" s="253"/>
      <c r="N189" s="254"/>
      <c r="O189" s="500"/>
      <c r="P189" s="181"/>
      <c r="Q189" s="492"/>
      <c r="R189" s="254"/>
      <c r="S189" s="501"/>
      <c r="T189" s="101"/>
      <c r="U189" s="253"/>
      <c r="V189" s="254"/>
      <c r="W189" s="254"/>
      <c r="X189" s="254"/>
      <c r="Y189" s="254"/>
      <c r="Z189" s="254"/>
    </row>
    <row r="190">
      <c r="A190" s="492"/>
      <c r="B190" s="254"/>
      <c r="C190" s="492"/>
      <c r="D190" s="181"/>
      <c r="E190" s="492"/>
      <c r="F190" s="254"/>
      <c r="G190" s="492"/>
      <c r="H190" s="254"/>
      <c r="I190" s="500"/>
      <c r="J190" s="181"/>
      <c r="K190" s="500"/>
      <c r="L190" s="181"/>
      <c r="M190" s="253"/>
      <c r="N190" s="254"/>
      <c r="O190" s="500"/>
      <c r="P190" s="181"/>
      <c r="Q190" s="492"/>
      <c r="R190" s="254"/>
      <c r="S190" s="501"/>
      <c r="T190" s="101"/>
      <c r="U190" s="253"/>
      <c r="V190" s="254"/>
      <c r="W190" s="254"/>
      <c r="X190" s="254"/>
      <c r="Y190" s="254"/>
      <c r="Z190" s="254"/>
    </row>
    <row r="191">
      <c r="A191" s="492"/>
      <c r="B191" s="254"/>
      <c r="C191" s="492"/>
      <c r="D191" s="181"/>
      <c r="E191" s="492"/>
      <c r="F191" s="254"/>
      <c r="G191" s="492"/>
      <c r="H191" s="254"/>
      <c r="I191" s="500"/>
      <c r="J191" s="181"/>
      <c r="K191" s="500"/>
      <c r="L191" s="181"/>
      <c r="M191" s="253"/>
      <c r="N191" s="254"/>
      <c r="O191" s="500"/>
      <c r="P191" s="181"/>
      <c r="Q191" s="492"/>
      <c r="R191" s="254"/>
      <c r="S191" s="501"/>
      <c r="T191" s="101"/>
      <c r="U191" s="253"/>
      <c r="V191" s="254"/>
      <c r="W191" s="254"/>
      <c r="X191" s="254"/>
      <c r="Y191" s="254"/>
      <c r="Z191" s="254"/>
    </row>
    <row r="192">
      <c r="A192" s="492"/>
      <c r="B192" s="254"/>
      <c r="C192" s="492"/>
      <c r="D192" s="181"/>
      <c r="E192" s="492"/>
      <c r="F192" s="254"/>
      <c r="G192" s="492"/>
      <c r="H192" s="254"/>
      <c r="I192" s="500"/>
      <c r="J192" s="181"/>
      <c r="K192" s="500"/>
      <c r="L192" s="181"/>
      <c r="M192" s="253"/>
      <c r="N192" s="254"/>
      <c r="O192" s="500"/>
      <c r="P192" s="181"/>
      <c r="Q192" s="492"/>
      <c r="R192" s="254"/>
      <c r="S192" s="501"/>
      <c r="T192" s="101"/>
      <c r="U192" s="253"/>
      <c r="V192" s="254"/>
      <c r="W192" s="254"/>
      <c r="X192" s="254"/>
      <c r="Y192" s="254"/>
      <c r="Z192" s="254"/>
    </row>
    <row r="193">
      <c r="A193" s="492"/>
      <c r="B193" s="254"/>
      <c r="C193" s="492"/>
      <c r="D193" s="181"/>
      <c r="E193" s="492"/>
      <c r="F193" s="254"/>
      <c r="G193" s="492"/>
      <c r="H193" s="254"/>
      <c r="I193" s="500"/>
      <c r="J193" s="181"/>
      <c r="K193" s="500"/>
      <c r="L193" s="181"/>
      <c r="M193" s="253"/>
      <c r="N193" s="254"/>
      <c r="O193" s="500"/>
      <c r="P193" s="181"/>
      <c r="Q193" s="492"/>
      <c r="R193" s="254"/>
      <c r="S193" s="501"/>
      <c r="T193" s="101"/>
      <c r="U193" s="253"/>
      <c r="V193" s="254"/>
      <c r="W193" s="254"/>
      <c r="X193" s="254"/>
      <c r="Y193" s="254"/>
      <c r="Z193" s="254"/>
    </row>
    <row r="194">
      <c r="A194" s="492"/>
      <c r="B194" s="254"/>
      <c r="C194" s="492"/>
      <c r="D194" s="181"/>
      <c r="E194" s="492"/>
      <c r="F194" s="254"/>
      <c r="G194" s="492"/>
      <c r="H194" s="254"/>
      <c r="I194" s="500"/>
      <c r="J194" s="181"/>
      <c r="K194" s="500"/>
      <c r="L194" s="181"/>
      <c r="M194" s="253"/>
      <c r="N194" s="254"/>
      <c r="O194" s="500"/>
      <c r="P194" s="181"/>
      <c r="Q194" s="492"/>
      <c r="R194" s="254"/>
      <c r="S194" s="501"/>
      <c r="T194" s="101"/>
      <c r="U194" s="253"/>
      <c r="V194" s="254"/>
      <c r="W194" s="254"/>
      <c r="X194" s="254"/>
      <c r="Y194" s="254"/>
      <c r="Z194" s="254"/>
    </row>
    <row r="195">
      <c r="A195" s="492"/>
      <c r="B195" s="254"/>
      <c r="C195" s="492"/>
      <c r="D195" s="181"/>
      <c r="E195" s="492"/>
      <c r="F195" s="254"/>
      <c r="G195" s="492"/>
      <c r="H195" s="254"/>
      <c r="I195" s="500"/>
      <c r="J195" s="181"/>
      <c r="K195" s="500"/>
      <c r="L195" s="181"/>
      <c r="M195" s="253"/>
      <c r="N195" s="254"/>
      <c r="O195" s="500"/>
      <c r="P195" s="181"/>
      <c r="Q195" s="492"/>
      <c r="R195" s="254"/>
      <c r="S195" s="501"/>
      <c r="T195" s="101"/>
      <c r="U195" s="253"/>
      <c r="V195" s="254"/>
      <c r="W195" s="254"/>
      <c r="X195" s="254"/>
      <c r="Y195" s="254"/>
      <c r="Z195" s="254"/>
    </row>
    <row r="196">
      <c r="A196" s="492"/>
      <c r="B196" s="254"/>
      <c r="C196" s="492"/>
      <c r="D196" s="181"/>
      <c r="E196" s="492"/>
      <c r="F196" s="254"/>
      <c r="G196" s="492"/>
      <c r="H196" s="254"/>
      <c r="I196" s="500"/>
      <c r="J196" s="181"/>
      <c r="K196" s="500"/>
      <c r="L196" s="181"/>
      <c r="M196" s="253"/>
      <c r="N196" s="254"/>
      <c r="O196" s="500"/>
      <c r="P196" s="181"/>
      <c r="Q196" s="492"/>
      <c r="R196" s="254"/>
      <c r="S196" s="501"/>
      <c r="T196" s="101"/>
      <c r="U196" s="253"/>
      <c r="V196" s="254"/>
      <c r="W196" s="254"/>
      <c r="X196" s="254"/>
      <c r="Y196" s="254"/>
      <c r="Z196" s="254"/>
    </row>
    <row r="197">
      <c r="A197" s="492"/>
      <c r="B197" s="254"/>
      <c r="C197" s="492"/>
      <c r="D197" s="181"/>
      <c r="E197" s="492"/>
      <c r="F197" s="254"/>
      <c r="G197" s="492"/>
      <c r="H197" s="254"/>
      <c r="I197" s="500"/>
      <c r="J197" s="181"/>
      <c r="K197" s="500"/>
      <c r="L197" s="181"/>
      <c r="M197" s="253"/>
      <c r="N197" s="254"/>
      <c r="O197" s="500"/>
      <c r="P197" s="181"/>
      <c r="Q197" s="492"/>
      <c r="R197" s="254"/>
      <c r="S197" s="501"/>
      <c r="T197" s="101"/>
      <c r="U197" s="253"/>
      <c r="V197" s="254"/>
      <c r="W197" s="254"/>
      <c r="X197" s="254"/>
      <c r="Y197" s="254"/>
      <c r="Z197" s="254"/>
    </row>
    <row r="198">
      <c r="A198" s="492"/>
      <c r="B198" s="254"/>
      <c r="C198" s="492"/>
      <c r="D198" s="181"/>
      <c r="E198" s="492"/>
      <c r="F198" s="254"/>
      <c r="G198" s="492"/>
      <c r="H198" s="254"/>
      <c r="I198" s="500"/>
      <c r="J198" s="181"/>
      <c r="K198" s="500"/>
      <c r="L198" s="181"/>
      <c r="M198" s="253"/>
      <c r="N198" s="254"/>
      <c r="O198" s="500"/>
      <c r="P198" s="181"/>
      <c r="Q198" s="492"/>
      <c r="R198" s="254"/>
      <c r="S198" s="501"/>
      <c r="T198" s="101"/>
      <c r="U198" s="253"/>
      <c r="V198" s="254"/>
      <c r="W198" s="254"/>
      <c r="X198" s="254"/>
      <c r="Y198" s="254"/>
      <c r="Z198" s="254"/>
    </row>
    <row r="199">
      <c r="A199" s="492"/>
      <c r="B199" s="254"/>
      <c r="C199" s="492"/>
      <c r="D199" s="181"/>
      <c r="E199" s="492"/>
      <c r="F199" s="254"/>
      <c r="G199" s="492"/>
      <c r="H199" s="254"/>
      <c r="I199" s="500"/>
      <c r="J199" s="181"/>
      <c r="K199" s="500"/>
      <c r="L199" s="181"/>
      <c r="M199" s="253"/>
      <c r="N199" s="254"/>
      <c r="O199" s="500"/>
      <c r="P199" s="181"/>
      <c r="Q199" s="492"/>
      <c r="R199" s="254"/>
      <c r="S199" s="501"/>
      <c r="T199" s="101"/>
      <c r="U199" s="253"/>
      <c r="V199" s="254"/>
      <c r="W199" s="254"/>
      <c r="X199" s="254"/>
      <c r="Y199" s="254"/>
      <c r="Z199" s="254"/>
    </row>
    <row r="200">
      <c r="A200" s="492"/>
      <c r="B200" s="254"/>
      <c r="C200" s="492"/>
      <c r="D200" s="181"/>
      <c r="E200" s="492"/>
      <c r="F200" s="254"/>
      <c r="G200" s="492"/>
      <c r="H200" s="254"/>
      <c r="I200" s="500"/>
      <c r="J200" s="181"/>
      <c r="K200" s="500"/>
      <c r="L200" s="181"/>
      <c r="M200" s="253"/>
      <c r="N200" s="254"/>
      <c r="O200" s="500"/>
      <c r="P200" s="181"/>
      <c r="Q200" s="492"/>
      <c r="R200" s="254"/>
      <c r="S200" s="501"/>
      <c r="T200" s="101"/>
      <c r="U200" s="253"/>
      <c r="V200" s="254"/>
      <c r="W200" s="254"/>
      <c r="X200" s="254"/>
      <c r="Y200" s="254"/>
      <c r="Z200" s="254"/>
    </row>
    <row r="201">
      <c r="A201" s="492"/>
      <c r="B201" s="254"/>
      <c r="C201" s="492"/>
      <c r="D201" s="181"/>
      <c r="E201" s="492"/>
      <c r="F201" s="254"/>
      <c r="G201" s="492"/>
      <c r="H201" s="254"/>
      <c r="I201" s="500"/>
      <c r="J201" s="181"/>
      <c r="K201" s="500"/>
      <c r="L201" s="181"/>
      <c r="M201" s="253"/>
      <c r="N201" s="254"/>
      <c r="O201" s="500"/>
      <c r="P201" s="181"/>
      <c r="Q201" s="492"/>
      <c r="R201" s="254"/>
      <c r="S201" s="501"/>
      <c r="T201" s="101"/>
      <c r="U201" s="253"/>
      <c r="V201" s="254"/>
      <c r="W201" s="254"/>
      <c r="X201" s="254"/>
      <c r="Y201" s="254"/>
      <c r="Z201" s="254"/>
    </row>
    <row r="202">
      <c r="A202" s="492"/>
      <c r="B202" s="254"/>
      <c r="C202" s="492"/>
      <c r="D202" s="181"/>
      <c r="E202" s="492"/>
      <c r="F202" s="254"/>
      <c r="G202" s="492"/>
      <c r="H202" s="254"/>
      <c r="I202" s="500"/>
      <c r="J202" s="181"/>
      <c r="K202" s="500"/>
      <c r="L202" s="181"/>
      <c r="M202" s="253"/>
      <c r="N202" s="254"/>
      <c r="O202" s="500"/>
      <c r="P202" s="181"/>
      <c r="Q202" s="492"/>
      <c r="R202" s="254"/>
      <c r="S202" s="501"/>
      <c r="T202" s="101"/>
      <c r="U202" s="253"/>
      <c r="V202" s="254"/>
      <c r="W202" s="254"/>
      <c r="X202" s="254"/>
      <c r="Y202" s="254"/>
      <c r="Z202" s="254"/>
    </row>
    <row r="203">
      <c r="A203" s="492"/>
      <c r="B203" s="254"/>
      <c r="C203" s="492"/>
      <c r="D203" s="181"/>
      <c r="E203" s="492"/>
      <c r="F203" s="254"/>
      <c r="G203" s="492"/>
      <c r="H203" s="254"/>
      <c r="I203" s="500"/>
      <c r="J203" s="181"/>
      <c r="K203" s="500"/>
      <c r="L203" s="181"/>
      <c r="M203" s="253"/>
      <c r="N203" s="254"/>
      <c r="O203" s="500"/>
      <c r="P203" s="181"/>
      <c r="Q203" s="492"/>
      <c r="R203" s="254"/>
      <c r="S203" s="501"/>
      <c r="T203" s="101"/>
      <c r="U203" s="253"/>
      <c r="V203" s="254"/>
      <c r="W203" s="254"/>
      <c r="X203" s="254"/>
      <c r="Y203" s="254"/>
      <c r="Z203" s="254"/>
    </row>
    <row r="204">
      <c r="A204" s="492"/>
      <c r="B204" s="254"/>
      <c r="C204" s="492"/>
      <c r="D204" s="181"/>
      <c r="E204" s="492"/>
      <c r="F204" s="254"/>
      <c r="G204" s="492"/>
      <c r="H204" s="254"/>
      <c r="I204" s="500"/>
      <c r="J204" s="181"/>
      <c r="K204" s="500"/>
      <c r="L204" s="181"/>
      <c r="M204" s="253"/>
      <c r="N204" s="254"/>
      <c r="O204" s="500"/>
      <c r="P204" s="181"/>
      <c r="Q204" s="492"/>
      <c r="R204" s="254"/>
      <c r="S204" s="501"/>
      <c r="T204" s="101"/>
      <c r="U204" s="253"/>
      <c r="V204" s="254"/>
      <c r="W204" s="254"/>
      <c r="X204" s="254"/>
      <c r="Y204" s="254"/>
      <c r="Z204" s="254"/>
    </row>
    <row r="205">
      <c r="A205" s="492"/>
      <c r="B205" s="254"/>
      <c r="C205" s="492"/>
      <c r="D205" s="181"/>
      <c r="E205" s="492"/>
      <c r="F205" s="254"/>
      <c r="G205" s="492"/>
      <c r="H205" s="254"/>
      <c r="I205" s="500"/>
      <c r="J205" s="181"/>
      <c r="K205" s="500"/>
      <c r="L205" s="181"/>
      <c r="M205" s="253"/>
      <c r="N205" s="254"/>
      <c r="O205" s="500"/>
      <c r="P205" s="181"/>
      <c r="Q205" s="492"/>
      <c r="R205" s="254"/>
      <c r="S205" s="501"/>
      <c r="T205" s="101"/>
      <c r="U205" s="253"/>
      <c r="V205" s="254"/>
      <c r="W205" s="254"/>
      <c r="X205" s="254"/>
      <c r="Y205" s="254"/>
      <c r="Z205" s="254"/>
    </row>
    <row r="206">
      <c r="A206" s="492"/>
      <c r="B206" s="254"/>
      <c r="C206" s="492"/>
      <c r="D206" s="181"/>
      <c r="E206" s="492"/>
      <c r="F206" s="254"/>
      <c r="G206" s="492"/>
      <c r="H206" s="254"/>
      <c r="I206" s="500"/>
      <c r="J206" s="181"/>
      <c r="K206" s="500"/>
      <c r="L206" s="181"/>
      <c r="M206" s="253"/>
      <c r="N206" s="254"/>
      <c r="O206" s="500"/>
      <c r="P206" s="181"/>
      <c r="Q206" s="492"/>
      <c r="R206" s="254"/>
      <c r="S206" s="501"/>
      <c r="T206" s="101"/>
      <c r="U206" s="253"/>
      <c r="V206" s="254"/>
      <c r="W206" s="254"/>
      <c r="X206" s="254"/>
      <c r="Y206" s="254"/>
      <c r="Z206" s="254"/>
    </row>
    <row r="207">
      <c r="A207" s="492"/>
      <c r="B207" s="254"/>
      <c r="C207" s="492"/>
      <c r="D207" s="181"/>
      <c r="E207" s="492"/>
      <c r="F207" s="254"/>
      <c r="G207" s="492"/>
      <c r="H207" s="254"/>
      <c r="I207" s="500"/>
      <c r="J207" s="181"/>
      <c r="K207" s="500"/>
      <c r="L207" s="181"/>
      <c r="M207" s="253"/>
      <c r="N207" s="254"/>
      <c r="O207" s="500"/>
      <c r="P207" s="181"/>
      <c r="Q207" s="492"/>
      <c r="R207" s="254"/>
      <c r="S207" s="501"/>
      <c r="T207" s="101"/>
      <c r="U207" s="253"/>
      <c r="V207" s="254"/>
      <c r="W207" s="254"/>
      <c r="X207" s="254"/>
      <c r="Y207" s="254"/>
      <c r="Z207" s="254"/>
    </row>
    <row r="208">
      <c r="A208" s="492"/>
      <c r="B208" s="254"/>
      <c r="C208" s="492"/>
      <c r="D208" s="181"/>
      <c r="E208" s="492"/>
      <c r="F208" s="254"/>
      <c r="G208" s="492"/>
      <c r="H208" s="254"/>
      <c r="I208" s="500"/>
      <c r="J208" s="181"/>
      <c r="K208" s="500"/>
      <c r="L208" s="181"/>
      <c r="M208" s="253"/>
      <c r="N208" s="254"/>
      <c r="O208" s="500"/>
      <c r="P208" s="181"/>
      <c r="Q208" s="492"/>
      <c r="R208" s="254"/>
      <c r="S208" s="501"/>
      <c r="T208" s="101"/>
      <c r="U208" s="253"/>
      <c r="V208" s="254"/>
      <c r="W208" s="254"/>
      <c r="X208" s="254"/>
      <c r="Y208" s="254"/>
      <c r="Z208" s="254"/>
    </row>
    <row r="209">
      <c r="A209" s="492"/>
      <c r="B209" s="254"/>
      <c r="C209" s="492"/>
      <c r="D209" s="181"/>
      <c r="E209" s="492"/>
      <c r="F209" s="254"/>
      <c r="G209" s="492"/>
      <c r="H209" s="254"/>
      <c r="I209" s="500"/>
      <c r="J209" s="181"/>
      <c r="K209" s="500"/>
      <c r="L209" s="181"/>
      <c r="M209" s="253"/>
      <c r="N209" s="254"/>
      <c r="O209" s="500"/>
      <c r="P209" s="181"/>
      <c r="Q209" s="492"/>
      <c r="R209" s="254"/>
      <c r="S209" s="501"/>
      <c r="T209" s="101"/>
      <c r="U209" s="253"/>
      <c r="V209" s="254"/>
      <c r="W209" s="254"/>
      <c r="X209" s="254"/>
      <c r="Y209" s="254"/>
      <c r="Z209" s="254"/>
    </row>
    <row r="210">
      <c r="A210" s="492"/>
      <c r="B210" s="254"/>
      <c r="C210" s="492"/>
      <c r="D210" s="181"/>
      <c r="E210" s="492"/>
      <c r="F210" s="254"/>
      <c r="G210" s="492"/>
      <c r="H210" s="254"/>
      <c r="I210" s="500"/>
      <c r="J210" s="181"/>
      <c r="K210" s="500"/>
      <c r="L210" s="181"/>
      <c r="M210" s="253"/>
      <c r="N210" s="254"/>
      <c r="O210" s="500"/>
      <c r="P210" s="181"/>
      <c r="Q210" s="492"/>
      <c r="R210" s="254"/>
      <c r="S210" s="501"/>
      <c r="T210" s="101"/>
      <c r="U210" s="253"/>
      <c r="V210" s="254"/>
      <c r="W210" s="254"/>
      <c r="X210" s="254"/>
      <c r="Y210" s="254"/>
      <c r="Z210" s="254"/>
    </row>
    <row r="211">
      <c r="A211" s="492"/>
      <c r="B211" s="254"/>
      <c r="C211" s="492"/>
      <c r="D211" s="181"/>
      <c r="E211" s="492"/>
      <c r="F211" s="254"/>
      <c r="G211" s="492"/>
      <c r="H211" s="254"/>
      <c r="I211" s="500"/>
      <c r="J211" s="181"/>
      <c r="K211" s="500"/>
      <c r="L211" s="181"/>
      <c r="M211" s="253"/>
      <c r="N211" s="254"/>
      <c r="O211" s="500"/>
      <c r="P211" s="181"/>
      <c r="Q211" s="492"/>
      <c r="R211" s="254"/>
      <c r="S211" s="501"/>
      <c r="T211" s="101"/>
      <c r="U211" s="253"/>
      <c r="V211" s="254"/>
      <c r="W211" s="254"/>
      <c r="X211" s="254"/>
      <c r="Y211" s="254"/>
      <c r="Z211" s="254"/>
    </row>
    <row r="212">
      <c r="A212" s="492"/>
      <c r="B212" s="254"/>
      <c r="C212" s="492"/>
      <c r="D212" s="181"/>
      <c r="E212" s="492"/>
      <c r="F212" s="254"/>
      <c r="G212" s="492"/>
      <c r="H212" s="254"/>
      <c r="I212" s="500"/>
      <c r="J212" s="181"/>
      <c r="K212" s="500"/>
      <c r="L212" s="181"/>
      <c r="M212" s="253"/>
      <c r="N212" s="254"/>
      <c r="O212" s="500"/>
      <c r="P212" s="181"/>
      <c r="Q212" s="492"/>
      <c r="R212" s="254"/>
      <c r="S212" s="501"/>
      <c r="T212" s="101"/>
      <c r="U212" s="253"/>
      <c r="V212" s="254"/>
      <c r="W212" s="254"/>
      <c r="X212" s="254"/>
      <c r="Y212" s="254"/>
      <c r="Z212" s="254"/>
    </row>
    <row r="213">
      <c r="A213" s="492"/>
      <c r="B213" s="254"/>
      <c r="C213" s="492"/>
      <c r="D213" s="181"/>
      <c r="E213" s="492"/>
      <c r="F213" s="254"/>
      <c r="G213" s="492"/>
      <c r="H213" s="254"/>
      <c r="I213" s="500"/>
      <c r="J213" s="181"/>
      <c r="K213" s="500"/>
      <c r="L213" s="181"/>
      <c r="M213" s="253"/>
      <c r="N213" s="254"/>
      <c r="O213" s="500"/>
      <c r="P213" s="181"/>
      <c r="Q213" s="492"/>
      <c r="R213" s="254"/>
      <c r="S213" s="501"/>
      <c r="T213" s="101"/>
      <c r="U213" s="253"/>
      <c r="V213" s="254"/>
      <c r="W213" s="254"/>
      <c r="X213" s="254"/>
      <c r="Y213" s="254"/>
      <c r="Z213" s="254"/>
    </row>
    <row r="214">
      <c r="A214" s="492"/>
      <c r="B214" s="254"/>
      <c r="C214" s="492"/>
      <c r="D214" s="181"/>
      <c r="E214" s="492"/>
      <c r="F214" s="254"/>
      <c r="G214" s="492"/>
      <c r="H214" s="254"/>
      <c r="I214" s="500"/>
      <c r="J214" s="181"/>
      <c r="K214" s="500"/>
      <c r="L214" s="181"/>
      <c r="M214" s="253"/>
      <c r="N214" s="254"/>
      <c r="O214" s="500"/>
      <c r="P214" s="181"/>
      <c r="Q214" s="492"/>
      <c r="R214" s="254"/>
      <c r="S214" s="501"/>
      <c r="T214" s="101"/>
      <c r="U214" s="253"/>
      <c r="V214" s="254"/>
      <c r="W214" s="254"/>
      <c r="X214" s="254"/>
      <c r="Y214" s="254"/>
      <c r="Z214" s="254"/>
    </row>
    <row r="215">
      <c r="A215" s="492"/>
      <c r="B215" s="254"/>
      <c r="C215" s="492"/>
      <c r="D215" s="181"/>
      <c r="E215" s="492"/>
      <c r="F215" s="254"/>
      <c r="G215" s="492"/>
      <c r="H215" s="254"/>
      <c r="I215" s="500"/>
      <c r="J215" s="181"/>
      <c r="K215" s="500"/>
      <c r="L215" s="181"/>
      <c r="M215" s="253"/>
      <c r="N215" s="254"/>
      <c r="O215" s="500"/>
      <c r="P215" s="181"/>
      <c r="Q215" s="492"/>
      <c r="R215" s="254"/>
      <c r="S215" s="501"/>
      <c r="T215" s="101"/>
      <c r="U215" s="253"/>
      <c r="V215" s="254"/>
      <c r="W215" s="254"/>
      <c r="X215" s="254"/>
      <c r="Y215" s="254"/>
      <c r="Z215" s="254"/>
    </row>
    <row r="216">
      <c r="A216" s="492"/>
      <c r="B216" s="254"/>
      <c r="C216" s="492"/>
      <c r="D216" s="181"/>
      <c r="E216" s="492"/>
      <c r="F216" s="254"/>
      <c r="G216" s="492"/>
      <c r="H216" s="254"/>
      <c r="I216" s="500"/>
      <c r="J216" s="181"/>
      <c r="K216" s="500"/>
      <c r="L216" s="181"/>
      <c r="M216" s="253"/>
      <c r="N216" s="254"/>
      <c r="O216" s="500"/>
      <c r="P216" s="181"/>
      <c r="Q216" s="492"/>
      <c r="R216" s="254"/>
      <c r="S216" s="501"/>
      <c r="T216" s="101"/>
      <c r="U216" s="253"/>
      <c r="V216" s="254"/>
      <c r="W216" s="254"/>
      <c r="X216" s="254"/>
      <c r="Y216" s="254"/>
      <c r="Z216" s="254"/>
    </row>
    <row r="217">
      <c r="A217" s="492"/>
      <c r="B217" s="254"/>
      <c r="C217" s="492"/>
      <c r="D217" s="181"/>
      <c r="E217" s="492"/>
      <c r="F217" s="254"/>
      <c r="G217" s="492"/>
      <c r="H217" s="254"/>
      <c r="I217" s="500"/>
      <c r="J217" s="181"/>
      <c r="K217" s="500"/>
      <c r="L217" s="181"/>
      <c r="M217" s="253"/>
      <c r="N217" s="254"/>
      <c r="O217" s="500"/>
      <c r="P217" s="181"/>
      <c r="Q217" s="492"/>
      <c r="R217" s="254"/>
      <c r="S217" s="501"/>
      <c r="T217" s="101"/>
      <c r="U217" s="253"/>
      <c r="V217" s="254"/>
      <c r="W217" s="254"/>
      <c r="X217" s="254"/>
      <c r="Y217" s="254"/>
      <c r="Z217" s="254"/>
    </row>
    <row r="218">
      <c r="A218" s="492"/>
      <c r="B218" s="254"/>
      <c r="C218" s="492"/>
      <c r="D218" s="181"/>
      <c r="E218" s="492"/>
      <c r="F218" s="254"/>
      <c r="G218" s="492"/>
      <c r="H218" s="254"/>
      <c r="I218" s="500"/>
      <c r="J218" s="181"/>
      <c r="K218" s="500"/>
      <c r="L218" s="181"/>
      <c r="M218" s="253"/>
      <c r="N218" s="254"/>
      <c r="O218" s="500"/>
      <c r="P218" s="181"/>
      <c r="Q218" s="492"/>
      <c r="R218" s="254"/>
      <c r="S218" s="501"/>
      <c r="T218" s="101"/>
      <c r="U218" s="253"/>
      <c r="V218" s="254"/>
      <c r="W218" s="254"/>
      <c r="X218" s="254"/>
      <c r="Y218" s="254"/>
      <c r="Z218" s="254"/>
    </row>
    <row r="219">
      <c r="A219" s="492"/>
      <c r="B219" s="254"/>
      <c r="C219" s="492"/>
      <c r="D219" s="181"/>
      <c r="E219" s="492"/>
      <c r="F219" s="254"/>
      <c r="G219" s="492"/>
      <c r="H219" s="254"/>
      <c r="I219" s="500"/>
      <c r="J219" s="181"/>
      <c r="K219" s="500"/>
      <c r="L219" s="181"/>
      <c r="M219" s="253"/>
      <c r="N219" s="254"/>
      <c r="O219" s="500"/>
      <c r="P219" s="181"/>
      <c r="Q219" s="492"/>
      <c r="R219" s="254"/>
      <c r="S219" s="501"/>
      <c r="T219" s="101"/>
      <c r="U219" s="253"/>
      <c r="V219" s="254"/>
      <c r="W219" s="254"/>
      <c r="X219" s="254"/>
      <c r="Y219" s="254"/>
      <c r="Z219" s="254"/>
    </row>
    <row r="220">
      <c r="A220" s="492"/>
      <c r="B220" s="254"/>
      <c r="C220" s="492"/>
      <c r="D220" s="181"/>
      <c r="E220" s="492"/>
      <c r="F220" s="254"/>
      <c r="G220" s="492"/>
      <c r="H220" s="254"/>
      <c r="I220" s="500"/>
      <c r="J220" s="181"/>
      <c r="K220" s="500"/>
      <c r="L220" s="181"/>
      <c r="M220" s="253"/>
      <c r="N220" s="254"/>
      <c r="O220" s="500"/>
      <c r="P220" s="181"/>
      <c r="Q220" s="492"/>
      <c r="R220" s="254"/>
      <c r="S220" s="501"/>
      <c r="T220" s="101"/>
      <c r="U220" s="253"/>
      <c r="V220" s="254"/>
      <c r="W220" s="254"/>
      <c r="X220" s="254"/>
      <c r="Y220" s="254"/>
      <c r="Z220" s="254"/>
    </row>
    <row r="221">
      <c r="A221" s="492"/>
      <c r="B221" s="254"/>
      <c r="C221" s="492"/>
      <c r="D221" s="181"/>
      <c r="E221" s="492"/>
      <c r="F221" s="254"/>
      <c r="G221" s="492"/>
      <c r="H221" s="254"/>
      <c r="I221" s="500"/>
      <c r="J221" s="181"/>
      <c r="K221" s="500"/>
      <c r="L221" s="181"/>
      <c r="M221" s="253"/>
      <c r="N221" s="254"/>
      <c r="O221" s="500"/>
      <c r="P221" s="181"/>
      <c r="Q221" s="492"/>
      <c r="R221" s="254"/>
      <c r="S221" s="501"/>
      <c r="T221" s="101"/>
      <c r="U221" s="253"/>
      <c r="V221" s="254"/>
      <c r="W221" s="254"/>
      <c r="X221" s="254"/>
      <c r="Y221" s="254"/>
      <c r="Z221" s="254"/>
    </row>
    <row r="222">
      <c r="A222" s="492"/>
      <c r="B222" s="254"/>
      <c r="C222" s="492"/>
      <c r="D222" s="181"/>
      <c r="E222" s="492"/>
      <c r="F222" s="254"/>
      <c r="G222" s="492"/>
      <c r="H222" s="254"/>
      <c r="I222" s="500"/>
      <c r="J222" s="181"/>
      <c r="K222" s="500"/>
      <c r="L222" s="181"/>
      <c r="M222" s="253"/>
      <c r="N222" s="254"/>
      <c r="O222" s="500"/>
      <c r="P222" s="181"/>
      <c r="Q222" s="492"/>
      <c r="R222" s="254"/>
      <c r="S222" s="501"/>
      <c r="T222" s="101"/>
      <c r="U222" s="253"/>
      <c r="V222" s="254"/>
      <c r="W222" s="254"/>
      <c r="X222" s="254"/>
      <c r="Y222" s="254"/>
      <c r="Z222" s="254"/>
    </row>
    <row r="223">
      <c r="A223" s="492"/>
      <c r="B223" s="254"/>
      <c r="C223" s="492"/>
      <c r="D223" s="181"/>
      <c r="E223" s="492"/>
      <c r="F223" s="254"/>
      <c r="G223" s="492"/>
      <c r="H223" s="254"/>
      <c r="I223" s="500"/>
      <c r="J223" s="181"/>
      <c r="K223" s="500"/>
      <c r="L223" s="181"/>
      <c r="M223" s="253"/>
      <c r="N223" s="254"/>
      <c r="O223" s="500"/>
      <c r="P223" s="181"/>
      <c r="Q223" s="492"/>
      <c r="R223" s="254"/>
      <c r="S223" s="501"/>
      <c r="T223" s="101"/>
      <c r="U223" s="253"/>
      <c r="V223" s="254"/>
      <c r="W223" s="254"/>
      <c r="X223" s="254"/>
      <c r="Y223" s="254"/>
      <c r="Z223" s="254"/>
    </row>
    <row r="224">
      <c r="A224" s="492"/>
      <c r="B224" s="254"/>
      <c r="C224" s="492"/>
      <c r="D224" s="181"/>
      <c r="E224" s="492"/>
      <c r="F224" s="254"/>
      <c r="G224" s="492"/>
      <c r="H224" s="254"/>
      <c r="I224" s="500"/>
      <c r="J224" s="181"/>
      <c r="K224" s="500"/>
      <c r="L224" s="181"/>
      <c r="M224" s="253"/>
      <c r="N224" s="254"/>
      <c r="O224" s="500"/>
      <c r="P224" s="181"/>
      <c r="Q224" s="492"/>
      <c r="R224" s="254"/>
      <c r="S224" s="501"/>
      <c r="T224" s="101"/>
      <c r="U224" s="253"/>
      <c r="V224" s="254"/>
      <c r="W224" s="254"/>
      <c r="X224" s="254"/>
      <c r="Y224" s="254"/>
      <c r="Z224" s="254"/>
    </row>
    <row r="225">
      <c r="A225" s="492"/>
      <c r="B225" s="254"/>
      <c r="C225" s="492"/>
      <c r="D225" s="181"/>
      <c r="E225" s="492"/>
      <c r="F225" s="254"/>
      <c r="G225" s="492"/>
      <c r="H225" s="254"/>
      <c r="I225" s="500"/>
      <c r="J225" s="181"/>
      <c r="K225" s="500"/>
      <c r="L225" s="181"/>
      <c r="M225" s="253"/>
      <c r="N225" s="254"/>
      <c r="O225" s="500"/>
      <c r="P225" s="181"/>
      <c r="Q225" s="492"/>
      <c r="R225" s="254"/>
      <c r="S225" s="501"/>
      <c r="T225" s="101"/>
      <c r="U225" s="253"/>
      <c r="V225" s="254"/>
      <c r="W225" s="254"/>
      <c r="X225" s="254"/>
      <c r="Y225" s="254"/>
      <c r="Z225" s="254"/>
    </row>
    <row r="226">
      <c r="A226" s="492"/>
      <c r="B226" s="254"/>
      <c r="C226" s="492"/>
      <c r="D226" s="181"/>
      <c r="E226" s="492"/>
      <c r="F226" s="254"/>
      <c r="G226" s="492"/>
      <c r="H226" s="254"/>
      <c r="I226" s="500"/>
      <c r="J226" s="181"/>
      <c r="K226" s="500"/>
      <c r="L226" s="181"/>
      <c r="M226" s="253"/>
      <c r="N226" s="254"/>
      <c r="O226" s="500"/>
      <c r="P226" s="181"/>
      <c r="Q226" s="492"/>
      <c r="R226" s="254"/>
      <c r="S226" s="501"/>
      <c r="T226" s="101"/>
      <c r="U226" s="253"/>
      <c r="V226" s="254"/>
      <c r="W226" s="254"/>
      <c r="X226" s="254"/>
      <c r="Y226" s="254"/>
      <c r="Z226" s="254"/>
    </row>
    <row r="227">
      <c r="A227" s="492"/>
      <c r="B227" s="254"/>
      <c r="C227" s="492"/>
      <c r="D227" s="181"/>
      <c r="E227" s="492"/>
      <c r="F227" s="254"/>
      <c r="G227" s="492"/>
      <c r="H227" s="254"/>
      <c r="I227" s="500"/>
      <c r="J227" s="181"/>
      <c r="K227" s="500"/>
      <c r="L227" s="181"/>
      <c r="M227" s="253"/>
      <c r="N227" s="254"/>
      <c r="O227" s="500"/>
      <c r="P227" s="181"/>
      <c r="Q227" s="492"/>
      <c r="R227" s="254"/>
      <c r="S227" s="501"/>
      <c r="T227" s="101"/>
      <c r="U227" s="253"/>
      <c r="V227" s="254"/>
      <c r="W227" s="254"/>
      <c r="X227" s="254"/>
      <c r="Y227" s="254"/>
      <c r="Z227" s="254"/>
    </row>
    <row r="228">
      <c r="A228" s="492"/>
      <c r="B228" s="254"/>
      <c r="C228" s="492"/>
      <c r="D228" s="181"/>
      <c r="E228" s="492"/>
      <c r="F228" s="254"/>
      <c r="G228" s="492"/>
      <c r="H228" s="254"/>
      <c r="I228" s="500"/>
      <c r="J228" s="181"/>
      <c r="K228" s="500"/>
      <c r="L228" s="181"/>
      <c r="M228" s="253"/>
      <c r="N228" s="254"/>
      <c r="O228" s="500"/>
      <c r="P228" s="181"/>
      <c r="Q228" s="492"/>
      <c r="R228" s="254"/>
      <c r="S228" s="501"/>
      <c r="T228" s="101"/>
      <c r="U228" s="253"/>
      <c r="V228" s="254"/>
      <c r="W228" s="254"/>
      <c r="X228" s="254"/>
      <c r="Y228" s="254"/>
      <c r="Z228" s="254"/>
    </row>
    <row r="229">
      <c r="A229" s="492"/>
      <c r="B229" s="254"/>
      <c r="C229" s="492"/>
      <c r="D229" s="181"/>
      <c r="E229" s="492"/>
      <c r="F229" s="254"/>
      <c r="G229" s="492"/>
      <c r="H229" s="254"/>
      <c r="I229" s="500"/>
      <c r="J229" s="181"/>
      <c r="K229" s="500"/>
      <c r="L229" s="181"/>
      <c r="M229" s="253"/>
      <c r="N229" s="254"/>
      <c r="O229" s="500"/>
      <c r="P229" s="181"/>
      <c r="Q229" s="492"/>
      <c r="R229" s="254"/>
      <c r="S229" s="501"/>
      <c r="T229" s="101"/>
      <c r="U229" s="253"/>
      <c r="V229" s="254"/>
      <c r="W229" s="254"/>
      <c r="X229" s="254"/>
      <c r="Y229" s="254"/>
      <c r="Z229" s="254"/>
    </row>
    <row r="230">
      <c r="A230" s="492"/>
      <c r="B230" s="254"/>
      <c r="C230" s="492"/>
      <c r="D230" s="181"/>
      <c r="E230" s="492"/>
      <c r="F230" s="254"/>
      <c r="G230" s="492"/>
      <c r="H230" s="254"/>
      <c r="I230" s="500"/>
      <c r="J230" s="181"/>
      <c r="K230" s="500"/>
      <c r="L230" s="181"/>
      <c r="M230" s="253"/>
      <c r="N230" s="254"/>
      <c r="O230" s="500"/>
      <c r="P230" s="181"/>
      <c r="Q230" s="492"/>
      <c r="R230" s="254"/>
      <c r="S230" s="501"/>
      <c r="T230" s="101"/>
      <c r="U230" s="253"/>
      <c r="V230" s="254"/>
      <c r="W230" s="254"/>
      <c r="X230" s="254"/>
      <c r="Y230" s="254"/>
      <c r="Z230" s="254"/>
    </row>
    <row r="231">
      <c r="A231" s="492"/>
      <c r="B231" s="254"/>
      <c r="C231" s="492"/>
      <c r="D231" s="181"/>
      <c r="E231" s="492"/>
      <c r="F231" s="254"/>
      <c r="G231" s="492"/>
      <c r="H231" s="254"/>
      <c r="I231" s="500"/>
      <c r="J231" s="181"/>
      <c r="K231" s="500"/>
      <c r="L231" s="181"/>
      <c r="M231" s="253"/>
      <c r="N231" s="254"/>
      <c r="O231" s="500"/>
      <c r="P231" s="181"/>
      <c r="Q231" s="492"/>
      <c r="R231" s="254"/>
      <c r="S231" s="501"/>
      <c r="T231" s="101"/>
      <c r="U231" s="253"/>
      <c r="V231" s="254"/>
      <c r="W231" s="254"/>
      <c r="X231" s="254"/>
      <c r="Y231" s="254"/>
      <c r="Z231" s="254"/>
    </row>
    <row r="232">
      <c r="A232" s="492"/>
      <c r="B232" s="254"/>
      <c r="C232" s="492"/>
      <c r="D232" s="181"/>
      <c r="E232" s="492"/>
      <c r="F232" s="254"/>
      <c r="G232" s="492"/>
      <c r="H232" s="254"/>
      <c r="I232" s="500"/>
      <c r="J232" s="181"/>
      <c r="K232" s="500"/>
      <c r="L232" s="181"/>
      <c r="M232" s="253"/>
      <c r="N232" s="254"/>
      <c r="O232" s="500"/>
      <c r="P232" s="181"/>
      <c r="Q232" s="492"/>
      <c r="R232" s="254"/>
      <c r="S232" s="501"/>
      <c r="T232" s="101"/>
      <c r="U232" s="253"/>
      <c r="V232" s="254"/>
      <c r="W232" s="254"/>
      <c r="X232" s="254"/>
      <c r="Y232" s="254"/>
      <c r="Z232" s="254"/>
    </row>
    <row r="233">
      <c r="A233" s="492"/>
      <c r="B233" s="254"/>
      <c r="C233" s="492"/>
      <c r="D233" s="181"/>
      <c r="E233" s="492"/>
      <c r="F233" s="254"/>
      <c r="G233" s="492"/>
      <c r="H233" s="254"/>
      <c r="I233" s="500"/>
      <c r="J233" s="181"/>
      <c r="K233" s="500"/>
      <c r="L233" s="181"/>
      <c r="M233" s="253"/>
      <c r="N233" s="254"/>
      <c r="O233" s="500"/>
      <c r="P233" s="181"/>
      <c r="Q233" s="492"/>
      <c r="R233" s="254"/>
      <c r="S233" s="501"/>
      <c r="T233" s="101"/>
      <c r="U233" s="253"/>
      <c r="V233" s="254"/>
      <c r="W233" s="254"/>
      <c r="X233" s="254"/>
      <c r="Y233" s="254"/>
      <c r="Z233" s="254"/>
    </row>
    <row r="234">
      <c r="A234" s="492"/>
      <c r="B234" s="254"/>
      <c r="C234" s="492"/>
      <c r="D234" s="181"/>
      <c r="E234" s="492"/>
      <c r="F234" s="254"/>
      <c r="G234" s="492"/>
      <c r="H234" s="254"/>
      <c r="I234" s="500"/>
      <c r="J234" s="181"/>
      <c r="K234" s="500"/>
      <c r="L234" s="181"/>
      <c r="M234" s="253"/>
      <c r="N234" s="254"/>
      <c r="O234" s="500"/>
      <c r="P234" s="181"/>
      <c r="Q234" s="492"/>
      <c r="R234" s="254"/>
      <c r="S234" s="501"/>
      <c r="T234" s="101"/>
      <c r="U234" s="253"/>
      <c r="V234" s="254"/>
      <c r="W234" s="254"/>
      <c r="X234" s="254"/>
      <c r="Y234" s="254"/>
      <c r="Z234" s="254"/>
    </row>
    <row r="235">
      <c r="A235" s="492"/>
      <c r="B235" s="254"/>
      <c r="C235" s="492"/>
      <c r="D235" s="181"/>
      <c r="E235" s="492"/>
      <c r="F235" s="254"/>
      <c r="G235" s="492"/>
      <c r="H235" s="254"/>
      <c r="I235" s="500"/>
      <c r="J235" s="181"/>
      <c r="K235" s="500"/>
      <c r="L235" s="181"/>
      <c r="M235" s="253"/>
      <c r="N235" s="254"/>
      <c r="O235" s="500"/>
      <c r="P235" s="181"/>
      <c r="Q235" s="492"/>
      <c r="R235" s="254"/>
      <c r="S235" s="501"/>
      <c r="T235" s="101"/>
      <c r="U235" s="253"/>
      <c r="V235" s="254"/>
      <c r="W235" s="254"/>
      <c r="X235" s="254"/>
      <c r="Y235" s="254"/>
      <c r="Z235" s="254"/>
    </row>
    <row r="236">
      <c r="A236" s="492"/>
      <c r="B236" s="254"/>
      <c r="C236" s="492"/>
      <c r="D236" s="181"/>
      <c r="E236" s="492"/>
      <c r="F236" s="254"/>
      <c r="G236" s="492"/>
      <c r="H236" s="254"/>
      <c r="I236" s="500"/>
      <c r="J236" s="181"/>
      <c r="K236" s="500"/>
      <c r="L236" s="181"/>
      <c r="M236" s="253"/>
      <c r="N236" s="254"/>
      <c r="O236" s="500"/>
      <c r="P236" s="181"/>
      <c r="Q236" s="492"/>
      <c r="R236" s="254"/>
      <c r="S236" s="501"/>
      <c r="T236" s="101"/>
      <c r="U236" s="253"/>
      <c r="V236" s="254"/>
      <c r="W236" s="254"/>
      <c r="X236" s="254"/>
      <c r="Y236" s="254"/>
      <c r="Z236" s="254"/>
    </row>
    <row r="237">
      <c r="A237" s="492"/>
      <c r="B237" s="254"/>
      <c r="C237" s="492"/>
      <c r="D237" s="181"/>
      <c r="E237" s="492"/>
      <c r="F237" s="254"/>
      <c r="G237" s="492"/>
      <c r="H237" s="254"/>
      <c r="I237" s="500"/>
      <c r="J237" s="181"/>
      <c r="K237" s="500"/>
      <c r="L237" s="181"/>
      <c r="M237" s="253"/>
      <c r="N237" s="254"/>
      <c r="O237" s="500"/>
      <c r="P237" s="181"/>
      <c r="Q237" s="492"/>
      <c r="R237" s="254"/>
      <c r="S237" s="501"/>
      <c r="T237" s="101"/>
      <c r="U237" s="253"/>
      <c r="V237" s="254"/>
      <c r="W237" s="254"/>
      <c r="X237" s="254"/>
      <c r="Y237" s="254"/>
      <c r="Z237" s="254"/>
    </row>
    <row r="238">
      <c r="A238" s="492"/>
      <c r="B238" s="254"/>
      <c r="C238" s="492"/>
      <c r="D238" s="181"/>
      <c r="E238" s="492"/>
      <c r="F238" s="254"/>
      <c r="G238" s="492"/>
      <c r="H238" s="254"/>
      <c r="I238" s="500"/>
      <c r="J238" s="181"/>
      <c r="K238" s="500"/>
      <c r="L238" s="181"/>
      <c r="M238" s="253"/>
      <c r="N238" s="254"/>
      <c r="O238" s="500"/>
      <c r="P238" s="181"/>
      <c r="Q238" s="492"/>
      <c r="R238" s="254"/>
      <c r="S238" s="501"/>
      <c r="T238" s="101"/>
      <c r="U238" s="253"/>
      <c r="V238" s="254"/>
      <c r="W238" s="254"/>
      <c r="X238" s="254"/>
      <c r="Y238" s="254"/>
      <c r="Z238" s="254"/>
    </row>
    <row r="239">
      <c r="A239" s="492"/>
      <c r="B239" s="254"/>
      <c r="C239" s="492"/>
      <c r="D239" s="181"/>
      <c r="E239" s="492"/>
      <c r="F239" s="254"/>
      <c r="G239" s="492"/>
      <c r="H239" s="254"/>
      <c r="I239" s="500"/>
      <c r="J239" s="181"/>
      <c r="K239" s="500"/>
      <c r="L239" s="181"/>
      <c r="M239" s="253"/>
      <c r="N239" s="254"/>
      <c r="O239" s="500"/>
      <c r="P239" s="181"/>
      <c r="Q239" s="492"/>
      <c r="R239" s="254"/>
      <c r="S239" s="501"/>
      <c r="T239" s="101"/>
      <c r="U239" s="253"/>
      <c r="V239" s="254"/>
      <c r="W239" s="254"/>
      <c r="X239" s="254"/>
      <c r="Y239" s="254"/>
      <c r="Z239" s="254"/>
    </row>
    <row r="240">
      <c r="A240" s="492"/>
      <c r="B240" s="254"/>
      <c r="C240" s="492"/>
      <c r="D240" s="181"/>
      <c r="E240" s="492"/>
      <c r="F240" s="254"/>
      <c r="G240" s="492"/>
      <c r="H240" s="254"/>
      <c r="I240" s="500"/>
      <c r="J240" s="181"/>
      <c r="K240" s="500"/>
      <c r="L240" s="181"/>
      <c r="M240" s="253"/>
      <c r="N240" s="254"/>
      <c r="O240" s="500"/>
      <c r="P240" s="181"/>
      <c r="Q240" s="492"/>
      <c r="R240" s="254"/>
      <c r="S240" s="501"/>
      <c r="T240" s="101"/>
      <c r="U240" s="253"/>
      <c r="V240" s="254"/>
      <c r="W240" s="254"/>
      <c r="X240" s="254"/>
      <c r="Y240" s="254"/>
      <c r="Z240" s="254"/>
    </row>
    <row r="241">
      <c r="A241" s="492"/>
      <c r="B241" s="254"/>
      <c r="C241" s="492"/>
      <c r="D241" s="181"/>
      <c r="E241" s="492"/>
      <c r="F241" s="254"/>
      <c r="G241" s="492"/>
      <c r="H241" s="254"/>
      <c r="I241" s="500"/>
      <c r="J241" s="181"/>
      <c r="K241" s="500"/>
      <c r="L241" s="181"/>
      <c r="M241" s="253"/>
      <c r="N241" s="254"/>
      <c r="O241" s="500"/>
      <c r="P241" s="181"/>
      <c r="Q241" s="492"/>
      <c r="R241" s="254"/>
      <c r="S241" s="501"/>
      <c r="T241" s="101"/>
      <c r="U241" s="253"/>
      <c r="V241" s="254"/>
      <c r="W241" s="254"/>
      <c r="X241" s="254"/>
      <c r="Y241" s="254"/>
      <c r="Z241" s="254"/>
    </row>
    <row r="242">
      <c r="A242" s="492"/>
      <c r="B242" s="254"/>
      <c r="C242" s="492"/>
      <c r="D242" s="181"/>
      <c r="E242" s="492"/>
      <c r="F242" s="254"/>
      <c r="G242" s="492"/>
      <c r="H242" s="254"/>
      <c r="I242" s="500"/>
      <c r="J242" s="181"/>
      <c r="K242" s="500"/>
      <c r="L242" s="181"/>
      <c r="M242" s="253"/>
      <c r="N242" s="254"/>
      <c r="O242" s="500"/>
      <c r="P242" s="181"/>
      <c r="Q242" s="492"/>
      <c r="R242" s="254"/>
      <c r="S242" s="501"/>
      <c r="T242" s="101"/>
      <c r="U242" s="253"/>
      <c r="V242" s="254"/>
      <c r="W242" s="254"/>
      <c r="X242" s="254"/>
      <c r="Y242" s="254"/>
      <c r="Z242" s="254"/>
    </row>
    <row r="243">
      <c r="A243" s="492"/>
      <c r="B243" s="254"/>
      <c r="C243" s="492"/>
      <c r="D243" s="181"/>
      <c r="E243" s="492"/>
      <c r="F243" s="254"/>
      <c r="G243" s="492"/>
      <c r="H243" s="254"/>
      <c r="I243" s="500"/>
      <c r="J243" s="181"/>
      <c r="K243" s="500"/>
      <c r="L243" s="181"/>
      <c r="M243" s="253"/>
      <c r="N243" s="254"/>
      <c r="O243" s="500"/>
      <c r="P243" s="181"/>
      <c r="Q243" s="492"/>
      <c r="R243" s="254"/>
      <c r="S243" s="501"/>
      <c r="T243" s="101"/>
      <c r="U243" s="253"/>
      <c r="V243" s="254"/>
      <c r="W243" s="254"/>
      <c r="X243" s="254"/>
      <c r="Y243" s="254"/>
      <c r="Z243" s="254"/>
    </row>
    <row r="244">
      <c r="A244" s="492"/>
      <c r="B244" s="254"/>
      <c r="C244" s="492"/>
      <c r="D244" s="181"/>
      <c r="E244" s="492"/>
      <c r="F244" s="254"/>
      <c r="G244" s="492"/>
      <c r="H244" s="254"/>
      <c r="I244" s="500"/>
      <c r="J244" s="181"/>
      <c r="K244" s="500"/>
      <c r="L244" s="181"/>
      <c r="M244" s="253"/>
      <c r="N244" s="254"/>
      <c r="O244" s="500"/>
      <c r="P244" s="181"/>
      <c r="Q244" s="492"/>
      <c r="R244" s="254"/>
      <c r="S244" s="501"/>
      <c r="T244" s="101"/>
      <c r="U244" s="253"/>
      <c r="V244" s="254"/>
      <c r="W244" s="254"/>
      <c r="X244" s="254"/>
      <c r="Y244" s="254"/>
      <c r="Z244" s="254"/>
    </row>
    <row r="245">
      <c r="A245" s="492"/>
      <c r="B245" s="254"/>
      <c r="C245" s="492"/>
      <c r="D245" s="181"/>
      <c r="E245" s="492"/>
      <c r="F245" s="254"/>
      <c r="G245" s="492"/>
      <c r="H245" s="254"/>
      <c r="I245" s="500"/>
      <c r="J245" s="181"/>
      <c r="K245" s="500"/>
      <c r="L245" s="181"/>
      <c r="M245" s="253"/>
      <c r="N245" s="254"/>
      <c r="O245" s="500"/>
      <c r="P245" s="181"/>
      <c r="Q245" s="492"/>
      <c r="R245" s="254"/>
      <c r="S245" s="501"/>
      <c r="T245" s="101"/>
      <c r="U245" s="253"/>
      <c r="V245" s="254"/>
      <c r="W245" s="254"/>
      <c r="X245" s="254"/>
      <c r="Y245" s="254"/>
      <c r="Z245" s="254"/>
    </row>
    <row r="246">
      <c r="A246" s="492"/>
      <c r="B246" s="254"/>
      <c r="C246" s="492"/>
      <c r="D246" s="181"/>
      <c r="E246" s="492"/>
      <c r="F246" s="254"/>
      <c r="G246" s="492"/>
      <c r="H246" s="254"/>
      <c r="I246" s="500"/>
      <c r="J246" s="181"/>
      <c r="K246" s="500"/>
      <c r="L246" s="181"/>
      <c r="M246" s="253"/>
      <c r="N246" s="254"/>
      <c r="O246" s="500"/>
      <c r="P246" s="181"/>
      <c r="Q246" s="492"/>
      <c r="R246" s="254"/>
      <c r="S246" s="501"/>
      <c r="T246" s="101"/>
      <c r="U246" s="253"/>
      <c r="V246" s="254"/>
      <c r="W246" s="254"/>
      <c r="X246" s="254"/>
      <c r="Y246" s="254"/>
      <c r="Z246" s="254"/>
    </row>
    <row r="247">
      <c r="A247" s="492"/>
      <c r="B247" s="254"/>
      <c r="C247" s="492"/>
      <c r="D247" s="181"/>
      <c r="E247" s="492"/>
      <c r="F247" s="254"/>
      <c r="G247" s="492"/>
      <c r="H247" s="254"/>
      <c r="I247" s="500"/>
      <c r="J247" s="181"/>
      <c r="K247" s="500"/>
      <c r="L247" s="181"/>
      <c r="M247" s="253"/>
      <c r="N247" s="254"/>
      <c r="O247" s="500"/>
      <c r="P247" s="181"/>
      <c r="Q247" s="492"/>
      <c r="R247" s="254"/>
      <c r="S247" s="501"/>
      <c r="T247" s="101"/>
      <c r="U247" s="253"/>
      <c r="V247" s="254"/>
      <c r="W247" s="254"/>
      <c r="X247" s="254"/>
      <c r="Y247" s="254"/>
      <c r="Z247" s="254"/>
    </row>
    <row r="248">
      <c r="A248" s="492"/>
      <c r="B248" s="254"/>
      <c r="C248" s="492"/>
      <c r="D248" s="181"/>
      <c r="E248" s="492"/>
      <c r="F248" s="254"/>
      <c r="G248" s="492"/>
      <c r="H248" s="254"/>
      <c r="I248" s="500"/>
      <c r="J248" s="181"/>
      <c r="K248" s="500"/>
      <c r="L248" s="181"/>
      <c r="M248" s="253"/>
      <c r="N248" s="254"/>
      <c r="O248" s="500"/>
      <c r="P248" s="181"/>
      <c r="Q248" s="492"/>
      <c r="R248" s="254"/>
      <c r="S248" s="501"/>
      <c r="T248" s="101"/>
      <c r="U248" s="253"/>
      <c r="V248" s="254"/>
      <c r="W248" s="254"/>
      <c r="X248" s="254"/>
      <c r="Y248" s="254"/>
      <c r="Z248" s="254"/>
    </row>
    <row r="249">
      <c r="A249" s="492"/>
      <c r="B249" s="254"/>
      <c r="C249" s="492"/>
      <c r="D249" s="181"/>
      <c r="E249" s="492"/>
      <c r="F249" s="254"/>
      <c r="G249" s="492"/>
      <c r="H249" s="254"/>
      <c r="I249" s="500"/>
      <c r="J249" s="181"/>
      <c r="K249" s="500"/>
      <c r="L249" s="181"/>
      <c r="M249" s="253"/>
      <c r="N249" s="254"/>
      <c r="O249" s="500"/>
      <c r="P249" s="181"/>
      <c r="Q249" s="492"/>
      <c r="R249" s="254"/>
      <c r="S249" s="501"/>
      <c r="T249" s="101"/>
      <c r="U249" s="253"/>
      <c r="V249" s="254"/>
      <c r="W249" s="254"/>
      <c r="X249" s="254"/>
      <c r="Y249" s="254"/>
      <c r="Z249" s="254"/>
    </row>
    <row r="250">
      <c r="A250" s="492"/>
      <c r="B250" s="254"/>
      <c r="C250" s="492"/>
      <c r="D250" s="181"/>
      <c r="E250" s="492"/>
      <c r="F250" s="254"/>
      <c r="G250" s="492"/>
      <c r="H250" s="254"/>
      <c r="I250" s="500"/>
      <c r="J250" s="181"/>
      <c r="K250" s="500"/>
      <c r="L250" s="181"/>
      <c r="M250" s="253"/>
      <c r="N250" s="254"/>
      <c r="O250" s="500"/>
      <c r="P250" s="181"/>
      <c r="Q250" s="492"/>
      <c r="R250" s="254"/>
      <c r="S250" s="501"/>
      <c r="T250" s="101"/>
      <c r="U250" s="253"/>
      <c r="V250" s="254"/>
      <c r="W250" s="254"/>
      <c r="X250" s="254"/>
      <c r="Y250" s="254"/>
      <c r="Z250" s="254"/>
    </row>
    <row r="251">
      <c r="A251" s="492"/>
      <c r="B251" s="254"/>
      <c r="C251" s="492"/>
      <c r="D251" s="181"/>
      <c r="E251" s="492"/>
      <c r="F251" s="254"/>
      <c r="G251" s="492"/>
      <c r="H251" s="254"/>
      <c r="I251" s="500"/>
      <c r="J251" s="181"/>
      <c r="K251" s="500"/>
      <c r="L251" s="181"/>
      <c r="M251" s="253"/>
      <c r="N251" s="254"/>
      <c r="O251" s="500"/>
      <c r="P251" s="181"/>
      <c r="Q251" s="492"/>
      <c r="R251" s="254"/>
      <c r="S251" s="501"/>
      <c r="T251" s="101"/>
      <c r="U251" s="253"/>
      <c r="V251" s="254"/>
      <c r="W251" s="254"/>
      <c r="X251" s="254"/>
      <c r="Y251" s="254"/>
      <c r="Z251" s="254"/>
    </row>
    <row r="252">
      <c r="A252" s="492"/>
      <c r="B252" s="254"/>
      <c r="C252" s="492"/>
      <c r="D252" s="181"/>
      <c r="E252" s="492"/>
      <c r="F252" s="254"/>
      <c r="G252" s="492"/>
      <c r="H252" s="254"/>
      <c r="I252" s="500"/>
      <c r="J252" s="181"/>
      <c r="K252" s="500"/>
      <c r="L252" s="181"/>
      <c r="M252" s="253"/>
      <c r="N252" s="254"/>
      <c r="O252" s="500"/>
      <c r="P252" s="181"/>
      <c r="Q252" s="492"/>
      <c r="R252" s="254"/>
      <c r="S252" s="501"/>
      <c r="T252" s="101"/>
      <c r="U252" s="253"/>
      <c r="V252" s="254"/>
      <c r="W252" s="254"/>
      <c r="X252" s="254"/>
      <c r="Y252" s="254"/>
      <c r="Z252" s="254"/>
    </row>
    <row r="253">
      <c r="A253" s="492"/>
      <c r="B253" s="254"/>
      <c r="C253" s="492"/>
      <c r="D253" s="181"/>
      <c r="E253" s="492"/>
      <c r="F253" s="254"/>
      <c r="G253" s="492"/>
      <c r="H253" s="254"/>
      <c r="I253" s="500"/>
      <c r="J253" s="181"/>
      <c r="K253" s="500"/>
      <c r="L253" s="181"/>
      <c r="M253" s="253"/>
      <c r="N253" s="254"/>
      <c r="O253" s="500"/>
      <c r="P253" s="181"/>
      <c r="Q253" s="492"/>
      <c r="R253" s="254"/>
      <c r="S253" s="501"/>
      <c r="T253" s="101"/>
      <c r="U253" s="253"/>
      <c r="V253" s="254"/>
      <c r="W253" s="254"/>
      <c r="X253" s="254"/>
      <c r="Y253" s="254"/>
      <c r="Z253" s="254"/>
    </row>
    <row r="254">
      <c r="A254" s="492"/>
      <c r="B254" s="254"/>
      <c r="C254" s="492"/>
      <c r="D254" s="181"/>
      <c r="E254" s="492"/>
      <c r="F254" s="254"/>
      <c r="G254" s="492"/>
      <c r="H254" s="254"/>
      <c r="I254" s="500"/>
      <c r="J254" s="181"/>
      <c r="K254" s="500"/>
      <c r="L254" s="181"/>
      <c r="M254" s="253"/>
      <c r="N254" s="254"/>
      <c r="O254" s="500"/>
      <c r="P254" s="181"/>
      <c r="Q254" s="492"/>
      <c r="R254" s="254"/>
      <c r="S254" s="501"/>
      <c r="T254" s="101"/>
      <c r="U254" s="253"/>
      <c r="V254" s="254"/>
      <c r="W254" s="254"/>
      <c r="X254" s="254"/>
      <c r="Y254" s="254"/>
      <c r="Z254" s="254"/>
    </row>
    <row r="255">
      <c r="A255" s="492"/>
      <c r="B255" s="254"/>
      <c r="C255" s="492"/>
      <c r="D255" s="181"/>
      <c r="E255" s="492"/>
      <c r="F255" s="254"/>
      <c r="G255" s="492"/>
      <c r="H255" s="254"/>
      <c r="I255" s="500"/>
      <c r="J255" s="181"/>
      <c r="K255" s="500"/>
      <c r="L255" s="181"/>
      <c r="M255" s="253"/>
      <c r="N255" s="254"/>
      <c r="O255" s="500"/>
      <c r="P255" s="181"/>
      <c r="Q255" s="492"/>
      <c r="R255" s="254"/>
      <c r="S255" s="501"/>
      <c r="T255" s="101"/>
      <c r="U255" s="253"/>
      <c r="V255" s="254"/>
      <c r="W255" s="254"/>
      <c r="X255" s="254"/>
      <c r="Y255" s="254"/>
      <c r="Z255" s="254"/>
    </row>
    <row r="256">
      <c r="A256" s="492"/>
      <c r="B256" s="254"/>
      <c r="C256" s="492"/>
      <c r="D256" s="181"/>
      <c r="E256" s="492"/>
      <c r="F256" s="254"/>
      <c r="G256" s="492"/>
      <c r="H256" s="254"/>
      <c r="I256" s="500"/>
      <c r="J256" s="181"/>
      <c r="K256" s="500"/>
      <c r="L256" s="181"/>
      <c r="M256" s="253"/>
      <c r="N256" s="254"/>
      <c r="O256" s="500"/>
      <c r="P256" s="181"/>
      <c r="Q256" s="492"/>
      <c r="R256" s="254"/>
      <c r="S256" s="501"/>
      <c r="T256" s="101"/>
      <c r="U256" s="253"/>
      <c r="V256" s="254"/>
      <c r="W256" s="254"/>
      <c r="X256" s="254"/>
      <c r="Y256" s="254"/>
      <c r="Z256" s="254"/>
    </row>
    <row r="257">
      <c r="A257" s="492"/>
      <c r="B257" s="254"/>
      <c r="C257" s="492"/>
      <c r="D257" s="181"/>
      <c r="E257" s="492"/>
      <c r="F257" s="254"/>
      <c r="G257" s="492"/>
      <c r="H257" s="254"/>
      <c r="I257" s="500"/>
      <c r="J257" s="181"/>
      <c r="K257" s="500"/>
      <c r="L257" s="181"/>
      <c r="M257" s="253"/>
      <c r="N257" s="254"/>
      <c r="O257" s="500"/>
      <c r="P257" s="181"/>
      <c r="Q257" s="492"/>
      <c r="R257" s="254"/>
      <c r="S257" s="501"/>
      <c r="T257" s="101"/>
      <c r="U257" s="253"/>
      <c r="V257" s="254"/>
      <c r="W257" s="254"/>
      <c r="X257" s="254"/>
      <c r="Y257" s="254"/>
      <c r="Z257" s="254"/>
    </row>
    <row r="258">
      <c r="A258" s="492"/>
      <c r="B258" s="254"/>
      <c r="C258" s="492"/>
      <c r="D258" s="181"/>
      <c r="E258" s="492"/>
      <c r="F258" s="254"/>
      <c r="G258" s="492"/>
      <c r="H258" s="254"/>
      <c r="I258" s="500"/>
      <c r="J258" s="181"/>
      <c r="K258" s="500"/>
      <c r="L258" s="181"/>
      <c r="M258" s="253"/>
      <c r="N258" s="254"/>
      <c r="O258" s="500"/>
      <c r="P258" s="181"/>
      <c r="Q258" s="492"/>
      <c r="R258" s="254"/>
      <c r="S258" s="501"/>
      <c r="T258" s="101"/>
      <c r="U258" s="253"/>
      <c r="V258" s="254"/>
      <c r="W258" s="254"/>
      <c r="X258" s="254"/>
      <c r="Y258" s="254"/>
      <c r="Z258" s="254"/>
    </row>
    <row r="259">
      <c r="A259" s="492"/>
      <c r="B259" s="254"/>
      <c r="C259" s="492"/>
      <c r="D259" s="181"/>
      <c r="E259" s="492"/>
      <c r="F259" s="254"/>
      <c r="G259" s="492"/>
      <c r="H259" s="254"/>
      <c r="I259" s="500"/>
      <c r="J259" s="181"/>
      <c r="K259" s="500"/>
      <c r="L259" s="181"/>
      <c r="M259" s="253"/>
      <c r="N259" s="254"/>
      <c r="O259" s="500"/>
      <c r="P259" s="181"/>
      <c r="Q259" s="492"/>
      <c r="R259" s="254"/>
      <c r="S259" s="501"/>
      <c r="T259" s="101"/>
      <c r="U259" s="253"/>
      <c r="V259" s="254"/>
      <c r="W259" s="254"/>
      <c r="X259" s="254"/>
      <c r="Y259" s="254"/>
      <c r="Z259" s="254"/>
    </row>
    <row r="260">
      <c r="A260" s="492"/>
      <c r="B260" s="254"/>
      <c r="C260" s="492"/>
      <c r="D260" s="181"/>
      <c r="E260" s="492"/>
      <c r="F260" s="254"/>
      <c r="G260" s="492"/>
      <c r="H260" s="254"/>
      <c r="I260" s="500"/>
      <c r="J260" s="181"/>
      <c r="K260" s="500"/>
      <c r="L260" s="181"/>
      <c r="M260" s="253"/>
      <c r="N260" s="254"/>
      <c r="O260" s="500"/>
      <c r="P260" s="181"/>
      <c r="Q260" s="492"/>
      <c r="R260" s="254"/>
      <c r="S260" s="501"/>
      <c r="T260" s="101"/>
      <c r="U260" s="253"/>
      <c r="V260" s="254"/>
      <c r="W260" s="254"/>
      <c r="X260" s="254"/>
      <c r="Y260" s="254"/>
      <c r="Z260" s="254"/>
    </row>
    <row r="261">
      <c r="A261" s="492"/>
      <c r="B261" s="254"/>
      <c r="C261" s="492"/>
      <c r="D261" s="181"/>
      <c r="E261" s="492"/>
      <c r="F261" s="254"/>
      <c r="G261" s="492"/>
      <c r="H261" s="254"/>
      <c r="I261" s="500"/>
      <c r="J261" s="181"/>
      <c r="K261" s="500"/>
      <c r="L261" s="181"/>
      <c r="M261" s="253"/>
      <c r="N261" s="254"/>
      <c r="O261" s="500"/>
      <c r="P261" s="181"/>
      <c r="Q261" s="492"/>
      <c r="R261" s="254"/>
      <c r="S261" s="501"/>
      <c r="T261" s="101"/>
      <c r="U261" s="253"/>
      <c r="V261" s="254"/>
      <c r="W261" s="254"/>
      <c r="X261" s="254"/>
      <c r="Y261" s="254"/>
      <c r="Z261" s="254"/>
    </row>
    <row r="262">
      <c r="A262" s="492"/>
      <c r="B262" s="254"/>
      <c r="C262" s="492"/>
      <c r="D262" s="181"/>
      <c r="E262" s="492"/>
      <c r="F262" s="254"/>
      <c r="G262" s="492"/>
      <c r="H262" s="254"/>
      <c r="I262" s="500"/>
      <c r="J262" s="181"/>
      <c r="K262" s="500"/>
      <c r="L262" s="181"/>
      <c r="M262" s="253"/>
      <c r="N262" s="254"/>
      <c r="O262" s="500"/>
      <c r="P262" s="181"/>
      <c r="Q262" s="492"/>
      <c r="R262" s="254"/>
      <c r="S262" s="501"/>
      <c r="T262" s="101"/>
      <c r="U262" s="253"/>
      <c r="V262" s="254"/>
      <c r="W262" s="254"/>
      <c r="X262" s="254"/>
      <c r="Y262" s="254"/>
      <c r="Z262" s="254"/>
    </row>
    <row r="263">
      <c r="A263" s="492"/>
      <c r="B263" s="254"/>
      <c r="C263" s="492"/>
      <c r="D263" s="181"/>
      <c r="E263" s="492"/>
      <c r="F263" s="254"/>
      <c r="G263" s="492"/>
      <c r="H263" s="254"/>
      <c r="I263" s="500"/>
      <c r="J263" s="181"/>
      <c r="K263" s="500"/>
      <c r="L263" s="181"/>
      <c r="M263" s="253"/>
      <c r="N263" s="254"/>
      <c r="O263" s="500"/>
      <c r="P263" s="181"/>
      <c r="Q263" s="492"/>
      <c r="R263" s="254"/>
      <c r="S263" s="501"/>
      <c r="T263" s="101"/>
      <c r="U263" s="253"/>
      <c r="V263" s="254"/>
      <c r="W263" s="254"/>
      <c r="X263" s="254"/>
      <c r="Y263" s="254"/>
      <c r="Z263" s="254"/>
    </row>
    <row r="264">
      <c r="A264" s="492"/>
      <c r="B264" s="254"/>
      <c r="C264" s="492"/>
      <c r="D264" s="181"/>
      <c r="E264" s="492"/>
      <c r="F264" s="254"/>
      <c r="G264" s="492"/>
      <c r="H264" s="254"/>
      <c r="I264" s="500"/>
      <c r="J264" s="181"/>
      <c r="K264" s="500"/>
      <c r="L264" s="181"/>
      <c r="M264" s="253"/>
      <c r="N264" s="254"/>
      <c r="O264" s="500"/>
      <c r="P264" s="181"/>
      <c r="Q264" s="492"/>
      <c r="R264" s="254"/>
      <c r="S264" s="501"/>
      <c r="T264" s="101"/>
      <c r="U264" s="253"/>
      <c r="V264" s="254"/>
      <c r="W264" s="254"/>
      <c r="X264" s="254"/>
      <c r="Y264" s="254"/>
      <c r="Z264" s="254"/>
    </row>
    <row r="265">
      <c r="A265" s="492"/>
      <c r="B265" s="254"/>
      <c r="C265" s="492"/>
      <c r="D265" s="181"/>
      <c r="E265" s="492"/>
      <c r="F265" s="254"/>
      <c r="G265" s="492"/>
      <c r="H265" s="254"/>
      <c r="I265" s="500"/>
      <c r="J265" s="181"/>
      <c r="K265" s="500"/>
      <c r="L265" s="181"/>
      <c r="M265" s="253"/>
      <c r="N265" s="254"/>
      <c r="O265" s="500"/>
      <c r="P265" s="181"/>
      <c r="Q265" s="492"/>
      <c r="R265" s="254"/>
      <c r="S265" s="501"/>
      <c r="T265" s="101"/>
      <c r="U265" s="253"/>
      <c r="V265" s="254"/>
      <c r="W265" s="254"/>
      <c r="X265" s="254"/>
      <c r="Y265" s="254"/>
      <c r="Z265" s="254"/>
    </row>
    <row r="266">
      <c r="A266" s="492"/>
      <c r="B266" s="254"/>
      <c r="C266" s="492"/>
      <c r="D266" s="181"/>
      <c r="E266" s="492"/>
      <c r="F266" s="254"/>
      <c r="G266" s="492"/>
      <c r="H266" s="254"/>
      <c r="I266" s="500"/>
      <c r="J266" s="181"/>
      <c r="K266" s="500"/>
      <c r="L266" s="181"/>
      <c r="M266" s="253"/>
      <c r="N266" s="254"/>
      <c r="O266" s="500"/>
      <c r="P266" s="181"/>
      <c r="Q266" s="492"/>
      <c r="R266" s="254"/>
      <c r="S266" s="501"/>
      <c r="T266" s="101"/>
      <c r="U266" s="253"/>
      <c r="V266" s="254"/>
      <c r="W266" s="254"/>
      <c r="X266" s="254"/>
      <c r="Y266" s="254"/>
      <c r="Z266" s="254"/>
    </row>
    <row r="267">
      <c r="A267" s="492"/>
      <c r="B267" s="254"/>
      <c r="C267" s="492"/>
      <c r="D267" s="181"/>
      <c r="E267" s="492"/>
      <c r="F267" s="254"/>
      <c r="G267" s="492"/>
      <c r="H267" s="254"/>
      <c r="I267" s="500"/>
      <c r="J267" s="181"/>
      <c r="K267" s="500"/>
      <c r="L267" s="181"/>
      <c r="M267" s="253"/>
      <c r="N267" s="254"/>
      <c r="O267" s="500"/>
      <c r="P267" s="181"/>
      <c r="Q267" s="492"/>
      <c r="R267" s="254"/>
      <c r="S267" s="501"/>
      <c r="T267" s="101"/>
      <c r="U267" s="253"/>
      <c r="V267" s="254"/>
      <c r="W267" s="254"/>
      <c r="X267" s="254"/>
      <c r="Y267" s="254"/>
      <c r="Z267" s="254"/>
    </row>
    <row r="268">
      <c r="A268" s="492"/>
      <c r="B268" s="254"/>
      <c r="C268" s="492"/>
      <c r="D268" s="181"/>
      <c r="E268" s="492"/>
      <c r="F268" s="254"/>
      <c r="G268" s="492"/>
      <c r="H268" s="254"/>
      <c r="I268" s="500"/>
      <c r="J268" s="181"/>
      <c r="K268" s="500"/>
      <c r="L268" s="181"/>
      <c r="M268" s="253"/>
      <c r="N268" s="254"/>
      <c r="O268" s="500"/>
      <c r="P268" s="181"/>
      <c r="Q268" s="492"/>
      <c r="R268" s="254"/>
      <c r="S268" s="501"/>
      <c r="T268" s="101"/>
      <c r="U268" s="253"/>
      <c r="V268" s="254"/>
      <c r="W268" s="254"/>
      <c r="X268" s="254"/>
      <c r="Y268" s="254"/>
      <c r="Z268" s="254"/>
    </row>
    <row r="269">
      <c r="A269" s="492"/>
      <c r="B269" s="254"/>
      <c r="C269" s="492"/>
      <c r="D269" s="181"/>
      <c r="E269" s="492"/>
      <c r="F269" s="254"/>
      <c r="G269" s="492"/>
      <c r="H269" s="254"/>
      <c r="I269" s="500"/>
      <c r="J269" s="181"/>
      <c r="K269" s="500"/>
      <c r="L269" s="181"/>
      <c r="M269" s="253"/>
      <c r="N269" s="254"/>
      <c r="O269" s="500"/>
      <c r="P269" s="181"/>
      <c r="Q269" s="492"/>
      <c r="R269" s="254"/>
      <c r="S269" s="501"/>
      <c r="T269" s="101"/>
      <c r="U269" s="253"/>
      <c r="V269" s="254"/>
      <c r="W269" s="254"/>
      <c r="X269" s="254"/>
      <c r="Y269" s="254"/>
      <c r="Z269" s="254"/>
    </row>
    <row r="270">
      <c r="A270" s="492"/>
      <c r="B270" s="254"/>
      <c r="C270" s="492"/>
      <c r="D270" s="181"/>
      <c r="E270" s="492"/>
      <c r="F270" s="254"/>
      <c r="G270" s="492"/>
      <c r="H270" s="254"/>
      <c r="I270" s="500"/>
      <c r="J270" s="181"/>
      <c r="K270" s="500"/>
      <c r="L270" s="181"/>
      <c r="M270" s="253"/>
      <c r="N270" s="254"/>
      <c r="O270" s="500"/>
      <c r="P270" s="181"/>
      <c r="Q270" s="492"/>
      <c r="R270" s="254"/>
      <c r="S270" s="501"/>
      <c r="T270" s="101"/>
      <c r="U270" s="253"/>
      <c r="V270" s="254"/>
      <c r="W270" s="254"/>
      <c r="X270" s="254"/>
      <c r="Y270" s="254"/>
      <c r="Z270" s="254"/>
    </row>
    <row r="271">
      <c r="A271" s="492"/>
      <c r="B271" s="254"/>
      <c r="C271" s="492"/>
      <c r="D271" s="181"/>
      <c r="E271" s="492"/>
      <c r="F271" s="254"/>
      <c r="G271" s="492"/>
      <c r="H271" s="254"/>
      <c r="I271" s="500"/>
      <c r="J271" s="181"/>
      <c r="K271" s="500"/>
      <c r="L271" s="181"/>
      <c r="M271" s="253"/>
      <c r="N271" s="254"/>
      <c r="O271" s="500"/>
      <c r="P271" s="181"/>
      <c r="Q271" s="492"/>
      <c r="R271" s="254"/>
      <c r="S271" s="501"/>
      <c r="T271" s="101"/>
      <c r="U271" s="253"/>
      <c r="V271" s="254"/>
      <c r="W271" s="254"/>
      <c r="X271" s="254"/>
      <c r="Y271" s="254"/>
      <c r="Z271" s="254"/>
    </row>
    <row r="272">
      <c r="A272" s="492"/>
      <c r="B272" s="254"/>
      <c r="C272" s="492"/>
      <c r="D272" s="181"/>
      <c r="E272" s="492"/>
      <c r="F272" s="254"/>
      <c r="G272" s="492"/>
      <c r="H272" s="254"/>
      <c r="I272" s="500"/>
      <c r="J272" s="181"/>
      <c r="K272" s="500"/>
      <c r="L272" s="181"/>
      <c r="M272" s="253"/>
      <c r="N272" s="254"/>
      <c r="O272" s="500"/>
      <c r="P272" s="181"/>
      <c r="Q272" s="492"/>
      <c r="R272" s="254"/>
      <c r="S272" s="501"/>
      <c r="T272" s="101"/>
      <c r="U272" s="253"/>
      <c r="V272" s="254"/>
      <c r="W272" s="254"/>
      <c r="X272" s="254"/>
      <c r="Y272" s="254"/>
      <c r="Z272" s="254"/>
    </row>
    <row r="273">
      <c r="A273" s="492"/>
      <c r="B273" s="254"/>
      <c r="C273" s="492"/>
      <c r="D273" s="181"/>
      <c r="E273" s="492"/>
      <c r="F273" s="254"/>
      <c r="G273" s="492"/>
      <c r="H273" s="254"/>
      <c r="I273" s="500"/>
      <c r="J273" s="181"/>
      <c r="K273" s="500"/>
      <c r="L273" s="181"/>
      <c r="M273" s="253"/>
      <c r="N273" s="254"/>
      <c r="O273" s="500"/>
      <c r="P273" s="181"/>
      <c r="Q273" s="492"/>
      <c r="R273" s="254"/>
      <c r="S273" s="501"/>
      <c r="T273" s="101"/>
      <c r="U273" s="253"/>
      <c r="V273" s="254"/>
      <c r="W273" s="254"/>
      <c r="X273" s="254"/>
      <c r="Y273" s="254"/>
      <c r="Z273" s="254"/>
    </row>
    <row r="274">
      <c r="A274" s="492"/>
      <c r="B274" s="254"/>
      <c r="C274" s="492"/>
      <c r="D274" s="181"/>
      <c r="E274" s="492"/>
      <c r="F274" s="254"/>
      <c r="G274" s="492"/>
      <c r="H274" s="254"/>
      <c r="I274" s="500"/>
      <c r="J274" s="181"/>
      <c r="K274" s="500"/>
      <c r="L274" s="181"/>
      <c r="M274" s="253"/>
      <c r="N274" s="254"/>
      <c r="O274" s="500"/>
      <c r="P274" s="181"/>
      <c r="Q274" s="492"/>
      <c r="R274" s="254"/>
      <c r="S274" s="501"/>
      <c r="T274" s="101"/>
      <c r="U274" s="253"/>
      <c r="V274" s="254"/>
      <c r="W274" s="254"/>
      <c r="X274" s="254"/>
      <c r="Y274" s="254"/>
      <c r="Z274" s="254"/>
    </row>
    <row r="275">
      <c r="A275" s="492"/>
      <c r="B275" s="254"/>
      <c r="C275" s="492"/>
      <c r="D275" s="181"/>
      <c r="E275" s="492"/>
      <c r="F275" s="254"/>
      <c r="G275" s="492"/>
      <c r="H275" s="254"/>
      <c r="I275" s="500"/>
      <c r="J275" s="181"/>
      <c r="K275" s="500"/>
      <c r="L275" s="181"/>
      <c r="M275" s="253"/>
      <c r="N275" s="254"/>
      <c r="O275" s="500"/>
      <c r="P275" s="181"/>
      <c r="Q275" s="492"/>
      <c r="R275" s="254"/>
      <c r="S275" s="501"/>
      <c r="T275" s="101"/>
      <c r="U275" s="253"/>
      <c r="V275" s="254"/>
      <c r="W275" s="254"/>
      <c r="X275" s="254"/>
      <c r="Y275" s="254"/>
      <c r="Z275" s="254"/>
    </row>
    <row r="276">
      <c r="A276" s="492"/>
      <c r="B276" s="254"/>
      <c r="C276" s="492"/>
      <c r="D276" s="181"/>
      <c r="E276" s="492"/>
      <c r="F276" s="254"/>
      <c r="G276" s="492"/>
      <c r="H276" s="254"/>
      <c r="I276" s="500"/>
      <c r="J276" s="181"/>
      <c r="K276" s="500"/>
      <c r="L276" s="181"/>
      <c r="M276" s="253"/>
      <c r="N276" s="254"/>
      <c r="O276" s="500"/>
      <c r="P276" s="181"/>
      <c r="Q276" s="492"/>
      <c r="R276" s="254"/>
      <c r="S276" s="501"/>
      <c r="T276" s="101"/>
      <c r="U276" s="253"/>
      <c r="V276" s="254"/>
      <c r="W276" s="254"/>
      <c r="X276" s="254"/>
      <c r="Y276" s="254"/>
      <c r="Z276" s="254"/>
    </row>
    <row r="277">
      <c r="A277" s="492"/>
      <c r="B277" s="254"/>
      <c r="C277" s="492"/>
      <c r="D277" s="181"/>
      <c r="E277" s="492"/>
      <c r="F277" s="254"/>
      <c r="G277" s="492"/>
      <c r="H277" s="254"/>
      <c r="I277" s="500"/>
      <c r="J277" s="181"/>
      <c r="K277" s="500"/>
      <c r="L277" s="181"/>
      <c r="M277" s="253"/>
      <c r="N277" s="254"/>
      <c r="O277" s="500"/>
      <c r="P277" s="181"/>
      <c r="Q277" s="492"/>
      <c r="R277" s="254"/>
      <c r="S277" s="501"/>
      <c r="T277" s="101"/>
      <c r="U277" s="253"/>
      <c r="V277" s="254"/>
      <c r="W277" s="254"/>
      <c r="X277" s="254"/>
      <c r="Y277" s="254"/>
      <c r="Z277" s="254"/>
    </row>
    <row r="278">
      <c r="A278" s="492"/>
      <c r="B278" s="254"/>
      <c r="C278" s="492"/>
      <c r="D278" s="181"/>
      <c r="E278" s="492"/>
      <c r="F278" s="254"/>
      <c r="G278" s="492"/>
      <c r="H278" s="254"/>
      <c r="I278" s="500"/>
      <c r="J278" s="181"/>
      <c r="K278" s="500"/>
      <c r="L278" s="181"/>
      <c r="M278" s="253"/>
      <c r="N278" s="254"/>
      <c r="O278" s="500"/>
      <c r="P278" s="181"/>
      <c r="Q278" s="492"/>
      <c r="R278" s="254"/>
      <c r="S278" s="501"/>
      <c r="T278" s="101"/>
      <c r="U278" s="253"/>
      <c r="V278" s="254"/>
      <c r="W278" s="254"/>
      <c r="X278" s="254"/>
      <c r="Y278" s="254"/>
      <c r="Z278" s="254"/>
    </row>
    <row r="279">
      <c r="A279" s="492"/>
      <c r="B279" s="254"/>
      <c r="C279" s="492"/>
      <c r="D279" s="181"/>
      <c r="E279" s="492"/>
      <c r="F279" s="254"/>
      <c r="G279" s="492"/>
      <c r="H279" s="254"/>
      <c r="I279" s="500"/>
      <c r="J279" s="181"/>
      <c r="K279" s="500"/>
      <c r="L279" s="181"/>
      <c r="M279" s="253"/>
      <c r="N279" s="254"/>
      <c r="O279" s="500"/>
      <c r="P279" s="181"/>
      <c r="Q279" s="492"/>
      <c r="R279" s="254"/>
      <c r="S279" s="501"/>
      <c r="T279" s="101"/>
      <c r="U279" s="253"/>
      <c r="V279" s="254"/>
      <c r="W279" s="254"/>
      <c r="X279" s="254"/>
      <c r="Y279" s="254"/>
      <c r="Z279" s="254"/>
    </row>
    <row r="280">
      <c r="A280" s="492"/>
      <c r="B280" s="254"/>
      <c r="C280" s="492"/>
      <c r="D280" s="181"/>
      <c r="E280" s="492"/>
      <c r="F280" s="254"/>
      <c r="G280" s="492"/>
      <c r="H280" s="254"/>
      <c r="I280" s="500"/>
      <c r="J280" s="181"/>
      <c r="K280" s="500"/>
      <c r="L280" s="181"/>
      <c r="M280" s="253"/>
      <c r="N280" s="254"/>
      <c r="O280" s="500"/>
      <c r="P280" s="181"/>
      <c r="Q280" s="492"/>
      <c r="R280" s="254"/>
      <c r="S280" s="501"/>
      <c r="T280" s="101"/>
      <c r="U280" s="253"/>
      <c r="V280" s="254"/>
      <c r="W280" s="254"/>
      <c r="X280" s="254"/>
      <c r="Y280" s="254"/>
      <c r="Z280" s="254"/>
    </row>
    <row r="281">
      <c r="A281" s="492"/>
      <c r="B281" s="254"/>
      <c r="C281" s="492"/>
      <c r="D281" s="181"/>
      <c r="E281" s="492"/>
      <c r="F281" s="254"/>
      <c r="G281" s="492"/>
      <c r="H281" s="254"/>
      <c r="I281" s="500"/>
      <c r="J281" s="181"/>
      <c r="K281" s="500"/>
      <c r="L281" s="181"/>
      <c r="M281" s="253"/>
      <c r="N281" s="254"/>
      <c r="O281" s="500"/>
      <c r="P281" s="181"/>
      <c r="Q281" s="492"/>
      <c r="R281" s="254"/>
      <c r="S281" s="501"/>
      <c r="T281" s="101"/>
      <c r="U281" s="253"/>
      <c r="V281" s="254"/>
      <c r="W281" s="254"/>
      <c r="X281" s="254"/>
      <c r="Y281" s="254"/>
      <c r="Z281" s="254"/>
    </row>
    <row r="282">
      <c r="A282" s="492"/>
      <c r="B282" s="254"/>
      <c r="C282" s="492"/>
      <c r="D282" s="181"/>
      <c r="E282" s="492"/>
      <c r="F282" s="254"/>
      <c r="G282" s="492"/>
      <c r="H282" s="254"/>
      <c r="I282" s="500"/>
      <c r="J282" s="181"/>
      <c r="K282" s="500"/>
      <c r="L282" s="181"/>
      <c r="M282" s="253"/>
      <c r="N282" s="254"/>
      <c r="O282" s="500"/>
      <c r="P282" s="181"/>
      <c r="Q282" s="492"/>
      <c r="R282" s="254"/>
      <c r="S282" s="501"/>
      <c r="T282" s="101"/>
      <c r="U282" s="253"/>
      <c r="V282" s="254"/>
      <c r="W282" s="254"/>
      <c r="X282" s="254"/>
      <c r="Y282" s="254"/>
      <c r="Z282" s="254"/>
    </row>
    <row r="283">
      <c r="A283" s="492"/>
      <c r="B283" s="254"/>
      <c r="C283" s="492"/>
      <c r="D283" s="181"/>
      <c r="E283" s="492"/>
      <c r="F283" s="254"/>
      <c r="G283" s="492"/>
      <c r="H283" s="254"/>
      <c r="I283" s="500"/>
      <c r="J283" s="181"/>
      <c r="K283" s="500"/>
      <c r="L283" s="181"/>
      <c r="M283" s="253"/>
      <c r="N283" s="254"/>
      <c r="O283" s="500"/>
      <c r="P283" s="181"/>
      <c r="Q283" s="492"/>
      <c r="R283" s="254"/>
      <c r="S283" s="501"/>
      <c r="T283" s="101"/>
      <c r="U283" s="253"/>
      <c r="V283" s="254"/>
      <c r="W283" s="254"/>
      <c r="X283" s="254"/>
      <c r="Y283" s="254"/>
      <c r="Z283" s="254"/>
    </row>
    <row r="284">
      <c r="A284" s="492"/>
      <c r="B284" s="254"/>
      <c r="C284" s="492"/>
      <c r="D284" s="181"/>
      <c r="E284" s="492"/>
      <c r="F284" s="254"/>
      <c r="G284" s="492"/>
      <c r="H284" s="254"/>
      <c r="I284" s="500"/>
      <c r="J284" s="181"/>
      <c r="K284" s="500"/>
      <c r="L284" s="181"/>
      <c r="M284" s="253"/>
      <c r="N284" s="254"/>
      <c r="O284" s="500"/>
      <c r="P284" s="181"/>
      <c r="Q284" s="492"/>
      <c r="R284" s="254"/>
      <c r="S284" s="501"/>
      <c r="T284" s="101"/>
      <c r="U284" s="253"/>
      <c r="V284" s="254"/>
      <c r="W284" s="254"/>
      <c r="X284" s="254"/>
      <c r="Y284" s="254"/>
      <c r="Z284" s="254"/>
    </row>
    <row r="285">
      <c r="A285" s="492"/>
      <c r="B285" s="254"/>
      <c r="C285" s="492"/>
      <c r="D285" s="181"/>
      <c r="E285" s="492"/>
      <c r="F285" s="254"/>
      <c r="G285" s="492"/>
      <c r="H285" s="254"/>
      <c r="I285" s="500"/>
      <c r="J285" s="181"/>
      <c r="K285" s="500"/>
      <c r="L285" s="181"/>
      <c r="M285" s="253"/>
      <c r="N285" s="254"/>
      <c r="O285" s="500"/>
      <c r="P285" s="181"/>
      <c r="Q285" s="492"/>
      <c r="R285" s="254"/>
      <c r="S285" s="501"/>
      <c r="T285" s="101"/>
      <c r="U285" s="253"/>
      <c r="V285" s="254"/>
      <c r="W285" s="254"/>
      <c r="X285" s="254"/>
      <c r="Y285" s="254"/>
      <c r="Z285" s="254"/>
    </row>
    <row r="286">
      <c r="A286" s="492"/>
      <c r="B286" s="254"/>
      <c r="C286" s="492"/>
      <c r="D286" s="181"/>
      <c r="E286" s="492"/>
      <c r="F286" s="254"/>
      <c r="G286" s="492"/>
      <c r="H286" s="254"/>
      <c r="I286" s="500"/>
      <c r="J286" s="181"/>
      <c r="K286" s="500"/>
      <c r="L286" s="181"/>
      <c r="M286" s="253"/>
      <c r="N286" s="254"/>
      <c r="O286" s="500"/>
      <c r="P286" s="181"/>
      <c r="Q286" s="492"/>
      <c r="R286" s="254"/>
      <c r="S286" s="501"/>
      <c r="T286" s="101"/>
      <c r="U286" s="253"/>
      <c r="V286" s="254"/>
      <c r="W286" s="254"/>
      <c r="X286" s="254"/>
      <c r="Y286" s="254"/>
      <c r="Z286" s="254"/>
    </row>
    <row r="287">
      <c r="A287" s="492"/>
      <c r="B287" s="254"/>
      <c r="C287" s="492"/>
      <c r="D287" s="181"/>
      <c r="E287" s="492"/>
      <c r="F287" s="254"/>
      <c r="G287" s="492"/>
      <c r="H287" s="254"/>
      <c r="I287" s="500"/>
      <c r="J287" s="181"/>
      <c r="K287" s="500"/>
      <c r="L287" s="181"/>
      <c r="M287" s="253"/>
      <c r="N287" s="254"/>
      <c r="O287" s="500"/>
      <c r="P287" s="181"/>
      <c r="Q287" s="492"/>
      <c r="R287" s="254"/>
      <c r="S287" s="501"/>
      <c r="T287" s="101"/>
      <c r="U287" s="253"/>
      <c r="V287" s="254"/>
      <c r="W287" s="254"/>
      <c r="X287" s="254"/>
      <c r="Y287" s="254"/>
      <c r="Z287" s="254"/>
    </row>
    <row r="288">
      <c r="A288" s="492"/>
      <c r="B288" s="254"/>
      <c r="C288" s="492"/>
      <c r="D288" s="181"/>
      <c r="E288" s="492"/>
      <c r="F288" s="254"/>
      <c r="G288" s="492"/>
      <c r="H288" s="254"/>
      <c r="I288" s="500"/>
      <c r="J288" s="181"/>
      <c r="K288" s="500"/>
      <c r="L288" s="181"/>
      <c r="M288" s="253"/>
      <c r="N288" s="254"/>
      <c r="O288" s="500"/>
      <c r="P288" s="181"/>
      <c r="Q288" s="492"/>
      <c r="R288" s="254"/>
      <c r="S288" s="501"/>
      <c r="T288" s="101"/>
      <c r="U288" s="253"/>
      <c r="V288" s="254"/>
      <c r="W288" s="254"/>
      <c r="X288" s="254"/>
      <c r="Y288" s="254"/>
      <c r="Z288" s="254"/>
    </row>
    <row r="289">
      <c r="A289" s="492"/>
      <c r="B289" s="254"/>
      <c r="C289" s="492"/>
      <c r="D289" s="181"/>
      <c r="E289" s="492"/>
      <c r="F289" s="254"/>
      <c r="G289" s="492"/>
      <c r="H289" s="254"/>
      <c r="I289" s="500"/>
      <c r="J289" s="181"/>
      <c r="K289" s="500"/>
      <c r="L289" s="181"/>
      <c r="M289" s="253"/>
      <c r="N289" s="254"/>
      <c r="O289" s="500"/>
      <c r="P289" s="181"/>
      <c r="Q289" s="492"/>
      <c r="R289" s="254"/>
      <c r="S289" s="501"/>
      <c r="T289" s="101"/>
      <c r="U289" s="253"/>
      <c r="V289" s="254"/>
      <c r="W289" s="254"/>
      <c r="X289" s="254"/>
      <c r="Y289" s="254"/>
      <c r="Z289" s="254"/>
    </row>
    <row r="290">
      <c r="A290" s="492"/>
      <c r="B290" s="254"/>
      <c r="C290" s="492"/>
      <c r="D290" s="181"/>
      <c r="E290" s="492"/>
      <c r="F290" s="254"/>
      <c r="G290" s="492"/>
      <c r="H290" s="254"/>
      <c r="I290" s="500"/>
      <c r="J290" s="181"/>
      <c r="K290" s="500"/>
      <c r="L290" s="181"/>
      <c r="M290" s="253"/>
      <c r="N290" s="254"/>
      <c r="O290" s="500"/>
      <c r="P290" s="181"/>
      <c r="Q290" s="492"/>
      <c r="R290" s="254"/>
      <c r="S290" s="501"/>
      <c r="T290" s="101"/>
      <c r="U290" s="253"/>
      <c r="V290" s="254"/>
      <c r="W290" s="254"/>
      <c r="X290" s="254"/>
      <c r="Y290" s="254"/>
      <c r="Z290" s="254"/>
    </row>
    <row r="291">
      <c r="A291" s="492"/>
      <c r="B291" s="254"/>
      <c r="C291" s="492"/>
      <c r="D291" s="181"/>
      <c r="E291" s="492"/>
      <c r="F291" s="254"/>
      <c r="G291" s="492"/>
      <c r="H291" s="254"/>
      <c r="I291" s="500"/>
      <c r="J291" s="181"/>
      <c r="K291" s="500"/>
      <c r="L291" s="181"/>
      <c r="M291" s="253"/>
      <c r="N291" s="254"/>
      <c r="O291" s="500"/>
      <c r="P291" s="181"/>
      <c r="Q291" s="492"/>
      <c r="R291" s="254"/>
      <c r="S291" s="501"/>
      <c r="T291" s="101"/>
      <c r="U291" s="253"/>
      <c r="V291" s="254"/>
      <c r="W291" s="254"/>
      <c r="X291" s="254"/>
      <c r="Y291" s="254"/>
      <c r="Z291" s="254"/>
    </row>
    <row r="292">
      <c r="A292" s="492"/>
      <c r="B292" s="254"/>
      <c r="C292" s="492"/>
      <c r="D292" s="181"/>
      <c r="E292" s="492"/>
      <c r="F292" s="254"/>
      <c r="G292" s="492"/>
      <c r="H292" s="254"/>
      <c r="I292" s="500"/>
      <c r="J292" s="181"/>
      <c r="K292" s="500"/>
      <c r="L292" s="181"/>
      <c r="M292" s="253"/>
      <c r="N292" s="254"/>
      <c r="O292" s="500"/>
      <c r="P292" s="181"/>
      <c r="Q292" s="492"/>
      <c r="R292" s="254"/>
      <c r="S292" s="501"/>
      <c r="T292" s="101"/>
      <c r="U292" s="253"/>
      <c r="V292" s="254"/>
      <c r="W292" s="254"/>
      <c r="X292" s="254"/>
      <c r="Y292" s="254"/>
      <c r="Z292" s="254"/>
    </row>
    <row r="293">
      <c r="A293" s="492"/>
      <c r="B293" s="254"/>
      <c r="C293" s="492"/>
      <c r="D293" s="181"/>
      <c r="E293" s="492"/>
      <c r="F293" s="254"/>
      <c r="G293" s="492"/>
      <c r="H293" s="254"/>
      <c r="I293" s="500"/>
      <c r="J293" s="181"/>
      <c r="K293" s="500"/>
      <c r="L293" s="181"/>
      <c r="M293" s="253"/>
      <c r="N293" s="254"/>
      <c r="O293" s="500"/>
      <c r="P293" s="181"/>
      <c r="Q293" s="492"/>
      <c r="R293" s="254"/>
      <c r="S293" s="501"/>
      <c r="T293" s="101"/>
      <c r="U293" s="253"/>
      <c r="V293" s="254"/>
      <c r="W293" s="254"/>
      <c r="X293" s="254"/>
      <c r="Y293" s="254"/>
      <c r="Z293" s="254"/>
    </row>
    <row r="294">
      <c r="A294" s="492"/>
      <c r="B294" s="254"/>
      <c r="C294" s="492"/>
      <c r="D294" s="181"/>
      <c r="E294" s="492"/>
      <c r="F294" s="254"/>
      <c r="G294" s="492"/>
      <c r="H294" s="254"/>
      <c r="I294" s="500"/>
      <c r="J294" s="181"/>
      <c r="K294" s="500"/>
      <c r="L294" s="181"/>
      <c r="M294" s="253"/>
      <c r="N294" s="254"/>
      <c r="O294" s="500"/>
      <c r="P294" s="181"/>
      <c r="Q294" s="492"/>
      <c r="R294" s="254"/>
      <c r="S294" s="501"/>
      <c r="T294" s="101"/>
      <c r="U294" s="253"/>
      <c r="V294" s="254"/>
      <c r="W294" s="254"/>
      <c r="X294" s="254"/>
      <c r="Y294" s="254"/>
      <c r="Z294" s="254"/>
    </row>
    <row r="295">
      <c r="A295" s="492"/>
      <c r="B295" s="254"/>
      <c r="C295" s="492"/>
      <c r="D295" s="181"/>
      <c r="E295" s="492"/>
      <c r="F295" s="254"/>
      <c r="G295" s="492"/>
      <c r="H295" s="254"/>
      <c r="I295" s="500"/>
      <c r="J295" s="181"/>
      <c r="K295" s="500"/>
      <c r="L295" s="181"/>
      <c r="M295" s="253"/>
      <c r="N295" s="254"/>
      <c r="O295" s="500"/>
      <c r="P295" s="181"/>
      <c r="Q295" s="492"/>
      <c r="R295" s="254"/>
      <c r="S295" s="501"/>
      <c r="T295" s="101"/>
      <c r="U295" s="253"/>
      <c r="V295" s="254"/>
      <c r="W295" s="254"/>
      <c r="X295" s="254"/>
      <c r="Y295" s="254"/>
      <c r="Z295" s="254"/>
    </row>
    <row r="296">
      <c r="A296" s="492"/>
      <c r="B296" s="254"/>
      <c r="C296" s="492"/>
      <c r="D296" s="181"/>
      <c r="E296" s="492"/>
      <c r="F296" s="254"/>
      <c r="G296" s="492"/>
      <c r="H296" s="254"/>
      <c r="I296" s="500"/>
      <c r="J296" s="181"/>
      <c r="K296" s="500"/>
      <c r="L296" s="181"/>
      <c r="M296" s="253"/>
      <c r="N296" s="254"/>
      <c r="O296" s="500"/>
      <c r="P296" s="181"/>
      <c r="Q296" s="492"/>
      <c r="R296" s="254"/>
      <c r="S296" s="501"/>
      <c r="T296" s="101"/>
      <c r="U296" s="253"/>
      <c r="V296" s="254"/>
      <c r="W296" s="254"/>
      <c r="X296" s="254"/>
      <c r="Y296" s="254"/>
      <c r="Z296" s="254"/>
    </row>
    <row r="297">
      <c r="A297" s="492"/>
      <c r="B297" s="254"/>
      <c r="C297" s="492"/>
      <c r="D297" s="181"/>
      <c r="E297" s="492"/>
      <c r="F297" s="254"/>
      <c r="G297" s="492"/>
      <c r="H297" s="254"/>
      <c r="I297" s="500"/>
      <c r="J297" s="181"/>
      <c r="K297" s="500"/>
      <c r="L297" s="181"/>
      <c r="M297" s="253"/>
      <c r="N297" s="254"/>
      <c r="O297" s="500"/>
      <c r="P297" s="181"/>
      <c r="Q297" s="492"/>
      <c r="R297" s="254"/>
      <c r="S297" s="501"/>
      <c r="T297" s="101"/>
      <c r="U297" s="253"/>
      <c r="V297" s="254"/>
      <c r="W297" s="254"/>
      <c r="X297" s="254"/>
      <c r="Y297" s="254"/>
      <c r="Z297" s="254"/>
    </row>
    <row r="298">
      <c r="A298" s="492"/>
      <c r="B298" s="254"/>
      <c r="C298" s="492"/>
      <c r="D298" s="181"/>
      <c r="E298" s="492"/>
      <c r="F298" s="254"/>
      <c r="G298" s="492"/>
      <c r="H298" s="254"/>
      <c r="I298" s="500"/>
      <c r="J298" s="181"/>
      <c r="K298" s="500"/>
      <c r="L298" s="181"/>
      <c r="M298" s="253"/>
      <c r="N298" s="254"/>
      <c r="O298" s="500"/>
      <c r="P298" s="181"/>
      <c r="Q298" s="492"/>
      <c r="R298" s="254"/>
      <c r="S298" s="501"/>
      <c r="T298" s="101"/>
      <c r="U298" s="253"/>
      <c r="V298" s="254"/>
      <c r="W298" s="254"/>
      <c r="X298" s="254"/>
      <c r="Y298" s="254"/>
      <c r="Z298" s="254"/>
    </row>
    <row r="299">
      <c r="A299" s="492"/>
      <c r="B299" s="254"/>
      <c r="C299" s="492"/>
      <c r="D299" s="181"/>
      <c r="E299" s="492"/>
      <c r="F299" s="254"/>
      <c r="G299" s="492"/>
      <c r="H299" s="254"/>
      <c r="I299" s="500"/>
      <c r="J299" s="181"/>
      <c r="K299" s="500"/>
      <c r="L299" s="181"/>
      <c r="M299" s="253"/>
      <c r="N299" s="254"/>
      <c r="O299" s="500"/>
      <c r="P299" s="181"/>
      <c r="Q299" s="492"/>
      <c r="R299" s="254"/>
      <c r="S299" s="501"/>
      <c r="T299" s="101"/>
      <c r="U299" s="253"/>
      <c r="V299" s="254"/>
      <c r="W299" s="254"/>
      <c r="X299" s="254"/>
      <c r="Y299" s="254"/>
      <c r="Z299" s="254"/>
    </row>
    <row r="300">
      <c r="A300" s="492"/>
      <c r="B300" s="254"/>
      <c r="C300" s="492"/>
      <c r="D300" s="181"/>
      <c r="E300" s="492"/>
      <c r="F300" s="254"/>
      <c r="G300" s="492"/>
      <c r="H300" s="254"/>
      <c r="I300" s="500"/>
      <c r="J300" s="181"/>
      <c r="K300" s="500"/>
      <c r="L300" s="181"/>
      <c r="M300" s="253"/>
      <c r="N300" s="254"/>
      <c r="O300" s="500"/>
      <c r="P300" s="181"/>
      <c r="Q300" s="492"/>
      <c r="R300" s="254"/>
      <c r="S300" s="501"/>
      <c r="T300" s="101"/>
      <c r="U300" s="253"/>
      <c r="V300" s="254"/>
      <c r="W300" s="254"/>
      <c r="X300" s="254"/>
      <c r="Y300" s="254"/>
      <c r="Z300" s="254"/>
    </row>
    <row r="301">
      <c r="A301" s="492"/>
      <c r="B301" s="254"/>
      <c r="C301" s="492"/>
      <c r="D301" s="181"/>
      <c r="E301" s="492"/>
      <c r="F301" s="254"/>
      <c r="G301" s="492"/>
      <c r="H301" s="254"/>
      <c r="I301" s="500"/>
      <c r="J301" s="181"/>
      <c r="K301" s="500"/>
      <c r="L301" s="181"/>
      <c r="M301" s="253"/>
      <c r="N301" s="254"/>
      <c r="O301" s="500"/>
      <c r="P301" s="181"/>
      <c r="Q301" s="492"/>
      <c r="R301" s="254"/>
      <c r="S301" s="501"/>
      <c r="T301" s="101"/>
      <c r="U301" s="253"/>
      <c r="V301" s="254"/>
      <c r="W301" s="254"/>
      <c r="X301" s="254"/>
      <c r="Y301" s="254"/>
      <c r="Z301" s="254"/>
    </row>
    <row r="302">
      <c r="A302" s="492"/>
      <c r="B302" s="254"/>
      <c r="C302" s="492"/>
      <c r="D302" s="181"/>
      <c r="E302" s="492"/>
      <c r="F302" s="254"/>
      <c r="G302" s="492"/>
      <c r="H302" s="254"/>
      <c r="I302" s="500"/>
      <c r="J302" s="181"/>
      <c r="K302" s="500"/>
      <c r="L302" s="181"/>
      <c r="M302" s="253"/>
      <c r="N302" s="254"/>
      <c r="O302" s="500"/>
      <c r="P302" s="181"/>
      <c r="Q302" s="492"/>
      <c r="R302" s="254"/>
      <c r="S302" s="501"/>
      <c r="T302" s="101"/>
      <c r="U302" s="253"/>
      <c r="V302" s="254"/>
      <c r="W302" s="254"/>
      <c r="X302" s="254"/>
      <c r="Y302" s="254"/>
      <c r="Z302" s="254"/>
    </row>
    <row r="303">
      <c r="A303" s="492"/>
      <c r="B303" s="254"/>
      <c r="C303" s="492"/>
      <c r="D303" s="181"/>
      <c r="E303" s="492"/>
      <c r="F303" s="254"/>
      <c r="G303" s="492"/>
      <c r="H303" s="254"/>
      <c r="I303" s="500"/>
      <c r="J303" s="181"/>
      <c r="K303" s="500"/>
      <c r="L303" s="181"/>
      <c r="M303" s="253"/>
      <c r="N303" s="254"/>
      <c r="O303" s="500"/>
      <c r="P303" s="181"/>
      <c r="Q303" s="492"/>
      <c r="R303" s="254"/>
      <c r="S303" s="501"/>
      <c r="T303" s="101"/>
      <c r="U303" s="253"/>
      <c r="V303" s="254"/>
      <c r="W303" s="254"/>
      <c r="X303" s="254"/>
      <c r="Y303" s="254"/>
      <c r="Z303" s="254"/>
    </row>
    <row r="304">
      <c r="A304" s="492"/>
      <c r="B304" s="254"/>
      <c r="C304" s="492"/>
      <c r="D304" s="181"/>
      <c r="E304" s="492"/>
      <c r="F304" s="254"/>
      <c r="G304" s="492"/>
      <c r="H304" s="254"/>
      <c r="I304" s="500"/>
      <c r="J304" s="181"/>
      <c r="K304" s="500"/>
      <c r="L304" s="181"/>
      <c r="M304" s="253"/>
      <c r="N304" s="254"/>
      <c r="O304" s="500"/>
      <c r="P304" s="181"/>
      <c r="Q304" s="492"/>
      <c r="R304" s="254"/>
      <c r="S304" s="501"/>
      <c r="T304" s="101"/>
      <c r="U304" s="253"/>
      <c r="V304" s="254"/>
      <c r="W304" s="254"/>
      <c r="X304" s="254"/>
      <c r="Y304" s="254"/>
      <c r="Z304" s="254"/>
    </row>
    <row r="305">
      <c r="A305" s="492"/>
      <c r="B305" s="254"/>
      <c r="C305" s="492"/>
      <c r="D305" s="181"/>
      <c r="E305" s="492"/>
      <c r="F305" s="254"/>
      <c r="G305" s="492"/>
      <c r="H305" s="254"/>
      <c r="I305" s="500"/>
      <c r="J305" s="181"/>
      <c r="K305" s="500"/>
      <c r="L305" s="181"/>
      <c r="M305" s="253"/>
      <c r="N305" s="254"/>
      <c r="O305" s="500"/>
      <c r="P305" s="181"/>
      <c r="Q305" s="492"/>
      <c r="R305" s="254"/>
      <c r="S305" s="501"/>
      <c r="T305" s="101"/>
      <c r="U305" s="253"/>
      <c r="V305" s="254"/>
      <c r="W305" s="254"/>
      <c r="X305" s="254"/>
      <c r="Y305" s="254"/>
      <c r="Z305" s="254"/>
    </row>
    <row r="306">
      <c r="A306" s="492"/>
      <c r="B306" s="254"/>
      <c r="C306" s="492"/>
      <c r="D306" s="181"/>
      <c r="E306" s="492"/>
      <c r="F306" s="254"/>
      <c r="G306" s="492"/>
      <c r="H306" s="254"/>
      <c r="I306" s="500"/>
      <c r="J306" s="181"/>
      <c r="K306" s="500"/>
      <c r="L306" s="181"/>
      <c r="M306" s="253"/>
      <c r="N306" s="254"/>
      <c r="O306" s="500"/>
      <c r="P306" s="181"/>
      <c r="Q306" s="492"/>
      <c r="R306" s="254"/>
      <c r="S306" s="501"/>
      <c r="T306" s="101"/>
      <c r="U306" s="253"/>
      <c r="V306" s="254"/>
      <c r="W306" s="254"/>
      <c r="X306" s="254"/>
      <c r="Y306" s="254"/>
      <c r="Z306" s="254"/>
    </row>
    <row r="307">
      <c r="A307" s="492"/>
      <c r="B307" s="254"/>
      <c r="C307" s="492"/>
      <c r="D307" s="181"/>
      <c r="E307" s="492"/>
      <c r="F307" s="254"/>
      <c r="G307" s="492"/>
      <c r="H307" s="254"/>
      <c r="I307" s="500"/>
      <c r="J307" s="181"/>
      <c r="K307" s="500"/>
      <c r="L307" s="181"/>
      <c r="M307" s="253"/>
      <c r="N307" s="254"/>
      <c r="O307" s="500"/>
      <c r="P307" s="181"/>
      <c r="Q307" s="492"/>
      <c r="R307" s="254"/>
      <c r="S307" s="501"/>
      <c r="T307" s="101"/>
      <c r="U307" s="253"/>
      <c r="V307" s="254"/>
      <c r="W307" s="254"/>
      <c r="X307" s="254"/>
      <c r="Y307" s="254"/>
      <c r="Z307" s="254"/>
    </row>
    <row r="308">
      <c r="A308" s="492"/>
      <c r="B308" s="254"/>
      <c r="C308" s="492"/>
      <c r="D308" s="181"/>
      <c r="E308" s="492"/>
      <c r="F308" s="254"/>
      <c r="G308" s="492"/>
      <c r="H308" s="254"/>
      <c r="I308" s="500"/>
      <c r="J308" s="181"/>
      <c r="K308" s="500"/>
      <c r="L308" s="181"/>
      <c r="M308" s="253"/>
      <c r="N308" s="254"/>
      <c r="O308" s="500"/>
      <c r="P308" s="181"/>
      <c r="Q308" s="492"/>
      <c r="R308" s="254"/>
      <c r="S308" s="501"/>
      <c r="T308" s="101"/>
      <c r="U308" s="253"/>
      <c r="V308" s="254"/>
      <c r="W308" s="254"/>
      <c r="X308" s="254"/>
      <c r="Y308" s="254"/>
      <c r="Z308" s="254"/>
    </row>
    <row r="309">
      <c r="A309" s="492"/>
      <c r="B309" s="254"/>
      <c r="C309" s="492"/>
      <c r="D309" s="181"/>
      <c r="E309" s="492"/>
      <c r="F309" s="254"/>
      <c r="G309" s="492"/>
      <c r="H309" s="254"/>
      <c r="I309" s="500"/>
      <c r="J309" s="181"/>
      <c r="K309" s="500"/>
      <c r="L309" s="181"/>
      <c r="M309" s="253"/>
      <c r="N309" s="254"/>
      <c r="O309" s="500"/>
      <c r="P309" s="181"/>
      <c r="Q309" s="492"/>
      <c r="R309" s="254"/>
      <c r="S309" s="501"/>
      <c r="T309" s="101"/>
      <c r="U309" s="253"/>
      <c r="V309" s="254"/>
      <c r="W309" s="254"/>
      <c r="X309" s="254"/>
      <c r="Y309" s="254"/>
      <c r="Z309" s="254"/>
    </row>
    <row r="310">
      <c r="A310" s="492"/>
      <c r="B310" s="254"/>
      <c r="C310" s="492"/>
      <c r="D310" s="181"/>
      <c r="E310" s="492"/>
      <c r="F310" s="254"/>
      <c r="G310" s="492"/>
      <c r="H310" s="254"/>
      <c r="I310" s="500"/>
      <c r="J310" s="181"/>
      <c r="K310" s="500"/>
      <c r="L310" s="181"/>
      <c r="M310" s="253"/>
      <c r="N310" s="254"/>
      <c r="O310" s="500"/>
      <c r="P310" s="181"/>
      <c r="Q310" s="492"/>
      <c r="R310" s="254"/>
      <c r="S310" s="501"/>
      <c r="T310" s="101"/>
      <c r="U310" s="253"/>
      <c r="V310" s="254"/>
      <c r="W310" s="254"/>
      <c r="X310" s="254"/>
      <c r="Y310" s="254"/>
      <c r="Z310" s="254"/>
    </row>
    <row r="311">
      <c r="A311" s="492"/>
      <c r="B311" s="254"/>
      <c r="C311" s="492"/>
      <c r="D311" s="181"/>
      <c r="E311" s="492"/>
      <c r="F311" s="254"/>
      <c r="G311" s="492"/>
      <c r="H311" s="254"/>
      <c r="I311" s="500"/>
      <c r="J311" s="181"/>
      <c r="K311" s="500"/>
      <c r="L311" s="181"/>
      <c r="M311" s="253"/>
      <c r="N311" s="254"/>
      <c r="O311" s="500"/>
      <c r="P311" s="181"/>
      <c r="Q311" s="492"/>
      <c r="R311" s="254"/>
      <c r="S311" s="501"/>
      <c r="T311" s="101"/>
      <c r="U311" s="253"/>
      <c r="V311" s="254"/>
      <c r="W311" s="254"/>
      <c r="X311" s="254"/>
      <c r="Y311" s="254"/>
      <c r="Z311" s="254"/>
    </row>
    <row r="312">
      <c r="A312" s="492"/>
      <c r="B312" s="254"/>
      <c r="C312" s="492"/>
      <c r="D312" s="181"/>
      <c r="E312" s="492"/>
      <c r="F312" s="254"/>
      <c r="G312" s="492"/>
      <c r="H312" s="254"/>
      <c r="I312" s="500"/>
      <c r="J312" s="181"/>
      <c r="K312" s="500"/>
      <c r="L312" s="181"/>
      <c r="M312" s="253"/>
      <c r="N312" s="254"/>
      <c r="O312" s="500"/>
      <c r="P312" s="181"/>
      <c r="Q312" s="492"/>
      <c r="R312" s="254"/>
      <c r="S312" s="501"/>
      <c r="T312" s="101"/>
      <c r="U312" s="253"/>
      <c r="V312" s="254"/>
      <c r="W312" s="254"/>
      <c r="X312" s="254"/>
      <c r="Y312" s="254"/>
      <c r="Z312" s="254"/>
    </row>
    <row r="313">
      <c r="A313" s="492"/>
      <c r="B313" s="254"/>
      <c r="C313" s="492"/>
      <c r="D313" s="181"/>
      <c r="E313" s="492"/>
      <c r="F313" s="254"/>
      <c r="G313" s="492"/>
      <c r="H313" s="254"/>
      <c r="I313" s="500"/>
      <c r="J313" s="181"/>
      <c r="K313" s="500"/>
      <c r="L313" s="181"/>
      <c r="M313" s="253"/>
      <c r="N313" s="254"/>
      <c r="O313" s="500"/>
      <c r="P313" s="181"/>
      <c r="Q313" s="492"/>
      <c r="R313" s="254"/>
      <c r="S313" s="501"/>
      <c r="T313" s="101"/>
      <c r="U313" s="253"/>
      <c r="V313" s="254"/>
      <c r="W313" s="254"/>
      <c r="X313" s="254"/>
      <c r="Y313" s="254"/>
      <c r="Z313" s="254"/>
    </row>
    <row r="314">
      <c r="A314" s="492"/>
      <c r="B314" s="254"/>
      <c r="C314" s="492"/>
      <c r="D314" s="181"/>
      <c r="E314" s="492"/>
      <c r="F314" s="254"/>
      <c r="G314" s="492"/>
      <c r="H314" s="254"/>
      <c r="I314" s="500"/>
      <c r="J314" s="181"/>
      <c r="K314" s="500"/>
      <c r="L314" s="181"/>
      <c r="M314" s="253"/>
      <c r="N314" s="254"/>
      <c r="O314" s="500"/>
      <c r="P314" s="181"/>
      <c r="Q314" s="492"/>
      <c r="R314" s="254"/>
      <c r="S314" s="501"/>
      <c r="T314" s="101"/>
      <c r="U314" s="253"/>
      <c r="V314" s="254"/>
      <c r="W314" s="254"/>
      <c r="X314" s="254"/>
      <c r="Y314" s="254"/>
      <c r="Z314" s="254"/>
    </row>
    <row r="315">
      <c r="A315" s="492"/>
      <c r="B315" s="254"/>
      <c r="C315" s="492"/>
      <c r="D315" s="181"/>
      <c r="E315" s="492"/>
      <c r="F315" s="254"/>
      <c r="G315" s="492"/>
      <c r="H315" s="254"/>
      <c r="I315" s="500"/>
      <c r="J315" s="181"/>
      <c r="K315" s="500"/>
      <c r="L315" s="181"/>
      <c r="M315" s="253"/>
      <c r="N315" s="254"/>
      <c r="O315" s="500"/>
      <c r="P315" s="181"/>
      <c r="Q315" s="492"/>
      <c r="R315" s="254"/>
      <c r="S315" s="501"/>
      <c r="T315" s="101"/>
      <c r="U315" s="253"/>
      <c r="V315" s="254"/>
      <c r="W315" s="254"/>
      <c r="X315" s="254"/>
      <c r="Y315" s="254"/>
      <c r="Z315" s="254"/>
    </row>
    <row r="316">
      <c r="A316" s="492"/>
      <c r="B316" s="254"/>
      <c r="C316" s="492"/>
      <c r="D316" s="181"/>
      <c r="E316" s="492"/>
      <c r="F316" s="254"/>
      <c r="G316" s="492"/>
      <c r="H316" s="254"/>
      <c r="I316" s="500"/>
      <c r="J316" s="181"/>
      <c r="K316" s="500"/>
      <c r="L316" s="181"/>
      <c r="M316" s="253"/>
      <c r="N316" s="254"/>
      <c r="O316" s="500"/>
      <c r="P316" s="181"/>
      <c r="Q316" s="492"/>
      <c r="R316" s="254"/>
      <c r="S316" s="501"/>
      <c r="T316" s="101"/>
      <c r="U316" s="253"/>
      <c r="V316" s="254"/>
      <c r="W316" s="254"/>
      <c r="X316" s="254"/>
      <c r="Y316" s="254"/>
      <c r="Z316" s="254"/>
    </row>
    <row r="317">
      <c r="A317" s="492"/>
      <c r="B317" s="254"/>
      <c r="C317" s="492"/>
      <c r="D317" s="181"/>
      <c r="E317" s="492"/>
      <c r="F317" s="254"/>
      <c r="G317" s="492"/>
      <c r="H317" s="254"/>
      <c r="I317" s="500"/>
      <c r="J317" s="181"/>
      <c r="K317" s="500"/>
      <c r="L317" s="181"/>
      <c r="M317" s="253"/>
      <c r="N317" s="254"/>
      <c r="O317" s="500"/>
      <c r="P317" s="181"/>
      <c r="Q317" s="492"/>
      <c r="R317" s="254"/>
      <c r="S317" s="501"/>
      <c r="T317" s="101"/>
      <c r="U317" s="253"/>
      <c r="V317" s="254"/>
      <c r="W317" s="254"/>
      <c r="X317" s="254"/>
      <c r="Y317" s="254"/>
      <c r="Z317" s="254"/>
    </row>
    <row r="318">
      <c r="A318" s="492"/>
      <c r="B318" s="254"/>
      <c r="C318" s="492"/>
      <c r="D318" s="181"/>
      <c r="E318" s="492"/>
      <c r="F318" s="254"/>
      <c r="G318" s="492"/>
      <c r="H318" s="254"/>
      <c r="I318" s="500"/>
      <c r="J318" s="181"/>
      <c r="K318" s="500"/>
      <c r="L318" s="181"/>
      <c r="M318" s="253"/>
      <c r="N318" s="254"/>
      <c r="O318" s="500"/>
      <c r="P318" s="181"/>
      <c r="Q318" s="492"/>
      <c r="R318" s="254"/>
      <c r="S318" s="501"/>
      <c r="T318" s="101"/>
      <c r="U318" s="253"/>
      <c r="V318" s="254"/>
      <c r="W318" s="254"/>
      <c r="X318" s="254"/>
      <c r="Y318" s="254"/>
      <c r="Z318" s="254"/>
    </row>
    <row r="319">
      <c r="A319" s="492"/>
      <c r="B319" s="254"/>
      <c r="C319" s="492"/>
      <c r="D319" s="181"/>
      <c r="E319" s="492"/>
      <c r="F319" s="254"/>
      <c r="G319" s="492"/>
      <c r="H319" s="254"/>
      <c r="I319" s="500"/>
      <c r="J319" s="181"/>
      <c r="K319" s="500"/>
      <c r="L319" s="181"/>
      <c r="M319" s="253"/>
      <c r="N319" s="254"/>
      <c r="O319" s="500"/>
      <c r="P319" s="181"/>
      <c r="Q319" s="492"/>
      <c r="R319" s="254"/>
      <c r="S319" s="501"/>
      <c r="T319" s="101"/>
      <c r="U319" s="253"/>
      <c r="V319" s="254"/>
      <c r="W319" s="254"/>
      <c r="X319" s="254"/>
      <c r="Y319" s="254"/>
      <c r="Z319" s="254"/>
    </row>
    <row r="320">
      <c r="A320" s="492"/>
      <c r="B320" s="254"/>
      <c r="C320" s="492"/>
      <c r="D320" s="181"/>
      <c r="E320" s="492"/>
      <c r="F320" s="254"/>
      <c r="G320" s="492"/>
      <c r="H320" s="254"/>
      <c r="I320" s="500"/>
      <c r="J320" s="181"/>
      <c r="K320" s="500"/>
      <c r="L320" s="181"/>
      <c r="M320" s="253"/>
      <c r="N320" s="254"/>
      <c r="O320" s="500"/>
      <c r="P320" s="181"/>
      <c r="Q320" s="492"/>
      <c r="R320" s="254"/>
      <c r="S320" s="501"/>
      <c r="T320" s="101"/>
      <c r="U320" s="253"/>
      <c r="V320" s="254"/>
      <c r="W320" s="254"/>
      <c r="X320" s="254"/>
      <c r="Y320" s="254"/>
      <c r="Z320" s="254"/>
    </row>
    <row r="321">
      <c r="A321" s="492"/>
      <c r="B321" s="254"/>
      <c r="C321" s="492"/>
      <c r="D321" s="181"/>
      <c r="E321" s="492"/>
      <c r="F321" s="254"/>
      <c r="G321" s="492"/>
      <c r="H321" s="254"/>
      <c r="I321" s="500"/>
      <c r="J321" s="181"/>
      <c r="K321" s="500"/>
      <c r="L321" s="181"/>
      <c r="M321" s="253"/>
      <c r="N321" s="254"/>
      <c r="O321" s="500"/>
      <c r="P321" s="181"/>
      <c r="Q321" s="492"/>
      <c r="R321" s="254"/>
      <c r="S321" s="501"/>
      <c r="T321" s="101"/>
      <c r="U321" s="253"/>
      <c r="V321" s="254"/>
      <c r="W321" s="254"/>
      <c r="X321" s="254"/>
      <c r="Y321" s="254"/>
      <c r="Z321" s="254"/>
    </row>
    <row r="322">
      <c r="A322" s="492"/>
      <c r="B322" s="254"/>
      <c r="C322" s="492"/>
      <c r="D322" s="181"/>
      <c r="E322" s="492"/>
      <c r="F322" s="254"/>
      <c r="G322" s="492"/>
      <c r="H322" s="254"/>
      <c r="I322" s="500"/>
      <c r="J322" s="181"/>
      <c r="K322" s="500"/>
      <c r="L322" s="181"/>
      <c r="M322" s="253"/>
      <c r="N322" s="254"/>
      <c r="O322" s="500"/>
      <c r="P322" s="181"/>
      <c r="Q322" s="492"/>
      <c r="R322" s="254"/>
      <c r="S322" s="501"/>
      <c r="T322" s="101"/>
      <c r="U322" s="253"/>
      <c r="V322" s="254"/>
      <c r="W322" s="254"/>
      <c r="X322" s="254"/>
      <c r="Y322" s="254"/>
      <c r="Z322" s="254"/>
    </row>
    <row r="323">
      <c r="A323" s="492"/>
      <c r="B323" s="254"/>
      <c r="C323" s="492"/>
      <c r="D323" s="181"/>
      <c r="E323" s="492"/>
      <c r="F323" s="254"/>
      <c r="G323" s="492"/>
      <c r="H323" s="254"/>
      <c r="I323" s="500"/>
      <c r="J323" s="181"/>
      <c r="K323" s="500"/>
      <c r="L323" s="181"/>
      <c r="M323" s="253"/>
      <c r="N323" s="254"/>
      <c r="O323" s="500"/>
      <c r="P323" s="181"/>
      <c r="Q323" s="492"/>
      <c r="R323" s="254"/>
      <c r="S323" s="501"/>
      <c r="T323" s="101"/>
      <c r="U323" s="253"/>
      <c r="V323" s="254"/>
      <c r="W323" s="254"/>
      <c r="X323" s="254"/>
      <c r="Y323" s="254"/>
      <c r="Z323" s="254"/>
    </row>
    <row r="324">
      <c r="A324" s="492"/>
      <c r="B324" s="254"/>
      <c r="C324" s="492"/>
      <c r="D324" s="181"/>
      <c r="E324" s="492"/>
      <c r="F324" s="254"/>
      <c r="G324" s="492"/>
      <c r="H324" s="254"/>
      <c r="I324" s="500"/>
      <c r="J324" s="181"/>
      <c r="K324" s="500"/>
      <c r="L324" s="181"/>
      <c r="M324" s="253"/>
      <c r="N324" s="254"/>
      <c r="O324" s="500"/>
      <c r="P324" s="181"/>
      <c r="Q324" s="492"/>
      <c r="R324" s="254"/>
      <c r="S324" s="501"/>
      <c r="T324" s="101"/>
      <c r="U324" s="253"/>
      <c r="V324" s="254"/>
      <c r="W324" s="254"/>
      <c r="X324" s="254"/>
      <c r="Y324" s="254"/>
      <c r="Z324" s="254"/>
    </row>
    <row r="325">
      <c r="A325" s="492"/>
      <c r="B325" s="254"/>
      <c r="C325" s="492"/>
      <c r="D325" s="181"/>
      <c r="E325" s="492"/>
      <c r="F325" s="254"/>
      <c r="G325" s="492"/>
      <c r="H325" s="254"/>
      <c r="I325" s="500"/>
      <c r="J325" s="181"/>
      <c r="K325" s="500"/>
      <c r="L325" s="181"/>
      <c r="M325" s="253"/>
      <c r="N325" s="254"/>
      <c r="O325" s="500"/>
      <c r="P325" s="181"/>
      <c r="Q325" s="492"/>
      <c r="R325" s="254"/>
      <c r="S325" s="501"/>
      <c r="T325" s="101"/>
      <c r="U325" s="253"/>
      <c r="V325" s="254"/>
      <c r="W325" s="254"/>
      <c r="X325" s="254"/>
      <c r="Y325" s="254"/>
      <c r="Z325" s="254"/>
    </row>
    <row r="326">
      <c r="A326" s="492"/>
      <c r="B326" s="254"/>
      <c r="C326" s="492"/>
      <c r="D326" s="181"/>
      <c r="E326" s="492"/>
      <c r="F326" s="254"/>
      <c r="G326" s="492"/>
      <c r="H326" s="254"/>
      <c r="I326" s="500"/>
      <c r="J326" s="181"/>
      <c r="K326" s="500"/>
      <c r="L326" s="181"/>
      <c r="M326" s="253"/>
      <c r="N326" s="254"/>
      <c r="O326" s="500"/>
      <c r="P326" s="181"/>
      <c r="Q326" s="492"/>
      <c r="R326" s="254"/>
      <c r="S326" s="501"/>
      <c r="T326" s="101"/>
      <c r="U326" s="253"/>
      <c r="V326" s="254"/>
      <c r="W326" s="254"/>
      <c r="X326" s="254"/>
      <c r="Y326" s="254"/>
      <c r="Z326" s="254"/>
    </row>
    <row r="327">
      <c r="A327" s="492"/>
      <c r="B327" s="254"/>
      <c r="C327" s="492"/>
      <c r="D327" s="181"/>
      <c r="E327" s="492"/>
      <c r="F327" s="254"/>
      <c r="G327" s="492"/>
      <c r="H327" s="254"/>
      <c r="I327" s="500"/>
      <c r="J327" s="181"/>
      <c r="K327" s="500"/>
      <c r="L327" s="181"/>
      <c r="M327" s="253"/>
      <c r="N327" s="254"/>
      <c r="O327" s="500"/>
      <c r="P327" s="181"/>
      <c r="Q327" s="492"/>
      <c r="R327" s="254"/>
      <c r="S327" s="501"/>
      <c r="T327" s="101"/>
      <c r="U327" s="253"/>
      <c r="V327" s="254"/>
      <c r="W327" s="254"/>
      <c r="X327" s="254"/>
      <c r="Y327" s="254"/>
      <c r="Z327" s="254"/>
    </row>
    <row r="328">
      <c r="A328" s="492"/>
      <c r="B328" s="254"/>
      <c r="C328" s="492"/>
      <c r="D328" s="181"/>
      <c r="E328" s="492"/>
      <c r="F328" s="254"/>
      <c r="G328" s="492"/>
      <c r="H328" s="254"/>
      <c r="I328" s="500"/>
      <c r="J328" s="181"/>
      <c r="K328" s="500"/>
      <c r="L328" s="181"/>
      <c r="M328" s="253"/>
      <c r="N328" s="254"/>
      <c r="O328" s="500"/>
      <c r="P328" s="181"/>
      <c r="Q328" s="492"/>
      <c r="R328" s="254"/>
      <c r="S328" s="501"/>
      <c r="T328" s="101"/>
      <c r="U328" s="253"/>
      <c r="V328" s="254"/>
      <c r="W328" s="254"/>
      <c r="X328" s="254"/>
      <c r="Y328" s="254"/>
      <c r="Z328" s="254"/>
    </row>
    <row r="329">
      <c r="A329" s="492"/>
      <c r="B329" s="254"/>
      <c r="C329" s="492"/>
      <c r="D329" s="181"/>
      <c r="E329" s="492"/>
      <c r="F329" s="254"/>
      <c r="G329" s="492"/>
      <c r="H329" s="254"/>
      <c r="I329" s="500"/>
      <c r="J329" s="181"/>
      <c r="K329" s="500"/>
      <c r="L329" s="181"/>
      <c r="M329" s="253"/>
      <c r="N329" s="254"/>
      <c r="O329" s="500"/>
      <c r="P329" s="181"/>
      <c r="Q329" s="492"/>
      <c r="R329" s="254"/>
      <c r="S329" s="501"/>
      <c r="T329" s="101"/>
      <c r="U329" s="253"/>
      <c r="V329" s="254"/>
      <c r="W329" s="254"/>
      <c r="X329" s="254"/>
      <c r="Y329" s="254"/>
      <c r="Z329" s="254"/>
    </row>
    <row r="330">
      <c r="A330" s="492"/>
      <c r="B330" s="254"/>
      <c r="C330" s="492"/>
      <c r="D330" s="181"/>
      <c r="E330" s="492"/>
      <c r="F330" s="254"/>
      <c r="G330" s="492"/>
      <c r="H330" s="254"/>
      <c r="I330" s="500"/>
      <c r="J330" s="181"/>
      <c r="K330" s="500"/>
      <c r="L330" s="181"/>
      <c r="M330" s="253"/>
      <c r="N330" s="254"/>
      <c r="O330" s="500"/>
      <c r="P330" s="181"/>
      <c r="Q330" s="492"/>
      <c r="R330" s="254"/>
      <c r="S330" s="501"/>
      <c r="T330" s="101"/>
      <c r="U330" s="253"/>
      <c r="V330" s="254"/>
      <c r="W330" s="254"/>
      <c r="X330" s="254"/>
      <c r="Y330" s="254"/>
      <c r="Z330" s="254"/>
    </row>
    <row r="331">
      <c r="A331" s="492"/>
      <c r="B331" s="254"/>
      <c r="C331" s="492"/>
      <c r="D331" s="181"/>
      <c r="E331" s="492"/>
      <c r="F331" s="254"/>
      <c r="G331" s="492"/>
      <c r="H331" s="254"/>
      <c r="I331" s="500"/>
      <c r="J331" s="181"/>
      <c r="K331" s="500"/>
      <c r="L331" s="181"/>
      <c r="M331" s="253"/>
      <c r="N331" s="254"/>
      <c r="O331" s="500"/>
      <c r="P331" s="181"/>
      <c r="Q331" s="492"/>
      <c r="R331" s="254"/>
      <c r="S331" s="501"/>
      <c r="T331" s="101"/>
      <c r="U331" s="253"/>
      <c r="V331" s="254"/>
      <c r="W331" s="254"/>
      <c r="X331" s="254"/>
      <c r="Y331" s="254"/>
      <c r="Z331" s="254"/>
    </row>
    <row r="332">
      <c r="A332" s="492"/>
      <c r="B332" s="254"/>
      <c r="C332" s="492"/>
      <c r="D332" s="181"/>
      <c r="E332" s="492"/>
      <c r="F332" s="254"/>
      <c r="G332" s="492"/>
      <c r="H332" s="254"/>
      <c r="I332" s="500"/>
      <c r="J332" s="181"/>
      <c r="K332" s="500"/>
      <c r="L332" s="181"/>
      <c r="M332" s="253"/>
      <c r="N332" s="254"/>
      <c r="O332" s="500"/>
      <c r="P332" s="181"/>
      <c r="Q332" s="492"/>
      <c r="R332" s="254"/>
      <c r="S332" s="501"/>
      <c r="T332" s="101"/>
      <c r="U332" s="253"/>
      <c r="V332" s="254"/>
      <c r="W332" s="254"/>
      <c r="X332" s="254"/>
      <c r="Y332" s="254"/>
      <c r="Z332" s="254"/>
    </row>
    <row r="333">
      <c r="A333" s="492"/>
      <c r="B333" s="254"/>
      <c r="C333" s="492"/>
      <c r="D333" s="181"/>
      <c r="E333" s="492"/>
      <c r="F333" s="254"/>
      <c r="G333" s="492"/>
      <c r="H333" s="254"/>
      <c r="I333" s="500"/>
      <c r="J333" s="181"/>
      <c r="K333" s="500"/>
      <c r="L333" s="181"/>
      <c r="M333" s="253"/>
      <c r="N333" s="254"/>
      <c r="O333" s="500"/>
      <c r="P333" s="181"/>
      <c r="Q333" s="492"/>
      <c r="R333" s="254"/>
      <c r="S333" s="501"/>
      <c r="T333" s="101"/>
      <c r="U333" s="253"/>
      <c r="V333" s="254"/>
      <c r="W333" s="254"/>
      <c r="X333" s="254"/>
      <c r="Y333" s="254"/>
      <c r="Z333" s="254"/>
    </row>
    <row r="334">
      <c r="A334" s="492"/>
      <c r="B334" s="254"/>
      <c r="C334" s="492"/>
      <c r="D334" s="181"/>
      <c r="E334" s="492"/>
      <c r="F334" s="254"/>
      <c r="G334" s="492"/>
      <c r="H334" s="254"/>
      <c r="I334" s="500"/>
      <c r="J334" s="181"/>
      <c r="K334" s="500"/>
      <c r="L334" s="181"/>
      <c r="M334" s="253"/>
      <c r="N334" s="254"/>
      <c r="O334" s="500"/>
      <c r="P334" s="181"/>
      <c r="Q334" s="492"/>
      <c r="R334" s="254"/>
      <c r="S334" s="501"/>
      <c r="T334" s="101"/>
      <c r="U334" s="253"/>
      <c r="V334" s="254"/>
      <c r="W334" s="254"/>
      <c r="X334" s="254"/>
      <c r="Y334" s="254"/>
      <c r="Z334" s="254"/>
    </row>
    <row r="335">
      <c r="A335" s="492"/>
      <c r="B335" s="254"/>
      <c r="C335" s="492"/>
      <c r="D335" s="181"/>
      <c r="E335" s="492"/>
      <c r="F335" s="254"/>
      <c r="G335" s="492"/>
      <c r="H335" s="254"/>
      <c r="I335" s="500"/>
      <c r="J335" s="181"/>
      <c r="K335" s="500"/>
      <c r="L335" s="181"/>
      <c r="M335" s="253"/>
      <c r="N335" s="254"/>
      <c r="O335" s="500"/>
      <c r="P335" s="181"/>
      <c r="Q335" s="492"/>
      <c r="R335" s="254"/>
      <c r="S335" s="501"/>
      <c r="T335" s="101"/>
      <c r="U335" s="253"/>
      <c r="V335" s="254"/>
      <c r="W335" s="254"/>
      <c r="X335" s="254"/>
      <c r="Y335" s="254"/>
      <c r="Z335" s="254"/>
    </row>
    <row r="336">
      <c r="A336" s="492"/>
      <c r="B336" s="254"/>
      <c r="C336" s="492"/>
      <c r="D336" s="181"/>
      <c r="E336" s="492"/>
      <c r="F336" s="254"/>
      <c r="G336" s="492"/>
      <c r="H336" s="254"/>
      <c r="I336" s="500"/>
      <c r="J336" s="181"/>
      <c r="K336" s="500"/>
      <c r="L336" s="181"/>
      <c r="M336" s="253"/>
      <c r="N336" s="254"/>
      <c r="O336" s="500"/>
      <c r="P336" s="181"/>
      <c r="Q336" s="492"/>
      <c r="R336" s="254"/>
      <c r="S336" s="501"/>
      <c r="T336" s="101"/>
      <c r="U336" s="253"/>
      <c r="V336" s="254"/>
      <c r="W336" s="254"/>
      <c r="X336" s="254"/>
      <c r="Y336" s="254"/>
      <c r="Z336" s="254"/>
    </row>
    <row r="337">
      <c r="A337" s="492"/>
      <c r="B337" s="254"/>
      <c r="C337" s="492"/>
      <c r="D337" s="181"/>
      <c r="E337" s="492"/>
      <c r="F337" s="254"/>
      <c r="G337" s="492"/>
      <c r="H337" s="254"/>
      <c r="I337" s="500"/>
      <c r="J337" s="181"/>
      <c r="K337" s="500"/>
      <c r="L337" s="181"/>
      <c r="M337" s="253"/>
      <c r="N337" s="254"/>
      <c r="O337" s="500"/>
      <c r="P337" s="181"/>
      <c r="Q337" s="492"/>
      <c r="R337" s="254"/>
      <c r="S337" s="501"/>
      <c r="T337" s="101"/>
      <c r="U337" s="253"/>
      <c r="V337" s="254"/>
      <c r="W337" s="254"/>
      <c r="X337" s="254"/>
      <c r="Y337" s="254"/>
      <c r="Z337" s="254"/>
    </row>
    <row r="338">
      <c r="A338" s="492"/>
      <c r="B338" s="254"/>
      <c r="C338" s="492"/>
      <c r="D338" s="181"/>
      <c r="E338" s="492"/>
      <c r="F338" s="254"/>
      <c r="G338" s="492"/>
      <c r="H338" s="254"/>
      <c r="I338" s="500"/>
      <c r="J338" s="181"/>
      <c r="K338" s="500"/>
      <c r="L338" s="181"/>
      <c r="M338" s="253"/>
      <c r="N338" s="254"/>
      <c r="O338" s="500"/>
      <c r="P338" s="181"/>
      <c r="Q338" s="492"/>
      <c r="R338" s="254"/>
      <c r="S338" s="501"/>
      <c r="T338" s="101"/>
      <c r="U338" s="253"/>
      <c r="V338" s="254"/>
      <c r="W338" s="254"/>
      <c r="X338" s="254"/>
      <c r="Y338" s="254"/>
      <c r="Z338" s="254"/>
    </row>
    <row r="339">
      <c r="A339" s="492"/>
      <c r="B339" s="254"/>
      <c r="C339" s="492"/>
      <c r="D339" s="181"/>
      <c r="E339" s="492"/>
      <c r="F339" s="254"/>
      <c r="G339" s="492"/>
      <c r="H339" s="254"/>
      <c r="I339" s="500"/>
      <c r="J339" s="181"/>
      <c r="K339" s="500"/>
      <c r="L339" s="181"/>
      <c r="M339" s="253"/>
      <c r="N339" s="254"/>
      <c r="O339" s="500"/>
      <c r="P339" s="181"/>
      <c r="Q339" s="492"/>
      <c r="R339" s="254"/>
      <c r="S339" s="501"/>
      <c r="T339" s="101"/>
      <c r="U339" s="253"/>
      <c r="V339" s="254"/>
      <c r="W339" s="254"/>
      <c r="X339" s="254"/>
      <c r="Y339" s="254"/>
      <c r="Z339" s="254"/>
    </row>
    <row r="340">
      <c r="A340" s="492"/>
      <c r="B340" s="254"/>
      <c r="C340" s="492"/>
      <c r="D340" s="181"/>
      <c r="E340" s="492"/>
      <c r="F340" s="254"/>
      <c r="G340" s="492"/>
      <c r="H340" s="254"/>
      <c r="I340" s="500"/>
      <c r="J340" s="181"/>
      <c r="K340" s="500"/>
      <c r="L340" s="181"/>
      <c r="M340" s="253"/>
      <c r="N340" s="254"/>
      <c r="O340" s="500"/>
      <c r="P340" s="181"/>
      <c r="Q340" s="492"/>
      <c r="R340" s="254"/>
      <c r="S340" s="501"/>
      <c r="T340" s="101"/>
      <c r="U340" s="253"/>
      <c r="V340" s="254"/>
      <c r="W340" s="254"/>
      <c r="X340" s="254"/>
      <c r="Y340" s="254"/>
      <c r="Z340" s="254"/>
    </row>
    <row r="341">
      <c r="A341" s="492"/>
      <c r="B341" s="254"/>
      <c r="C341" s="492"/>
      <c r="D341" s="181"/>
      <c r="E341" s="492"/>
      <c r="F341" s="254"/>
      <c r="G341" s="492"/>
      <c r="H341" s="254"/>
      <c r="I341" s="500"/>
      <c r="J341" s="181"/>
      <c r="K341" s="500"/>
      <c r="L341" s="181"/>
      <c r="M341" s="253"/>
      <c r="N341" s="254"/>
      <c r="O341" s="500"/>
      <c r="P341" s="181"/>
      <c r="Q341" s="492"/>
      <c r="R341" s="254"/>
      <c r="S341" s="501"/>
      <c r="T341" s="101"/>
      <c r="U341" s="253"/>
      <c r="V341" s="254"/>
      <c r="W341" s="254"/>
      <c r="X341" s="254"/>
      <c r="Y341" s="254"/>
      <c r="Z341" s="254"/>
    </row>
    <row r="342">
      <c r="A342" s="492"/>
      <c r="B342" s="254"/>
      <c r="C342" s="492"/>
      <c r="D342" s="181"/>
      <c r="E342" s="492"/>
      <c r="F342" s="254"/>
      <c r="G342" s="492"/>
      <c r="H342" s="254"/>
      <c r="I342" s="500"/>
      <c r="J342" s="181"/>
      <c r="K342" s="500"/>
      <c r="L342" s="181"/>
      <c r="M342" s="253"/>
      <c r="N342" s="254"/>
      <c r="O342" s="500"/>
      <c r="P342" s="181"/>
      <c r="Q342" s="492"/>
      <c r="R342" s="254"/>
      <c r="S342" s="501"/>
      <c r="T342" s="101"/>
      <c r="U342" s="253"/>
      <c r="V342" s="254"/>
      <c r="W342" s="254"/>
      <c r="X342" s="254"/>
      <c r="Y342" s="254"/>
      <c r="Z342" s="254"/>
    </row>
    <row r="343">
      <c r="A343" s="492"/>
      <c r="B343" s="254"/>
      <c r="C343" s="492"/>
      <c r="D343" s="181"/>
      <c r="E343" s="492"/>
      <c r="F343" s="254"/>
      <c r="G343" s="492"/>
      <c r="H343" s="254"/>
      <c r="I343" s="500"/>
      <c r="J343" s="181"/>
      <c r="K343" s="500"/>
      <c r="L343" s="181"/>
      <c r="M343" s="253"/>
      <c r="N343" s="254"/>
      <c r="O343" s="500"/>
      <c r="P343" s="181"/>
      <c r="Q343" s="492"/>
      <c r="R343" s="254"/>
      <c r="S343" s="501"/>
      <c r="T343" s="101"/>
      <c r="U343" s="253"/>
      <c r="V343" s="254"/>
      <c r="W343" s="254"/>
      <c r="X343" s="254"/>
      <c r="Y343" s="254"/>
      <c r="Z343" s="254"/>
    </row>
    <row r="344">
      <c r="A344" s="492"/>
      <c r="B344" s="254"/>
      <c r="C344" s="492"/>
      <c r="D344" s="181"/>
      <c r="E344" s="492"/>
      <c r="F344" s="254"/>
      <c r="G344" s="492"/>
      <c r="H344" s="254"/>
      <c r="I344" s="500"/>
      <c r="J344" s="181"/>
      <c r="K344" s="500"/>
      <c r="L344" s="181"/>
      <c r="M344" s="253"/>
      <c r="N344" s="254"/>
      <c r="O344" s="500"/>
      <c r="P344" s="181"/>
      <c r="Q344" s="492"/>
      <c r="R344" s="254"/>
      <c r="S344" s="501"/>
      <c r="T344" s="101"/>
      <c r="U344" s="253"/>
      <c r="V344" s="254"/>
      <c r="W344" s="254"/>
      <c r="X344" s="254"/>
      <c r="Y344" s="254"/>
      <c r="Z344" s="254"/>
    </row>
    <row r="345">
      <c r="A345" s="492"/>
      <c r="B345" s="254"/>
      <c r="C345" s="492"/>
      <c r="D345" s="181"/>
      <c r="E345" s="492"/>
      <c r="F345" s="254"/>
      <c r="G345" s="492"/>
      <c r="H345" s="254"/>
      <c r="I345" s="500"/>
      <c r="J345" s="181"/>
      <c r="K345" s="500"/>
      <c r="L345" s="181"/>
      <c r="M345" s="253"/>
      <c r="N345" s="254"/>
      <c r="O345" s="500"/>
      <c r="P345" s="181"/>
      <c r="Q345" s="492"/>
      <c r="R345" s="254"/>
      <c r="S345" s="501"/>
      <c r="T345" s="101"/>
      <c r="U345" s="253"/>
      <c r="V345" s="254"/>
      <c r="W345" s="254"/>
      <c r="X345" s="254"/>
      <c r="Y345" s="254"/>
      <c r="Z345" s="254"/>
    </row>
    <row r="346">
      <c r="A346" s="492"/>
      <c r="B346" s="254"/>
      <c r="C346" s="492"/>
      <c r="D346" s="181"/>
      <c r="E346" s="492"/>
      <c r="F346" s="254"/>
      <c r="G346" s="492"/>
      <c r="H346" s="254"/>
      <c r="I346" s="500"/>
      <c r="J346" s="181"/>
      <c r="K346" s="500"/>
      <c r="L346" s="181"/>
      <c r="M346" s="253"/>
      <c r="N346" s="254"/>
      <c r="O346" s="500"/>
      <c r="P346" s="181"/>
      <c r="Q346" s="492"/>
      <c r="R346" s="254"/>
      <c r="S346" s="501"/>
      <c r="T346" s="101"/>
      <c r="U346" s="253"/>
      <c r="V346" s="254"/>
      <c r="W346" s="254"/>
      <c r="X346" s="254"/>
      <c r="Y346" s="254"/>
      <c r="Z346" s="254"/>
    </row>
    <row r="347">
      <c r="A347" s="492"/>
      <c r="B347" s="254"/>
      <c r="C347" s="492"/>
      <c r="D347" s="181"/>
      <c r="E347" s="492"/>
      <c r="F347" s="254"/>
      <c r="G347" s="492"/>
      <c r="H347" s="254"/>
      <c r="I347" s="500"/>
      <c r="J347" s="181"/>
      <c r="K347" s="500"/>
      <c r="L347" s="181"/>
      <c r="M347" s="253"/>
      <c r="N347" s="254"/>
      <c r="O347" s="500"/>
      <c r="P347" s="181"/>
      <c r="Q347" s="492"/>
      <c r="R347" s="254"/>
      <c r="S347" s="501"/>
      <c r="T347" s="101"/>
      <c r="U347" s="253"/>
      <c r="V347" s="254"/>
      <c r="W347" s="254"/>
      <c r="X347" s="254"/>
      <c r="Y347" s="254"/>
      <c r="Z347" s="254"/>
    </row>
    <row r="348">
      <c r="A348" s="492"/>
      <c r="B348" s="254"/>
      <c r="C348" s="492"/>
      <c r="D348" s="181"/>
      <c r="E348" s="492"/>
      <c r="F348" s="254"/>
      <c r="G348" s="492"/>
      <c r="H348" s="254"/>
      <c r="I348" s="500"/>
      <c r="J348" s="181"/>
      <c r="K348" s="500"/>
      <c r="L348" s="181"/>
      <c r="M348" s="253"/>
      <c r="N348" s="254"/>
      <c r="O348" s="500"/>
      <c r="P348" s="181"/>
      <c r="Q348" s="492"/>
      <c r="R348" s="254"/>
      <c r="S348" s="501"/>
      <c r="T348" s="101"/>
      <c r="U348" s="253"/>
      <c r="V348" s="254"/>
      <c r="W348" s="254"/>
      <c r="X348" s="254"/>
      <c r="Y348" s="254"/>
      <c r="Z348" s="254"/>
    </row>
    <row r="349">
      <c r="A349" s="492"/>
      <c r="B349" s="254"/>
      <c r="C349" s="492"/>
      <c r="D349" s="181"/>
      <c r="E349" s="492"/>
      <c r="F349" s="254"/>
      <c r="G349" s="492"/>
      <c r="H349" s="254"/>
      <c r="I349" s="500"/>
      <c r="J349" s="181"/>
      <c r="K349" s="500"/>
      <c r="L349" s="181"/>
      <c r="M349" s="253"/>
      <c r="N349" s="254"/>
      <c r="O349" s="500"/>
      <c r="P349" s="181"/>
      <c r="Q349" s="492"/>
      <c r="R349" s="254"/>
      <c r="S349" s="501"/>
      <c r="T349" s="101"/>
      <c r="U349" s="253"/>
      <c r="V349" s="254"/>
      <c r="W349" s="254"/>
      <c r="X349" s="254"/>
      <c r="Y349" s="254"/>
      <c r="Z349" s="254"/>
    </row>
    <row r="350">
      <c r="A350" s="492"/>
      <c r="B350" s="254"/>
      <c r="C350" s="492"/>
      <c r="D350" s="181"/>
      <c r="E350" s="492"/>
      <c r="F350" s="254"/>
      <c r="G350" s="492"/>
      <c r="H350" s="254"/>
      <c r="I350" s="500"/>
      <c r="J350" s="181"/>
      <c r="K350" s="500"/>
      <c r="L350" s="181"/>
      <c r="M350" s="253"/>
      <c r="N350" s="254"/>
      <c r="O350" s="500"/>
      <c r="P350" s="181"/>
      <c r="Q350" s="492"/>
      <c r="R350" s="254"/>
      <c r="S350" s="501"/>
      <c r="T350" s="101"/>
      <c r="U350" s="253"/>
      <c r="V350" s="254"/>
      <c r="W350" s="254"/>
      <c r="X350" s="254"/>
      <c r="Y350" s="254"/>
      <c r="Z350" s="254"/>
    </row>
    <row r="351">
      <c r="A351" s="492"/>
      <c r="B351" s="254"/>
      <c r="C351" s="492"/>
      <c r="D351" s="181"/>
      <c r="E351" s="492"/>
      <c r="F351" s="254"/>
      <c r="G351" s="492"/>
      <c r="H351" s="254"/>
      <c r="I351" s="500"/>
      <c r="J351" s="181"/>
      <c r="K351" s="500"/>
      <c r="L351" s="181"/>
      <c r="M351" s="253"/>
      <c r="N351" s="254"/>
      <c r="O351" s="500"/>
      <c r="P351" s="181"/>
      <c r="Q351" s="492"/>
      <c r="R351" s="254"/>
      <c r="S351" s="501"/>
      <c r="T351" s="101"/>
      <c r="U351" s="253"/>
      <c r="V351" s="254"/>
      <c r="W351" s="254"/>
      <c r="X351" s="254"/>
      <c r="Y351" s="254"/>
      <c r="Z351" s="254"/>
    </row>
    <row r="352">
      <c r="A352" s="492"/>
      <c r="B352" s="254"/>
      <c r="C352" s="492"/>
      <c r="D352" s="181"/>
      <c r="E352" s="492"/>
      <c r="F352" s="254"/>
      <c r="G352" s="492"/>
      <c r="H352" s="254"/>
      <c r="I352" s="500"/>
      <c r="J352" s="181"/>
      <c r="K352" s="500"/>
      <c r="L352" s="181"/>
      <c r="M352" s="253"/>
      <c r="N352" s="254"/>
      <c r="O352" s="500"/>
      <c r="P352" s="181"/>
      <c r="Q352" s="492"/>
      <c r="R352" s="254"/>
      <c r="S352" s="501"/>
      <c r="T352" s="101"/>
      <c r="U352" s="253"/>
      <c r="V352" s="254"/>
      <c r="W352" s="254"/>
      <c r="X352" s="254"/>
      <c r="Y352" s="254"/>
      <c r="Z352" s="254"/>
    </row>
    <row r="353">
      <c r="A353" s="492"/>
      <c r="B353" s="254"/>
      <c r="C353" s="492"/>
      <c r="D353" s="181"/>
      <c r="E353" s="492"/>
      <c r="F353" s="254"/>
      <c r="G353" s="492"/>
      <c r="H353" s="254"/>
      <c r="I353" s="500"/>
      <c r="J353" s="181"/>
      <c r="K353" s="500"/>
      <c r="L353" s="181"/>
      <c r="M353" s="253"/>
      <c r="N353" s="254"/>
      <c r="O353" s="500"/>
      <c r="P353" s="181"/>
      <c r="Q353" s="492"/>
      <c r="R353" s="254"/>
      <c r="S353" s="501"/>
      <c r="T353" s="101"/>
      <c r="U353" s="253"/>
      <c r="V353" s="254"/>
      <c r="W353" s="254"/>
      <c r="X353" s="254"/>
      <c r="Y353" s="254"/>
      <c r="Z353" s="254"/>
    </row>
    <row r="354">
      <c r="A354" s="492"/>
      <c r="B354" s="254"/>
      <c r="C354" s="492"/>
      <c r="D354" s="181"/>
      <c r="E354" s="492"/>
      <c r="F354" s="254"/>
      <c r="G354" s="492"/>
      <c r="H354" s="254"/>
      <c r="I354" s="500"/>
      <c r="J354" s="181"/>
      <c r="K354" s="500"/>
      <c r="L354" s="181"/>
      <c r="M354" s="253"/>
      <c r="N354" s="254"/>
      <c r="O354" s="500"/>
      <c r="P354" s="181"/>
      <c r="Q354" s="492"/>
      <c r="R354" s="254"/>
      <c r="S354" s="501"/>
      <c r="T354" s="101"/>
      <c r="U354" s="253"/>
      <c r="V354" s="254"/>
      <c r="W354" s="254"/>
      <c r="X354" s="254"/>
      <c r="Y354" s="254"/>
      <c r="Z354" s="254"/>
    </row>
    <row r="355">
      <c r="A355" s="492"/>
      <c r="B355" s="254"/>
      <c r="C355" s="492"/>
      <c r="D355" s="181"/>
      <c r="E355" s="492"/>
      <c r="F355" s="254"/>
      <c r="G355" s="492"/>
      <c r="H355" s="254"/>
      <c r="I355" s="500"/>
      <c r="J355" s="181"/>
      <c r="K355" s="500"/>
      <c r="L355" s="181"/>
      <c r="M355" s="253"/>
      <c r="N355" s="254"/>
      <c r="O355" s="500"/>
      <c r="P355" s="181"/>
      <c r="Q355" s="492"/>
      <c r="R355" s="254"/>
      <c r="S355" s="501"/>
      <c r="T355" s="101"/>
      <c r="U355" s="253"/>
      <c r="V355" s="254"/>
      <c r="W355" s="254"/>
      <c r="X355" s="254"/>
      <c r="Y355" s="254"/>
      <c r="Z355" s="254"/>
    </row>
    <row r="356">
      <c r="A356" s="492"/>
      <c r="B356" s="254"/>
      <c r="C356" s="492"/>
      <c r="D356" s="181"/>
      <c r="E356" s="492"/>
      <c r="F356" s="254"/>
      <c r="G356" s="492"/>
      <c r="H356" s="254"/>
      <c r="I356" s="500"/>
      <c r="J356" s="181"/>
      <c r="K356" s="500"/>
      <c r="L356" s="181"/>
      <c r="M356" s="253"/>
      <c r="N356" s="254"/>
      <c r="O356" s="500"/>
      <c r="P356" s="181"/>
      <c r="Q356" s="492"/>
      <c r="R356" s="254"/>
      <c r="S356" s="501"/>
      <c r="T356" s="101"/>
      <c r="U356" s="253"/>
      <c r="V356" s="254"/>
      <c r="W356" s="254"/>
      <c r="X356" s="254"/>
      <c r="Y356" s="254"/>
      <c r="Z356" s="254"/>
    </row>
    <row r="357">
      <c r="A357" s="492"/>
      <c r="B357" s="254"/>
      <c r="C357" s="492"/>
      <c r="D357" s="181"/>
      <c r="E357" s="492"/>
      <c r="F357" s="254"/>
      <c r="G357" s="492"/>
      <c r="H357" s="254"/>
      <c r="I357" s="500"/>
      <c r="J357" s="181"/>
      <c r="K357" s="500"/>
      <c r="L357" s="181"/>
      <c r="M357" s="253"/>
      <c r="N357" s="254"/>
      <c r="O357" s="500"/>
      <c r="P357" s="181"/>
      <c r="Q357" s="492"/>
      <c r="R357" s="254"/>
      <c r="S357" s="501"/>
      <c r="T357" s="101"/>
      <c r="U357" s="253"/>
      <c r="V357" s="254"/>
      <c r="W357" s="254"/>
      <c r="X357" s="254"/>
      <c r="Y357" s="254"/>
      <c r="Z357" s="254"/>
    </row>
    <row r="358">
      <c r="A358" s="492"/>
      <c r="B358" s="254"/>
      <c r="C358" s="492"/>
      <c r="D358" s="181"/>
      <c r="E358" s="492"/>
      <c r="F358" s="254"/>
      <c r="G358" s="492"/>
      <c r="H358" s="254"/>
      <c r="I358" s="500"/>
      <c r="J358" s="181"/>
      <c r="K358" s="500"/>
      <c r="L358" s="181"/>
      <c r="M358" s="253"/>
      <c r="N358" s="254"/>
      <c r="O358" s="500"/>
      <c r="P358" s="181"/>
      <c r="Q358" s="492"/>
      <c r="R358" s="254"/>
      <c r="S358" s="501"/>
      <c r="T358" s="101"/>
      <c r="U358" s="253"/>
      <c r="V358" s="254"/>
      <c r="W358" s="254"/>
      <c r="X358" s="254"/>
      <c r="Y358" s="254"/>
      <c r="Z358" s="254"/>
    </row>
    <row r="359">
      <c r="A359" s="492"/>
      <c r="B359" s="254"/>
      <c r="C359" s="492"/>
      <c r="D359" s="181"/>
      <c r="E359" s="492"/>
      <c r="F359" s="254"/>
      <c r="G359" s="492"/>
      <c r="H359" s="254"/>
      <c r="I359" s="500"/>
      <c r="J359" s="181"/>
      <c r="K359" s="500"/>
      <c r="L359" s="181"/>
      <c r="M359" s="253"/>
      <c r="N359" s="254"/>
      <c r="O359" s="500"/>
      <c r="P359" s="181"/>
      <c r="Q359" s="492"/>
      <c r="R359" s="254"/>
      <c r="S359" s="501"/>
      <c r="T359" s="101"/>
      <c r="U359" s="253"/>
      <c r="V359" s="254"/>
      <c r="W359" s="254"/>
      <c r="X359" s="254"/>
      <c r="Y359" s="254"/>
      <c r="Z359" s="254"/>
    </row>
    <row r="360">
      <c r="A360" s="492"/>
      <c r="B360" s="254"/>
      <c r="C360" s="492"/>
      <c r="D360" s="181"/>
      <c r="E360" s="492"/>
      <c r="F360" s="254"/>
      <c r="G360" s="492"/>
      <c r="H360" s="254"/>
      <c r="I360" s="500"/>
      <c r="J360" s="181"/>
      <c r="K360" s="500"/>
      <c r="L360" s="181"/>
      <c r="M360" s="253"/>
      <c r="N360" s="254"/>
      <c r="O360" s="500"/>
      <c r="P360" s="181"/>
      <c r="Q360" s="492"/>
      <c r="R360" s="254"/>
      <c r="S360" s="501"/>
      <c r="T360" s="101"/>
      <c r="U360" s="253"/>
      <c r="V360" s="254"/>
      <c r="W360" s="254"/>
      <c r="X360" s="254"/>
      <c r="Y360" s="254"/>
      <c r="Z360" s="254"/>
    </row>
    <row r="361">
      <c r="A361" s="492"/>
      <c r="B361" s="254"/>
      <c r="C361" s="492"/>
      <c r="D361" s="181"/>
      <c r="E361" s="492"/>
      <c r="F361" s="254"/>
      <c r="G361" s="492"/>
      <c r="H361" s="254"/>
      <c r="I361" s="500"/>
      <c r="J361" s="181"/>
      <c r="K361" s="500"/>
      <c r="L361" s="181"/>
      <c r="M361" s="253"/>
      <c r="N361" s="254"/>
      <c r="O361" s="500"/>
      <c r="P361" s="181"/>
      <c r="Q361" s="492"/>
      <c r="R361" s="254"/>
      <c r="S361" s="501"/>
      <c r="T361" s="101"/>
      <c r="U361" s="253"/>
      <c r="V361" s="254"/>
      <c r="W361" s="254"/>
      <c r="X361" s="254"/>
      <c r="Y361" s="254"/>
      <c r="Z361" s="254"/>
    </row>
    <row r="362">
      <c r="A362" s="492"/>
      <c r="B362" s="254"/>
      <c r="C362" s="492"/>
      <c r="D362" s="181"/>
      <c r="E362" s="492"/>
      <c r="F362" s="254"/>
      <c r="G362" s="492"/>
      <c r="H362" s="254"/>
      <c r="I362" s="500"/>
      <c r="J362" s="181"/>
      <c r="K362" s="500"/>
      <c r="L362" s="181"/>
      <c r="M362" s="253"/>
      <c r="N362" s="254"/>
      <c r="O362" s="500"/>
      <c r="P362" s="181"/>
      <c r="Q362" s="492"/>
      <c r="R362" s="254"/>
      <c r="S362" s="501"/>
      <c r="T362" s="101"/>
      <c r="U362" s="253"/>
      <c r="V362" s="254"/>
      <c r="W362" s="254"/>
      <c r="X362" s="254"/>
      <c r="Y362" s="254"/>
      <c r="Z362" s="254"/>
    </row>
    <row r="363">
      <c r="A363" s="492"/>
      <c r="B363" s="254"/>
      <c r="C363" s="492"/>
      <c r="D363" s="181"/>
      <c r="E363" s="492"/>
      <c r="F363" s="254"/>
      <c r="G363" s="492"/>
      <c r="H363" s="254"/>
      <c r="I363" s="500"/>
      <c r="J363" s="181"/>
      <c r="K363" s="500"/>
      <c r="L363" s="181"/>
      <c r="M363" s="253"/>
      <c r="N363" s="254"/>
      <c r="O363" s="500"/>
      <c r="P363" s="181"/>
      <c r="Q363" s="492"/>
      <c r="R363" s="254"/>
      <c r="S363" s="501"/>
      <c r="T363" s="101"/>
      <c r="U363" s="253"/>
      <c r="V363" s="254"/>
      <c r="W363" s="254"/>
      <c r="X363" s="254"/>
      <c r="Y363" s="254"/>
      <c r="Z363" s="254"/>
    </row>
    <row r="364">
      <c r="A364" s="492"/>
      <c r="B364" s="254"/>
      <c r="C364" s="492"/>
      <c r="D364" s="181"/>
      <c r="E364" s="492"/>
      <c r="F364" s="254"/>
      <c r="G364" s="492"/>
      <c r="H364" s="254"/>
      <c r="I364" s="500"/>
      <c r="J364" s="181"/>
      <c r="K364" s="500"/>
      <c r="L364" s="181"/>
      <c r="M364" s="253"/>
      <c r="N364" s="254"/>
      <c r="O364" s="500"/>
      <c r="P364" s="181"/>
      <c r="Q364" s="492"/>
      <c r="R364" s="254"/>
      <c r="S364" s="501"/>
      <c r="T364" s="101"/>
      <c r="U364" s="253"/>
      <c r="V364" s="254"/>
      <c r="W364" s="254"/>
      <c r="X364" s="254"/>
      <c r="Y364" s="254"/>
      <c r="Z364" s="254"/>
    </row>
    <row r="365">
      <c r="A365" s="492"/>
      <c r="B365" s="254"/>
      <c r="C365" s="492"/>
      <c r="D365" s="181"/>
      <c r="E365" s="492"/>
      <c r="F365" s="254"/>
      <c r="G365" s="492"/>
      <c r="H365" s="254"/>
      <c r="I365" s="500"/>
      <c r="J365" s="181"/>
      <c r="K365" s="500"/>
      <c r="L365" s="181"/>
      <c r="M365" s="253"/>
      <c r="N365" s="254"/>
      <c r="O365" s="500"/>
      <c r="P365" s="181"/>
      <c r="Q365" s="492"/>
      <c r="R365" s="254"/>
      <c r="S365" s="501"/>
      <c r="T365" s="101"/>
      <c r="U365" s="253"/>
      <c r="V365" s="254"/>
      <c r="W365" s="254"/>
      <c r="X365" s="254"/>
      <c r="Y365" s="254"/>
      <c r="Z365" s="254"/>
    </row>
    <row r="366">
      <c r="A366" s="492"/>
      <c r="B366" s="254"/>
      <c r="C366" s="492"/>
      <c r="D366" s="181"/>
      <c r="E366" s="492"/>
      <c r="F366" s="254"/>
      <c r="G366" s="492"/>
      <c r="H366" s="254"/>
      <c r="I366" s="500"/>
      <c r="J366" s="181"/>
      <c r="K366" s="500"/>
      <c r="L366" s="181"/>
      <c r="M366" s="253"/>
      <c r="N366" s="254"/>
      <c r="O366" s="500"/>
      <c r="P366" s="181"/>
      <c r="Q366" s="492"/>
      <c r="R366" s="254"/>
      <c r="S366" s="501"/>
      <c r="T366" s="101"/>
      <c r="U366" s="253"/>
      <c r="V366" s="254"/>
      <c r="W366" s="254"/>
      <c r="X366" s="254"/>
      <c r="Y366" s="254"/>
      <c r="Z366" s="254"/>
    </row>
    <row r="367">
      <c r="A367" s="492"/>
      <c r="B367" s="254"/>
      <c r="C367" s="492"/>
      <c r="D367" s="181"/>
      <c r="E367" s="492"/>
      <c r="F367" s="254"/>
      <c r="G367" s="492"/>
      <c r="H367" s="254"/>
      <c r="I367" s="500"/>
      <c r="J367" s="181"/>
      <c r="K367" s="500"/>
      <c r="L367" s="181"/>
      <c r="M367" s="253"/>
      <c r="N367" s="254"/>
      <c r="O367" s="500"/>
      <c r="P367" s="181"/>
      <c r="Q367" s="492"/>
      <c r="R367" s="254"/>
      <c r="S367" s="501"/>
      <c r="T367" s="101"/>
      <c r="U367" s="253"/>
      <c r="V367" s="254"/>
      <c r="W367" s="254"/>
      <c r="X367" s="254"/>
      <c r="Y367" s="254"/>
      <c r="Z367" s="254"/>
    </row>
    <row r="368">
      <c r="A368" s="492"/>
      <c r="B368" s="254"/>
      <c r="C368" s="492"/>
      <c r="D368" s="181"/>
      <c r="E368" s="492"/>
      <c r="F368" s="254"/>
      <c r="G368" s="492"/>
      <c r="H368" s="254"/>
      <c r="I368" s="500"/>
      <c r="J368" s="181"/>
      <c r="K368" s="500"/>
      <c r="L368" s="181"/>
      <c r="M368" s="253"/>
      <c r="N368" s="254"/>
      <c r="O368" s="500"/>
      <c r="P368" s="181"/>
      <c r="Q368" s="492"/>
      <c r="R368" s="254"/>
      <c r="S368" s="501"/>
      <c r="T368" s="101"/>
      <c r="U368" s="253"/>
      <c r="V368" s="254"/>
      <c r="W368" s="254"/>
      <c r="X368" s="254"/>
      <c r="Y368" s="254"/>
      <c r="Z368" s="254"/>
    </row>
    <row r="369">
      <c r="A369" s="492"/>
      <c r="B369" s="254"/>
      <c r="C369" s="492"/>
      <c r="D369" s="181"/>
      <c r="E369" s="492"/>
      <c r="F369" s="254"/>
      <c r="G369" s="492"/>
      <c r="H369" s="254"/>
      <c r="I369" s="500"/>
      <c r="J369" s="181"/>
      <c r="K369" s="500"/>
      <c r="L369" s="181"/>
      <c r="M369" s="253"/>
      <c r="N369" s="254"/>
      <c r="O369" s="500"/>
      <c r="P369" s="181"/>
      <c r="Q369" s="492"/>
      <c r="R369" s="254"/>
      <c r="S369" s="501"/>
      <c r="T369" s="101"/>
      <c r="U369" s="253"/>
      <c r="V369" s="254"/>
      <c r="W369" s="254"/>
      <c r="X369" s="254"/>
      <c r="Y369" s="254"/>
      <c r="Z369" s="254"/>
    </row>
    <row r="370">
      <c r="A370" s="492"/>
      <c r="B370" s="254"/>
      <c r="C370" s="492"/>
      <c r="D370" s="181"/>
      <c r="E370" s="492"/>
      <c r="F370" s="254"/>
      <c r="G370" s="492"/>
      <c r="H370" s="254"/>
      <c r="I370" s="500"/>
      <c r="J370" s="181"/>
      <c r="K370" s="500"/>
      <c r="L370" s="181"/>
      <c r="M370" s="253"/>
      <c r="N370" s="254"/>
      <c r="O370" s="500"/>
      <c r="P370" s="181"/>
      <c r="Q370" s="492"/>
      <c r="R370" s="254"/>
      <c r="S370" s="501"/>
      <c r="T370" s="101"/>
      <c r="U370" s="253"/>
      <c r="V370" s="254"/>
      <c r="W370" s="254"/>
      <c r="X370" s="254"/>
      <c r="Y370" s="254"/>
      <c r="Z370" s="254"/>
    </row>
    <row r="371">
      <c r="A371" s="492"/>
      <c r="B371" s="254"/>
      <c r="C371" s="492"/>
      <c r="D371" s="181"/>
      <c r="E371" s="492"/>
      <c r="F371" s="254"/>
      <c r="G371" s="492"/>
      <c r="H371" s="254"/>
      <c r="I371" s="500"/>
      <c r="J371" s="181"/>
      <c r="K371" s="500"/>
      <c r="L371" s="181"/>
      <c r="M371" s="253"/>
      <c r="N371" s="254"/>
      <c r="O371" s="500"/>
      <c r="P371" s="181"/>
      <c r="Q371" s="492"/>
      <c r="R371" s="254"/>
      <c r="S371" s="501"/>
      <c r="T371" s="101"/>
      <c r="U371" s="253"/>
      <c r="V371" s="254"/>
      <c r="W371" s="254"/>
      <c r="X371" s="254"/>
      <c r="Y371" s="254"/>
      <c r="Z371" s="254"/>
    </row>
    <row r="372">
      <c r="A372" s="492"/>
      <c r="B372" s="254"/>
      <c r="C372" s="492"/>
      <c r="D372" s="181"/>
      <c r="E372" s="492"/>
      <c r="F372" s="254"/>
      <c r="G372" s="492"/>
      <c r="H372" s="254"/>
      <c r="I372" s="500"/>
      <c r="J372" s="181"/>
      <c r="K372" s="500"/>
      <c r="L372" s="181"/>
      <c r="M372" s="253"/>
      <c r="N372" s="254"/>
      <c r="O372" s="500"/>
      <c r="P372" s="181"/>
      <c r="Q372" s="492"/>
      <c r="R372" s="254"/>
      <c r="S372" s="501"/>
      <c r="T372" s="101"/>
      <c r="U372" s="253"/>
      <c r="V372" s="254"/>
      <c r="W372" s="254"/>
      <c r="X372" s="254"/>
      <c r="Y372" s="254"/>
      <c r="Z372" s="254"/>
    </row>
    <row r="373">
      <c r="A373" s="492"/>
      <c r="B373" s="254"/>
      <c r="C373" s="492"/>
      <c r="D373" s="181"/>
      <c r="E373" s="492"/>
      <c r="F373" s="254"/>
      <c r="G373" s="492"/>
      <c r="H373" s="254"/>
      <c r="I373" s="500"/>
      <c r="J373" s="181"/>
      <c r="K373" s="500"/>
      <c r="L373" s="181"/>
      <c r="M373" s="253"/>
      <c r="N373" s="254"/>
      <c r="O373" s="500"/>
      <c r="P373" s="181"/>
      <c r="Q373" s="492"/>
      <c r="R373" s="254"/>
      <c r="S373" s="501"/>
      <c r="T373" s="101"/>
      <c r="U373" s="253"/>
      <c r="V373" s="254"/>
      <c r="W373" s="254"/>
      <c r="X373" s="254"/>
      <c r="Y373" s="254"/>
      <c r="Z373" s="254"/>
    </row>
    <row r="374">
      <c r="A374" s="492"/>
      <c r="B374" s="254"/>
      <c r="C374" s="492"/>
      <c r="D374" s="181"/>
      <c r="E374" s="492"/>
      <c r="F374" s="254"/>
      <c r="G374" s="492"/>
      <c r="H374" s="254"/>
      <c r="I374" s="500"/>
      <c r="J374" s="181"/>
      <c r="K374" s="500"/>
      <c r="L374" s="181"/>
      <c r="M374" s="253"/>
      <c r="N374" s="254"/>
      <c r="O374" s="500"/>
      <c r="P374" s="181"/>
      <c r="Q374" s="492"/>
      <c r="R374" s="254"/>
      <c r="S374" s="501"/>
      <c r="T374" s="101"/>
      <c r="U374" s="253"/>
      <c r="V374" s="254"/>
      <c r="W374" s="254"/>
      <c r="X374" s="254"/>
      <c r="Y374" s="254"/>
      <c r="Z374" s="254"/>
    </row>
    <row r="375">
      <c r="A375" s="492"/>
      <c r="B375" s="254"/>
      <c r="C375" s="492"/>
      <c r="D375" s="181"/>
      <c r="E375" s="492"/>
      <c r="F375" s="254"/>
      <c r="G375" s="492"/>
      <c r="H375" s="254"/>
      <c r="I375" s="500"/>
      <c r="J375" s="181"/>
      <c r="K375" s="500"/>
      <c r="L375" s="181"/>
      <c r="M375" s="253"/>
      <c r="N375" s="254"/>
      <c r="O375" s="500"/>
      <c r="P375" s="181"/>
      <c r="Q375" s="492"/>
      <c r="R375" s="254"/>
      <c r="S375" s="501"/>
      <c r="T375" s="101"/>
      <c r="U375" s="253"/>
      <c r="V375" s="254"/>
      <c r="W375" s="254"/>
      <c r="X375" s="254"/>
      <c r="Y375" s="254"/>
      <c r="Z375" s="254"/>
    </row>
    <row r="376">
      <c r="A376" s="492"/>
      <c r="B376" s="254"/>
      <c r="C376" s="492"/>
      <c r="D376" s="181"/>
      <c r="E376" s="492"/>
      <c r="F376" s="254"/>
      <c r="G376" s="492"/>
      <c r="H376" s="254"/>
      <c r="I376" s="500"/>
      <c r="J376" s="181"/>
      <c r="K376" s="500"/>
      <c r="L376" s="181"/>
      <c r="M376" s="253"/>
      <c r="N376" s="254"/>
      <c r="O376" s="500"/>
      <c r="P376" s="181"/>
      <c r="Q376" s="492"/>
      <c r="R376" s="254"/>
      <c r="S376" s="501"/>
      <c r="T376" s="101"/>
      <c r="U376" s="253"/>
      <c r="V376" s="254"/>
      <c r="W376" s="254"/>
      <c r="X376" s="254"/>
      <c r="Y376" s="254"/>
      <c r="Z376" s="254"/>
    </row>
    <row r="377">
      <c r="A377" s="492"/>
      <c r="B377" s="254"/>
      <c r="C377" s="492"/>
      <c r="D377" s="181"/>
      <c r="E377" s="492"/>
      <c r="F377" s="254"/>
      <c r="G377" s="492"/>
      <c r="H377" s="254"/>
      <c r="I377" s="500"/>
      <c r="J377" s="181"/>
      <c r="K377" s="500"/>
      <c r="L377" s="181"/>
      <c r="M377" s="253"/>
      <c r="N377" s="254"/>
      <c r="O377" s="500"/>
      <c r="P377" s="181"/>
      <c r="Q377" s="492"/>
      <c r="R377" s="254"/>
      <c r="S377" s="501"/>
      <c r="T377" s="101"/>
      <c r="U377" s="253"/>
      <c r="V377" s="254"/>
      <c r="W377" s="254"/>
      <c r="X377" s="254"/>
      <c r="Y377" s="254"/>
      <c r="Z377" s="254"/>
    </row>
    <row r="378">
      <c r="A378" s="492"/>
      <c r="B378" s="254"/>
      <c r="C378" s="492"/>
      <c r="D378" s="181"/>
      <c r="E378" s="492"/>
      <c r="F378" s="254"/>
      <c r="G378" s="492"/>
      <c r="H378" s="254"/>
      <c r="I378" s="500"/>
      <c r="J378" s="181"/>
      <c r="K378" s="500"/>
      <c r="L378" s="181"/>
      <c r="M378" s="253"/>
      <c r="N378" s="254"/>
      <c r="O378" s="500"/>
      <c r="P378" s="181"/>
      <c r="Q378" s="492"/>
      <c r="R378" s="254"/>
      <c r="S378" s="501"/>
      <c r="T378" s="101"/>
      <c r="U378" s="253"/>
      <c r="V378" s="254"/>
      <c r="W378" s="254"/>
      <c r="X378" s="254"/>
      <c r="Y378" s="254"/>
      <c r="Z378" s="254"/>
    </row>
    <row r="379">
      <c r="A379" s="492"/>
      <c r="B379" s="254"/>
      <c r="C379" s="492"/>
      <c r="D379" s="181"/>
      <c r="E379" s="492"/>
      <c r="F379" s="254"/>
      <c r="G379" s="492"/>
      <c r="H379" s="254"/>
      <c r="I379" s="500"/>
      <c r="J379" s="181"/>
      <c r="K379" s="500"/>
      <c r="L379" s="181"/>
      <c r="M379" s="253"/>
      <c r="N379" s="254"/>
      <c r="O379" s="500"/>
      <c r="P379" s="181"/>
      <c r="Q379" s="492"/>
      <c r="R379" s="254"/>
      <c r="S379" s="501"/>
      <c r="T379" s="101"/>
      <c r="U379" s="253"/>
      <c r="V379" s="254"/>
      <c r="W379" s="254"/>
      <c r="X379" s="254"/>
      <c r="Y379" s="254"/>
      <c r="Z379" s="254"/>
    </row>
    <row r="380">
      <c r="A380" s="492"/>
      <c r="B380" s="254"/>
      <c r="C380" s="492"/>
      <c r="D380" s="181"/>
      <c r="E380" s="492"/>
      <c r="F380" s="254"/>
      <c r="G380" s="492"/>
      <c r="H380" s="254"/>
      <c r="I380" s="500"/>
      <c r="J380" s="181"/>
      <c r="K380" s="500"/>
      <c r="L380" s="181"/>
      <c r="M380" s="253"/>
      <c r="N380" s="254"/>
      <c r="O380" s="500"/>
      <c r="P380" s="181"/>
      <c r="Q380" s="492"/>
      <c r="R380" s="254"/>
      <c r="S380" s="501"/>
      <c r="T380" s="101"/>
      <c r="U380" s="253"/>
      <c r="V380" s="254"/>
      <c r="W380" s="254"/>
      <c r="X380" s="254"/>
      <c r="Y380" s="254"/>
      <c r="Z380" s="254"/>
    </row>
    <row r="381">
      <c r="A381" s="492"/>
      <c r="B381" s="254"/>
      <c r="C381" s="492"/>
      <c r="D381" s="181"/>
      <c r="E381" s="492"/>
      <c r="F381" s="254"/>
      <c r="G381" s="492"/>
      <c r="H381" s="254"/>
      <c r="I381" s="500"/>
      <c r="J381" s="181"/>
      <c r="K381" s="500"/>
      <c r="L381" s="181"/>
      <c r="M381" s="253"/>
      <c r="N381" s="254"/>
      <c r="O381" s="500"/>
      <c r="P381" s="181"/>
      <c r="Q381" s="492"/>
      <c r="R381" s="254"/>
      <c r="S381" s="501"/>
      <c r="T381" s="101"/>
      <c r="U381" s="253"/>
      <c r="V381" s="254"/>
      <c r="W381" s="254"/>
      <c r="X381" s="254"/>
      <c r="Y381" s="254"/>
      <c r="Z381" s="254"/>
    </row>
    <row r="382">
      <c r="A382" s="492"/>
      <c r="B382" s="254"/>
      <c r="C382" s="492"/>
      <c r="D382" s="181"/>
      <c r="E382" s="492"/>
      <c r="F382" s="254"/>
      <c r="G382" s="492"/>
      <c r="H382" s="254"/>
      <c r="I382" s="500"/>
      <c r="J382" s="181"/>
      <c r="K382" s="500"/>
      <c r="L382" s="181"/>
      <c r="M382" s="253"/>
      <c r="N382" s="254"/>
      <c r="O382" s="500"/>
      <c r="P382" s="181"/>
      <c r="Q382" s="492"/>
      <c r="R382" s="254"/>
      <c r="S382" s="501"/>
      <c r="T382" s="101"/>
      <c r="U382" s="253"/>
      <c r="V382" s="254"/>
      <c r="W382" s="254"/>
      <c r="X382" s="254"/>
      <c r="Y382" s="254"/>
      <c r="Z382" s="254"/>
    </row>
    <row r="383">
      <c r="A383" s="492"/>
      <c r="B383" s="254"/>
      <c r="C383" s="492"/>
      <c r="D383" s="181"/>
      <c r="E383" s="492"/>
      <c r="F383" s="254"/>
      <c r="G383" s="492"/>
      <c r="H383" s="254"/>
      <c r="I383" s="500"/>
      <c r="J383" s="181"/>
      <c r="K383" s="500"/>
      <c r="L383" s="181"/>
      <c r="M383" s="253"/>
      <c r="N383" s="254"/>
      <c r="O383" s="500"/>
      <c r="P383" s="181"/>
      <c r="Q383" s="492"/>
      <c r="R383" s="254"/>
      <c r="S383" s="501"/>
      <c r="T383" s="101"/>
      <c r="U383" s="253"/>
      <c r="V383" s="254"/>
      <c r="W383" s="254"/>
      <c r="X383" s="254"/>
      <c r="Y383" s="254"/>
      <c r="Z383" s="254"/>
    </row>
    <row r="384">
      <c r="A384" s="492"/>
      <c r="B384" s="254"/>
      <c r="C384" s="492"/>
      <c r="D384" s="181"/>
      <c r="E384" s="492"/>
      <c r="F384" s="254"/>
      <c r="G384" s="492"/>
      <c r="H384" s="254"/>
      <c r="I384" s="500"/>
      <c r="J384" s="181"/>
      <c r="K384" s="500"/>
      <c r="L384" s="181"/>
      <c r="M384" s="253"/>
      <c r="N384" s="254"/>
      <c r="O384" s="500"/>
      <c r="P384" s="181"/>
      <c r="Q384" s="492"/>
      <c r="R384" s="254"/>
      <c r="S384" s="501"/>
      <c r="T384" s="101"/>
      <c r="U384" s="253"/>
      <c r="V384" s="254"/>
      <c r="W384" s="254"/>
      <c r="X384" s="254"/>
      <c r="Y384" s="254"/>
      <c r="Z384" s="254"/>
    </row>
    <row r="385">
      <c r="A385" s="492"/>
      <c r="B385" s="254"/>
      <c r="C385" s="492"/>
      <c r="D385" s="181"/>
      <c r="E385" s="492"/>
      <c r="F385" s="254"/>
      <c r="G385" s="492"/>
      <c r="H385" s="254"/>
      <c r="I385" s="500"/>
      <c r="J385" s="181"/>
      <c r="K385" s="500"/>
      <c r="L385" s="181"/>
      <c r="M385" s="253"/>
      <c r="N385" s="254"/>
      <c r="O385" s="500"/>
      <c r="P385" s="181"/>
      <c r="Q385" s="492"/>
      <c r="R385" s="254"/>
      <c r="S385" s="501"/>
      <c r="T385" s="101"/>
      <c r="U385" s="253"/>
      <c r="V385" s="254"/>
      <c r="W385" s="254"/>
      <c r="X385" s="254"/>
      <c r="Y385" s="254"/>
      <c r="Z385" s="254"/>
    </row>
    <row r="386">
      <c r="A386" s="492"/>
      <c r="B386" s="254"/>
      <c r="C386" s="492"/>
      <c r="D386" s="181"/>
      <c r="E386" s="492"/>
      <c r="F386" s="254"/>
      <c r="G386" s="492"/>
      <c r="H386" s="254"/>
      <c r="I386" s="500"/>
      <c r="J386" s="181"/>
      <c r="K386" s="500"/>
      <c r="L386" s="181"/>
      <c r="M386" s="253"/>
      <c r="N386" s="254"/>
      <c r="O386" s="500"/>
      <c r="P386" s="181"/>
      <c r="Q386" s="492"/>
      <c r="R386" s="254"/>
      <c r="S386" s="501"/>
      <c r="T386" s="101"/>
      <c r="U386" s="253"/>
      <c r="V386" s="254"/>
      <c r="W386" s="254"/>
      <c r="X386" s="254"/>
      <c r="Y386" s="254"/>
      <c r="Z386" s="254"/>
    </row>
    <row r="387">
      <c r="A387" s="492"/>
      <c r="B387" s="254"/>
      <c r="C387" s="492"/>
      <c r="D387" s="181"/>
      <c r="E387" s="492"/>
      <c r="F387" s="254"/>
      <c r="G387" s="492"/>
      <c r="H387" s="254"/>
      <c r="I387" s="500"/>
      <c r="J387" s="181"/>
      <c r="K387" s="500"/>
      <c r="L387" s="181"/>
      <c r="M387" s="253"/>
      <c r="N387" s="254"/>
      <c r="O387" s="500"/>
      <c r="P387" s="181"/>
      <c r="Q387" s="492"/>
      <c r="R387" s="254"/>
      <c r="S387" s="501"/>
      <c r="T387" s="101"/>
      <c r="U387" s="253"/>
      <c r="V387" s="254"/>
      <c r="W387" s="254"/>
      <c r="X387" s="254"/>
      <c r="Y387" s="254"/>
      <c r="Z387" s="254"/>
    </row>
    <row r="388">
      <c r="A388" s="492"/>
      <c r="B388" s="254"/>
      <c r="C388" s="492"/>
      <c r="D388" s="181"/>
      <c r="E388" s="492"/>
      <c r="F388" s="254"/>
      <c r="G388" s="492"/>
      <c r="H388" s="254"/>
      <c r="I388" s="500"/>
      <c r="J388" s="181"/>
      <c r="K388" s="500"/>
      <c r="L388" s="181"/>
      <c r="M388" s="253"/>
      <c r="N388" s="254"/>
      <c r="O388" s="500"/>
      <c r="P388" s="181"/>
      <c r="Q388" s="492"/>
      <c r="R388" s="254"/>
      <c r="S388" s="501"/>
      <c r="T388" s="101"/>
      <c r="U388" s="253"/>
      <c r="V388" s="254"/>
      <c r="W388" s="254"/>
      <c r="X388" s="254"/>
      <c r="Y388" s="254"/>
      <c r="Z388" s="254"/>
    </row>
    <row r="389">
      <c r="A389" s="492"/>
      <c r="B389" s="254"/>
      <c r="C389" s="492"/>
      <c r="D389" s="181"/>
      <c r="E389" s="492"/>
      <c r="F389" s="254"/>
      <c r="G389" s="492"/>
      <c r="H389" s="254"/>
      <c r="I389" s="500"/>
      <c r="J389" s="181"/>
      <c r="K389" s="500"/>
      <c r="L389" s="181"/>
      <c r="M389" s="253"/>
      <c r="N389" s="254"/>
      <c r="O389" s="500"/>
      <c r="P389" s="181"/>
      <c r="Q389" s="492"/>
      <c r="R389" s="254"/>
      <c r="S389" s="501"/>
      <c r="T389" s="101"/>
      <c r="U389" s="253"/>
      <c r="V389" s="254"/>
      <c r="W389" s="254"/>
      <c r="X389" s="254"/>
      <c r="Y389" s="254"/>
      <c r="Z389" s="254"/>
    </row>
    <row r="390">
      <c r="A390" s="492"/>
      <c r="B390" s="254"/>
      <c r="C390" s="492"/>
      <c r="D390" s="181"/>
      <c r="E390" s="492"/>
      <c r="F390" s="254"/>
      <c r="G390" s="492"/>
      <c r="H390" s="254"/>
      <c r="I390" s="500"/>
      <c r="J390" s="181"/>
      <c r="K390" s="500"/>
      <c r="L390" s="181"/>
      <c r="M390" s="253"/>
      <c r="N390" s="254"/>
      <c r="O390" s="500"/>
      <c r="P390" s="181"/>
      <c r="Q390" s="492"/>
      <c r="R390" s="254"/>
      <c r="S390" s="501"/>
      <c r="T390" s="101"/>
      <c r="U390" s="253"/>
      <c r="V390" s="254"/>
      <c r="W390" s="254"/>
      <c r="X390" s="254"/>
      <c r="Y390" s="254"/>
      <c r="Z390" s="254"/>
    </row>
    <row r="391">
      <c r="A391" s="492"/>
      <c r="B391" s="254"/>
      <c r="C391" s="492"/>
      <c r="D391" s="181"/>
      <c r="E391" s="492"/>
      <c r="F391" s="254"/>
      <c r="G391" s="492"/>
      <c r="H391" s="254"/>
      <c r="I391" s="500"/>
      <c r="J391" s="181"/>
      <c r="K391" s="500"/>
      <c r="L391" s="181"/>
      <c r="M391" s="253"/>
      <c r="N391" s="254"/>
      <c r="O391" s="500"/>
      <c r="P391" s="181"/>
      <c r="Q391" s="492"/>
      <c r="R391" s="254"/>
      <c r="S391" s="501"/>
      <c r="T391" s="101"/>
      <c r="U391" s="253"/>
      <c r="V391" s="254"/>
      <c r="W391" s="254"/>
      <c r="X391" s="254"/>
      <c r="Y391" s="254"/>
      <c r="Z391" s="254"/>
    </row>
    <row r="392">
      <c r="A392" s="492"/>
      <c r="B392" s="254"/>
      <c r="C392" s="492"/>
      <c r="D392" s="181"/>
      <c r="E392" s="492"/>
      <c r="F392" s="254"/>
      <c r="G392" s="492"/>
      <c r="H392" s="254"/>
      <c r="I392" s="500"/>
      <c r="J392" s="181"/>
      <c r="K392" s="500"/>
      <c r="L392" s="181"/>
      <c r="M392" s="253"/>
      <c r="N392" s="254"/>
      <c r="O392" s="500"/>
      <c r="P392" s="181"/>
      <c r="Q392" s="492"/>
      <c r="R392" s="254"/>
      <c r="S392" s="501"/>
      <c r="T392" s="101"/>
      <c r="U392" s="253"/>
      <c r="V392" s="254"/>
      <c r="W392" s="254"/>
      <c r="X392" s="254"/>
      <c r="Y392" s="254"/>
      <c r="Z392" s="254"/>
    </row>
    <row r="393">
      <c r="A393" s="492"/>
      <c r="B393" s="254"/>
      <c r="C393" s="492"/>
      <c r="D393" s="181"/>
      <c r="E393" s="492"/>
      <c r="F393" s="254"/>
      <c r="G393" s="492"/>
      <c r="H393" s="254"/>
      <c r="I393" s="500"/>
      <c r="J393" s="181"/>
      <c r="K393" s="500"/>
      <c r="L393" s="181"/>
      <c r="M393" s="253"/>
      <c r="N393" s="254"/>
      <c r="O393" s="500"/>
      <c r="P393" s="181"/>
      <c r="Q393" s="492"/>
      <c r="R393" s="254"/>
      <c r="S393" s="501"/>
      <c r="T393" s="101"/>
      <c r="U393" s="253"/>
      <c r="V393" s="254"/>
      <c r="W393" s="254"/>
      <c r="X393" s="254"/>
      <c r="Y393" s="254"/>
      <c r="Z393" s="254"/>
    </row>
    <row r="394">
      <c r="A394" s="492"/>
      <c r="B394" s="254"/>
      <c r="C394" s="492"/>
      <c r="D394" s="181"/>
      <c r="E394" s="492"/>
      <c r="F394" s="254"/>
      <c r="G394" s="492"/>
      <c r="H394" s="254"/>
      <c r="I394" s="500"/>
      <c r="J394" s="181"/>
      <c r="K394" s="500"/>
      <c r="L394" s="181"/>
      <c r="M394" s="253"/>
      <c r="N394" s="254"/>
      <c r="O394" s="500"/>
      <c r="P394" s="181"/>
      <c r="Q394" s="492"/>
      <c r="R394" s="254"/>
      <c r="S394" s="501"/>
      <c r="T394" s="101"/>
      <c r="U394" s="253"/>
      <c r="V394" s="254"/>
      <c r="W394" s="254"/>
      <c r="X394" s="254"/>
      <c r="Y394" s="254"/>
      <c r="Z394" s="254"/>
    </row>
    <row r="395">
      <c r="A395" s="492"/>
      <c r="B395" s="254"/>
      <c r="C395" s="492"/>
      <c r="D395" s="181"/>
      <c r="E395" s="492"/>
      <c r="F395" s="254"/>
      <c r="G395" s="492"/>
      <c r="H395" s="254"/>
      <c r="I395" s="500"/>
      <c r="J395" s="181"/>
      <c r="K395" s="500"/>
      <c r="L395" s="181"/>
      <c r="M395" s="253"/>
      <c r="N395" s="254"/>
      <c r="O395" s="500"/>
      <c r="P395" s="181"/>
      <c r="Q395" s="492"/>
      <c r="R395" s="254"/>
      <c r="S395" s="501"/>
      <c r="T395" s="101"/>
      <c r="U395" s="253"/>
      <c r="V395" s="254"/>
      <c r="W395" s="254"/>
      <c r="X395" s="254"/>
      <c r="Y395" s="254"/>
      <c r="Z395" s="254"/>
    </row>
    <row r="396">
      <c r="A396" s="492"/>
      <c r="B396" s="254"/>
      <c r="C396" s="492"/>
      <c r="D396" s="181"/>
      <c r="E396" s="492"/>
      <c r="F396" s="254"/>
      <c r="G396" s="492"/>
      <c r="H396" s="254"/>
      <c r="I396" s="500"/>
      <c r="J396" s="181"/>
      <c r="K396" s="500"/>
      <c r="L396" s="181"/>
      <c r="M396" s="253"/>
      <c r="N396" s="254"/>
      <c r="O396" s="500"/>
      <c r="P396" s="181"/>
      <c r="Q396" s="492"/>
      <c r="R396" s="254"/>
      <c r="S396" s="501"/>
      <c r="T396" s="101"/>
      <c r="U396" s="253"/>
      <c r="V396" s="254"/>
      <c r="W396" s="254"/>
      <c r="X396" s="254"/>
      <c r="Y396" s="254"/>
      <c r="Z396" s="254"/>
    </row>
    <row r="397">
      <c r="A397" s="492"/>
      <c r="B397" s="254"/>
      <c r="C397" s="492"/>
      <c r="D397" s="181"/>
      <c r="E397" s="492"/>
      <c r="F397" s="254"/>
      <c r="G397" s="492"/>
      <c r="H397" s="254"/>
      <c r="I397" s="500"/>
      <c r="J397" s="181"/>
      <c r="K397" s="500"/>
      <c r="L397" s="181"/>
      <c r="M397" s="253"/>
      <c r="N397" s="254"/>
      <c r="O397" s="500"/>
      <c r="P397" s="181"/>
      <c r="Q397" s="492"/>
      <c r="R397" s="254"/>
      <c r="S397" s="501"/>
      <c r="T397" s="101"/>
      <c r="U397" s="253"/>
      <c r="V397" s="254"/>
      <c r="W397" s="254"/>
      <c r="X397" s="254"/>
      <c r="Y397" s="254"/>
      <c r="Z397" s="254"/>
    </row>
    <row r="398">
      <c r="A398" s="492"/>
      <c r="B398" s="254"/>
      <c r="C398" s="492"/>
      <c r="D398" s="181"/>
      <c r="E398" s="492"/>
      <c r="F398" s="254"/>
      <c r="G398" s="492"/>
      <c r="H398" s="254"/>
      <c r="I398" s="500"/>
      <c r="J398" s="181"/>
      <c r="K398" s="500"/>
      <c r="L398" s="181"/>
      <c r="M398" s="253"/>
      <c r="N398" s="254"/>
      <c r="O398" s="500"/>
      <c r="P398" s="181"/>
      <c r="Q398" s="492"/>
      <c r="R398" s="254"/>
      <c r="S398" s="501"/>
      <c r="T398" s="101"/>
      <c r="U398" s="253"/>
      <c r="V398" s="254"/>
      <c r="W398" s="254"/>
      <c r="X398" s="254"/>
      <c r="Y398" s="254"/>
      <c r="Z398" s="254"/>
    </row>
    <row r="399">
      <c r="A399" s="492"/>
      <c r="B399" s="254"/>
      <c r="C399" s="492"/>
      <c r="D399" s="181"/>
      <c r="E399" s="492"/>
      <c r="F399" s="254"/>
      <c r="G399" s="492"/>
      <c r="H399" s="254"/>
      <c r="I399" s="500"/>
      <c r="J399" s="181"/>
      <c r="K399" s="500"/>
      <c r="L399" s="181"/>
      <c r="M399" s="253"/>
      <c r="N399" s="254"/>
      <c r="O399" s="500"/>
      <c r="P399" s="181"/>
      <c r="Q399" s="492"/>
      <c r="R399" s="254"/>
      <c r="S399" s="501"/>
      <c r="T399" s="101"/>
      <c r="U399" s="253"/>
      <c r="V399" s="254"/>
      <c r="W399" s="254"/>
      <c r="X399" s="254"/>
      <c r="Y399" s="254"/>
      <c r="Z399" s="254"/>
    </row>
    <row r="400">
      <c r="A400" s="492"/>
      <c r="B400" s="254"/>
      <c r="C400" s="492"/>
      <c r="D400" s="181"/>
      <c r="E400" s="492"/>
      <c r="F400" s="254"/>
      <c r="G400" s="492"/>
      <c r="H400" s="254"/>
      <c r="I400" s="500"/>
      <c r="J400" s="181"/>
      <c r="K400" s="500"/>
      <c r="L400" s="181"/>
      <c r="M400" s="253"/>
      <c r="N400" s="254"/>
      <c r="O400" s="500"/>
      <c r="P400" s="181"/>
      <c r="Q400" s="492"/>
      <c r="R400" s="254"/>
      <c r="S400" s="501"/>
      <c r="T400" s="101"/>
      <c r="U400" s="253"/>
      <c r="V400" s="254"/>
      <c r="W400" s="254"/>
      <c r="X400" s="254"/>
      <c r="Y400" s="254"/>
      <c r="Z400" s="254"/>
    </row>
    <row r="401">
      <c r="A401" s="492"/>
      <c r="B401" s="254"/>
      <c r="C401" s="492"/>
      <c r="D401" s="181"/>
      <c r="E401" s="492"/>
      <c r="F401" s="254"/>
      <c r="G401" s="492"/>
      <c r="H401" s="254"/>
      <c r="I401" s="500"/>
      <c r="J401" s="181"/>
      <c r="K401" s="500"/>
      <c r="L401" s="181"/>
      <c r="M401" s="253"/>
      <c r="N401" s="254"/>
      <c r="O401" s="500"/>
      <c r="P401" s="181"/>
      <c r="Q401" s="492"/>
      <c r="R401" s="254"/>
      <c r="S401" s="501"/>
      <c r="T401" s="101"/>
      <c r="U401" s="253"/>
      <c r="V401" s="254"/>
      <c r="W401" s="254"/>
      <c r="X401" s="254"/>
      <c r="Y401" s="254"/>
      <c r="Z401" s="254"/>
    </row>
    <row r="402">
      <c r="A402" s="492"/>
      <c r="B402" s="254"/>
      <c r="C402" s="492"/>
      <c r="D402" s="181"/>
      <c r="E402" s="492"/>
      <c r="F402" s="254"/>
      <c r="G402" s="492"/>
      <c r="H402" s="254"/>
      <c r="I402" s="500"/>
      <c r="J402" s="181"/>
      <c r="K402" s="500"/>
      <c r="L402" s="181"/>
      <c r="M402" s="253"/>
      <c r="N402" s="254"/>
      <c r="O402" s="500"/>
      <c r="P402" s="181"/>
      <c r="Q402" s="492"/>
      <c r="R402" s="254"/>
      <c r="S402" s="501"/>
      <c r="T402" s="101"/>
      <c r="U402" s="253"/>
      <c r="V402" s="254"/>
      <c r="W402" s="254"/>
      <c r="X402" s="254"/>
      <c r="Y402" s="254"/>
      <c r="Z402" s="254"/>
    </row>
    <row r="403">
      <c r="A403" s="492"/>
      <c r="B403" s="254"/>
      <c r="C403" s="492"/>
      <c r="D403" s="181"/>
      <c r="E403" s="492"/>
      <c r="F403" s="254"/>
      <c r="G403" s="492"/>
      <c r="H403" s="254"/>
      <c r="I403" s="500"/>
      <c r="J403" s="181"/>
      <c r="K403" s="500"/>
      <c r="L403" s="181"/>
      <c r="M403" s="253"/>
      <c r="N403" s="254"/>
      <c r="O403" s="500"/>
      <c r="P403" s="181"/>
      <c r="Q403" s="492"/>
      <c r="R403" s="254"/>
      <c r="S403" s="501"/>
      <c r="T403" s="101"/>
      <c r="U403" s="253"/>
      <c r="V403" s="254"/>
      <c r="W403" s="254"/>
      <c r="X403" s="254"/>
      <c r="Y403" s="254"/>
      <c r="Z403" s="254"/>
    </row>
    <row r="404">
      <c r="A404" s="492"/>
      <c r="B404" s="254"/>
      <c r="C404" s="492"/>
      <c r="D404" s="181"/>
      <c r="E404" s="492"/>
      <c r="F404" s="254"/>
      <c r="G404" s="492"/>
      <c r="H404" s="254"/>
      <c r="I404" s="500"/>
      <c r="J404" s="181"/>
      <c r="K404" s="500"/>
      <c r="L404" s="181"/>
      <c r="M404" s="253"/>
      <c r="N404" s="254"/>
      <c r="O404" s="500"/>
      <c r="P404" s="181"/>
      <c r="Q404" s="492"/>
      <c r="R404" s="254"/>
      <c r="S404" s="501"/>
      <c r="T404" s="101"/>
      <c r="U404" s="253"/>
      <c r="V404" s="254"/>
      <c r="W404" s="254"/>
      <c r="X404" s="254"/>
      <c r="Y404" s="254"/>
      <c r="Z404" s="254"/>
    </row>
    <row r="405">
      <c r="A405" s="492"/>
      <c r="B405" s="254"/>
      <c r="C405" s="492"/>
      <c r="D405" s="181"/>
      <c r="E405" s="492"/>
      <c r="F405" s="254"/>
      <c r="G405" s="492"/>
      <c r="H405" s="254"/>
      <c r="I405" s="500"/>
      <c r="J405" s="181"/>
      <c r="K405" s="500"/>
      <c r="L405" s="181"/>
      <c r="M405" s="253"/>
      <c r="N405" s="254"/>
      <c r="O405" s="500"/>
      <c r="P405" s="181"/>
      <c r="Q405" s="492"/>
      <c r="R405" s="254"/>
      <c r="S405" s="501"/>
      <c r="T405" s="101"/>
      <c r="U405" s="253"/>
      <c r="V405" s="254"/>
      <c r="W405" s="254"/>
      <c r="X405" s="254"/>
      <c r="Y405" s="254"/>
      <c r="Z405" s="254"/>
    </row>
    <row r="406">
      <c r="A406" s="492"/>
      <c r="B406" s="254"/>
      <c r="C406" s="492"/>
      <c r="D406" s="181"/>
      <c r="E406" s="492"/>
      <c r="F406" s="254"/>
      <c r="G406" s="492"/>
      <c r="H406" s="254"/>
      <c r="I406" s="500"/>
      <c r="J406" s="181"/>
      <c r="K406" s="500"/>
      <c r="L406" s="181"/>
      <c r="M406" s="253"/>
      <c r="N406" s="254"/>
      <c r="O406" s="500"/>
      <c r="P406" s="181"/>
      <c r="Q406" s="492"/>
      <c r="R406" s="254"/>
      <c r="S406" s="501"/>
      <c r="T406" s="101"/>
      <c r="U406" s="253"/>
      <c r="V406" s="254"/>
      <c r="W406" s="254"/>
      <c r="X406" s="254"/>
      <c r="Y406" s="254"/>
      <c r="Z406" s="254"/>
    </row>
    <row r="407">
      <c r="A407" s="492"/>
      <c r="B407" s="254"/>
      <c r="C407" s="492"/>
      <c r="D407" s="181"/>
      <c r="E407" s="492"/>
      <c r="F407" s="254"/>
      <c r="G407" s="492"/>
      <c r="H407" s="254"/>
      <c r="I407" s="500"/>
      <c r="J407" s="181"/>
      <c r="K407" s="500"/>
      <c r="L407" s="181"/>
      <c r="M407" s="253"/>
      <c r="N407" s="254"/>
      <c r="O407" s="500"/>
      <c r="P407" s="181"/>
      <c r="Q407" s="492"/>
      <c r="R407" s="254"/>
      <c r="S407" s="501"/>
      <c r="T407" s="101"/>
      <c r="U407" s="253"/>
      <c r="V407" s="254"/>
      <c r="W407" s="254"/>
      <c r="X407" s="254"/>
      <c r="Y407" s="254"/>
      <c r="Z407" s="254"/>
    </row>
    <row r="408">
      <c r="A408" s="492"/>
      <c r="B408" s="254"/>
      <c r="C408" s="492"/>
      <c r="D408" s="181"/>
      <c r="E408" s="492"/>
      <c r="F408" s="254"/>
      <c r="G408" s="492"/>
      <c r="H408" s="254"/>
      <c r="I408" s="500"/>
      <c r="J408" s="181"/>
      <c r="K408" s="500"/>
      <c r="L408" s="181"/>
      <c r="M408" s="253"/>
      <c r="N408" s="254"/>
      <c r="O408" s="500"/>
      <c r="P408" s="181"/>
      <c r="Q408" s="492"/>
      <c r="R408" s="254"/>
      <c r="S408" s="501"/>
      <c r="T408" s="101"/>
      <c r="U408" s="253"/>
      <c r="V408" s="254"/>
      <c r="W408" s="254"/>
      <c r="X408" s="254"/>
      <c r="Y408" s="254"/>
      <c r="Z408" s="254"/>
    </row>
    <row r="409">
      <c r="A409" s="492"/>
      <c r="B409" s="254"/>
      <c r="C409" s="492"/>
      <c r="D409" s="181"/>
      <c r="E409" s="492"/>
      <c r="F409" s="254"/>
      <c r="G409" s="492"/>
      <c r="H409" s="254"/>
      <c r="I409" s="500"/>
      <c r="J409" s="181"/>
      <c r="K409" s="500"/>
      <c r="L409" s="181"/>
      <c r="M409" s="253"/>
      <c r="N409" s="254"/>
      <c r="O409" s="500"/>
      <c r="P409" s="181"/>
      <c r="Q409" s="492"/>
      <c r="R409" s="254"/>
      <c r="S409" s="501"/>
      <c r="T409" s="101"/>
      <c r="U409" s="253"/>
      <c r="V409" s="254"/>
      <c r="W409" s="254"/>
      <c r="X409" s="254"/>
      <c r="Y409" s="254"/>
      <c r="Z409" s="254"/>
    </row>
    <row r="410">
      <c r="A410" s="492"/>
      <c r="B410" s="254"/>
      <c r="C410" s="492"/>
      <c r="D410" s="181"/>
      <c r="E410" s="492"/>
      <c r="F410" s="254"/>
      <c r="G410" s="492"/>
      <c r="H410" s="254"/>
      <c r="I410" s="500"/>
      <c r="J410" s="181"/>
      <c r="K410" s="500"/>
      <c r="L410" s="181"/>
      <c r="M410" s="253"/>
      <c r="N410" s="254"/>
      <c r="O410" s="500"/>
      <c r="P410" s="181"/>
      <c r="Q410" s="492"/>
      <c r="R410" s="254"/>
      <c r="S410" s="501"/>
      <c r="T410" s="101"/>
      <c r="U410" s="253"/>
      <c r="V410" s="254"/>
      <c r="W410" s="254"/>
      <c r="X410" s="254"/>
      <c r="Y410" s="254"/>
      <c r="Z410" s="254"/>
    </row>
    <row r="411">
      <c r="A411" s="492"/>
      <c r="B411" s="254"/>
      <c r="C411" s="492"/>
      <c r="D411" s="181"/>
      <c r="E411" s="492"/>
      <c r="F411" s="254"/>
      <c r="G411" s="492"/>
      <c r="H411" s="254"/>
      <c r="I411" s="500"/>
      <c r="J411" s="181"/>
      <c r="K411" s="500"/>
      <c r="L411" s="181"/>
      <c r="M411" s="253"/>
      <c r="N411" s="254"/>
      <c r="O411" s="500"/>
      <c r="P411" s="181"/>
      <c r="Q411" s="492"/>
      <c r="R411" s="254"/>
      <c r="S411" s="501"/>
      <c r="T411" s="101"/>
      <c r="U411" s="253"/>
      <c r="V411" s="254"/>
      <c r="W411" s="254"/>
      <c r="X411" s="254"/>
      <c r="Y411" s="254"/>
      <c r="Z411" s="254"/>
    </row>
    <row r="412">
      <c r="A412" s="492"/>
      <c r="B412" s="254"/>
      <c r="C412" s="492"/>
      <c r="D412" s="181"/>
      <c r="E412" s="492"/>
      <c r="F412" s="254"/>
      <c r="G412" s="492"/>
      <c r="H412" s="254"/>
      <c r="I412" s="500"/>
      <c r="J412" s="181"/>
      <c r="K412" s="500"/>
      <c r="L412" s="181"/>
      <c r="M412" s="253"/>
      <c r="N412" s="254"/>
      <c r="O412" s="500"/>
      <c r="P412" s="181"/>
      <c r="Q412" s="492"/>
      <c r="R412" s="254"/>
      <c r="S412" s="501"/>
      <c r="T412" s="101"/>
      <c r="U412" s="253"/>
      <c r="V412" s="254"/>
      <c r="W412" s="254"/>
      <c r="X412" s="254"/>
      <c r="Y412" s="254"/>
      <c r="Z412" s="254"/>
    </row>
    <row r="413">
      <c r="A413" s="492"/>
      <c r="B413" s="254"/>
      <c r="C413" s="492"/>
      <c r="D413" s="181"/>
      <c r="E413" s="492"/>
      <c r="F413" s="254"/>
      <c r="G413" s="492"/>
      <c r="H413" s="254"/>
      <c r="I413" s="500"/>
      <c r="J413" s="181"/>
      <c r="K413" s="500"/>
      <c r="L413" s="181"/>
      <c r="M413" s="253"/>
      <c r="N413" s="254"/>
      <c r="O413" s="500"/>
      <c r="P413" s="181"/>
      <c r="Q413" s="492"/>
      <c r="R413" s="254"/>
      <c r="S413" s="501"/>
      <c r="T413" s="101"/>
      <c r="U413" s="253"/>
      <c r="V413" s="254"/>
      <c r="W413" s="254"/>
      <c r="X413" s="254"/>
      <c r="Y413" s="254"/>
      <c r="Z413" s="254"/>
    </row>
    <row r="414">
      <c r="A414" s="492"/>
      <c r="B414" s="254"/>
      <c r="C414" s="492"/>
      <c r="D414" s="181"/>
      <c r="E414" s="492"/>
      <c r="F414" s="254"/>
      <c r="G414" s="492"/>
      <c r="H414" s="254"/>
      <c r="I414" s="500"/>
      <c r="J414" s="181"/>
      <c r="K414" s="500"/>
      <c r="L414" s="181"/>
      <c r="M414" s="253"/>
      <c r="N414" s="254"/>
      <c r="O414" s="500"/>
      <c r="P414" s="181"/>
      <c r="Q414" s="492"/>
      <c r="R414" s="254"/>
      <c r="S414" s="501"/>
      <c r="T414" s="101"/>
      <c r="U414" s="253"/>
      <c r="V414" s="254"/>
      <c r="W414" s="254"/>
      <c r="X414" s="254"/>
      <c r="Y414" s="254"/>
      <c r="Z414" s="254"/>
    </row>
    <row r="415">
      <c r="A415" s="492"/>
      <c r="B415" s="254"/>
      <c r="C415" s="492"/>
      <c r="D415" s="181"/>
      <c r="E415" s="492"/>
      <c r="F415" s="254"/>
      <c r="G415" s="492"/>
      <c r="H415" s="254"/>
      <c r="I415" s="500"/>
      <c r="J415" s="181"/>
      <c r="K415" s="500"/>
      <c r="L415" s="181"/>
      <c r="M415" s="253"/>
      <c r="N415" s="254"/>
      <c r="O415" s="500"/>
      <c r="P415" s="181"/>
      <c r="Q415" s="492"/>
      <c r="R415" s="254"/>
      <c r="S415" s="501"/>
      <c r="T415" s="101"/>
      <c r="U415" s="253"/>
      <c r="V415" s="254"/>
      <c r="W415" s="254"/>
      <c r="X415" s="254"/>
      <c r="Y415" s="254"/>
      <c r="Z415" s="254"/>
    </row>
    <row r="416">
      <c r="A416" s="492"/>
      <c r="B416" s="254"/>
      <c r="C416" s="492"/>
      <c r="D416" s="181"/>
      <c r="E416" s="492"/>
      <c r="F416" s="254"/>
      <c r="G416" s="492"/>
      <c r="H416" s="254"/>
      <c r="I416" s="500"/>
      <c r="J416" s="181"/>
      <c r="K416" s="500"/>
      <c r="L416" s="181"/>
      <c r="M416" s="253"/>
      <c r="N416" s="254"/>
      <c r="O416" s="500"/>
      <c r="P416" s="181"/>
      <c r="Q416" s="492"/>
      <c r="R416" s="254"/>
      <c r="S416" s="501"/>
      <c r="T416" s="101"/>
      <c r="U416" s="253"/>
      <c r="V416" s="254"/>
      <c r="W416" s="254"/>
      <c r="X416" s="254"/>
      <c r="Y416" s="254"/>
      <c r="Z416" s="254"/>
    </row>
    <row r="417">
      <c r="A417" s="492"/>
      <c r="B417" s="254"/>
      <c r="C417" s="492"/>
      <c r="D417" s="181"/>
      <c r="E417" s="492"/>
      <c r="F417" s="254"/>
      <c r="G417" s="492"/>
      <c r="H417" s="254"/>
      <c r="I417" s="500"/>
      <c r="J417" s="181"/>
      <c r="K417" s="500"/>
      <c r="L417" s="181"/>
      <c r="M417" s="253"/>
      <c r="N417" s="254"/>
      <c r="O417" s="500"/>
      <c r="P417" s="181"/>
      <c r="Q417" s="492"/>
      <c r="R417" s="254"/>
      <c r="S417" s="501"/>
      <c r="T417" s="101"/>
      <c r="U417" s="253"/>
      <c r="V417" s="254"/>
      <c r="W417" s="254"/>
      <c r="X417" s="254"/>
      <c r="Y417" s="254"/>
      <c r="Z417" s="254"/>
    </row>
    <row r="418">
      <c r="A418" s="492"/>
      <c r="B418" s="254"/>
      <c r="C418" s="492"/>
      <c r="D418" s="181"/>
      <c r="E418" s="492"/>
      <c r="F418" s="254"/>
      <c r="G418" s="492"/>
      <c r="H418" s="254"/>
      <c r="I418" s="500"/>
      <c r="J418" s="181"/>
      <c r="K418" s="500"/>
      <c r="L418" s="181"/>
      <c r="M418" s="253"/>
      <c r="N418" s="254"/>
      <c r="O418" s="500"/>
      <c r="P418" s="181"/>
      <c r="Q418" s="492"/>
      <c r="R418" s="254"/>
      <c r="S418" s="501"/>
      <c r="T418" s="101"/>
      <c r="U418" s="253"/>
      <c r="V418" s="254"/>
      <c r="W418" s="254"/>
      <c r="X418" s="254"/>
      <c r="Y418" s="254"/>
      <c r="Z418" s="254"/>
    </row>
    <row r="419">
      <c r="A419" s="492"/>
      <c r="B419" s="254"/>
      <c r="C419" s="492"/>
      <c r="D419" s="181"/>
      <c r="E419" s="492"/>
      <c r="F419" s="254"/>
      <c r="G419" s="492"/>
      <c r="H419" s="254"/>
      <c r="I419" s="500"/>
      <c r="J419" s="181"/>
      <c r="K419" s="500"/>
      <c r="L419" s="181"/>
      <c r="M419" s="253"/>
      <c r="N419" s="254"/>
      <c r="O419" s="500"/>
      <c r="P419" s="181"/>
      <c r="Q419" s="492"/>
      <c r="R419" s="254"/>
      <c r="S419" s="501"/>
      <c r="T419" s="101"/>
      <c r="U419" s="253"/>
      <c r="V419" s="254"/>
      <c r="W419" s="254"/>
      <c r="X419" s="254"/>
      <c r="Y419" s="254"/>
      <c r="Z419" s="254"/>
    </row>
    <row r="420">
      <c r="A420" s="492"/>
      <c r="B420" s="254"/>
      <c r="C420" s="492"/>
      <c r="D420" s="181"/>
      <c r="E420" s="492"/>
      <c r="F420" s="254"/>
      <c r="G420" s="492"/>
      <c r="H420" s="254"/>
      <c r="I420" s="500"/>
      <c r="J420" s="181"/>
      <c r="K420" s="500"/>
      <c r="L420" s="181"/>
      <c r="M420" s="253"/>
      <c r="N420" s="254"/>
      <c r="O420" s="500"/>
      <c r="P420" s="181"/>
      <c r="Q420" s="492"/>
      <c r="R420" s="254"/>
      <c r="S420" s="501"/>
      <c r="T420" s="101"/>
      <c r="U420" s="253"/>
      <c r="V420" s="254"/>
      <c r="W420" s="254"/>
      <c r="X420" s="254"/>
      <c r="Y420" s="254"/>
      <c r="Z420" s="254"/>
    </row>
    <row r="421">
      <c r="A421" s="492"/>
      <c r="B421" s="254"/>
      <c r="C421" s="492"/>
      <c r="D421" s="181"/>
      <c r="E421" s="492"/>
      <c r="F421" s="254"/>
      <c r="G421" s="492"/>
      <c r="H421" s="254"/>
      <c r="I421" s="500"/>
      <c r="J421" s="181"/>
      <c r="K421" s="500"/>
      <c r="L421" s="181"/>
      <c r="M421" s="253"/>
      <c r="N421" s="254"/>
      <c r="O421" s="500"/>
      <c r="P421" s="181"/>
      <c r="Q421" s="492"/>
      <c r="R421" s="254"/>
      <c r="S421" s="501"/>
      <c r="T421" s="101"/>
      <c r="U421" s="253"/>
      <c r="V421" s="254"/>
      <c r="W421" s="254"/>
      <c r="X421" s="254"/>
      <c r="Y421" s="254"/>
      <c r="Z421" s="254"/>
    </row>
    <row r="422">
      <c r="A422" s="492"/>
      <c r="B422" s="254"/>
      <c r="C422" s="492"/>
      <c r="D422" s="181"/>
      <c r="E422" s="492"/>
      <c r="F422" s="254"/>
      <c r="G422" s="492"/>
      <c r="H422" s="254"/>
      <c r="I422" s="500"/>
      <c r="J422" s="181"/>
      <c r="K422" s="500"/>
      <c r="L422" s="181"/>
      <c r="M422" s="253"/>
      <c r="N422" s="254"/>
      <c r="O422" s="500"/>
      <c r="P422" s="181"/>
      <c r="Q422" s="492"/>
      <c r="R422" s="254"/>
      <c r="S422" s="501"/>
      <c r="T422" s="101"/>
      <c r="U422" s="253"/>
      <c r="V422" s="254"/>
      <c r="W422" s="254"/>
      <c r="X422" s="254"/>
      <c r="Y422" s="254"/>
      <c r="Z422" s="254"/>
    </row>
    <row r="423">
      <c r="A423" s="492"/>
      <c r="B423" s="254"/>
      <c r="C423" s="492"/>
      <c r="D423" s="181"/>
      <c r="E423" s="492"/>
      <c r="F423" s="254"/>
      <c r="G423" s="492"/>
      <c r="H423" s="254"/>
      <c r="I423" s="500"/>
      <c r="J423" s="181"/>
      <c r="K423" s="500"/>
      <c r="L423" s="181"/>
      <c r="M423" s="253"/>
      <c r="N423" s="254"/>
      <c r="O423" s="500"/>
      <c r="P423" s="181"/>
      <c r="Q423" s="492"/>
      <c r="R423" s="254"/>
      <c r="S423" s="501"/>
      <c r="T423" s="101"/>
      <c r="U423" s="253"/>
      <c r="V423" s="254"/>
      <c r="W423" s="254"/>
      <c r="X423" s="254"/>
      <c r="Y423" s="254"/>
      <c r="Z423" s="254"/>
    </row>
    <row r="424">
      <c r="A424" s="492"/>
      <c r="B424" s="254"/>
      <c r="C424" s="492"/>
      <c r="D424" s="181"/>
      <c r="E424" s="492"/>
      <c r="F424" s="254"/>
      <c r="G424" s="492"/>
      <c r="H424" s="254"/>
      <c r="I424" s="500"/>
      <c r="J424" s="181"/>
      <c r="K424" s="500"/>
      <c r="L424" s="181"/>
      <c r="M424" s="253"/>
      <c r="N424" s="254"/>
      <c r="O424" s="500"/>
      <c r="P424" s="181"/>
      <c r="Q424" s="492"/>
      <c r="R424" s="254"/>
      <c r="S424" s="501"/>
      <c r="T424" s="101"/>
      <c r="U424" s="253"/>
      <c r="V424" s="254"/>
      <c r="W424" s="254"/>
      <c r="X424" s="254"/>
      <c r="Y424" s="254"/>
      <c r="Z424" s="254"/>
    </row>
    <row r="425">
      <c r="A425" s="492"/>
      <c r="B425" s="254"/>
      <c r="C425" s="492"/>
      <c r="D425" s="181"/>
      <c r="E425" s="492"/>
      <c r="F425" s="254"/>
      <c r="G425" s="492"/>
      <c r="H425" s="254"/>
      <c r="I425" s="500"/>
      <c r="J425" s="181"/>
      <c r="K425" s="500"/>
      <c r="L425" s="181"/>
      <c r="M425" s="253"/>
      <c r="N425" s="254"/>
      <c r="O425" s="500"/>
      <c r="P425" s="181"/>
      <c r="Q425" s="492"/>
      <c r="R425" s="254"/>
      <c r="S425" s="501"/>
      <c r="T425" s="101"/>
      <c r="U425" s="253"/>
      <c r="V425" s="254"/>
      <c r="W425" s="254"/>
      <c r="X425" s="254"/>
      <c r="Y425" s="254"/>
      <c r="Z425" s="254"/>
    </row>
    <row r="426">
      <c r="A426" s="492"/>
      <c r="B426" s="254"/>
      <c r="C426" s="492"/>
      <c r="D426" s="181"/>
      <c r="E426" s="492"/>
      <c r="F426" s="254"/>
      <c r="G426" s="492"/>
      <c r="H426" s="254"/>
      <c r="I426" s="500"/>
      <c r="J426" s="181"/>
      <c r="K426" s="500"/>
      <c r="L426" s="181"/>
      <c r="M426" s="253"/>
      <c r="N426" s="254"/>
      <c r="O426" s="500"/>
      <c r="P426" s="181"/>
      <c r="Q426" s="492"/>
      <c r="R426" s="254"/>
      <c r="S426" s="501"/>
      <c r="T426" s="101"/>
      <c r="U426" s="253"/>
      <c r="V426" s="254"/>
      <c r="W426" s="254"/>
      <c r="X426" s="254"/>
      <c r="Y426" s="254"/>
      <c r="Z426" s="254"/>
    </row>
    <row r="427">
      <c r="A427" s="492"/>
      <c r="B427" s="254"/>
      <c r="C427" s="492"/>
      <c r="D427" s="181"/>
      <c r="E427" s="492"/>
      <c r="F427" s="254"/>
      <c r="G427" s="492"/>
      <c r="H427" s="254"/>
      <c r="I427" s="500"/>
      <c r="J427" s="181"/>
      <c r="K427" s="500"/>
      <c r="L427" s="181"/>
      <c r="M427" s="253"/>
      <c r="N427" s="254"/>
      <c r="O427" s="500"/>
      <c r="P427" s="181"/>
      <c r="Q427" s="492"/>
      <c r="R427" s="254"/>
      <c r="S427" s="501"/>
      <c r="T427" s="101"/>
      <c r="U427" s="253"/>
      <c r="V427" s="254"/>
      <c r="W427" s="254"/>
      <c r="X427" s="254"/>
      <c r="Y427" s="254"/>
      <c r="Z427" s="254"/>
    </row>
    <row r="428">
      <c r="A428" s="492"/>
      <c r="B428" s="254"/>
      <c r="C428" s="492"/>
      <c r="D428" s="181"/>
      <c r="E428" s="492"/>
      <c r="F428" s="254"/>
      <c r="G428" s="492"/>
      <c r="H428" s="254"/>
      <c r="I428" s="500"/>
      <c r="J428" s="181"/>
      <c r="K428" s="500"/>
      <c r="L428" s="181"/>
      <c r="M428" s="253"/>
      <c r="N428" s="254"/>
      <c r="O428" s="500"/>
      <c r="P428" s="181"/>
      <c r="Q428" s="492"/>
      <c r="R428" s="254"/>
      <c r="S428" s="501"/>
      <c r="T428" s="101"/>
      <c r="U428" s="253"/>
      <c r="V428" s="254"/>
      <c r="W428" s="254"/>
      <c r="X428" s="254"/>
      <c r="Y428" s="254"/>
      <c r="Z428" s="254"/>
    </row>
    <row r="429">
      <c r="A429" s="492"/>
      <c r="B429" s="254"/>
      <c r="C429" s="492"/>
      <c r="D429" s="181"/>
      <c r="E429" s="492"/>
      <c r="F429" s="254"/>
      <c r="G429" s="492"/>
      <c r="H429" s="254"/>
      <c r="I429" s="500"/>
      <c r="J429" s="181"/>
      <c r="K429" s="500"/>
      <c r="L429" s="181"/>
      <c r="M429" s="253"/>
      <c r="N429" s="254"/>
      <c r="O429" s="500"/>
      <c r="P429" s="181"/>
      <c r="Q429" s="492"/>
      <c r="R429" s="254"/>
      <c r="S429" s="501"/>
      <c r="T429" s="101"/>
      <c r="U429" s="253"/>
      <c r="V429" s="254"/>
      <c r="W429" s="254"/>
      <c r="X429" s="254"/>
      <c r="Y429" s="254"/>
      <c r="Z429" s="254"/>
    </row>
    <row r="430">
      <c r="A430" s="492"/>
      <c r="B430" s="254"/>
      <c r="C430" s="492"/>
      <c r="D430" s="181"/>
      <c r="E430" s="492"/>
      <c r="F430" s="254"/>
      <c r="G430" s="492"/>
      <c r="H430" s="254"/>
      <c r="I430" s="500"/>
      <c r="J430" s="181"/>
      <c r="K430" s="500"/>
      <c r="L430" s="181"/>
      <c r="M430" s="253"/>
      <c r="N430" s="254"/>
      <c r="O430" s="500"/>
      <c r="P430" s="181"/>
      <c r="Q430" s="492"/>
      <c r="R430" s="254"/>
      <c r="S430" s="501"/>
      <c r="T430" s="101"/>
      <c r="U430" s="253"/>
      <c r="V430" s="254"/>
      <c r="W430" s="254"/>
      <c r="X430" s="254"/>
      <c r="Y430" s="254"/>
      <c r="Z430" s="254"/>
    </row>
    <row r="431">
      <c r="A431" s="492"/>
      <c r="B431" s="254"/>
      <c r="C431" s="492"/>
      <c r="D431" s="181"/>
      <c r="E431" s="492"/>
      <c r="F431" s="254"/>
      <c r="G431" s="492"/>
      <c r="H431" s="254"/>
      <c r="I431" s="500"/>
      <c r="J431" s="181"/>
      <c r="K431" s="500"/>
      <c r="L431" s="181"/>
      <c r="M431" s="253"/>
      <c r="N431" s="254"/>
      <c r="O431" s="500"/>
      <c r="P431" s="181"/>
      <c r="Q431" s="492"/>
      <c r="R431" s="254"/>
      <c r="S431" s="501"/>
      <c r="T431" s="101"/>
      <c r="U431" s="253"/>
      <c r="V431" s="254"/>
      <c r="W431" s="254"/>
      <c r="X431" s="254"/>
      <c r="Y431" s="254"/>
      <c r="Z431" s="254"/>
    </row>
    <row r="432">
      <c r="A432" s="492"/>
      <c r="B432" s="254"/>
      <c r="C432" s="492"/>
      <c r="D432" s="181"/>
      <c r="E432" s="492"/>
      <c r="F432" s="254"/>
      <c r="G432" s="492"/>
      <c r="H432" s="254"/>
      <c r="I432" s="500"/>
      <c r="J432" s="181"/>
      <c r="K432" s="500"/>
      <c r="L432" s="181"/>
      <c r="M432" s="253"/>
      <c r="N432" s="254"/>
      <c r="O432" s="500"/>
      <c r="P432" s="181"/>
      <c r="Q432" s="492"/>
      <c r="R432" s="254"/>
      <c r="S432" s="501"/>
      <c r="T432" s="101"/>
      <c r="U432" s="253"/>
      <c r="V432" s="254"/>
      <c r="W432" s="254"/>
      <c r="X432" s="254"/>
      <c r="Y432" s="254"/>
      <c r="Z432" s="254"/>
    </row>
    <row r="433">
      <c r="A433" s="492"/>
      <c r="B433" s="254"/>
      <c r="C433" s="492"/>
      <c r="D433" s="181"/>
      <c r="E433" s="492"/>
      <c r="F433" s="254"/>
      <c r="G433" s="492"/>
      <c r="H433" s="254"/>
      <c r="I433" s="500"/>
      <c r="J433" s="181"/>
      <c r="K433" s="500"/>
      <c r="L433" s="181"/>
      <c r="M433" s="253"/>
      <c r="N433" s="254"/>
      <c r="O433" s="500"/>
      <c r="P433" s="181"/>
      <c r="Q433" s="492"/>
      <c r="R433" s="254"/>
      <c r="S433" s="501"/>
      <c r="T433" s="101"/>
      <c r="U433" s="253"/>
      <c r="V433" s="254"/>
      <c r="W433" s="254"/>
      <c r="X433" s="254"/>
      <c r="Y433" s="254"/>
      <c r="Z433" s="254"/>
    </row>
    <row r="434">
      <c r="A434" s="492"/>
      <c r="B434" s="254"/>
      <c r="C434" s="492"/>
      <c r="D434" s="181"/>
      <c r="E434" s="492"/>
      <c r="F434" s="254"/>
      <c r="G434" s="492"/>
      <c r="H434" s="254"/>
      <c r="I434" s="500"/>
      <c r="J434" s="181"/>
      <c r="K434" s="500"/>
      <c r="L434" s="181"/>
      <c r="M434" s="253"/>
      <c r="N434" s="254"/>
      <c r="O434" s="500"/>
      <c r="P434" s="181"/>
      <c r="Q434" s="492"/>
      <c r="R434" s="254"/>
      <c r="S434" s="501"/>
      <c r="T434" s="101"/>
      <c r="U434" s="253"/>
      <c r="V434" s="254"/>
      <c r="W434" s="254"/>
      <c r="X434" s="254"/>
      <c r="Y434" s="254"/>
      <c r="Z434" s="254"/>
    </row>
    <row r="435">
      <c r="A435" s="492"/>
      <c r="B435" s="254"/>
      <c r="C435" s="492"/>
      <c r="D435" s="181"/>
      <c r="E435" s="492"/>
      <c r="F435" s="254"/>
      <c r="G435" s="492"/>
      <c r="H435" s="254"/>
      <c r="I435" s="500"/>
      <c r="J435" s="181"/>
      <c r="K435" s="500"/>
      <c r="L435" s="181"/>
      <c r="M435" s="253"/>
      <c r="N435" s="254"/>
      <c r="O435" s="500"/>
      <c r="P435" s="181"/>
      <c r="Q435" s="492"/>
      <c r="R435" s="254"/>
      <c r="S435" s="501"/>
      <c r="T435" s="101"/>
      <c r="U435" s="253"/>
      <c r="V435" s="254"/>
      <c r="W435" s="254"/>
      <c r="X435" s="254"/>
      <c r="Y435" s="254"/>
      <c r="Z435" s="254"/>
    </row>
    <row r="436">
      <c r="A436" s="492"/>
      <c r="B436" s="254"/>
      <c r="C436" s="492"/>
      <c r="D436" s="181"/>
      <c r="E436" s="492"/>
      <c r="F436" s="254"/>
      <c r="G436" s="492"/>
      <c r="H436" s="254"/>
      <c r="I436" s="500"/>
      <c r="J436" s="181"/>
      <c r="K436" s="500"/>
      <c r="L436" s="181"/>
      <c r="M436" s="253"/>
      <c r="N436" s="254"/>
      <c r="O436" s="500"/>
      <c r="P436" s="181"/>
      <c r="Q436" s="492"/>
      <c r="R436" s="254"/>
      <c r="S436" s="501"/>
      <c r="T436" s="101"/>
      <c r="U436" s="253"/>
      <c r="V436" s="254"/>
      <c r="W436" s="254"/>
      <c r="X436" s="254"/>
      <c r="Y436" s="254"/>
      <c r="Z436" s="254"/>
    </row>
    <row r="437">
      <c r="A437" s="492"/>
      <c r="B437" s="254"/>
      <c r="C437" s="492"/>
      <c r="D437" s="181"/>
      <c r="E437" s="492"/>
      <c r="F437" s="254"/>
      <c r="G437" s="492"/>
      <c r="H437" s="254"/>
      <c r="I437" s="500"/>
      <c r="J437" s="181"/>
      <c r="K437" s="500"/>
      <c r="L437" s="181"/>
      <c r="M437" s="253"/>
      <c r="N437" s="254"/>
      <c r="O437" s="500"/>
      <c r="P437" s="181"/>
      <c r="Q437" s="492"/>
      <c r="R437" s="254"/>
      <c r="S437" s="501"/>
      <c r="T437" s="101"/>
      <c r="U437" s="253"/>
      <c r="V437" s="254"/>
      <c r="W437" s="254"/>
      <c r="X437" s="254"/>
      <c r="Y437" s="254"/>
      <c r="Z437" s="254"/>
    </row>
    <row r="438">
      <c r="A438" s="492"/>
      <c r="B438" s="254"/>
      <c r="C438" s="492"/>
      <c r="D438" s="181"/>
      <c r="E438" s="492"/>
      <c r="F438" s="254"/>
      <c r="G438" s="492"/>
      <c r="H438" s="254"/>
      <c r="I438" s="500"/>
      <c r="J438" s="181"/>
      <c r="K438" s="500"/>
      <c r="L438" s="181"/>
      <c r="M438" s="253"/>
      <c r="N438" s="254"/>
      <c r="O438" s="500"/>
      <c r="P438" s="181"/>
      <c r="Q438" s="492"/>
      <c r="R438" s="254"/>
      <c r="S438" s="501"/>
      <c r="T438" s="101"/>
      <c r="U438" s="253"/>
      <c r="V438" s="254"/>
      <c r="W438" s="254"/>
      <c r="X438" s="254"/>
      <c r="Y438" s="254"/>
      <c r="Z438" s="254"/>
    </row>
    <row r="439">
      <c r="A439" s="492"/>
      <c r="B439" s="254"/>
      <c r="C439" s="492"/>
      <c r="D439" s="181"/>
      <c r="E439" s="492"/>
      <c r="F439" s="254"/>
      <c r="G439" s="492"/>
      <c r="H439" s="254"/>
      <c r="I439" s="500"/>
      <c r="J439" s="181"/>
      <c r="K439" s="500"/>
      <c r="L439" s="181"/>
      <c r="M439" s="253"/>
      <c r="N439" s="254"/>
      <c r="O439" s="500"/>
      <c r="P439" s="181"/>
      <c r="Q439" s="492"/>
      <c r="R439" s="254"/>
      <c r="S439" s="501"/>
      <c r="T439" s="101"/>
      <c r="U439" s="253"/>
      <c r="V439" s="254"/>
      <c r="W439" s="254"/>
      <c r="X439" s="254"/>
      <c r="Y439" s="254"/>
      <c r="Z439" s="254"/>
    </row>
    <row r="440">
      <c r="A440" s="492"/>
      <c r="B440" s="254"/>
      <c r="C440" s="492"/>
      <c r="D440" s="181"/>
      <c r="E440" s="492"/>
      <c r="F440" s="254"/>
      <c r="G440" s="492"/>
      <c r="H440" s="254"/>
      <c r="I440" s="500"/>
      <c r="J440" s="181"/>
      <c r="K440" s="500"/>
      <c r="L440" s="181"/>
      <c r="M440" s="253"/>
      <c r="N440" s="254"/>
      <c r="O440" s="500"/>
      <c r="P440" s="181"/>
      <c r="Q440" s="492"/>
      <c r="R440" s="254"/>
      <c r="S440" s="501"/>
      <c r="T440" s="101"/>
      <c r="U440" s="253"/>
      <c r="V440" s="254"/>
      <c r="W440" s="254"/>
      <c r="X440" s="254"/>
      <c r="Y440" s="254"/>
      <c r="Z440" s="254"/>
    </row>
    <row r="441">
      <c r="A441" s="492"/>
      <c r="B441" s="254"/>
      <c r="C441" s="492"/>
      <c r="D441" s="181"/>
      <c r="E441" s="492"/>
      <c r="F441" s="254"/>
      <c r="G441" s="492"/>
      <c r="H441" s="254"/>
      <c r="I441" s="500"/>
      <c r="J441" s="181"/>
      <c r="K441" s="500"/>
      <c r="L441" s="181"/>
      <c r="M441" s="253"/>
      <c r="N441" s="254"/>
      <c r="O441" s="500"/>
      <c r="P441" s="181"/>
      <c r="Q441" s="492"/>
      <c r="R441" s="254"/>
      <c r="S441" s="501"/>
      <c r="T441" s="101"/>
      <c r="U441" s="253"/>
      <c r="V441" s="254"/>
      <c r="W441" s="254"/>
      <c r="X441" s="254"/>
      <c r="Y441" s="254"/>
      <c r="Z441" s="254"/>
    </row>
    <row r="442">
      <c r="A442" s="492"/>
      <c r="B442" s="254"/>
      <c r="C442" s="492"/>
      <c r="D442" s="181"/>
      <c r="E442" s="492"/>
      <c r="F442" s="254"/>
      <c r="G442" s="492"/>
      <c r="H442" s="254"/>
      <c r="I442" s="500"/>
      <c r="J442" s="181"/>
      <c r="K442" s="500"/>
      <c r="L442" s="181"/>
      <c r="M442" s="253"/>
      <c r="N442" s="254"/>
      <c r="O442" s="500"/>
      <c r="P442" s="181"/>
      <c r="Q442" s="492"/>
      <c r="R442" s="254"/>
      <c r="S442" s="501"/>
      <c r="T442" s="101"/>
      <c r="U442" s="253"/>
      <c r="V442" s="254"/>
      <c r="W442" s="254"/>
      <c r="X442" s="254"/>
      <c r="Y442" s="254"/>
      <c r="Z442" s="254"/>
    </row>
    <row r="443">
      <c r="A443" s="492"/>
      <c r="B443" s="254"/>
      <c r="C443" s="492"/>
      <c r="D443" s="181"/>
      <c r="E443" s="492"/>
      <c r="F443" s="254"/>
      <c r="G443" s="492"/>
      <c r="H443" s="254"/>
      <c r="I443" s="500"/>
      <c r="J443" s="181"/>
      <c r="K443" s="500"/>
      <c r="L443" s="181"/>
      <c r="M443" s="253"/>
      <c r="N443" s="254"/>
      <c r="O443" s="500"/>
      <c r="P443" s="181"/>
      <c r="Q443" s="492"/>
      <c r="R443" s="254"/>
      <c r="S443" s="501"/>
      <c r="T443" s="101"/>
      <c r="U443" s="253"/>
      <c r="V443" s="254"/>
      <c r="W443" s="254"/>
      <c r="X443" s="254"/>
      <c r="Y443" s="254"/>
      <c r="Z443" s="254"/>
    </row>
    <row r="444">
      <c r="A444" s="492"/>
      <c r="B444" s="254"/>
      <c r="C444" s="492"/>
      <c r="D444" s="181"/>
      <c r="E444" s="492"/>
      <c r="F444" s="254"/>
      <c r="G444" s="492"/>
      <c r="H444" s="254"/>
      <c r="I444" s="500"/>
      <c r="J444" s="181"/>
      <c r="K444" s="500"/>
      <c r="L444" s="181"/>
      <c r="M444" s="253"/>
      <c r="N444" s="254"/>
      <c r="O444" s="500"/>
      <c r="P444" s="181"/>
      <c r="Q444" s="492"/>
      <c r="R444" s="254"/>
      <c r="S444" s="501"/>
      <c r="T444" s="101"/>
      <c r="U444" s="253"/>
      <c r="V444" s="254"/>
      <c r="W444" s="254"/>
      <c r="X444" s="254"/>
      <c r="Y444" s="254"/>
      <c r="Z444" s="254"/>
    </row>
    <row r="445">
      <c r="A445" s="492"/>
      <c r="B445" s="254"/>
      <c r="C445" s="492"/>
      <c r="D445" s="181"/>
      <c r="E445" s="492"/>
      <c r="F445" s="254"/>
      <c r="G445" s="492"/>
      <c r="H445" s="254"/>
      <c r="I445" s="500"/>
      <c r="J445" s="181"/>
      <c r="K445" s="500"/>
      <c r="L445" s="181"/>
      <c r="M445" s="253"/>
      <c r="N445" s="254"/>
      <c r="O445" s="500"/>
      <c r="P445" s="181"/>
      <c r="Q445" s="492"/>
      <c r="R445" s="254"/>
      <c r="S445" s="501"/>
      <c r="T445" s="101"/>
      <c r="U445" s="253"/>
      <c r="V445" s="254"/>
      <c r="W445" s="254"/>
      <c r="X445" s="254"/>
      <c r="Y445" s="254"/>
      <c r="Z445" s="254"/>
    </row>
    <row r="446">
      <c r="A446" s="492"/>
      <c r="B446" s="254"/>
      <c r="C446" s="492"/>
      <c r="D446" s="181"/>
      <c r="E446" s="492"/>
      <c r="F446" s="254"/>
      <c r="G446" s="492"/>
      <c r="H446" s="254"/>
      <c r="I446" s="500"/>
      <c r="J446" s="181"/>
      <c r="K446" s="500"/>
      <c r="L446" s="181"/>
      <c r="M446" s="253"/>
      <c r="N446" s="254"/>
      <c r="O446" s="500"/>
      <c r="P446" s="181"/>
      <c r="Q446" s="492"/>
      <c r="R446" s="254"/>
      <c r="S446" s="501"/>
      <c r="T446" s="101"/>
      <c r="U446" s="253"/>
      <c r="V446" s="254"/>
      <c r="W446" s="254"/>
      <c r="X446" s="254"/>
      <c r="Y446" s="254"/>
      <c r="Z446" s="254"/>
    </row>
    <row r="447">
      <c r="A447" s="492"/>
      <c r="B447" s="254"/>
      <c r="C447" s="492"/>
      <c r="D447" s="181"/>
      <c r="E447" s="492"/>
      <c r="F447" s="254"/>
      <c r="G447" s="492"/>
      <c r="H447" s="254"/>
      <c r="I447" s="500"/>
      <c r="J447" s="181"/>
      <c r="K447" s="500"/>
      <c r="L447" s="181"/>
      <c r="M447" s="253"/>
      <c r="N447" s="254"/>
      <c r="O447" s="500"/>
      <c r="P447" s="181"/>
      <c r="Q447" s="492"/>
      <c r="R447" s="254"/>
      <c r="S447" s="501"/>
      <c r="T447" s="101"/>
      <c r="U447" s="253"/>
      <c r="V447" s="254"/>
      <c r="W447" s="254"/>
      <c r="X447" s="254"/>
      <c r="Y447" s="254"/>
      <c r="Z447" s="254"/>
    </row>
    <row r="448">
      <c r="A448" s="492"/>
      <c r="B448" s="254"/>
      <c r="C448" s="492"/>
      <c r="D448" s="181"/>
      <c r="E448" s="492"/>
      <c r="F448" s="254"/>
      <c r="G448" s="492"/>
      <c r="H448" s="254"/>
      <c r="I448" s="500"/>
      <c r="J448" s="181"/>
      <c r="K448" s="500"/>
      <c r="L448" s="181"/>
      <c r="M448" s="253"/>
      <c r="N448" s="254"/>
      <c r="O448" s="500"/>
      <c r="P448" s="181"/>
      <c r="Q448" s="492"/>
      <c r="R448" s="254"/>
      <c r="S448" s="501"/>
      <c r="T448" s="101"/>
      <c r="U448" s="253"/>
      <c r="V448" s="254"/>
      <c r="W448" s="254"/>
      <c r="X448" s="254"/>
      <c r="Y448" s="254"/>
      <c r="Z448" s="254"/>
    </row>
    <row r="449">
      <c r="A449" s="492"/>
      <c r="B449" s="254"/>
      <c r="C449" s="492"/>
      <c r="D449" s="181"/>
      <c r="E449" s="492"/>
      <c r="F449" s="254"/>
      <c r="G449" s="492"/>
      <c r="H449" s="254"/>
      <c r="I449" s="500"/>
      <c r="J449" s="181"/>
      <c r="K449" s="500"/>
      <c r="L449" s="181"/>
      <c r="M449" s="253"/>
      <c r="N449" s="254"/>
      <c r="O449" s="500"/>
      <c r="P449" s="181"/>
      <c r="Q449" s="492"/>
      <c r="R449" s="254"/>
      <c r="S449" s="501"/>
      <c r="T449" s="101"/>
      <c r="U449" s="253"/>
      <c r="V449" s="254"/>
      <c r="W449" s="254"/>
      <c r="X449" s="254"/>
      <c r="Y449" s="254"/>
      <c r="Z449" s="254"/>
    </row>
    <row r="450">
      <c r="A450" s="492"/>
      <c r="B450" s="254"/>
      <c r="C450" s="492"/>
      <c r="D450" s="181"/>
      <c r="E450" s="492"/>
      <c r="F450" s="254"/>
      <c r="G450" s="492"/>
      <c r="H450" s="254"/>
      <c r="I450" s="500"/>
      <c r="J450" s="181"/>
      <c r="K450" s="500"/>
      <c r="L450" s="181"/>
      <c r="M450" s="253"/>
      <c r="N450" s="254"/>
      <c r="O450" s="500"/>
      <c r="P450" s="181"/>
      <c r="Q450" s="492"/>
      <c r="R450" s="254"/>
      <c r="S450" s="501"/>
      <c r="T450" s="101"/>
      <c r="U450" s="253"/>
      <c r="V450" s="254"/>
      <c r="W450" s="254"/>
      <c r="X450" s="254"/>
      <c r="Y450" s="254"/>
      <c r="Z450" s="254"/>
    </row>
    <row r="451">
      <c r="A451" s="492"/>
      <c r="B451" s="254"/>
      <c r="C451" s="492"/>
      <c r="D451" s="181"/>
      <c r="E451" s="492"/>
      <c r="F451" s="254"/>
      <c r="G451" s="492"/>
      <c r="H451" s="254"/>
      <c r="I451" s="500"/>
      <c r="J451" s="181"/>
      <c r="K451" s="500"/>
      <c r="L451" s="181"/>
      <c r="M451" s="253"/>
      <c r="N451" s="254"/>
      <c r="O451" s="500"/>
      <c r="P451" s="181"/>
      <c r="Q451" s="492"/>
      <c r="R451" s="254"/>
      <c r="S451" s="501"/>
      <c r="T451" s="101"/>
      <c r="U451" s="253"/>
      <c r="V451" s="254"/>
      <c r="W451" s="254"/>
      <c r="X451" s="254"/>
      <c r="Y451" s="254"/>
      <c r="Z451" s="254"/>
    </row>
    <row r="452">
      <c r="A452" s="492"/>
      <c r="B452" s="254"/>
      <c r="C452" s="492"/>
      <c r="D452" s="181"/>
      <c r="E452" s="492"/>
      <c r="F452" s="254"/>
      <c r="G452" s="492"/>
      <c r="H452" s="254"/>
      <c r="I452" s="500"/>
      <c r="J452" s="181"/>
      <c r="K452" s="500"/>
      <c r="L452" s="181"/>
      <c r="M452" s="253"/>
      <c r="N452" s="254"/>
      <c r="O452" s="500"/>
      <c r="P452" s="181"/>
      <c r="Q452" s="492"/>
      <c r="R452" s="254"/>
      <c r="S452" s="501"/>
      <c r="T452" s="101"/>
      <c r="U452" s="253"/>
      <c r="V452" s="254"/>
      <c r="W452" s="254"/>
      <c r="X452" s="254"/>
      <c r="Y452" s="254"/>
      <c r="Z452" s="254"/>
    </row>
    <row r="453">
      <c r="A453" s="492"/>
      <c r="B453" s="254"/>
      <c r="C453" s="492"/>
      <c r="D453" s="181"/>
      <c r="E453" s="492"/>
      <c r="F453" s="254"/>
      <c r="G453" s="492"/>
      <c r="H453" s="254"/>
      <c r="I453" s="500"/>
      <c r="J453" s="181"/>
      <c r="K453" s="500"/>
      <c r="L453" s="181"/>
      <c r="M453" s="253"/>
      <c r="N453" s="254"/>
      <c r="O453" s="500"/>
      <c r="P453" s="181"/>
      <c r="Q453" s="492"/>
      <c r="R453" s="254"/>
      <c r="S453" s="501"/>
      <c r="T453" s="101"/>
      <c r="U453" s="253"/>
      <c r="V453" s="254"/>
      <c r="W453" s="254"/>
      <c r="X453" s="254"/>
      <c r="Y453" s="254"/>
      <c r="Z453" s="254"/>
    </row>
    <row r="454">
      <c r="A454" s="492"/>
      <c r="B454" s="254"/>
      <c r="C454" s="492"/>
      <c r="D454" s="181"/>
      <c r="E454" s="492"/>
      <c r="F454" s="254"/>
      <c r="G454" s="492"/>
      <c r="H454" s="254"/>
      <c r="I454" s="500"/>
      <c r="J454" s="181"/>
      <c r="K454" s="500"/>
      <c r="L454" s="181"/>
      <c r="M454" s="253"/>
      <c r="N454" s="254"/>
      <c r="O454" s="500"/>
      <c r="P454" s="181"/>
      <c r="Q454" s="492"/>
      <c r="R454" s="254"/>
      <c r="S454" s="501"/>
      <c r="T454" s="101"/>
      <c r="U454" s="253"/>
      <c r="V454" s="254"/>
      <c r="W454" s="254"/>
      <c r="X454" s="254"/>
      <c r="Y454" s="254"/>
      <c r="Z454" s="254"/>
    </row>
    <row r="455">
      <c r="A455" s="492"/>
      <c r="B455" s="254"/>
      <c r="C455" s="492"/>
      <c r="D455" s="181"/>
      <c r="E455" s="492"/>
      <c r="F455" s="254"/>
      <c r="G455" s="492"/>
      <c r="H455" s="254"/>
      <c r="I455" s="500"/>
      <c r="J455" s="181"/>
      <c r="K455" s="500"/>
      <c r="L455" s="181"/>
      <c r="M455" s="253"/>
      <c r="N455" s="254"/>
      <c r="O455" s="500"/>
      <c r="P455" s="181"/>
      <c r="Q455" s="492"/>
      <c r="R455" s="254"/>
      <c r="S455" s="501"/>
      <c r="T455" s="101"/>
      <c r="U455" s="253"/>
      <c r="V455" s="254"/>
      <c r="W455" s="254"/>
      <c r="X455" s="254"/>
      <c r="Y455" s="254"/>
      <c r="Z455" s="254"/>
    </row>
    <row r="456">
      <c r="A456" s="492"/>
      <c r="B456" s="254"/>
      <c r="C456" s="492"/>
      <c r="D456" s="181"/>
      <c r="E456" s="492"/>
      <c r="F456" s="254"/>
      <c r="G456" s="492"/>
      <c r="H456" s="254"/>
      <c r="I456" s="500"/>
      <c r="J456" s="181"/>
      <c r="K456" s="500"/>
      <c r="L456" s="181"/>
      <c r="M456" s="253"/>
      <c r="N456" s="254"/>
      <c r="O456" s="500"/>
      <c r="P456" s="181"/>
      <c r="Q456" s="492"/>
      <c r="R456" s="254"/>
      <c r="S456" s="501"/>
      <c r="T456" s="101"/>
      <c r="U456" s="253"/>
      <c r="V456" s="254"/>
      <c r="W456" s="254"/>
      <c r="X456" s="254"/>
      <c r="Y456" s="254"/>
      <c r="Z456" s="254"/>
    </row>
    <row r="457">
      <c r="A457" s="492"/>
      <c r="B457" s="254"/>
      <c r="C457" s="492"/>
      <c r="D457" s="181"/>
      <c r="E457" s="492"/>
      <c r="F457" s="254"/>
      <c r="G457" s="492"/>
      <c r="H457" s="254"/>
      <c r="I457" s="500"/>
      <c r="J457" s="181"/>
      <c r="K457" s="500"/>
      <c r="L457" s="181"/>
      <c r="M457" s="253"/>
      <c r="N457" s="254"/>
      <c r="O457" s="500"/>
      <c r="P457" s="181"/>
      <c r="Q457" s="492"/>
      <c r="R457" s="254"/>
      <c r="S457" s="501"/>
      <c r="T457" s="101"/>
      <c r="U457" s="253"/>
      <c r="V457" s="254"/>
      <c r="W457" s="254"/>
      <c r="X457" s="254"/>
      <c r="Y457" s="254"/>
      <c r="Z457" s="254"/>
    </row>
    <row r="458">
      <c r="A458" s="492"/>
      <c r="B458" s="254"/>
      <c r="C458" s="492"/>
      <c r="D458" s="181"/>
      <c r="E458" s="492"/>
      <c r="F458" s="254"/>
      <c r="G458" s="492"/>
      <c r="H458" s="254"/>
      <c r="I458" s="500"/>
      <c r="J458" s="181"/>
      <c r="K458" s="500"/>
      <c r="L458" s="181"/>
      <c r="M458" s="253"/>
      <c r="N458" s="254"/>
      <c r="O458" s="500"/>
      <c r="P458" s="181"/>
      <c r="Q458" s="492"/>
      <c r="R458" s="254"/>
      <c r="S458" s="501"/>
      <c r="T458" s="101"/>
      <c r="U458" s="253"/>
      <c r="V458" s="254"/>
      <c r="W458" s="254"/>
      <c r="X458" s="254"/>
      <c r="Y458" s="254"/>
      <c r="Z458" s="254"/>
    </row>
    <row r="459">
      <c r="A459" s="492"/>
      <c r="B459" s="254"/>
      <c r="C459" s="492"/>
      <c r="D459" s="181"/>
      <c r="E459" s="492"/>
      <c r="F459" s="254"/>
      <c r="G459" s="492"/>
      <c r="H459" s="254"/>
      <c r="I459" s="500"/>
      <c r="J459" s="181"/>
      <c r="K459" s="500"/>
      <c r="L459" s="181"/>
      <c r="M459" s="253"/>
      <c r="N459" s="254"/>
      <c r="O459" s="500"/>
      <c r="P459" s="181"/>
      <c r="Q459" s="492"/>
      <c r="R459" s="254"/>
      <c r="S459" s="501"/>
      <c r="T459" s="101"/>
      <c r="U459" s="253"/>
      <c r="V459" s="254"/>
      <c r="W459" s="254"/>
      <c r="X459" s="254"/>
      <c r="Y459" s="254"/>
      <c r="Z459" s="254"/>
    </row>
    <row r="460">
      <c r="A460" s="492"/>
      <c r="B460" s="254"/>
      <c r="C460" s="492"/>
      <c r="D460" s="181"/>
      <c r="E460" s="492"/>
      <c r="F460" s="254"/>
      <c r="G460" s="492"/>
      <c r="H460" s="254"/>
      <c r="I460" s="500"/>
      <c r="J460" s="181"/>
      <c r="K460" s="500"/>
      <c r="L460" s="181"/>
      <c r="M460" s="253"/>
      <c r="N460" s="254"/>
      <c r="O460" s="500"/>
      <c r="P460" s="181"/>
      <c r="Q460" s="492"/>
      <c r="R460" s="254"/>
      <c r="S460" s="501"/>
      <c r="T460" s="101"/>
      <c r="U460" s="253"/>
      <c r="V460" s="254"/>
      <c r="W460" s="254"/>
      <c r="X460" s="254"/>
      <c r="Y460" s="254"/>
      <c r="Z460" s="254"/>
    </row>
    <row r="461">
      <c r="A461" s="492"/>
      <c r="B461" s="254"/>
      <c r="C461" s="492"/>
      <c r="D461" s="181"/>
      <c r="E461" s="492"/>
      <c r="F461" s="254"/>
      <c r="G461" s="492"/>
      <c r="H461" s="254"/>
      <c r="I461" s="500"/>
      <c r="J461" s="181"/>
      <c r="K461" s="500"/>
      <c r="L461" s="181"/>
      <c r="M461" s="253"/>
      <c r="N461" s="254"/>
      <c r="O461" s="500"/>
      <c r="P461" s="181"/>
      <c r="Q461" s="492"/>
      <c r="R461" s="254"/>
      <c r="S461" s="501"/>
      <c r="T461" s="101"/>
      <c r="U461" s="253"/>
      <c r="V461" s="254"/>
      <c r="W461" s="254"/>
      <c r="X461" s="254"/>
      <c r="Y461" s="254"/>
      <c r="Z461" s="254"/>
    </row>
    <row r="462">
      <c r="A462" s="492"/>
      <c r="B462" s="254"/>
      <c r="C462" s="492"/>
      <c r="D462" s="181"/>
      <c r="E462" s="492"/>
      <c r="F462" s="254"/>
      <c r="G462" s="492"/>
      <c r="H462" s="254"/>
      <c r="I462" s="500"/>
      <c r="J462" s="181"/>
      <c r="K462" s="500"/>
      <c r="L462" s="181"/>
      <c r="M462" s="253"/>
      <c r="N462" s="254"/>
      <c r="O462" s="500"/>
      <c r="P462" s="181"/>
      <c r="Q462" s="492"/>
      <c r="R462" s="254"/>
      <c r="S462" s="501"/>
      <c r="T462" s="101"/>
      <c r="U462" s="253"/>
      <c r="V462" s="254"/>
      <c r="W462" s="254"/>
      <c r="X462" s="254"/>
      <c r="Y462" s="254"/>
      <c r="Z462" s="254"/>
    </row>
    <row r="463">
      <c r="A463" s="492"/>
      <c r="B463" s="254"/>
      <c r="C463" s="492"/>
      <c r="D463" s="181"/>
      <c r="E463" s="492"/>
      <c r="F463" s="254"/>
      <c r="G463" s="492"/>
      <c r="H463" s="254"/>
      <c r="I463" s="500"/>
      <c r="J463" s="181"/>
      <c r="K463" s="500"/>
      <c r="L463" s="181"/>
      <c r="M463" s="253"/>
      <c r="N463" s="254"/>
      <c r="O463" s="500"/>
      <c r="P463" s="181"/>
      <c r="Q463" s="492"/>
      <c r="R463" s="254"/>
      <c r="S463" s="501"/>
      <c r="T463" s="101"/>
      <c r="U463" s="253"/>
      <c r="V463" s="254"/>
      <c r="W463" s="254"/>
      <c r="X463" s="254"/>
      <c r="Y463" s="254"/>
      <c r="Z463" s="254"/>
    </row>
    <row r="464">
      <c r="A464" s="492"/>
      <c r="B464" s="254"/>
      <c r="C464" s="492"/>
      <c r="D464" s="181"/>
      <c r="E464" s="492"/>
      <c r="F464" s="254"/>
      <c r="G464" s="492"/>
      <c r="H464" s="254"/>
      <c r="I464" s="500"/>
      <c r="J464" s="181"/>
      <c r="K464" s="500"/>
      <c r="L464" s="181"/>
      <c r="M464" s="253"/>
      <c r="N464" s="254"/>
      <c r="O464" s="500"/>
      <c r="P464" s="181"/>
      <c r="Q464" s="492"/>
      <c r="R464" s="254"/>
      <c r="S464" s="501"/>
      <c r="T464" s="101"/>
      <c r="U464" s="253"/>
      <c r="V464" s="254"/>
      <c r="W464" s="254"/>
      <c r="X464" s="254"/>
      <c r="Y464" s="254"/>
      <c r="Z464" s="254"/>
    </row>
    <row r="465">
      <c r="A465" s="492"/>
      <c r="B465" s="254"/>
      <c r="C465" s="492"/>
      <c r="D465" s="181"/>
      <c r="E465" s="492"/>
      <c r="F465" s="254"/>
      <c r="G465" s="492"/>
      <c r="H465" s="254"/>
      <c r="I465" s="500"/>
      <c r="J465" s="181"/>
      <c r="K465" s="500"/>
      <c r="L465" s="181"/>
      <c r="M465" s="253"/>
      <c r="N465" s="254"/>
      <c r="O465" s="500"/>
      <c r="P465" s="181"/>
      <c r="Q465" s="492"/>
      <c r="R465" s="254"/>
      <c r="S465" s="501"/>
      <c r="T465" s="101"/>
      <c r="U465" s="253"/>
      <c r="V465" s="254"/>
      <c r="W465" s="254"/>
      <c r="X465" s="254"/>
      <c r="Y465" s="254"/>
      <c r="Z465" s="254"/>
    </row>
    <row r="466">
      <c r="A466" s="492"/>
      <c r="B466" s="254"/>
      <c r="C466" s="492"/>
      <c r="D466" s="181"/>
      <c r="E466" s="492"/>
      <c r="F466" s="254"/>
      <c r="G466" s="492"/>
      <c r="H466" s="254"/>
      <c r="I466" s="500"/>
      <c r="J466" s="181"/>
      <c r="K466" s="500"/>
      <c r="L466" s="181"/>
      <c r="M466" s="253"/>
      <c r="N466" s="254"/>
      <c r="O466" s="500"/>
      <c r="P466" s="181"/>
      <c r="Q466" s="492"/>
      <c r="R466" s="254"/>
      <c r="S466" s="501"/>
      <c r="T466" s="101"/>
      <c r="U466" s="253"/>
      <c r="V466" s="254"/>
      <c r="W466" s="254"/>
      <c r="X466" s="254"/>
      <c r="Y466" s="254"/>
      <c r="Z466" s="254"/>
    </row>
    <row r="467">
      <c r="A467" s="492"/>
      <c r="B467" s="254"/>
      <c r="C467" s="492"/>
      <c r="D467" s="181"/>
      <c r="E467" s="492"/>
      <c r="F467" s="254"/>
      <c r="G467" s="492"/>
      <c r="H467" s="254"/>
      <c r="I467" s="500"/>
      <c r="J467" s="181"/>
      <c r="K467" s="500"/>
      <c r="L467" s="181"/>
      <c r="M467" s="253"/>
      <c r="N467" s="254"/>
      <c r="O467" s="500"/>
      <c r="P467" s="181"/>
      <c r="Q467" s="492"/>
      <c r="R467" s="254"/>
      <c r="S467" s="501"/>
      <c r="T467" s="101"/>
      <c r="U467" s="253"/>
      <c r="V467" s="254"/>
      <c r="W467" s="254"/>
      <c r="X467" s="254"/>
      <c r="Y467" s="254"/>
      <c r="Z467" s="254"/>
    </row>
    <row r="468">
      <c r="A468" s="492"/>
      <c r="B468" s="254"/>
      <c r="C468" s="492"/>
      <c r="D468" s="181"/>
      <c r="E468" s="492"/>
      <c r="F468" s="254"/>
      <c r="G468" s="492"/>
      <c r="H468" s="254"/>
      <c r="I468" s="500"/>
      <c r="J468" s="181"/>
      <c r="K468" s="500"/>
      <c r="L468" s="181"/>
      <c r="M468" s="253"/>
      <c r="N468" s="254"/>
      <c r="O468" s="500"/>
      <c r="P468" s="181"/>
      <c r="Q468" s="492"/>
      <c r="R468" s="254"/>
      <c r="S468" s="501"/>
      <c r="T468" s="101"/>
      <c r="U468" s="253"/>
      <c r="V468" s="254"/>
      <c r="W468" s="254"/>
      <c r="X468" s="254"/>
      <c r="Y468" s="254"/>
      <c r="Z468" s="254"/>
    </row>
    <row r="469">
      <c r="A469" s="492"/>
      <c r="B469" s="254"/>
      <c r="C469" s="492"/>
      <c r="D469" s="181"/>
      <c r="E469" s="492"/>
      <c r="F469" s="254"/>
      <c r="G469" s="492"/>
      <c r="H469" s="254"/>
      <c r="I469" s="500"/>
      <c r="J469" s="181"/>
      <c r="K469" s="500"/>
      <c r="L469" s="181"/>
      <c r="M469" s="253"/>
      <c r="N469" s="254"/>
      <c r="O469" s="500"/>
      <c r="P469" s="181"/>
      <c r="Q469" s="492"/>
      <c r="R469" s="254"/>
      <c r="S469" s="501"/>
      <c r="T469" s="101"/>
      <c r="U469" s="253"/>
      <c r="V469" s="254"/>
      <c r="W469" s="254"/>
      <c r="X469" s="254"/>
      <c r="Y469" s="254"/>
      <c r="Z469" s="254"/>
    </row>
    <row r="470">
      <c r="A470" s="492"/>
      <c r="B470" s="254"/>
      <c r="C470" s="492"/>
      <c r="D470" s="181"/>
      <c r="E470" s="492"/>
      <c r="F470" s="254"/>
      <c r="G470" s="492"/>
      <c r="H470" s="254"/>
      <c r="I470" s="500"/>
      <c r="J470" s="181"/>
      <c r="K470" s="500"/>
      <c r="L470" s="181"/>
      <c r="M470" s="253"/>
      <c r="N470" s="254"/>
      <c r="O470" s="500"/>
      <c r="P470" s="181"/>
      <c r="Q470" s="492"/>
      <c r="R470" s="254"/>
      <c r="S470" s="501"/>
      <c r="T470" s="101"/>
      <c r="U470" s="253"/>
      <c r="V470" s="254"/>
      <c r="W470" s="254"/>
      <c r="X470" s="254"/>
      <c r="Y470" s="254"/>
      <c r="Z470" s="254"/>
    </row>
    <row r="471">
      <c r="A471" s="492"/>
      <c r="B471" s="254"/>
      <c r="C471" s="492"/>
      <c r="D471" s="181"/>
      <c r="E471" s="492"/>
      <c r="F471" s="254"/>
      <c r="G471" s="492"/>
      <c r="H471" s="254"/>
      <c r="I471" s="500"/>
      <c r="J471" s="181"/>
      <c r="K471" s="500"/>
      <c r="L471" s="181"/>
      <c r="M471" s="253"/>
      <c r="N471" s="254"/>
      <c r="O471" s="500"/>
      <c r="P471" s="181"/>
      <c r="Q471" s="492"/>
      <c r="R471" s="254"/>
      <c r="S471" s="501"/>
      <c r="T471" s="101"/>
      <c r="U471" s="253"/>
      <c r="V471" s="254"/>
      <c r="W471" s="254"/>
      <c r="X471" s="254"/>
      <c r="Y471" s="254"/>
      <c r="Z471" s="254"/>
    </row>
    <row r="472">
      <c r="A472" s="492"/>
      <c r="B472" s="254"/>
      <c r="C472" s="492"/>
      <c r="D472" s="181"/>
      <c r="E472" s="492"/>
      <c r="F472" s="254"/>
      <c r="G472" s="492"/>
      <c r="H472" s="254"/>
      <c r="I472" s="500"/>
      <c r="J472" s="181"/>
      <c r="K472" s="500"/>
      <c r="L472" s="181"/>
      <c r="M472" s="253"/>
      <c r="N472" s="254"/>
      <c r="O472" s="500"/>
      <c r="P472" s="181"/>
      <c r="Q472" s="492"/>
      <c r="R472" s="254"/>
      <c r="S472" s="501"/>
      <c r="T472" s="101"/>
      <c r="U472" s="253"/>
      <c r="V472" s="254"/>
      <c r="W472" s="254"/>
      <c r="X472" s="254"/>
      <c r="Y472" s="254"/>
      <c r="Z472" s="254"/>
    </row>
    <row r="473">
      <c r="A473" s="492"/>
      <c r="B473" s="254"/>
      <c r="C473" s="492"/>
      <c r="D473" s="181"/>
      <c r="E473" s="492"/>
      <c r="F473" s="254"/>
      <c r="G473" s="492"/>
      <c r="H473" s="254"/>
      <c r="I473" s="500"/>
      <c r="J473" s="181"/>
      <c r="K473" s="500"/>
      <c r="L473" s="181"/>
      <c r="M473" s="253"/>
      <c r="N473" s="254"/>
      <c r="O473" s="500"/>
      <c r="P473" s="181"/>
      <c r="Q473" s="492"/>
      <c r="R473" s="254"/>
      <c r="S473" s="501"/>
      <c r="T473" s="101"/>
      <c r="U473" s="253"/>
      <c r="V473" s="254"/>
      <c r="W473" s="254"/>
      <c r="X473" s="254"/>
      <c r="Y473" s="254"/>
      <c r="Z473" s="254"/>
    </row>
    <row r="474">
      <c r="A474" s="492"/>
      <c r="B474" s="254"/>
      <c r="C474" s="492"/>
      <c r="D474" s="181"/>
      <c r="E474" s="492"/>
      <c r="F474" s="254"/>
      <c r="G474" s="492"/>
      <c r="H474" s="254"/>
      <c r="I474" s="500"/>
      <c r="J474" s="181"/>
      <c r="K474" s="500"/>
      <c r="L474" s="181"/>
      <c r="M474" s="253"/>
      <c r="N474" s="254"/>
      <c r="O474" s="500"/>
      <c r="P474" s="181"/>
      <c r="Q474" s="492"/>
      <c r="R474" s="254"/>
      <c r="S474" s="501"/>
      <c r="T474" s="101"/>
      <c r="U474" s="253"/>
      <c r="V474" s="254"/>
      <c r="W474" s="254"/>
      <c r="X474" s="254"/>
      <c r="Y474" s="254"/>
      <c r="Z474" s="254"/>
    </row>
    <row r="475">
      <c r="A475" s="492"/>
      <c r="B475" s="254"/>
      <c r="C475" s="492"/>
      <c r="D475" s="181"/>
      <c r="E475" s="492"/>
      <c r="F475" s="254"/>
      <c r="G475" s="492"/>
      <c r="H475" s="254"/>
      <c r="I475" s="500"/>
      <c r="J475" s="181"/>
      <c r="K475" s="500"/>
      <c r="L475" s="181"/>
      <c r="M475" s="253"/>
      <c r="N475" s="254"/>
      <c r="O475" s="500"/>
      <c r="P475" s="181"/>
      <c r="Q475" s="492"/>
      <c r="R475" s="254"/>
      <c r="S475" s="501"/>
      <c r="T475" s="101"/>
      <c r="U475" s="253"/>
      <c r="V475" s="254"/>
      <c r="W475" s="254"/>
      <c r="X475" s="254"/>
      <c r="Y475" s="254"/>
      <c r="Z475" s="254"/>
    </row>
    <row r="476">
      <c r="A476" s="492"/>
      <c r="B476" s="254"/>
      <c r="C476" s="492"/>
      <c r="D476" s="181"/>
      <c r="E476" s="492"/>
      <c r="F476" s="254"/>
      <c r="G476" s="492"/>
      <c r="H476" s="254"/>
      <c r="I476" s="500"/>
      <c r="J476" s="181"/>
      <c r="K476" s="500"/>
      <c r="L476" s="181"/>
      <c r="M476" s="253"/>
      <c r="N476" s="254"/>
      <c r="O476" s="500"/>
      <c r="P476" s="181"/>
      <c r="Q476" s="492"/>
      <c r="R476" s="254"/>
      <c r="S476" s="501"/>
      <c r="T476" s="101"/>
      <c r="U476" s="253"/>
      <c r="V476" s="254"/>
      <c r="W476" s="254"/>
      <c r="X476" s="254"/>
      <c r="Y476" s="254"/>
      <c r="Z476" s="254"/>
    </row>
    <row r="477">
      <c r="A477" s="492"/>
      <c r="B477" s="254"/>
      <c r="C477" s="492"/>
      <c r="D477" s="181"/>
      <c r="E477" s="492"/>
      <c r="F477" s="254"/>
      <c r="G477" s="492"/>
      <c r="H477" s="254"/>
      <c r="I477" s="500"/>
      <c r="J477" s="181"/>
      <c r="K477" s="500"/>
      <c r="L477" s="181"/>
      <c r="M477" s="253"/>
      <c r="N477" s="254"/>
      <c r="O477" s="500"/>
      <c r="P477" s="181"/>
      <c r="Q477" s="492"/>
      <c r="R477" s="254"/>
      <c r="S477" s="501"/>
      <c r="T477" s="101"/>
      <c r="U477" s="253"/>
      <c r="V477" s="254"/>
      <c r="W477" s="254"/>
      <c r="X477" s="254"/>
      <c r="Y477" s="254"/>
      <c r="Z477" s="254"/>
    </row>
    <row r="478">
      <c r="A478" s="492"/>
      <c r="B478" s="254"/>
      <c r="C478" s="492"/>
      <c r="D478" s="181"/>
      <c r="E478" s="492"/>
      <c r="F478" s="254"/>
      <c r="G478" s="492"/>
      <c r="H478" s="254"/>
      <c r="I478" s="500"/>
      <c r="J478" s="181"/>
      <c r="K478" s="500"/>
      <c r="L478" s="181"/>
      <c r="M478" s="253"/>
      <c r="N478" s="254"/>
      <c r="O478" s="500"/>
      <c r="P478" s="181"/>
      <c r="Q478" s="492"/>
      <c r="R478" s="254"/>
      <c r="S478" s="501"/>
      <c r="T478" s="101"/>
      <c r="U478" s="253"/>
      <c r="V478" s="254"/>
      <c r="W478" s="254"/>
      <c r="X478" s="254"/>
      <c r="Y478" s="254"/>
      <c r="Z478" s="254"/>
    </row>
    <row r="479">
      <c r="A479" s="492"/>
      <c r="B479" s="254"/>
      <c r="C479" s="492"/>
      <c r="D479" s="181"/>
      <c r="E479" s="492"/>
      <c r="F479" s="254"/>
      <c r="G479" s="492"/>
      <c r="H479" s="254"/>
      <c r="I479" s="500"/>
      <c r="J479" s="181"/>
      <c r="K479" s="500"/>
      <c r="L479" s="181"/>
      <c r="M479" s="253"/>
      <c r="N479" s="254"/>
      <c r="O479" s="500"/>
      <c r="P479" s="181"/>
      <c r="Q479" s="492"/>
      <c r="R479" s="254"/>
      <c r="S479" s="501"/>
      <c r="T479" s="101"/>
      <c r="U479" s="253"/>
      <c r="V479" s="254"/>
      <c r="W479" s="254"/>
      <c r="X479" s="254"/>
      <c r="Y479" s="254"/>
      <c r="Z479" s="254"/>
    </row>
    <row r="480">
      <c r="A480" s="492"/>
      <c r="B480" s="254"/>
      <c r="C480" s="492"/>
      <c r="D480" s="181"/>
      <c r="E480" s="492"/>
      <c r="F480" s="254"/>
      <c r="G480" s="492"/>
      <c r="H480" s="254"/>
      <c r="I480" s="500"/>
      <c r="J480" s="181"/>
      <c r="K480" s="500"/>
      <c r="L480" s="181"/>
      <c r="M480" s="253"/>
      <c r="N480" s="254"/>
      <c r="O480" s="500"/>
      <c r="P480" s="181"/>
      <c r="Q480" s="492"/>
      <c r="R480" s="254"/>
      <c r="S480" s="501"/>
      <c r="T480" s="101"/>
      <c r="U480" s="253"/>
      <c r="V480" s="254"/>
      <c r="W480" s="254"/>
      <c r="X480" s="254"/>
      <c r="Y480" s="254"/>
      <c r="Z480" s="254"/>
    </row>
    <row r="481">
      <c r="A481" s="492"/>
      <c r="B481" s="254"/>
      <c r="C481" s="492"/>
      <c r="D481" s="181"/>
      <c r="E481" s="492"/>
      <c r="F481" s="254"/>
      <c r="G481" s="492"/>
      <c r="H481" s="254"/>
      <c r="I481" s="500"/>
      <c r="J481" s="181"/>
      <c r="K481" s="500"/>
      <c r="L481" s="181"/>
      <c r="M481" s="253"/>
      <c r="N481" s="254"/>
      <c r="O481" s="500"/>
      <c r="P481" s="181"/>
      <c r="Q481" s="492"/>
      <c r="R481" s="254"/>
      <c r="S481" s="501"/>
      <c r="T481" s="101"/>
      <c r="U481" s="253"/>
      <c r="V481" s="254"/>
      <c r="W481" s="254"/>
      <c r="X481" s="254"/>
      <c r="Y481" s="254"/>
      <c r="Z481" s="254"/>
    </row>
    <row r="482">
      <c r="A482" s="492"/>
      <c r="B482" s="254"/>
      <c r="C482" s="492"/>
      <c r="D482" s="181"/>
      <c r="E482" s="492"/>
      <c r="F482" s="254"/>
      <c r="G482" s="492"/>
      <c r="H482" s="254"/>
      <c r="I482" s="500"/>
      <c r="J482" s="181"/>
      <c r="K482" s="500"/>
      <c r="L482" s="181"/>
      <c r="M482" s="253"/>
      <c r="N482" s="254"/>
      <c r="O482" s="500"/>
      <c r="P482" s="181"/>
      <c r="Q482" s="492"/>
      <c r="R482" s="254"/>
      <c r="S482" s="501"/>
      <c r="T482" s="101"/>
      <c r="U482" s="253"/>
      <c r="V482" s="254"/>
      <c r="W482" s="254"/>
      <c r="X482" s="254"/>
      <c r="Y482" s="254"/>
      <c r="Z482" s="254"/>
    </row>
    <row r="483">
      <c r="A483" s="492"/>
      <c r="B483" s="254"/>
      <c r="C483" s="492"/>
      <c r="D483" s="181"/>
      <c r="E483" s="492"/>
      <c r="F483" s="254"/>
      <c r="G483" s="492"/>
      <c r="H483" s="254"/>
      <c r="I483" s="500"/>
      <c r="J483" s="181"/>
      <c r="K483" s="500"/>
      <c r="L483" s="181"/>
      <c r="M483" s="253"/>
      <c r="N483" s="254"/>
      <c r="O483" s="500"/>
      <c r="P483" s="181"/>
      <c r="Q483" s="492"/>
      <c r="R483" s="254"/>
      <c r="S483" s="501"/>
      <c r="T483" s="101"/>
      <c r="U483" s="253"/>
      <c r="V483" s="254"/>
      <c r="W483" s="254"/>
      <c r="X483" s="254"/>
      <c r="Y483" s="254"/>
      <c r="Z483" s="254"/>
    </row>
    <row r="484">
      <c r="A484" s="492"/>
      <c r="B484" s="254"/>
      <c r="C484" s="492"/>
      <c r="D484" s="181"/>
      <c r="E484" s="492"/>
      <c r="F484" s="254"/>
      <c r="G484" s="492"/>
      <c r="H484" s="254"/>
      <c r="I484" s="500"/>
      <c r="J484" s="181"/>
      <c r="K484" s="500"/>
      <c r="L484" s="181"/>
      <c r="M484" s="253"/>
      <c r="N484" s="254"/>
      <c r="O484" s="500"/>
      <c r="P484" s="181"/>
      <c r="Q484" s="492"/>
      <c r="R484" s="254"/>
      <c r="S484" s="501"/>
      <c r="T484" s="101"/>
      <c r="U484" s="253"/>
      <c r="V484" s="254"/>
      <c r="W484" s="254"/>
      <c r="X484" s="254"/>
      <c r="Y484" s="254"/>
      <c r="Z484" s="254"/>
    </row>
    <row r="485">
      <c r="A485" s="492"/>
      <c r="B485" s="254"/>
      <c r="C485" s="492"/>
      <c r="D485" s="181"/>
      <c r="E485" s="492"/>
      <c r="F485" s="254"/>
      <c r="G485" s="492"/>
      <c r="H485" s="254"/>
      <c r="I485" s="500"/>
      <c r="J485" s="181"/>
      <c r="K485" s="500"/>
      <c r="L485" s="181"/>
      <c r="M485" s="253"/>
      <c r="N485" s="254"/>
      <c r="O485" s="500"/>
      <c r="P485" s="181"/>
      <c r="Q485" s="492"/>
      <c r="R485" s="254"/>
      <c r="S485" s="501"/>
      <c r="T485" s="101"/>
      <c r="U485" s="253"/>
      <c r="V485" s="254"/>
      <c r="W485" s="254"/>
      <c r="X485" s="254"/>
      <c r="Y485" s="254"/>
      <c r="Z485" s="254"/>
    </row>
    <row r="486">
      <c r="A486" s="492"/>
      <c r="B486" s="254"/>
      <c r="C486" s="492"/>
      <c r="D486" s="181"/>
      <c r="E486" s="492"/>
      <c r="F486" s="254"/>
      <c r="G486" s="492"/>
      <c r="H486" s="254"/>
      <c r="I486" s="500"/>
      <c r="J486" s="181"/>
      <c r="K486" s="500"/>
      <c r="L486" s="181"/>
      <c r="M486" s="253"/>
      <c r="N486" s="254"/>
      <c r="O486" s="500"/>
      <c r="P486" s="181"/>
      <c r="Q486" s="492"/>
      <c r="R486" s="254"/>
      <c r="S486" s="501"/>
      <c r="T486" s="101"/>
      <c r="U486" s="253"/>
      <c r="V486" s="254"/>
      <c r="W486" s="254"/>
      <c r="X486" s="254"/>
      <c r="Y486" s="254"/>
      <c r="Z486" s="254"/>
    </row>
    <row r="487">
      <c r="A487" s="492"/>
      <c r="B487" s="254"/>
      <c r="C487" s="492"/>
      <c r="D487" s="181"/>
      <c r="E487" s="492"/>
      <c r="F487" s="254"/>
      <c r="G487" s="492"/>
      <c r="H487" s="254"/>
      <c r="I487" s="500"/>
      <c r="J487" s="181"/>
      <c r="K487" s="500"/>
      <c r="L487" s="181"/>
      <c r="M487" s="253"/>
      <c r="N487" s="254"/>
      <c r="O487" s="500"/>
      <c r="P487" s="181"/>
      <c r="Q487" s="492"/>
      <c r="R487" s="254"/>
      <c r="S487" s="501"/>
      <c r="T487" s="101"/>
      <c r="U487" s="253"/>
      <c r="V487" s="254"/>
      <c r="W487" s="254"/>
      <c r="X487" s="254"/>
      <c r="Y487" s="254"/>
      <c r="Z487" s="254"/>
    </row>
    <row r="488">
      <c r="A488" s="492"/>
      <c r="B488" s="254"/>
      <c r="C488" s="492"/>
      <c r="D488" s="181"/>
      <c r="E488" s="492"/>
      <c r="F488" s="254"/>
      <c r="G488" s="492"/>
      <c r="H488" s="254"/>
      <c r="I488" s="500"/>
      <c r="J488" s="181"/>
      <c r="K488" s="500"/>
      <c r="L488" s="181"/>
      <c r="M488" s="253"/>
      <c r="N488" s="254"/>
      <c r="O488" s="500"/>
      <c r="P488" s="181"/>
      <c r="Q488" s="492"/>
      <c r="R488" s="254"/>
      <c r="S488" s="501"/>
      <c r="T488" s="101"/>
      <c r="U488" s="253"/>
      <c r="V488" s="254"/>
      <c r="W488" s="254"/>
      <c r="X488" s="254"/>
      <c r="Y488" s="254"/>
      <c r="Z488" s="254"/>
    </row>
    <row r="489">
      <c r="A489" s="492"/>
      <c r="B489" s="254"/>
      <c r="C489" s="492"/>
      <c r="D489" s="181"/>
      <c r="E489" s="492"/>
      <c r="F489" s="254"/>
      <c r="G489" s="492"/>
      <c r="H489" s="254"/>
      <c r="I489" s="500"/>
      <c r="J489" s="181"/>
      <c r="K489" s="500"/>
      <c r="L489" s="181"/>
      <c r="M489" s="253"/>
      <c r="N489" s="254"/>
      <c r="O489" s="500"/>
      <c r="P489" s="181"/>
      <c r="Q489" s="492"/>
      <c r="R489" s="254"/>
      <c r="S489" s="501"/>
      <c r="T489" s="101"/>
      <c r="U489" s="253"/>
      <c r="V489" s="254"/>
      <c r="W489" s="254"/>
      <c r="X489" s="254"/>
      <c r="Y489" s="254"/>
      <c r="Z489" s="254"/>
    </row>
    <row r="490">
      <c r="A490" s="492"/>
      <c r="B490" s="254"/>
      <c r="C490" s="492"/>
      <c r="D490" s="181"/>
      <c r="E490" s="492"/>
      <c r="F490" s="254"/>
      <c r="G490" s="492"/>
      <c r="H490" s="254"/>
      <c r="I490" s="500"/>
      <c r="J490" s="181"/>
      <c r="K490" s="500"/>
      <c r="L490" s="181"/>
      <c r="M490" s="253"/>
      <c r="N490" s="254"/>
      <c r="O490" s="500"/>
      <c r="P490" s="181"/>
      <c r="Q490" s="492"/>
      <c r="R490" s="254"/>
      <c r="S490" s="501"/>
      <c r="T490" s="101"/>
      <c r="U490" s="253"/>
      <c r="V490" s="254"/>
      <c r="W490" s="254"/>
      <c r="X490" s="254"/>
      <c r="Y490" s="254"/>
      <c r="Z490" s="254"/>
    </row>
    <row r="491">
      <c r="A491" s="492"/>
      <c r="B491" s="254"/>
      <c r="C491" s="492"/>
      <c r="D491" s="181"/>
      <c r="E491" s="492"/>
      <c r="F491" s="254"/>
      <c r="G491" s="492"/>
      <c r="H491" s="254"/>
      <c r="I491" s="500"/>
      <c r="J491" s="181"/>
      <c r="K491" s="500"/>
      <c r="L491" s="181"/>
      <c r="M491" s="253"/>
      <c r="N491" s="254"/>
      <c r="O491" s="500"/>
      <c r="P491" s="181"/>
      <c r="Q491" s="492"/>
      <c r="R491" s="254"/>
      <c r="S491" s="501"/>
      <c r="T491" s="101"/>
      <c r="U491" s="253"/>
      <c r="V491" s="254"/>
      <c r="W491" s="254"/>
      <c r="X491" s="254"/>
      <c r="Y491" s="254"/>
      <c r="Z491" s="254"/>
    </row>
    <row r="492">
      <c r="A492" s="492"/>
      <c r="B492" s="254"/>
      <c r="C492" s="492"/>
      <c r="D492" s="181"/>
      <c r="E492" s="492"/>
      <c r="F492" s="254"/>
      <c r="G492" s="492"/>
      <c r="H492" s="254"/>
      <c r="I492" s="500"/>
      <c r="J492" s="181"/>
      <c r="K492" s="500"/>
      <c r="L492" s="181"/>
      <c r="M492" s="253"/>
      <c r="N492" s="254"/>
      <c r="O492" s="500"/>
      <c r="P492" s="181"/>
      <c r="Q492" s="492"/>
      <c r="R492" s="254"/>
      <c r="S492" s="501"/>
      <c r="T492" s="101"/>
      <c r="U492" s="253"/>
      <c r="V492" s="254"/>
      <c r="W492" s="254"/>
      <c r="X492" s="254"/>
      <c r="Y492" s="254"/>
      <c r="Z492" s="254"/>
    </row>
    <row r="493">
      <c r="A493" s="492"/>
      <c r="B493" s="254"/>
      <c r="C493" s="492"/>
      <c r="D493" s="181"/>
      <c r="E493" s="492"/>
      <c r="F493" s="254"/>
      <c r="G493" s="492"/>
      <c r="H493" s="254"/>
      <c r="I493" s="500"/>
      <c r="J493" s="181"/>
      <c r="K493" s="500"/>
      <c r="L493" s="181"/>
      <c r="M493" s="253"/>
      <c r="N493" s="254"/>
      <c r="O493" s="500"/>
      <c r="P493" s="181"/>
      <c r="Q493" s="492"/>
      <c r="R493" s="254"/>
      <c r="S493" s="501"/>
      <c r="T493" s="101"/>
      <c r="U493" s="253"/>
      <c r="V493" s="254"/>
      <c r="W493" s="254"/>
      <c r="X493" s="254"/>
      <c r="Y493" s="254"/>
      <c r="Z493" s="254"/>
    </row>
    <row r="494">
      <c r="A494" s="492"/>
      <c r="B494" s="254"/>
      <c r="C494" s="492"/>
      <c r="D494" s="181"/>
      <c r="E494" s="492"/>
      <c r="F494" s="254"/>
      <c r="G494" s="492"/>
      <c r="H494" s="254"/>
      <c r="I494" s="500"/>
      <c r="J494" s="181"/>
      <c r="K494" s="500"/>
      <c r="L494" s="181"/>
      <c r="M494" s="253"/>
      <c r="N494" s="254"/>
      <c r="O494" s="500"/>
      <c r="P494" s="181"/>
      <c r="Q494" s="492"/>
      <c r="R494" s="254"/>
      <c r="S494" s="501"/>
      <c r="T494" s="101"/>
      <c r="U494" s="253"/>
      <c r="V494" s="254"/>
      <c r="W494" s="254"/>
      <c r="X494" s="254"/>
      <c r="Y494" s="254"/>
      <c r="Z494" s="254"/>
    </row>
    <row r="495">
      <c r="A495" s="492"/>
      <c r="B495" s="254"/>
      <c r="C495" s="492"/>
      <c r="D495" s="181"/>
      <c r="E495" s="492"/>
      <c r="F495" s="254"/>
      <c r="G495" s="492"/>
      <c r="H495" s="254"/>
      <c r="I495" s="500"/>
      <c r="J495" s="181"/>
      <c r="K495" s="500"/>
      <c r="L495" s="181"/>
      <c r="M495" s="253"/>
      <c r="N495" s="254"/>
      <c r="O495" s="500"/>
      <c r="P495" s="181"/>
      <c r="Q495" s="492"/>
      <c r="R495" s="254"/>
      <c r="S495" s="501"/>
      <c r="T495" s="101"/>
      <c r="U495" s="253"/>
      <c r="V495" s="254"/>
      <c r="W495" s="254"/>
      <c r="X495" s="254"/>
      <c r="Y495" s="254"/>
      <c r="Z495" s="254"/>
    </row>
    <row r="496">
      <c r="A496" s="492"/>
      <c r="B496" s="254"/>
      <c r="C496" s="492"/>
      <c r="D496" s="181"/>
      <c r="E496" s="492"/>
      <c r="F496" s="254"/>
      <c r="G496" s="492"/>
      <c r="H496" s="254"/>
      <c r="I496" s="500"/>
      <c r="J496" s="181"/>
      <c r="K496" s="500"/>
      <c r="L496" s="181"/>
      <c r="M496" s="253"/>
      <c r="N496" s="254"/>
      <c r="O496" s="500"/>
      <c r="P496" s="181"/>
      <c r="Q496" s="492"/>
      <c r="R496" s="254"/>
      <c r="S496" s="501"/>
      <c r="T496" s="101"/>
      <c r="U496" s="253"/>
      <c r="V496" s="254"/>
      <c r="W496" s="254"/>
      <c r="X496" s="254"/>
      <c r="Y496" s="254"/>
      <c r="Z496" s="254"/>
    </row>
    <row r="497">
      <c r="A497" s="492"/>
      <c r="B497" s="254"/>
      <c r="C497" s="492"/>
      <c r="D497" s="181"/>
      <c r="E497" s="492"/>
      <c r="F497" s="254"/>
      <c r="G497" s="492"/>
      <c r="H497" s="254"/>
      <c r="I497" s="500"/>
      <c r="J497" s="181"/>
      <c r="K497" s="500"/>
      <c r="L497" s="181"/>
      <c r="M497" s="253"/>
      <c r="N497" s="254"/>
      <c r="O497" s="500"/>
      <c r="P497" s="181"/>
      <c r="Q497" s="492"/>
      <c r="R497" s="254"/>
      <c r="S497" s="501"/>
      <c r="T497" s="101"/>
      <c r="U497" s="253"/>
      <c r="V497" s="254"/>
      <c r="W497" s="254"/>
      <c r="X497" s="254"/>
      <c r="Y497" s="254"/>
      <c r="Z497" s="254"/>
    </row>
    <row r="498">
      <c r="A498" s="492"/>
      <c r="B498" s="254"/>
      <c r="C498" s="492"/>
      <c r="D498" s="181"/>
      <c r="E498" s="492"/>
      <c r="F498" s="254"/>
      <c r="G498" s="492"/>
      <c r="H498" s="254"/>
      <c r="I498" s="500"/>
      <c r="J498" s="181"/>
      <c r="K498" s="500"/>
      <c r="L498" s="181"/>
      <c r="M498" s="253"/>
      <c r="N498" s="254"/>
      <c r="O498" s="500"/>
      <c r="P498" s="181"/>
      <c r="Q498" s="492"/>
      <c r="R498" s="254"/>
      <c r="S498" s="501"/>
      <c r="T498" s="101"/>
      <c r="U498" s="253"/>
      <c r="V498" s="254"/>
      <c r="W498" s="254"/>
      <c r="X498" s="254"/>
      <c r="Y498" s="254"/>
      <c r="Z498" s="254"/>
    </row>
    <row r="499">
      <c r="A499" s="492"/>
      <c r="B499" s="254"/>
      <c r="C499" s="492"/>
      <c r="D499" s="181"/>
      <c r="E499" s="492"/>
      <c r="F499" s="254"/>
      <c r="G499" s="492"/>
      <c r="H499" s="254"/>
      <c r="I499" s="500"/>
      <c r="J499" s="181"/>
      <c r="K499" s="500"/>
      <c r="L499" s="181"/>
      <c r="M499" s="253"/>
      <c r="N499" s="254"/>
      <c r="O499" s="500"/>
      <c r="P499" s="181"/>
      <c r="Q499" s="492"/>
      <c r="R499" s="254"/>
      <c r="S499" s="501"/>
      <c r="T499" s="101"/>
      <c r="U499" s="253"/>
      <c r="V499" s="254"/>
      <c r="W499" s="254"/>
      <c r="X499" s="254"/>
      <c r="Y499" s="254"/>
      <c r="Z499" s="254"/>
    </row>
    <row r="500">
      <c r="A500" s="492"/>
      <c r="B500" s="254"/>
      <c r="C500" s="492"/>
      <c r="D500" s="181"/>
      <c r="E500" s="492"/>
      <c r="F500" s="254"/>
      <c r="G500" s="492"/>
      <c r="H500" s="254"/>
      <c r="I500" s="500"/>
      <c r="J500" s="181"/>
      <c r="K500" s="500"/>
      <c r="L500" s="181"/>
      <c r="M500" s="253"/>
      <c r="N500" s="254"/>
      <c r="O500" s="500"/>
      <c r="P500" s="181"/>
      <c r="Q500" s="492"/>
      <c r="R500" s="254"/>
      <c r="S500" s="501"/>
      <c r="T500" s="101"/>
      <c r="U500" s="253"/>
      <c r="V500" s="254"/>
      <c r="W500" s="254"/>
      <c r="X500" s="254"/>
      <c r="Y500" s="254"/>
      <c r="Z500" s="254"/>
    </row>
    <row r="501">
      <c r="A501" s="492"/>
      <c r="B501" s="254"/>
      <c r="C501" s="492"/>
      <c r="D501" s="181"/>
      <c r="E501" s="492"/>
      <c r="F501" s="254"/>
      <c r="G501" s="492"/>
      <c r="H501" s="254"/>
      <c r="I501" s="500"/>
      <c r="J501" s="181"/>
      <c r="K501" s="500"/>
      <c r="L501" s="181"/>
      <c r="M501" s="253"/>
      <c r="N501" s="254"/>
      <c r="O501" s="500"/>
      <c r="P501" s="181"/>
      <c r="Q501" s="492"/>
      <c r="R501" s="254"/>
      <c r="S501" s="501"/>
      <c r="T501" s="101"/>
      <c r="U501" s="253"/>
      <c r="V501" s="254"/>
      <c r="W501" s="254"/>
      <c r="X501" s="254"/>
      <c r="Y501" s="254"/>
      <c r="Z501" s="254"/>
    </row>
    <row r="502">
      <c r="A502" s="492"/>
      <c r="B502" s="254"/>
      <c r="C502" s="492"/>
      <c r="D502" s="181"/>
      <c r="E502" s="492"/>
      <c r="F502" s="254"/>
      <c r="G502" s="492"/>
      <c r="H502" s="254"/>
      <c r="I502" s="500"/>
      <c r="J502" s="181"/>
      <c r="K502" s="500"/>
      <c r="L502" s="181"/>
      <c r="M502" s="253"/>
      <c r="N502" s="254"/>
      <c r="O502" s="500"/>
      <c r="P502" s="181"/>
      <c r="Q502" s="492"/>
      <c r="R502" s="254"/>
      <c r="S502" s="501"/>
      <c r="T502" s="101"/>
      <c r="U502" s="253"/>
      <c r="V502" s="254"/>
      <c r="W502" s="254"/>
      <c r="X502" s="254"/>
      <c r="Y502" s="254"/>
      <c r="Z502" s="254"/>
    </row>
    <row r="503">
      <c r="A503" s="492"/>
      <c r="B503" s="254"/>
      <c r="C503" s="492"/>
      <c r="D503" s="181"/>
      <c r="E503" s="492"/>
      <c r="F503" s="254"/>
      <c r="G503" s="492"/>
      <c r="H503" s="254"/>
      <c r="I503" s="500"/>
      <c r="J503" s="181"/>
      <c r="K503" s="500"/>
      <c r="L503" s="181"/>
      <c r="M503" s="253"/>
      <c r="N503" s="254"/>
      <c r="O503" s="500"/>
      <c r="P503" s="181"/>
      <c r="Q503" s="492"/>
      <c r="R503" s="254"/>
      <c r="S503" s="501"/>
      <c r="T503" s="101"/>
      <c r="U503" s="253"/>
      <c r="V503" s="254"/>
      <c r="W503" s="254"/>
      <c r="X503" s="254"/>
      <c r="Y503" s="254"/>
      <c r="Z503" s="254"/>
    </row>
    <row r="504">
      <c r="A504" s="492"/>
      <c r="B504" s="254"/>
      <c r="C504" s="492"/>
      <c r="D504" s="181"/>
      <c r="E504" s="492"/>
      <c r="F504" s="254"/>
      <c r="G504" s="492"/>
      <c r="H504" s="254"/>
      <c r="I504" s="500"/>
      <c r="J504" s="181"/>
      <c r="K504" s="500"/>
      <c r="L504" s="181"/>
      <c r="M504" s="253"/>
      <c r="N504" s="254"/>
      <c r="O504" s="500"/>
      <c r="P504" s="181"/>
      <c r="Q504" s="492"/>
      <c r="R504" s="254"/>
      <c r="S504" s="501"/>
      <c r="T504" s="101"/>
      <c r="U504" s="253"/>
      <c r="V504" s="254"/>
      <c r="W504" s="254"/>
      <c r="X504" s="254"/>
      <c r="Y504" s="254"/>
      <c r="Z504" s="254"/>
    </row>
    <row r="505">
      <c r="A505" s="492"/>
      <c r="B505" s="254"/>
      <c r="C505" s="492"/>
      <c r="D505" s="181"/>
      <c r="E505" s="492"/>
      <c r="F505" s="254"/>
      <c r="G505" s="492"/>
      <c r="H505" s="254"/>
      <c r="I505" s="500"/>
      <c r="J505" s="181"/>
      <c r="K505" s="500"/>
      <c r="L505" s="181"/>
      <c r="M505" s="253"/>
      <c r="N505" s="254"/>
      <c r="O505" s="500"/>
      <c r="P505" s="181"/>
      <c r="Q505" s="492"/>
      <c r="R505" s="254"/>
      <c r="S505" s="501"/>
      <c r="T505" s="101"/>
      <c r="U505" s="253"/>
      <c r="V505" s="254"/>
      <c r="W505" s="254"/>
      <c r="X505" s="254"/>
      <c r="Y505" s="254"/>
      <c r="Z505" s="254"/>
    </row>
    <row r="506">
      <c r="A506" s="492"/>
      <c r="B506" s="254"/>
      <c r="C506" s="492"/>
      <c r="D506" s="181"/>
      <c r="E506" s="492"/>
      <c r="F506" s="254"/>
      <c r="G506" s="492"/>
      <c r="H506" s="254"/>
      <c r="I506" s="500"/>
      <c r="J506" s="181"/>
      <c r="K506" s="500"/>
      <c r="L506" s="181"/>
      <c r="M506" s="253"/>
      <c r="N506" s="254"/>
      <c r="O506" s="500"/>
      <c r="P506" s="181"/>
      <c r="Q506" s="492"/>
      <c r="R506" s="254"/>
      <c r="S506" s="501"/>
      <c r="T506" s="101"/>
      <c r="U506" s="253"/>
      <c r="V506" s="254"/>
      <c r="W506" s="254"/>
      <c r="X506" s="254"/>
      <c r="Y506" s="254"/>
      <c r="Z506" s="254"/>
    </row>
    <row r="507">
      <c r="A507" s="492"/>
      <c r="B507" s="254"/>
      <c r="C507" s="492"/>
      <c r="D507" s="181"/>
      <c r="E507" s="492"/>
      <c r="F507" s="254"/>
      <c r="G507" s="492"/>
      <c r="H507" s="254"/>
      <c r="I507" s="500"/>
      <c r="J507" s="181"/>
      <c r="K507" s="500"/>
      <c r="L507" s="181"/>
      <c r="M507" s="253"/>
      <c r="N507" s="254"/>
      <c r="O507" s="500"/>
      <c r="P507" s="181"/>
      <c r="Q507" s="492"/>
      <c r="R507" s="254"/>
      <c r="S507" s="501"/>
      <c r="T507" s="101"/>
      <c r="U507" s="253"/>
      <c r="V507" s="254"/>
      <c r="W507" s="254"/>
      <c r="X507" s="254"/>
      <c r="Y507" s="254"/>
      <c r="Z507" s="254"/>
    </row>
    <row r="508">
      <c r="A508" s="492"/>
      <c r="B508" s="254"/>
      <c r="C508" s="492"/>
      <c r="D508" s="181"/>
      <c r="E508" s="492"/>
      <c r="F508" s="254"/>
      <c r="G508" s="492"/>
      <c r="H508" s="254"/>
      <c r="I508" s="500"/>
      <c r="J508" s="181"/>
      <c r="K508" s="500"/>
      <c r="L508" s="181"/>
      <c r="M508" s="253"/>
      <c r="N508" s="254"/>
      <c r="O508" s="500"/>
      <c r="P508" s="181"/>
      <c r="Q508" s="492"/>
      <c r="R508" s="254"/>
      <c r="S508" s="501"/>
      <c r="T508" s="101"/>
      <c r="U508" s="253"/>
      <c r="V508" s="254"/>
      <c r="W508" s="254"/>
      <c r="X508" s="254"/>
      <c r="Y508" s="254"/>
      <c r="Z508" s="254"/>
    </row>
    <row r="509">
      <c r="A509" s="492"/>
      <c r="B509" s="254"/>
      <c r="C509" s="492"/>
      <c r="D509" s="181"/>
      <c r="E509" s="492"/>
      <c r="F509" s="254"/>
      <c r="G509" s="492"/>
      <c r="H509" s="254"/>
      <c r="I509" s="500"/>
      <c r="J509" s="181"/>
      <c r="K509" s="500"/>
      <c r="L509" s="181"/>
      <c r="M509" s="253"/>
      <c r="N509" s="254"/>
      <c r="O509" s="500"/>
      <c r="P509" s="181"/>
      <c r="Q509" s="492"/>
      <c r="R509" s="254"/>
      <c r="S509" s="501"/>
      <c r="T509" s="101"/>
      <c r="U509" s="253"/>
      <c r="V509" s="254"/>
      <c r="W509" s="254"/>
      <c r="X509" s="254"/>
      <c r="Y509" s="254"/>
      <c r="Z509" s="254"/>
    </row>
    <row r="510">
      <c r="A510" s="492"/>
      <c r="B510" s="254"/>
      <c r="C510" s="492"/>
      <c r="D510" s="181"/>
      <c r="E510" s="492"/>
      <c r="F510" s="254"/>
      <c r="G510" s="492"/>
      <c r="H510" s="254"/>
      <c r="I510" s="500"/>
      <c r="J510" s="181"/>
      <c r="K510" s="500"/>
      <c r="L510" s="181"/>
      <c r="M510" s="253"/>
      <c r="N510" s="254"/>
      <c r="O510" s="500"/>
      <c r="P510" s="181"/>
      <c r="Q510" s="492"/>
      <c r="R510" s="254"/>
      <c r="S510" s="501"/>
      <c r="T510" s="101"/>
      <c r="U510" s="253"/>
      <c r="V510" s="254"/>
      <c r="W510" s="254"/>
      <c r="X510" s="254"/>
      <c r="Y510" s="254"/>
      <c r="Z510" s="254"/>
    </row>
    <row r="511">
      <c r="A511" s="492"/>
      <c r="B511" s="254"/>
      <c r="C511" s="492"/>
      <c r="D511" s="181"/>
      <c r="E511" s="492"/>
      <c r="F511" s="254"/>
      <c r="G511" s="492"/>
      <c r="H511" s="254"/>
      <c r="I511" s="500"/>
      <c r="J511" s="181"/>
      <c r="K511" s="500"/>
      <c r="L511" s="181"/>
      <c r="M511" s="253"/>
      <c r="N511" s="254"/>
      <c r="O511" s="500"/>
      <c r="P511" s="181"/>
      <c r="Q511" s="492"/>
      <c r="R511" s="254"/>
      <c r="S511" s="501"/>
      <c r="T511" s="101"/>
      <c r="U511" s="253"/>
      <c r="V511" s="254"/>
      <c r="W511" s="254"/>
      <c r="X511" s="254"/>
      <c r="Y511" s="254"/>
      <c r="Z511" s="254"/>
    </row>
    <row r="512">
      <c r="A512" s="492"/>
      <c r="B512" s="254"/>
      <c r="C512" s="492"/>
      <c r="D512" s="181"/>
      <c r="E512" s="492"/>
      <c r="F512" s="254"/>
      <c r="G512" s="492"/>
      <c r="H512" s="254"/>
      <c r="I512" s="500"/>
      <c r="J512" s="181"/>
      <c r="K512" s="500"/>
      <c r="L512" s="181"/>
      <c r="M512" s="253"/>
      <c r="N512" s="254"/>
      <c r="O512" s="500"/>
      <c r="P512" s="181"/>
      <c r="Q512" s="492"/>
      <c r="R512" s="254"/>
      <c r="S512" s="501"/>
      <c r="T512" s="101"/>
      <c r="U512" s="253"/>
      <c r="V512" s="254"/>
      <c r="W512" s="254"/>
      <c r="X512" s="254"/>
      <c r="Y512" s="254"/>
      <c r="Z512" s="254"/>
    </row>
    <row r="513">
      <c r="A513" s="492"/>
      <c r="B513" s="254"/>
      <c r="C513" s="492"/>
      <c r="D513" s="181"/>
      <c r="E513" s="492"/>
      <c r="F513" s="254"/>
      <c r="G513" s="492"/>
      <c r="H513" s="254"/>
      <c r="I513" s="500"/>
      <c r="J513" s="181"/>
      <c r="K513" s="500"/>
      <c r="L513" s="181"/>
      <c r="M513" s="253"/>
      <c r="N513" s="254"/>
      <c r="O513" s="500"/>
      <c r="P513" s="181"/>
      <c r="Q513" s="492"/>
      <c r="R513" s="254"/>
      <c r="S513" s="501"/>
      <c r="T513" s="101"/>
      <c r="U513" s="253"/>
      <c r="V513" s="254"/>
      <c r="W513" s="254"/>
      <c r="X513" s="254"/>
      <c r="Y513" s="254"/>
      <c r="Z513" s="254"/>
    </row>
    <row r="514">
      <c r="A514" s="492"/>
      <c r="B514" s="254"/>
      <c r="C514" s="492"/>
      <c r="D514" s="181"/>
      <c r="E514" s="492"/>
      <c r="F514" s="254"/>
      <c r="G514" s="492"/>
      <c r="H514" s="254"/>
      <c r="I514" s="500"/>
      <c r="J514" s="181"/>
      <c r="K514" s="500"/>
      <c r="L514" s="181"/>
      <c r="M514" s="253"/>
      <c r="N514" s="254"/>
      <c r="O514" s="500"/>
      <c r="P514" s="181"/>
      <c r="Q514" s="492"/>
      <c r="R514" s="254"/>
      <c r="S514" s="501"/>
      <c r="T514" s="101"/>
      <c r="U514" s="253"/>
      <c r="V514" s="254"/>
      <c r="W514" s="254"/>
      <c r="X514" s="254"/>
      <c r="Y514" s="254"/>
      <c r="Z514" s="254"/>
    </row>
    <row r="515">
      <c r="A515" s="492"/>
      <c r="B515" s="254"/>
      <c r="C515" s="492"/>
      <c r="D515" s="181"/>
      <c r="E515" s="492"/>
      <c r="F515" s="254"/>
      <c r="G515" s="492"/>
      <c r="H515" s="254"/>
      <c r="I515" s="500"/>
      <c r="J515" s="181"/>
      <c r="K515" s="500"/>
      <c r="L515" s="181"/>
      <c r="M515" s="253"/>
      <c r="N515" s="254"/>
      <c r="O515" s="500"/>
      <c r="P515" s="181"/>
      <c r="Q515" s="492"/>
      <c r="R515" s="254"/>
      <c r="S515" s="501"/>
      <c r="T515" s="101"/>
      <c r="U515" s="253"/>
      <c r="V515" s="254"/>
      <c r="W515" s="254"/>
      <c r="X515" s="254"/>
      <c r="Y515" s="254"/>
      <c r="Z515" s="254"/>
    </row>
    <row r="516">
      <c r="A516" s="492"/>
      <c r="B516" s="254"/>
      <c r="C516" s="492"/>
      <c r="D516" s="181"/>
      <c r="E516" s="492"/>
      <c r="F516" s="254"/>
      <c r="G516" s="492"/>
      <c r="H516" s="254"/>
      <c r="I516" s="500"/>
      <c r="J516" s="181"/>
      <c r="K516" s="500"/>
      <c r="L516" s="181"/>
      <c r="M516" s="253"/>
      <c r="N516" s="254"/>
      <c r="O516" s="500"/>
      <c r="P516" s="181"/>
      <c r="Q516" s="492"/>
      <c r="R516" s="254"/>
      <c r="S516" s="501"/>
      <c r="T516" s="101"/>
      <c r="U516" s="253"/>
      <c r="V516" s="254"/>
      <c r="W516" s="254"/>
      <c r="X516" s="254"/>
      <c r="Y516" s="254"/>
      <c r="Z516" s="254"/>
    </row>
    <row r="517">
      <c r="A517" s="492"/>
      <c r="B517" s="254"/>
      <c r="C517" s="492"/>
      <c r="D517" s="181"/>
      <c r="E517" s="492"/>
      <c r="F517" s="254"/>
      <c r="G517" s="492"/>
      <c r="H517" s="254"/>
      <c r="I517" s="500"/>
      <c r="J517" s="181"/>
      <c r="K517" s="500"/>
      <c r="L517" s="181"/>
      <c r="M517" s="253"/>
      <c r="N517" s="254"/>
      <c r="O517" s="500"/>
      <c r="P517" s="181"/>
      <c r="Q517" s="492"/>
      <c r="R517" s="254"/>
      <c r="S517" s="501"/>
      <c r="T517" s="101"/>
      <c r="U517" s="253"/>
      <c r="V517" s="254"/>
      <c r="W517" s="254"/>
      <c r="X517" s="254"/>
      <c r="Y517" s="254"/>
      <c r="Z517" s="254"/>
    </row>
    <row r="518">
      <c r="A518" s="492"/>
      <c r="B518" s="254"/>
      <c r="C518" s="492"/>
      <c r="D518" s="181"/>
      <c r="E518" s="492"/>
      <c r="F518" s="254"/>
      <c r="G518" s="492"/>
      <c r="H518" s="254"/>
      <c r="I518" s="500"/>
      <c r="J518" s="181"/>
      <c r="K518" s="500"/>
      <c r="L518" s="181"/>
      <c r="M518" s="253"/>
      <c r="N518" s="254"/>
      <c r="O518" s="500"/>
      <c r="P518" s="181"/>
      <c r="Q518" s="492"/>
      <c r="R518" s="254"/>
      <c r="S518" s="501"/>
      <c r="T518" s="101"/>
      <c r="U518" s="253"/>
      <c r="V518" s="254"/>
      <c r="W518" s="254"/>
      <c r="X518" s="254"/>
      <c r="Y518" s="254"/>
      <c r="Z518" s="254"/>
    </row>
    <row r="519">
      <c r="A519" s="492"/>
      <c r="B519" s="254"/>
      <c r="C519" s="492"/>
      <c r="D519" s="181"/>
      <c r="E519" s="492"/>
      <c r="F519" s="254"/>
      <c r="G519" s="492"/>
      <c r="H519" s="254"/>
      <c r="I519" s="500"/>
      <c r="J519" s="181"/>
      <c r="K519" s="500"/>
      <c r="L519" s="181"/>
      <c r="M519" s="253"/>
      <c r="N519" s="254"/>
      <c r="O519" s="500"/>
      <c r="P519" s="181"/>
      <c r="Q519" s="492"/>
      <c r="R519" s="254"/>
      <c r="S519" s="501"/>
      <c r="T519" s="101"/>
      <c r="U519" s="253"/>
      <c r="V519" s="254"/>
      <c r="W519" s="254"/>
      <c r="X519" s="254"/>
      <c r="Y519" s="254"/>
      <c r="Z519" s="254"/>
    </row>
    <row r="520">
      <c r="A520" s="492"/>
      <c r="B520" s="254"/>
      <c r="C520" s="492"/>
      <c r="D520" s="181"/>
      <c r="E520" s="492"/>
      <c r="F520" s="254"/>
      <c r="G520" s="492"/>
      <c r="H520" s="254"/>
      <c r="I520" s="500"/>
      <c r="J520" s="181"/>
      <c r="K520" s="500"/>
      <c r="L520" s="181"/>
      <c r="M520" s="253"/>
      <c r="N520" s="254"/>
      <c r="O520" s="500"/>
      <c r="P520" s="181"/>
      <c r="Q520" s="492"/>
      <c r="R520" s="254"/>
      <c r="S520" s="501"/>
      <c r="T520" s="101"/>
      <c r="U520" s="253"/>
      <c r="V520" s="254"/>
      <c r="W520" s="254"/>
      <c r="X520" s="254"/>
      <c r="Y520" s="254"/>
      <c r="Z520" s="254"/>
    </row>
    <row r="521">
      <c r="A521" s="492"/>
      <c r="B521" s="254"/>
      <c r="C521" s="492"/>
      <c r="D521" s="181"/>
      <c r="E521" s="492"/>
      <c r="F521" s="254"/>
      <c r="G521" s="492"/>
      <c r="H521" s="254"/>
      <c r="I521" s="500"/>
      <c r="J521" s="181"/>
      <c r="K521" s="500"/>
      <c r="L521" s="181"/>
      <c r="M521" s="253"/>
      <c r="N521" s="254"/>
      <c r="O521" s="500"/>
      <c r="P521" s="181"/>
      <c r="Q521" s="492"/>
      <c r="R521" s="254"/>
      <c r="S521" s="501"/>
      <c r="T521" s="101"/>
      <c r="U521" s="253"/>
      <c r="V521" s="254"/>
      <c r="W521" s="254"/>
      <c r="X521" s="254"/>
      <c r="Y521" s="254"/>
      <c r="Z521" s="254"/>
    </row>
    <row r="522">
      <c r="A522" s="492"/>
      <c r="B522" s="254"/>
      <c r="C522" s="492"/>
      <c r="D522" s="181"/>
      <c r="E522" s="492"/>
      <c r="F522" s="254"/>
      <c r="G522" s="492"/>
      <c r="H522" s="254"/>
      <c r="I522" s="500"/>
      <c r="J522" s="181"/>
      <c r="K522" s="500"/>
      <c r="L522" s="181"/>
      <c r="M522" s="253"/>
      <c r="N522" s="254"/>
      <c r="O522" s="500"/>
      <c r="P522" s="181"/>
      <c r="Q522" s="492"/>
      <c r="R522" s="254"/>
      <c r="S522" s="501"/>
      <c r="T522" s="101"/>
      <c r="U522" s="253"/>
      <c r="V522" s="254"/>
      <c r="W522" s="254"/>
      <c r="X522" s="254"/>
      <c r="Y522" s="254"/>
      <c r="Z522" s="254"/>
    </row>
    <row r="523">
      <c r="A523" s="492"/>
      <c r="B523" s="254"/>
      <c r="C523" s="492"/>
      <c r="D523" s="181"/>
      <c r="E523" s="492"/>
      <c r="F523" s="254"/>
      <c r="G523" s="492"/>
      <c r="H523" s="254"/>
      <c r="I523" s="500"/>
      <c r="J523" s="181"/>
      <c r="K523" s="500"/>
      <c r="L523" s="181"/>
      <c r="M523" s="253"/>
      <c r="N523" s="254"/>
      <c r="O523" s="500"/>
      <c r="P523" s="181"/>
      <c r="Q523" s="492"/>
      <c r="R523" s="254"/>
      <c r="S523" s="501"/>
      <c r="T523" s="101"/>
      <c r="U523" s="253"/>
      <c r="V523" s="254"/>
      <c r="W523" s="254"/>
      <c r="X523" s="254"/>
      <c r="Y523" s="254"/>
      <c r="Z523" s="254"/>
    </row>
    <row r="524">
      <c r="A524" s="492"/>
      <c r="B524" s="254"/>
      <c r="C524" s="492"/>
      <c r="D524" s="181"/>
      <c r="E524" s="492"/>
      <c r="F524" s="254"/>
      <c r="G524" s="492"/>
      <c r="H524" s="254"/>
      <c r="I524" s="500"/>
      <c r="J524" s="181"/>
      <c r="K524" s="500"/>
      <c r="L524" s="181"/>
      <c r="M524" s="253"/>
      <c r="N524" s="254"/>
      <c r="O524" s="500"/>
      <c r="P524" s="181"/>
      <c r="Q524" s="492"/>
      <c r="R524" s="254"/>
      <c r="S524" s="501"/>
      <c r="T524" s="101"/>
      <c r="U524" s="253"/>
      <c r="V524" s="254"/>
      <c r="W524" s="254"/>
      <c r="X524" s="254"/>
      <c r="Y524" s="254"/>
      <c r="Z524" s="254"/>
    </row>
    <row r="525">
      <c r="A525" s="492"/>
      <c r="B525" s="254"/>
      <c r="C525" s="492"/>
      <c r="D525" s="181"/>
      <c r="E525" s="492"/>
      <c r="F525" s="254"/>
      <c r="G525" s="492"/>
      <c r="H525" s="254"/>
      <c r="I525" s="500"/>
      <c r="J525" s="181"/>
      <c r="K525" s="500"/>
      <c r="L525" s="181"/>
      <c r="M525" s="253"/>
      <c r="N525" s="254"/>
      <c r="O525" s="500"/>
      <c r="P525" s="181"/>
      <c r="Q525" s="492"/>
      <c r="R525" s="254"/>
      <c r="S525" s="501"/>
      <c r="T525" s="101"/>
      <c r="U525" s="253"/>
      <c r="V525" s="254"/>
      <c r="W525" s="254"/>
      <c r="X525" s="254"/>
      <c r="Y525" s="254"/>
      <c r="Z525" s="254"/>
    </row>
    <row r="526">
      <c r="A526" s="492"/>
      <c r="B526" s="254"/>
      <c r="C526" s="492"/>
      <c r="D526" s="181"/>
      <c r="E526" s="492"/>
      <c r="F526" s="254"/>
      <c r="G526" s="492"/>
      <c r="H526" s="254"/>
      <c r="I526" s="500"/>
      <c r="J526" s="181"/>
      <c r="K526" s="500"/>
      <c r="L526" s="181"/>
      <c r="M526" s="253"/>
      <c r="N526" s="254"/>
      <c r="O526" s="500"/>
      <c r="P526" s="181"/>
      <c r="Q526" s="492"/>
      <c r="R526" s="254"/>
      <c r="S526" s="501"/>
      <c r="T526" s="101"/>
      <c r="U526" s="253"/>
      <c r="V526" s="254"/>
      <c r="W526" s="254"/>
      <c r="X526" s="254"/>
      <c r="Y526" s="254"/>
      <c r="Z526" s="254"/>
    </row>
    <row r="527">
      <c r="A527" s="492"/>
      <c r="B527" s="254"/>
      <c r="C527" s="492"/>
      <c r="D527" s="181"/>
      <c r="E527" s="492"/>
      <c r="F527" s="254"/>
      <c r="G527" s="492"/>
      <c r="H527" s="254"/>
      <c r="I527" s="500"/>
      <c r="J527" s="181"/>
      <c r="K527" s="500"/>
      <c r="L527" s="181"/>
      <c r="M527" s="253"/>
      <c r="N527" s="254"/>
      <c r="O527" s="500"/>
      <c r="P527" s="181"/>
      <c r="Q527" s="492"/>
      <c r="R527" s="254"/>
      <c r="S527" s="501"/>
      <c r="T527" s="101"/>
      <c r="U527" s="253"/>
      <c r="V527" s="254"/>
      <c r="W527" s="254"/>
      <c r="X527" s="254"/>
      <c r="Y527" s="254"/>
      <c r="Z527" s="254"/>
    </row>
    <row r="528">
      <c r="A528" s="492"/>
      <c r="B528" s="254"/>
      <c r="C528" s="492"/>
      <c r="D528" s="181"/>
      <c r="E528" s="492"/>
      <c r="F528" s="254"/>
      <c r="G528" s="492"/>
      <c r="H528" s="254"/>
      <c r="I528" s="500"/>
      <c r="J528" s="181"/>
      <c r="K528" s="500"/>
      <c r="L528" s="181"/>
      <c r="M528" s="253"/>
      <c r="N528" s="254"/>
      <c r="O528" s="500"/>
      <c r="P528" s="181"/>
      <c r="Q528" s="492"/>
      <c r="R528" s="254"/>
      <c r="S528" s="501"/>
      <c r="T528" s="101"/>
      <c r="U528" s="253"/>
      <c r="V528" s="254"/>
      <c r="W528" s="254"/>
      <c r="X528" s="254"/>
      <c r="Y528" s="254"/>
      <c r="Z528" s="254"/>
    </row>
    <row r="529">
      <c r="A529" s="492"/>
      <c r="B529" s="254"/>
      <c r="C529" s="492"/>
      <c r="D529" s="181"/>
      <c r="E529" s="492"/>
      <c r="F529" s="254"/>
      <c r="G529" s="492"/>
      <c r="H529" s="254"/>
      <c r="I529" s="500"/>
      <c r="J529" s="181"/>
      <c r="K529" s="500"/>
      <c r="L529" s="181"/>
      <c r="M529" s="253"/>
      <c r="N529" s="254"/>
      <c r="O529" s="500"/>
      <c r="P529" s="181"/>
      <c r="Q529" s="492"/>
      <c r="R529" s="254"/>
      <c r="S529" s="501"/>
      <c r="T529" s="101"/>
      <c r="U529" s="253"/>
      <c r="V529" s="254"/>
      <c r="W529" s="254"/>
      <c r="X529" s="254"/>
      <c r="Y529" s="254"/>
      <c r="Z529" s="254"/>
    </row>
    <row r="530">
      <c r="A530" s="492"/>
      <c r="B530" s="254"/>
      <c r="C530" s="492"/>
      <c r="D530" s="181"/>
      <c r="E530" s="492"/>
      <c r="F530" s="254"/>
      <c r="G530" s="492"/>
      <c r="H530" s="254"/>
      <c r="I530" s="500"/>
      <c r="J530" s="181"/>
      <c r="K530" s="500"/>
      <c r="L530" s="181"/>
      <c r="M530" s="253"/>
      <c r="N530" s="254"/>
      <c r="O530" s="500"/>
      <c r="P530" s="181"/>
      <c r="Q530" s="492"/>
      <c r="R530" s="254"/>
      <c r="S530" s="501"/>
      <c r="T530" s="101"/>
      <c r="U530" s="253"/>
      <c r="V530" s="254"/>
      <c r="W530" s="254"/>
      <c r="X530" s="254"/>
      <c r="Y530" s="254"/>
      <c r="Z530" s="254"/>
    </row>
    <row r="531">
      <c r="A531" s="492"/>
      <c r="B531" s="254"/>
      <c r="C531" s="492"/>
      <c r="D531" s="181"/>
      <c r="E531" s="492"/>
      <c r="F531" s="254"/>
      <c r="G531" s="492"/>
      <c r="H531" s="254"/>
      <c r="I531" s="500"/>
      <c r="J531" s="181"/>
      <c r="K531" s="500"/>
      <c r="L531" s="181"/>
      <c r="M531" s="253"/>
      <c r="N531" s="254"/>
      <c r="O531" s="500"/>
      <c r="P531" s="181"/>
      <c r="Q531" s="492"/>
      <c r="R531" s="254"/>
      <c r="S531" s="501"/>
      <c r="T531" s="101"/>
      <c r="U531" s="253"/>
      <c r="V531" s="254"/>
      <c r="W531" s="254"/>
      <c r="X531" s="254"/>
      <c r="Y531" s="254"/>
      <c r="Z531" s="254"/>
    </row>
    <row r="532">
      <c r="A532" s="492"/>
      <c r="B532" s="254"/>
      <c r="C532" s="492"/>
      <c r="D532" s="181"/>
      <c r="E532" s="492"/>
      <c r="F532" s="254"/>
      <c r="G532" s="492"/>
      <c r="H532" s="254"/>
      <c r="I532" s="500"/>
      <c r="J532" s="181"/>
      <c r="K532" s="500"/>
      <c r="L532" s="181"/>
      <c r="M532" s="253"/>
      <c r="N532" s="254"/>
      <c r="O532" s="500"/>
      <c r="P532" s="181"/>
      <c r="Q532" s="492"/>
      <c r="R532" s="254"/>
      <c r="S532" s="501"/>
      <c r="T532" s="101"/>
      <c r="U532" s="253"/>
      <c r="V532" s="254"/>
      <c r="W532" s="254"/>
      <c r="X532" s="254"/>
      <c r="Y532" s="254"/>
      <c r="Z532" s="254"/>
    </row>
    <row r="533">
      <c r="A533" s="492"/>
      <c r="B533" s="254"/>
      <c r="C533" s="492"/>
      <c r="D533" s="181"/>
      <c r="E533" s="492"/>
      <c r="F533" s="254"/>
      <c r="G533" s="492"/>
      <c r="H533" s="254"/>
      <c r="I533" s="500"/>
      <c r="J533" s="181"/>
      <c r="K533" s="500"/>
      <c r="L533" s="181"/>
      <c r="M533" s="253"/>
      <c r="N533" s="254"/>
      <c r="O533" s="500"/>
      <c r="P533" s="181"/>
      <c r="Q533" s="492"/>
      <c r="R533" s="254"/>
      <c r="S533" s="501"/>
      <c r="T533" s="101"/>
      <c r="U533" s="253"/>
      <c r="V533" s="254"/>
      <c r="W533" s="254"/>
      <c r="X533" s="254"/>
      <c r="Y533" s="254"/>
      <c r="Z533" s="254"/>
    </row>
    <row r="534">
      <c r="A534" s="492"/>
      <c r="B534" s="254"/>
      <c r="C534" s="492"/>
      <c r="D534" s="181"/>
      <c r="E534" s="492"/>
      <c r="F534" s="254"/>
      <c r="G534" s="492"/>
      <c r="H534" s="254"/>
      <c r="I534" s="500"/>
      <c r="J534" s="181"/>
      <c r="K534" s="500"/>
      <c r="L534" s="181"/>
      <c r="M534" s="253"/>
      <c r="N534" s="254"/>
      <c r="O534" s="500"/>
      <c r="P534" s="181"/>
      <c r="Q534" s="492"/>
      <c r="R534" s="254"/>
      <c r="S534" s="501"/>
      <c r="T534" s="101"/>
      <c r="U534" s="253"/>
      <c r="V534" s="254"/>
      <c r="W534" s="254"/>
      <c r="X534" s="254"/>
      <c r="Y534" s="254"/>
      <c r="Z534" s="254"/>
    </row>
    <row r="535">
      <c r="A535" s="492"/>
      <c r="B535" s="254"/>
      <c r="C535" s="492"/>
      <c r="D535" s="181"/>
      <c r="E535" s="492"/>
      <c r="F535" s="254"/>
      <c r="G535" s="492"/>
      <c r="H535" s="254"/>
      <c r="I535" s="500"/>
      <c r="J535" s="181"/>
      <c r="K535" s="500"/>
      <c r="L535" s="181"/>
      <c r="M535" s="253"/>
      <c r="N535" s="254"/>
      <c r="O535" s="500"/>
      <c r="P535" s="181"/>
      <c r="Q535" s="492"/>
      <c r="R535" s="254"/>
      <c r="S535" s="501"/>
      <c r="T535" s="101"/>
      <c r="U535" s="253"/>
      <c r="V535" s="254"/>
      <c r="W535" s="254"/>
      <c r="X535" s="254"/>
      <c r="Y535" s="254"/>
      <c r="Z535" s="254"/>
    </row>
    <row r="536">
      <c r="A536" s="492"/>
      <c r="B536" s="254"/>
      <c r="C536" s="492"/>
      <c r="D536" s="181"/>
      <c r="E536" s="492"/>
      <c r="F536" s="254"/>
      <c r="G536" s="492"/>
      <c r="H536" s="254"/>
      <c r="I536" s="500"/>
      <c r="J536" s="181"/>
      <c r="K536" s="500"/>
      <c r="L536" s="181"/>
      <c r="M536" s="253"/>
      <c r="N536" s="254"/>
      <c r="O536" s="500"/>
      <c r="P536" s="181"/>
      <c r="Q536" s="492"/>
      <c r="R536" s="254"/>
      <c r="S536" s="501"/>
      <c r="T536" s="101"/>
      <c r="U536" s="253"/>
      <c r="V536" s="254"/>
      <c r="W536" s="254"/>
      <c r="X536" s="254"/>
      <c r="Y536" s="254"/>
      <c r="Z536" s="254"/>
    </row>
    <row r="537">
      <c r="A537" s="492"/>
      <c r="B537" s="254"/>
      <c r="C537" s="492"/>
      <c r="D537" s="181"/>
      <c r="E537" s="492"/>
      <c r="F537" s="254"/>
      <c r="G537" s="492"/>
      <c r="H537" s="254"/>
      <c r="I537" s="500"/>
      <c r="J537" s="181"/>
      <c r="K537" s="500"/>
      <c r="L537" s="181"/>
      <c r="M537" s="253"/>
      <c r="N537" s="254"/>
      <c r="O537" s="500"/>
      <c r="P537" s="181"/>
      <c r="Q537" s="492"/>
      <c r="R537" s="254"/>
      <c r="S537" s="501"/>
      <c r="T537" s="101"/>
      <c r="U537" s="253"/>
      <c r="V537" s="254"/>
      <c r="W537" s="254"/>
      <c r="X537" s="254"/>
      <c r="Y537" s="254"/>
      <c r="Z537" s="254"/>
    </row>
    <row r="538">
      <c r="A538" s="492"/>
      <c r="B538" s="254"/>
      <c r="C538" s="492"/>
      <c r="D538" s="181"/>
      <c r="E538" s="492"/>
      <c r="F538" s="254"/>
      <c r="G538" s="492"/>
      <c r="H538" s="254"/>
      <c r="I538" s="500"/>
      <c r="J538" s="181"/>
      <c r="K538" s="500"/>
      <c r="L538" s="181"/>
      <c r="M538" s="253"/>
      <c r="N538" s="254"/>
      <c r="O538" s="500"/>
      <c r="P538" s="181"/>
      <c r="Q538" s="492"/>
      <c r="R538" s="254"/>
      <c r="S538" s="501"/>
      <c r="T538" s="101"/>
      <c r="U538" s="253"/>
      <c r="V538" s="254"/>
      <c r="W538" s="254"/>
      <c r="X538" s="254"/>
      <c r="Y538" s="254"/>
      <c r="Z538" s="254"/>
    </row>
    <row r="539">
      <c r="A539" s="492"/>
      <c r="B539" s="254"/>
      <c r="C539" s="492"/>
      <c r="D539" s="181"/>
      <c r="E539" s="492"/>
      <c r="F539" s="254"/>
      <c r="G539" s="492"/>
      <c r="H539" s="254"/>
      <c r="I539" s="500"/>
      <c r="J539" s="181"/>
      <c r="K539" s="500"/>
      <c r="L539" s="181"/>
      <c r="M539" s="253"/>
      <c r="N539" s="254"/>
      <c r="O539" s="500"/>
      <c r="P539" s="181"/>
      <c r="Q539" s="492"/>
      <c r="R539" s="254"/>
      <c r="S539" s="501"/>
      <c r="T539" s="101"/>
      <c r="U539" s="253"/>
      <c r="V539" s="254"/>
      <c r="W539" s="254"/>
      <c r="X539" s="254"/>
      <c r="Y539" s="254"/>
      <c r="Z539" s="254"/>
    </row>
    <row r="540">
      <c r="A540" s="492"/>
      <c r="B540" s="254"/>
      <c r="C540" s="492"/>
      <c r="D540" s="181"/>
      <c r="E540" s="492"/>
      <c r="F540" s="254"/>
      <c r="G540" s="492"/>
      <c r="H540" s="254"/>
      <c r="I540" s="500"/>
      <c r="J540" s="181"/>
      <c r="K540" s="500"/>
      <c r="L540" s="181"/>
      <c r="M540" s="253"/>
      <c r="N540" s="254"/>
      <c r="O540" s="500"/>
      <c r="P540" s="181"/>
      <c r="Q540" s="492"/>
      <c r="R540" s="254"/>
      <c r="S540" s="501"/>
      <c r="T540" s="101"/>
      <c r="U540" s="253"/>
      <c r="V540" s="254"/>
      <c r="W540" s="254"/>
      <c r="X540" s="254"/>
      <c r="Y540" s="254"/>
      <c r="Z540" s="254"/>
    </row>
    <row r="541">
      <c r="A541" s="492"/>
      <c r="B541" s="254"/>
      <c r="C541" s="492"/>
      <c r="D541" s="181"/>
      <c r="E541" s="492"/>
      <c r="F541" s="254"/>
      <c r="G541" s="492"/>
      <c r="H541" s="254"/>
      <c r="I541" s="500"/>
      <c r="J541" s="181"/>
      <c r="K541" s="500"/>
      <c r="L541" s="181"/>
      <c r="M541" s="253"/>
      <c r="N541" s="254"/>
      <c r="O541" s="500"/>
      <c r="P541" s="181"/>
      <c r="Q541" s="492"/>
      <c r="R541" s="254"/>
      <c r="S541" s="501"/>
      <c r="T541" s="101"/>
      <c r="U541" s="253"/>
      <c r="V541" s="254"/>
      <c r="W541" s="254"/>
      <c r="X541" s="254"/>
      <c r="Y541" s="254"/>
      <c r="Z541" s="254"/>
    </row>
    <row r="542">
      <c r="A542" s="492"/>
      <c r="B542" s="254"/>
      <c r="C542" s="492"/>
      <c r="D542" s="181"/>
      <c r="E542" s="492"/>
      <c r="F542" s="254"/>
      <c r="G542" s="492"/>
      <c r="H542" s="254"/>
      <c r="I542" s="500"/>
      <c r="J542" s="181"/>
      <c r="K542" s="500"/>
      <c r="L542" s="181"/>
      <c r="M542" s="253"/>
      <c r="N542" s="254"/>
      <c r="O542" s="500"/>
      <c r="P542" s="181"/>
      <c r="Q542" s="492"/>
      <c r="R542" s="254"/>
      <c r="S542" s="501"/>
      <c r="T542" s="101"/>
      <c r="U542" s="253"/>
      <c r="V542" s="254"/>
      <c r="W542" s="254"/>
      <c r="X542" s="254"/>
      <c r="Y542" s="254"/>
      <c r="Z542" s="254"/>
    </row>
    <row r="543">
      <c r="A543" s="492"/>
      <c r="B543" s="254"/>
      <c r="C543" s="492"/>
      <c r="D543" s="181"/>
      <c r="E543" s="492"/>
      <c r="F543" s="254"/>
      <c r="G543" s="492"/>
      <c r="H543" s="254"/>
      <c r="I543" s="500"/>
      <c r="J543" s="181"/>
      <c r="K543" s="500"/>
      <c r="L543" s="181"/>
      <c r="M543" s="253"/>
      <c r="N543" s="254"/>
      <c r="O543" s="500"/>
      <c r="P543" s="181"/>
      <c r="Q543" s="492"/>
      <c r="R543" s="254"/>
      <c r="S543" s="501"/>
      <c r="T543" s="101"/>
      <c r="U543" s="253"/>
      <c r="V543" s="254"/>
      <c r="W543" s="254"/>
      <c r="X543" s="254"/>
      <c r="Y543" s="254"/>
      <c r="Z543" s="254"/>
    </row>
    <row r="544">
      <c r="A544" s="492"/>
      <c r="B544" s="254"/>
      <c r="C544" s="492"/>
      <c r="D544" s="181"/>
      <c r="E544" s="492"/>
      <c r="F544" s="254"/>
      <c r="G544" s="492"/>
      <c r="H544" s="254"/>
      <c r="I544" s="500"/>
      <c r="J544" s="181"/>
      <c r="K544" s="500"/>
      <c r="L544" s="181"/>
      <c r="M544" s="253"/>
      <c r="N544" s="254"/>
      <c r="O544" s="500"/>
      <c r="P544" s="181"/>
      <c r="Q544" s="492"/>
      <c r="R544" s="254"/>
      <c r="S544" s="501"/>
      <c r="T544" s="101"/>
      <c r="U544" s="253"/>
      <c r="V544" s="254"/>
      <c r="W544" s="254"/>
      <c r="X544" s="254"/>
      <c r="Y544" s="254"/>
      <c r="Z544" s="254"/>
    </row>
    <row r="545">
      <c r="A545" s="492"/>
      <c r="B545" s="254"/>
      <c r="C545" s="492"/>
      <c r="D545" s="181"/>
      <c r="E545" s="492"/>
      <c r="F545" s="254"/>
      <c r="G545" s="492"/>
      <c r="H545" s="254"/>
      <c r="I545" s="500"/>
      <c r="J545" s="181"/>
      <c r="K545" s="500"/>
      <c r="L545" s="181"/>
      <c r="M545" s="253"/>
      <c r="N545" s="254"/>
      <c r="O545" s="500"/>
      <c r="P545" s="181"/>
      <c r="Q545" s="492"/>
      <c r="R545" s="254"/>
      <c r="S545" s="501"/>
      <c r="T545" s="101"/>
      <c r="U545" s="253"/>
      <c r="V545" s="254"/>
      <c r="W545" s="254"/>
      <c r="X545" s="254"/>
      <c r="Y545" s="254"/>
      <c r="Z545" s="254"/>
    </row>
    <row r="546">
      <c r="A546" s="492"/>
      <c r="B546" s="254"/>
      <c r="C546" s="492"/>
      <c r="D546" s="181"/>
      <c r="E546" s="492"/>
      <c r="F546" s="254"/>
      <c r="G546" s="492"/>
      <c r="H546" s="254"/>
      <c r="I546" s="500"/>
      <c r="J546" s="181"/>
      <c r="K546" s="500"/>
      <c r="L546" s="181"/>
      <c r="M546" s="253"/>
      <c r="N546" s="254"/>
      <c r="O546" s="500"/>
      <c r="P546" s="181"/>
      <c r="Q546" s="492"/>
      <c r="R546" s="254"/>
      <c r="S546" s="501"/>
      <c r="T546" s="101"/>
      <c r="U546" s="253"/>
      <c r="V546" s="254"/>
      <c r="W546" s="254"/>
      <c r="X546" s="254"/>
      <c r="Y546" s="254"/>
      <c r="Z546" s="254"/>
    </row>
    <row r="547">
      <c r="A547" s="492"/>
      <c r="B547" s="254"/>
      <c r="C547" s="492"/>
      <c r="D547" s="181"/>
      <c r="E547" s="492"/>
      <c r="F547" s="254"/>
      <c r="G547" s="492"/>
      <c r="H547" s="254"/>
      <c r="I547" s="500"/>
      <c r="J547" s="181"/>
      <c r="K547" s="500"/>
      <c r="L547" s="181"/>
      <c r="M547" s="253"/>
      <c r="N547" s="254"/>
      <c r="O547" s="500"/>
      <c r="P547" s="181"/>
      <c r="Q547" s="492"/>
      <c r="R547" s="254"/>
      <c r="S547" s="501"/>
      <c r="T547" s="101"/>
      <c r="U547" s="253"/>
      <c r="V547" s="254"/>
      <c r="W547" s="254"/>
      <c r="X547" s="254"/>
      <c r="Y547" s="254"/>
      <c r="Z547" s="254"/>
    </row>
    <row r="548">
      <c r="A548" s="492"/>
      <c r="B548" s="254"/>
      <c r="C548" s="492"/>
      <c r="D548" s="181"/>
      <c r="E548" s="492"/>
      <c r="F548" s="254"/>
      <c r="G548" s="492"/>
      <c r="H548" s="254"/>
      <c r="I548" s="500"/>
      <c r="J548" s="181"/>
      <c r="K548" s="500"/>
      <c r="L548" s="181"/>
      <c r="M548" s="253"/>
      <c r="N548" s="254"/>
      <c r="O548" s="500"/>
      <c r="P548" s="181"/>
      <c r="Q548" s="492"/>
      <c r="R548" s="254"/>
      <c r="S548" s="501"/>
      <c r="T548" s="101"/>
      <c r="U548" s="253"/>
      <c r="V548" s="254"/>
      <c r="W548" s="254"/>
      <c r="X548" s="254"/>
      <c r="Y548" s="254"/>
      <c r="Z548" s="254"/>
    </row>
    <row r="549">
      <c r="A549" s="492"/>
      <c r="B549" s="254"/>
      <c r="C549" s="492"/>
      <c r="D549" s="181"/>
      <c r="E549" s="492"/>
      <c r="F549" s="254"/>
      <c r="G549" s="492"/>
      <c r="H549" s="254"/>
      <c r="I549" s="500"/>
      <c r="J549" s="181"/>
      <c r="K549" s="500"/>
      <c r="L549" s="181"/>
      <c r="M549" s="253"/>
      <c r="N549" s="254"/>
      <c r="O549" s="500"/>
      <c r="P549" s="181"/>
      <c r="Q549" s="492"/>
      <c r="R549" s="254"/>
      <c r="S549" s="501"/>
      <c r="T549" s="101"/>
      <c r="U549" s="253"/>
      <c r="V549" s="254"/>
      <c r="W549" s="254"/>
      <c r="X549" s="254"/>
      <c r="Y549" s="254"/>
      <c r="Z549" s="254"/>
    </row>
    <row r="550">
      <c r="A550" s="492"/>
      <c r="B550" s="254"/>
      <c r="C550" s="492"/>
      <c r="D550" s="181"/>
      <c r="E550" s="492"/>
      <c r="F550" s="254"/>
      <c r="G550" s="492"/>
      <c r="H550" s="254"/>
      <c r="I550" s="500"/>
      <c r="J550" s="181"/>
      <c r="K550" s="500"/>
      <c r="L550" s="181"/>
      <c r="M550" s="253"/>
      <c r="N550" s="254"/>
      <c r="O550" s="500"/>
      <c r="P550" s="181"/>
      <c r="Q550" s="492"/>
      <c r="R550" s="254"/>
      <c r="S550" s="501"/>
      <c r="T550" s="101"/>
      <c r="U550" s="253"/>
      <c r="V550" s="254"/>
      <c r="W550" s="254"/>
      <c r="X550" s="254"/>
      <c r="Y550" s="254"/>
      <c r="Z550" s="254"/>
    </row>
    <row r="551">
      <c r="A551" s="492"/>
      <c r="B551" s="254"/>
      <c r="C551" s="492"/>
      <c r="D551" s="181"/>
      <c r="E551" s="492"/>
      <c r="F551" s="254"/>
      <c r="G551" s="492"/>
      <c r="H551" s="254"/>
      <c r="I551" s="500"/>
      <c r="J551" s="181"/>
      <c r="K551" s="500"/>
      <c r="L551" s="181"/>
      <c r="M551" s="253"/>
      <c r="N551" s="254"/>
      <c r="O551" s="500"/>
      <c r="P551" s="181"/>
      <c r="Q551" s="492"/>
      <c r="R551" s="254"/>
      <c r="S551" s="501"/>
      <c r="T551" s="101"/>
      <c r="U551" s="253"/>
      <c r="V551" s="254"/>
      <c r="W551" s="254"/>
      <c r="X551" s="254"/>
      <c r="Y551" s="254"/>
      <c r="Z551" s="254"/>
    </row>
    <row r="552">
      <c r="A552" s="492"/>
      <c r="B552" s="254"/>
      <c r="C552" s="492"/>
      <c r="D552" s="181"/>
      <c r="E552" s="492"/>
      <c r="F552" s="254"/>
      <c r="G552" s="492"/>
      <c r="H552" s="254"/>
      <c r="I552" s="500"/>
      <c r="J552" s="181"/>
      <c r="K552" s="500"/>
      <c r="L552" s="181"/>
      <c r="M552" s="253"/>
      <c r="N552" s="254"/>
      <c r="O552" s="500"/>
      <c r="P552" s="181"/>
      <c r="Q552" s="492"/>
      <c r="R552" s="254"/>
      <c r="S552" s="501"/>
      <c r="T552" s="101"/>
      <c r="U552" s="253"/>
      <c r="V552" s="254"/>
      <c r="W552" s="254"/>
      <c r="X552" s="254"/>
      <c r="Y552" s="254"/>
      <c r="Z552" s="254"/>
    </row>
    <row r="553">
      <c r="A553" s="492"/>
      <c r="B553" s="254"/>
      <c r="C553" s="492"/>
      <c r="D553" s="181"/>
      <c r="E553" s="492"/>
      <c r="F553" s="254"/>
      <c r="G553" s="492"/>
      <c r="H553" s="254"/>
      <c r="I553" s="500"/>
      <c r="J553" s="181"/>
      <c r="K553" s="500"/>
      <c r="L553" s="181"/>
      <c r="M553" s="253"/>
      <c r="N553" s="254"/>
      <c r="O553" s="500"/>
      <c r="P553" s="181"/>
      <c r="Q553" s="492"/>
      <c r="R553" s="254"/>
      <c r="S553" s="501"/>
      <c r="T553" s="101"/>
      <c r="U553" s="253"/>
      <c r="V553" s="254"/>
      <c r="W553" s="254"/>
      <c r="X553" s="254"/>
      <c r="Y553" s="254"/>
      <c r="Z553" s="254"/>
    </row>
    <row r="554">
      <c r="A554" s="492"/>
      <c r="B554" s="254"/>
      <c r="C554" s="492"/>
      <c r="D554" s="181"/>
      <c r="E554" s="492"/>
      <c r="F554" s="254"/>
      <c r="G554" s="492"/>
      <c r="H554" s="254"/>
      <c r="I554" s="500"/>
      <c r="J554" s="181"/>
      <c r="K554" s="500"/>
      <c r="L554" s="181"/>
      <c r="M554" s="253"/>
      <c r="N554" s="254"/>
      <c r="O554" s="500"/>
      <c r="P554" s="181"/>
      <c r="Q554" s="492"/>
      <c r="R554" s="254"/>
      <c r="S554" s="501"/>
      <c r="T554" s="101"/>
      <c r="U554" s="253"/>
      <c r="V554" s="254"/>
      <c r="W554" s="254"/>
      <c r="X554" s="254"/>
      <c r="Y554" s="254"/>
      <c r="Z554" s="254"/>
    </row>
    <row r="555">
      <c r="A555" s="492"/>
      <c r="B555" s="254"/>
      <c r="C555" s="492"/>
      <c r="D555" s="181"/>
      <c r="E555" s="492"/>
      <c r="F555" s="254"/>
      <c r="G555" s="492"/>
      <c r="H555" s="254"/>
      <c r="I555" s="500"/>
      <c r="J555" s="181"/>
      <c r="K555" s="500"/>
      <c r="L555" s="181"/>
      <c r="M555" s="253"/>
      <c r="N555" s="254"/>
      <c r="O555" s="500"/>
      <c r="P555" s="181"/>
      <c r="Q555" s="492"/>
      <c r="R555" s="254"/>
      <c r="S555" s="501"/>
      <c r="T555" s="101"/>
      <c r="U555" s="253"/>
      <c r="V555" s="254"/>
      <c r="W555" s="254"/>
      <c r="X555" s="254"/>
      <c r="Y555" s="254"/>
      <c r="Z555" s="254"/>
    </row>
    <row r="556">
      <c r="A556" s="492"/>
      <c r="B556" s="254"/>
      <c r="C556" s="492"/>
      <c r="D556" s="181"/>
      <c r="E556" s="492"/>
      <c r="F556" s="254"/>
      <c r="G556" s="492"/>
      <c r="H556" s="254"/>
      <c r="I556" s="500"/>
      <c r="J556" s="181"/>
      <c r="K556" s="500"/>
      <c r="L556" s="181"/>
      <c r="M556" s="253"/>
      <c r="N556" s="254"/>
      <c r="O556" s="500"/>
      <c r="P556" s="181"/>
      <c r="Q556" s="492"/>
      <c r="R556" s="254"/>
      <c r="S556" s="501"/>
      <c r="T556" s="101"/>
      <c r="U556" s="253"/>
      <c r="V556" s="254"/>
      <c r="W556" s="254"/>
      <c r="X556" s="254"/>
      <c r="Y556" s="254"/>
      <c r="Z556" s="254"/>
    </row>
    <row r="557">
      <c r="A557" s="492"/>
      <c r="B557" s="254"/>
      <c r="C557" s="492"/>
      <c r="D557" s="181"/>
      <c r="E557" s="492"/>
      <c r="F557" s="254"/>
      <c r="G557" s="492"/>
      <c r="H557" s="254"/>
      <c r="I557" s="500"/>
      <c r="J557" s="181"/>
      <c r="K557" s="500"/>
      <c r="L557" s="181"/>
      <c r="M557" s="253"/>
      <c r="N557" s="254"/>
      <c r="O557" s="500"/>
      <c r="P557" s="181"/>
      <c r="Q557" s="492"/>
      <c r="R557" s="254"/>
      <c r="S557" s="501"/>
      <c r="T557" s="101"/>
      <c r="U557" s="253"/>
      <c r="V557" s="254"/>
      <c r="W557" s="254"/>
      <c r="X557" s="254"/>
      <c r="Y557" s="254"/>
      <c r="Z557" s="254"/>
    </row>
    <row r="558">
      <c r="A558" s="492"/>
      <c r="B558" s="254"/>
      <c r="C558" s="492"/>
      <c r="D558" s="181"/>
      <c r="E558" s="492"/>
      <c r="F558" s="254"/>
      <c r="G558" s="492"/>
      <c r="H558" s="254"/>
      <c r="I558" s="500"/>
      <c r="J558" s="181"/>
      <c r="K558" s="500"/>
      <c r="L558" s="181"/>
      <c r="M558" s="253"/>
      <c r="N558" s="254"/>
      <c r="O558" s="500"/>
      <c r="P558" s="181"/>
      <c r="Q558" s="492"/>
      <c r="R558" s="254"/>
      <c r="S558" s="501"/>
      <c r="T558" s="101"/>
      <c r="U558" s="253"/>
      <c r="V558" s="254"/>
      <c r="W558" s="254"/>
      <c r="X558" s="254"/>
      <c r="Y558" s="254"/>
      <c r="Z558" s="254"/>
    </row>
    <row r="559">
      <c r="A559" s="492"/>
      <c r="B559" s="254"/>
      <c r="C559" s="492"/>
      <c r="D559" s="181"/>
      <c r="E559" s="492"/>
      <c r="F559" s="254"/>
      <c r="G559" s="492"/>
      <c r="H559" s="254"/>
      <c r="I559" s="500"/>
      <c r="J559" s="181"/>
      <c r="K559" s="500"/>
      <c r="L559" s="181"/>
      <c r="M559" s="253"/>
      <c r="N559" s="254"/>
      <c r="O559" s="500"/>
      <c r="P559" s="181"/>
      <c r="Q559" s="492"/>
      <c r="R559" s="254"/>
      <c r="S559" s="501"/>
      <c r="T559" s="101"/>
      <c r="U559" s="253"/>
      <c r="V559" s="254"/>
      <c r="W559" s="254"/>
      <c r="X559" s="254"/>
      <c r="Y559" s="254"/>
      <c r="Z559" s="254"/>
    </row>
    <row r="560">
      <c r="A560" s="492"/>
      <c r="B560" s="254"/>
      <c r="C560" s="492"/>
      <c r="D560" s="181"/>
      <c r="E560" s="492"/>
      <c r="F560" s="254"/>
      <c r="G560" s="492"/>
      <c r="H560" s="254"/>
      <c r="I560" s="500"/>
      <c r="J560" s="181"/>
      <c r="K560" s="500"/>
      <c r="L560" s="181"/>
      <c r="M560" s="253"/>
      <c r="N560" s="254"/>
      <c r="O560" s="500"/>
      <c r="P560" s="181"/>
      <c r="Q560" s="492"/>
      <c r="R560" s="254"/>
      <c r="S560" s="501"/>
      <c r="T560" s="101"/>
      <c r="U560" s="253"/>
      <c r="V560" s="254"/>
      <c r="W560" s="254"/>
      <c r="X560" s="254"/>
      <c r="Y560" s="254"/>
      <c r="Z560" s="254"/>
    </row>
    <row r="561">
      <c r="A561" s="492"/>
      <c r="B561" s="254"/>
      <c r="C561" s="492"/>
      <c r="D561" s="181"/>
      <c r="E561" s="492"/>
      <c r="F561" s="254"/>
      <c r="G561" s="492"/>
      <c r="H561" s="254"/>
      <c r="I561" s="500"/>
      <c r="J561" s="181"/>
      <c r="K561" s="500"/>
      <c r="L561" s="181"/>
      <c r="M561" s="253"/>
      <c r="N561" s="254"/>
      <c r="O561" s="500"/>
      <c r="P561" s="181"/>
      <c r="Q561" s="492"/>
      <c r="R561" s="254"/>
      <c r="S561" s="501"/>
      <c r="T561" s="101"/>
      <c r="U561" s="253"/>
      <c r="V561" s="254"/>
      <c r="W561" s="254"/>
      <c r="X561" s="254"/>
      <c r="Y561" s="254"/>
      <c r="Z561" s="254"/>
    </row>
    <row r="562">
      <c r="A562" s="492"/>
      <c r="B562" s="254"/>
      <c r="C562" s="492"/>
      <c r="D562" s="181"/>
      <c r="E562" s="492"/>
      <c r="F562" s="254"/>
      <c r="G562" s="492"/>
      <c r="H562" s="254"/>
      <c r="I562" s="500"/>
      <c r="J562" s="181"/>
      <c r="K562" s="500"/>
      <c r="L562" s="181"/>
      <c r="M562" s="253"/>
      <c r="N562" s="254"/>
      <c r="O562" s="500"/>
      <c r="P562" s="181"/>
      <c r="Q562" s="492"/>
      <c r="R562" s="254"/>
      <c r="S562" s="501"/>
      <c r="T562" s="101"/>
      <c r="U562" s="253"/>
      <c r="V562" s="254"/>
      <c r="W562" s="254"/>
      <c r="X562" s="254"/>
      <c r="Y562" s="254"/>
      <c r="Z562" s="254"/>
    </row>
    <row r="563">
      <c r="A563" s="492"/>
      <c r="B563" s="254"/>
      <c r="C563" s="492"/>
      <c r="D563" s="181"/>
      <c r="E563" s="492"/>
      <c r="F563" s="254"/>
      <c r="G563" s="492"/>
      <c r="H563" s="254"/>
      <c r="I563" s="500"/>
      <c r="J563" s="181"/>
      <c r="K563" s="500"/>
      <c r="L563" s="181"/>
      <c r="M563" s="253"/>
      <c r="N563" s="254"/>
      <c r="O563" s="500"/>
      <c r="P563" s="181"/>
      <c r="Q563" s="492"/>
      <c r="R563" s="254"/>
      <c r="S563" s="501"/>
      <c r="T563" s="101"/>
      <c r="U563" s="253"/>
      <c r="V563" s="254"/>
      <c r="W563" s="254"/>
      <c r="X563" s="254"/>
      <c r="Y563" s="254"/>
      <c r="Z563" s="254"/>
    </row>
    <row r="564">
      <c r="A564" s="492"/>
      <c r="B564" s="254"/>
      <c r="C564" s="492"/>
      <c r="D564" s="181"/>
      <c r="E564" s="492"/>
      <c r="F564" s="254"/>
      <c r="G564" s="492"/>
      <c r="H564" s="254"/>
      <c r="I564" s="500"/>
      <c r="J564" s="181"/>
      <c r="K564" s="500"/>
      <c r="L564" s="181"/>
      <c r="M564" s="253"/>
      <c r="N564" s="254"/>
      <c r="O564" s="500"/>
      <c r="P564" s="181"/>
      <c r="Q564" s="492"/>
      <c r="R564" s="254"/>
      <c r="S564" s="501"/>
      <c r="T564" s="101"/>
      <c r="U564" s="253"/>
      <c r="V564" s="254"/>
      <c r="W564" s="254"/>
      <c r="X564" s="254"/>
      <c r="Y564" s="254"/>
      <c r="Z564" s="254"/>
    </row>
    <row r="565">
      <c r="A565" s="492"/>
      <c r="B565" s="254"/>
      <c r="C565" s="492"/>
      <c r="D565" s="181"/>
      <c r="E565" s="492"/>
      <c r="F565" s="254"/>
      <c r="G565" s="492"/>
      <c r="H565" s="254"/>
      <c r="I565" s="500"/>
      <c r="J565" s="181"/>
      <c r="K565" s="500"/>
      <c r="L565" s="181"/>
      <c r="M565" s="253"/>
      <c r="N565" s="254"/>
      <c r="O565" s="500"/>
      <c r="P565" s="181"/>
      <c r="Q565" s="492"/>
      <c r="R565" s="254"/>
      <c r="S565" s="501"/>
      <c r="T565" s="101"/>
      <c r="U565" s="253"/>
      <c r="V565" s="254"/>
      <c r="W565" s="254"/>
      <c r="X565" s="254"/>
      <c r="Y565" s="254"/>
      <c r="Z565" s="254"/>
    </row>
    <row r="566">
      <c r="A566" s="492"/>
      <c r="B566" s="254"/>
      <c r="C566" s="492"/>
      <c r="D566" s="181"/>
      <c r="E566" s="492"/>
      <c r="F566" s="254"/>
      <c r="G566" s="492"/>
      <c r="H566" s="254"/>
      <c r="I566" s="500"/>
      <c r="J566" s="181"/>
      <c r="K566" s="500"/>
      <c r="L566" s="181"/>
      <c r="M566" s="253"/>
      <c r="N566" s="254"/>
      <c r="O566" s="500"/>
      <c r="P566" s="181"/>
      <c r="Q566" s="492"/>
      <c r="R566" s="254"/>
      <c r="S566" s="501"/>
      <c r="T566" s="101"/>
      <c r="U566" s="253"/>
      <c r="V566" s="254"/>
      <c r="W566" s="254"/>
      <c r="X566" s="254"/>
      <c r="Y566" s="254"/>
      <c r="Z566" s="254"/>
    </row>
    <row r="567">
      <c r="A567" s="492"/>
      <c r="B567" s="254"/>
      <c r="C567" s="492"/>
      <c r="D567" s="181"/>
      <c r="E567" s="492"/>
      <c r="F567" s="254"/>
      <c r="G567" s="492"/>
      <c r="H567" s="254"/>
      <c r="I567" s="500"/>
      <c r="J567" s="181"/>
      <c r="K567" s="500"/>
      <c r="L567" s="181"/>
      <c r="M567" s="253"/>
      <c r="N567" s="254"/>
      <c r="O567" s="500"/>
      <c r="P567" s="181"/>
      <c r="Q567" s="492"/>
      <c r="R567" s="254"/>
      <c r="S567" s="501"/>
      <c r="T567" s="101"/>
      <c r="U567" s="253"/>
      <c r="V567" s="254"/>
      <c r="W567" s="254"/>
      <c r="X567" s="254"/>
      <c r="Y567" s="254"/>
      <c r="Z567" s="254"/>
    </row>
    <row r="568">
      <c r="A568" s="492"/>
      <c r="B568" s="254"/>
      <c r="C568" s="492"/>
      <c r="D568" s="181"/>
      <c r="E568" s="492"/>
      <c r="F568" s="254"/>
      <c r="G568" s="492"/>
      <c r="H568" s="254"/>
      <c r="I568" s="500"/>
      <c r="J568" s="181"/>
      <c r="K568" s="500"/>
      <c r="L568" s="181"/>
      <c r="M568" s="253"/>
      <c r="N568" s="254"/>
      <c r="O568" s="500"/>
      <c r="P568" s="181"/>
      <c r="Q568" s="492"/>
      <c r="R568" s="254"/>
      <c r="S568" s="501"/>
      <c r="T568" s="101"/>
      <c r="U568" s="253"/>
      <c r="V568" s="254"/>
      <c r="W568" s="254"/>
      <c r="X568" s="254"/>
      <c r="Y568" s="254"/>
      <c r="Z568" s="254"/>
    </row>
    <row r="569">
      <c r="A569" s="492"/>
      <c r="B569" s="254"/>
      <c r="C569" s="492"/>
      <c r="D569" s="181"/>
      <c r="E569" s="492"/>
      <c r="F569" s="254"/>
      <c r="G569" s="492"/>
      <c r="H569" s="254"/>
      <c r="I569" s="500"/>
      <c r="J569" s="181"/>
      <c r="K569" s="500"/>
      <c r="L569" s="181"/>
      <c r="M569" s="253"/>
      <c r="N569" s="254"/>
      <c r="O569" s="500"/>
      <c r="P569" s="181"/>
      <c r="Q569" s="492"/>
      <c r="R569" s="254"/>
      <c r="S569" s="501"/>
      <c r="T569" s="101"/>
      <c r="U569" s="253"/>
      <c r="V569" s="254"/>
      <c r="W569" s="254"/>
      <c r="X569" s="254"/>
      <c r="Y569" s="254"/>
      <c r="Z569" s="254"/>
    </row>
    <row r="570">
      <c r="A570" s="492"/>
      <c r="B570" s="254"/>
      <c r="C570" s="492"/>
      <c r="D570" s="181"/>
      <c r="E570" s="492"/>
      <c r="F570" s="254"/>
      <c r="G570" s="492"/>
      <c r="H570" s="254"/>
      <c r="I570" s="500"/>
      <c r="J570" s="181"/>
      <c r="K570" s="500"/>
      <c r="L570" s="181"/>
      <c r="M570" s="253"/>
      <c r="N570" s="254"/>
      <c r="O570" s="500"/>
      <c r="P570" s="181"/>
      <c r="Q570" s="492"/>
      <c r="R570" s="254"/>
      <c r="S570" s="501"/>
      <c r="T570" s="101"/>
      <c r="U570" s="253"/>
      <c r="V570" s="254"/>
      <c r="W570" s="254"/>
      <c r="X570" s="254"/>
      <c r="Y570" s="254"/>
      <c r="Z570" s="254"/>
    </row>
    <row r="571">
      <c r="A571" s="492"/>
      <c r="B571" s="254"/>
      <c r="C571" s="492"/>
      <c r="D571" s="181"/>
      <c r="E571" s="492"/>
      <c r="F571" s="254"/>
      <c r="G571" s="492"/>
      <c r="H571" s="254"/>
      <c r="I571" s="500"/>
      <c r="J571" s="181"/>
      <c r="K571" s="500"/>
      <c r="L571" s="181"/>
      <c r="M571" s="253"/>
      <c r="N571" s="254"/>
      <c r="O571" s="500"/>
      <c r="P571" s="181"/>
      <c r="Q571" s="492"/>
      <c r="R571" s="254"/>
      <c r="S571" s="501"/>
      <c r="T571" s="101"/>
      <c r="U571" s="253"/>
      <c r="V571" s="254"/>
      <c r="W571" s="254"/>
      <c r="X571" s="254"/>
      <c r="Y571" s="254"/>
      <c r="Z571" s="254"/>
    </row>
    <row r="572">
      <c r="A572" s="492"/>
      <c r="B572" s="254"/>
      <c r="C572" s="492"/>
      <c r="D572" s="181"/>
      <c r="E572" s="492"/>
      <c r="F572" s="254"/>
      <c r="G572" s="492"/>
      <c r="H572" s="254"/>
      <c r="I572" s="500"/>
      <c r="J572" s="181"/>
      <c r="K572" s="500"/>
      <c r="L572" s="181"/>
      <c r="M572" s="253"/>
      <c r="N572" s="254"/>
      <c r="O572" s="500"/>
      <c r="P572" s="181"/>
      <c r="Q572" s="492"/>
      <c r="R572" s="254"/>
      <c r="S572" s="501"/>
      <c r="T572" s="101"/>
      <c r="U572" s="253"/>
      <c r="V572" s="254"/>
      <c r="W572" s="254"/>
      <c r="X572" s="254"/>
      <c r="Y572" s="254"/>
      <c r="Z572" s="254"/>
    </row>
    <row r="573">
      <c r="A573" s="492"/>
      <c r="B573" s="254"/>
      <c r="C573" s="492"/>
      <c r="D573" s="181"/>
      <c r="E573" s="492"/>
      <c r="F573" s="254"/>
      <c r="G573" s="492"/>
      <c r="H573" s="254"/>
      <c r="I573" s="500"/>
      <c r="J573" s="181"/>
      <c r="K573" s="500"/>
      <c r="L573" s="181"/>
      <c r="M573" s="253"/>
      <c r="N573" s="254"/>
      <c r="O573" s="500"/>
      <c r="P573" s="181"/>
      <c r="Q573" s="492"/>
      <c r="R573" s="254"/>
      <c r="S573" s="501"/>
      <c r="T573" s="101"/>
      <c r="U573" s="253"/>
      <c r="V573" s="254"/>
      <c r="W573" s="254"/>
      <c r="X573" s="254"/>
      <c r="Y573" s="254"/>
      <c r="Z573" s="254"/>
    </row>
    <row r="574">
      <c r="A574" s="492"/>
      <c r="B574" s="254"/>
      <c r="C574" s="492"/>
      <c r="D574" s="181"/>
      <c r="E574" s="492"/>
      <c r="F574" s="254"/>
      <c r="G574" s="492"/>
      <c r="H574" s="254"/>
      <c r="I574" s="500"/>
      <c r="J574" s="181"/>
      <c r="K574" s="500"/>
      <c r="L574" s="181"/>
      <c r="M574" s="253"/>
      <c r="N574" s="254"/>
      <c r="O574" s="500"/>
      <c r="P574" s="181"/>
      <c r="Q574" s="492"/>
      <c r="R574" s="254"/>
      <c r="S574" s="501"/>
      <c r="T574" s="101"/>
      <c r="U574" s="253"/>
      <c r="V574" s="254"/>
      <c r="W574" s="254"/>
      <c r="X574" s="254"/>
      <c r="Y574" s="254"/>
      <c r="Z574" s="254"/>
    </row>
    <row r="575">
      <c r="A575" s="492"/>
      <c r="B575" s="254"/>
      <c r="C575" s="492"/>
      <c r="D575" s="181"/>
      <c r="E575" s="492"/>
      <c r="F575" s="254"/>
      <c r="G575" s="492"/>
      <c r="H575" s="254"/>
      <c r="I575" s="500"/>
      <c r="J575" s="181"/>
      <c r="K575" s="500"/>
      <c r="L575" s="181"/>
      <c r="M575" s="253"/>
      <c r="N575" s="254"/>
      <c r="O575" s="500"/>
      <c r="P575" s="181"/>
      <c r="Q575" s="492"/>
      <c r="R575" s="254"/>
      <c r="S575" s="501"/>
      <c r="T575" s="101"/>
      <c r="U575" s="253"/>
      <c r="V575" s="254"/>
      <c r="W575" s="254"/>
      <c r="X575" s="254"/>
      <c r="Y575" s="254"/>
      <c r="Z575" s="254"/>
    </row>
    <row r="576">
      <c r="A576" s="492"/>
      <c r="B576" s="254"/>
      <c r="C576" s="492"/>
      <c r="D576" s="181"/>
      <c r="E576" s="492"/>
      <c r="F576" s="254"/>
      <c r="G576" s="492"/>
      <c r="H576" s="254"/>
      <c r="I576" s="500"/>
      <c r="J576" s="181"/>
      <c r="K576" s="500"/>
      <c r="L576" s="181"/>
      <c r="M576" s="253"/>
      <c r="N576" s="254"/>
      <c r="O576" s="500"/>
      <c r="P576" s="181"/>
      <c r="Q576" s="492"/>
      <c r="R576" s="254"/>
      <c r="S576" s="501"/>
      <c r="T576" s="101"/>
      <c r="U576" s="253"/>
      <c r="V576" s="254"/>
      <c r="W576" s="254"/>
      <c r="X576" s="254"/>
      <c r="Y576" s="254"/>
      <c r="Z576" s="254"/>
    </row>
    <row r="577">
      <c r="A577" s="492"/>
      <c r="B577" s="254"/>
      <c r="C577" s="492"/>
      <c r="D577" s="181"/>
      <c r="E577" s="492"/>
      <c r="F577" s="254"/>
      <c r="G577" s="492"/>
      <c r="H577" s="254"/>
      <c r="I577" s="500"/>
      <c r="J577" s="181"/>
      <c r="K577" s="500"/>
      <c r="L577" s="181"/>
      <c r="M577" s="253"/>
      <c r="N577" s="254"/>
      <c r="O577" s="500"/>
      <c r="P577" s="181"/>
      <c r="Q577" s="492"/>
      <c r="R577" s="254"/>
      <c r="S577" s="501"/>
      <c r="T577" s="101"/>
      <c r="U577" s="253"/>
      <c r="V577" s="254"/>
      <c r="W577" s="254"/>
      <c r="X577" s="254"/>
      <c r="Y577" s="254"/>
      <c r="Z577" s="254"/>
    </row>
    <row r="578">
      <c r="A578" s="492"/>
      <c r="B578" s="254"/>
      <c r="C578" s="492"/>
      <c r="D578" s="181"/>
      <c r="E578" s="492"/>
      <c r="F578" s="254"/>
      <c r="G578" s="492"/>
      <c r="H578" s="254"/>
      <c r="I578" s="500"/>
      <c r="J578" s="181"/>
      <c r="K578" s="500"/>
      <c r="L578" s="181"/>
      <c r="M578" s="253"/>
      <c r="N578" s="254"/>
      <c r="O578" s="500"/>
      <c r="P578" s="181"/>
      <c r="Q578" s="492"/>
      <c r="R578" s="254"/>
      <c r="S578" s="501"/>
      <c r="T578" s="101"/>
      <c r="U578" s="253"/>
      <c r="V578" s="254"/>
      <c r="W578" s="254"/>
      <c r="X578" s="254"/>
      <c r="Y578" s="254"/>
      <c r="Z578" s="254"/>
    </row>
    <row r="579">
      <c r="A579" s="492"/>
      <c r="B579" s="254"/>
      <c r="C579" s="492"/>
      <c r="D579" s="181"/>
      <c r="E579" s="492"/>
      <c r="F579" s="254"/>
      <c r="G579" s="492"/>
      <c r="H579" s="254"/>
      <c r="I579" s="500"/>
      <c r="J579" s="181"/>
      <c r="K579" s="500"/>
      <c r="L579" s="181"/>
      <c r="M579" s="253"/>
      <c r="N579" s="254"/>
      <c r="O579" s="500"/>
      <c r="P579" s="181"/>
      <c r="Q579" s="492"/>
      <c r="R579" s="254"/>
      <c r="S579" s="501"/>
      <c r="T579" s="101"/>
      <c r="U579" s="253"/>
      <c r="V579" s="254"/>
      <c r="W579" s="254"/>
      <c r="X579" s="254"/>
      <c r="Y579" s="254"/>
      <c r="Z579" s="254"/>
    </row>
    <row r="580">
      <c r="A580" s="492"/>
      <c r="B580" s="254"/>
      <c r="C580" s="492"/>
      <c r="D580" s="181"/>
      <c r="E580" s="492"/>
      <c r="F580" s="254"/>
      <c r="G580" s="492"/>
      <c r="H580" s="254"/>
      <c r="I580" s="500"/>
      <c r="J580" s="181"/>
      <c r="K580" s="500"/>
      <c r="L580" s="181"/>
      <c r="M580" s="253"/>
      <c r="N580" s="254"/>
      <c r="O580" s="500"/>
      <c r="P580" s="181"/>
      <c r="Q580" s="492"/>
      <c r="R580" s="254"/>
      <c r="S580" s="501"/>
      <c r="T580" s="101"/>
      <c r="U580" s="253"/>
      <c r="V580" s="254"/>
      <c r="W580" s="254"/>
      <c r="X580" s="254"/>
      <c r="Y580" s="254"/>
      <c r="Z580" s="254"/>
    </row>
    <row r="581">
      <c r="A581" s="492"/>
      <c r="B581" s="254"/>
      <c r="C581" s="492"/>
      <c r="D581" s="181"/>
      <c r="E581" s="492"/>
      <c r="F581" s="254"/>
      <c r="G581" s="492"/>
      <c r="H581" s="254"/>
      <c r="I581" s="500"/>
      <c r="J581" s="181"/>
      <c r="K581" s="500"/>
      <c r="L581" s="181"/>
      <c r="M581" s="253"/>
      <c r="N581" s="254"/>
      <c r="O581" s="500"/>
      <c r="P581" s="181"/>
      <c r="Q581" s="492"/>
      <c r="R581" s="254"/>
      <c r="S581" s="501"/>
      <c r="T581" s="101"/>
      <c r="U581" s="253"/>
      <c r="V581" s="254"/>
      <c r="W581" s="254"/>
      <c r="X581" s="254"/>
      <c r="Y581" s="254"/>
      <c r="Z581" s="254"/>
    </row>
    <row r="582">
      <c r="A582" s="492"/>
      <c r="B582" s="254"/>
      <c r="C582" s="492"/>
      <c r="D582" s="181"/>
      <c r="E582" s="492"/>
      <c r="F582" s="254"/>
      <c r="G582" s="492"/>
      <c r="H582" s="254"/>
      <c r="I582" s="500"/>
      <c r="J582" s="181"/>
      <c r="K582" s="500"/>
      <c r="L582" s="181"/>
      <c r="M582" s="253"/>
      <c r="N582" s="254"/>
      <c r="O582" s="500"/>
      <c r="P582" s="181"/>
      <c r="Q582" s="492"/>
      <c r="R582" s="254"/>
      <c r="S582" s="501"/>
      <c r="T582" s="101"/>
      <c r="U582" s="253"/>
      <c r="V582" s="254"/>
      <c r="W582" s="254"/>
      <c r="X582" s="254"/>
      <c r="Y582" s="254"/>
      <c r="Z582" s="254"/>
    </row>
    <row r="583">
      <c r="A583" s="492"/>
      <c r="B583" s="254"/>
      <c r="C583" s="492"/>
      <c r="D583" s="181"/>
      <c r="E583" s="492"/>
      <c r="F583" s="254"/>
      <c r="G583" s="492"/>
      <c r="H583" s="254"/>
      <c r="I583" s="500"/>
      <c r="J583" s="181"/>
      <c r="K583" s="500"/>
      <c r="L583" s="181"/>
      <c r="M583" s="253"/>
      <c r="N583" s="254"/>
      <c r="O583" s="500"/>
      <c r="P583" s="181"/>
      <c r="Q583" s="492"/>
      <c r="R583" s="254"/>
      <c r="S583" s="501"/>
      <c r="T583" s="101"/>
      <c r="U583" s="253"/>
      <c r="V583" s="254"/>
      <c r="W583" s="254"/>
      <c r="X583" s="254"/>
      <c r="Y583" s="254"/>
      <c r="Z583" s="254"/>
    </row>
    <row r="584">
      <c r="A584" s="492"/>
      <c r="B584" s="254"/>
      <c r="C584" s="492"/>
      <c r="D584" s="181"/>
      <c r="E584" s="492"/>
      <c r="F584" s="254"/>
      <c r="G584" s="492"/>
      <c r="H584" s="254"/>
      <c r="I584" s="500"/>
      <c r="J584" s="181"/>
      <c r="K584" s="500"/>
      <c r="L584" s="181"/>
      <c r="M584" s="253"/>
      <c r="N584" s="254"/>
      <c r="O584" s="500"/>
      <c r="P584" s="181"/>
      <c r="Q584" s="492"/>
      <c r="R584" s="254"/>
      <c r="S584" s="501"/>
      <c r="T584" s="101"/>
      <c r="U584" s="253"/>
      <c r="V584" s="254"/>
      <c r="W584" s="254"/>
      <c r="X584" s="254"/>
      <c r="Y584" s="254"/>
      <c r="Z584" s="254"/>
    </row>
    <row r="585">
      <c r="A585" s="492"/>
      <c r="B585" s="254"/>
      <c r="C585" s="492"/>
      <c r="D585" s="181"/>
      <c r="E585" s="492"/>
      <c r="F585" s="254"/>
      <c r="G585" s="492"/>
      <c r="H585" s="254"/>
      <c r="I585" s="500"/>
      <c r="J585" s="181"/>
      <c r="K585" s="500"/>
      <c r="L585" s="181"/>
      <c r="M585" s="253"/>
      <c r="N585" s="254"/>
      <c r="O585" s="500"/>
      <c r="P585" s="181"/>
      <c r="Q585" s="492"/>
      <c r="R585" s="254"/>
      <c r="S585" s="501"/>
      <c r="T585" s="101"/>
      <c r="U585" s="253"/>
      <c r="V585" s="254"/>
      <c r="W585" s="254"/>
      <c r="X585" s="254"/>
      <c r="Y585" s="254"/>
      <c r="Z585" s="254"/>
    </row>
    <row r="586">
      <c r="A586" s="492"/>
      <c r="B586" s="254"/>
      <c r="C586" s="492"/>
      <c r="D586" s="181"/>
      <c r="E586" s="492"/>
      <c r="F586" s="254"/>
      <c r="G586" s="492"/>
      <c r="H586" s="254"/>
      <c r="I586" s="500"/>
      <c r="J586" s="181"/>
      <c r="K586" s="500"/>
      <c r="L586" s="181"/>
      <c r="M586" s="253"/>
      <c r="N586" s="254"/>
      <c r="O586" s="500"/>
      <c r="P586" s="181"/>
      <c r="Q586" s="492"/>
      <c r="R586" s="254"/>
      <c r="S586" s="501"/>
      <c r="T586" s="101"/>
      <c r="U586" s="253"/>
      <c r="V586" s="254"/>
      <c r="W586" s="254"/>
      <c r="X586" s="254"/>
      <c r="Y586" s="254"/>
      <c r="Z586" s="254"/>
    </row>
    <row r="587">
      <c r="A587" s="492"/>
      <c r="B587" s="254"/>
      <c r="C587" s="492"/>
      <c r="D587" s="181"/>
      <c r="E587" s="492"/>
      <c r="F587" s="254"/>
      <c r="G587" s="492"/>
      <c r="H587" s="254"/>
      <c r="I587" s="500"/>
      <c r="J587" s="181"/>
      <c r="K587" s="500"/>
      <c r="L587" s="181"/>
      <c r="M587" s="253"/>
      <c r="N587" s="254"/>
      <c r="O587" s="500"/>
      <c r="P587" s="181"/>
      <c r="Q587" s="492"/>
      <c r="R587" s="254"/>
      <c r="S587" s="501"/>
      <c r="T587" s="101"/>
      <c r="U587" s="253"/>
      <c r="V587" s="254"/>
      <c r="W587" s="254"/>
      <c r="X587" s="254"/>
      <c r="Y587" s="254"/>
      <c r="Z587" s="254"/>
    </row>
    <row r="588">
      <c r="A588" s="492"/>
      <c r="B588" s="254"/>
      <c r="C588" s="492"/>
      <c r="D588" s="181"/>
      <c r="E588" s="492"/>
      <c r="F588" s="254"/>
      <c r="G588" s="492"/>
      <c r="H588" s="254"/>
      <c r="I588" s="500"/>
      <c r="J588" s="181"/>
      <c r="K588" s="500"/>
      <c r="L588" s="181"/>
      <c r="M588" s="253"/>
      <c r="N588" s="254"/>
      <c r="O588" s="500"/>
      <c r="P588" s="181"/>
      <c r="Q588" s="492"/>
      <c r="R588" s="254"/>
      <c r="S588" s="501"/>
      <c r="T588" s="101"/>
      <c r="U588" s="253"/>
      <c r="V588" s="254"/>
      <c r="W588" s="254"/>
      <c r="X588" s="254"/>
      <c r="Y588" s="254"/>
      <c r="Z588" s="254"/>
    </row>
    <row r="589">
      <c r="A589" s="492"/>
      <c r="B589" s="254"/>
      <c r="C589" s="492"/>
      <c r="D589" s="181"/>
      <c r="E589" s="492"/>
      <c r="F589" s="254"/>
      <c r="G589" s="492"/>
      <c r="H589" s="254"/>
      <c r="I589" s="500"/>
      <c r="J589" s="181"/>
      <c r="K589" s="500"/>
      <c r="L589" s="181"/>
      <c r="M589" s="253"/>
      <c r="N589" s="254"/>
      <c r="O589" s="500"/>
      <c r="P589" s="181"/>
      <c r="Q589" s="492"/>
      <c r="R589" s="254"/>
      <c r="S589" s="501"/>
      <c r="T589" s="101"/>
      <c r="U589" s="253"/>
      <c r="V589" s="254"/>
      <c r="W589" s="254"/>
      <c r="X589" s="254"/>
      <c r="Y589" s="254"/>
      <c r="Z589" s="254"/>
    </row>
    <row r="590">
      <c r="A590" s="492"/>
      <c r="B590" s="254"/>
      <c r="C590" s="492"/>
      <c r="D590" s="181"/>
      <c r="E590" s="492"/>
      <c r="F590" s="254"/>
      <c r="G590" s="492"/>
      <c r="H590" s="254"/>
      <c r="I590" s="500"/>
      <c r="J590" s="181"/>
      <c r="K590" s="500"/>
      <c r="L590" s="181"/>
      <c r="M590" s="253"/>
      <c r="N590" s="254"/>
      <c r="O590" s="500"/>
      <c r="P590" s="181"/>
      <c r="Q590" s="492"/>
      <c r="R590" s="254"/>
      <c r="S590" s="501"/>
      <c r="T590" s="101"/>
      <c r="U590" s="253"/>
      <c r="V590" s="254"/>
      <c r="W590" s="254"/>
      <c r="X590" s="254"/>
      <c r="Y590" s="254"/>
      <c r="Z590" s="254"/>
    </row>
    <row r="591">
      <c r="A591" s="492"/>
      <c r="B591" s="254"/>
      <c r="C591" s="492"/>
      <c r="D591" s="181"/>
      <c r="E591" s="492"/>
      <c r="F591" s="254"/>
      <c r="G591" s="492"/>
      <c r="H591" s="254"/>
      <c r="I591" s="500"/>
      <c r="J591" s="181"/>
      <c r="K591" s="500"/>
      <c r="L591" s="181"/>
      <c r="M591" s="253"/>
      <c r="N591" s="254"/>
      <c r="O591" s="500"/>
      <c r="P591" s="181"/>
      <c r="Q591" s="492"/>
      <c r="R591" s="254"/>
      <c r="S591" s="501"/>
      <c r="T591" s="101"/>
      <c r="U591" s="253"/>
      <c r="V591" s="254"/>
      <c r="W591" s="254"/>
      <c r="X591" s="254"/>
      <c r="Y591" s="254"/>
      <c r="Z591" s="254"/>
    </row>
    <row r="592">
      <c r="A592" s="492"/>
      <c r="B592" s="254"/>
      <c r="C592" s="492"/>
      <c r="D592" s="181"/>
      <c r="E592" s="492"/>
      <c r="F592" s="254"/>
      <c r="G592" s="492"/>
      <c r="H592" s="254"/>
      <c r="I592" s="500"/>
      <c r="J592" s="181"/>
      <c r="K592" s="500"/>
      <c r="L592" s="181"/>
      <c r="M592" s="253"/>
      <c r="N592" s="254"/>
      <c r="O592" s="500"/>
      <c r="P592" s="181"/>
      <c r="Q592" s="492"/>
      <c r="R592" s="254"/>
      <c r="S592" s="501"/>
      <c r="T592" s="101"/>
      <c r="U592" s="253"/>
      <c r="V592" s="254"/>
      <c r="W592" s="254"/>
      <c r="X592" s="254"/>
      <c r="Y592" s="254"/>
      <c r="Z592" s="254"/>
    </row>
    <row r="593">
      <c r="A593" s="492"/>
      <c r="B593" s="254"/>
      <c r="C593" s="492"/>
      <c r="D593" s="181"/>
      <c r="E593" s="492"/>
      <c r="F593" s="254"/>
      <c r="G593" s="492"/>
      <c r="H593" s="254"/>
      <c r="I593" s="500"/>
      <c r="J593" s="181"/>
      <c r="K593" s="500"/>
      <c r="L593" s="181"/>
      <c r="M593" s="253"/>
      <c r="N593" s="254"/>
      <c r="O593" s="500"/>
      <c r="P593" s="181"/>
      <c r="Q593" s="492"/>
      <c r="R593" s="254"/>
      <c r="S593" s="501"/>
      <c r="T593" s="101"/>
      <c r="U593" s="253"/>
      <c r="V593" s="254"/>
      <c r="W593" s="254"/>
      <c r="X593" s="254"/>
      <c r="Y593" s="254"/>
      <c r="Z593" s="254"/>
    </row>
    <row r="594">
      <c r="A594" s="492"/>
      <c r="B594" s="254"/>
      <c r="C594" s="492"/>
      <c r="D594" s="181"/>
      <c r="E594" s="492"/>
      <c r="F594" s="254"/>
      <c r="G594" s="492"/>
      <c r="H594" s="254"/>
      <c r="I594" s="500"/>
      <c r="J594" s="181"/>
      <c r="K594" s="500"/>
      <c r="L594" s="181"/>
      <c r="M594" s="253"/>
      <c r="N594" s="254"/>
      <c r="O594" s="500"/>
      <c r="P594" s="181"/>
      <c r="Q594" s="492"/>
      <c r="R594" s="254"/>
      <c r="S594" s="501"/>
      <c r="T594" s="101"/>
      <c r="U594" s="253"/>
      <c r="V594" s="254"/>
      <c r="W594" s="254"/>
      <c r="X594" s="254"/>
      <c r="Y594" s="254"/>
      <c r="Z594" s="254"/>
    </row>
    <row r="595">
      <c r="A595" s="492"/>
      <c r="B595" s="254"/>
      <c r="C595" s="492"/>
      <c r="D595" s="181"/>
      <c r="E595" s="492"/>
      <c r="F595" s="254"/>
      <c r="G595" s="492"/>
      <c r="H595" s="254"/>
      <c r="I595" s="500"/>
      <c r="J595" s="181"/>
      <c r="K595" s="500"/>
      <c r="L595" s="181"/>
      <c r="M595" s="253"/>
      <c r="N595" s="254"/>
      <c r="O595" s="500"/>
      <c r="P595" s="181"/>
      <c r="Q595" s="492"/>
      <c r="R595" s="254"/>
      <c r="S595" s="501"/>
      <c r="T595" s="101"/>
      <c r="U595" s="253"/>
      <c r="V595" s="254"/>
      <c r="W595" s="254"/>
      <c r="X595" s="254"/>
      <c r="Y595" s="254"/>
      <c r="Z595" s="254"/>
    </row>
    <row r="596">
      <c r="A596" s="492"/>
      <c r="B596" s="254"/>
      <c r="C596" s="492"/>
      <c r="D596" s="181"/>
      <c r="E596" s="492"/>
      <c r="F596" s="254"/>
      <c r="G596" s="492"/>
      <c r="H596" s="254"/>
      <c r="I596" s="500"/>
      <c r="J596" s="181"/>
      <c r="K596" s="500"/>
      <c r="L596" s="181"/>
      <c r="M596" s="253"/>
      <c r="N596" s="254"/>
      <c r="O596" s="500"/>
      <c r="P596" s="181"/>
      <c r="Q596" s="492"/>
      <c r="R596" s="254"/>
      <c r="S596" s="501"/>
      <c r="T596" s="101"/>
      <c r="U596" s="253"/>
      <c r="V596" s="254"/>
      <c r="W596" s="254"/>
      <c r="X596" s="254"/>
      <c r="Y596" s="254"/>
      <c r="Z596" s="254"/>
    </row>
    <row r="597">
      <c r="A597" s="492"/>
      <c r="B597" s="254"/>
      <c r="C597" s="492"/>
      <c r="D597" s="181"/>
      <c r="E597" s="492"/>
      <c r="F597" s="254"/>
      <c r="G597" s="492"/>
      <c r="H597" s="254"/>
      <c r="I597" s="500"/>
      <c r="J597" s="181"/>
      <c r="K597" s="500"/>
      <c r="L597" s="181"/>
      <c r="M597" s="253"/>
      <c r="N597" s="254"/>
      <c r="O597" s="500"/>
      <c r="P597" s="181"/>
      <c r="Q597" s="492"/>
      <c r="R597" s="254"/>
      <c r="S597" s="501"/>
      <c r="T597" s="101"/>
      <c r="U597" s="253"/>
      <c r="V597" s="254"/>
      <c r="W597" s="254"/>
      <c r="X597" s="254"/>
      <c r="Y597" s="254"/>
      <c r="Z597" s="254"/>
    </row>
    <row r="598">
      <c r="A598" s="492"/>
      <c r="B598" s="254"/>
      <c r="C598" s="492"/>
      <c r="D598" s="181"/>
      <c r="E598" s="492"/>
      <c r="F598" s="254"/>
      <c r="G598" s="492"/>
      <c r="H598" s="254"/>
      <c r="I598" s="500"/>
      <c r="J598" s="181"/>
      <c r="K598" s="500"/>
      <c r="L598" s="181"/>
      <c r="M598" s="253"/>
      <c r="N598" s="254"/>
      <c r="O598" s="500"/>
      <c r="P598" s="181"/>
      <c r="Q598" s="492"/>
      <c r="R598" s="254"/>
      <c r="S598" s="501"/>
      <c r="T598" s="101"/>
      <c r="U598" s="253"/>
      <c r="V598" s="254"/>
      <c r="W598" s="254"/>
      <c r="X598" s="254"/>
      <c r="Y598" s="254"/>
      <c r="Z598" s="254"/>
    </row>
    <row r="599">
      <c r="A599" s="492"/>
      <c r="B599" s="254"/>
      <c r="C599" s="492"/>
      <c r="D599" s="181"/>
      <c r="E599" s="492"/>
      <c r="F599" s="254"/>
      <c r="G599" s="492"/>
      <c r="H599" s="254"/>
      <c r="I599" s="500"/>
      <c r="J599" s="181"/>
      <c r="K599" s="500"/>
      <c r="L599" s="181"/>
      <c r="M599" s="253"/>
      <c r="N599" s="254"/>
      <c r="O599" s="500"/>
      <c r="P599" s="181"/>
      <c r="Q599" s="492"/>
      <c r="R599" s="254"/>
      <c r="S599" s="501"/>
      <c r="T599" s="101"/>
      <c r="U599" s="253"/>
      <c r="V599" s="254"/>
      <c r="W599" s="254"/>
      <c r="X599" s="254"/>
      <c r="Y599" s="254"/>
      <c r="Z599" s="254"/>
    </row>
    <row r="600">
      <c r="A600" s="492"/>
      <c r="B600" s="254"/>
      <c r="C600" s="492"/>
      <c r="D600" s="181"/>
      <c r="E600" s="492"/>
      <c r="F600" s="254"/>
      <c r="G600" s="492"/>
      <c r="H600" s="254"/>
      <c r="I600" s="500"/>
      <c r="J600" s="181"/>
      <c r="K600" s="500"/>
      <c r="L600" s="181"/>
      <c r="M600" s="253"/>
      <c r="N600" s="254"/>
      <c r="O600" s="500"/>
      <c r="P600" s="181"/>
      <c r="Q600" s="492"/>
      <c r="R600" s="254"/>
      <c r="S600" s="501"/>
      <c r="T600" s="101"/>
      <c r="U600" s="253"/>
      <c r="V600" s="254"/>
      <c r="W600" s="254"/>
      <c r="X600" s="254"/>
      <c r="Y600" s="254"/>
      <c r="Z600" s="254"/>
    </row>
    <row r="601">
      <c r="A601" s="492"/>
      <c r="B601" s="254"/>
      <c r="C601" s="492"/>
      <c r="D601" s="181"/>
      <c r="E601" s="492"/>
      <c r="F601" s="254"/>
      <c r="G601" s="492"/>
      <c r="H601" s="254"/>
      <c r="I601" s="500"/>
      <c r="J601" s="181"/>
      <c r="K601" s="500"/>
      <c r="L601" s="181"/>
      <c r="M601" s="253"/>
      <c r="N601" s="254"/>
      <c r="O601" s="500"/>
      <c r="P601" s="181"/>
      <c r="Q601" s="492"/>
      <c r="R601" s="254"/>
      <c r="S601" s="501"/>
      <c r="T601" s="101"/>
      <c r="U601" s="253"/>
      <c r="V601" s="254"/>
      <c r="W601" s="254"/>
      <c r="X601" s="254"/>
      <c r="Y601" s="254"/>
      <c r="Z601" s="254"/>
    </row>
    <row r="602">
      <c r="A602" s="492"/>
      <c r="B602" s="254"/>
      <c r="C602" s="492"/>
      <c r="D602" s="181"/>
      <c r="E602" s="492"/>
      <c r="F602" s="254"/>
      <c r="G602" s="492"/>
      <c r="H602" s="254"/>
      <c r="I602" s="500"/>
      <c r="J602" s="181"/>
      <c r="K602" s="500"/>
      <c r="L602" s="181"/>
      <c r="M602" s="253"/>
      <c r="N602" s="254"/>
      <c r="O602" s="500"/>
      <c r="P602" s="181"/>
      <c r="Q602" s="492"/>
      <c r="R602" s="254"/>
      <c r="S602" s="501"/>
      <c r="T602" s="101"/>
      <c r="U602" s="253"/>
      <c r="V602" s="254"/>
      <c r="W602" s="254"/>
      <c r="X602" s="254"/>
      <c r="Y602" s="254"/>
      <c r="Z602" s="254"/>
    </row>
    <row r="603">
      <c r="A603" s="492"/>
      <c r="B603" s="254"/>
      <c r="C603" s="492"/>
      <c r="D603" s="181"/>
      <c r="E603" s="492"/>
      <c r="F603" s="254"/>
      <c r="G603" s="492"/>
      <c r="H603" s="254"/>
      <c r="I603" s="500"/>
      <c r="J603" s="181"/>
      <c r="K603" s="500"/>
      <c r="L603" s="181"/>
      <c r="M603" s="253"/>
      <c r="N603" s="254"/>
      <c r="O603" s="500"/>
      <c r="P603" s="181"/>
      <c r="Q603" s="492"/>
      <c r="R603" s="254"/>
      <c r="S603" s="501"/>
      <c r="T603" s="101"/>
      <c r="U603" s="253"/>
      <c r="V603" s="254"/>
      <c r="W603" s="254"/>
      <c r="X603" s="254"/>
      <c r="Y603" s="254"/>
      <c r="Z603" s="254"/>
    </row>
    <row r="604">
      <c r="A604" s="492"/>
      <c r="B604" s="254"/>
      <c r="C604" s="492"/>
      <c r="D604" s="181"/>
      <c r="E604" s="492"/>
      <c r="F604" s="254"/>
      <c r="G604" s="492"/>
      <c r="H604" s="254"/>
      <c r="I604" s="500"/>
      <c r="J604" s="181"/>
      <c r="K604" s="500"/>
      <c r="L604" s="181"/>
      <c r="M604" s="253"/>
      <c r="N604" s="254"/>
      <c r="O604" s="500"/>
      <c r="P604" s="181"/>
      <c r="Q604" s="492"/>
      <c r="R604" s="254"/>
      <c r="S604" s="501"/>
      <c r="T604" s="101"/>
      <c r="U604" s="253"/>
      <c r="V604" s="254"/>
      <c r="W604" s="254"/>
      <c r="X604" s="254"/>
      <c r="Y604" s="254"/>
      <c r="Z604" s="254"/>
    </row>
    <row r="605">
      <c r="A605" s="492"/>
      <c r="B605" s="254"/>
      <c r="C605" s="492"/>
      <c r="D605" s="181"/>
      <c r="E605" s="492"/>
      <c r="F605" s="254"/>
      <c r="G605" s="492"/>
      <c r="H605" s="254"/>
      <c r="I605" s="500"/>
      <c r="J605" s="181"/>
      <c r="K605" s="500"/>
      <c r="L605" s="181"/>
      <c r="M605" s="253"/>
      <c r="N605" s="254"/>
      <c r="O605" s="500"/>
      <c r="P605" s="181"/>
      <c r="Q605" s="492"/>
      <c r="R605" s="254"/>
      <c r="S605" s="501"/>
      <c r="T605" s="101"/>
      <c r="U605" s="253"/>
      <c r="V605" s="254"/>
      <c r="W605" s="254"/>
      <c r="X605" s="254"/>
      <c r="Y605" s="254"/>
      <c r="Z605" s="254"/>
    </row>
    <row r="606">
      <c r="A606" s="492"/>
      <c r="B606" s="254"/>
      <c r="C606" s="492"/>
      <c r="D606" s="181"/>
      <c r="E606" s="492"/>
      <c r="F606" s="254"/>
      <c r="G606" s="492"/>
      <c r="H606" s="254"/>
      <c r="I606" s="500"/>
      <c r="J606" s="181"/>
      <c r="K606" s="500"/>
      <c r="L606" s="181"/>
      <c r="M606" s="253"/>
      <c r="N606" s="254"/>
      <c r="O606" s="500"/>
      <c r="P606" s="181"/>
      <c r="Q606" s="492"/>
      <c r="R606" s="254"/>
      <c r="S606" s="501"/>
      <c r="T606" s="101"/>
      <c r="U606" s="253"/>
      <c r="V606" s="254"/>
      <c r="W606" s="254"/>
      <c r="X606" s="254"/>
      <c r="Y606" s="254"/>
      <c r="Z606" s="254"/>
    </row>
    <row r="607">
      <c r="A607" s="492"/>
      <c r="B607" s="254"/>
      <c r="C607" s="492"/>
      <c r="D607" s="181"/>
      <c r="E607" s="492"/>
      <c r="F607" s="254"/>
      <c r="G607" s="492"/>
      <c r="H607" s="254"/>
      <c r="I607" s="500"/>
      <c r="J607" s="181"/>
      <c r="K607" s="500"/>
      <c r="L607" s="181"/>
      <c r="M607" s="253"/>
      <c r="N607" s="254"/>
      <c r="O607" s="500"/>
      <c r="P607" s="181"/>
      <c r="Q607" s="492"/>
      <c r="R607" s="254"/>
      <c r="S607" s="501"/>
      <c r="T607" s="101"/>
      <c r="U607" s="253"/>
      <c r="V607" s="254"/>
      <c r="W607" s="254"/>
      <c r="X607" s="254"/>
      <c r="Y607" s="254"/>
      <c r="Z607" s="254"/>
    </row>
    <row r="608">
      <c r="A608" s="492"/>
      <c r="B608" s="254"/>
      <c r="C608" s="492"/>
      <c r="D608" s="181"/>
      <c r="E608" s="492"/>
      <c r="F608" s="254"/>
      <c r="G608" s="492"/>
      <c r="H608" s="254"/>
      <c r="I608" s="500"/>
      <c r="J608" s="181"/>
      <c r="K608" s="500"/>
      <c r="L608" s="181"/>
      <c r="M608" s="253"/>
      <c r="N608" s="254"/>
      <c r="O608" s="500"/>
      <c r="P608" s="181"/>
      <c r="Q608" s="492"/>
      <c r="R608" s="254"/>
      <c r="S608" s="501"/>
      <c r="T608" s="101"/>
      <c r="U608" s="253"/>
      <c r="V608" s="254"/>
      <c r="W608" s="254"/>
      <c r="X608" s="254"/>
      <c r="Y608" s="254"/>
      <c r="Z608" s="254"/>
    </row>
    <row r="609">
      <c r="A609" s="492"/>
      <c r="B609" s="254"/>
      <c r="C609" s="492"/>
      <c r="D609" s="181"/>
      <c r="E609" s="492"/>
      <c r="F609" s="254"/>
      <c r="G609" s="492"/>
      <c r="H609" s="254"/>
      <c r="I609" s="500"/>
      <c r="J609" s="181"/>
      <c r="K609" s="500"/>
      <c r="L609" s="181"/>
      <c r="M609" s="253"/>
      <c r="N609" s="254"/>
      <c r="O609" s="500"/>
      <c r="P609" s="181"/>
      <c r="Q609" s="492"/>
      <c r="R609" s="254"/>
      <c r="S609" s="501"/>
      <c r="T609" s="101"/>
      <c r="U609" s="253"/>
      <c r="V609" s="254"/>
      <c r="W609" s="254"/>
      <c r="X609" s="254"/>
      <c r="Y609" s="254"/>
      <c r="Z609" s="254"/>
    </row>
    <row r="610">
      <c r="A610" s="492"/>
      <c r="B610" s="254"/>
      <c r="C610" s="492"/>
      <c r="D610" s="181"/>
      <c r="E610" s="492"/>
      <c r="F610" s="254"/>
      <c r="G610" s="492"/>
      <c r="H610" s="254"/>
      <c r="I610" s="500"/>
      <c r="J610" s="181"/>
      <c r="K610" s="500"/>
      <c r="L610" s="181"/>
      <c r="M610" s="253"/>
      <c r="N610" s="254"/>
      <c r="O610" s="500"/>
      <c r="P610" s="181"/>
      <c r="Q610" s="492"/>
      <c r="R610" s="254"/>
      <c r="S610" s="501"/>
      <c r="T610" s="101"/>
      <c r="U610" s="253"/>
      <c r="V610" s="254"/>
      <c r="W610" s="254"/>
      <c r="X610" s="254"/>
      <c r="Y610" s="254"/>
      <c r="Z610" s="254"/>
    </row>
    <row r="611">
      <c r="A611" s="492"/>
      <c r="B611" s="254"/>
      <c r="C611" s="492"/>
      <c r="D611" s="181"/>
      <c r="E611" s="492"/>
      <c r="F611" s="254"/>
      <c r="G611" s="492"/>
      <c r="H611" s="254"/>
      <c r="I611" s="500"/>
      <c r="J611" s="181"/>
      <c r="K611" s="500"/>
      <c r="L611" s="181"/>
      <c r="M611" s="253"/>
      <c r="N611" s="254"/>
      <c r="O611" s="500"/>
      <c r="P611" s="181"/>
      <c r="Q611" s="492"/>
      <c r="R611" s="254"/>
      <c r="S611" s="501"/>
      <c r="T611" s="101"/>
      <c r="U611" s="253"/>
      <c r="V611" s="254"/>
      <c r="W611" s="254"/>
      <c r="X611" s="254"/>
      <c r="Y611" s="254"/>
      <c r="Z611" s="254"/>
    </row>
    <row r="612">
      <c r="A612" s="492"/>
      <c r="B612" s="254"/>
      <c r="C612" s="492"/>
      <c r="D612" s="181"/>
      <c r="E612" s="492"/>
      <c r="F612" s="254"/>
      <c r="G612" s="492"/>
      <c r="H612" s="254"/>
      <c r="I612" s="500"/>
      <c r="J612" s="181"/>
      <c r="K612" s="500"/>
      <c r="L612" s="181"/>
      <c r="M612" s="253"/>
      <c r="N612" s="254"/>
      <c r="O612" s="500"/>
      <c r="P612" s="181"/>
      <c r="Q612" s="492"/>
      <c r="R612" s="254"/>
      <c r="S612" s="501"/>
      <c r="T612" s="101"/>
      <c r="U612" s="253"/>
      <c r="V612" s="254"/>
      <c r="W612" s="254"/>
      <c r="X612" s="254"/>
      <c r="Y612" s="254"/>
      <c r="Z612" s="254"/>
    </row>
    <row r="613">
      <c r="A613" s="492"/>
      <c r="B613" s="254"/>
      <c r="C613" s="492"/>
      <c r="D613" s="181"/>
      <c r="E613" s="492"/>
      <c r="F613" s="254"/>
      <c r="G613" s="492"/>
      <c r="H613" s="254"/>
      <c r="I613" s="500"/>
      <c r="J613" s="181"/>
      <c r="K613" s="500"/>
      <c r="L613" s="181"/>
      <c r="M613" s="253"/>
      <c r="N613" s="254"/>
      <c r="O613" s="500"/>
      <c r="P613" s="181"/>
      <c r="Q613" s="492"/>
      <c r="R613" s="254"/>
      <c r="S613" s="501"/>
      <c r="T613" s="101"/>
      <c r="U613" s="253"/>
      <c r="V613" s="254"/>
      <c r="W613" s="254"/>
      <c r="X613" s="254"/>
      <c r="Y613" s="254"/>
      <c r="Z613" s="254"/>
    </row>
    <row r="614">
      <c r="A614" s="492"/>
      <c r="B614" s="254"/>
      <c r="C614" s="492"/>
      <c r="D614" s="181"/>
      <c r="E614" s="492"/>
      <c r="F614" s="254"/>
      <c r="G614" s="492"/>
      <c r="H614" s="254"/>
      <c r="I614" s="500"/>
      <c r="J614" s="181"/>
      <c r="K614" s="500"/>
      <c r="L614" s="181"/>
      <c r="M614" s="253"/>
      <c r="N614" s="254"/>
      <c r="O614" s="500"/>
      <c r="P614" s="181"/>
      <c r="Q614" s="492"/>
      <c r="R614" s="254"/>
      <c r="S614" s="501"/>
      <c r="T614" s="101"/>
      <c r="U614" s="253"/>
      <c r="V614" s="254"/>
      <c r="W614" s="254"/>
      <c r="X614" s="254"/>
      <c r="Y614" s="254"/>
      <c r="Z614" s="254"/>
    </row>
    <row r="615">
      <c r="A615" s="492"/>
      <c r="B615" s="254"/>
      <c r="C615" s="492"/>
      <c r="D615" s="181"/>
      <c r="E615" s="492"/>
      <c r="F615" s="254"/>
      <c r="G615" s="492"/>
      <c r="H615" s="254"/>
      <c r="I615" s="500"/>
      <c r="J615" s="181"/>
      <c r="K615" s="500"/>
      <c r="L615" s="181"/>
      <c r="M615" s="253"/>
      <c r="N615" s="254"/>
      <c r="O615" s="500"/>
      <c r="P615" s="181"/>
      <c r="Q615" s="492"/>
      <c r="R615" s="254"/>
      <c r="S615" s="501"/>
      <c r="T615" s="101"/>
      <c r="U615" s="253"/>
      <c r="V615" s="254"/>
      <c r="W615" s="254"/>
      <c r="X615" s="254"/>
      <c r="Y615" s="254"/>
      <c r="Z615" s="254"/>
    </row>
    <row r="616">
      <c r="A616" s="492"/>
      <c r="B616" s="254"/>
      <c r="C616" s="492"/>
      <c r="D616" s="181"/>
      <c r="E616" s="492"/>
      <c r="F616" s="254"/>
      <c r="G616" s="492"/>
      <c r="H616" s="254"/>
      <c r="I616" s="500"/>
      <c r="J616" s="181"/>
      <c r="K616" s="500"/>
      <c r="L616" s="181"/>
      <c r="M616" s="253"/>
      <c r="N616" s="254"/>
      <c r="O616" s="500"/>
      <c r="P616" s="181"/>
      <c r="Q616" s="492"/>
      <c r="R616" s="254"/>
      <c r="S616" s="501"/>
      <c r="T616" s="101"/>
      <c r="U616" s="253"/>
      <c r="V616" s="254"/>
      <c r="W616" s="254"/>
      <c r="X616" s="254"/>
      <c r="Y616" s="254"/>
      <c r="Z616" s="254"/>
    </row>
    <row r="617">
      <c r="A617" s="492"/>
      <c r="B617" s="254"/>
      <c r="C617" s="492"/>
      <c r="D617" s="181"/>
      <c r="E617" s="492"/>
      <c r="F617" s="254"/>
      <c r="G617" s="492"/>
      <c r="H617" s="254"/>
      <c r="I617" s="500"/>
      <c r="J617" s="181"/>
      <c r="K617" s="500"/>
      <c r="L617" s="181"/>
      <c r="M617" s="253"/>
      <c r="N617" s="254"/>
      <c r="O617" s="500"/>
      <c r="P617" s="181"/>
      <c r="Q617" s="492"/>
      <c r="R617" s="254"/>
      <c r="S617" s="501"/>
      <c r="T617" s="101"/>
      <c r="U617" s="253"/>
      <c r="V617" s="254"/>
      <c r="W617" s="254"/>
      <c r="X617" s="254"/>
      <c r="Y617" s="254"/>
      <c r="Z617" s="254"/>
    </row>
    <row r="618">
      <c r="A618" s="492"/>
      <c r="B618" s="254"/>
      <c r="C618" s="492"/>
      <c r="D618" s="181"/>
      <c r="E618" s="492"/>
      <c r="F618" s="254"/>
      <c r="G618" s="492"/>
      <c r="H618" s="254"/>
      <c r="I618" s="500"/>
      <c r="J618" s="181"/>
      <c r="K618" s="500"/>
      <c r="L618" s="181"/>
      <c r="M618" s="253"/>
      <c r="N618" s="254"/>
      <c r="O618" s="500"/>
      <c r="P618" s="181"/>
      <c r="Q618" s="492"/>
      <c r="R618" s="254"/>
      <c r="S618" s="501"/>
      <c r="T618" s="101"/>
      <c r="U618" s="253"/>
      <c r="V618" s="254"/>
      <c r="W618" s="254"/>
      <c r="X618" s="254"/>
      <c r="Y618" s="254"/>
      <c r="Z618" s="254"/>
    </row>
    <row r="619">
      <c r="A619" s="492"/>
      <c r="B619" s="254"/>
      <c r="C619" s="492"/>
      <c r="D619" s="181"/>
      <c r="E619" s="492"/>
      <c r="F619" s="254"/>
      <c r="G619" s="492"/>
      <c r="H619" s="254"/>
      <c r="I619" s="500"/>
      <c r="J619" s="181"/>
      <c r="K619" s="500"/>
      <c r="L619" s="181"/>
      <c r="M619" s="253"/>
      <c r="N619" s="254"/>
      <c r="O619" s="500"/>
      <c r="P619" s="181"/>
      <c r="Q619" s="492"/>
      <c r="R619" s="254"/>
      <c r="S619" s="501"/>
      <c r="T619" s="101"/>
      <c r="U619" s="253"/>
      <c r="V619" s="254"/>
      <c r="W619" s="254"/>
      <c r="X619" s="254"/>
      <c r="Y619" s="254"/>
      <c r="Z619" s="254"/>
    </row>
    <row r="620">
      <c r="A620" s="492"/>
      <c r="B620" s="254"/>
      <c r="C620" s="492"/>
      <c r="D620" s="181"/>
      <c r="E620" s="492"/>
      <c r="F620" s="254"/>
      <c r="G620" s="492"/>
      <c r="H620" s="254"/>
      <c r="I620" s="500"/>
      <c r="J620" s="181"/>
      <c r="K620" s="500"/>
      <c r="L620" s="181"/>
      <c r="M620" s="253"/>
      <c r="N620" s="254"/>
      <c r="O620" s="500"/>
      <c r="P620" s="181"/>
      <c r="Q620" s="492"/>
      <c r="R620" s="254"/>
      <c r="S620" s="501"/>
      <c r="T620" s="101"/>
      <c r="U620" s="253"/>
      <c r="V620" s="254"/>
      <c r="W620" s="254"/>
      <c r="X620" s="254"/>
      <c r="Y620" s="254"/>
      <c r="Z620" s="254"/>
    </row>
    <row r="621">
      <c r="A621" s="492"/>
      <c r="B621" s="254"/>
      <c r="C621" s="492"/>
      <c r="D621" s="181"/>
      <c r="E621" s="492"/>
      <c r="F621" s="254"/>
      <c r="G621" s="492"/>
      <c r="H621" s="254"/>
      <c r="I621" s="500"/>
      <c r="J621" s="181"/>
      <c r="K621" s="500"/>
      <c r="L621" s="181"/>
      <c r="M621" s="253"/>
      <c r="N621" s="254"/>
      <c r="O621" s="500"/>
      <c r="P621" s="181"/>
      <c r="Q621" s="492"/>
      <c r="R621" s="254"/>
      <c r="S621" s="501"/>
      <c r="T621" s="101"/>
      <c r="U621" s="253"/>
      <c r="V621" s="254"/>
      <c r="W621" s="254"/>
      <c r="X621" s="254"/>
      <c r="Y621" s="254"/>
      <c r="Z621" s="254"/>
    </row>
    <row r="622">
      <c r="A622" s="492"/>
      <c r="B622" s="254"/>
      <c r="C622" s="492"/>
      <c r="D622" s="181"/>
      <c r="E622" s="492"/>
      <c r="F622" s="254"/>
      <c r="G622" s="492"/>
      <c r="H622" s="254"/>
      <c r="I622" s="500"/>
      <c r="J622" s="181"/>
      <c r="K622" s="500"/>
      <c r="L622" s="181"/>
      <c r="M622" s="253"/>
      <c r="N622" s="254"/>
      <c r="O622" s="500"/>
      <c r="P622" s="181"/>
      <c r="Q622" s="492"/>
      <c r="R622" s="254"/>
      <c r="S622" s="501"/>
      <c r="T622" s="101"/>
      <c r="U622" s="253"/>
      <c r="V622" s="254"/>
      <c r="W622" s="254"/>
      <c r="X622" s="254"/>
      <c r="Y622" s="254"/>
      <c r="Z622" s="254"/>
    </row>
    <row r="623">
      <c r="A623" s="492"/>
      <c r="B623" s="254"/>
      <c r="C623" s="492"/>
      <c r="D623" s="181"/>
      <c r="E623" s="492"/>
      <c r="F623" s="254"/>
      <c r="G623" s="492"/>
      <c r="H623" s="254"/>
      <c r="I623" s="500"/>
      <c r="J623" s="181"/>
      <c r="K623" s="500"/>
      <c r="L623" s="181"/>
      <c r="M623" s="253"/>
      <c r="N623" s="254"/>
      <c r="O623" s="500"/>
      <c r="P623" s="181"/>
      <c r="Q623" s="492"/>
      <c r="R623" s="254"/>
      <c r="S623" s="501"/>
      <c r="T623" s="101"/>
      <c r="U623" s="253"/>
      <c r="V623" s="254"/>
      <c r="W623" s="254"/>
      <c r="X623" s="254"/>
      <c r="Y623" s="254"/>
      <c r="Z623" s="254"/>
    </row>
    <row r="624">
      <c r="A624" s="492"/>
      <c r="B624" s="254"/>
      <c r="C624" s="492"/>
      <c r="D624" s="181"/>
      <c r="E624" s="492"/>
      <c r="F624" s="254"/>
      <c r="G624" s="492"/>
      <c r="H624" s="254"/>
      <c r="I624" s="500"/>
      <c r="J624" s="181"/>
      <c r="K624" s="500"/>
      <c r="L624" s="181"/>
      <c r="M624" s="253"/>
      <c r="N624" s="254"/>
      <c r="O624" s="500"/>
      <c r="P624" s="181"/>
      <c r="Q624" s="492"/>
      <c r="R624" s="254"/>
      <c r="S624" s="501"/>
      <c r="T624" s="101"/>
      <c r="U624" s="253"/>
      <c r="V624" s="254"/>
      <c r="W624" s="254"/>
      <c r="X624" s="254"/>
      <c r="Y624" s="254"/>
      <c r="Z624" s="254"/>
    </row>
    <row r="625">
      <c r="A625" s="492"/>
      <c r="B625" s="254"/>
      <c r="C625" s="492"/>
      <c r="D625" s="181"/>
      <c r="E625" s="492"/>
      <c r="F625" s="254"/>
      <c r="G625" s="492"/>
      <c r="H625" s="254"/>
      <c r="I625" s="500"/>
      <c r="J625" s="181"/>
      <c r="K625" s="500"/>
      <c r="L625" s="181"/>
      <c r="M625" s="253"/>
      <c r="N625" s="254"/>
      <c r="O625" s="500"/>
      <c r="P625" s="181"/>
      <c r="Q625" s="492"/>
      <c r="R625" s="254"/>
      <c r="S625" s="501"/>
      <c r="T625" s="101"/>
      <c r="U625" s="253"/>
      <c r="V625" s="254"/>
      <c r="W625" s="254"/>
      <c r="X625" s="254"/>
      <c r="Y625" s="254"/>
      <c r="Z625" s="254"/>
    </row>
    <row r="626">
      <c r="A626" s="492"/>
      <c r="B626" s="254"/>
      <c r="C626" s="492"/>
      <c r="D626" s="181"/>
      <c r="E626" s="492"/>
      <c r="F626" s="254"/>
      <c r="G626" s="492"/>
      <c r="H626" s="254"/>
      <c r="I626" s="500"/>
      <c r="J626" s="181"/>
      <c r="K626" s="500"/>
      <c r="L626" s="181"/>
      <c r="M626" s="253"/>
      <c r="N626" s="254"/>
      <c r="O626" s="500"/>
      <c r="P626" s="181"/>
      <c r="Q626" s="492"/>
      <c r="R626" s="254"/>
      <c r="S626" s="501"/>
      <c r="T626" s="101"/>
      <c r="U626" s="253"/>
      <c r="V626" s="254"/>
      <c r="W626" s="254"/>
      <c r="X626" s="254"/>
      <c r="Y626" s="254"/>
      <c r="Z626" s="254"/>
    </row>
    <row r="627">
      <c r="A627" s="492"/>
      <c r="B627" s="254"/>
      <c r="C627" s="492"/>
      <c r="D627" s="181"/>
      <c r="E627" s="492"/>
      <c r="F627" s="254"/>
      <c r="G627" s="492"/>
      <c r="H627" s="254"/>
      <c r="I627" s="500"/>
      <c r="J627" s="181"/>
      <c r="K627" s="500"/>
      <c r="L627" s="181"/>
      <c r="M627" s="253"/>
      <c r="N627" s="254"/>
      <c r="O627" s="500"/>
      <c r="P627" s="181"/>
      <c r="Q627" s="492"/>
      <c r="R627" s="254"/>
      <c r="S627" s="501"/>
      <c r="T627" s="101"/>
      <c r="U627" s="253"/>
      <c r="V627" s="254"/>
      <c r="W627" s="254"/>
      <c r="X627" s="254"/>
      <c r="Y627" s="254"/>
      <c r="Z627" s="254"/>
    </row>
    <row r="628">
      <c r="A628" s="492"/>
      <c r="B628" s="254"/>
      <c r="C628" s="492"/>
      <c r="D628" s="181"/>
      <c r="E628" s="492"/>
      <c r="F628" s="254"/>
      <c r="G628" s="492"/>
      <c r="H628" s="254"/>
      <c r="I628" s="500"/>
      <c r="J628" s="181"/>
      <c r="K628" s="500"/>
      <c r="L628" s="181"/>
      <c r="M628" s="253"/>
      <c r="N628" s="254"/>
      <c r="O628" s="500"/>
      <c r="P628" s="181"/>
      <c r="Q628" s="492"/>
      <c r="R628" s="254"/>
      <c r="S628" s="501"/>
      <c r="T628" s="101"/>
      <c r="U628" s="253"/>
      <c r="V628" s="254"/>
      <c r="W628" s="254"/>
      <c r="X628" s="254"/>
      <c r="Y628" s="254"/>
      <c r="Z628" s="254"/>
    </row>
    <row r="629">
      <c r="A629" s="492"/>
      <c r="B629" s="254"/>
      <c r="C629" s="492"/>
      <c r="D629" s="181"/>
      <c r="E629" s="492"/>
      <c r="F629" s="254"/>
      <c r="G629" s="492"/>
      <c r="H629" s="254"/>
      <c r="I629" s="500"/>
      <c r="J629" s="181"/>
      <c r="K629" s="500"/>
      <c r="L629" s="181"/>
      <c r="M629" s="253"/>
      <c r="N629" s="254"/>
      <c r="O629" s="500"/>
      <c r="P629" s="181"/>
      <c r="Q629" s="492"/>
      <c r="R629" s="254"/>
      <c r="S629" s="501"/>
      <c r="T629" s="101"/>
      <c r="U629" s="253"/>
      <c r="V629" s="254"/>
      <c r="W629" s="254"/>
      <c r="X629" s="254"/>
      <c r="Y629" s="254"/>
      <c r="Z629" s="254"/>
    </row>
    <row r="630">
      <c r="A630" s="492"/>
      <c r="B630" s="254"/>
      <c r="C630" s="492"/>
      <c r="D630" s="181"/>
      <c r="E630" s="492"/>
      <c r="F630" s="254"/>
      <c r="G630" s="492"/>
      <c r="H630" s="254"/>
      <c r="I630" s="500"/>
      <c r="J630" s="181"/>
      <c r="K630" s="500"/>
      <c r="L630" s="181"/>
      <c r="M630" s="253"/>
      <c r="N630" s="254"/>
      <c r="O630" s="500"/>
      <c r="P630" s="181"/>
      <c r="Q630" s="492"/>
      <c r="R630" s="254"/>
      <c r="S630" s="501"/>
      <c r="T630" s="101"/>
      <c r="U630" s="253"/>
      <c r="V630" s="254"/>
      <c r="W630" s="254"/>
      <c r="X630" s="254"/>
      <c r="Y630" s="254"/>
      <c r="Z630" s="254"/>
    </row>
    <row r="631">
      <c r="A631" s="492"/>
      <c r="B631" s="254"/>
      <c r="C631" s="492"/>
      <c r="D631" s="181"/>
      <c r="E631" s="492"/>
      <c r="F631" s="254"/>
      <c r="G631" s="492"/>
      <c r="H631" s="254"/>
      <c r="I631" s="500"/>
      <c r="J631" s="181"/>
      <c r="K631" s="500"/>
      <c r="L631" s="181"/>
      <c r="M631" s="253"/>
      <c r="N631" s="254"/>
      <c r="O631" s="500"/>
      <c r="P631" s="181"/>
      <c r="Q631" s="492"/>
      <c r="R631" s="254"/>
      <c r="S631" s="501"/>
      <c r="T631" s="101"/>
      <c r="U631" s="253"/>
      <c r="V631" s="254"/>
      <c r="W631" s="254"/>
      <c r="X631" s="254"/>
      <c r="Y631" s="254"/>
      <c r="Z631" s="254"/>
    </row>
    <row r="632">
      <c r="A632" s="492"/>
      <c r="B632" s="254"/>
      <c r="C632" s="492"/>
      <c r="D632" s="181"/>
      <c r="E632" s="492"/>
      <c r="F632" s="254"/>
      <c r="G632" s="492"/>
      <c r="H632" s="254"/>
      <c r="I632" s="500"/>
      <c r="J632" s="181"/>
      <c r="K632" s="500"/>
      <c r="L632" s="181"/>
      <c r="M632" s="253"/>
      <c r="N632" s="254"/>
      <c r="O632" s="500"/>
      <c r="P632" s="181"/>
      <c r="Q632" s="492"/>
      <c r="R632" s="254"/>
      <c r="S632" s="501"/>
      <c r="T632" s="101"/>
      <c r="U632" s="253"/>
      <c r="V632" s="254"/>
      <c r="W632" s="254"/>
      <c r="X632" s="254"/>
      <c r="Y632" s="254"/>
      <c r="Z632" s="254"/>
    </row>
    <row r="633">
      <c r="A633" s="492"/>
      <c r="B633" s="254"/>
      <c r="C633" s="492"/>
      <c r="D633" s="181"/>
      <c r="E633" s="492"/>
      <c r="F633" s="254"/>
      <c r="G633" s="492"/>
      <c r="H633" s="254"/>
      <c r="I633" s="500"/>
      <c r="J633" s="181"/>
      <c r="K633" s="500"/>
      <c r="L633" s="181"/>
      <c r="M633" s="253"/>
      <c r="N633" s="254"/>
      <c r="O633" s="500"/>
      <c r="P633" s="181"/>
      <c r="Q633" s="492"/>
      <c r="R633" s="254"/>
      <c r="S633" s="501"/>
      <c r="T633" s="101"/>
      <c r="U633" s="253"/>
      <c r="V633" s="254"/>
      <c r="W633" s="254"/>
      <c r="X633" s="254"/>
      <c r="Y633" s="254"/>
      <c r="Z633" s="254"/>
    </row>
    <row r="634">
      <c r="A634" s="492"/>
      <c r="B634" s="254"/>
      <c r="C634" s="492"/>
      <c r="D634" s="181"/>
      <c r="E634" s="492"/>
      <c r="F634" s="254"/>
      <c r="G634" s="492"/>
      <c r="H634" s="254"/>
      <c r="I634" s="500"/>
      <c r="J634" s="181"/>
      <c r="K634" s="500"/>
      <c r="L634" s="181"/>
      <c r="M634" s="253"/>
      <c r="N634" s="254"/>
      <c r="O634" s="500"/>
      <c r="P634" s="181"/>
      <c r="Q634" s="492"/>
      <c r="R634" s="254"/>
      <c r="S634" s="501"/>
      <c r="T634" s="101"/>
      <c r="U634" s="253"/>
      <c r="V634" s="254"/>
      <c r="W634" s="254"/>
      <c r="X634" s="254"/>
      <c r="Y634" s="254"/>
      <c r="Z634" s="254"/>
    </row>
    <row r="635">
      <c r="A635" s="492"/>
      <c r="B635" s="254"/>
      <c r="C635" s="492"/>
      <c r="D635" s="181"/>
      <c r="E635" s="492"/>
      <c r="F635" s="254"/>
      <c r="G635" s="492"/>
      <c r="H635" s="254"/>
      <c r="I635" s="500"/>
      <c r="J635" s="181"/>
      <c r="K635" s="500"/>
      <c r="L635" s="181"/>
      <c r="M635" s="253"/>
      <c r="N635" s="254"/>
      <c r="O635" s="500"/>
      <c r="P635" s="181"/>
      <c r="Q635" s="492"/>
      <c r="R635" s="254"/>
      <c r="S635" s="501"/>
      <c r="T635" s="101"/>
      <c r="U635" s="253"/>
      <c r="V635" s="254"/>
      <c r="W635" s="254"/>
      <c r="X635" s="254"/>
      <c r="Y635" s="254"/>
      <c r="Z635" s="254"/>
    </row>
    <row r="636">
      <c r="A636" s="492"/>
      <c r="B636" s="254"/>
      <c r="C636" s="492"/>
      <c r="D636" s="181"/>
      <c r="E636" s="492"/>
      <c r="F636" s="254"/>
      <c r="G636" s="492"/>
      <c r="H636" s="254"/>
      <c r="I636" s="500"/>
      <c r="J636" s="181"/>
      <c r="K636" s="500"/>
      <c r="L636" s="181"/>
      <c r="M636" s="253"/>
      <c r="N636" s="254"/>
      <c r="O636" s="500"/>
      <c r="P636" s="181"/>
      <c r="Q636" s="492"/>
      <c r="R636" s="254"/>
      <c r="S636" s="501"/>
      <c r="T636" s="101"/>
      <c r="U636" s="253"/>
      <c r="V636" s="254"/>
      <c r="W636" s="254"/>
      <c r="X636" s="254"/>
      <c r="Y636" s="254"/>
      <c r="Z636" s="254"/>
    </row>
    <row r="637">
      <c r="A637" s="492"/>
      <c r="B637" s="254"/>
      <c r="C637" s="492"/>
      <c r="D637" s="181"/>
      <c r="E637" s="492"/>
      <c r="F637" s="254"/>
      <c r="G637" s="492"/>
      <c r="H637" s="254"/>
      <c r="I637" s="500"/>
      <c r="J637" s="181"/>
      <c r="K637" s="500"/>
      <c r="L637" s="181"/>
      <c r="M637" s="253"/>
      <c r="N637" s="254"/>
      <c r="O637" s="500"/>
      <c r="P637" s="181"/>
      <c r="Q637" s="492"/>
      <c r="R637" s="254"/>
      <c r="S637" s="501"/>
      <c r="T637" s="101"/>
      <c r="U637" s="253"/>
      <c r="V637" s="254"/>
      <c r="W637" s="254"/>
      <c r="X637" s="254"/>
      <c r="Y637" s="254"/>
      <c r="Z637" s="254"/>
    </row>
    <row r="638">
      <c r="A638" s="492"/>
      <c r="B638" s="254"/>
      <c r="C638" s="492"/>
      <c r="D638" s="181"/>
      <c r="E638" s="492"/>
      <c r="F638" s="254"/>
      <c r="G638" s="492"/>
      <c r="H638" s="254"/>
      <c r="I638" s="500"/>
      <c r="J638" s="181"/>
      <c r="K638" s="500"/>
      <c r="L638" s="181"/>
      <c r="M638" s="253"/>
      <c r="N638" s="254"/>
      <c r="O638" s="500"/>
      <c r="P638" s="181"/>
      <c r="Q638" s="492"/>
      <c r="R638" s="254"/>
      <c r="S638" s="501"/>
      <c r="T638" s="101"/>
      <c r="U638" s="253"/>
      <c r="V638" s="254"/>
      <c r="W638" s="254"/>
      <c r="X638" s="254"/>
      <c r="Y638" s="254"/>
      <c r="Z638" s="254"/>
    </row>
    <row r="639">
      <c r="A639" s="492"/>
      <c r="B639" s="254"/>
      <c r="C639" s="492"/>
      <c r="D639" s="181"/>
      <c r="E639" s="492"/>
      <c r="F639" s="254"/>
      <c r="G639" s="492"/>
      <c r="H639" s="254"/>
      <c r="I639" s="500"/>
      <c r="J639" s="181"/>
      <c r="K639" s="500"/>
      <c r="L639" s="181"/>
      <c r="M639" s="253"/>
      <c r="N639" s="254"/>
      <c r="O639" s="500"/>
      <c r="P639" s="181"/>
      <c r="Q639" s="492"/>
      <c r="R639" s="254"/>
      <c r="S639" s="501"/>
      <c r="T639" s="101"/>
      <c r="U639" s="253"/>
      <c r="V639" s="254"/>
      <c r="W639" s="254"/>
      <c r="X639" s="254"/>
      <c r="Y639" s="254"/>
      <c r="Z639" s="254"/>
    </row>
    <row r="640">
      <c r="A640" s="492"/>
      <c r="B640" s="254"/>
      <c r="C640" s="492"/>
      <c r="D640" s="181"/>
      <c r="E640" s="492"/>
      <c r="F640" s="254"/>
      <c r="G640" s="492"/>
      <c r="H640" s="254"/>
      <c r="I640" s="500"/>
      <c r="J640" s="181"/>
      <c r="K640" s="500"/>
      <c r="L640" s="181"/>
      <c r="M640" s="253"/>
      <c r="N640" s="254"/>
      <c r="O640" s="500"/>
      <c r="P640" s="181"/>
      <c r="Q640" s="492"/>
      <c r="R640" s="254"/>
      <c r="S640" s="501"/>
      <c r="T640" s="101"/>
      <c r="U640" s="253"/>
      <c r="V640" s="254"/>
      <c r="W640" s="254"/>
      <c r="X640" s="254"/>
      <c r="Y640" s="254"/>
      <c r="Z640" s="254"/>
    </row>
    <row r="641">
      <c r="A641" s="492"/>
      <c r="B641" s="254"/>
      <c r="C641" s="492"/>
      <c r="D641" s="181"/>
      <c r="E641" s="492"/>
      <c r="F641" s="254"/>
      <c r="G641" s="492"/>
      <c r="H641" s="254"/>
      <c r="I641" s="500"/>
      <c r="J641" s="181"/>
      <c r="K641" s="500"/>
      <c r="L641" s="181"/>
      <c r="M641" s="253"/>
      <c r="N641" s="254"/>
      <c r="O641" s="500"/>
      <c r="P641" s="181"/>
      <c r="Q641" s="492"/>
      <c r="R641" s="254"/>
      <c r="S641" s="501"/>
      <c r="T641" s="101"/>
      <c r="U641" s="253"/>
      <c r="V641" s="254"/>
      <c r="W641" s="254"/>
      <c r="X641" s="254"/>
      <c r="Y641" s="254"/>
      <c r="Z641" s="254"/>
    </row>
    <row r="642">
      <c r="A642" s="492"/>
      <c r="B642" s="254"/>
      <c r="C642" s="492"/>
      <c r="D642" s="181"/>
      <c r="E642" s="492"/>
      <c r="F642" s="254"/>
      <c r="G642" s="492"/>
      <c r="H642" s="254"/>
      <c r="I642" s="500"/>
      <c r="J642" s="181"/>
      <c r="K642" s="500"/>
      <c r="L642" s="181"/>
      <c r="M642" s="253"/>
      <c r="N642" s="254"/>
      <c r="O642" s="500"/>
      <c r="P642" s="181"/>
      <c r="Q642" s="492"/>
      <c r="R642" s="254"/>
      <c r="S642" s="501"/>
      <c r="T642" s="101"/>
      <c r="U642" s="253"/>
      <c r="V642" s="254"/>
      <c r="W642" s="254"/>
      <c r="X642" s="254"/>
      <c r="Y642" s="254"/>
      <c r="Z642" s="254"/>
    </row>
    <row r="643">
      <c r="A643" s="492"/>
      <c r="B643" s="254"/>
      <c r="C643" s="492"/>
      <c r="D643" s="181"/>
      <c r="E643" s="492"/>
      <c r="F643" s="254"/>
      <c r="G643" s="492"/>
      <c r="H643" s="254"/>
      <c r="I643" s="500"/>
      <c r="J643" s="181"/>
      <c r="K643" s="500"/>
      <c r="L643" s="181"/>
      <c r="M643" s="253"/>
      <c r="N643" s="254"/>
      <c r="O643" s="500"/>
      <c r="P643" s="181"/>
      <c r="Q643" s="492"/>
      <c r="R643" s="254"/>
      <c r="S643" s="501"/>
      <c r="T643" s="101"/>
      <c r="U643" s="253"/>
      <c r="V643" s="254"/>
      <c r="W643" s="254"/>
      <c r="X643" s="254"/>
      <c r="Y643" s="254"/>
      <c r="Z643" s="254"/>
    </row>
    <row r="644">
      <c r="A644" s="492"/>
      <c r="B644" s="254"/>
      <c r="C644" s="492"/>
      <c r="D644" s="181"/>
      <c r="E644" s="492"/>
      <c r="F644" s="254"/>
      <c r="G644" s="492"/>
      <c r="H644" s="254"/>
      <c r="I644" s="500"/>
      <c r="J644" s="181"/>
      <c r="K644" s="500"/>
      <c r="L644" s="181"/>
      <c r="M644" s="253"/>
      <c r="N644" s="254"/>
      <c r="O644" s="500"/>
      <c r="P644" s="181"/>
      <c r="Q644" s="492"/>
      <c r="R644" s="254"/>
      <c r="S644" s="501"/>
      <c r="T644" s="101"/>
      <c r="U644" s="253"/>
      <c r="V644" s="254"/>
      <c r="W644" s="254"/>
      <c r="X644" s="254"/>
      <c r="Y644" s="254"/>
      <c r="Z644" s="254"/>
    </row>
    <row r="645">
      <c r="A645" s="492"/>
      <c r="B645" s="254"/>
      <c r="C645" s="492"/>
      <c r="D645" s="181"/>
      <c r="E645" s="492"/>
      <c r="F645" s="254"/>
      <c r="G645" s="492"/>
      <c r="H645" s="254"/>
      <c r="I645" s="500"/>
      <c r="J645" s="181"/>
      <c r="K645" s="500"/>
      <c r="L645" s="181"/>
      <c r="M645" s="253"/>
      <c r="N645" s="254"/>
      <c r="O645" s="500"/>
      <c r="P645" s="181"/>
      <c r="Q645" s="492"/>
      <c r="R645" s="254"/>
      <c r="S645" s="501"/>
      <c r="T645" s="101"/>
      <c r="U645" s="253"/>
      <c r="V645" s="254"/>
      <c r="W645" s="254"/>
      <c r="X645" s="254"/>
      <c r="Y645" s="254"/>
      <c r="Z645" s="254"/>
    </row>
    <row r="646">
      <c r="A646" s="492"/>
      <c r="B646" s="254"/>
      <c r="C646" s="492"/>
      <c r="D646" s="181"/>
      <c r="E646" s="492"/>
      <c r="F646" s="254"/>
      <c r="G646" s="492"/>
      <c r="H646" s="254"/>
      <c r="I646" s="500"/>
      <c r="J646" s="181"/>
      <c r="K646" s="500"/>
      <c r="L646" s="181"/>
      <c r="M646" s="253"/>
      <c r="N646" s="254"/>
      <c r="O646" s="500"/>
      <c r="P646" s="181"/>
      <c r="Q646" s="492"/>
      <c r="R646" s="254"/>
      <c r="S646" s="501"/>
      <c r="T646" s="101"/>
      <c r="U646" s="253"/>
      <c r="V646" s="254"/>
      <c r="W646" s="254"/>
      <c r="X646" s="254"/>
      <c r="Y646" s="254"/>
      <c r="Z646" s="254"/>
    </row>
    <row r="647">
      <c r="A647" s="492"/>
      <c r="B647" s="254"/>
      <c r="C647" s="492"/>
      <c r="D647" s="181"/>
      <c r="E647" s="492"/>
      <c r="F647" s="254"/>
      <c r="G647" s="492"/>
      <c r="H647" s="254"/>
      <c r="I647" s="500"/>
      <c r="J647" s="181"/>
      <c r="K647" s="500"/>
      <c r="L647" s="181"/>
      <c r="M647" s="253"/>
      <c r="N647" s="254"/>
      <c r="O647" s="500"/>
      <c r="P647" s="181"/>
      <c r="Q647" s="492"/>
      <c r="R647" s="254"/>
      <c r="S647" s="501"/>
      <c r="T647" s="101"/>
      <c r="U647" s="253"/>
      <c r="V647" s="254"/>
      <c r="W647" s="254"/>
      <c r="X647" s="254"/>
      <c r="Y647" s="254"/>
      <c r="Z647" s="254"/>
    </row>
    <row r="648">
      <c r="A648" s="492"/>
      <c r="B648" s="254"/>
      <c r="C648" s="492"/>
      <c r="D648" s="181"/>
      <c r="E648" s="492"/>
      <c r="F648" s="254"/>
      <c r="G648" s="492"/>
      <c r="H648" s="254"/>
      <c r="I648" s="500"/>
      <c r="J648" s="181"/>
      <c r="K648" s="500"/>
      <c r="L648" s="181"/>
      <c r="M648" s="253"/>
      <c r="N648" s="254"/>
      <c r="O648" s="500"/>
      <c r="P648" s="181"/>
      <c r="Q648" s="492"/>
      <c r="R648" s="254"/>
      <c r="S648" s="501"/>
      <c r="T648" s="101"/>
      <c r="U648" s="253"/>
      <c r="V648" s="254"/>
      <c r="W648" s="254"/>
      <c r="X648" s="254"/>
      <c r="Y648" s="254"/>
      <c r="Z648" s="254"/>
    </row>
    <row r="649">
      <c r="A649" s="492"/>
      <c r="B649" s="254"/>
      <c r="C649" s="492"/>
      <c r="D649" s="181"/>
      <c r="E649" s="492"/>
      <c r="F649" s="254"/>
      <c r="G649" s="492"/>
      <c r="H649" s="254"/>
      <c r="I649" s="500"/>
      <c r="J649" s="181"/>
      <c r="K649" s="500"/>
      <c r="L649" s="181"/>
      <c r="M649" s="253"/>
      <c r="N649" s="254"/>
      <c r="O649" s="500"/>
      <c r="P649" s="181"/>
      <c r="Q649" s="492"/>
      <c r="R649" s="254"/>
      <c r="S649" s="501"/>
      <c r="T649" s="101"/>
      <c r="U649" s="253"/>
      <c r="V649" s="254"/>
      <c r="W649" s="254"/>
      <c r="X649" s="254"/>
      <c r="Y649" s="254"/>
      <c r="Z649" s="254"/>
    </row>
    <row r="650">
      <c r="A650" s="492"/>
      <c r="B650" s="254"/>
      <c r="C650" s="492"/>
      <c r="D650" s="181"/>
      <c r="E650" s="492"/>
      <c r="F650" s="254"/>
      <c r="G650" s="492"/>
      <c r="H650" s="254"/>
      <c r="I650" s="500"/>
      <c r="J650" s="181"/>
      <c r="K650" s="500"/>
      <c r="L650" s="181"/>
      <c r="M650" s="253"/>
      <c r="N650" s="254"/>
      <c r="O650" s="500"/>
      <c r="P650" s="181"/>
      <c r="Q650" s="492"/>
      <c r="R650" s="254"/>
      <c r="S650" s="501"/>
      <c r="T650" s="101"/>
      <c r="U650" s="253"/>
      <c r="V650" s="254"/>
      <c r="W650" s="254"/>
      <c r="X650" s="254"/>
      <c r="Y650" s="254"/>
      <c r="Z650" s="254"/>
    </row>
    <row r="651">
      <c r="A651" s="492"/>
      <c r="B651" s="254"/>
      <c r="C651" s="492"/>
      <c r="D651" s="181"/>
      <c r="E651" s="492"/>
      <c r="F651" s="254"/>
      <c r="G651" s="492"/>
      <c r="H651" s="254"/>
      <c r="I651" s="500"/>
      <c r="J651" s="181"/>
      <c r="K651" s="500"/>
      <c r="L651" s="181"/>
      <c r="M651" s="253"/>
      <c r="N651" s="254"/>
      <c r="O651" s="500"/>
      <c r="P651" s="181"/>
      <c r="Q651" s="492"/>
      <c r="R651" s="254"/>
      <c r="S651" s="501"/>
      <c r="T651" s="101"/>
      <c r="U651" s="253"/>
      <c r="V651" s="254"/>
      <c r="W651" s="254"/>
      <c r="X651" s="254"/>
      <c r="Y651" s="254"/>
      <c r="Z651" s="254"/>
    </row>
    <row r="652">
      <c r="A652" s="492"/>
      <c r="B652" s="254"/>
      <c r="C652" s="492"/>
      <c r="D652" s="181"/>
      <c r="E652" s="492"/>
      <c r="F652" s="254"/>
      <c r="G652" s="492"/>
      <c r="H652" s="254"/>
      <c r="I652" s="500"/>
      <c r="J652" s="181"/>
      <c r="K652" s="500"/>
      <c r="L652" s="181"/>
      <c r="M652" s="253"/>
      <c r="N652" s="254"/>
      <c r="O652" s="500"/>
      <c r="P652" s="181"/>
      <c r="Q652" s="492"/>
      <c r="R652" s="254"/>
      <c r="S652" s="501"/>
      <c r="T652" s="101"/>
      <c r="U652" s="253"/>
      <c r="V652" s="254"/>
      <c r="W652" s="254"/>
      <c r="X652" s="254"/>
      <c r="Y652" s="254"/>
      <c r="Z652" s="254"/>
    </row>
    <row r="653">
      <c r="A653" s="492"/>
      <c r="B653" s="254"/>
      <c r="C653" s="492"/>
      <c r="D653" s="181"/>
      <c r="E653" s="492"/>
      <c r="F653" s="254"/>
      <c r="G653" s="492"/>
      <c r="H653" s="254"/>
      <c r="I653" s="500"/>
      <c r="J653" s="181"/>
      <c r="K653" s="500"/>
      <c r="L653" s="181"/>
      <c r="M653" s="253"/>
      <c r="N653" s="254"/>
      <c r="O653" s="500"/>
      <c r="P653" s="181"/>
      <c r="Q653" s="492"/>
      <c r="R653" s="254"/>
      <c r="S653" s="501"/>
      <c r="T653" s="101"/>
      <c r="U653" s="253"/>
      <c r="V653" s="254"/>
      <c r="W653" s="254"/>
      <c r="X653" s="254"/>
      <c r="Y653" s="254"/>
      <c r="Z653" s="254"/>
    </row>
    <row r="654">
      <c r="A654" s="492"/>
      <c r="B654" s="254"/>
      <c r="C654" s="492"/>
      <c r="D654" s="181"/>
      <c r="E654" s="492"/>
      <c r="F654" s="254"/>
      <c r="G654" s="492"/>
      <c r="H654" s="254"/>
      <c r="I654" s="500"/>
      <c r="J654" s="181"/>
      <c r="K654" s="500"/>
      <c r="L654" s="181"/>
      <c r="M654" s="253"/>
      <c r="N654" s="254"/>
      <c r="O654" s="500"/>
      <c r="P654" s="181"/>
      <c r="Q654" s="492"/>
      <c r="R654" s="254"/>
      <c r="S654" s="501"/>
      <c r="T654" s="101"/>
      <c r="U654" s="253"/>
      <c r="V654" s="254"/>
      <c r="W654" s="254"/>
      <c r="X654" s="254"/>
      <c r="Y654" s="254"/>
      <c r="Z654" s="254"/>
    </row>
    <row r="655">
      <c r="A655" s="492"/>
      <c r="B655" s="254"/>
      <c r="C655" s="492"/>
      <c r="D655" s="181"/>
      <c r="E655" s="492"/>
      <c r="F655" s="254"/>
      <c r="G655" s="492"/>
      <c r="H655" s="254"/>
      <c r="I655" s="500"/>
      <c r="J655" s="181"/>
      <c r="K655" s="500"/>
      <c r="L655" s="181"/>
      <c r="M655" s="253"/>
      <c r="N655" s="254"/>
      <c r="O655" s="500"/>
      <c r="P655" s="181"/>
      <c r="Q655" s="492"/>
      <c r="R655" s="254"/>
      <c r="S655" s="501"/>
      <c r="T655" s="101"/>
      <c r="U655" s="253"/>
      <c r="V655" s="254"/>
      <c r="W655" s="254"/>
      <c r="X655" s="254"/>
      <c r="Y655" s="254"/>
      <c r="Z655" s="254"/>
    </row>
    <row r="656">
      <c r="A656" s="492"/>
      <c r="B656" s="254"/>
      <c r="C656" s="492"/>
      <c r="D656" s="181"/>
      <c r="E656" s="492"/>
      <c r="F656" s="254"/>
      <c r="G656" s="492"/>
      <c r="H656" s="254"/>
      <c r="I656" s="500"/>
      <c r="J656" s="181"/>
      <c r="K656" s="500"/>
      <c r="L656" s="181"/>
      <c r="M656" s="253"/>
      <c r="N656" s="254"/>
      <c r="O656" s="500"/>
      <c r="P656" s="181"/>
      <c r="Q656" s="492"/>
      <c r="R656" s="254"/>
      <c r="S656" s="501"/>
      <c r="T656" s="101"/>
      <c r="U656" s="253"/>
      <c r="V656" s="254"/>
      <c r="W656" s="254"/>
      <c r="X656" s="254"/>
      <c r="Y656" s="254"/>
      <c r="Z656" s="254"/>
    </row>
    <row r="657">
      <c r="A657" s="492"/>
      <c r="B657" s="254"/>
      <c r="C657" s="492"/>
      <c r="D657" s="181"/>
      <c r="E657" s="492"/>
      <c r="F657" s="254"/>
      <c r="G657" s="492"/>
      <c r="H657" s="254"/>
      <c r="I657" s="500"/>
      <c r="J657" s="181"/>
      <c r="K657" s="500"/>
      <c r="L657" s="181"/>
      <c r="M657" s="253"/>
      <c r="N657" s="254"/>
      <c r="O657" s="500"/>
      <c r="P657" s="181"/>
      <c r="Q657" s="492"/>
      <c r="R657" s="254"/>
      <c r="S657" s="501"/>
      <c r="T657" s="101"/>
      <c r="U657" s="253"/>
      <c r="V657" s="254"/>
      <c r="W657" s="254"/>
      <c r="X657" s="254"/>
      <c r="Y657" s="254"/>
      <c r="Z657" s="254"/>
    </row>
    <row r="658">
      <c r="A658" s="492"/>
      <c r="B658" s="254"/>
      <c r="C658" s="492"/>
      <c r="D658" s="181"/>
      <c r="E658" s="492"/>
      <c r="F658" s="254"/>
      <c r="G658" s="492"/>
      <c r="H658" s="254"/>
      <c r="I658" s="500"/>
      <c r="J658" s="181"/>
      <c r="K658" s="500"/>
      <c r="L658" s="181"/>
      <c r="M658" s="253"/>
      <c r="N658" s="254"/>
      <c r="O658" s="500"/>
      <c r="P658" s="181"/>
      <c r="Q658" s="492"/>
      <c r="R658" s="254"/>
      <c r="S658" s="501"/>
      <c r="T658" s="101"/>
      <c r="U658" s="253"/>
      <c r="V658" s="254"/>
      <c r="W658" s="254"/>
      <c r="X658" s="254"/>
      <c r="Y658" s="254"/>
      <c r="Z658" s="254"/>
    </row>
    <row r="659">
      <c r="A659" s="492"/>
      <c r="B659" s="254"/>
      <c r="C659" s="492"/>
      <c r="D659" s="181"/>
      <c r="E659" s="492"/>
      <c r="F659" s="254"/>
      <c r="G659" s="492"/>
      <c r="H659" s="254"/>
      <c r="I659" s="500"/>
      <c r="J659" s="181"/>
      <c r="K659" s="500"/>
      <c r="L659" s="181"/>
      <c r="M659" s="253"/>
      <c r="N659" s="254"/>
      <c r="O659" s="500"/>
      <c r="P659" s="181"/>
      <c r="Q659" s="492"/>
      <c r="R659" s="254"/>
      <c r="S659" s="501"/>
      <c r="T659" s="101"/>
      <c r="U659" s="253"/>
      <c r="V659" s="254"/>
      <c r="W659" s="254"/>
      <c r="X659" s="254"/>
      <c r="Y659" s="254"/>
      <c r="Z659" s="254"/>
    </row>
    <row r="660">
      <c r="A660" s="492"/>
      <c r="B660" s="254"/>
      <c r="C660" s="492"/>
      <c r="D660" s="181"/>
      <c r="E660" s="492"/>
      <c r="F660" s="254"/>
      <c r="G660" s="492"/>
      <c r="H660" s="254"/>
      <c r="I660" s="500"/>
      <c r="J660" s="181"/>
      <c r="K660" s="500"/>
      <c r="L660" s="181"/>
      <c r="M660" s="253"/>
      <c r="N660" s="254"/>
      <c r="O660" s="500"/>
      <c r="P660" s="181"/>
      <c r="Q660" s="492"/>
      <c r="R660" s="254"/>
      <c r="S660" s="501"/>
      <c r="T660" s="101"/>
      <c r="U660" s="253"/>
      <c r="V660" s="254"/>
      <c r="W660" s="254"/>
      <c r="X660" s="254"/>
      <c r="Y660" s="254"/>
      <c r="Z660" s="254"/>
    </row>
    <row r="661">
      <c r="A661" s="492"/>
      <c r="B661" s="254"/>
      <c r="C661" s="492"/>
      <c r="D661" s="181"/>
      <c r="E661" s="492"/>
      <c r="F661" s="254"/>
      <c r="G661" s="492"/>
      <c r="H661" s="254"/>
      <c r="I661" s="500"/>
      <c r="J661" s="181"/>
      <c r="K661" s="500"/>
      <c r="L661" s="181"/>
      <c r="M661" s="253"/>
      <c r="N661" s="254"/>
      <c r="O661" s="500"/>
      <c r="P661" s="181"/>
      <c r="Q661" s="492"/>
      <c r="R661" s="254"/>
      <c r="S661" s="501"/>
      <c r="T661" s="101"/>
      <c r="U661" s="253"/>
      <c r="V661" s="254"/>
      <c r="W661" s="254"/>
      <c r="X661" s="254"/>
      <c r="Y661" s="254"/>
      <c r="Z661" s="254"/>
    </row>
    <row r="662">
      <c r="A662" s="492"/>
      <c r="B662" s="254"/>
      <c r="C662" s="492"/>
      <c r="D662" s="181"/>
      <c r="E662" s="492"/>
      <c r="F662" s="254"/>
      <c r="G662" s="492"/>
      <c r="H662" s="254"/>
      <c r="I662" s="500"/>
      <c r="J662" s="181"/>
      <c r="K662" s="500"/>
      <c r="L662" s="181"/>
      <c r="M662" s="253"/>
      <c r="N662" s="254"/>
      <c r="O662" s="500"/>
      <c r="P662" s="181"/>
      <c r="Q662" s="492"/>
      <c r="R662" s="254"/>
      <c r="S662" s="501"/>
      <c r="T662" s="101"/>
      <c r="U662" s="253"/>
      <c r="V662" s="254"/>
      <c r="W662" s="254"/>
      <c r="X662" s="254"/>
      <c r="Y662" s="254"/>
      <c r="Z662" s="254"/>
    </row>
    <row r="663">
      <c r="A663" s="492"/>
      <c r="B663" s="254"/>
      <c r="C663" s="492"/>
      <c r="D663" s="181"/>
      <c r="E663" s="492"/>
      <c r="F663" s="254"/>
      <c r="G663" s="492"/>
      <c r="H663" s="254"/>
      <c r="I663" s="500"/>
      <c r="J663" s="181"/>
      <c r="K663" s="500"/>
      <c r="L663" s="181"/>
      <c r="M663" s="253"/>
      <c r="N663" s="254"/>
      <c r="O663" s="500"/>
      <c r="P663" s="181"/>
      <c r="Q663" s="492"/>
      <c r="R663" s="254"/>
      <c r="S663" s="501"/>
      <c r="T663" s="101"/>
      <c r="U663" s="253"/>
      <c r="V663" s="254"/>
      <c r="W663" s="254"/>
      <c r="X663" s="254"/>
      <c r="Y663" s="254"/>
      <c r="Z663" s="254"/>
    </row>
    <row r="664">
      <c r="A664" s="492"/>
      <c r="B664" s="254"/>
      <c r="C664" s="492"/>
      <c r="D664" s="181"/>
      <c r="E664" s="492"/>
      <c r="F664" s="254"/>
      <c r="G664" s="492"/>
      <c r="H664" s="254"/>
      <c r="I664" s="500"/>
      <c r="J664" s="181"/>
      <c r="K664" s="500"/>
      <c r="L664" s="181"/>
      <c r="M664" s="253"/>
      <c r="N664" s="254"/>
      <c r="O664" s="500"/>
      <c r="P664" s="181"/>
      <c r="Q664" s="492"/>
      <c r="R664" s="254"/>
      <c r="S664" s="501"/>
      <c r="T664" s="101"/>
      <c r="U664" s="253"/>
      <c r="V664" s="254"/>
      <c r="W664" s="254"/>
      <c r="X664" s="254"/>
      <c r="Y664" s="254"/>
      <c r="Z664" s="254"/>
    </row>
    <row r="665">
      <c r="A665" s="492"/>
      <c r="B665" s="254"/>
      <c r="C665" s="492"/>
      <c r="D665" s="181"/>
      <c r="E665" s="492"/>
      <c r="F665" s="254"/>
      <c r="G665" s="492"/>
      <c r="H665" s="254"/>
      <c r="I665" s="500"/>
      <c r="J665" s="181"/>
      <c r="K665" s="500"/>
      <c r="L665" s="181"/>
      <c r="M665" s="253"/>
      <c r="N665" s="254"/>
      <c r="O665" s="500"/>
      <c r="P665" s="181"/>
      <c r="Q665" s="492"/>
      <c r="R665" s="254"/>
      <c r="S665" s="501"/>
      <c r="T665" s="101"/>
      <c r="U665" s="253"/>
      <c r="V665" s="254"/>
      <c r="W665" s="254"/>
      <c r="X665" s="254"/>
      <c r="Y665" s="254"/>
      <c r="Z665" s="254"/>
    </row>
    <row r="666">
      <c r="A666" s="492"/>
      <c r="B666" s="254"/>
      <c r="C666" s="492"/>
      <c r="D666" s="181"/>
      <c r="E666" s="492"/>
      <c r="F666" s="254"/>
      <c r="G666" s="492"/>
      <c r="H666" s="254"/>
      <c r="I666" s="500"/>
      <c r="J666" s="181"/>
      <c r="K666" s="500"/>
      <c r="L666" s="181"/>
      <c r="M666" s="253"/>
      <c r="N666" s="254"/>
      <c r="O666" s="500"/>
      <c r="P666" s="181"/>
      <c r="Q666" s="492"/>
      <c r="R666" s="254"/>
      <c r="S666" s="501"/>
      <c r="T666" s="101"/>
      <c r="U666" s="253"/>
      <c r="V666" s="254"/>
      <c r="W666" s="254"/>
      <c r="X666" s="254"/>
      <c r="Y666" s="254"/>
      <c r="Z666" s="254"/>
    </row>
    <row r="667">
      <c r="A667" s="492"/>
      <c r="B667" s="254"/>
      <c r="C667" s="492"/>
      <c r="D667" s="181"/>
      <c r="E667" s="492"/>
      <c r="F667" s="254"/>
      <c r="G667" s="492"/>
      <c r="H667" s="254"/>
      <c r="I667" s="500"/>
      <c r="J667" s="181"/>
      <c r="K667" s="500"/>
      <c r="L667" s="181"/>
      <c r="M667" s="253"/>
      <c r="N667" s="254"/>
      <c r="O667" s="500"/>
      <c r="P667" s="181"/>
      <c r="Q667" s="492"/>
      <c r="R667" s="254"/>
      <c r="S667" s="501"/>
      <c r="T667" s="101"/>
      <c r="U667" s="253"/>
      <c r="V667" s="254"/>
      <c r="W667" s="254"/>
      <c r="X667" s="254"/>
      <c r="Y667" s="254"/>
      <c r="Z667" s="254"/>
    </row>
    <row r="668">
      <c r="A668" s="492"/>
      <c r="B668" s="254"/>
      <c r="C668" s="492"/>
      <c r="D668" s="181"/>
      <c r="E668" s="492"/>
      <c r="F668" s="254"/>
      <c r="G668" s="492"/>
      <c r="H668" s="254"/>
      <c r="I668" s="500"/>
      <c r="J668" s="181"/>
      <c r="K668" s="500"/>
      <c r="L668" s="181"/>
      <c r="M668" s="253"/>
      <c r="N668" s="254"/>
      <c r="O668" s="500"/>
      <c r="P668" s="181"/>
      <c r="Q668" s="492"/>
      <c r="R668" s="254"/>
      <c r="S668" s="501"/>
      <c r="T668" s="101"/>
      <c r="U668" s="253"/>
      <c r="V668" s="254"/>
      <c r="W668" s="254"/>
      <c r="X668" s="254"/>
      <c r="Y668" s="254"/>
      <c r="Z668" s="254"/>
    </row>
    <row r="669">
      <c r="A669" s="492"/>
      <c r="B669" s="254"/>
      <c r="C669" s="492"/>
      <c r="D669" s="181"/>
      <c r="E669" s="492"/>
      <c r="F669" s="254"/>
      <c r="G669" s="492"/>
      <c r="H669" s="254"/>
      <c r="I669" s="500"/>
      <c r="J669" s="181"/>
      <c r="K669" s="500"/>
      <c r="L669" s="181"/>
      <c r="M669" s="253"/>
      <c r="N669" s="254"/>
      <c r="O669" s="500"/>
      <c r="P669" s="181"/>
      <c r="Q669" s="492"/>
      <c r="R669" s="254"/>
      <c r="S669" s="501"/>
      <c r="T669" s="101"/>
      <c r="U669" s="253"/>
      <c r="V669" s="254"/>
      <c r="W669" s="254"/>
      <c r="X669" s="254"/>
      <c r="Y669" s="254"/>
      <c r="Z669" s="254"/>
    </row>
    <row r="670">
      <c r="A670" s="492"/>
      <c r="B670" s="254"/>
      <c r="C670" s="492"/>
      <c r="D670" s="181"/>
      <c r="E670" s="492"/>
      <c r="F670" s="254"/>
      <c r="G670" s="492"/>
      <c r="H670" s="254"/>
      <c r="I670" s="500"/>
      <c r="J670" s="181"/>
      <c r="K670" s="500"/>
      <c r="L670" s="181"/>
      <c r="M670" s="253"/>
      <c r="N670" s="254"/>
      <c r="O670" s="500"/>
      <c r="P670" s="181"/>
      <c r="Q670" s="492"/>
      <c r="R670" s="254"/>
      <c r="S670" s="501"/>
      <c r="T670" s="101"/>
      <c r="U670" s="253"/>
      <c r="V670" s="254"/>
      <c r="W670" s="254"/>
      <c r="X670" s="254"/>
      <c r="Y670" s="254"/>
      <c r="Z670" s="254"/>
    </row>
    <row r="671">
      <c r="A671" s="492"/>
      <c r="B671" s="254"/>
      <c r="C671" s="492"/>
      <c r="D671" s="181"/>
      <c r="E671" s="492"/>
      <c r="F671" s="254"/>
      <c r="G671" s="492"/>
      <c r="H671" s="254"/>
      <c r="I671" s="500"/>
      <c r="J671" s="181"/>
      <c r="K671" s="500"/>
      <c r="L671" s="181"/>
      <c r="M671" s="253"/>
      <c r="N671" s="254"/>
      <c r="O671" s="500"/>
      <c r="P671" s="181"/>
      <c r="Q671" s="492"/>
      <c r="R671" s="254"/>
      <c r="S671" s="501"/>
      <c r="T671" s="101"/>
      <c r="U671" s="253"/>
      <c r="V671" s="254"/>
      <c r="W671" s="254"/>
      <c r="X671" s="254"/>
      <c r="Y671" s="254"/>
      <c r="Z671" s="254"/>
    </row>
    <row r="672">
      <c r="A672" s="492"/>
      <c r="B672" s="254"/>
      <c r="C672" s="492"/>
      <c r="D672" s="181"/>
      <c r="E672" s="492"/>
      <c r="F672" s="254"/>
      <c r="G672" s="492"/>
      <c r="H672" s="254"/>
      <c r="I672" s="500"/>
      <c r="J672" s="181"/>
      <c r="K672" s="500"/>
      <c r="L672" s="181"/>
      <c r="M672" s="253"/>
      <c r="N672" s="254"/>
      <c r="O672" s="500"/>
      <c r="P672" s="181"/>
      <c r="Q672" s="492"/>
      <c r="R672" s="254"/>
      <c r="S672" s="501"/>
      <c r="T672" s="101"/>
      <c r="U672" s="253"/>
      <c r="V672" s="254"/>
      <c r="W672" s="254"/>
      <c r="X672" s="254"/>
      <c r="Y672" s="254"/>
      <c r="Z672" s="254"/>
    </row>
    <row r="673">
      <c r="A673" s="492"/>
      <c r="B673" s="254"/>
      <c r="C673" s="492"/>
      <c r="D673" s="181"/>
      <c r="E673" s="492"/>
      <c r="F673" s="254"/>
      <c r="G673" s="492"/>
      <c r="H673" s="254"/>
      <c r="I673" s="500"/>
      <c r="J673" s="181"/>
      <c r="K673" s="500"/>
      <c r="L673" s="181"/>
      <c r="M673" s="253"/>
      <c r="N673" s="254"/>
      <c r="O673" s="500"/>
      <c r="P673" s="181"/>
      <c r="Q673" s="492"/>
      <c r="R673" s="254"/>
      <c r="S673" s="501"/>
      <c r="T673" s="101"/>
      <c r="U673" s="253"/>
      <c r="V673" s="254"/>
      <c r="W673" s="254"/>
      <c r="X673" s="254"/>
      <c r="Y673" s="254"/>
      <c r="Z673" s="254"/>
    </row>
    <row r="674">
      <c r="A674" s="492"/>
      <c r="B674" s="254"/>
      <c r="C674" s="492"/>
      <c r="D674" s="181"/>
      <c r="E674" s="492"/>
      <c r="F674" s="254"/>
      <c r="G674" s="492"/>
      <c r="H674" s="254"/>
      <c r="I674" s="500"/>
      <c r="J674" s="181"/>
      <c r="K674" s="500"/>
      <c r="L674" s="181"/>
      <c r="M674" s="253"/>
      <c r="N674" s="254"/>
      <c r="O674" s="500"/>
      <c r="P674" s="181"/>
      <c r="Q674" s="492"/>
      <c r="R674" s="254"/>
      <c r="S674" s="501"/>
      <c r="T674" s="101"/>
      <c r="U674" s="253"/>
      <c r="V674" s="254"/>
      <c r="W674" s="254"/>
      <c r="X674" s="254"/>
      <c r="Y674" s="254"/>
      <c r="Z674" s="254"/>
    </row>
    <row r="675">
      <c r="A675" s="492"/>
      <c r="B675" s="254"/>
      <c r="C675" s="492"/>
      <c r="D675" s="181"/>
      <c r="E675" s="492"/>
      <c r="F675" s="254"/>
      <c r="G675" s="492"/>
      <c r="H675" s="254"/>
      <c r="I675" s="500"/>
      <c r="J675" s="181"/>
      <c r="K675" s="500"/>
      <c r="L675" s="181"/>
      <c r="M675" s="253"/>
      <c r="N675" s="254"/>
      <c r="O675" s="500"/>
      <c r="P675" s="181"/>
      <c r="Q675" s="492"/>
      <c r="R675" s="254"/>
      <c r="S675" s="501"/>
      <c r="T675" s="101"/>
      <c r="U675" s="253"/>
      <c r="V675" s="254"/>
      <c r="W675" s="254"/>
      <c r="X675" s="254"/>
      <c r="Y675" s="254"/>
      <c r="Z675" s="254"/>
    </row>
    <row r="676">
      <c r="A676" s="492"/>
      <c r="B676" s="254"/>
      <c r="C676" s="492"/>
      <c r="D676" s="181"/>
      <c r="E676" s="492"/>
      <c r="F676" s="254"/>
      <c r="G676" s="492"/>
      <c r="H676" s="254"/>
      <c r="I676" s="500"/>
      <c r="J676" s="181"/>
      <c r="K676" s="500"/>
      <c r="L676" s="181"/>
      <c r="M676" s="253"/>
      <c r="N676" s="254"/>
      <c r="O676" s="500"/>
      <c r="P676" s="181"/>
      <c r="Q676" s="492"/>
      <c r="R676" s="254"/>
      <c r="S676" s="501"/>
      <c r="T676" s="101"/>
      <c r="U676" s="253"/>
      <c r="V676" s="254"/>
      <c r="W676" s="254"/>
      <c r="X676" s="254"/>
      <c r="Y676" s="254"/>
      <c r="Z676" s="254"/>
    </row>
    <row r="677">
      <c r="A677" s="492"/>
      <c r="B677" s="254"/>
      <c r="C677" s="492"/>
      <c r="D677" s="181"/>
      <c r="E677" s="492"/>
      <c r="F677" s="254"/>
      <c r="G677" s="492"/>
      <c r="H677" s="254"/>
      <c r="I677" s="500"/>
      <c r="J677" s="181"/>
      <c r="K677" s="500"/>
      <c r="L677" s="181"/>
      <c r="M677" s="253"/>
      <c r="N677" s="254"/>
      <c r="O677" s="500"/>
      <c r="P677" s="181"/>
      <c r="Q677" s="492"/>
      <c r="R677" s="254"/>
      <c r="S677" s="501"/>
      <c r="T677" s="101"/>
      <c r="U677" s="253"/>
      <c r="V677" s="254"/>
      <c r="W677" s="254"/>
      <c r="X677" s="254"/>
      <c r="Y677" s="254"/>
      <c r="Z677" s="254"/>
    </row>
    <row r="678">
      <c r="A678" s="492"/>
      <c r="B678" s="254"/>
      <c r="C678" s="492"/>
      <c r="D678" s="181"/>
      <c r="E678" s="492"/>
      <c r="F678" s="254"/>
      <c r="G678" s="492"/>
      <c r="H678" s="254"/>
      <c r="I678" s="500"/>
      <c r="J678" s="181"/>
      <c r="K678" s="500"/>
      <c r="L678" s="181"/>
      <c r="M678" s="253"/>
      <c r="N678" s="254"/>
      <c r="O678" s="500"/>
      <c r="P678" s="181"/>
      <c r="Q678" s="492"/>
      <c r="R678" s="254"/>
      <c r="S678" s="501"/>
      <c r="T678" s="101"/>
      <c r="U678" s="253"/>
      <c r="V678" s="254"/>
      <c r="W678" s="254"/>
      <c r="X678" s="254"/>
      <c r="Y678" s="254"/>
      <c r="Z678" s="254"/>
    </row>
    <row r="679">
      <c r="A679" s="492"/>
      <c r="B679" s="254"/>
      <c r="C679" s="492"/>
      <c r="D679" s="181"/>
      <c r="E679" s="492"/>
      <c r="F679" s="254"/>
      <c r="G679" s="492"/>
      <c r="H679" s="254"/>
      <c r="I679" s="500"/>
      <c r="J679" s="181"/>
      <c r="K679" s="500"/>
      <c r="L679" s="181"/>
      <c r="M679" s="253"/>
      <c r="N679" s="254"/>
      <c r="O679" s="500"/>
      <c r="P679" s="181"/>
      <c r="Q679" s="492"/>
      <c r="R679" s="254"/>
      <c r="S679" s="501"/>
      <c r="T679" s="101"/>
      <c r="U679" s="253"/>
      <c r="V679" s="254"/>
      <c r="W679" s="254"/>
      <c r="X679" s="254"/>
      <c r="Y679" s="254"/>
      <c r="Z679" s="254"/>
    </row>
    <row r="680">
      <c r="A680" s="492"/>
      <c r="B680" s="254"/>
      <c r="C680" s="492"/>
      <c r="D680" s="181"/>
      <c r="E680" s="492"/>
      <c r="F680" s="254"/>
      <c r="G680" s="492"/>
      <c r="H680" s="254"/>
      <c r="I680" s="500"/>
      <c r="J680" s="181"/>
      <c r="K680" s="500"/>
      <c r="L680" s="181"/>
      <c r="M680" s="253"/>
      <c r="N680" s="254"/>
      <c r="O680" s="500"/>
      <c r="P680" s="181"/>
      <c r="Q680" s="492"/>
      <c r="R680" s="254"/>
      <c r="S680" s="501"/>
      <c r="T680" s="101"/>
      <c r="U680" s="253"/>
      <c r="V680" s="254"/>
      <c r="W680" s="254"/>
      <c r="X680" s="254"/>
      <c r="Y680" s="254"/>
      <c r="Z680" s="254"/>
    </row>
    <row r="681">
      <c r="A681" s="492"/>
      <c r="B681" s="254"/>
      <c r="C681" s="492"/>
      <c r="D681" s="181"/>
      <c r="E681" s="492"/>
      <c r="F681" s="254"/>
      <c r="G681" s="492"/>
      <c r="H681" s="254"/>
      <c r="I681" s="500"/>
      <c r="J681" s="181"/>
      <c r="K681" s="500"/>
      <c r="L681" s="181"/>
      <c r="M681" s="253"/>
      <c r="N681" s="254"/>
      <c r="O681" s="500"/>
      <c r="P681" s="181"/>
      <c r="Q681" s="492"/>
      <c r="R681" s="254"/>
      <c r="S681" s="501"/>
      <c r="T681" s="101"/>
      <c r="U681" s="253"/>
      <c r="V681" s="254"/>
      <c r="W681" s="254"/>
      <c r="X681" s="254"/>
      <c r="Y681" s="254"/>
      <c r="Z681" s="254"/>
    </row>
    <row r="682">
      <c r="A682" s="492"/>
      <c r="B682" s="254"/>
      <c r="C682" s="492"/>
      <c r="D682" s="181"/>
      <c r="E682" s="492"/>
      <c r="F682" s="254"/>
      <c r="G682" s="492"/>
      <c r="H682" s="254"/>
      <c r="I682" s="500"/>
      <c r="J682" s="181"/>
      <c r="K682" s="500"/>
      <c r="L682" s="181"/>
      <c r="M682" s="253"/>
      <c r="N682" s="254"/>
      <c r="O682" s="500"/>
      <c r="P682" s="181"/>
      <c r="Q682" s="492"/>
      <c r="R682" s="254"/>
      <c r="S682" s="501"/>
      <c r="T682" s="101"/>
      <c r="U682" s="253"/>
      <c r="V682" s="254"/>
      <c r="W682" s="254"/>
      <c r="X682" s="254"/>
      <c r="Y682" s="254"/>
      <c r="Z682" s="254"/>
    </row>
    <row r="683">
      <c r="A683" s="492"/>
      <c r="B683" s="254"/>
      <c r="C683" s="492"/>
      <c r="D683" s="181"/>
      <c r="E683" s="492"/>
      <c r="F683" s="254"/>
      <c r="G683" s="492"/>
      <c r="H683" s="254"/>
      <c r="I683" s="500"/>
      <c r="J683" s="181"/>
      <c r="K683" s="500"/>
      <c r="L683" s="181"/>
      <c r="M683" s="253"/>
      <c r="N683" s="254"/>
      <c r="O683" s="500"/>
      <c r="P683" s="181"/>
      <c r="Q683" s="492"/>
      <c r="R683" s="254"/>
      <c r="S683" s="501"/>
      <c r="T683" s="101"/>
      <c r="U683" s="253"/>
      <c r="V683" s="254"/>
      <c r="W683" s="254"/>
      <c r="X683" s="254"/>
      <c r="Y683" s="254"/>
      <c r="Z683" s="254"/>
    </row>
    <row r="684">
      <c r="A684" s="492"/>
      <c r="B684" s="254"/>
      <c r="C684" s="492"/>
      <c r="D684" s="181"/>
      <c r="E684" s="492"/>
      <c r="F684" s="254"/>
      <c r="G684" s="492"/>
      <c r="H684" s="254"/>
      <c r="I684" s="500"/>
      <c r="J684" s="181"/>
      <c r="K684" s="500"/>
      <c r="L684" s="181"/>
      <c r="M684" s="253"/>
      <c r="N684" s="254"/>
      <c r="O684" s="500"/>
      <c r="P684" s="181"/>
      <c r="Q684" s="492"/>
      <c r="R684" s="254"/>
      <c r="S684" s="501"/>
      <c r="T684" s="101"/>
      <c r="U684" s="253"/>
      <c r="V684" s="254"/>
      <c r="W684" s="254"/>
      <c r="X684" s="254"/>
      <c r="Y684" s="254"/>
      <c r="Z684" s="254"/>
    </row>
    <row r="685">
      <c r="A685" s="492"/>
      <c r="B685" s="254"/>
      <c r="C685" s="492"/>
      <c r="D685" s="181"/>
      <c r="E685" s="492"/>
      <c r="F685" s="254"/>
      <c r="G685" s="492"/>
      <c r="H685" s="254"/>
      <c r="I685" s="500"/>
      <c r="J685" s="181"/>
      <c r="K685" s="500"/>
      <c r="L685" s="181"/>
      <c r="M685" s="253"/>
      <c r="N685" s="254"/>
      <c r="O685" s="500"/>
      <c r="P685" s="181"/>
      <c r="Q685" s="492"/>
      <c r="R685" s="254"/>
      <c r="S685" s="501"/>
      <c r="T685" s="101"/>
      <c r="U685" s="253"/>
      <c r="V685" s="254"/>
      <c r="W685" s="254"/>
      <c r="X685" s="254"/>
      <c r="Y685" s="254"/>
      <c r="Z685" s="254"/>
    </row>
    <row r="686">
      <c r="A686" s="492"/>
      <c r="B686" s="254"/>
      <c r="C686" s="492"/>
      <c r="D686" s="181"/>
      <c r="E686" s="492"/>
      <c r="F686" s="254"/>
      <c r="G686" s="492"/>
      <c r="H686" s="254"/>
      <c r="I686" s="500"/>
      <c r="J686" s="181"/>
      <c r="K686" s="500"/>
      <c r="L686" s="181"/>
      <c r="M686" s="253"/>
      <c r="N686" s="254"/>
      <c r="O686" s="500"/>
      <c r="P686" s="181"/>
      <c r="Q686" s="492"/>
      <c r="R686" s="254"/>
      <c r="S686" s="501"/>
      <c r="T686" s="101"/>
      <c r="U686" s="253"/>
      <c r="V686" s="254"/>
      <c r="W686" s="254"/>
      <c r="X686" s="254"/>
      <c r="Y686" s="254"/>
      <c r="Z686" s="254"/>
    </row>
    <row r="687">
      <c r="A687" s="492"/>
      <c r="B687" s="254"/>
      <c r="C687" s="492"/>
      <c r="D687" s="181"/>
      <c r="E687" s="492"/>
      <c r="F687" s="254"/>
      <c r="G687" s="492"/>
      <c r="H687" s="254"/>
      <c r="I687" s="500"/>
      <c r="J687" s="181"/>
      <c r="K687" s="500"/>
      <c r="L687" s="181"/>
      <c r="M687" s="253"/>
      <c r="N687" s="254"/>
      <c r="O687" s="500"/>
      <c r="P687" s="181"/>
      <c r="Q687" s="492"/>
      <c r="R687" s="254"/>
      <c r="S687" s="501"/>
      <c r="T687" s="101"/>
      <c r="U687" s="253"/>
      <c r="V687" s="254"/>
      <c r="W687" s="254"/>
      <c r="X687" s="254"/>
      <c r="Y687" s="254"/>
      <c r="Z687" s="254"/>
    </row>
    <row r="688">
      <c r="A688" s="492"/>
      <c r="B688" s="254"/>
      <c r="C688" s="492"/>
      <c r="D688" s="181"/>
      <c r="E688" s="492"/>
      <c r="F688" s="254"/>
      <c r="G688" s="492"/>
      <c r="H688" s="254"/>
      <c r="I688" s="500"/>
      <c r="J688" s="181"/>
      <c r="K688" s="500"/>
      <c r="L688" s="181"/>
      <c r="M688" s="253"/>
      <c r="N688" s="254"/>
      <c r="O688" s="500"/>
      <c r="P688" s="181"/>
      <c r="Q688" s="492"/>
      <c r="R688" s="254"/>
      <c r="S688" s="501"/>
      <c r="T688" s="101"/>
      <c r="U688" s="253"/>
      <c r="V688" s="254"/>
      <c r="W688" s="254"/>
      <c r="X688" s="254"/>
      <c r="Y688" s="254"/>
      <c r="Z688" s="254"/>
    </row>
    <row r="689">
      <c r="A689" s="492"/>
      <c r="B689" s="254"/>
      <c r="C689" s="492"/>
      <c r="D689" s="181"/>
      <c r="E689" s="492"/>
      <c r="F689" s="254"/>
      <c r="G689" s="492"/>
      <c r="H689" s="254"/>
      <c r="I689" s="500"/>
      <c r="J689" s="181"/>
      <c r="K689" s="500"/>
      <c r="L689" s="181"/>
      <c r="M689" s="253"/>
      <c r="N689" s="254"/>
      <c r="O689" s="500"/>
      <c r="P689" s="181"/>
      <c r="Q689" s="492"/>
      <c r="R689" s="254"/>
      <c r="S689" s="501"/>
      <c r="T689" s="101"/>
      <c r="U689" s="253"/>
      <c r="V689" s="254"/>
      <c r="W689" s="254"/>
      <c r="X689" s="254"/>
      <c r="Y689" s="254"/>
      <c r="Z689" s="254"/>
    </row>
    <row r="690">
      <c r="A690" s="492"/>
      <c r="B690" s="254"/>
      <c r="C690" s="492"/>
      <c r="D690" s="181"/>
      <c r="E690" s="492"/>
      <c r="F690" s="254"/>
      <c r="G690" s="492"/>
      <c r="H690" s="254"/>
      <c r="I690" s="500"/>
      <c r="J690" s="181"/>
      <c r="K690" s="500"/>
      <c r="L690" s="181"/>
      <c r="M690" s="253"/>
      <c r="N690" s="254"/>
      <c r="O690" s="500"/>
      <c r="P690" s="181"/>
      <c r="Q690" s="492"/>
      <c r="R690" s="254"/>
      <c r="S690" s="501"/>
      <c r="T690" s="101"/>
      <c r="U690" s="253"/>
      <c r="V690" s="254"/>
      <c r="W690" s="254"/>
      <c r="X690" s="254"/>
      <c r="Y690" s="254"/>
      <c r="Z690" s="254"/>
    </row>
    <row r="691">
      <c r="A691" s="492"/>
      <c r="B691" s="254"/>
      <c r="C691" s="492"/>
      <c r="D691" s="181"/>
      <c r="E691" s="492"/>
      <c r="F691" s="254"/>
      <c r="G691" s="492"/>
      <c r="H691" s="254"/>
      <c r="I691" s="500"/>
      <c r="J691" s="181"/>
      <c r="K691" s="500"/>
      <c r="L691" s="181"/>
      <c r="M691" s="253"/>
      <c r="N691" s="254"/>
      <c r="O691" s="500"/>
      <c r="P691" s="181"/>
      <c r="Q691" s="492"/>
      <c r="R691" s="254"/>
      <c r="S691" s="501"/>
      <c r="T691" s="101"/>
      <c r="U691" s="253"/>
      <c r="V691" s="254"/>
      <c r="W691" s="254"/>
      <c r="X691" s="254"/>
      <c r="Y691" s="254"/>
      <c r="Z691" s="254"/>
    </row>
    <row r="692">
      <c r="A692" s="492"/>
      <c r="B692" s="254"/>
      <c r="C692" s="492"/>
      <c r="D692" s="181"/>
      <c r="E692" s="492"/>
      <c r="F692" s="254"/>
      <c r="G692" s="492"/>
      <c r="H692" s="254"/>
      <c r="I692" s="500"/>
      <c r="J692" s="181"/>
      <c r="K692" s="500"/>
      <c r="L692" s="181"/>
      <c r="M692" s="253"/>
      <c r="N692" s="254"/>
      <c r="O692" s="500"/>
      <c r="P692" s="181"/>
      <c r="Q692" s="492"/>
      <c r="R692" s="254"/>
      <c r="S692" s="501"/>
      <c r="T692" s="101"/>
      <c r="U692" s="253"/>
      <c r="V692" s="254"/>
      <c r="W692" s="254"/>
      <c r="X692" s="254"/>
      <c r="Y692" s="254"/>
      <c r="Z692" s="254"/>
    </row>
    <row r="693">
      <c r="A693" s="492"/>
      <c r="B693" s="254"/>
      <c r="C693" s="492"/>
      <c r="D693" s="181"/>
      <c r="E693" s="492"/>
      <c r="F693" s="254"/>
      <c r="G693" s="492"/>
      <c r="H693" s="254"/>
      <c r="I693" s="500"/>
      <c r="J693" s="181"/>
      <c r="K693" s="500"/>
      <c r="L693" s="181"/>
      <c r="M693" s="253"/>
      <c r="N693" s="254"/>
      <c r="O693" s="500"/>
      <c r="P693" s="181"/>
      <c r="Q693" s="492"/>
      <c r="R693" s="254"/>
      <c r="S693" s="501"/>
      <c r="T693" s="101"/>
      <c r="U693" s="253"/>
      <c r="V693" s="254"/>
      <c r="W693" s="254"/>
      <c r="X693" s="254"/>
      <c r="Y693" s="254"/>
      <c r="Z693" s="254"/>
    </row>
    <row r="694">
      <c r="A694" s="492"/>
      <c r="B694" s="254"/>
      <c r="C694" s="492"/>
      <c r="D694" s="181"/>
      <c r="E694" s="492"/>
      <c r="F694" s="254"/>
      <c r="G694" s="492"/>
      <c r="H694" s="254"/>
      <c r="I694" s="500"/>
      <c r="J694" s="181"/>
      <c r="K694" s="500"/>
      <c r="L694" s="181"/>
      <c r="M694" s="253"/>
      <c r="N694" s="254"/>
      <c r="O694" s="500"/>
      <c r="P694" s="181"/>
      <c r="Q694" s="492"/>
      <c r="R694" s="254"/>
      <c r="S694" s="501"/>
      <c r="T694" s="101"/>
      <c r="U694" s="253"/>
      <c r="V694" s="254"/>
      <c r="W694" s="254"/>
      <c r="X694" s="254"/>
      <c r="Y694" s="254"/>
      <c r="Z694" s="254"/>
    </row>
    <row r="695">
      <c r="A695" s="492"/>
      <c r="B695" s="254"/>
      <c r="C695" s="492"/>
      <c r="D695" s="181"/>
      <c r="E695" s="492"/>
      <c r="F695" s="254"/>
      <c r="G695" s="492"/>
      <c r="H695" s="254"/>
      <c r="I695" s="500"/>
      <c r="J695" s="181"/>
      <c r="K695" s="500"/>
      <c r="L695" s="181"/>
      <c r="M695" s="253"/>
      <c r="N695" s="254"/>
      <c r="O695" s="500"/>
      <c r="P695" s="181"/>
      <c r="Q695" s="492"/>
      <c r="R695" s="254"/>
      <c r="S695" s="501"/>
      <c r="T695" s="101"/>
      <c r="U695" s="253"/>
      <c r="V695" s="254"/>
      <c r="W695" s="254"/>
      <c r="X695" s="254"/>
      <c r="Y695" s="254"/>
      <c r="Z695" s="254"/>
    </row>
    <row r="696">
      <c r="A696" s="492"/>
      <c r="B696" s="254"/>
      <c r="C696" s="492"/>
      <c r="D696" s="181"/>
      <c r="E696" s="492"/>
      <c r="F696" s="254"/>
      <c r="G696" s="492"/>
      <c r="H696" s="254"/>
      <c r="I696" s="500"/>
      <c r="J696" s="181"/>
      <c r="K696" s="500"/>
      <c r="L696" s="181"/>
      <c r="M696" s="253"/>
      <c r="N696" s="254"/>
      <c r="O696" s="500"/>
      <c r="P696" s="181"/>
      <c r="Q696" s="492"/>
      <c r="R696" s="254"/>
      <c r="S696" s="501"/>
      <c r="T696" s="101"/>
      <c r="U696" s="253"/>
      <c r="V696" s="254"/>
      <c r="W696" s="254"/>
      <c r="X696" s="254"/>
      <c r="Y696" s="254"/>
      <c r="Z696" s="254"/>
    </row>
    <row r="697">
      <c r="A697" s="492"/>
      <c r="B697" s="254"/>
      <c r="C697" s="492"/>
      <c r="D697" s="181"/>
      <c r="E697" s="492"/>
      <c r="F697" s="254"/>
      <c r="G697" s="492"/>
      <c r="H697" s="254"/>
      <c r="I697" s="500"/>
      <c r="J697" s="181"/>
      <c r="K697" s="500"/>
      <c r="L697" s="181"/>
      <c r="M697" s="253"/>
      <c r="N697" s="254"/>
      <c r="O697" s="500"/>
      <c r="P697" s="181"/>
      <c r="Q697" s="492"/>
      <c r="R697" s="254"/>
      <c r="S697" s="501"/>
      <c r="T697" s="101"/>
      <c r="U697" s="253"/>
      <c r="V697" s="254"/>
      <c r="W697" s="254"/>
      <c r="X697" s="254"/>
      <c r="Y697" s="254"/>
      <c r="Z697" s="254"/>
    </row>
    <row r="698">
      <c r="A698" s="492"/>
      <c r="B698" s="254"/>
      <c r="C698" s="492"/>
      <c r="D698" s="181"/>
      <c r="E698" s="492"/>
      <c r="F698" s="254"/>
      <c r="G698" s="492"/>
      <c r="H698" s="254"/>
      <c r="I698" s="500"/>
      <c r="J698" s="181"/>
      <c r="K698" s="500"/>
      <c r="L698" s="181"/>
      <c r="M698" s="253"/>
      <c r="N698" s="254"/>
      <c r="O698" s="500"/>
      <c r="P698" s="181"/>
      <c r="Q698" s="492"/>
      <c r="R698" s="254"/>
      <c r="S698" s="501"/>
      <c r="T698" s="101"/>
      <c r="U698" s="253"/>
      <c r="V698" s="254"/>
      <c r="W698" s="254"/>
      <c r="X698" s="254"/>
      <c r="Y698" s="254"/>
      <c r="Z698" s="254"/>
    </row>
    <row r="699">
      <c r="A699" s="492"/>
      <c r="B699" s="254"/>
      <c r="C699" s="492"/>
      <c r="D699" s="181"/>
      <c r="E699" s="492"/>
      <c r="F699" s="254"/>
      <c r="G699" s="492"/>
      <c r="H699" s="254"/>
      <c r="I699" s="500"/>
      <c r="J699" s="181"/>
      <c r="K699" s="500"/>
      <c r="L699" s="181"/>
      <c r="M699" s="253"/>
      <c r="N699" s="254"/>
      <c r="O699" s="500"/>
      <c r="P699" s="181"/>
      <c r="Q699" s="492"/>
      <c r="R699" s="254"/>
      <c r="S699" s="501"/>
      <c r="T699" s="101"/>
      <c r="U699" s="253"/>
      <c r="V699" s="254"/>
      <c r="W699" s="254"/>
      <c r="X699" s="254"/>
      <c r="Y699" s="254"/>
      <c r="Z699" s="254"/>
    </row>
    <row r="700">
      <c r="A700" s="492"/>
      <c r="B700" s="254"/>
      <c r="C700" s="492"/>
      <c r="D700" s="181"/>
      <c r="E700" s="492"/>
      <c r="F700" s="254"/>
      <c r="G700" s="492"/>
      <c r="H700" s="254"/>
      <c r="I700" s="500"/>
      <c r="J700" s="181"/>
      <c r="K700" s="500"/>
      <c r="L700" s="181"/>
      <c r="M700" s="253"/>
      <c r="N700" s="254"/>
      <c r="O700" s="500"/>
      <c r="P700" s="181"/>
      <c r="Q700" s="492"/>
      <c r="R700" s="254"/>
      <c r="S700" s="501"/>
      <c r="T700" s="101"/>
      <c r="U700" s="253"/>
      <c r="V700" s="254"/>
      <c r="W700" s="254"/>
      <c r="X700" s="254"/>
      <c r="Y700" s="254"/>
      <c r="Z700" s="254"/>
    </row>
    <row r="701">
      <c r="A701" s="492"/>
      <c r="B701" s="254"/>
      <c r="C701" s="492"/>
      <c r="D701" s="181"/>
      <c r="E701" s="492"/>
      <c r="F701" s="254"/>
      <c r="G701" s="492"/>
      <c r="H701" s="254"/>
      <c r="I701" s="500"/>
      <c r="J701" s="181"/>
      <c r="K701" s="500"/>
      <c r="L701" s="181"/>
      <c r="M701" s="253"/>
      <c r="N701" s="254"/>
      <c r="O701" s="500"/>
      <c r="P701" s="181"/>
      <c r="Q701" s="492"/>
      <c r="R701" s="254"/>
      <c r="S701" s="501"/>
      <c r="T701" s="101"/>
      <c r="U701" s="253"/>
      <c r="V701" s="254"/>
      <c r="W701" s="254"/>
      <c r="X701" s="254"/>
      <c r="Y701" s="254"/>
      <c r="Z701" s="254"/>
    </row>
    <row r="702">
      <c r="A702" s="492"/>
      <c r="B702" s="254"/>
      <c r="C702" s="492"/>
      <c r="D702" s="181"/>
      <c r="E702" s="492"/>
      <c r="F702" s="254"/>
      <c r="G702" s="492"/>
      <c r="H702" s="254"/>
      <c r="I702" s="500"/>
      <c r="J702" s="181"/>
      <c r="K702" s="500"/>
      <c r="L702" s="181"/>
      <c r="M702" s="253"/>
      <c r="N702" s="254"/>
      <c r="O702" s="500"/>
      <c r="P702" s="181"/>
      <c r="Q702" s="492"/>
      <c r="R702" s="254"/>
      <c r="S702" s="501"/>
      <c r="T702" s="101"/>
      <c r="U702" s="253"/>
      <c r="V702" s="254"/>
      <c r="W702" s="254"/>
      <c r="X702" s="254"/>
      <c r="Y702" s="254"/>
      <c r="Z702" s="254"/>
    </row>
    <row r="703">
      <c r="A703" s="492"/>
      <c r="B703" s="254"/>
      <c r="C703" s="492"/>
      <c r="D703" s="181"/>
      <c r="E703" s="492"/>
      <c r="F703" s="254"/>
      <c r="G703" s="492"/>
      <c r="H703" s="254"/>
      <c r="I703" s="500"/>
      <c r="J703" s="181"/>
      <c r="K703" s="500"/>
      <c r="L703" s="181"/>
      <c r="M703" s="253"/>
      <c r="N703" s="254"/>
      <c r="O703" s="500"/>
      <c r="P703" s="181"/>
      <c r="Q703" s="492"/>
      <c r="R703" s="254"/>
      <c r="S703" s="501"/>
      <c r="T703" s="101"/>
      <c r="U703" s="253"/>
      <c r="V703" s="254"/>
      <c r="W703" s="254"/>
      <c r="X703" s="254"/>
      <c r="Y703" s="254"/>
      <c r="Z703" s="254"/>
    </row>
    <row r="704">
      <c r="A704" s="492"/>
      <c r="B704" s="254"/>
      <c r="C704" s="492"/>
      <c r="D704" s="181"/>
      <c r="E704" s="492"/>
      <c r="F704" s="254"/>
      <c r="G704" s="492"/>
      <c r="H704" s="254"/>
      <c r="I704" s="500"/>
      <c r="J704" s="181"/>
      <c r="K704" s="500"/>
      <c r="L704" s="181"/>
      <c r="M704" s="253"/>
      <c r="N704" s="254"/>
      <c r="O704" s="500"/>
      <c r="P704" s="181"/>
      <c r="Q704" s="492"/>
      <c r="R704" s="254"/>
      <c r="S704" s="501"/>
      <c r="T704" s="101"/>
      <c r="U704" s="253"/>
      <c r="V704" s="254"/>
      <c r="W704" s="254"/>
      <c r="X704" s="254"/>
      <c r="Y704" s="254"/>
      <c r="Z704" s="254"/>
    </row>
    <row r="705">
      <c r="A705" s="492"/>
      <c r="B705" s="254"/>
      <c r="C705" s="492"/>
      <c r="D705" s="181"/>
      <c r="E705" s="492"/>
      <c r="F705" s="254"/>
      <c r="G705" s="492"/>
      <c r="H705" s="254"/>
      <c r="I705" s="500"/>
      <c r="J705" s="181"/>
      <c r="K705" s="500"/>
      <c r="L705" s="181"/>
      <c r="M705" s="253"/>
      <c r="N705" s="254"/>
      <c r="O705" s="500"/>
      <c r="P705" s="181"/>
      <c r="Q705" s="492"/>
      <c r="R705" s="254"/>
      <c r="S705" s="501"/>
      <c r="T705" s="101"/>
      <c r="U705" s="253"/>
      <c r="V705" s="254"/>
      <c r="W705" s="254"/>
      <c r="X705" s="254"/>
      <c r="Y705" s="254"/>
      <c r="Z705" s="254"/>
    </row>
    <row r="706">
      <c r="A706" s="492"/>
      <c r="B706" s="254"/>
      <c r="C706" s="492"/>
      <c r="D706" s="181"/>
      <c r="E706" s="492"/>
      <c r="F706" s="254"/>
      <c r="G706" s="492"/>
      <c r="H706" s="254"/>
      <c r="I706" s="500"/>
      <c r="J706" s="181"/>
      <c r="K706" s="500"/>
      <c r="L706" s="181"/>
      <c r="M706" s="253"/>
      <c r="N706" s="254"/>
      <c r="O706" s="500"/>
      <c r="P706" s="181"/>
      <c r="Q706" s="492"/>
      <c r="R706" s="254"/>
      <c r="S706" s="501"/>
      <c r="T706" s="101"/>
      <c r="U706" s="253"/>
      <c r="V706" s="254"/>
      <c r="W706" s="254"/>
      <c r="X706" s="254"/>
      <c r="Y706" s="254"/>
      <c r="Z706" s="254"/>
    </row>
    <row r="707">
      <c r="A707" s="492"/>
      <c r="B707" s="254"/>
      <c r="C707" s="492"/>
      <c r="D707" s="181"/>
      <c r="E707" s="492"/>
      <c r="F707" s="254"/>
      <c r="G707" s="492"/>
      <c r="H707" s="254"/>
      <c r="I707" s="500"/>
      <c r="J707" s="181"/>
      <c r="K707" s="500"/>
      <c r="L707" s="181"/>
      <c r="M707" s="253"/>
      <c r="N707" s="254"/>
      <c r="O707" s="500"/>
      <c r="P707" s="181"/>
      <c r="Q707" s="492"/>
      <c r="R707" s="254"/>
      <c r="S707" s="501"/>
      <c r="T707" s="101"/>
      <c r="U707" s="253"/>
      <c r="V707" s="254"/>
      <c r="W707" s="254"/>
      <c r="X707" s="254"/>
      <c r="Y707" s="254"/>
      <c r="Z707" s="254"/>
    </row>
    <row r="708">
      <c r="A708" s="492"/>
      <c r="B708" s="254"/>
      <c r="C708" s="492"/>
      <c r="D708" s="181"/>
      <c r="E708" s="492"/>
      <c r="F708" s="254"/>
      <c r="G708" s="492"/>
      <c r="H708" s="254"/>
      <c r="I708" s="500"/>
      <c r="J708" s="181"/>
      <c r="K708" s="500"/>
      <c r="L708" s="181"/>
      <c r="M708" s="253"/>
      <c r="N708" s="254"/>
      <c r="O708" s="500"/>
      <c r="P708" s="181"/>
      <c r="Q708" s="492"/>
      <c r="R708" s="254"/>
      <c r="S708" s="501"/>
      <c r="T708" s="101"/>
      <c r="U708" s="253"/>
      <c r="V708" s="254"/>
      <c r="W708" s="254"/>
      <c r="X708" s="254"/>
      <c r="Y708" s="254"/>
      <c r="Z708" s="254"/>
    </row>
    <row r="709">
      <c r="A709" s="492"/>
      <c r="B709" s="254"/>
      <c r="C709" s="492"/>
      <c r="D709" s="181"/>
      <c r="E709" s="492"/>
      <c r="F709" s="254"/>
      <c r="G709" s="492"/>
      <c r="H709" s="254"/>
      <c r="I709" s="500"/>
      <c r="J709" s="181"/>
      <c r="K709" s="500"/>
      <c r="L709" s="181"/>
      <c r="M709" s="253"/>
      <c r="N709" s="254"/>
      <c r="O709" s="500"/>
      <c r="P709" s="181"/>
      <c r="Q709" s="492"/>
      <c r="R709" s="254"/>
      <c r="S709" s="501"/>
      <c r="T709" s="101"/>
      <c r="U709" s="253"/>
      <c r="V709" s="254"/>
      <c r="W709" s="254"/>
      <c r="X709" s="254"/>
      <c r="Y709" s="254"/>
      <c r="Z709" s="254"/>
    </row>
    <row r="710">
      <c r="A710" s="492"/>
      <c r="B710" s="254"/>
      <c r="C710" s="492"/>
      <c r="D710" s="181"/>
      <c r="E710" s="492"/>
      <c r="F710" s="254"/>
      <c r="G710" s="492"/>
      <c r="H710" s="254"/>
      <c r="I710" s="500"/>
      <c r="J710" s="181"/>
      <c r="K710" s="500"/>
      <c r="L710" s="181"/>
      <c r="M710" s="253"/>
      <c r="N710" s="254"/>
      <c r="O710" s="500"/>
      <c r="P710" s="181"/>
      <c r="Q710" s="492"/>
      <c r="R710" s="254"/>
      <c r="S710" s="501"/>
      <c r="T710" s="101"/>
      <c r="U710" s="253"/>
      <c r="V710" s="254"/>
      <c r="W710" s="254"/>
      <c r="X710" s="254"/>
      <c r="Y710" s="254"/>
      <c r="Z710" s="254"/>
    </row>
    <row r="711">
      <c r="A711" s="492"/>
      <c r="B711" s="254"/>
      <c r="C711" s="492"/>
      <c r="D711" s="181"/>
      <c r="E711" s="492"/>
      <c r="F711" s="254"/>
      <c r="G711" s="492"/>
      <c r="H711" s="254"/>
      <c r="I711" s="500"/>
      <c r="J711" s="181"/>
      <c r="K711" s="500"/>
      <c r="L711" s="181"/>
      <c r="M711" s="253"/>
      <c r="N711" s="254"/>
      <c r="O711" s="500"/>
      <c r="P711" s="181"/>
      <c r="Q711" s="492"/>
      <c r="R711" s="254"/>
      <c r="S711" s="501"/>
      <c r="T711" s="101"/>
      <c r="U711" s="253"/>
      <c r="V711" s="254"/>
      <c r="W711" s="254"/>
      <c r="X711" s="254"/>
      <c r="Y711" s="254"/>
      <c r="Z711" s="254"/>
    </row>
    <row r="712">
      <c r="A712" s="492"/>
      <c r="B712" s="254"/>
      <c r="C712" s="492"/>
      <c r="D712" s="181"/>
      <c r="E712" s="492"/>
      <c r="F712" s="254"/>
      <c r="G712" s="492"/>
      <c r="H712" s="254"/>
      <c r="I712" s="500"/>
      <c r="J712" s="181"/>
      <c r="K712" s="500"/>
      <c r="L712" s="181"/>
      <c r="M712" s="253"/>
      <c r="N712" s="254"/>
      <c r="O712" s="500"/>
      <c r="P712" s="181"/>
      <c r="Q712" s="492"/>
      <c r="R712" s="254"/>
      <c r="S712" s="501"/>
      <c r="T712" s="101"/>
      <c r="U712" s="253"/>
      <c r="V712" s="254"/>
      <c r="W712" s="254"/>
      <c r="X712" s="254"/>
      <c r="Y712" s="254"/>
      <c r="Z712" s="254"/>
    </row>
    <row r="713">
      <c r="A713" s="492"/>
      <c r="B713" s="254"/>
      <c r="C713" s="492"/>
      <c r="D713" s="181"/>
      <c r="E713" s="492"/>
      <c r="F713" s="254"/>
      <c r="G713" s="492"/>
      <c r="H713" s="254"/>
      <c r="I713" s="500"/>
      <c r="J713" s="181"/>
      <c r="K713" s="500"/>
      <c r="L713" s="181"/>
      <c r="M713" s="253"/>
      <c r="N713" s="254"/>
      <c r="O713" s="500"/>
      <c r="P713" s="181"/>
      <c r="Q713" s="492"/>
      <c r="R713" s="254"/>
      <c r="S713" s="501"/>
      <c r="T713" s="101"/>
      <c r="U713" s="253"/>
      <c r="V713" s="254"/>
      <c r="W713" s="254"/>
      <c r="X713" s="254"/>
      <c r="Y713" s="254"/>
      <c r="Z713" s="254"/>
    </row>
    <row r="714">
      <c r="A714" s="492"/>
      <c r="B714" s="254"/>
      <c r="C714" s="492"/>
      <c r="D714" s="181"/>
      <c r="E714" s="492"/>
      <c r="F714" s="254"/>
      <c r="G714" s="492"/>
      <c r="H714" s="254"/>
      <c r="I714" s="500"/>
      <c r="J714" s="181"/>
      <c r="K714" s="500"/>
      <c r="L714" s="181"/>
      <c r="M714" s="253"/>
      <c r="N714" s="254"/>
      <c r="O714" s="500"/>
      <c r="P714" s="181"/>
      <c r="Q714" s="492"/>
      <c r="R714" s="254"/>
      <c r="S714" s="501"/>
      <c r="T714" s="101"/>
      <c r="U714" s="253"/>
      <c r="V714" s="254"/>
      <c r="W714" s="254"/>
      <c r="X714" s="254"/>
      <c r="Y714" s="254"/>
      <c r="Z714" s="254"/>
    </row>
    <row r="715">
      <c r="A715" s="492"/>
      <c r="B715" s="254"/>
      <c r="C715" s="492"/>
      <c r="D715" s="181"/>
      <c r="E715" s="492"/>
      <c r="F715" s="254"/>
      <c r="G715" s="492"/>
      <c r="H715" s="254"/>
      <c r="I715" s="500"/>
      <c r="J715" s="181"/>
      <c r="K715" s="500"/>
      <c r="L715" s="181"/>
      <c r="M715" s="253"/>
      <c r="N715" s="254"/>
      <c r="O715" s="500"/>
      <c r="P715" s="181"/>
      <c r="Q715" s="492"/>
      <c r="R715" s="254"/>
      <c r="S715" s="501"/>
      <c r="T715" s="101"/>
      <c r="U715" s="253"/>
      <c r="V715" s="254"/>
      <c r="W715" s="254"/>
      <c r="X715" s="254"/>
      <c r="Y715" s="254"/>
      <c r="Z715" s="254"/>
    </row>
    <row r="716">
      <c r="A716" s="492"/>
      <c r="B716" s="254"/>
      <c r="C716" s="492"/>
      <c r="D716" s="181"/>
      <c r="E716" s="492"/>
      <c r="F716" s="254"/>
      <c r="G716" s="492"/>
      <c r="H716" s="254"/>
      <c r="I716" s="500"/>
      <c r="J716" s="181"/>
      <c r="K716" s="500"/>
      <c r="L716" s="181"/>
      <c r="M716" s="253"/>
      <c r="N716" s="254"/>
      <c r="O716" s="500"/>
      <c r="P716" s="181"/>
      <c r="Q716" s="492"/>
      <c r="R716" s="254"/>
      <c r="S716" s="501"/>
      <c r="T716" s="101"/>
      <c r="U716" s="253"/>
      <c r="V716" s="254"/>
      <c r="W716" s="254"/>
      <c r="X716" s="254"/>
      <c r="Y716" s="254"/>
      <c r="Z716" s="254"/>
    </row>
    <row r="717">
      <c r="A717" s="492"/>
      <c r="B717" s="254"/>
      <c r="C717" s="492"/>
      <c r="D717" s="181"/>
      <c r="E717" s="492"/>
      <c r="F717" s="254"/>
      <c r="G717" s="492"/>
      <c r="H717" s="254"/>
      <c r="I717" s="500"/>
      <c r="J717" s="181"/>
      <c r="K717" s="500"/>
      <c r="L717" s="181"/>
      <c r="M717" s="253"/>
      <c r="N717" s="254"/>
      <c r="O717" s="500"/>
      <c r="P717" s="181"/>
      <c r="Q717" s="492"/>
      <c r="R717" s="254"/>
      <c r="S717" s="501"/>
      <c r="T717" s="101"/>
      <c r="U717" s="253"/>
      <c r="V717" s="254"/>
      <c r="W717" s="254"/>
      <c r="X717" s="254"/>
      <c r="Y717" s="254"/>
      <c r="Z717" s="254"/>
    </row>
    <row r="718">
      <c r="A718" s="492"/>
      <c r="B718" s="254"/>
      <c r="C718" s="492"/>
      <c r="D718" s="181"/>
      <c r="E718" s="492"/>
      <c r="F718" s="254"/>
      <c r="G718" s="492"/>
      <c r="H718" s="254"/>
      <c r="I718" s="500"/>
      <c r="J718" s="181"/>
      <c r="K718" s="500"/>
      <c r="L718" s="181"/>
      <c r="M718" s="253"/>
      <c r="N718" s="254"/>
      <c r="O718" s="500"/>
      <c r="P718" s="181"/>
      <c r="Q718" s="492"/>
      <c r="R718" s="254"/>
      <c r="S718" s="501"/>
      <c r="T718" s="101"/>
      <c r="U718" s="253"/>
      <c r="V718" s="254"/>
      <c r="W718" s="254"/>
      <c r="X718" s="254"/>
      <c r="Y718" s="254"/>
      <c r="Z718" s="254"/>
    </row>
    <row r="719">
      <c r="A719" s="492"/>
      <c r="B719" s="254"/>
      <c r="C719" s="492"/>
      <c r="D719" s="181"/>
      <c r="E719" s="492"/>
      <c r="F719" s="254"/>
      <c r="G719" s="492"/>
      <c r="H719" s="254"/>
      <c r="I719" s="500"/>
      <c r="J719" s="181"/>
      <c r="K719" s="500"/>
      <c r="L719" s="181"/>
      <c r="M719" s="253"/>
      <c r="N719" s="254"/>
      <c r="O719" s="500"/>
      <c r="P719" s="181"/>
      <c r="Q719" s="492"/>
      <c r="R719" s="254"/>
      <c r="S719" s="501"/>
      <c r="T719" s="101"/>
      <c r="U719" s="253"/>
      <c r="V719" s="254"/>
      <c r="W719" s="254"/>
      <c r="X719" s="254"/>
      <c r="Y719" s="254"/>
      <c r="Z719" s="254"/>
    </row>
    <row r="720">
      <c r="A720" s="492"/>
      <c r="B720" s="254"/>
      <c r="C720" s="492"/>
      <c r="D720" s="181"/>
      <c r="E720" s="492"/>
      <c r="F720" s="254"/>
      <c r="G720" s="492"/>
      <c r="H720" s="254"/>
      <c r="I720" s="500"/>
      <c r="J720" s="181"/>
      <c r="K720" s="500"/>
      <c r="L720" s="181"/>
      <c r="M720" s="253"/>
      <c r="N720" s="254"/>
      <c r="O720" s="500"/>
      <c r="P720" s="181"/>
      <c r="Q720" s="492"/>
      <c r="R720" s="254"/>
      <c r="S720" s="501"/>
      <c r="T720" s="101"/>
      <c r="U720" s="253"/>
      <c r="V720" s="254"/>
      <c r="W720" s="254"/>
      <c r="X720" s="254"/>
      <c r="Y720" s="254"/>
      <c r="Z720" s="254"/>
    </row>
    <row r="721">
      <c r="A721" s="492"/>
      <c r="B721" s="254"/>
      <c r="C721" s="492"/>
      <c r="D721" s="181"/>
      <c r="E721" s="492"/>
      <c r="F721" s="254"/>
      <c r="G721" s="492"/>
      <c r="H721" s="254"/>
      <c r="I721" s="500"/>
      <c r="J721" s="181"/>
      <c r="K721" s="500"/>
      <c r="L721" s="181"/>
      <c r="M721" s="253"/>
      <c r="N721" s="254"/>
      <c r="O721" s="500"/>
      <c r="P721" s="181"/>
      <c r="Q721" s="492"/>
      <c r="R721" s="254"/>
      <c r="S721" s="501"/>
      <c r="T721" s="101"/>
      <c r="U721" s="253"/>
      <c r="V721" s="254"/>
      <c r="W721" s="254"/>
      <c r="X721" s="254"/>
      <c r="Y721" s="254"/>
      <c r="Z721" s="254"/>
    </row>
    <row r="722">
      <c r="A722" s="492"/>
      <c r="B722" s="254"/>
      <c r="C722" s="492"/>
      <c r="D722" s="181"/>
      <c r="E722" s="492"/>
      <c r="F722" s="254"/>
      <c r="G722" s="492"/>
      <c r="H722" s="254"/>
      <c r="I722" s="500"/>
      <c r="J722" s="181"/>
      <c r="K722" s="500"/>
      <c r="L722" s="181"/>
      <c r="M722" s="253"/>
      <c r="N722" s="254"/>
      <c r="O722" s="500"/>
      <c r="P722" s="181"/>
      <c r="Q722" s="492"/>
      <c r="R722" s="254"/>
      <c r="S722" s="501"/>
      <c r="T722" s="101"/>
      <c r="U722" s="253"/>
      <c r="V722" s="254"/>
      <c r="W722" s="254"/>
      <c r="X722" s="254"/>
      <c r="Y722" s="254"/>
      <c r="Z722" s="254"/>
    </row>
    <row r="723">
      <c r="A723" s="492"/>
      <c r="B723" s="254"/>
      <c r="C723" s="492"/>
      <c r="D723" s="181"/>
      <c r="E723" s="492"/>
      <c r="F723" s="254"/>
      <c r="G723" s="492"/>
      <c r="H723" s="254"/>
      <c r="I723" s="500"/>
      <c r="J723" s="181"/>
      <c r="K723" s="500"/>
      <c r="L723" s="181"/>
      <c r="M723" s="253"/>
      <c r="N723" s="254"/>
      <c r="O723" s="500"/>
      <c r="P723" s="181"/>
      <c r="Q723" s="492"/>
      <c r="R723" s="254"/>
      <c r="S723" s="501"/>
      <c r="T723" s="101"/>
      <c r="U723" s="253"/>
      <c r="V723" s="254"/>
      <c r="W723" s="254"/>
      <c r="X723" s="254"/>
      <c r="Y723" s="254"/>
      <c r="Z723" s="254"/>
    </row>
    <row r="724">
      <c r="A724" s="492"/>
      <c r="B724" s="254"/>
      <c r="C724" s="492"/>
      <c r="D724" s="181"/>
      <c r="E724" s="492"/>
      <c r="F724" s="254"/>
      <c r="G724" s="492"/>
      <c r="H724" s="254"/>
      <c r="I724" s="500"/>
      <c r="J724" s="181"/>
      <c r="K724" s="500"/>
      <c r="L724" s="181"/>
      <c r="M724" s="253"/>
      <c r="N724" s="254"/>
      <c r="O724" s="500"/>
      <c r="P724" s="181"/>
      <c r="Q724" s="492"/>
      <c r="R724" s="254"/>
      <c r="S724" s="501"/>
      <c r="T724" s="101"/>
      <c r="U724" s="253"/>
      <c r="V724" s="254"/>
      <c r="W724" s="254"/>
      <c r="X724" s="254"/>
      <c r="Y724" s="254"/>
      <c r="Z724" s="254"/>
    </row>
    <row r="725">
      <c r="A725" s="492"/>
      <c r="B725" s="254"/>
      <c r="C725" s="492"/>
      <c r="D725" s="181"/>
      <c r="E725" s="492"/>
      <c r="F725" s="254"/>
      <c r="G725" s="492"/>
      <c r="H725" s="254"/>
      <c r="I725" s="500"/>
      <c r="J725" s="181"/>
      <c r="K725" s="500"/>
      <c r="L725" s="181"/>
      <c r="M725" s="253"/>
      <c r="N725" s="254"/>
      <c r="O725" s="500"/>
      <c r="P725" s="181"/>
      <c r="Q725" s="492"/>
      <c r="R725" s="254"/>
      <c r="S725" s="501"/>
      <c r="T725" s="101"/>
      <c r="U725" s="253"/>
      <c r="V725" s="254"/>
      <c r="W725" s="254"/>
      <c r="X725" s="254"/>
      <c r="Y725" s="254"/>
      <c r="Z725" s="254"/>
    </row>
    <row r="726">
      <c r="A726" s="492"/>
      <c r="B726" s="254"/>
      <c r="C726" s="492"/>
      <c r="D726" s="181"/>
      <c r="E726" s="492"/>
      <c r="F726" s="254"/>
      <c r="G726" s="492"/>
      <c r="H726" s="254"/>
      <c r="I726" s="500"/>
      <c r="J726" s="181"/>
      <c r="K726" s="500"/>
      <c r="L726" s="181"/>
      <c r="M726" s="253"/>
      <c r="N726" s="254"/>
      <c r="O726" s="500"/>
      <c r="P726" s="181"/>
      <c r="Q726" s="492"/>
      <c r="R726" s="254"/>
      <c r="S726" s="501"/>
      <c r="T726" s="101"/>
      <c r="U726" s="253"/>
      <c r="V726" s="254"/>
      <c r="W726" s="254"/>
      <c r="X726" s="254"/>
      <c r="Y726" s="254"/>
      <c r="Z726" s="254"/>
    </row>
    <row r="727">
      <c r="A727" s="492"/>
      <c r="B727" s="254"/>
      <c r="C727" s="492"/>
      <c r="D727" s="181"/>
      <c r="E727" s="492"/>
      <c r="F727" s="254"/>
      <c r="G727" s="492"/>
      <c r="H727" s="254"/>
      <c r="I727" s="500"/>
      <c r="J727" s="181"/>
      <c r="K727" s="500"/>
      <c r="L727" s="181"/>
      <c r="M727" s="253"/>
      <c r="N727" s="254"/>
      <c r="O727" s="500"/>
      <c r="P727" s="181"/>
      <c r="Q727" s="492"/>
      <c r="R727" s="254"/>
      <c r="S727" s="501"/>
      <c r="T727" s="101"/>
      <c r="U727" s="253"/>
      <c r="V727" s="254"/>
      <c r="W727" s="254"/>
      <c r="X727" s="254"/>
      <c r="Y727" s="254"/>
      <c r="Z727" s="254"/>
    </row>
    <row r="728">
      <c r="A728" s="492"/>
      <c r="B728" s="254"/>
      <c r="C728" s="492"/>
      <c r="D728" s="181"/>
      <c r="E728" s="492"/>
      <c r="F728" s="254"/>
      <c r="G728" s="492"/>
      <c r="H728" s="254"/>
      <c r="I728" s="500"/>
      <c r="J728" s="181"/>
      <c r="K728" s="500"/>
      <c r="L728" s="181"/>
      <c r="M728" s="253"/>
      <c r="N728" s="254"/>
      <c r="O728" s="500"/>
      <c r="P728" s="181"/>
      <c r="Q728" s="492"/>
      <c r="R728" s="254"/>
      <c r="S728" s="501"/>
      <c r="T728" s="101"/>
      <c r="U728" s="253"/>
      <c r="V728" s="254"/>
      <c r="W728" s="254"/>
      <c r="X728" s="254"/>
      <c r="Y728" s="254"/>
      <c r="Z728" s="254"/>
    </row>
    <row r="729">
      <c r="A729" s="492"/>
      <c r="B729" s="254"/>
      <c r="C729" s="492"/>
      <c r="D729" s="181"/>
      <c r="E729" s="492"/>
      <c r="F729" s="254"/>
      <c r="G729" s="492"/>
      <c r="H729" s="254"/>
      <c r="I729" s="500"/>
      <c r="J729" s="181"/>
      <c r="K729" s="500"/>
      <c r="L729" s="181"/>
      <c r="M729" s="253"/>
      <c r="N729" s="254"/>
      <c r="O729" s="500"/>
      <c r="P729" s="181"/>
      <c r="Q729" s="492"/>
      <c r="R729" s="254"/>
      <c r="S729" s="501"/>
      <c r="T729" s="101"/>
      <c r="U729" s="253"/>
      <c r="V729" s="254"/>
      <c r="W729" s="254"/>
      <c r="X729" s="254"/>
      <c r="Y729" s="254"/>
      <c r="Z729" s="254"/>
    </row>
    <row r="730">
      <c r="A730" s="492"/>
      <c r="B730" s="254"/>
      <c r="C730" s="492"/>
      <c r="D730" s="181"/>
      <c r="E730" s="492"/>
      <c r="F730" s="254"/>
      <c r="G730" s="492"/>
      <c r="H730" s="254"/>
      <c r="I730" s="500"/>
      <c r="J730" s="181"/>
      <c r="K730" s="500"/>
      <c r="L730" s="181"/>
      <c r="M730" s="253"/>
      <c r="N730" s="254"/>
      <c r="O730" s="500"/>
      <c r="P730" s="181"/>
      <c r="Q730" s="492"/>
      <c r="R730" s="254"/>
      <c r="S730" s="501"/>
      <c r="T730" s="101"/>
      <c r="U730" s="253"/>
      <c r="V730" s="254"/>
      <c r="W730" s="254"/>
      <c r="X730" s="254"/>
      <c r="Y730" s="254"/>
      <c r="Z730" s="254"/>
    </row>
    <row r="731">
      <c r="A731" s="492"/>
      <c r="B731" s="254"/>
      <c r="C731" s="492"/>
      <c r="D731" s="181"/>
      <c r="E731" s="492"/>
      <c r="F731" s="254"/>
      <c r="G731" s="492"/>
      <c r="H731" s="254"/>
      <c r="I731" s="500"/>
      <c r="J731" s="181"/>
      <c r="K731" s="500"/>
      <c r="L731" s="181"/>
      <c r="M731" s="253"/>
      <c r="N731" s="254"/>
      <c r="O731" s="500"/>
      <c r="P731" s="181"/>
      <c r="Q731" s="492"/>
      <c r="R731" s="254"/>
      <c r="S731" s="501"/>
      <c r="T731" s="101"/>
      <c r="U731" s="253"/>
      <c r="V731" s="254"/>
      <c r="W731" s="254"/>
      <c r="X731" s="254"/>
      <c r="Y731" s="254"/>
      <c r="Z731" s="254"/>
    </row>
    <row r="732">
      <c r="A732" s="492"/>
      <c r="B732" s="254"/>
      <c r="C732" s="492"/>
      <c r="D732" s="181"/>
      <c r="E732" s="492"/>
      <c r="F732" s="254"/>
      <c r="G732" s="492"/>
      <c r="H732" s="254"/>
      <c r="I732" s="500"/>
      <c r="J732" s="181"/>
      <c r="K732" s="500"/>
      <c r="L732" s="181"/>
      <c r="M732" s="253"/>
      <c r="N732" s="254"/>
      <c r="O732" s="500"/>
      <c r="P732" s="181"/>
      <c r="Q732" s="492"/>
      <c r="R732" s="254"/>
      <c r="S732" s="501"/>
      <c r="T732" s="101"/>
      <c r="U732" s="253"/>
      <c r="V732" s="254"/>
      <c r="W732" s="254"/>
      <c r="X732" s="254"/>
      <c r="Y732" s="254"/>
      <c r="Z732" s="254"/>
    </row>
    <row r="733">
      <c r="A733" s="492"/>
      <c r="B733" s="254"/>
      <c r="C733" s="492"/>
      <c r="D733" s="181"/>
      <c r="E733" s="492"/>
      <c r="F733" s="254"/>
      <c r="G733" s="492"/>
      <c r="H733" s="254"/>
      <c r="I733" s="500"/>
      <c r="J733" s="181"/>
      <c r="K733" s="500"/>
      <c r="L733" s="181"/>
      <c r="M733" s="253"/>
      <c r="N733" s="254"/>
      <c r="O733" s="500"/>
      <c r="P733" s="181"/>
      <c r="Q733" s="492"/>
      <c r="R733" s="254"/>
      <c r="S733" s="501"/>
      <c r="T733" s="101"/>
      <c r="U733" s="253"/>
      <c r="V733" s="254"/>
      <c r="W733" s="254"/>
      <c r="X733" s="254"/>
      <c r="Y733" s="254"/>
      <c r="Z733" s="254"/>
    </row>
    <row r="734">
      <c r="A734" s="492"/>
      <c r="B734" s="254"/>
      <c r="C734" s="492"/>
      <c r="D734" s="181"/>
      <c r="E734" s="492"/>
      <c r="F734" s="254"/>
      <c r="G734" s="492"/>
      <c r="H734" s="254"/>
      <c r="I734" s="500"/>
      <c r="J734" s="181"/>
      <c r="K734" s="500"/>
      <c r="L734" s="181"/>
      <c r="M734" s="253"/>
      <c r="N734" s="254"/>
      <c r="O734" s="500"/>
      <c r="P734" s="181"/>
      <c r="Q734" s="492"/>
      <c r="R734" s="254"/>
      <c r="S734" s="501"/>
      <c r="T734" s="101"/>
      <c r="U734" s="253"/>
      <c r="V734" s="254"/>
      <c r="W734" s="254"/>
      <c r="X734" s="254"/>
      <c r="Y734" s="254"/>
      <c r="Z734" s="254"/>
    </row>
    <row r="735">
      <c r="A735" s="492"/>
      <c r="B735" s="254"/>
      <c r="C735" s="492"/>
      <c r="D735" s="181"/>
      <c r="E735" s="492"/>
      <c r="F735" s="254"/>
      <c r="G735" s="492"/>
      <c r="H735" s="254"/>
      <c r="I735" s="500"/>
      <c r="J735" s="181"/>
      <c r="K735" s="500"/>
      <c r="L735" s="181"/>
      <c r="M735" s="253"/>
      <c r="N735" s="254"/>
      <c r="O735" s="500"/>
      <c r="P735" s="181"/>
      <c r="Q735" s="492"/>
      <c r="R735" s="254"/>
      <c r="S735" s="501"/>
      <c r="T735" s="101"/>
      <c r="U735" s="253"/>
      <c r="V735" s="254"/>
      <c r="W735" s="254"/>
      <c r="X735" s="254"/>
      <c r="Y735" s="254"/>
      <c r="Z735" s="254"/>
    </row>
    <row r="736">
      <c r="A736" s="492"/>
      <c r="B736" s="254"/>
      <c r="C736" s="492"/>
      <c r="D736" s="181"/>
      <c r="E736" s="492"/>
      <c r="F736" s="254"/>
      <c r="G736" s="492"/>
      <c r="H736" s="254"/>
      <c r="I736" s="500"/>
      <c r="J736" s="181"/>
      <c r="K736" s="500"/>
      <c r="L736" s="181"/>
      <c r="M736" s="253"/>
      <c r="N736" s="254"/>
      <c r="O736" s="500"/>
      <c r="P736" s="181"/>
      <c r="Q736" s="492"/>
      <c r="R736" s="254"/>
      <c r="S736" s="501"/>
      <c r="T736" s="101"/>
      <c r="U736" s="253"/>
      <c r="V736" s="254"/>
      <c r="W736" s="254"/>
      <c r="X736" s="254"/>
      <c r="Y736" s="254"/>
      <c r="Z736" s="254"/>
    </row>
    <row r="737">
      <c r="A737" s="492"/>
      <c r="B737" s="254"/>
      <c r="C737" s="492"/>
      <c r="D737" s="181"/>
      <c r="E737" s="492"/>
      <c r="F737" s="254"/>
      <c r="G737" s="492"/>
      <c r="H737" s="254"/>
      <c r="I737" s="500"/>
      <c r="J737" s="181"/>
      <c r="K737" s="500"/>
      <c r="L737" s="181"/>
      <c r="M737" s="253"/>
      <c r="N737" s="254"/>
      <c r="O737" s="500"/>
      <c r="P737" s="181"/>
      <c r="Q737" s="492"/>
      <c r="R737" s="254"/>
      <c r="S737" s="501"/>
      <c r="T737" s="101"/>
      <c r="U737" s="253"/>
      <c r="V737" s="254"/>
      <c r="W737" s="254"/>
      <c r="X737" s="254"/>
      <c r="Y737" s="254"/>
      <c r="Z737" s="254"/>
    </row>
    <row r="738">
      <c r="A738" s="492"/>
      <c r="B738" s="254"/>
      <c r="C738" s="492"/>
      <c r="D738" s="181"/>
      <c r="E738" s="492"/>
      <c r="F738" s="254"/>
      <c r="G738" s="492"/>
      <c r="H738" s="254"/>
      <c r="I738" s="500"/>
      <c r="J738" s="181"/>
      <c r="K738" s="500"/>
      <c r="L738" s="181"/>
      <c r="M738" s="253"/>
      <c r="N738" s="254"/>
      <c r="O738" s="500"/>
      <c r="P738" s="181"/>
      <c r="Q738" s="492"/>
      <c r="R738" s="254"/>
      <c r="S738" s="501"/>
      <c r="T738" s="101"/>
      <c r="U738" s="253"/>
      <c r="V738" s="254"/>
      <c r="W738" s="254"/>
      <c r="X738" s="254"/>
      <c r="Y738" s="254"/>
      <c r="Z738" s="254"/>
    </row>
    <row r="739">
      <c r="A739" s="492"/>
      <c r="B739" s="254"/>
      <c r="C739" s="492"/>
      <c r="D739" s="181"/>
      <c r="E739" s="492"/>
      <c r="F739" s="254"/>
      <c r="G739" s="492"/>
      <c r="H739" s="254"/>
      <c r="I739" s="500"/>
      <c r="J739" s="181"/>
      <c r="K739" s="500"/>
      <c r="L739" s="181"/>
      <c r="M739" s="253"/>
      <c r="N739" s="254"/>
      <c r="O739" s="500"/>
      <c r="P739" s="181"/>
      <c r="Q739" s="492"/>
      <c r="R739" s="254"/>
      <c r="S739" s="501"/>
      <c r="T739" s="101"/>
      <c r="U739" s="253"/>
      <c r="V739" s="254"/>
      <c r="W739" s="254"/>
      <c r="X739" s="254"/>
      <c r="Y739" s="254"/>
      <c r="Z739" s="254"/>
    </row>
    <row r="740">
      <c r="A740" s="492"/>
      <c r="B740" s="254"/>
      <c r="C740" s="492"/>
      <c r="D740" s="181"/>
      <c r="E740" s="492"/>
      <c r="F740" s="254"/>
      <c r="G740" s="492"/>
      <c r="H740" s="254"/>
      <c r="I740" s="500"/>
      <c r="J740" s="181"/>
      <c r="K740" s="500"/>
      <c r="L740" s="181"/>
      <c r="M740" s="253"/>
      <c r="N740" s="254"/>
      <c r="O740" s="500"/>
      <c r="P740" s="181"/>
      <c r="Q740" s="492"/>
      <c r="R740" s="254"/>
      <c r="S740" s="501"/>
      <c r="T740" s="101"/>
      <c r="U740" s="253"/>
      <c r="V740" s="254"/>
      <c r="W740" s="254"/>
      <c r="X740" s="254"/>
      <c r="Y740" s="254"/>
      <c r="Z740" s="254"/>
    </row>
    <row r="741">
      <c r="A741" s="492"/>
      <c r="B741" s="254"/>
      <c r="C741" s="492"/>
      <c r="D741" s="181"/>
      <c r="E741" s="492"/>
      <c r="F741" s="254"/>
      <c r="G741" s="492"/>
      <c r="H741" s="254"/>
      <c r="I741" s="500"/>
      <c r="J741" s="181"/>
      <c r="K741" s="500"/>
      <c r="L741" s="181"/>
      <c r="M741" s="253"/>
      <c r="N741" s="254"/>
      <c r="O741" s="500"/>
      <c r="P741" s="181"/>
      <c r="Q741" s="492"/>
      <c r="R741" s="254"/>
      <c r="S741" s="501"/>
      <c r="T741" s="101"/>
      <c r="U741" s="253"/>
      <c r="V741" s="254"/>
      <c r="W741" s="254"/>
      <c r="X741" s="254"/>
      <c r="Y741" s="254"/>
      <c r="Z741" s="254"/>
    </row>
    <row r="742">
      <c r="A742" s="492"/>
      <c r="B742" s="254"/>
      <c r="C742" s="492"/>
      <c r="D742" s="181"/>
      <c r="E742" s="492"/>
      <c r="F742" s="254"/>
      <c r="G742" s="492"/>
      <c r="H742" s="254"/>
      <c r="I742" s="500"/>
      <c r="J742" s="181"/>
      <c r="K742" s="500"/>
      <c r="L742" s="181"/>
      <c r="M742" s="253"/>
      <c r="N742" s="254"/>
      <c r="O742" s="500"/>
      <c r="P742" s="181"/>
      <c r="Q742" s="492"/>
      <c r="R742" s="254"/>
      <c r="S742" s="501"/>
      <c r="T742" s="101"/>
      <c r="U742" s="253"/>
      <c r="V742" s="254"/>
      <c r="W742" s="254"/>
      <c r="X742" s="254"/>
      <c r="Y742" s="254"/>
      <c r="Z742" s="254"/>
    </row>
    <row r="743">
      <c r="A743" s="492"/>
      <c r="B743" s="254"/>
      <c r="C743" s="492"/>
      <c r="D743" s="181"/>
      <c r="E743" s="492"/>
      <c r="F743" s="254"/>
      <c r="G743" s="492"/>
      <c r="H743" s="254"/>
      <c r="I743" s="500"/>
      <c r="J743" s="181"/>
      <c r="K743" s="500"/>
      <c r="L743" s="181"/>
      <c r="M743" s="253"/>
      <c r="N743" s="254"/>
      <c r="O743" s="500"/>
      <c r="P743" s="181"/>
      <c r="Q743" s="492"/>
      <c r="R743" s="254"/>
      <c r="S743" s="501"/>
      <c r="T743" s="101"/>
      <c r="U743" s="253"/>
      <c r="V743" s="254"/>
      <c r="W743" s="254"/>
      <c r="X743" s="254"/>
      <c r="Y743" s="254"/>
      <c r="Z743" s="254"/>
    </row>
    <row r="744">
      <c r="A744" s="492"/>
      <c r="B744" s="254"/>
      <c r="C744" s="492"/>
      <c r="D744" s="181"/>
      <c r="E744" s="492"/>
      <c r="F744" s="254"/>
      <c r="G744" s="492"/>
      <c r="H744" s="254"/>
      <c r="I744" s="500"/>
      <c r="J744" s="181"/>
      <c r="K744" s="500"/>
      <c r="L744" s="181"/>
      <c r="M744" s="253"/>
      <c r="N744" s="254"/>
      <c r="O744" s="500"/>
      <c r="P744" s="181"/>
      <c r="Q744" s="492"/>
      <c r="R744" s="254"/>
      <c r="S744" s="501"/>
      <c r="T744" s="101"/>
      <c r="U744" s="253"/>
      <c r="V744" s="254"/>
      <c r="W744" s="254"/>
      <c r="X744" s="254"/>
      <c r="Y744" s="254"/>
      <c r="Z744" s="254"/>
    </row>
    <row r="745">
      <c r="A745" s="492"/>
      <c r="B745" s="254"/>
      <c r="C745" s="492"/>
      <c r="D745" s="181"/>
      <c r="E745" s="492"/>
      <c r="F745" s="254"/>
      <c r="G745" s="492"/>
      <c r="H745" s="254"/>
      <c r="I745" s="500"/>
      <c r="J745" s="181"/>
      <c r="K745" s="500"/>
      <c r="L745" s="181"/>
      <c r="M745" s="253"/>
      <c r="N745" s="254"/>
      <c r="O745" s="500"/>
      <c r="P745" s="181"/>
      <c r="Q745" s="492"/>
      <c r="R745" s="254"/>
      <c r="S745" s="501"/>
      <c r="T745" s="101"/>
      <c r="U745" s="253"/>
      <c r="V745" s="254"/>
      <c r="W745" s="254"/>
      <c r="X745" s="254"/>
      <c r="Y745" s="254"/>
      <c r="Z745" s="254"/>
    </row>
    <row r="746">
      <c r="A746" s="492"/>
      <c r="B746" s="254"/>
      <c r="C746" s="492"/>
      <c r="D746" s="181"/>
      <c r="E746" s="492"/>
      <c r="F746" s="254"/>
      <c r="G746" s="492"/>
      <c r="H746" s="254"/>
      <c r="I746" s="500"/>
      <c r="J746" s="181"/>
      <c r="K746" s="500"/>
      <c r="L746" s="181"/>
      <c r="M746" s="253"/>
      <c r="N746" s="254"/>
      <c r="O746" s="500"/>
      <c r="P746" s="181"/>
      <c r="Q746" s="492"/>
      <c r="R746" s="254"/>
      <c r="S746" s="501"/>
      <c r="T746" s="101"/>
      <c r="U746" s="253"/>
      <c r="V746" s="254"/>
      <c r="W746" s="254"/>
      <c r="X746" s="254"/>
      <c r="Y746" s="254"/>
      <c r="Z746" s="254"/>
    </row>
    <row r="747">
      <c r="A747" s="492"/>
      <c r="B747" s="254"/>
      <c r="C747" s="492"/>
      <c r="D747" s="181"/>
      <c r="E747" s="492"/>
      <c r="F747" s="254"/>
      <c r="G747" s="492"/>
      <c r="H747" s="254"/>
      <c r="I747" s="500"/>
      <c r="J747" s="181"/>
      <c r="K747" s="500"/>
      <c r="L747" s="181"/>
      <c r="M747" s="253"/>
      <c r="N747" s="254"/>
      <c r="O747" s="500"/>
      <c r="P747" s="181"/>
      <c r="Q747" s="492"/>
      <c r="R747" s="254"/>
      <c r="S747" s="501"/>
      <c r="T747" s="101"/>
      <c r="U747" s="253"/>
      <c r="V747" s="254"/>
      <c r="W747" s="254"/>
      <c r="X747" s="254"/>
      <c r="Y747" s="254"/>
      <c r="Z747" s="254"/>
    </row>
    <row r="748">
      <c r="A748" s="492"/>
      <c r="B748" s="254"/>
      <c r="C748" s="492"/>
      <c r="D748" s="181"/>
      <c r="E748" s="492"/>
      <c r="F748" s="254"/>
      <c r="G748" s="492"/>
      <c r="H748" s="254"/>
      <c r="I748" s="500"/>
      <c r="J748" s="181"/>
      <c r="K748" s="500"/>
      <c r="L748" s="181"/>
      <c r="M748" s="253"/>
      <c r="N748" s="254"/>
      <c r="O748" s="500"/>
      <c r="P748" s="181"/>
      <c r="Q748" s="492"/>
      <c r="R748" s="254"/>
      <c r="S748" s="501"/>
      <c r="T748" s="101"/>
      <c r="U748" s="253"/>
      <c r="V748" s="254"/>
      <c r="W748" s="254"/>
      <c r="X748" s="254"/>
      <c r="Y748" s="254"/>
      <c r="Z748" s="254"/>
    </row>
    <row r="749">
      <c r="A749" s="492"/>
      <c r="B749" s="254"/>
      <c r="C749" s="492"/>
      <c r="D749" s="181"/>
      <c r="E749" s="492"/>
      <c r="F749" s="254"/>
      <c r="G749" s="492"/>
      <c r="H749" s="254"/>
      <c r="I749" s="500"/>
      <c r="J749" s="181"/>
      <c r="K749" s="500"/>
      <c r="L749" s="181"/>
      <c r="M749" s="253"/>
      <c r="N749" s="254"/>
      <c r="O749" s="500"/>
      <c r="P749" s="181"/>
      <c r="Q749" s="492"/>
      <c r="R749" s="254"/>
      <c r="S749" s="501"/>
      <c r="T749" s="101"/>
      <c r="U749" s="253"/>
      <c r="V749" s="254"/>
      <c r="W749" s="254"/>
      <c r="X749" s="254"/>
      <c r="Y749" s="254"/>
      <c r="Z749" s="254"/>
    </row>
    <row r="750">
      <c r="A750" s="492"/>
      <c r="B750" s="254"/>
      <c r="C750" s="492"/>
      <c r="D750" s="181"/>
      <c r="E750" s="492"/>
      <c r="F750" s="254"/>
      <c r="G750" s="492"/>
      <c r="H750" s="254"/>
      <c r="I750" s="500"/>
      <c r="J750" s="181"/>
      <c r="K750" s="500"/>
      <c r="L750" s="181"/>
      <c r="M750" s="253"/>
      <c r="N750" s="254"/>
      <c r="O750" s="500"/>
      <c r="P750" s="181"/>
      <c r="Q750" s="492"/>
      <c r="R750" s="254"/>
      <c r="S750" s="501"/>
      <c r="T750" s="101"/>
      <c r="U750" s="253"/>
      <c r="V750" s="254"/>
      <c r="W750" s="254"/>
      <c r="X750" s="254"/>
      <c r="Y750" s="254"/>
      <c r="Z750" s="254"/>
    </row>
    <row r="751">
      <c r="A751" s="492"/>
      <c r="B751" s="254"/>
      <c r="C751" s="492"/>
      <c r="D751" s="181"/>
      <c r="E751" s="492"/>
      <c r="F751" s="254"/>
      <c r="G751" s="492"/>
      <c r="H751" s="254"/>
      <c r="I751" s="500"/>
      <c r="J751" s="181"/>
      <c r="K751" s="500"/>
      <c r="L751" s="181"/>
      <c r="M751" s="253"/>
      <c r="N751" s="254"/>
      <c r="O751" s="500"/>
      <c r="P751" s="181"/>
      <c r="Q751" s="492"/>
      <c r="R751" s="254"/>
      <c r="S751" s="501"/>
      <c r="T751" s="101"/>
      <c r="U751" s="253"/>
      <c r="V751" s="254"/>
      <c r="W751" s="254"/>
      <c r="X751" s="254"/>
      <c r="Y751" s="254"/>
      <c r="Z751" s="254"/>
    </row>
    <row r="752">
      <c r="A752" s="492"/>
      <c r="B752" s="254"/>
      <c r="C752" s="492"/>
      <c r="D752" s="181"/>
      <c r="E752" s="492"/>
      <c r="F752" s="254"/>
      <c r="G752" s="492"/>
      <c r="H752" s="254"/>
      <c r="I752" s="500"/>
      <c r="J752" s="181"/>
      <c r="K752" s="500"/>
      <c r="L752" s="181"/>
      <c r="M752" s="253"/>
      <c r="N752" s="254"/>
      <c r="O752" s="500"/>
      <c r="P752" s="181"/>
      <c r="Q752" s="492"/>
      <c r="R752" s="254"/>
      <c r="S752" s="501"/>
      <c r="T752" s="101"/>
      <c r="U752" s="253"/>
      <c r="V752" s="254"/>
      <c r="W752" s="254"/>
      <c r="X752" s="254"/>
      <c r="Y752" s="254"/>
      <c r="Z752" s="254"/>
    </row>
    <row r="753">
      <c r="A753" s="492"/>
      <c r="B753" s="254"/>
      <c r="C753" s="492"/>
      <c r="D753" s="181"/>
      <c r="E753" s="492"/>
      <c r="F753" s="254"/>
      <c r="G753" s="492"/>
      <c r="H753" s="254"/>
      <c r="I753" s="500"/>
      <c r="J753" s="181"/>
      <c r="K753" s="500"/>
      <c r="L753" s="181"/>
      <c r="M753" s="253"/>
      <c r="N753" s="254"/>
      <c r="O753" s="500"/>
      <c r="P753" s="181"/>
      <c r="Q753" s="492"/>
      <c r="R753" s="254"/>
      <c r="S753" s="501"/>
      <c r="T753" s="101"/>
      <c r="U753" s="253"/>
      <c r="V753" s="254"/>
      <c r="W753" s="254"/>
      <c r="X753" s="254"/>
      <c r="Y753" s="254"/>
      <c r="Z753" s="254"/>
    </row>
    <row r="754">
      <c r="A754" s="492"/>
      <c r="B754" s="254"/>
      <c r="C754" s="492"/>
      <c r="D754" s="181"/>
      <c r="E754" s="492"/>
      <c r="F754" s="254"/>
      <c r="G754" s="492"/>
      <c r="H754" s="254"/>
      <c r="I754" s="500"/>
      <c r="J754" s="181"/>
      <c r="K754" s="500"/>
      <c r="L754" s="181"/>
      <c r="M754" s="253"/>
      <c r="N754" s="254"/>
      <c r="O754" s="500"/>
      <c r="P754" s="181"/>
      <c r="Q754" s="492"/>
      <c r="R754" s="254"/>
      <c r="S754" s="501"/>
      <c r="T754" s="101"/>
      <c r="U754" s="253"/>
      <c r="V754" s="254"/>
      <c r="W754" s="254"/>
      <c r="X754" s="254"/>
      <c r="Y754" s="254"/>
      <c r="Z754" s="254"/>
    </row>
    <row r="755">
      <c r="A755" s="492"/>
      <c r="B755" s="254"/>
      <c r="C755" s="492"/>
      <c r="D755" s="181"/>
      <c r="E755" s="492"/>
      <c r="F755" s="254"/>
      <c r="G755" s="492"/>
      <c r="H755" s="254"/>
      <c r="I755" s="500"/>
      <c r="J755" s="181"/>
      <c r="K755" s="500"/>
      <c r="L755" s="181"/>
      <c r="M755" s="253"/>
      <c r="N755" s="254"/>
      <c r="O755" s="500"/>
      <c r="P755" s="181"/>
      <c r="Q755" s="492"/>
      <c r="R755" s="254"/>
      <c r="S755" s="501"/>
      <c r="T755" s="101"/>
      <c r="U755" s="253"/>
      <c r="V755" s="254"/>
      <c r="W755" s="254"/>
      <c r="X755" s="254"/>
      <c r="Y755" s="254"/>
      <c r="Z755" s="254"/>
    </row>
    <row r="756">
      <c r="A756" s="492"/>
      <c r="B756" s="254"/>
      <c r="C756" s="492"/>
      <c r="D756" s="181"/>
      <c r="E756" s="492"/>
      <c r="F756" s="254"/>
      <c r="G756" s="492"/>
      <c r="H756" s="254"/>
      <c r="I756" s="500"/>
      <c r="J756" s="181"/>
      <c r="K756" s="500"/>
      <c r="L756" s="181"/>
      <c r="M756" s="253"/>
      <c r="N756" s="254"/>
      <c r="O756" s="500"/>
      <c r="P756" s="181"/>
      <c r="Q756" s="492"/>
      <c r="R756" s="254"/>
      <c r="S756" s="501"/>
      <c r="T756" s="101"/>
      <c r="U756" s="253"/>
      <c r="V756" s="254"/>
      <c r="W756" s="254"/>
      <c r="X756" s="254"/>
      <c r="Y756" s="254"/>
      <c r="Z756" s="254"/>
    </row>
    <row r="757">
      <c r="A757" s="492"/>
      <c r="B757" s="254"/>
      <c r="C757" s="492"/>
      <c r="D757" s="181"/>
      <c r="E757" s="492"/>
      <c r="F757" s="254"/>
      <c r="G757" s="492"/>
      <c r="H757" s="254"/>
      <c r="I757" s="500"/>
      <c r="J757" s="181"/>
      <c r="K757" s="500"/>
      <c r="L757" s="181"/>
      <c r="M757" s="253"/>
      <c r="N757" s="254"/>
      <c r="O757" s="500"/>
      <c r="P757" s="181"/>
      <c r="Q757" s="492"/>
      <c r="R757" s="254"/>
      <c r="S757" s="501"/>
      <c r="T757" s="101"/>
      <c r="U757" s="253"/>
      <c r="V757" s="254"/>
      <c r="W757" s="254"/>
      <c r="X757" s="254"/>
      <c r="Y757" s="254"/>
      <c r="Z757" s="254"/>
    </row>
    <row r="758">
      <c r="A758" s="492"/>
      <c r="B758" s="254"/>
      <c r="C758" s="492"/>
      <c r="D758" s="181"/>
      <c r="E758" s="492"/>
      <c r="F758" s="254"/>
      <c r="G758" s="492"/>
      <c r="H758" s="254"/>
      <c r="I758" s="500"/>
      <c r="J758" s="181"/>
      <c r="K758" s="500"/>
      <c r="L758" s="181"/>
      <c r="M758" s="253"/>
      <c r="N758" s="254"/>
      <c r="O758" s="500"/>
      <c r="P758" s="181"/>
      <c r="Q758" s="492"/>
      <c r="R758" s="254"/>
      <c r="S758" s="501"/>
      <c r="T758" s="101"/>
      <c r="U758" s="253"/>
      <c r="V758" s="254"/>
      <c r="W758" s="254"/>
      <c r="X758" s="254"/>
      <c r="Y758" s="254"/>
      <c r="Z758" s="254"/>
    </row>
    <row r="759">
      <c r="A759" s="492"/>
      <c r="B759" s="254"/>
      <c r="C759" s="492"/>
      <c r="D759" s="181"/>
      <c r="E759" s="492"/>
      <c r="F759" s="254"/>
      <c r="G759" s="492"/>
      <c r="H759" s="254"/>
      <c r="I759" s="500"/>
      <c r="J759" s="181"/>
      <c r="K759" s="500"/>
      <c r="L759" s="181"/>
      <c r="M759" s="253"/>
      <c r="N759" s="254"/>
      <c r="O759" s="500"/>
      <c r="P759" s="181"/>
      <c r="Q759" s="492"/>
      <c r="R759" s="254"/>
      <c r="S759" s="501"/>
      <c r="T759" s="101"/>
      <c r="U759" s="253"/>
      <c r="V759" s="254"/>
      <c r="W759" s="254"/>
      <c r="X759" s="254"/>
      <c r="Y759" s="254"/>
      <c r="Z759" s="254"/>
    </row>
    <row r="760">
      <c r="A760" s="492"/>
      <c r="B760" s="254"/>
      <c r="C760" s="492"/>
      <c r="D760" s="181"/>
      <c r="E760" s="492"/>
      <c r="F760" s="254"/>
      <c r="G760" s="492"/>
      <c r="H760" s="254"/>
      <c r="I760" s="500"/>
      <c r="J760" s="181"/>
      <c r="K760" s="500"/>
      <c r="L760" s="181"/>
      <c r="M760" s="253"/>
      <c r="N760" s="254"/>
      <c r="O760" s="500"/>
      <c r="P760" s="181"/>
      <c r="Q760" s="492"/>
      <c r="R760" s="254"/>
      <c r="S760" s="501"/>
      <c r="T760" s="101"/>
      <c r="U760" s="253"/>
      <c r="V760" s="254"/>
      <c r="W760" s="254"/>
      <c r="X760" s="254"/>
      <c r="Y760" s="254"/>
      <c r="Z760" s="254"/>
    </row>
    <row r="761">
      <c r="A761" s="492"/>
      <c r="B761" s="254"/>
      <c r="C761" s="492"/>
      <c r="D761" s="181"/>
      <c r="E761" s="492"/>
      <c r="F761" s="254"/>
      <c r="G761" s="492"/>
      <c r="H761" s="254"/>
      <c r="I761" s="500"/>
      <c r="J761" s="181"/>
      <c r="K761" s="500"/>
      <c r="L761" s="181"/>
      <c r="M761" s="253"/>
      <c r="N761" s="254"/>
      <c r="O761" s="500"/>
      <c r="P761" s="181"/>
      <c r="Q761" s="492"/>
      <c r="R761" s="254"/>
      <c r="S761" s="501"/>
      <c r="T761" s="101"/>
      <c r="U761" s="253"/>
      <c r="V761" s="254"/>
      <c r="W761" s="254"/>
      <c r="X761" s="254"/>
      <c r="Y761" s="254"/>
      <c r="Z761" s="254"/>
    </row>
    <row r="762">
      <c r="A762" s="492"/>
      <c r="B762" s="254"/>
      <c r="C762" s="492"/>
      <c r="D762" s="181"/>
      <c r="E762" s="492"/>
      <c r="F762" s="254"/>
      <c r="G762" s="492"/>
      <c r="H762" s="254"/>
      <c r="I762" s="500"/>
      <c r="J762" s="181"/>
      <c r="K762" s="500"/>
      <c r="L762" s="181"/>
      <c r="M762" s="253"/>
      <c r="N762" s="254"/>
      <c r="O762" s="500"/>
      <c r="P762" s="181"/>
      <c r="Q762" s="492"/>
      <c r="R762" s="254"/>
      <c r="S762" s="501"/>
      <c r="T762" s="101"/>
      <c r="U762" s="253"/>
      <c r="V762" s="254"/>
      <c r="W762" s="254"/>
      <c r="X762" s="254"/>
      <c r="Y762" s="254"/>
      <c r="Z762" s="254"/>
    </row>
    <row r="763">
      <c r="A763" s="492"/>
      <c r="B763" s="254"/>
      <c r="C763" s="492"/>
      <c r="D763" s="181"/>
      <c r="E763" s="492"/>
      <c r="F763" s="254"/>
      <c r="G763" s="492"/>
      <c r="H763" s="254"/>
      <c r="I763" s="500"/>
      <c r="J763" s="181"/>
      <c r="K763" s="500"/>
      <c r="L763" s="181"/>
      <c r="M763" s="253"/>
      <c r="N763" s="254"/>
      <c r="O763" s="500"/>
      <c r="P763" s="181"/>
      <c r="Q763" s="492"/>
      <c r="R763" s="254"/>
      <c r="S763" s="501"/>
      <c r="T763" s="101"/>
      <c r="U763" s="253"/>
      <c r="V763" s="254"/>
      <c r="W763" s="254"/>
      <c r="X763" s="254"/>
      <c r="Y763" s="254"/>
      <c r="Z763" s="254"/>
    </row>
    <row r="764">
      <c r="A764" s="492"/>
      <c r="B764" s="254"/>
      <c r="C764" s="492"/>
      <c r="D764" s="181"/>
      <c r="E764" s="492"/>
      <c r="F764" s="254"/>
      <c r="G764" s="492"/>
      <c r="H764" s="254"/>
      <c r="I764" s="500"/>
      <c r="J764" s="181"/>
      <c r="K764" s="500"/>
      <c r="L764" s="181"/>
      <c r="M764" s="253"/>
      <c r="N764" s="254"/>
      <c r="O764" s="500"/>
      <c r="P764" s="181"/>
      <c r="Q764" s="492"/>
      <c r="R764" s="254"/>
      <c r="S764" s="501"/>
      <c r="T764" s="101"/>
      <c r="U764" s="253"/>
      <c r="V764" s="254"/>
      <c r="W764" s="254"/>
      <c r="X764" s="254"/>
      <c r="Y764" s="254"/>
      <c r="Z764" s="254"/>
    </row>
    <row r="765">
      <c r="A765" s="492"/>
      <c r="B765" s="254"/>
      <c r="C765" s="492"/>
      <c r="D765" s="181"/>
      <c r="E765" s="492"/>
      <c r="F765" s="254"/>
      <c r="G765" s="492"/>
      <c r="H765" s="254"/>
      <c r="I765" s="500"/>
      <c r="J765" s="181"/>
      <c r="K765" s="500"/>
      <c r="L765" s="181"/>
      <c r="M765" s="253"/>
      <c r="N765" s="254"/>
      <c r="O765" s="500"/>
      <c r="P765" s="181"/>
      <c r="Q765" s="492"/>
      <c r="R765" s="254"/>
      <c r="S765" s="501"/>
      <c r="T765" s="101"/>
      <c r="U765" s="253"/>
      <c r="V765" s="254"/>
      <c r="W765" s="254"/>
      <c r="X765" s="254"/>
      <c r="Y765" s="254"/>
      <c r="Z765" s="254"/>
    </row>
    <row r="766">
      <c r="A766" s="492"/>
      <c r="B766" s="254"/>
      <c r="C766" s="492"/>
      <c r="D766" s="181"/>
      <c r="E766" s="492"/>
      <c r="F766" s="254"/>
      <c r="G766" s="492"/>
      <c r="H766" s="254"/>
      <c r="I766" s="500"/>
      <c r="J766" s="181"/>
      <c r="K766" s="500"/>
      <c r="L766" s="181"/>
      <c r="M766" s="253"/>
      <c r="N766" s="254"/>
      <c r="O766" s="500"/>
      <c r="P766" s="181"/>
      <c r="Q766" s="492"/>
      <c r="R766" s="254"/>
      <c r="S766" s="501"/>
      <c r="T766" s="101"/>
      <c r="U766" s="253"/>
      <c r="V766" s="254"/>
      <c r="W766" s="254"/>
      <c r="X766" s="254"/>
      <c r="Y766" s="254"/>
      <c r="Z766" s="254"/>
    </row>
    <row r="767">
      <c r="A767" s="492"/>
      <c r="B767" s="254"/>
      <c r="C767" s="492"/>
      <c r="D767" s="181"/>
      <c r="E767" s="492"/>
      <c r="F767" s="254"/>
      <c r="G767" s="492"/>
      <c r="H767" s="254"/>
      <c r="I767" s="500"/>
      <c r="J767" s="181"/>
      <c r="K767" s="500"/>
      <c r="L767" s="181"/>
      <c r="M767" s="253"/>
      <c r="N767" s="254"/>
      <c r="O767" s="500"/>
      <c r="P767" s="181"/>
      <c r="Q767" s="492"/>
      <c r="R767" s="254"/>
      <c r="S767" s="501"/>
      <c r="T767" s="101"/>
      <c r="U767" s="253"/>
      <c r="V767" s="254"/>
      <c r="W767" s="254"/>
      <c r="X767" s="254"/>
      <c r="Y767" s="254"/>
      <c r="Z767" s="254"/>
    </row>
    <row r="768">
      <c r="A768" s="492"/>
      <c r="B768" s="254"/>
      <c r="C768" s="492"/>
      <c r="D768" s="181"/>
      <c r="E768" s="492"/>
      <c r="F768" s="254"/>
      <c r="G768" s="492"/>
      <c r="H768" s="254"/>
      <c r="I768" s="500"/>
      <c r="J768" s="181"/>
      <c r="K768" s="500"/>
      <c r="L768" s="181"/>
      <c r="M768" s="253"/>
      <c r="N768" s="254"/>
      <c r="O768" s="500"/>
      <c r="P768" s="181"/>
      <c r="Q768" s="492"/>
      <c r="R768" s="254"/>
      <c r="S768" s="501"/>
      <c r="T768" s="101"/>
      <c r="U768" s="253"/>
      <c r="V768" s="254"/>
      <c r="W768" s="254"/>
      <c r="X768" s="254"/>
      <c r="Y768" s="254"/>
      <c r="Z768" s="254"/>
    </row>
    <row r="769">
      <c r="A769" s="492"/>
      <c r="B769" s="254"/>
      <c r="C769" s="492"/>
      <c r="D769" s="181"/>
      <c r="E769" s="492"/>
      <c r="F769" s="254"/>
      <c r="G769" s="492"/>
      <c r="H769" s="254"/>
      <c r="I769" s="500"/>
      <c r="J769" s="181"/>
      <c r="K769" s="500"/>
      <c r="L769" s="181"/>
      <c r="M769" s="253"/>
      <c r="N769" s="254"/>
      <c r="O769" s="500"/>
      <c r="P769" s="181"/>
      <c r="Q769" s="492"/>
      <c r="R769" s="254"/>
      <c r="S769" s="501"/>
      <c r="T769" s="101"/>
      <c r="U769" s="253"/>
      <c r="V769" s="254"/>
      <c r="W769" s="254"/>
      <c r="X769" s="254"/>
      <c r="Y769" s="254"/>
      <c r="Z769" s="254"/>
    </row>
    <row r="770">
      <c r="A770" s="492"/>
      <c r="B770" s="254"/>
      <c r="C770" s="492"/>
      <c r="D770" s="181"/>
      <c r="E770" s="492"/>
      <c r="F770" s="254"/>
      <c r="G770" s="492"/>
      <c r="H770" s="254"/>
      <c r="I770" s="500"/>
      <c r="J770" s="181"/>
      <c r="K770" s="500"/>
      <c r="L770" s="181"/>
      <c r="M770" s="253"/>
      <c r="N770" s="254"/>
      <c r="O770" s="500"/>
      <c r="P770" s="181"/>
      <c r="Q770" s="492"/>
      <c r="R770" s="254"/>
      <c r="S770" s="501"/>
      <c r="T770" s="101"/>
      <c r="U770" s="253"/>
      <c r="V770" s="254"/>
      <c r="W770" s="254"/>
      <c r="X770" s="254"/>
      <c r="Y770" s="254"/>
      <c r="Z770" s="254"/>
    </row>
    <row r="771">
      <c r="A771" s="492"/>
      <c r="B771" s="254"/>
      <c r="C771" s="492"/>
      <c r="D771" s="181"/>
      <c r="E771" s="492"/>
      <c r="F771" s="254"/>
      <c r="G771" s="492"/>
      <c r="H771" s="254"/>
      <c r="I771" s="500"/>
      <c r="J771" s="181"/>
      <c r="K771" s="500"/>
      <c r="L771" s="181"/>
      <c r="M771" s="253"/>
      <c r="N771" s="254"/>
      <c r="O771" s="500"/>
      <c r="P771" s="181"/>
      <c r="Q771" s="492"/>
      <c r="R771" s="254"/>
      <c r="S771" s="501"/>
      <c r="T771" s="101"/>
      <c r="U771" s="253"/>
      <c r="V771" s="254"/>
      <c r="W771" s="254"/>
      <c r="X771" s="254"/>
      <c r="Y771" s="254"/>
      <c r="Z771" s="254"/>
    </row>
    <row r="772">
      <c r="A772" s="492"/>
      <c r="B772" s="254"/>
      <c r="C772" s="492"/>
      <c r="D772" s="181"/>
      <c r="E772" s="492"/>
      <c r="F772" s="254"/>
      <c r="G772" s="492"/>
      <c r="H772" s="254"/>
      <c r="I772" s="500"/>
      <c r="J772" s="181"/>
      <c r="K772" s="500"/>
      <c r="L772" s="181"/>
      <c r="M772" s="253"/>
      <c r="N772" s="254"/>
      <c r="O772" s="500"/>
      <c r="P772" s="181"/>
      <c r="Q772" s="492"/>
      <c r="R772" s="254"/>
      <c r="S772" s="501"/>
      <c r="T772" s="101"/>
      <c r="U772" s="253"/>
      <c r="V772" s="254"/>
      <c r="W772" s="254"/>
      <c r="X772" s="254"/>
      <c r="Y772" s="254"/>
      <c r="Z772" s="254"/>
    </row>
    <row r="773">
      <c r="A773" s="492"/>
      <c r="B773" s="254"/>
      <c r="C773" s="492"/>
      <c r="D773" s="181"/>
      <c r="E773" s="492"/>
      <c r="F773" s="254"/>
      <c r="G773" s="492"/>
      <c r="H773" s="254"/>
      <c r="I773" s="500"/>
      <c r="J773" s="181"/>
      <c r="K773" s="500"/>
      <c r="L773" s="181"/>
      <c r="M773" s="253"/>
      <c r="N773" s="254"/>
      <c r="O773" s="500"/>
      <c r="P773" s="181"/>
      <c r="Q773" s="492"/>
      <c r="R773" s="254"/>
      <c r="S773" s="501"/>
      <c r="T773" s="101"/>
      <c r="U773" s="253"/>
      <c r="V773" s="254"/>
      <c r="W773" s="254"/>
      <c r="X773" s="254"/>
      <c r="Y773" s="254"/>
      <c r="Z773" s="254"/>
    </row>
    <row r="774">
      <c r="A774" s="492"/>
      <c r="B774" s="254"/>
      <c r="C774" s="492"/>
      <c r="D774" s="181"/>
      <c r="E774" s="492"/>
      <c r="F774" s="254"/>
      <c r="G774" s="492"/>
      <c r="H774" s="254"/>
      <c r="I774" s="500"/>
      <c r="J774" s="181"/>
      <c r="K774" s="500"/>
      <c r="L774" s="181"/>
      <c r="M774" s="253"/>
      <c r="N774" s="254"/>
      <c r="O774" s="500"/>
      <c r="P774" s="181"/>
      <c r="Q774" s="492"/>
      <c r="R774" s="254"/>
      <c r="S774" s="501"/>
      <c r="T774" s="101"/>
      <c r="U774" s="253"/>
      <c r="V774" s="254"/>
      <c r="W774" s="254"/>
      <c r="X774" s="254"/>
      <c r="Y774" s="254"/>
      <c r="Z774" s="254"/>
    </row>
    <row r="775">
      <c r="A775" s="492"/>
      <c r="B775" s="254"/>
      <c r="C775" s="492"/>
      <c r="D775" s="181"/>
      <c r="E775" s="492"/>
      <c r="F775" s="254"/>
      <c r="G775" s="492"/>
      <c r="H775" s="254"/>
      <c r="I775" s="500"/>
      <c r="J775" s="181"/>
      <c r="K775" s="500"/>
      <c r="L775" s="181"/>
      <c r="M775" s="253"/>
      <c r="N775" s="254"/>
      <c r="O775" s="500"/>
      <c r="P775" s="181"/>
      <c r="Q775" s="492"/>
      <c r="R775" s="254"/>
      <c r="S775" s="501"/>
      <c r="T775" s="101"/>
      <c r="U775" s="253"/>
      <c r="V775" s="254"/>
      <c r="W775" s="254"/>
      <c r="X775" s="254"/>
      <c r="Y775" s="254"/>
      <c r="Z775" s="254"/>
    </row>
    <row r="776">
      <c r="A776" s="492"/>
      <c r="B776" s="254"/>
      <c r="C776" s="492"/>
      <c r="D776" s="181"/>
      <c r="E776" s="492"/>
      <c r="F776" s="254"/>
      <c r="G776" s="492"/>
      <c r="H776" s="254"/>
      <c r="I776" s="500"/>
      <c r="J776" s="181"/>
      <c r="K776" s="500"/>
      <c r="L776" s="181"/>
      <c r="M776" s="253"/>
      <c r="N776" s="254"/>
      <c r="O776" s="500"/>
      <c r="P776" s="181"/>
      <c r="Q776" s="492"/>
      <c r="R776" s="254"/>
      <c r="S776" s="501"/>
      <c r="T776" s="101"/>
      <c r="U776" s="253"/>
      <c r="V776" s="254"/>
      <c r="W776" s="254"/>
      <c r="X776" s="254"/>
      <c r="Y776" s="254"/>
      <c r="Z776" s="254"/>
    </row>
    <row r="777">
      <c r="A777" s="492"/>
      <c r="B777" s="254"/>
      <c r="C777" s="492"/>
      <c r="D777" s="181"/>
      <c r="E777" s="492"/>
      <c r="F777" s="254"/>
      <c r="G777" s="492"/>
      <c r="H777" s="254"/>
      <c r="I777" s="500"/>
      <c r="J777" s="181"/>
      <c r="K777" s="500"/>
      <c r="L777" s="181"/>
      <c r="M777" s="253"/>
      <c r="N777" s="254"/>
      <c r="O777" s="500"/>
      <c r="P777" s="181"/>
      <c r="Q777" s="492"/>
      <c r="R777" s="254"/>
      <c r="S777" s="501"/>
      <c r="T777" s="101"/>
      <c r="U777" s="253"/>
      <c r="V777" s="254"/>
      <c r="W777" s="254"/>
      <c r="X777" s="254"/>
      <c r="Y777" s="254"/>
      <c r="Z777" s="254"/>
    </row>
    <row r="778">
      <c r="A778" s="492"/>
      <c r="B778" s="254"/>
      <c r="C778" s="492"/>
      <c r="D778" s="181"/>
      <c r="E778" s="492"/>
      <c r="F778" s="254"/>
      <c r="G778" s="492"/>
      <c r="H778" s="254"/>
      <c r="I778" s="500"/>
      <c r="J778" s="181"/>
      <c r="K778" s="500"/>
      <c r="L778" s="181"/>
      <c r="M778" s="253"/>
      <c r="N778" s="254"/>
      <c r="O778" s="500"/>
      <c r="P778" s="181"/>
      <c r="Q778" s="492"/>
      <c r="R778" s="254"/>
      <c r="S778" s="501"/>
      <c r="T778" s="101"/>
      <c r="U778" s="253"/>
      <c r="V778" s="254"/>
      <c r="W778" s="254"/>
      <c r="X778" s="254"/>
      <c r="Y778" s="254"/>
      <c r="Z778" s="254"/>
    </row>
    <row r="779">
      <c r="A779" s="492"/>
      <c r="B779" s="254"/>
      <c r="C779" s="492"/>
      <c r="D779" s="181"/>
      <c r="E779" s="492"/>
      <c r="F779" s="254"/>
      <c r="G779" s="492"/>
      <c r="H779" s="254"/>
      <c r="I779" s="500"/>
      <c r="J779" s="181"/>
      <c r="K779" s="500"/>
      <c r="L779" s="181"/>
      <c r="M779" s="253"/>
      <c r="N779" s="254"/>
      <c r="O779" s="500"/>
      <c r="P779" s="181"/>
      <c r="Q779" s="492"/>
      <c r="R779" s="254"/>
      <c r="S779" s="501"/>
      <c r="T779" s="101"/>
      <c r="U779" s="253"/>
      <c r="V779" s="254"/>
      <c r="W779" s="254"/>
      <c r="X779" s="254"/>
      <c r="Y779" s="254"/>
      <c r="Z779" s="254"/>
    </row>
    <row r="780">
      <c r="A780" s="492"/>
      <c r="B780" s="254"/>
      <c r="C780" s="492"/>
      <c r="D780" s="181"/>
      <c r="E780" s="492"/>
      <c r="F780" s="254"/>
      <c r="G780" s="492"/>
      <c r="H780" s="254"/>
      <c r="I780" s="500"/>
      <c r="J780" s="181"/>
      <c r="K780" s="500"/>
      <c r="L780" s="181"/>
      <c r="M780" s="253"/>
      <c r="N780" s="254"/>
      <c r="O780" s="500"/>
      <c r="P780" s="181"/>
      <c r="Q780" s="492"/>
      <c r="R780" s="254"/>
      <c r="S780" s="501"/>
      <c r="T780" s="101"/>
      <c r="U780" s="253"/>
      <c r="V780" s="254"/>
      <c r="W780" s="254"/>
      <c r="X780" s="254"/>
      <c r="Y780" s="254"/>
      <c r="Z780" s="254"/>
    </row>
    <row r="781">
      <c r="A781" s="492"/>
      <c r="B781" s="254"/>
      <c r="C781" s="492"/>
      <c r="D781" s="181"/>
      <c r="E781" s="492"/>
      <c r="F781" s="254"/>
      <c r="G781" s="492"/>
      <c r="H781" s="254"/>
      <c r="I781" s="500"/>
      <c r="J781" s="181"/>
      <c r="K781" s="500"/>
      <c r="L781" s="181"/>
      <c r="M781" s="253"/>
      <c r="N781" s="254"/>
      <c r="O781" s="500"/>
      <c r="P781" s="181"/>
      <c r="Q781" s="492"/>
      <c r="R781" s="254"/>
      <c r="S781" s="501"/>
      <c r="T781" s="101"/>
      <c r="U781" s="253"/>
      <c r="V781" s="254"/>
      <c r="W781" s="254"/>
      <c r="X781" s="254"/>
      <c r="Y781" s="254"/>
      <c r="Z781" s="254"/>
    </row>
    <row r="782">
      <c r="A782" s="492"/>
      <c r="B782" s="254"/>
      <c r="C782" s="492"/>
      <c r="D782" s="181"/>
      <c r="E782" s="492"/>
      <c r="F782" s="254"/>
      <c r="G782" s="492"/>
      <c r="H782" s="254"/>
      <c r="I782" s="500"/>
      <c r="J782" s="181"/>
      <c r="K782" s="500"/>
      <c r="L782" s="181"/>
      <c r="M782" s="253"/>
      <c r="N782" s="254"/>
      <c r="O782" s="500"/>
      <c r="P782" s="181"/>
      <c r="Q782" s="492"/>
      <c r="R782" s="254"/>
      <c r="S782" s="501"/>
      <c r="T782" s="101"/>
      <c r="U782" s="253"/>
      <c r="V782" s="254"/>
      <c r="W782" s="254"/>
      <c r="X782" s="254"/>
      <c r="Y782" s="254"/>
      <c r="Z782" s="254"/>
    </row>
    <row r="783">
      <c r="A783" s="492"/>
      <c r="B783" s="254"/>
      <c r="C783" s="492"/>
      <c r="D783" s="181"/>
      <c r="E783" s="492"/>
      <c r="F783" s="254"/>
      <c r="G783" s="492"/>
      <c r="H783" s="254"/>
      <c r="I783" s="500"/>
      <c r="J783" s="181"/>
      <c r="K783" s="500"/>
      <c r="L783" s="181"/>
      <c r="M783" s="253"/>
      <c r="N783" s="254"/>
      <c r="O783" s="500"/>
      <c r="P783" s="181"/>
      <c r="Q783" s="492"/>
      <c r="R783" s="254"/>
      <c r="S783" s="501"/>
      <c r="T783" s="101"/>
      <c r="U783" s="253"/>
      <c r="V783" s="254"/>
      <c r="W783" s="254"/>
      <c r="X783" s="254"/>
      <c r="Y783" s="254"/>
      <c r="Z783" s="254"/>
    </row>
    <row r="784">
      <c r="A784" s="492"/>
      <c r="B784" s="254"/>
      <c r="C784" s="492"/>
      <c r="D784" s="181"/>
      <c r="E784" s="492"/>
      <c r="F784" s="254"/>
      <c r="G784" s="492"/>
      <c r="H784" s="254"/>
      <c r="I784" s="500"/>
      <c r="J784" s="181"/>
      <c r="K784" s="500"/>
      <c r="L784" s="181"/>
      <c r="M784" s="253"/>
      <c r="N784" s="254"/>
      <c r="O784" s="500"/>
      <c r="P784" s="181"/>
      <c r="Q784" s="492"/>
      <c r="R784" s="254"/>
      <c r="S784" s="501"/>
      <c r="T784" s="101"/>
      <c r="U784" s="253"/>
      <c r="V784" s="254"/>
      <c r="W784" s="254"/>
      <c r="X784" s="254"/>
      <c r="Y784" s="254"/>
      <c r="Z784" s="254"/>
    </row>
    <row r="785">
      <c r="A785" s="492"/>
      <c r="B785" s="254"/>
      <c r="C785" s="492"/>
      <c r="D785" s="181"/>
      <c r="E785" s="492"/>
      <c r="F785" s="254"/>
      <c r="G785" s="492"/>
      <c r="H785" s="254"/>
      <c r="I785" s="500"/>
      <c r="J785" s="181"/>
      <c r="K785" s="500"/>
      <c r="L785" s="181"/>
      <c r="M785" s="253"/>
      <c r="N785" s="254"/>
      <c r="O785" s="500"/>
      <c r="P785" s="181"/>
      <c r="Q785" s="492"/>
      <c r="R785" s="254"/>
      <c r="S785" s="501"/>
      <c r="T785" s="101"/>
      <c r="U785" s="253"/>
      <c r="V785" s="254"/>
      <c r="W785" s="254"/>
      <c r="X785" s="254"/>
      <c r="Y785" s="254"/>
      <c r="Z785" s="254"/>
    </row>
    <row r="786">
      <c r="A786" s="492"/>
      <c r="B786" s="254"/>
      <c r="C786" s="492"/>
      <c r="D786" s="181"/>
      <c r="E786" s="492"/>
      <c r="F786" s="254"/>
      <c r="G786" s="492"/>
      <c r="H786" s="254"/>
      <c r="I786" s="500"/>
      <c r="J786" s="181"/>
      <c r="K786" s="500"/>
      <c r="L786" s="181"/>
      <c r="M786" s="253"/>
      <c r="N786" s="254"/>
      <c r="O786" s="500"/>
      <c r="P786" s="181"/>
      <c r="Q786" s="492"/>
      <c r="R786" s="254"/>
      <c r="S786" s="501"/>
      <c r="T786" s="101"/>
      <c r="U786" s="253"/>
      <c r="V786" s="254"/>
      <c r="W786" s="254"/>
      <c r="X786" s="254"/>
      <c r="Y786" s="254"/>
      <c r="Z786" s="254"/>
    </row>
    <row r="787">
      <c r="A787" s="492"/>
      <c r="B787" s="254"/>
      <c r="C787" s="492"/>
      <c r="D787" s="181"/>
      <c r="E787" s="492"/>
      <c r="F787" s="254"/>
      <c r="G787" s="492"/>
      <c r="H787" s="254"/>
      <c r="I787" s="500"/>
      <c r="J787" s="181"/>
      <c r="K787" s="500"/>
      <c r="L787" s="181"/>
      <c r="M787" s="253"/>
      <c r="N787" s="254"/>
      <c r="O787" s="500"/>
      <c r="P787" s="181"/>
      <c r="Q787" s="492"/>
      <c r="R787" s="254"/>
      <c r="S787" s="501"/>
      <c r="T787" s="101"/>
      <c r="U787" s="253"/>
      <c r="V787" s="254"/>
      <c r="W787" s="254"/>
      <c r="X787" s="254"/>
      <c r="Y787" s="254"/>
      <c r="Z787" s="254"/>
    </row>
    <row r="788">
      <c r="A788" s="492"/>
      <c r="B788" s="254"/>
      <c r="C788" s="492"/>
      <c r="D788" s="181"/>
      <c r="E788" s="492"/>
      <c r="F788" s="254"/>
      <c r="G788" s="492"/>
      <c r="H788" s="254"/>
      <c r="I788" s="500"/>
      <c r="J788" s="181"/>
      <c r="K788" s="500"/>
      <c r="L788" s="181"/>
      <c r="M788" s="253"/>
      <c r="N788" s="254"/>
      <c r="O788" s="500"/>
      <c r="P788" s="181"/>
      <c r="Q788" s="492"/>
      <c r="R788" s="254"/>
      <c r="S788" s="501"/>
      <c r="T788" s="101"/>
      <c r="U788" s="253"/>
      <c r="V788" s="254"/>
      <c r="W788" s="254"/>
      <c r="X788" s="254"/>
      <c r="Y788" s="254"/>
      <c r="Z788" s="254"/>
    </row>
    <row r="789">
      <c r="A789" s="492"/>
      <c r="B789" s="254"/>
      <c r="C789" s="492"/>
      <c r="D789" s="181"/>
      <c r="E789" s="492"/>
      <c r="F789" s="254"/>
      <c r="G789" s="492"/>
      <c r="H789" s="254"/>
      <c r="I789" s="500"/>
      <c r="J789" s="181"/>
      <c r="K789" s="500"/>
      <c r="L789" s="181"/>
      <c r="M789" s="253"/>
      <c r="N789" s="254"/>
      <c r="O789" s="500"/>
      <c r="P789" s="181"/>
      <c r="Q789" s="492"/>
      <c r="R789" s="254"/>
      <c r="S789" s="501"/>
      <c r="T789" s="101"/>
      <c r="U789" s="253"/>
      <c r="V789" s="254"/>
      <c r="W789" s="254"/>
      <c r="X789" s="254"/>
      <c r="Y789" s="254"/>
      <c r="Z789" s="254"/>
    </row>
    <row r="790">
      <c r="A790" s="492"/>
      <c r="B790" s="254"/>
      <c r="C790" s="492"/>
      <c r="D790" s="181"/>
      <c r="E790" s="492"/>
      <c r="F790" s="254"/>
      <c r="G790" s="492"/>
      <c r="H790" s="254"/>
      <c r="I790" s="500"/>
      <c r="J790" s="181"/>
      <c r="K790" s="500"/>
      <c r="L790" s="181"/>
      <c r="M790" s="253"/>
      <c r="N790" s="254"/>
      <c r="O790" s="500"/>
      <c r="P790" s="181"/>
      <c r="Q790" s="492"/>
      <c r="R790" s="254"/>
      <c r="S790" s="501"/>
      <c r="T790" s="101"/>
      <c r="U790" s="253"/>
      <c r="V790" s="254"/>
      <c r="W790" s="254"/>
      <c r="X790" s="254"/>
      <c r="Y790" s="254"/>
      <c r="Z790" s="254"/>
    </row>
    <row r="791">
      <c r="A791" s="492"/>
      <c r="B791" s="254"/>
      <c r="C791" s="492"/>
      <c r="D791" s="181"/>
      <c r="E791" s="492"/>
      <c r="F791" s="254"/>
      <c r="G791" s="492"/>
      <c r="H791" s="254"/>
      <c r="I791" s="500"/>
      <c r="J791" s="181"/>
      <c r="K791" s="500"/>
      <c r="L791" s="181"/>
      <c r="M791" s="253"/>
      <c r="N791" s="254"/>
      <c r="O791" s="500"/>
      <c r="P791" s="181"/>
      <c r="Q791" s="492"/>
      <c r="R791" s="254"/>
      <c r="S791" s="501"/>
      <c r="T791" s="101"/>
      <c r="U791" s="253"/>
      <c r="V791" s="254"/>
      <c r="W791" s="254"/>
      <c r="X791" s="254"/>
      <c r="Y791" s="254"/>
      <c r="Z791" s="254"/>
    </row>
    <row r="792">
      <c r="A792" s="492"/>
      <c r="B792" s="254"/>
      <c r="C792" s="492"/>
      <c r="D792" s="181"/>
      <c r="E792" s="492"/>
      <c r="F792" s="254"/>
      <c r="G792" s="492"/>
      <c r="H792" s="254"/>
      <c r="I792" s="500"/>
      <c r="J792" s="181"/>
      <c r="K792" s="500"/>
      <c r="L792" s="181"/>
      <c r="M792" s="253"/>
      <c r="N792" s="254"/>
      <c r="O792" s="500"/>
      <c r="P792" s="181"/>
      <c r="Q792" s="492"/>
      <c r="R792" s="254"/>
      <c r="S792" s="501"/>
      <c r="T792" s="101"/>
      <c r="U792" s="253"/>
      <c r="V792" s="254"/>
      <c r="W792" s="254"/>
      <c r="X792" s="254"/>
      <c r="Y792" s="254"/>
      <c r="Z792" s="254"/>
    </row>
    <row r="793">
      <c r="A793" s="492"/>
      <c r="B793" s="254"/>
      <c r="C793" s="492"/>
      <c r="D793" s="181"/>
      <c r="E793" s="492"/>
      <c r="F793" s="254"/>
      <c r="G793" s="492"/>
      <c r="H793" s="254"/>
      <c r="I793" s="500"/>
      <c r="J793" s="181"/>
      <c r="K793" s="500"/>
      <c r="L793" s="181"/>
      <c r="M793" s="253"/>
      <c r="N793" s="254"/>
      <c r="O793" s="500"/>
      <c r="P793" s="181"/>
      <c r="Q793" s="492"/>
      <c r="R793" s="254"/>
      <c r="S793" s="501"/>
      <c r="T793" s="101"/>
      <c r="U793" s="253"/>
      <c r="V793" s="254"/>
      <c r="W793" s="254"/>
      <c r="X793" s="254"/>
      <c r="Y793" s="254"/>
      <c r="Z793" s="254"/>
    </row>
    <row r="794">
      <c r="A794" s="492"/>
      <c r="B794" s="254"/>
      <c r="C794" s="492"/>
      <c r="D794" s="181"/>
      <c r="E794" s="492"/>
      <c r="F794" s="254"/>
      <c r="G794" s="492"/>
      <c r="H794" s="254"/>
      <c r="I794" s="500"/>
      <c r="J794" s="181"/>
      <c r="K794" s="500"/>
      <c r="L794" s="181"/>
      <c r="M794" s="253"/>
      <c r="N794" s="254"/>
      <c r="O794" s="500"/>
      <c r="P794" s="181"/>
      <c r="Q794" s="492"/>
      <c r="R794" s="254"/>
      <c r="S794" s="501"/>
      <c r="T794" s="101"/>
      <c r="U794" s="253"/>
      <c r="V794" s="254"/>
      <c r="W794" s="254"/>
      <c r="X794" s="254"/>
      <c r="Y794" s="254"/>
      <c r="Z794" s="254"/>
    </row>
    <row r="795">
      <c r="A795" s="492"/>
      <c r="B795" s="254"/>
      <c r="C795" s="492"/>
      <c r="D795" s="181"/>
      <c r="E795" s="492"/>
      <c r="F795" s="254"/>
      <c r="G795" s="492"/>
      <c r="H795" s="254"/>
      <c r="I795" s="500"/>
      <c r="J795" s="181"/>
      <c r="K795" s="500"/>
      <c r="L795" s="181"/>
      <c r="M795" s="253"/>
      <c r="N795" s="254"/>
      <c r="O795" s="500"/>
      <c r="P795" s="181"/>
      <c r="Q795" s="492"/>
      <c r="R795" s="254"/>
      <c r="S795" s="501"/>
      <c r="T795" s="101"/>
      <c r="U795" s="253"/>
      <c r="V795" s="254"/>
      <c r="W795" s="254"/>
      <c r="X795" s="254"/>
      <c r="Y795" s="254"/>
      <c r="Z795" s="254"/>
    </row>
    <row r="796">
      <c r="A796" s="492"/>
      <c r="B796" s="254"/>
      <c r="C796" s="492"/>
      <c r="D796" s="181"/>
      <c r="E796" s="492"/>
      <c r="F796" s="254"/>
      <c r="G796" s="492"/>
      <c r="H796" s="254"/>
      <c r="I796" s="500"/>
      <c r="J796" s="181"/>
      <c r="K796" s="500"/>
      <c r="L796" s="181"/>
      <c r="M796" s="253"/>
      <c r="N796" s="254"/>
      <c r="O796" s="500"/>
      <c r="P796" s="181"/>
      <c r="Q796" s="492"/>
      <c r="R796" s="254"/>
      <c r="S796" s="501"/>
      <c r="T796" s="101"/>
      <c r="U796" s="253"/>
      <c r="V796" s="254"/>
      <c r="W796" s="254"/>
      <c r="X796" s="254"/>
      <c r="Y796" s="254"/>
      <c r="Z796" s="254"/>
    </row>
    <row r="797">
      <c r="A797" s="492"/>
      <c r="B797" s="254"/>
      <c r="C797" s="492"/>
      <c r="D797" s="181"/>
      <c r="E797" s="492"/>
      <c r="F797" s="254"/>
      <c r="G797" s="492"/>
      <c r="H797" s="254"/>
      <c r="I797" s="500"/>
      <c r="J797" s="181"/>
      <c r="K797" s="500"/>
      <c r="L797" s="181"/>
      <c r="M797" s="253"/>
      <c r="N797" s="254"/>
      <c r="O797" s="500"/>
      <c r="P797" s="181"/>
      <c r="Q797" s="492"/>
      <c r="R797" s="254"/>
      <c r="S797" s="501"/>
      <c r="T797" s="101"/>
      <c r="U797" s="253"/>
      <c r="V797" s="254"/>
      <c r="W797" s="254"/>
      <c r="X797" s="254"/>
      <c r="Y797" s="254"/>
      <c r="Z797" s="254"/>
    </row>
    <row r="798">
      <c r="A798" s="492"/>
      <c r="B798" s="254"/>
      <c r="C798" s="492"/>
      <c r="D798" s="181"/>
      <c r="E798" s="492"/>
      <c r="F798" s="254"/>
      <c r="G798" s="492"/>
      <c r="H798" s="254"/>
      <c r="I798" s="500"/>
      <c r="J798" s="181"/>
      <c r="K798" s="500"/>
      <c r="L798" s="181"/>
      <c r="M798" s="253"/>
      <c r="N798" s="254"/>
      <c r="O798" s="500"/>
      <c r="P798" s="181"/>
      <c r="Q798" s="492"/>
      <c r="R798" s="254"/>
      <c r="S798" s="501"/>
      <c r="T798" s="101"/>
      <c r="U798" s="253"/>
      <c r="V798" s="254"/>
      <c r="W798" s="254"/>
      <c r="X798" s="254"/>
      <c r="Y798" s="254"/>
      <c r="Z798" s="254"/>
    </row>
    <row r="799">
      <c r="A799" s="492"/>
      <c r="B799" s="254"/>
      <c r="C799" s="492"/>
      <c r="D799" s="181"/>
      <c r="E799" s="492"/>
      <c r="F799" s="254"/>
      <c r="G799" s="492"/>
      <c r="H799" s="254"/>
      <c r="I799" s="500"/>
      <c r="J799" s="181"/>
      <c r="K799" s="500"/>
      <c r="L799" s="181"/>
      <c r="M799" s="253"/>
      <c r="N799" s="254"/>
      <c r="O799" s="500"/>
      <c r="P799" s="181"/>
      <c r="Q799" s="492"/>
      <c r="R799" s="254"/>
      <c r="S799" s="501"/>
      <c r="T799" s="101"/>
      <c r="U799" s="253"/>
      <c r="V799" s="254"/>
      <c r="W799" s="254"/>
      <c r="X799" s="254"/>
      <c r="Y799" s="254"/>
      <c r="Z799" s="254"/>
    </row>
    <row r="800">
      <c r="A800" s="492"/>
      <c r="B800" s="254"/>
      <c r="C800" s="492"/>
      <c r="D800" s="181"/>
      <c r="E800" s="492"/>
      <c r="F800" s="254"/>
      <c r="G800" s="492"/>
      <c r="H800" s="254"/>
      <c r="I800" s="500"/>
      <c r="J800" s="181"/>
      <c r="K800" s="500"/>
      <c r="L800" s="181"/>
      <c r="M800" s="253"/>
      <c r="N800" s="254"/>
      <c r="O800" s="500"/>
      <c r="P800" s="181"/>
      <c r="Q800" s="492"/>
      <c r="R800" s="254"/>
      <c r="S800" s="501"/>
      <c r="T800" s="101"/>
      <c r="U800" s="253"/>
      <c r="V800" s="254"/>
      <c r="W800" s="254"/>
      <c r="X800" s="254"/>
      <c r="Y800" s="254"/>
      <c r="Z800" s="254"/>
    </row>
    <row r="801">
      <c r="A801" s="492"/>
      <c r="B801" s="254"/>
      <c r="C801" s="492"/>
      <c r="D801" s="181"/>
      <c r="E801" s="492"/>
      <c r="F801" s="254"/>
      <c r="G801" s="492"/>
      <c r="H801" s="254"/>
      <c r="I801" s="500"/>
      <c r="J801" s="181"/>
      <c r="K801" s="500"/>
      <c r="L801" s="181"/>
      <c r="M801" s="253"/>
      <c r="N801" s="254"/>
      <c r="O801" s="500"/>
      <c r="P801" s="181"/>
      <c r="Q801" s="492"/>
      <c r="R801" s="254"/>
      <c r="S801" s="501"/>
      <c r="T801" s="101"/>
      <c r="U801" s="253"/>
      <c r="V801" s="254"/>
      <c r="W801" s="254"/>
      <c r="X801" s="254"/>
      <c r="Y801" s="254"/>
      <c r="Z801" s="254"/>
    </row>
    <row r="802">
      <c r="A802" s="492"/>
      <c r="B802" s="254"/>
      <c r="C802" s="492"/>
      <c r="D802" s="181"/>
      <c r="E802" s="492"/>
      <c r="F802" s="254"/>
      <c r="G802" s="492"/>
      <c r="H802" s="254"/>
      <c r="I802" s="500"/>
      <c r="J802" s="181"/>
      <c r="K802" s="500"/>
      <c r="L802" s="181"/>
      <c r="M802" s="253"/>
      <c r="N802" s="254"/>
      <c r="O802" s="500"/>
      <c r="P802" s="181"/>
      <c r="Q802" s="492"/>
      <c r="R802" s="254"/>
      <c r="S802" s="501"/>
      <c r="T802" s="101"/>
      <c r="U802" s="253"/>
      <c r="V802" s="254"/>
      <c r="W802" s="254"/>
      <c r="X802" s="254"/>
      <c r="Y802" s="254"/>
      <c r="Z802" s="254"/>
    </row>
    <row r="803">
      <c r="A803" s="492"/>
      <c r="B803" s="254"/>
      <c r="C803" s="492"/>
      <c r="D803" s="181"/>
      <c r="E803" s="492"/>
      <c r="F803" s="254"/>
      <c r="G803" s="492"/>
      <c r="H803" s="254"/>
      <c r="I803" s="500"/>
      <c r="J803" s="181"/>
      <c r="K803" s="500"/>
      <c r="L803" s="181"/>
      <c r="M803" s="253"/>
      <c r="N803" s="254"/>
      <c r="O803" s="500"/>
      <c r="P803" s="181"/>
      <c r="Q803" s="492"/>
      <c r="R803" s="254"/>
      <c r="S803" s="501"/>
      <c r="T803" s="101"/>
      <c r="U803" s="253"/>
      <c r="V803" s="254"/>
      <c r="W803" s="254"/>
      <c r="X803" s="254"/>
      <c r="Y803" s="254"/>
      <c r="Z803" s="254"/>
    </row>
    <row r="804">
      <c r="A804" s="492"/>
      <c r="B804" s="254"/>
      <c r="C804" s="492"/>
      <c r="D804" s="181"/>
      <c r="E804" s="492"/>
      <c r="F804" s="254"/>
      <c r="G804" s="492"/>
      <c r="H804" s="254"/>
      <c r="I804" s="500"/>
      <c r="J804" s="181"/>
      <c r="K804" s="500"/>
      <c r="L804" s="181"/>
      <c r="M804" s="253"/>
      <c r="N804" s="254"/>
      <c r="O804" s="500"/>
      <c r="P804" s="181"/>
      <c r="Q804" s="492"/>
      <c r="R804" s="254"/>
      <c r="S804" s="501"/>
      <c r="T804" s="101"/>
      <c r="U804" s="253"/>
      <c r="V804" s="254"/>
      <c r="W804" s="254"/>
      <c r="X804" s="254"/>
      <c r="Y804" s="254"/>
      <c r="Z804" s="254"/>
    </row>
    <row r="805">
      <c r="A805" s="492"/>
      <c r="B805" s="254"/>
      <c r="C805" s="492"/>
      <c r="D805" s="181"/>
      <c r="E805" s="492"/>
      <c r="F805" s="254"/>
      <c r="G805" s="492"/>
      <c r="H805" s="254"/>
      <c r="I805" s="500"/>
      <c r="J805" s="181"/>
      <c r="K805" s="500"/>
      <c r="L805" s="181"/>
      <c r="M805" s="253"/>
      <c r="N805" s="254"/>
      <c r="O805" s="500"/>
      <c r="P805" s="181"/>
      <c r="Q805" s="492"/>
      <c r="R805" s="254"/>
      <c r="S805" s="501"/>
      <c r="T805" s="101"/>
      <c r="U805" s="253"/>
      <c r="V805" s="254"/>
      <c r="W805" s="254"/>
      <c r="X805" s="254"/>
      <c r="Y805" s="254"/>
      <c r="Z805" s="254"/>
    </row>
    <row r="806">
      <c r="A806" s="492"/>
      <c r="B806" s="254"/>
      <c r="C806" s="492"/>
      <c r="D806" s="181"/>
      <c r="E806" s="492"/>
      <c r="F806" s="254"/>
      <c r="G806" s="492"/>
      <c r="H806" s="254"/>
      <c r="I806" s="500"/>
      <c r="J806" s="181"/>
      <c r="K806" s="500"/>
      <c r="L806" s="181"/>
      <c r="M806" s="253"/>
      <c r="N806" s="254"/>
      <c r="O806" s="500"/>
      <c r="P806" s="181"/>
      <c r="Q806" s="492"/>
      <c r="R806" s="254"/>
      <c r="S806" s="501"/>
      <c r="T806" s="101"/>
      <c r="U806" s="253"/>
      <c r="V806" s="254"/>
      <c r="W806" s="254"/>
      <c r="X806" s="254"/>
      <c r="Y806" s="254"/>
      <c r="Z806" s="254"/>
    </row>
    <row r="807">
      <c r="A807" s="492"/>
      <c r="B807" s="254"/>
      <c r="C807" s="492"/>
      <c r="D807" s="181"/>
      <c r="E807" s="492"/>
      <c r="F807" s="254"/>
      <c r="G807" s="492"/>
      <c r="H807" s="254"/>
      <c r="I807" s="500"/>
      <c r="J807" s="181"/>
      <c r="K807" s="500"/>
      <c r="L807" s="181"/>
      <c r="M807" s="253"/>
      <c r="N807" s="254"/>
      <c r="O807" s="500"/>
      <c r="P807" s="181"/>
      <c r="Q807" s="492"/>
      <c r="R807" s="254"/>
      <c r="S807" s="501"/>
      <c r="T807" s="101"/>
      <c r="U807" s="253"/>
      <c r="V807" s="254"/>
      <c r="W807" s="254"/>
      <c r="X807" s="254"/>
      <c r="Y807" s="254"/>
      <c r="Z807" s="254"/>
    </row>
    <row r="808">
      <c r="A808" s="492"/>
      <c r="B808" s="254"/>
      <c r="C808" s="492"/>
      <c r="D808" s="181"/>
      <c r="E808" s="492"/>
      <c r="F808" s="254"/>
      <c r="G808" s="492"/>
      <c r="H808" s="254"/>
      <c r="I808" s="500"/>
      <c r="J808" s="181"/>
      <c r="K808" s="500"/>
      <c r="L808" s="181"/>
      <c r="M808" s="253"/>
      <c r="N808" s="254"/>
      <c r="O808" s="500"/>
      <c r="P808" s="181"/>
      <c r="Q808" s="492"/>
      <c r="R808" s="254"/>
      <c r="S808" s="501"/>
      <c r="T808" s="101"/>
      <c r="U808" s="253"/>
      <c r="V808" s="254"/>
      <c r="W808" s="254"/>
      <c r="X808" s="254"/>
      <c r="Y808" s="254"/>
      <c r="Z808" s="254"/>
    </row>
    <row r="809">
      <c r="A809" s="492"/>
      <c r="B809" s="254"/>
      <c r="C809" s="492"/>
      <c r="D809" s="181"/>
      <c r="E809" s="492"/>
      <c r="F809" s="254"/>
      <c r="G809" s="492"/>
      <c r="H809" s="254"/>
      <c r="I809" s="500"/>
      <c r="J809" s="181"/>
      <c r="K809" s="500"/>
      <c r="L809" s="181"/>
      <c r="M809" s="253"/>
      <c r="N809" s="254"/>
      <c r="O809" s="500"/>
      <c r="P809" s="181"/>
      <c r="Q809" s="492"/>
      <c r="R809" s="254"/>
      <c r="S809" s="501"/>
      <c r="T809" s="101"/>
      <c r="U809" s="253"/>
      <c r="V809" s="254"/>
      <c r="W809" s="254"/>
      <c r="X809" s="254"/>
      <c r="Y809" s="254"/>
      <c r="Z809" s="254"/>
    </row>
    <row r="810">
      <c r="A810" s="492"/>
      <c r="B810" s="254"/>
      <c r="C810" s="492"/>
      <c r="D810" s="181"/>
      <c r="E810" s="492"/>
      <c r="F810" s="254"/>
      <c r="G810" s="492"/>
      <c r="H810" s="254"/>
      <c r="I810" s="500"/>
      <c r="J810" s="181"/>
      <c r="K810" s="500"/>
      <c r="L810" s="181"/>
      <c r="M810" s="253"/>
      <c r="N810" s="254"/>
      <c r="O810" s="500"/>
      <c r="P810" s="181"/>
      <c r="Q810" s="492"/>
      <c r="R810" s="254"/>
      <c r="S810" s="501"/>
      <c r="T810" s="101"/>
      <c r="U810" s="253"/>
      <c r="V810" s="254"/>
      <c r="W810" s="254"/>
      <c r="X810" s="254"/>
      <c r="Y810" s="254"/>
      <c r="Z810" s="254"/>
    </row>
    <row r="811">
      <c r="A811" s="492"/>
      <c r="B811" s="254"/>
      <c r="C811" s="492"/>
      <c r="D811" s="181"/>
      <c r="E811" s="492"/>
      <c r="F811" s="254"/>
      <c r="G811" s="492"/>
      <c r="H811" s="254"/>
      <c r="I811" s="500"/>
      <c r="J811" s="181"/>
      <c r="K811" s="500"/>
      <c r="L811" s="181"/>
      <c r="M811" s="253"/>
      <c r="N811" s="254"/>
      <c r="O811" s="500"/>
      <c r="P811" s="181"/>
      <c r="Q811" s="492"/>
      <c r="R811" s="254"/>
      <c r="S811" s="501"/>
      <c r="T811" s="101"/>
      <c r="U811" s="253"/>
      <c r="V811" s="254"/>
      <c r="W811" s="254"/>
      <c r="X811" s="254"/>
      <c r="Y811" s="254"/>
      <c r="Z811" s="254"/>
    </row>
    <row r="812">
      <c r="A812" s="492"/>
      <c r="B812" s="254"/>
      <c r="C812" s="492"/>
      <c r="D812" s="181"/>
      <c r="E812" s="492"/>
      <c r="F812" s="254"/>
      <c r="G812" s="492"/>
      <c r="H812" s="254"/>
      <c r="I812" s="500"/>
      <c r="J812" s="181"/>
      <c r="K812" s="500"/>
      <c r="L812" s="181"/>
      <c r="M812" s="253"/>
      <c r="N812" s="254"/>
      <c r="O812" s="500"/>
      <c r="P812" s="181"/>
      <c r="Q812" s="492"/>
      <c r="R812" s="254"/>
      <c r="S812" s="501"/>
      <c r="T812" s="101"/>
      <c r="U812" s="253"/>
      <c r="V812" s="254"/>
      <c r="W812" s="254"/>
      <c r="X812" s="254"/>
      <c r="Y812" s="254"/>
      <c r="Z812" s="254"/>
    </row>
    <row r="813">
      <c r="A813" s="492"/>
      <c r="B813" s="254"/>
      <c r="C813" s="492"/>
      <c r="D813" s="181"/>
      <c r="E813" s="492"/>
      <c r="F813" s="254"/>
      <c r="G813" s="492"/>
      <c r="H813" s="254"/>
      <c r="I813" s="500"/>
      <c r="J813" s="181"/>
      <c r="K813" s="500"/>
      <c r="L813" s="181"/>
      <c r="M813" s="253"/>
      <c r="N813" s="254"/>
      <c r="O813" s="500"/>
      <c r="P813" s="181"/>
      <c r="Q813" s="492"/>
      <c r="R813" s="254"/>
      <c r="S813" s="501"/>
      <c r="T813" s="101"/>
      <c r="U813" s="253"/>
      <c r="V813" s="254"/>
      <c r="W813" s="254"/>
      <c r="X813" s="254"/>
      <c r="Y813" s="254"/>
      <c r="Z813" s="254"/>
    </row>
    <row r="814">
      <c r="A814" s="492"/>
      <c r="B814" s="254"/>
      <c r="C814" s="492"/>
      <c r="D814" s="181"/>
      <c r="E814" s="492"/>
      <c r="F814" s="254"/>
      <c r="G814" s="492"/>
      <c r="H814" s="254"/>
      <c r="I814" s="500"/>
      <c r="J814" s="181"/>
      <c r="K814" s="500"/>
      <c r="L814" s="181"/>
      <c r="M814" s="253"/>
      <c r="N814" s="254"/>
      <c r="O814" s="500"/>
      <c r="P814" s="181"/>
      <c r="Q814" s="492"/>
      <c r="R814" s="254"/>
      <c r="S814" s="501"/>
      <c r="T814" s="101"/>
      <c r="U814" s="253"/>
      <c r="V814" s="254"/>
      <c r="W814" s="254"/>
      <c r="X814" s="254"/>
      <c r="Y814" s="254"/>
      <c r="Z814" s="254"/>
    </row>
    <row r="815">
      <c r="A815" s="492"/>
      <c r="B815" s="254"/>
      <c r="C815" s="492"/>
      <c r="D815" s="181"/>
      <c r="E815" s="492"/>
      <c r="F815" s="254"/>
      <c r="G815" s="492"/>
      <c r="H815" s="254"/>
      <c r="I815" s="500"/>
      <c r="J815" s="181"/>
      <c r="K815" s="500"/>
      <c r="L815" s="181"/>
      <c r="M815" s="253"/>
      <c r="N815" s="254"/>
      <c r="O815" s="500"/>
      <c r="P815" s="181"/>
      <c r="Q815" s="492"/>
      <c r="R815" s="254"/>
      <c r="S815" s="501"/>
      <c r="T815" s="101"/>
      <c r="U815" s="253"/>
      <c r="V815" s="254"/>
      <c r="W815" s="254"/>
      <c r="X815" s="254"/>
      <c r="Y815" s="254"/>
      <c r="Z815" s="254"/>
    </row>
    <row r="816">
      <c r="A816" s="492"/>
      <c r="B816" s="254"/>
      <c r="C816" s="492"/>
      <c r="D816" s="181"/>
      <c r="E816" s="492"/>
      <c r="F816" s="254"/>
      <c r="G816" s="492"/>
      <c r="H816" s="254"/>
      <c r="I816" s="500"/>
      <c r="J816" s="181"/>
      <c r="K816" s="500"/>
      <c r="L816" s="181"/>
      <c r="M816" s="253"/>
      <c r="N816" s="254"/>
      <c r="O816" s="500"/>
      <c r="P816" s="181"/>
      <c r="Q816" s="492"/>
      <c r="R816" s="254"/>
      <c r="S816" s="501"/>
      <c r="T816" s="101"/>
      <c r="U816" s="253"/>
      <c r="V816" s="254"/>
      <c r="W816" s="254"/>
      <c r="X816" s="254"/>
      <c r="Y816" s="254"/>
      <c r="Z816" s="254"/>
    </row>
    <row r="817">
      <c r="A817" s="492"/>
      <c r="B817" s="254"/>
      <c r="C817" s="492"/>
      <c r="D817" s="181"/>
      <c r="E817" s="492"/>
      <c r="F817" s="254"/>
      <c r="G817" s="492"/>
      <c r="H817" s="254"/>
      <c r="I817" s="500"/>
      <c r="J817" s="181"/>
      <c r="K817" s="500"/>
      <c r="L817" s="181"/>
      <c r="M817" s="253"/>
      <c r="N817" s="254"/>
      <c r="O817" s="500"/>
      <c r="P817" s="181"/>
      <c r="Q817" s="492"/>
      <c r="R817" s="254"/>
      <c r="S817" s="501"/>
      <c r="T817" s="101"/>
      <c r="U817" s="253"/>
      <c r="V817" s="254"/>
      <c r="W817" s="254"/>
      <c r="X817" s="254"/>
      <c r="Y817" s="254"/>
      <c r="Z817" s="254"/>
    </row>
    <row r="818">
      <c r="A818" s="492"/>
      <c r="B818" s="254"/>
      <c r="C818" s="492"/>
      <c r="D818" s="181"/>
      <c r="E818" s="492"/>
      <c r="F818" s="254"/>
      <c r="G818" s="492"/>
      <c r="H818" s="254"/>
      <c r="I818" s="500"/>
      <c r="J818" s="181"/>
      <c r="K818" s="500"/>
      <c r="L818" s="181"/>
      <c r="M818" s="253"/>
      <c r="N818" s="254"/>
      <c r="O818" s="500"/>
      <c r="P818" s="181"/>
      <c r="Q818" s="492"/>
      <c r="R818" s="254"/>
      <c r="S818" s="501"/>
      <c r="T818" s="101"/>
      <c r="U818" s="253"/>
      <c r="V818" s="254"/>
      <c r="W818" s="254"/>
      <c r="X818" s="254"/>
      <c r="Y818" s="254"/>
      <c r="Z818" s="254"/>
    </row>
    <row r="819">
      <c r="A819" s="492"/>
      <c r="B819" s="254"/>
      <c r="C819" s="492"/>
      <c r="D819" s="181"/>
      <c r="E819" s="492"/>
      <c r="F819" s="254"/>
      <c r="G819" s="492"/>
      <c r="H819" s="254"/>
      <c r="I819" s="500"/>
      <c r="J819" s="181"/>
      <c r="K819" s="500"/>
      <c r="L819" s="181"/>
      <c r="M819" s="253"/>
      <c r="N819" s="254"/>
      <c r="O819" s="500"/>
      <c r="P819" s="181"/>
      <c r="Q819" s="492"/>
      <c r="R819" s="254"/>
      <c r="S819" s="501"/>
      <c r="T819" s="101"/>
      <c r="U819" s="253"/>
      <c r="V819" s="254"/>
      <c r="W819" s="254"/>
      <c r="X819" s="254"/>
      <c r="Y819" s="254"/>
      <c r="Z819" s="254"/>
    </row>
    <row r="820">
      <c r="A820" s="492"/>
      <c r="B820" s="254"/>
      <c r="C820" s="492"/>
      <c r="D820" s="181"/>
      <c r="E820" s="492"/>
      <c r="F820" s="254"/>
      <c r="G820" s="492"/>
      <c r="H820" s="254"/>
      <c r="I820" s="500"/>
      <c r="J820" s="181"/>
      <c r="K820" s="500"/>
      <c r="L820" s="181"/>
      <c r="M820" s="253"/>
      <c r="N820" s="254"/>
      <c r="O820" s="500"/>
      <c r="P820" s="181"/>
      <c r="Q820" s="492"/>
      <c r="R820" s="254"/>
      <c r="S820" s="501"/>
      <c r="T820" s="101"/>
      <c r="U820" s="253"/>
      <c r="V820" s="254"/>
      <c r="W820" s="254"/>
      <c r="X820" s="254"/>
      <c r="Y820" s="254"/>
      <c r="Z820" s="254"/>
    </row>
    <row r="821">
      <c r="A821" s="492"/>
      <c r="B821" s="254"/>
      <c r="C821" s="492"/>
      <c r="D821" s="181"/>
      <c r="E821" s="492"/>
      <c r="F821" s="254"/>
      <c r="G821" s="492"/>
      <c r="H821" s="254"/>
      <c r="I821" s="500"/>
      <c r="J821" s="181"/>
      <c r="K821" s="500"/>
      <c r="L821" s="181"/>
      <c r="M821" s="253"/>
      <c r="N821" s="254"/>
      <c r="O821" s="500"/>
      <c r="P821" s="181"/>
      <c r="Q821" s="492"/>
      <c r="R821" s="254"/>
      <c r="S821" s="501"/>
      <c r="T821" s="101"/>
      <c r="U821" s="253"/>
      <c r="V821" s="254"/>
      <c r="W821" s="254"/>
      <c r="X821" s="254"/>
      <c r="Y821" s="254"/>
      <c r="Z821" s="254"/>
    </row>
    <row r="822">
      <c r="A822" s="492"/>
      <c r="B822" s="254"/>
      <c r="C822" s="492"/>
      <c r="D822" s="181"/>
      <c r="E822" s="492"/>
      <c r="F822" s="254"/>
      <c r="G822" s="492"/>
      <c r="H822" s="254"/>
      <c r="I822" s="500"/>
      <c r="J822" s="181"/>
      <c r="K822" s="500"/>
      <c r="L822" s="181"/>
      <c r="M822" s="253"/>
      <c r="N822" s="254"/>
      <c r="O822" s="500"/>
      <c r="P822" s="181"/>
      <c r="Q822" s="492"/>
      <c r="R822" s="254"/>
      <c r="S822" s="501"/>
      <c r="T822" s="101"/>
      <c r="U822" s="253"/>
      <c r="V822" s="254"/>
      <c r="W822" s="254"/>
      <c r="X822" s="254"/>
      <c r="Y822" s="254"/>
      <c r="Z822" s="254"/>
    </row>
    <row r="823">
      <c r="A823" s="492"/>
      <c r="B823" s="254"/>
      <c r="C823" s="492"/>
      <c r="D823" s="181"/>
      <c r="E823" s="492"/>
      <c r="F823" s="254"/>
      <c r="G823" s="492"/>
      <c r="H823" s="254"/>
      <c r="I823" s="500"/>
      <c r="J823" s="181"/>
      <c r="K823" s="500"/>
      <c r="L823" s="181"/>
      <c r="M823" s="253"/>
      <c r="N823" s="254"/>
      <c r="O823" s="500"/>
      <c r="P823" s="181"/>
      <c r="Q823" s="492"/>
      <c r="R823" s="254"/>
      <c r="S823" s="501"/>
      <c r="T823" s="101"/>
      <c r="U823" s="253"/>
      <c r="V823" s="254"/>
      <c r="W823" s="254"/>
      <c r="X823" s="254"/>
      <c r="Y823" s="254"/>
      <c r="Z823" s="254"/>
    </row>
    <row r="824">
      <c r="A824" s="492"/>
      <c r="B824" s="254"/>
      <c r="C824" s="492"/>
      <c r="D824" s="181"/>
      <c r="E824" s="492"/>
      <c r="F824" s="254"/>
      <c r="G824" s="492"/>
      <c r="H824" s="254"/>
      <c r="I824" s="500"/>
      <c r="J824" s="181"/>
      <c r="K824" s="500"/>
      <c r="L824" s="181"/>
      <c r="M824" s="253"/>
      <c r="N824" s="254"/>
      <c r="O824" s="500"/>
      <c r="P824" s="181"/>
      <c r="Q824" s="492"/>
      <c r="R824" s="254"/>
      <c r="S824" s="501"/>
      <c r="T824" s="101"/>
      <c r="U824" s="253"/>
      <c r="V824" s="254"/>
      <c r="W824" s="254"/>
      <c r="X824" s="254"/>
      <c r="Y824" s="254"/>
      <c r="Z824" s="254"/>
    </row>
    <row r="825">
      <c r="A825" s="492"/>
      <c r="B825" s="254"/>
      <c r="C825" s="492"/>
      <c r="D825" s="181"/>
      <c r="E825" s="492"/>
      <c r="F825" s="254"/>
      <c r="G825" s="492"/>
      <c r="H825" s="254"/>
      <c r="I825" s="500"/>
      <c r="J825" s="181"/>
      <c r="K825" s="500"/>
      <c r="L825" s="181"/>
      <c r="M825" s="253"/>
      <c r="N825" s="254"/>
      <c r="O825" s="500"/>
      <c r="P825" s="181"/>
      <c r="Q825" s="492"/>
      <c r="R825" s="254"/>
      <c r="S825" s="501"/>
      <c r="T825" s="101"/>
      <c r="U825" s="253"/>
      <c r="V825" s="254"/>
      <c r="W825" s="254"/>
      <c r="X825" s="254"/>
      <c r="Y825" s="254"/>
      <c r="Z825" s="254"/>
    </row>
    <row r="826">
      <c r="A826" s="492"/>
      <c r="B826" s="254"/>
      <c r="C826" s="492"/>
      <c r="D826" s="181"/>
      <c r="E826" s="492"/>
      <c r="F826" s="254"/>
      <c r="G826" s="492"/>
      <c r="H826" s="254"/>
      <c r="I826" s="500"/>
      <c r="J826" s="181"/>
      <c r="K826" s="500"/>
      <c r="L826" s="181"/>
      <c r="M826" s="253"/>
      <c r="N826" s="254"/>
      <c r="O826" s="500"/>
      <c r="P826" s="181"/>
      <c r="Q826" s="492"/>
      <c r="R826" s="254"/>
      <c r="S826" s="501"/>
      <c r="T826" s="101"/>
      <c r="U826" s="253"/>
      <c r="V826" s="254"/>
      <c r="W826" s="254"/>
      <c r="X826" s="254"/>
      <c r="Y826" s="254"/>
      <c r="Z826" s="254"/>
    </row>
    <row r="827">
      <c r="A827" s="492"/>
      <c r="B827" s="254"/>
      <c r="C827" s="492"/>
      <c r="D827" s="181"/>
      <c r="E827" s="492"/>
      <c r="F827" s="254"/>
      <c r="G827" s="492"/>
      <c r="H827" s="254"/>
      <c r="I827" s="500"/>
      <c r="J827" s="181"/>
      <c r="K827" s="500"/>
      <c r="L827" s="181"/>
      <c r="M827" s="253"/>
      <c r="N827" s="254"/>
      <c r="O827" s="500"/>
      <c r="P827" s="181"/>
      <c r="Q827" s="492"/>
      <c r="R827" s="254"/>
      <c r="S827" s="501"/>
      <c r="T827" s="101"/>
      <c r="U827" s="253"/>
      <c r="V827" s="254"/>
      <c r="W827" s="254"/>
      <c r="X827" s="254"/>
      <c r="Y827" s="254"/>
      <c r="Z827" s="254"/>
    </row>
    <row r="828">
      <c r="A828" s="492"/>
      <c r="B828" s="254"/>
      <c r="C828" s="492"/>
      <c r="D828" s="181"/>
      <c r="E828" s="492"/>
      <c r="F828" s="254"/>
      <c r="G828" s="492"/>
      <c r="H828" s="254"/>
      <c r="I828" s="500"/>
      <c r="J828" s="181"/>
      <c r="K828" s="500"/>
      <c r="L828" s="181"/>
      <c r="M828" s="253"/>
      <c r="N828" s="254"/>
      <c r="O828" s="500"/>
      <c r="P828" s="181"/>
      <c r="Q828" s="492"/>
      <c r="R828" s="254"/>
      <c r="S828" s="501"/>
      <c r="T828" s="101"/>
      <c r="U828" s="253"/>
      <c r="V828" s="254"/>
      <c r="W828" s="254"/>
      <c r="X828" s="254"/>
      <c r="Y828" s="254"/>
      <c r="Z828" s="254"/>
    </row>
    <row r="829">
      <c r="A829" s="492"/>
      <c r="B829" s="254"/>
      <c r="C829" s="492"/>
      <c r="D829" s="181"/>
      <c r="E829" s="492"/>
      <c r="F829" s="254"/>
      <c r="G829" s="492"/>
      <c r="H829" s="254"/>
      <c r="I829" s="500"/>
      <c r="J829" s="181"/>
      <c r="K829" s="500"/>
      <c r="L829" s="181"/>
      <c r="M829" s="253"/>
      <c r="N829" s="254"/>
      <c r="O829" s="500"/>
      <c r="P829" s="181"/>
      <c r="Q829" s="492"/>
      <c r="R829" s="254"/>
      <c r="S829" s="501"/>
      <c r="T829" s="101"/>
      <c r="U829" s="253"/>
      <c r="V829" s="254"/>
      <c r="W829" s="254"/>
      <c r="X829" s="254"/>
      <c r="Y829" s="254"/>
      <c r="Z829" s="254"/>
    </row>
    <row r="830">
      <c r="A830" s="492"/>
      <c r="B830" s="254"/>
      <c r="C830" s="492"/>
      <c r="D830" s="181"/>
      <c r="E830" s="492"/>
      <c r="F830" s="254"/>
      <c r="G830" s="492"/>
      <c r="H830" s="254"/>
      <c r="I830" s="500"/>
      <c r="J830" s="181"/>
      <c r="K830" s="500"/>
      <c r="L830" s="181"/>
      <c r="M830" s="253"/>
      <c r="N830" s="254"/>
      <c r="O830" s="500"/>
      <c r="P830" s="181"/>
      <c r="Q830" s="492"/>
      <c r="R830" s="254"/>
      <c r="S830" s="501"/>
      <c r="T830" s="101"/>
      <c r="U830" s="253"/>
      <c r="V830" s="254"/>
      <c r="W830" s="254"/>
      <c r="X830" s="254"/>
      <c r="Y830" s="254"/>
      <c r="Z830" s="254"/>
    </row>
    <row r="831">
      <c r="A831" s="492"/>
      <c r="B831" s="254"/>
      <c r="C831" s="492"/>
      <c r="D831" s="181"/>
      <c r="E831" s="492"/>
      <c r="F831" s="254"/>
      <c r="G831" s="492"/>
      <c r="H831" s="254"/>
      <c r="I831" s="500"/>
      <c r="J831" s="181"/>
      <c r="K831" s="500"/>
      <c r="L831" s="181"/>
      <c r="M831" s="253"/>
      <c r="N831" s="254"/>
      <c r="O831" s="500"/>
      <c r="P831" s="181"/>
      <c r="Q831" s="492"/>
      <c r="R831" s="254"/>
      <c r="S831" s="501"/>
      <c r="T831" s="101"/>
      <c r="U831" s="253"/>
      <c r="V831" s="254"/>
      <c r="W831" s="254"/>
      <c r="X831" s="254"/>
      <c r="Y831" s="254"/>
      <c r="Z831" s="254"/>
    </row>
    <row r="832">
      <c r="A832" s="492"/>
      <c r="B832" s="254"/>
      <c r="C832" s="492"/>
      <c r="D832" s="181"/>
      <c r="E832" s="492"/>
      <c r="F832" s="254"/>
      <c r="G832" s="492"/>
      <c r="H832" s="254"/>
      <c r="I832" s="500"/>
      <c r="J832" s="181"/>
      <c r="K832" s="500"/>
      <c r="L832" s="181"/>
      <c r="M832" s="253"/>
      <c r="N832" s="254"/>
      <c r="O832" s="500"/>
      <c r="P832" s="181"/>
      <c r="Q832" s="492"/>
      <c r="R832" s="254"/>
      <c r="S832" s="501"/>
      <c r="T832" s="101"/>
      <c r="U832" s="253"/>
      <c r="V832" s="254"/>
      <c r="W832" s="254"/>
      <c r="X832" s="254"/>
      <c r="Y832" s="254"/>
      <c r="Z832" s="254"/>
    </row>
    <row r="833">
      <c r="A833" s="492"/>
      <c r="B833" s="254"/>
      <c r="C833" s="492"/>
      <c r="D833" s="181"/>
      <c r="E833" s="492"/>
      <c r="F833" s="254"/>
      <c r="G833" s="492"/>
      <c r="H833" s="254"/>
      <c r="I833" s="500"/>
      <c r="J833" s="181"/>
      <c r="K833" s="500"/>
      <c r="L833" s="181"/>
      <c r="M833" s="253"/>
      <c r="N833" s="254"/>
      <c r="O833" s="500"/>
      <c r="P833" s="181"/>
      <c r="Q833" s="492"/>
      <c r="R833" s="254"/>
      <c r="S833" s="501"/>
      <c r="T833" s="101"/>
      <c r="U833" s="253"/>
      <c r="V833" s="254"/>
      <c r="W833" s="254"/>
      <c r="X833" s="254"/>
      <c r="Y833" s="254"/>
      <c r="Z833" s="254"/>
    </row>
    <row r="834">
      <c r="A834" s="492"/>
      <c r="B834" s="254"/>
      <c r="C834" s="492"/>
      <c r="D834" s="181"/>
      <c r="E834" s="492"/>
      <c r="F834" s="254"/>
      <c r="G834" s="492"/>
      <c r="H834" s="254"/>
      <c r="I834" s="500"/>
      <c r="J834" s="181"/>
      <c r="K834" s="500"/>
      <c r="L834" s="181"/>
      <c r="M834" s="253"/>
      <c r="N834" s="254"/>
      <c r="O834" s="500"/>
      <c r="P834" s="181"/>
      <c r="Q834" s="492"/>
      <c r="R834" s="254"/>
      <c r="S834" s="501"/>
      <c r="T834" s="101"/>
      <c r="U834" s="253"/>
      <c r="V834" s="254"/>
      <c r="W834" s="254"/>
      <c r="X834" s="254"/>
      <c r="Y834" s="254"/>
      <c r="Z834" s="254"/>
    </row>
    <row r="835">
      <c r="A835" s="492"/>
      <c r="B835" s="254"/>
      <c r="C835" s="492"/>
      <c r="D835" s="181"/>
      <c r="E835" s="492"/>
      <c r="F835" s="254"/>
      <c r="G835" s="492"/>
      <c r="H835" s="254"/>
      <c r="I835" s="500"/>
      <c r="J835" s="181"/>
      <c r="K835" s="500"/>
      <c r="L835" s="181"/>
      <c r="M835" s="253"/>
      <c r="N835" s="254"/>
      <c r="O835" s="500"/>
      <c r="P835" s="181"/>
      <c r="Q835" s="492"/>
      <c r="R835" s="254"/>
      <c r="S835" s="501"/>
      <c r="T835" s="101"/>
      <c r="U835" s="253"/>
      <c r="V835" s="254"/>
      <c r="W835" s="254"/>
      <c r="X835" s="254"/>
      <c r="Y835" s="254"/>
      <c r="Z835" s="254"/>
    </row>
    <row r="836">
      <c r="A836" s="492"/>
      <c r="B836" s="254"/>
      <c r="C836" s="492"/>
      <c r="D836" s="181"/>
      <c r="E836" s="492"/>
      <c r="F836" s="254"/>
      <c r="G836" s="492"/>
      <c r="H836" s="254"/>
      <c r="I836" s="500"/>
      <c r="J836" s="181"/>
      <c r="K836" s="500"/>
      <c r="L836" s="181"/>
      <c r="M836" s="253"/>
      <c r="N836" s="254"/>
      <c r="O836" s="500"/>
      <c r="P836" s="181"/>
      <c r="Q836" s="492"/>
      <c r="R836" s="254"/>
      <c r="S836" s="501"/>
      <c r="T836" s="101"/>
      <c r="U836" s="253"/>
      <c r="V836" s="254"/>
      <c r="W836" s="254"/>
      <c r="X836" s="254"/>
      <c r="Y836" s="254"/>
      <c r="Z836" s="254"/>
    </row>
    <row r="837">
      <c r="A837" s="492"/>
      <c r="B837" s="254"/>
      <c r="C837" s="492"/>
      <c r="D837" s="181"/>
      <c r="E837" s="492"/>
      <c r="F837" s="254"/>
      <c r="G837" s="492"/>
      <c r="H837" s="254"/>
      <c r="I837" s="500"/>
      <c r="J837" s="181"/>
      <c r="K837" s="500"/>
      <c r="L837" s="181"/>
      <c r="M837" s="253"/>
      <c r="N837" s="254"/>
      <c r="O837" s="500"/>
      <c r="P837" s="181"/>
      <c r="Q837" s="492"/>
      <c r="R837" s="254"/>
      <c r="S837" s="501"/>
      <c r="T837" s="101"/>
      <c r="U837" s="253"/>
      <c r="V837" s="254"/>
      <c r="W837" s="254"/>
      <c r="X837" s="254"/>
      <c r="Y837" s="254"/>
      <c r="Z837" s="254"/>
    </row>
    <row r="838">
      <c r="A838" s="492"/>
      <c r="B838" s="254"/>
      <c r="C838" s="492"/>
      <c r="D838" s="181"/>
      <c r="E838" s="492"/>
      <c r="F838" s="254"/>
      <c r="G838" s="492"/>
      <c r="H838" s="254"/>
      <c r="I838" s="500"/>
      <c r="J838" s="181"/>
      <c r="K838" s="500"/>
      <c r="L838" s="181"/>
      <c r="M838" s="253"/>
      <c r="N838" s="254"/>
      <c r="O838" s="500"/>
      <c r="P838" s="181"/>
      <c r="Q838" s="492"/>
      <c r="R838" s="254"/>
      <c r="S838" s="501"/>
      <c r="T838" s="101"/>
      <c r="U838" s="253"/>
      <c r="V838" s="254"/>
      <c r="W838" s="254"/>
      <c r="X838" s="254"/>
      <c r="Y838" s="254"/>
      <c r="Z838" s="254"/>
    </row>
    <row r="839">
      <c r="A839" s="492"/>
      <c r="B839" s="254"/>
      <c r="C839" s="492"/>
      <c r="D839" s="181"/>
      <c r="E839" s="492"/>
      <c r="F839" s="254"/>
      <c r="G839" s="492"/>
      <c r="H839" s="254"/>
      <c r="I839" s="500"/>
      <c r="J839" s="181"/>
      <c r="K839" s="500"/>
      <c r="L839" s="181"/>
      <c r="M839" s="253"/>
      <c r="N839" s="254"/>
      <c r="O839" s="500"/>
      <c r="P839" s="181"/>
      <c r="Q839" s="492"/>
      <c r="R839" s="254"/>
      <c r="S839" s="501"/>
      <c r="T839" s="101"/>
      <c r="U839" s="253"/>
      <c r="V839" s="254"/>
      <c r="W839" s="254"/>
      <c r="X839" s="254"/>
      <c r="Y839" s="254"/>
      <c r="Z839" s="254"/>
    </row>
    <row r="840">
      <c r="A840" s="492"/>
      <c r="B840" s="254"/>
      <c r="C840" s="492"/>
      <c r="D840" s="181"/>
      <c r="E840" s="492"/>
      <c r="F840" s="254"/>
      <c r="G840" s="492"/>
      <c r="H840" s="254"/>
      <c r="I840" s="500"/>
      <c r="J840" s="181"/>
      <c r="K840" s="500"/>
      <c r="L840" s="181"/>
      <c r="M840" s="253"/>
      <c r="N840" s="254"/>
      <c r="O840" s="500"/>
      <c r="P840" s="181"/>
      <c r="Q840" s="492"/>
      <c r="R840" s="254"/>
      <c r="S840" s="501"/>
      <c r="T840" s="101"/>
      <c r="U840" s="253"/>
      <c r="V840" s="254"/>
      <c r="W840" s="254"/>
      <c r="X840" s="254"/>
      <c r="Y840" s="254"/>
      <c r="Z840" s="254"/>
    </row>
    <row r="841">
      <c r="A841" s="492"/>
      <c r="B841" s="254"/>
      <c r="C841" s="492"/>
      <c r="D841" s="181"/>
      <c r="E841" s="492"/>
      <c r="F841" s="254"/>
      <c r="G841" s="492"/>
      <c r="H841" s="254"/>
      <c r="I841" s="500"/>
      <c r="J841" s="181"/>
      <c r="K841" s="500"/>
      <c r="L841" s="181"/>
      <c r="M841" s="253"/>
      <c r="N841" s="254"/>
      <c r="O841" s="500"/>
      <c r="P841" s="181"/>
      <c r="Q841" s="492"/>
      <c r="R841" s="254"/>
      <c r="S841" s="501"/>
      <c r="T841" s="101"/>
      <c r="U841" s="253"/>
      <c r="V841" s="254"/>
      <c r="W841" s="254"/>
      <c r="X841" s="254"/>
      <c r="Y841" s="254"/>
      <c r="Z841" s="254"/>
    </row>
    <row r="842">
      <c r="A842" s="492"/>
      <c r="B842" s="254"/>
      <c r="C842" s="492"/>
      <c r="D842" s="181"/>
      <c r="E842" s="492"/>
      <c r="F842" s="254"/>
      <c r="G842" s="492"/>
      <c r="H842" s="254"/>
      <c r="I842" s="500"/>
      <c r="J842" s="181"/>
      <c r="K842" s="500"/>
      <c r="L842" s="181"/>
      <c r="M842" s="253"/>
      <c r="N842" s="254"/>
      <c r="O842" s="500"/>
      <c r="P842" s="181"/>
      <c r="Q842" s="492"/>
      <c r="R842" s="254"/>
      <c r="S842" s="501"/>
      <c r="T842" s="101"/>
      <c r="U842" s="253"/>
      <c r="V842" s="254"/>
      <c r="W842" s="254"/>
      <c r="X842" s="254"/>
      <c r="Y842" s="254"/>
      <c r="Z842" s="254"/>
    </row>
    <row r="843">
      <c r="A843" s="492"/>
      <c r="B843" s="254"/>
      <c r="C843" s="492"/>
      <c r="D843" s="181"/>
      <c r="E843" s="492"/>
      <c r="F843" s="254"/>
      <c r="G843" s="492"/>
      <c r="H843" s="254"/>
      <c r="I843" s="500"/>
      <c r="J843" s="181"/>
      <c r="K843" s="500"/>
      <c r="L843" s="181"/>
      <c r="M843" s="253"/>
      <c r="N843" s="254"/>
      <c r="O843" s="500"/>
      <c r="P843" s="181"/>
      <c r="Q843" s="492"/>
      <c r="R843" s="254"/>
      <c r="S843" s="501"/>
      <c r="T843" s="101"/>
      <c r="U843" s="253"/>
      <c r="V843" s="254"/>
      <c r="W843" s="254"/>
      <c r="X843" s="254"/>
      <c r="Y843" s="254"/>
      <c r="Z843" s="254"/>
    </row>
    <row r="844">
      <c r="A844" s="492"/>
      <c r="B844" s="254"/>
      <c r="C844" s="492"/>
      <c r="D844" s="181"/>
      <c r="E844" s="492"/>
      <c r="F844" s="254"/>
      <c r="G844" s="492"/>
      <c r="H844" s="254"/>
      <c r="I844" s="500"/>
      <c r="J844" s="181"/>
      <c r="K844" s="500"/>
      <c r="L844" s="181"/>
      <c r="M844" s="253"/>
      <c r="N844" s="254"/>
      <c r="O844" s="500"/>
      <c r="P844" s="181"/>
      <c r="Q844" s="492"/>
      <c r="R844" s="254"/>
      <c r="S844" s="501"/>
      <c r="T844" s="101"/>
      <c r="U844" s="253"/>
      <c r="V844" s="254"/>
      <c r="W844" s="254"/>
      <c r="X844" s="254"/>
      <c r="Y844" s="254"/>
      <c r="Z844" s="254"/>
    </row>
    <row r="845">
      <c r="A845" s="492"/>
      <c r="B845" s="254"/>
      <c r="C845" s="492"/>
      <c r="D845" s="181"/>
      <c r="E845" s="492"/>
      <c r="F845" s="254"/>
      <c r="G845" s="492"/>
      <c r="H845" s="254"/>
      <c r="I845" s="500"/>
      <c r="J845" s="181"/>
      <c r="K845" s="500"/>
      <c r="L845" s="181"/>
      <c r="M845" s="253"/>
      <c r="N845" s="254"/>
      <c r="O845" s="500"/>
      <c r="P845" s="181"/>
      <c r="Q845" s="492"/>
      <c r="R845" s="254"/>
      <c r="S845" s="501"/>
      <c r="T845" s="101"/>
      <c r="U845" s="253"/>
      <c r="V845" s="254"/>
      <c r="W845" s="254"/>
      <c r="X845" s="254"/>
      <c r="Y845" s="254"/>
      <c r="Z845" s="254"/>
    </row>
    <row r="846">
      <c r="A846" s="492"/>
      <c r="B846" s="254"/>
      <c r="C846" s="492"/>
      <c r="D846" s="181"/>
      <c r="E846" s="492"/>
      <c r="F846" s="254"/>
      <c r="G846" s="492"/>
      <c r="H846" s="254"/>
      <c r="I846" s="500"/>
      <c r="J846" s="181"/>
      <c r="K846" s="500"/>
      <c r="L846" s="181"/>
      <c r="M846" s="253"/>
      <c r="N846" s="254"/>
      <c r="O846" s="500"/>
      <c r="P846" s="181"/>
      <c r="Q846" s="492"/>
      <c r="R846" s="254"/>
      <c r="S846" s="501"/>
      <c r="T846" s="101"/>
      <c r="U846" s="253"/>
      <c r="V846" s="254"/>
      <c r="W846" s="254"/>
      <c r="X846" s="254"/>
      <c r="Y846" s="254"/>
      <c r="Z846" s="254"/>
    </row>
    <row r="847">
      <c r="A847" s="492"/>
      <c r="B847" s="254"/>
      <c r="C847" s="492"/>
      <c r="D847" s="181"/>
      <c r="E847" s="492"/>
      <c r="F847" s="254"/>
      <c r="G847" s="492"/>
      <c r="H847" s="254"/>
      <c r="I847" s="500"/>
      <c r="J847" s="181"/>
      <c r="K847" s="500"/>
      <c r="L847" s="181"/>
      <c r="M847" s="253"/>
      <c r="N847" s="254"/>
      <c r="O847" s="500"/>
      <c r="P847" s="181"/>
      <c r="Q847" s="492"/>
      <c r="R847" s="254"/>
      <c r="S847" s="501"/>
      <c r="T847" s="101"/>
      <c r="U847" s="253"/>
      <c r="V847" s="254"/>
      <c r="W847" s="254"/>
      <c r="X847" s="254"/>
      <c r="Y847" s="254"/>
      <c r="Z847" s="254"/>
    </row>
    <row r="848">
      <c r="A848" s="492"/>
      <c r="B848" s="254"/>
      <c r="C848" s="492"/>
      <c r="D848" s="181"/>
      <c r="E848" s="492"/>
      <c r="F848" s="254"/>
      <c r="G848" s="492"/>
      <c r="H848" s="254"/>
      <c r="I848" s="500"/>
      <c r="J848" s="181"/>
      <c r="K848" s="500"/>
      <c r="L848" s="181"/>
      <c r="M848" s="253"/>
      <c r="N848" s="254"/>
      <c r="O848" s="500"/>
      <c r="P848" s="181"/>
      <c r="Q848" s="492"/>
      <c r="R848" s="254"/>
      <c r="S848" s="501"/>
      <c r="T848" s="101"/>
      <c r="U848" s="253"/>
      <c r="V848" s="254"/>
      <c r="W848" s="254"/>
      <c r="X848" s="254"/>
      <c r="Y848" s="254"/>
      <c r="Z848" s="254"/>
    </row>
    <row r="849">
      <c r="A849" s="492"/>
      <c r="B849" s="254"/>
      <c r="C849" s="492"/>
      <c r="D849" s="181"/>
      <c r="E849" s="492"/>
      <c r="F849" s="254"/>
      <c r="G849" s="492"/>
      <c r="H849" s="254"/>
      <c r="I849" s="500"/>
      <c r="J849" s="181"/>
      <c r="K849" s="500"/>
      <c r="L849" s="181"/>
      <c r="M849" s="253"/>
      <c r="N849" s="254"/>
      <c r="O849" s="500"/>
      <c r="P849" s="181"/>
      <c r="Q849" s="492"/>
      <c r="R849" s="254"/>
      <c r="S849" s="501"/>
      <c r="T849" s="101"/>
      <c r="U849" s="253"/>
      <c r="V849" s="254"/>
      <c r="W849" s="254"/>
      <c r="X849" s="254"/>
      <c r="Y849" s="254"/>
      <c r="Z849" s="254"/>
    </row>
    <row r="850">
      <c r="A850" s="492"/>
      <c r="B850" s="254"/>
      <c r="C850" s="492"/>
      <c r="D850" s="181"/>
      <c r="E850" s="492"/>
      <c r="F850" s="254"/>
      <c r="G850" s="492"/>
      <c r="H850" s="254"/>
      <c r="I850" s="500"/>
      <c r="J850" s="181"/>
      <c r="K850" s="500"/>
      <c r="L850" s="181"/>
      <c r="M850" s="253"/>
      <c r="N850" s="254"/>
      <c r="O850" s="500"/>
      <c r="P850" s="181"/>
      <c r="Q850" s="492"/>
      <c r="R850" s="254"/>
      <c r="S850" s="501"/>
      <c r="T850" s="101"/>
      <c r="U850" s="253"/>
      <c r="V850" s="254"/>
      <c r="W850" s="254"/>
      <c r="X850" s="254"/>
      <c r="Y850" s="254"/>
      <c r="Z850" s="254"/>
    </row>
    <row r="851">
      <c r="A851" s="492"/>
      <c r="B851" s="254"/>
      <c r="C851" s="492"/>
      <c r="D851" s="181"/>
      <c r="E851" s="492"/>
      <c r="F851" s="254"/>
      <c r="G851" s="492"/>
      <c r="H851" s="254"/>
      <c r="I851" s="500"/>
      <c r="J851" s="181"/>
      <c r="K851" s="500"/>
      <c r="L851" s="181"/>
      <c r="M851" s="253"/>
      <c r="N851" s="254"/>
      <c r="O851" s="500"/>
      <c r="P851" s="181"/>
      <c r="Q851" s="492"/>
      <c r="R851" s="254"/>
      <c r="S851" s="501"/>
      <c r="T851" s="101"/>
      <c r="U851" s="253"/>
      <c r="V851" s="254"/>
      <c r="W851" s="254"/>
      <c r="X851" s="254"/>
      <c r="Y851" s="254"/>
      <c r="Z851" s="254"/>
    </row>
    <row r="852">
      <c r="A852" s="492"/>
      <c r="B852" s="254"/>
      <c r="C852" s="492"/>
      <c r="D852" s="181"/>
      <c r="E852" s="492"/>
      <c r="F852" s="254"/>
      <c r="G852" s="492"/>
      <c r="H852" s="254"/>
      <c r="I852" s="500"/>
      <c r="J852" s="181"/>
      <c r="K852" s="500"/>
      <c r="L852" s="181"/>
      <c r="M852" s="253"/>
      <c r="N852" s="254"/>
      <c r="O852" s="500"/>
      <c r="P852" s="181"/>
      <c r="Q852" s="492"/>
      <c r="R852" s="254"/>
      <c r="S852" s="501"/>
      <c r="T852" s="101"/>
      <c r="U852" s="253"/>
      <c r="V852" s="254"/>
      <c r="W852" s="254"/>
      <c r="X852" s="254"/>
      <c r="Y852" s="254"/>
      <c r="Z852" s="254"/>
    </row>
    <row r="853">
      <c r="A853" s="492"/>
      <c r="B853" s="254"/>
      <c r="C853" s="492"/>
      <c r="D853" s="181"/>
      <c r="E853" s="492"/>
      <c r="F853" s="254"/>
      <c r="G853" s="492"/>
      <c r="H853" s="254"/>
      <c r="I853" s="500"/>
      <c r="J853" s="181"/>
      <c r="K853" s="500"/>
      <c r="L853" s="181"/>
      <c r="M853" s="253"/>
      <c r="N853" s="254"/>
      <c r="O853" s="500"/>
      <c r="P853" s="181"/>
      <c r="Q853" s="492"/>
      <c r="R853" s="254"/>
      <c r="S853" s="501"/>
      <c r="T853" s="101"/>
      <c r="U853" s="253"/>
      <c r="V853" s="254"/>
      <c r="W853" s="254"/>
      <c r="X853" s="254"/>
      <c r="Y853" s="254"/>
      <c r="Z853" s="254"/>
    </row>
    <row r="854">
      <c r="A854" s="492"/>
      <c r="B854" s="254"/>
      <c r="C854" s="492"/>
      <c r="D854" s="181"/>
      <c r="E854" s="492"/>
      <c r="F854" s="254"/>
      <c r="G854" s="492"/>
      <c r="H854" s="254"/>
      <c r="I854" s="500"/>
      <c r="J854" s="181"/>
      <c r="K854" s="500"/>
      <c r="L854" s="181"/>
      <c r="M854" s="253"/>
      <c r="N854" s="254"/>
      <c r="O854" s="500"/>
      <c r="P854" s="181"/>
      <c r="Q854" s="492"/>
      <c r="R854" s="254"/>
      <c r="S854" s="501"/>
      <c r="T854" s="101"/>
      <c r="U854" s="253"/>
      <c r="V854" s="254"/>
      <c r="W854" s="254"/>
      <c r="X854" s="254"/>
      <c r="Y854" s="254"/>
      <c r="Z854" s="254"/>
    </row>
    <row r="855">
      <c r="A855" s="492"/>
      <c r="B855" s="254"/>
      <c r="C855" s="492"/>
      <c r="D855" s="181"/>
      <c r="E855" s="492"/>
      <c r="F855" s="254"/>
      <c r="G855" s="492"/>
      <c r="H855" s="254"/>
      <c r="I855" s="500"/>
      <c r="J855" s="181"/>
      <c r="K855" s="500"/>
      <c r="L855" s="181"/>
      <c r="M855" s="253"/>
      <c r="N855" s="254"/>
      <c r="O855" s="500"/>
      <c r="P855" s="181"/>
      <c r="Q855" s="492"/>
      <c r="R855" s="254"/>
      <c r="S855" s="501"/>
      <c r="T855" s="101"/>
      <c r="U855" s="253"/>
      <c r="V855" s="254"/>
      <c r="W855" s="254"/>
      <c r="X855" s="254"/>
      <c r="Y855" s="254"/>
      <c r="Z855" s="254"/>
    </row>
    <row r="856">
      <c r="A856" s="492"/>
      <c r="B856" s="254"/>
      <c r="C856" s="492"/>
      <c r="D856" s="181"/>
      <c r="E856" s="492"/>
      <c r="F856" s="254"/>
      <c r="G856" s="492"/>
      <c r="H856" s="254"/>
      <c r="I856" s="500"/>
      <c r="J856" s="181"/>
      <c r="K856" s="500"/>
      <c r="L856" s="181"/>
      <c r="M856" s="253"/>
      <c r="N856" s="254"/>
      <c r="O856" s="500"/>
      <c r="P856" s="181"/>
      <c r="Q856" s="492"/>
      <c r="R856" s="254"/>
      <c r="S856" s="501"/>
      <c r="T856" s="101"/>
      <c r="U856" s="253"/>
      <c r="V856" s="254"/>
      <c r="W856" s="254"/>
      <c r="X856" s="254"/>
      <c r="Y856" s="254"/>
      <c r="Z856" s="254"/>
    </row>
    <row r="857">
      <c r="A857" s="492"/>
      <c r="B857" s="254"/>
      <c r="C857" s="492"/>
      <c r="D857" s="181"/>
      <c r="E857" s="492"/>
      <c r="F857" s="254"/>
      <c r="G857" s="492"/>
      <c r="H857" s="254"/>
      <c r="I857" s="500"/>
      <c r="J857" s="181"/>
      <c r="K857" s="500"/>
      <c r="L857" s="181"/>
      <c r="M857" s="253"/>
      <c r="N857" s="254"/>
      <c r="O857" s="500"/>
      <c r="P857" s="181"/>
      <c r="Q857" s="492"/>
      <c r="R857" s="254"/>
      <c r="S857" s="501"/>
      <c r="T857" s="101"/>
      <c r="U857" s="253"/>
      <c r="V857" s="254"/>
      <c r="W857" s="254"/>
      <c r="X857" s="254"/>
      <c r="Y857" s="254"/>
      <c r="Z857" s="254"/>
    </row>
    <row r="858">
      <c r="A858" s="492"/>
      <c r="B858" s="254"/>
      <c r="C858" s="492"/>
      <c r="D858" s="181"/>
      <c r="E858" s="492"/>
      <c r="F858" s="254"/>
      <c r="G858" s="492"/>
      <c r="H858" s="254"/>
      <c r="I858" s="500"/>
      <c r="J858" s="181"/>
      <c r="K858" s="500"/>
      <c r="L858" s="181"/>
      <c r="M858" s="253"/>
      <c r="N858" s="254"/>
      <c r="O858" s="500"/>
      <c r="P858" s="181"/>
      <c r="Q858" s="492"/>
      <c r="R858" s="254"/>
      <c r="S858" s="501"/>
      <c r="T858" s="101"/>
      <c r="U858" s="253"/>
      <c r="V858" s="254"/>
      <c r="W858" s="254"/>
      <c r="X858" s="254"/>
      <c r="Y858" s="254"/>
      <c r="Z858" s="254"/>
    </row>
    <row r="859">
      <c r="A859" s="492"/>
      <c r="B859" s="254"/>
      <c r="C859" s="492"/>
      <c r="D859" s="181"/>
      <c r="E859" s="492"/>
      <c r="F859" s="254"/>
      <c r="G859" s="492"/>
      <c r="H859" s="254"/>
      <c r="I859" s="500"/>
      <c r="J859" s="181"/>
      <c r="K859" s="500"/>
      <c r="L859" s="181"/>
      <c r="M859" s="253"/>
      <c r="N859" s="254"/>
      <c r="O859" s="500"/>
      <c r="P859" s="181"/>
      <c r="Q859" s="492"/>
      <c r="R859" s="254"/>
      <c r="S859" s="501"/>
      <c r="T859" s="101"/>
      <c r="U859" s="253"/>
      <c r="V859" s="254"/>
      <c r="W859" s="254"/>
      <c r="X859" s="254"/>
      <c r="Y859" s="254"/>
      <c r="Z859" s="254"/>
    </row>
    <row r="860">
      <c r="A860" s="492"/>
      <c r="B860" s="254"/>
      <c r="C860" s="492"/>
      <c r="D860" s="181"/>
      <c r="E860" s="492"/>
      <c r="F860" s="254"/>
      <c r="G860" s="492"/>
      <c r="H860" s="254"/>
      <c r="I860" s="500"/>
      <c r="J860" s="181"/>
      <c r="K860" s="500"/>
      <c r="L860" s="181"/>
      <c r="M860" s="253"/>
      <c r="N860" s="254"/>
      <c r="O860" s="500"/>
      <c r="P860" s="181"/>
      <c r="Q860" s="492"/>
      <c r="R860" s="254"/>
      <c r="S860" s="501"/>
      <c r="T860" s="101"/>
      <c r="U860" s="253"/>
      <c r="V860" s="254"/>
      <c r="W860" s="254"/>
      <c r="X860" s="254"/>
      <c r="Y860" s="254"/>
      <c r="Z860" s="254"/>
    </row>
    <row r="861">
      <c r="A861" s="492"/>
      <c r="B861" s="254"/>
      <c r="C861" s="492"/>
      <c r="D861" s="181"/>
      <c r="E861" s="492"/>
      <c r="F861" s="254"/>
      <c r="G861" s="492"/>
      <c r="H861" s="254"/>
      <c r="I861" s="500"/>
      <c r="J861" s="181"/>
      <c r="K861" s="500"/>
      <c r="L861" s="181"/>
      <c r="M861" s="253"/>
      <c r="N861" s="254"/>
      <c r="O861" s="500"/>
      <c r="P861" s="181"/>
      <c r="Q861" s="492"/>
      <c r="R861" s="254"/>
      <c r="S861" s="501"/>
      <c r="T861" s="101"/>
      <c r="U861" s="253"/>
      <c r="V861" s="254"/>
      <c r="W861" s="254"/>
      <c r="X861" s="254"/>
      <c r="Y861" s="254"/>
      <c r="Z861" s="254"/>
    </row>
    <row r="862">
      <c r="A862" s="492"/>
      <c r="B862" s="254"/>
      <c r="C862" s="492"/>
      <c r="D862" s="181"/>
      <c r="E862" s="492"/>
      <c r="F862" s="254"/>
      <c r="G862" s="492"/>
      <c r="H862" s="254"/>
      <c r="I862" s="500"/>
      <c r="J862" s="181"/>
      <c r="K862" s="500"/>
      <c r="L862" s="181"/>
      <c r="M862" s="253"/>
      <c r="N862" s="254"/>
      <c r="O862" s="500"/>
      <c r="P862" s="181"/>
      <c r="Q862" s="492"/>
      <c r="R862" s="254"/>
      <c r="S862" s="501"/>
      <c r="T862" s="101"/>
      <c r="U862" s="253"/>
      <c r="V862" s="254"/>
      <c r="W862" s="254"/>
      <c r="X862" s="254"/>
      <c r="Y862" s="254"/>
      <c r="Z862" s="254"/>
    </row>
    <row r="863">
      <c r="A863" s="492"/>
      <c r="B863" s="254"/>
      <c r="C863" s="492"/>
      <c r="D863" s="181"/>
      <c r="E863" s="492"/>
      <c r="F863" s="254"/>
      <c r="G863" s="492"/>
      <c r="H863" s="254"/>
      <c r="I863" s="500"/>
      <c r="J863" s="181"/>
      <c r="K863" s="500"/>
      <c r="L863" s="181"/>
      <c r="M863" s="253"/>
      <c r="N863" s="254"/>
      <c r="O863" s="500"/>
      <c r="P863" s="181"/>
      <c r="Q863" s="492"/>
      <c r="R863" s="254"/>
      <c r="S863" s="501"/>
      <c r="T863" s="101"/>
      <c r="U863" s="253"/>
      <c r="V863" s="254"/>
      <c r="W863" s="254"/>
      <c r="X863" s="254"/>
      <c r="Y863" s="254"/>
      <c r="Z863" s="254"/>
    </row>
    <row r="864">
      <c r="A864" s="492"/>
      <c r="B864" s="254"/>
      <c r="C864" s="492"/>
      <c r="D864" s="181"/>
      <c r="E864" s="492"/>
      <c r="F864" s="254"/>
      <c r="G864" s="492"/>
      <c r="H864" s="254"/>
      <c r="I864" s="500"/>
      <c r="J864" s="181"/>
      <c r="K864" s="500"/>
      <c r="L864" s="181"/>
      <c r="M864" s="253"/>
      <c r="N864" s="254"/>
      <c r="O864" s="500"/>
      <c r="P864" s="181"/>
      <c r="Q864" s="492"/>
      <c r="R864" s="254"/>
      <c r="S864" s="501"/>
      <c r="T864" s="101"/>
      <c r="U864" s="253"/>
      <c r="V864" s="254"/>
      <c r="W864" s="254"/>
      <c r="X864" s="254"/>
      <c r="Y864" s="254"/>
      <c r="Z864" s="254"/>
    </row>
    <row r="865">
      <c r="A865" s="492"/>
      <c r="B865" s="254"/>
      <c r="C865" s="492"/>
      <c r="D865" s="181"/>
      <c r="E865" s="492"/>
      <c r="F865" s="254"/>
      <c r="G865" s="492"/>
      <c r="H865" s="254"/>
      <c r="I865" s="500"/>
      <c r="J865" s="181"/>
      <c r="K865" s="500"/>
      <c r="L865" s="181"/>
      <c r="M865" s="253"/>
      <c r="N865" s="254"/>
      <c r="O865" s="500"/>
      <c r="P865" s="181"/>
      <c r="Q865" s="492"/>
      <c r="R865" s="254"/>
      <c r="S865" s="501"/>
      <c r="T865" s="101"/>
      <c r="U865" s="253"/>
      <c r="V865" s="254"/>
      <c r="W865" s="254"/>
      <c r="X865" s="254"/>
      <c r="Y865" s="254"/>
      <c r="Z865" s="254"/>
    </row>
    <row r="866">
      <c r="A866" s="492"/>
      <c r="B866" s="254"/>
      <c r="C866" s="492"/>
      <c r="D866" s="181"/>
      <c r="E866" s="492"/>
      <c r="F866" s="254"/>
      <c r="G866" s="492"/>
      <c r="H866" s="254"/>
      <c r="I866" s="500"/>
      <c r="J866" s="181"/>
      <c r="K866" s="500"/>
      <c r="L866" s="181"/>
      <c r="M866" s="253"/>
      <c r="N866" s="254"/>
      <c r="O866" s="500"/>
      <c r="P866" s="181"/>
      <c r="Q866" s="492"/>
      <c r="R866" s="254"/>
      <c r="S866" s="501"/>
      <c r="T866" s="101"/>
      <c r="U866" s="253"/>
      <c r="V866" s="254"/>
      <c r="W866" s="254"/>
      <c r="X866" s="254"/>
      <c r="Y866" s="254"/>
      <c r="Z866" s="254"/>
    </row>
    <row r="867">
      <c r="A867" s="492"/>
      <c r="B867" s="254"/>
      <c r="C867" s="492"/>
      <c r="D867" s="181"/>
      <c r="E867" s="492"/>
      <c r="F867" s="254"/>
      <c r="G867" s="492"/>
      <c r="H867" s="254"/>
      <c r="I867" s="500"/>
      <c r="J867" s="181"/>
      <c r="K867" s="500"/>
      <c r="L867" s="181"/>
      <c r="M867" s="253"/>
      <c r="N867" s="254"/>
      <c r="O867" s="500"/>
      <c r="P867" s="181"/>
      <c r="Q867" s="492"/>
      <c r="R867" s="254"/>
      <c r="S867" s="501"/>
      <c r="T867" s="101"/>
      <c r="U867" s="253"/>
      <c r="V867" s="254"/>
      <c r="W867" s="254"/>
      <c r="X867" s="254"/>
      <c r="Y867" s="254"/>
      <c r="Z867" s="254"/>
    </row>
    <row r="868">
      <c r="A868" s="492"/>
      <c r="B868" s="254"/>
      <c r="C868" s="492"/>
      <c r="D868" s="181"/>
      <c r="E868" s="492"/>
      <c r="F868" s="254"/>
      <c r="G868" s="492"/>
      <c r="H868" s="254"/>
      <c r="I868" s="500"/>
      <c r="J868" s="181"/>
      <c r="K868" s="500"/>
      <c r="L868" s="181"/>
      <c r="M868" s="253"/>
      <c r="N868" s="254"/>
      <c r="O868" s="500"/>
      <c r="P868" s="181"/>
      <c r="Q868" s="492"/>
      <c r="R868" s="254"/>
      <c r="S868" s="501"/>
      <c r="T868" s="101"/>
      <c r="U868" s="253"/>
      <c r="V868" s="254"/>
      <c r="W868" s="254"/>
      <c r="X868" s="254"/>
      <c r="Y868" s="254"/>
      <c r="Z868" s="254"/>
    </row>
    <row r="869">
      <c r="A869" s="492"/>
      <c r="B869" s="254"/>
      <c r="C869" s="492"/>
      <c r="D869" s="181"/>
      <c r="E869" s="492"/>
      <c r="F869" s="254"/>
      <c r="G869" s="492"/>
      <c r="H869" s="254"/>
      <c r="I869" s="500"/>
      <c r="J869" s="181"/>
      <c r="K869" s="500"/>
      <c r="L869" s="181"/>
      <c r="M869" s="253"/>
      <c r="N869" s="254"/>
      <c r="O869" s="500"/>
      <c r="P869" s="181"/>
      <c r="Q869" s="492"/>
      <c r="R869" s="254"/>
      <c r="S869" s="501"/>
      <c r="T869" s="101"/>
      <c r="U869" s="253"/>
      <c r="V869" s="254"/>
      <c r="W869" s="254"/>
      <c r="X869" s="254"/>
      <c r="Y869" s="254"/>
      <c r="Z869" s="254"/>
    </row>
    <row r="870">
      <c r="A870" s="492"/>
      <c r="B870" s="254"/>
      <c r="C870" s="492"/>
      <c r="D870" s="181"/>
      <c r="E870" s="492"/>
      <c r="F870" s="254"/>
      <c r="G870" s="492"/>
      <c r="H870" s="254"/>
      <c r="I870" s="500"/>
      <c r="J870" s="181"/>
      <c r="K870" s="500"/>
      <c r="L870" s="181"/>
      <c r="M870" s="253"/>
      <c r="N870" s="254"/>
      <c r="O870" s="500"/>
      <c r="P870" s="181"/>
      <c r="Q870" s="492"/>
      <c r="R870" s="254"/>
      <c r="S870" s="501"/>
      <c r="T870" s="101"/>
      <c r="U870" s="253"/>
      <c r="V870" s="254"/>
      <c r="W870" s="254"/>
      <c r="X870" s="254"/>
      <c r="Y870" s="254"/>
      <c r="Z870" s="254"/>
    </row>
    <row r="871">
      <c r="A871" s="492"/>
      <c r="B871" s="254"/>
      <c r="C871" s="492"/>
      <c r="D871" s="181"/>
      <c r="E871" s="492"/>
      <c r="F871" s="254"/>
      <c r="G871" s="492"/>
      <c r="H871" s="254"/>
      <c r="I871" s="500"/>
      <c r="J871" s="181"/>
      <c r="K871" s="500"/>
      <c r="L871" s="181"/>
      <c r="M871" s="253"/>
      <c r="N871" s="254"/>
      <c r="O871" s="500"/>
      <c r="P871" s="181"/>
      <c r="Q871" s="492"/>
      <c r="R871" s="254"/>
      <c r="S871" s="501"/>
      <c r="T871" s="101"/>
      <c r="U871" s="253"/>
      <c r="V871" s="254"/>
      <c r="W871" s="254"/>
      <c r="X871" s="254"/>
      <c r="Y871" s="254"/>
      <c r="Z871" s="254"/>
    </row>
    <row r="872">
      <c r="A872" s="492"/>
      <c r="B872" s="254"/>
      <c r="C872" s="492"/>
      <c r="D872" s="181"/>
      <c r="E872" s="492"/>
      <c r="F872" s="254"/>
      <c r="G872" s="492"/>
      <c r="H872" s="254"/>
      <c r="I872" s="500"/>
      <c r="J872" s="181"/>
      <c r="K872" s="500"/>
      <c r="L872" s="181"/>
      <c r="M872" s="253"/>
      <c r="N872" s="254"/>
      <c r="O872" s="500"/>
      <c r="P872" s="181"/>
      <c r="Q872" s="492"/>
      <c r="R872" s="254"/>
      <c r="S872" s="501"/>
      <c r="T872" s="101"/>
      <c r="U872" s="253"/>
      <c r="V872" s="254"/>
      <c r="W872" s="254"/>
      <c r="X872" s="254"/>
      <c r="Y872" s="254"/>
      <c r="Z872" s="254"/>
    </row>
    <row r="873">
      <c r="A873" s="492"/>
      <c r="B873" s="254"/>
      <c r="C873" s="492"/>
      <c r="D873" s="181"/>
      <c r="E873" s="492"/>
      <c r="F873" s="254"/>
      <c r="G873" s="492"/>
      <c r="H873" s="254"/>
      <c r="I873" s="500"/>
      <c r="J873" s="181"/>
      <c r="K873" s="500"/>
      <c r="L873" s="181"/>
      <c r="M873" s="253"/>
      <c r="N873" s="254"/>
      <c r="O873" s="500"/>
      <c r="P873" s="181"/>
      <c r="Q873" s="492"/>
      <c r="R873" s="254"/>
      <c r="S873" s="501"/>
      <c r="T873" s="101"/>
      <c r="U873" s="253"/>
      <c r="V873" s="254"/>
      <c r="W873" s="254"/>
      <c r="X873" s="254"/>
      <c r="Y873" s="254"/>
      <c r="Z873" s="254"/>
    </row>
    <row r="874">
      <c r="A874" s="492"/>
      <c r="B874" s="254"/>
      <c r="C874" s="492"/>
      <c r="D874" s="181"/>
      <c r="E874" s="492"/>
      <c r="F874" s="254"/>
      <c r="G874" s="492"/>
      <c r="H874" s="254"/>
      <c r="I874" s="500"/>
      <c r="J874" s="181"/>
      <c r="K874" s="500"/>
      <c r="L874" s="181"/>
      <c r="M874" s="253"/>
      <c r="N874" s="254"/>
      <c r="O874" s="500"/>
      <c r="P874" s="181"/>
      <c r="Q874" s="492"/>
      <c r="R874" s="254"/>
      <c r="S874" s="501"/>
      <c r="T874" s="101"/>
      <c r="U874" s="253"/>
      <c r="V874" s="254"/>
      <c r="W874" s="254"/>
      <c r="X874" s="254"/>
      <c r="Y874" s="254"/>
      <c r="Z874" s="254"/>
    </row>
    <row r="875">
      <c r="A875" s="492"/>
      <c r="B875" s="254"/>
      <c r="C875" s="492"/>
      <c r="D875" s="181"/>
      <c r="E875" s="492"/>
      <c r="F875" s="254"/>
      <c r="G875" s="492"/>
      <c r="H875" s="254"/>
      <c r="I875" s="500"/>
      <c r="J875" s="181"/>
      <c r="K875" s="500"/>
      <c r="L875" s="181"/>
      <c r="M875" s="253"/>
      <c r="N875" s="254"/>
      <c r="O875" s="500"/>
      <c r="P875" s="181"/>
      <c r="Q875" s="492"/>
      <c r="R875" s="254"/>
      <c r="S875" s="501"/>
      <c r="T875" s="101"/>
      <c r="U875" s="253"/>
      <c r="V875" s="254"/>
      <c r="W875" s="254"/>
      <c r="X875" s="254"/>
      <c r="Y875" s="254"/>
      <c r="Z875" s="254"/>
    </row>
    <row r="876">
      <c r="A876" s="492"/>
      <c r="B876" s="254"/>
      <c r="C876" s="492"/>
      <c r="D876" s="181"/>
      <c r="E876" s="492"/>
      <c r="F876" s="254"/>
      <c r="G876" s="492"/>
      <c r="H876" s="254"/>
      <c r="I876" s="500"/>
      <c r="J876" s="181"/>
      <c r="K876" s="500"/>
      <c r="L876" s="181"/>
      <c r="M876" s="253"/>
      <c r="N876" s="254"/>
      <c r="O876" s="500"/>
      <c r="P876" s="181"/>
      <c r="Q876" s="492"/>
      <c r="R876" s="254"/>
      <c r="S876" s="501"/>
      <c r="T876" s="101"/>
      <c r="U876" s="253"/>
      <c r="V876" s="254"/>
      <c r="W876" s="254"/>
      <c r="X876" s="254"/>
      <c r="Y876" s="254"/>
      <c r="Z876" s="254"/>
    </row>
    <row r="877">
      <c r="A877" s="492"/>
      <c r="B877" s="254"/>
      <c r="C877" s="492"/>
      <c r="D877" s="181"/>
      <c r="E877" s="492"/>
      <c r="F877" s="254"/>
      <c r="G877" s="492"/>
      <c r="H877" s="254"/>
      <c r="I877" s="500"/>
      <c r="J877" s="181"/>
      <c r="K877" s="500"/>
      <c r="L877" s="181"/>
      <c r="M877" s="253"/>
      <c r="N877" s="254"/>
      <c r="O877" s="500"/>
      <c r="P877" s="181"/>
      <c r="Q877" s="492"/>
      <c r="R877" s="254"/>
      <c r="S877" s="501"/>
      <c r="T877" s="101"/>
      <c r="U877" s="253"/>
      <c r="V877" s="254"/>
      <c r="W877" s="254"/>
      <c r="X877" s="254"/>
      <c r="Y877" s="254"/>
      <c r="Z877" s="254"/>
    </row>
    <row r="878">
      <c r="A878" s="492"/>
      <c r="B878" s="254"/>
      <c r="C878" s="492"/>
      <c r="D878" s="181"/>
      <c r="E878" s="492"/>
      <c r="F878" s="254"/>
      <c r="G878" s="492"/>
      <c r="H878" s="254"/>
      <c r="I878" s="500"/>
      <c r="J878" s="181"/>
      <c r="K878" s="500"/>
      <c r="L878" s="181"/>
      <c r="M878" s="253"/>
      <c r="N878" s="254"/>
      <c r="O878" s="500"/>
      <c r="P878" s="181"/>
      <c r="Q878" s="492"/>
      <c r="R878" s="254"/>
      <c r="S878" s="501"/>
      <c r="T878" s="101"/>
      <c r="U878" s="253"/>
      <c r="V878" s="254"/>
      <c r="W878" s="254"/>
      <c r="X878" s="254"/>
      <c r="Y878" s="254"/>
      <c r="Z878" s="254"/>
    </row>
    <row r="879">
      <c r="A879" s="492"/>
      <c r="B879" s="254"/>
      <c r="C879" s="492"/>
      <c r="D879" s="181"/>
      <c r="E879" s="492"/>
      <c r="F879" s="254"/>
      <c r="G879" s="492"/>
      <c r="H879" s="254"/>
      <c r="I879" s="500"/>
      <c r="J879" s="181"/>
      <c r="K879" s="500"/>
      <c r="L879" s="181"/>
      <c r="M879" s="253"/>
      <c r="N879" s="254"/>
      <c r="O879" s="500"/>
      <c r="P879" s="181"/>
      <c r="Q879" s="492"/>
      <c r="R879" s="254"/>
      <c r="S879" s="501"/>
      <c r="T879" s="101"/>
      <c r="U879" s="253"/>
      <c r="V879" s="254"/>
      <c r="W879" s="254"/>
      <c r="X879" s="254"/>
      <c r="Y879" s="254"/>
      <c r="Z879" s="254"/>
    </row>
    <row r="880">
      <c r="A880" s="492"/>
      <c r="B880" s="254"/>
      <c r="C880" s="492"/>
      <c r="D880" s="181"/>
      <c r="E880" s="492"/>
      <c r="F880" s="254"/>
      <c r="G880" s="492"/>
      <c r="H880" s="254"/>
      <c r="I880" s="500"/>
      <c r="J880" s="181"/>
      <c r="K880" s="500"/>
      <c r="L880" s="181"/>
      <c r="M880" s="253"/>
      <c r="N880" s="254"/>
      <c r="O880" s="500"/>
      <c r="P880" s="181"/>
      <c r="Q880" s="492"/>
      <c r="R880" s="254"/>
      <c r="S880" s="501"/>
      <c r="T880" s="101"/>
      <c r="U880" s="253"/>
      <c r="V880" s="254"/>
      <c r="W880" s="254"/>
      <c r="X880" s="254"/>
      <c r="Y880" s="254"/>
      <c r="Z880" s="254"/>
    </row>
    <row r="881">
      <c r="A881" s="492"/>
      <c r="B881" s="254"/>
      <c r="C881" s="492"/>
      <c r="D881" s="181"/>
      <c r="E881" s="492"/>
      <c r="F881" s="254"/>
      <c r="G881" s="492"/>
      <c r="H881" s="254"/>
      <c r="I881" s="500"/>
      <c r="J881" s="181"/>
      <c r="K881" s="500"/>
      <c r="L881" s="181"/>
      <c r="M881" s="253"/>
      <c r="N881" s="254"/>
      <c r="O881" s="500"/>
      <c r="P881" s="181"/>
      <c r="Q881" s="492"/>
      <c r="R881" s="254"/>
      <c r="S881" s="501"/>
      <c r="T881" s="101"/>
      <c r="U881" s="253"/>
      <c r="V881" s="254"/>
      <c r="W881" s="254"/>
      <c r="X881" s="254"/>
      <c r="Y881" s="254"/>
      <c r="Z881" s="254"/>
    </row>
    <row r="882">
      <c r="A882" s="492"/>
      <c r="B882" s="254"/>
      <c r="C882" s="492"/>
      <c r="D882" s="181"/>
      <c r="E882" s="492"/>
      <c r="F882" s="254"/>
      <c r="G882" s="492"/>
      <c r="H882" s="254"/>
      <c r="I882" s="500"/>
      <c r="J882" s="181"/>
      <c r="K882" s="500"/>
      <c r="L882" s="181"/>
      <c r="M882" s="253"/>
      <c r="N882" s="254"/>
      <c r="O882" s="500"/>
      <c r="P882" s="181"/>
      <c r="Q882" s="492"/>
      <c r="R882" s="254"/>
      <c r="S882" s="501"/>
      <c r="T882" s="101"/>
      <c r="U882" s="253"/>
      <c r="V882" s="254"/>
      <c r="W882" s="254"/>
      <c r="X882" s="254"/>
      <c r="Y882" s="254"/>
      <c r="Z882" s="254"/>
    </row>
    <row r="883">
      <c r="A883" s="492"/>
      <c r="B883" s="254"/>
      <c r="C883" s="492"/>
      <c r="D883" s="181"/>
      <c r="E883" s="492"/>
      <c r="F883" s="254"/>
      <c r="G883" s="492"/>
      <c r="H883" s="254"/>
      <c r="I883" s="500"/>
      <c r="J883" s="181"/>
      <c r="K883" s="500"/>
      <c r="L883" s="181"/>
      <c r="M883" s="253"/>
      <c r="N883" s="254"/>
      <c r="O883" s="500"/>
      <c r="P883" s="181"/>
      <c r="Q883" s="492"/>
      <c r="R883" s="254"/>
      <c r="S883" s="501"/>
      <c r="T883" s="101"/>
      <c r="U883" s="253"/>
      <c r="V883" s="254"/>
      <c r="W883" s="254"/>
      <c r="X883" s="254"/>
      <c r="Y883" s="254"/>
      <c r="Z883" s="254"/>
    </row>
    <row r="884">
      <c r="A884" s="492"/>
      <c r="B884" s="254"/>
      <c r="C884" s="492"/>
      <c r="D884" s="181"/>
      <c r="E884" s="492"/>
      <c r="F884" s="254"/>
      <c r="G884" s="492"/>
      <c r="H884" s="254"/>
      <c r="I884" s="500"/>
      <c r="J884" s="181"/>
      <c r="K884" s="500"/>
      <c r="L884" s="181"/>
      <c r="M884" s="253"/>
      <c r="N884" s="254"/>
      <c r="O884" s="500"/>
      <c r="P884" s="181"/>
      <c r="Q884" s="492"/>
      <c r="R884" s="254"/>
      <c r="S884" s="501"/>
      <c r="T884" s="101"/>
      <c r="U884" s="253"/>
      <c r="V884" s="254"/>
      <c r="W884" s="254"/>
      <c r="X884" s="254"/>
      <c r="Y884" s="254"/>
      <c r="Z884" s="254"/>
    </row>
    <row r="885">
      <c r="A885" s="492"/>
      <c r="B885" s="254"/>
      <c r="C885" s="492"/>
      <c r="D885" s="181"/>
      <c r="E885" s="492"/>
      <c r="F885" s="254"/>
      <c r="G885" s="492"/>
      <c r="H885" s="254"/>
      <c r="I885" s="500"/>
      <c r="J885" s="181"/>
      <c r="K885" s="500"/>
      <c r="L885" s="181"/>
      <c r="M885" s="253"/>
      <c r="N885" s="254"/>
      <c r="O885" s="500"/>
      <c r="P885" s="181"/>
      <c r="Q885" s="492"/>
      <c r="R885" s="254"/>
      <c r="S885" s="501"/>
      <c r="T885" s="101"/>
      <c r="U885" s="253"/>
      <c r="V885" s="254"/>
      <c r="W885" s="254"/>
      <c r="X885" s="254"/>
      <c r="Y885" s="254"/>
      <c r="Z885" s="254"/>
    </row>
    <row r="886">
      <c r="A886" s="492"/>
      <c r="B886" s="254"/>
      <c r="C886" s="492"/>
      <c r="D886" s="181"/>
      <c r="E886" s="492"/>
      <c r="F886" s="254"/>
      <c r="G886" s="492"/>
      <c r="H886" s="254"/>
      <c r="I886" s="500"/>
      <c r="J886" s="181"/>
      <c r="K886" s="500"/>
      <c r="L886" s="181"/>
      <c r="M886" s="253"/>
      <c r="N886" s="254"/>
      <c r="O886" s="500"/>
      <c r="P886" s="181"/>
      <c r="Q886" s="492"/>
      <c r="R886" s="254"/>
      <c r="S886" s="501"/>
      <c r="T886" s="101"/>
      <c r="U886" s="253"/>
      <c r="V886" s="254"/>
      <c r="W886" s="254"/>
      <c r="X886" s="254"/>
      <c r="Y886" s="254"/>
      <c r="Z886" s="254"/>
    </row>
    <row r="887">
      <c r="A887" s="492"/>
      <c r="B887" s="254"/>
      <c r="C887" s="492"/>
      <c r="D887" s="181"/>
      <c r="E887" s="492"/>
      <c r="F887" s="254"/>
      <c r="G887" s="492"/>
      <c r="H887" s="254"/>
      <c r="I887" s="500"/>
      <c r="J887" s="181"/>
      <c r="K887" s="500"/>
      <c r="L887" s="181"/>
      <c r="M887" s="253"/>
      <c r="N887" s="254"/>
      <c r="O887" s="500"/>
      <c r="P887" s="181"/>
      <c r="Q887" s="492"/>
      <c r="R887" s="254"/>
      <c r="S887" s="501"/>
      <c r="T887" s="101"/>
      <c r="U887" s="253"/>
      <c r="V887" s="254"/>
      <c r="W887" s="254"/>
      <c r="X887" s="254"/>
      <c r="Y887" s="254"/>
      <c r="Z887" s="254"/>
    </row>
    <row r="888">
      <c r="A888" s="492"/>
      <c r="B888" s="254"/>
      <c r="C888" s="492"/>
      <c r="D888" s="181"/>
      <c r="E888" s="492"/>
      <c r="F888" s="254"/>
      <c r="G888" s="492"/>
      <c r="H888" s="254"/>
      <c r="I888" s="500"/>
      <c r="J888" s="181"/>
      <c r="K888" s="500"/>
      <c r="L888" s="181"/>
      <c r="M888" s="253"/>
      <c r="N888" s="254"/>
      <c r="O888" s="500"/>
      <c r="P888" s="181"/>
      <c r="Q888" s="492"/>
      <c r="R888" s="254"/>
      <c r="S888" s="501"/>
      <c r="T888" s="101"/>
      <c r="U888" s="253"/>
      <c r="V888" s="254"/>
      <c r="W888" s="254"/>
      <c r="X888" s="254"/>
      <c r="Y888" s="254"/>
      <c r="Z888" s="254"/>
    </row>
    <row r="889">
      <c r="A889" s="492"/>
      <c r="B889" s="254"/>
      <c r="C889" s="492"/>
      <c r="D889" s="181"/>
      <c r="E889" s="492"/>
      <c r="F889" s="254"/>
      <c r="G889" s="492"/>
      <c r="H889" s="254"/>
      <c r="I889" s="500"/>
      <c r="J889" s="181"/>
      <c r="K889" s="500"/>
      <c r="L889" s="181"/>
      <c r="M889" s="253"/>
      <c r="N889" s="254"/>
      <c r="O889" s="500"/>
      <c r="P889" s="181"/>
      <c r="Q889" s="492"/>
      <c r="R889" s="254"/>
      <c r="S889" s="501"/>
      <c r="T889" s="101"/>
      <c r="U889" s="253"/>
      <c r="V889" s="254"/>
      <c r="W889" s="254"/>
      <c r="X889" s="254"/>
      <c r="Y889" s="254"/>
      <c r="Z889" s="254"/>
    </row>
    <row r="890">
      <c r="A890" s="492"/>
      <c r="B890" s="254"/>
      <c r="C890" s="492"/>
      <c r="D890" s="181"/>
      <c r="E890" s="492"/>
      <c r="F890" s="254"/>
      <c r="G890" s="492"/>
      <c r="H890" s="254"/>
      <c r="I890" s="500"/>
      <c r="J890" s="181"/>
      <c r="K890" s="500"/>
      <c r="L890" s="181"/>
      <c r="M890" s="253"/>
      <c r="N890" s="254"/>
      <c r="O890" s="500"/>
      <c r="P890" s="181"/>
      <c r="Q890" s="492"/>
      <c r="R890" s="254"/>
      <c r="S890" s="501"/>
      <c r="T890" s="101"/>
      <c r="U890" s="253"/>
      <c r="V890" s="254"/>
      <c r="W890" s="254"/>
      <c r="X890" s="254"/>
      <c r="Y890" s="254"/>
      <c r="Z890" s="254"/>
    </row>
    <row r="891">
      <c r="A891" s="492"/>
      <c r="B891" s="254"/>
      <c r="C891" s="492"/>
      <c r="D891" s="181"/>
      <c r="E891" s="492"/>
      <c r="F891" s="254"/>
      <c r="G891" s="492"/>
      <c r="H891" s="254"/>
      <c r="I891" s="500"/>
      <c r="J891" s="181"/>
      <c r="K891" s="500"/>
      <c r="L891" s="181"/>
      <c r="M891" s="253"/>
      <c r="N891" s="254"/>
      <c r="O891" s="500"/>
      <c r="P891" s="181"/>
      <c r="Q891" s="492"/>
      <c r="R891" s="254"/>
      <c r="S891" s="501"/>
      <c r="T891" s="101"/>
      <c r="U891" s="253"/>
      <c r="V891" s="254"/>
      <c r="W891" s="254"/>
      <c r="X891" s="254"/>
      <c r="Y891" s="254"/>
      <c r="Z891" s="254"/>
    </row>
    <row r="892">
      <c r="A892" s="492"/>
      <c r="B892" s="254"/>
      <c r="C892" s="492"/>
      <c r="D892" s="181"/>
      <c r="E892" s="492"/>
      <c r="F892" s="254"/>
      <c r="G892" s="492"/>
      <c r="H892" s="254"/>
      <c r="I892" s="500"/>
      <c r="J892" s="181"/>
      <c r="K892" s="500"/>
      <c r="L892" s="181"/>
      <c r="M892" s="253"/>
      <c r="N892" s="254"/>
      <c r="O892" s="500"/>
      <c r="P892" s="181"/>
      <c r="Q892" s="492"/>
      <c r="R892" s="254"/>
      <c r="S892" s="501"/>
      <c r="T892" s="101"/>
      <c r="U892" s="253"/>
      <c r="V892" s="254"/>
      <c r="W892" s="254"/>
      <c r="X892" s="254"/>
      <c r="Y892" s="254"/>
      <c r="Z892" s="254"/>
    </row>
    <row r="893">
      <c r="A893" s="492"/>
      <c r="B893" s="254"/>
      <c r="C893" s="492"/>
      <c r="D893" s="181"/>
      <c r="E893" s="492"/>
      <c r="F893" s="254"/>
      <c r="G893" s="492"/>
      <c r="H893" s="254"/>
      <c r="I893" s="500"/>
      <c r="J893" s="181"/>
      <c r="K893" s="500"/>
      <c r="L893" s="181"/>
      <c r="M893" s="253"/>
      <c r="N893" s="254"/>
      <c r="O893" s="500"/>
      <c r="P893" s="181"/>
      <c r="Q893" s="492"/>
      <c r="R893" s="254"/>
      <c r="S893" s="501"/>
      <c r="T893" s="101"/>
      <c r="U893" s="253"/>
      <c r="V893" s="254"/>
      <c r="W893" s="254"/>
      <c r="X893" s="254"/>
      <c r="Y893" s="254"/>
      <c r="Z893" s="254"/>
    </row>
    <row r="894">
      <c r="A894" s="492"/>
      <c r="B894" s="254"/>
      <c r="C894" s="492"/>
      <c r="D894" s="181"/>
      <c r="E894" s="492"/>
      <c r="F894" s="254"/>
      <c r="G894" s="492"/>
      <c r="H894" s="254"/>
      <c r="I894" s="500"/>
      <c r="J894" s="181"/>
      <c r="K894" s="500"/>
      <c r="L894" s="181"/>
      <c r="M894" s="253"/>
      <c r="N894" s="254"/>
      <c r="O894" s="500"/>
      <c r="P894" s="181"/>
      <c r="Q894" s="492"/>
      <c r="R894" s="254"/>
      <c r="S894" s="501"/>
      <c r="T894" s="101"/>
      <c r="U894" s="253"/>
      <c r="V894" s="254"/>
      <c r="W894" s="254"/>
      <c r="X894" s="254"/>
      <c r="Y894" s="254"/>
      <c r="Z894" s="254"/>
    </row>
    <row r="895">
      <c r="A895" s="492"/>
      <c r="B895" s="254"/>
      <c r="C895" s="492"/>
      <c r="D895" s="181"/>
      <c r="E895" s="492"/>
      <c r="F895" s="254"/>
      <c r="G895" s="492"/>
      <c r="H895" s="254"/>
      <c r="I895" s="500"/>
      <c r="J895" s="181"/>
      <c r="K895" s="500"/>
      <c r="L895" s="181"/>
      <c r="M895" s="253"/>
      <c r="N895" s="254"/>
      <c r="O895" s="500"/>
      <c r="P895" s="181"/>
      <c r="Q895" s="492"/>
      <c r="R895" s="254"/>
      <c r="S895" s="501"/>
      <c r="T895" s="101"/>
      <c r="U895" s="253"/>
      <c r="V895" s="254"/>
      <c r="W895" s="254"/>
      <c r="X895" s="254"/>
      <c r="Y895" s="254"/>
      <c r="Z895" s="254"/>
    </row>
    <row r="896">
      <c r="A896" s="492"/>
      <c r="B896" s="254"/>
      <c r="C896" s="492"/>
      <c r="D896" s="181"/>
      <c r="E896" s="492"/>
      <c r="F896" s="254"/>
      <c r="G896" s="492"/>
      <c r="H896" s="254"/>
      <c r="I896" s="500"/>
      <c r="J896" s="181"/>
      <c r="K896" s="500"/>
      <c r="L896" s="181"/>
      <c r="M896" s="253"/>
      <c r="N896" s="254"/>
      <c r="O896" s="500"/>
      <c r="P896" s="181"/>
      <c r="Q896" s="492"/>
      <c r="R896" s="254"/>
      <c r="S896" s="501"/>
      <c r="T896" s="101"/>
      <c r="U896" s="253"/>
      <c r="V896" s="254"/>
      <c r="W896" s="254"/>
      <c r="X896" s="254"/>
      <c r="Y896" s="254"/>
      <c r="Z896" s="254"/>
    </row>
    <row r="897">
      <c r="A897" s="492"/>
      <c r="B897" s="254"/>
      <c r="C897" s="492"/>
      <c r="D897" s="181"/>
      <c r="E897" s="492"/>
      <c r="F897" s="254"/>
      <c r="G897" s="492"/>
      <c r="H897" s="254"/>
      <c r="I897" s="500"/>
      <c r="J897" s="181"/>
      <c r="K897" s="500"/>
      <c r="L897" s="181"/>
      <c r="M897" s="253"/>
      <c r="N897" s="254"/>
      <c r="O897" s="500"/>
      <c r="P897" s="181"/>
      <c r="Q897" s="492"/>
      <c r="R897" s="254"/>
      <c r="S897" s="501"/>
      <c r="T897" s="101"/>
      <c r="U897" s="253"/>
      <c r="V897" s="254"/>
      <c r="W897" s="254"/>
      <c r="X897" s="254"/>
      <c r="Y897" s="254"/>
      <c r="Z897" s="254"/>
    </row>
    <row r="898">
      <c r="A898" s="492"/>
      <c r="B898" s="254"/>
      <c r="C898" s="492"/>
      <c r="D898" s="181"/>
      <c r="E898" s="492"/>
      <c r="F898" s="254"/>
      <c r="G898" s="492"/>
      <c r="H898" s="254"/>
      <c r="I898" s="500"/>
      <c r="J898" s="181"/>
      <c r="K898" s="500"/>
      <c r="L898" s="181"/>
      <c r="M898" s="253"/>
      <c r="N898" s="254"/>
      <c r="O898" s="500"/>
      <c r="P898" s="181"/>
      <c r="Q898" s="492"/>
      <c r="R898" s="254"/>
      <c r="S898" s="501"/>
      <c r="T898" s="101"/>
      <c r="U898" s="253"/>
      <c r="V898" s="254"/>
      <c r="W898" s="254"/>
      <c r="X898" s="254"/>
      <c r="Y898" s="254"/>
      <c r="Z898" s="254"/>
    </row>
    <row r="899">
      <c r="A899" s="492"/>
      <c r="B899" s="254"/>
      <c r="C899" s="492"/>
      <c r="D899" s="181"/>
      <c r="E899" s="492"/>
      <c r="F899" s="254"/>
      <c r="G899" s="492"/>
      <c r="H899" s="254"/>
      <c r="I899" s="500"/>
      <c r="J899" s="181"/>
      <c r="K899" s="500"/>
      <c r="L899" s="181"/>
      <c r="M899" s="253"/>
      <c r="N899" s="254"/>
      <c r="O899" s="500"/>
      <c r="P899" s="181"/>
      <c r="Q899" s="492"/>
      <c r="R899" s="254"/>
      <c r="S899" s="501"/>
      <c r="T899" s="101"/>
      <c r="U899" s="253"/>
      <c r="V899" s="254"/>
      <c r="W899" s="254"/>
      <c r="X899" s="254"/>
      <c r="Y899" s="254"/>
      <c r="Z899" s="254"/>
    </row>
    <row r="900">
      <c r="A900" s="492"/>
      <c r="B900" s="254"/>
      <c r="C900" s="492"/>
      <c r="D900" s="181"/>
      <c r="E900" s="492"/>
      <c r="F900" s="254"/>
      <c r="G900" s="492"/>
      <c r="H900" s="254"/>
      <c r="I900" s="500"/>
      <c r="J900" s="181"/>
      <c r="K900" s="500"/>
      <c r="L900" s="181"/>
      <c r="M900" s="253"/>
      <c r="N900" s="254"/>
      <c r="O900" s="500"/>
      <c r="P900" s="181"/>
      <c r="Q900" s="492"/>
      <c r="R900" s="254"/>
      <c r="S900" s="501"/>
      <c r="T900" s="101"/>
      <c r="U900" s="253"/>
      <c r="V900" s="254"/>
      <c r="W900" s="254"/>
      <c r="X900" s="254"/>
      <c r="Y900" s="254"/>
      <c r="Z900" s="254"/>
    </row>
    <row r="901">
      <c r="A901" s="492"/>
      <c r="B901" s="254"/>
      <c r="C901" s="492"/>
      <c r="D901" s="181"/>
      <c r="E901" s="492"/>
      <c r="F901" s="254"/>
      <c r="G901" s="492"/>
      <c r="H901" s="254"/>
      <c r="I901" s="500"/>
      <c r="J901" s="181"/>
      <c r="K901" s="500"/>
      <c r="L901" s="181"/>
      <c r="M901" s="253"/>
      <c r="N901" s="254"/>
      <c r="O901" s="500"/>
      <c r="P901" s="181"/>
      <c r="Q901" s="492"/>
      <c r="R901" s="254"/>
      <c r="S901" s="501"/>
      <c r="T901" s="101"/>
      <c r="U901" s="253"/>
      <c r="V901" s="254"/>
      <c r="W901" s="254"/>
      <c r="X901" s="254"/>
      <c r="Y901" s="254"/>
      <c r="Z901" s="254"/>
    </row>
    <row r="902">
      <c r="A902" s="492"/>
      <c r="B902" s="254"/>
      <c r="C902" s="492"/>
      <c r="D902" s="181"/>
      <c r="E902" s="492"/>
      <c r="F902" s="254"/>
      <c r="G902" s="492"/>
      <c r="H902" s="254"/>
      <c r="I902" s="500"/>
      <c r="J902" s="181"/>
      <c r="K902" s="500"/>
      <c r="L902" s="181"/>
      <c r="M902" s="253"/>
      <c r="N902" s="254"/>
      <c r="O902" s="500"/>
      <c r="P902" s="181"/>
      <c r="Q902" s="492"/>
      <c r="R902" s="254"/>
      <c r="S902" s="501"/>
      <c r="T902" s="101"/>
      <c r="U902" s="253"/>
      <c r="V902" s="254"/>
      <c r="W902" s="254"/>
      <c r="X902" s="254"/>
      <c r="Y902" s="254"/>
      <c r="Z902" s="254"/>
    </row>
    <row r="903">
      <c r="A903" s="492"/>
      <c r="B903" s="254"/>
      <c r="C903" s="492"/>
      <c r="D903" s="181"/>
      <c r="E903" s="492"/>
      <c r="F903" s="254"/>
      <c r="G903" s="492"/>
      <c r="H903" s="254"/>
      <c r="I903" s="500"/>
      <c r="J903" s="181"/>
      <c r="K903" s="500"/>
      <c r="L903" s="181"/>
      <c r="M903" s="253"/>
      <c r="N903" s="254"/>
      <c r="O903" s="500"/>
      <c r="P903" s="181"/>
      <c r="Q903" s="492"/>
      <c r="R903" s="254"/>
      <c r="S903" s="501"/>
      <c r="T903" s="101"/>
      <c r="U903" s="253"/>
      <c r="V903" s="254"/>
      <c r="W903" s="254"/>
      <c r="X903" s="254"/>
      <c r="Y903" s="254"/>
      <c r="Z903" s="254"/>
    </row>
    <row r="904">
      <c r="A904" s="492"/>
      <c r="B904" s="254"/>
      <c r="C904" s="492"/>
      <c r="D904" s="181"/>
      <c r="E904" s="492"/>
      <c r="F904" s="254"/>
      <c r="G904" s="492"/>
      <c r="H904" s="254"/>
      <c r="I904" s="500"/>
      <c r="J904" s="181"/>
      <c r="K904" s="500"/>
      <c r="L904" s="181"/>
      <c r="M904" s="253"/>
      <c r="N904" s="254"/>
      <c r="O904" s="500"/>
      <c r="P904" s="181"/>
      <c r="Q904" s="492"/>
      <c r="R904" s="254"/>
      <c r="S904" s="501"/>
      <c r="T904" s="101"/>
      <c r="U904" s="253"/>
      <c r="V904" s="254"/>
      <c r="W904" s="254"/>
      <c r="X904" s="254"/>
      <c r="Y904" s="254"/>
      <c r="Z904" s="254"/>
    </row>
    <row r="905">
      <c r="A905" s="492"/>
      <c r="B905" s="254"/>
      <c r="C905" s="492"/>
      <c r="D905" s="181"/>
      <c r="E905" s="492"/>
      <c r="F905" s="254"/>
      <c r="G905" s="492"/>
      <c r="H905" s="254"/>
      <c r="I905" s="500"/>
      <c r="J905" s="181"/>
      <c r="K905" s="500"/>
      <c r="L905" s="181"/>
      <c r="M905" s="253"/>
      <c r="N905" s="254"/>
      <c r="O905" s="500"/>
      <c r="P905" s="181"/>
      <c r="Q905" s="492"/>
      <c r="R905" s="254"/>
      <c r="S905" s="501"/>
      <c r="T905" s="101"/>
      <c r="U905" s="253"/>
      <c r="V905" s="254"/>
      <c r="W905" s="254"/>
      <c r="X905" s="254"/>
      <c r="Y905" s="254"/>
      <c r="Z905" s="254"/>
    </row>
    <row r="906">
      <c r="A906" s="492"/>
      <c r="B906" s="254"/>
      <c r="C906" s="492"/>
      <c r="D906" s="181"/>
      <c r="E906" s="492"/>
      <c r="F906" s="254"/>
      <c r="G906" s="492"/>
      <c r="H906" s="254"/>
      <c r="I906" s="500"/>
      <c r="J906" s="181"/>
      <c r="K906" s="500"/>
      <c r="L906" s="181"/>
      <c r="M906" s="253"/>
      <c r="N906" s="254"/>
      <c r="O906" s="500"/>
      <c r="P906" s="181"/>
      <c r="Q906" s="492"/>
      <c r="R906" s="254"/>
      <c r="S906" s="501"/>
      <c r="T906" s="101"/>
      <c r="U906" s="253"/>
      <c r="V906" s="254"/>
      <c r="W906" s="254"/>
      <c r="X906" s="254"/>
      <c r="Y906" s="254"/>
      <c r="Z906" s="254"/>
    </row>
    <row r="907">
      <c r="A907" s="492"/>
      <c r="B907" s="254"/>
      <c r="C907" s="492"/>
      <c r="D907" s="181"/>
      <c r="E907" s="492"/>
      <c r="F907" s="254"/>
      <c r="G907" s="492"/>
      <c r="H907" s="254"/>
      <c r="I907" s="500"/>
      <c r="J907" s="181"/>
      <c r="K907" s="500"/>
      <c r="L907" s="181"/>
      <c r="M907" s="253"/>
      <c r="N907" s="254"/>
      <c r="O907" s="500"/>
      <c r="P907" s="181"/>
      <c r="Q907" s="492"/>
      <c r="R907" s="254"/>
      <c r="S907" s="501"/>
      <c r="T907" s="101"/>
      <c r="U907" s="253"/>
      <c r="V907" s="254"/>
      <c r="W907" s="254"/>
      <c r="X907" s="254"/>
      <c r="Y907" s="254"/>
      <c r="Z907" s="254"/>
    </row>
    <row r="908">
      <c r="A908" s="492"/>
      <c r="B908" s="254"/>
      <c r="C908" s="492"/>
      <c r="D908" s="181"/>
      <c r="E908" s="492"/>
      <c r="F908" s="254"/>
      <c r="G908" s="492"/>
      <c r="H908" s="254"/>
      <c r="I908" s="500"/>
      <c r="J908" s="181"/>
      <c r="K908" s="500"/>
      <c r="L908" s="181"/>
      <c r="M908" s="253"/>
      <c r="N908" s="254"/>
      <c r="O908" s="500"/>
      <c r="P908" s="181"/>
      <c r="Q908" s="492"/>
      <c r="R908" s="254"/>
      <c r="S908" s="501"/>
      <c r="T908" s="101"/>
      <c r="U908" s="253"/>
      <c r="V908" s="254"/>
      <c r="W908" s="254"/>
      <c r="X908" s="254"/>
      <c r="Y908" s="254"/>
      <c r="Z908" s="254"/>
    </row>
    <row r="909">
      <c r="A909" s="492"/>
      <c r="B909" s="254"/>
      <c r="C909" s="492"/>
      <c r="D909" s="181"/>
      <c r="E909" s="492"/>
      <c r="F909" s="254"/>
      <c r="G909" s="492"/>
      <c r="H909" s="254"/>
      <c r="I909" s="500"/>
      <c r="J909" s="181"/>
      <c r="K909" s="500"/>
      <c r="L909" s="181"/>
      <c r="M909" s="253"/>
      <c r="N909" s="254"/>
      <c r="O909" s="500"/>
      <c r="P909" s="181"/>
      <c r="Q909" s="492"/>
      <c r="R909" s="254"/>
      <c r="S909" s="501"/>
      <c r="T909" s="101"/>
      <c r="U909" s="253"/>
      <c r="V909" s="254"/>
      <c r="W909" s="254"/>
      <c r="X909" s="254"/>
      <c r="Y909" s="254"/>
      <c r="Z909" s="254"/>
    </row>
    <row r="910">
      <c r="A910" s="492"/>
      <c r="B910" s="254"/>
      <c r="C910" s="492"/>
      <c r="D910" s="181"/>
      <c r="E910" s="492"/>
      <c r="F910" s="254"/>
      <c r="G910" s="492"/>
      <c r="H910" s="254"/>
      <c r="I910" s="500"/>
      <c r="J910" s="181"/>
      <c r="K910" s="500"/>
      <c r="L910" s="181"/>
      <c r="M910" s="253"/>
      <c r="N910" s="254"/>
      <c r="O910" s="500"/>
      <c r="P910" s="181"/>
      <c r="Q910" s="492"/>
      <c r="R910" s="254"/>
      <c r="S910" s="501"/>
      <c r="T910" s="101"/>
      <c r="U910" s="253"/>
      <c r="V910" s="254"/>
      <c r="W910" s="254"/>
      <c r="X910" s="254"/>
      <c r="Y910" s="254"/>
      <c r="Z910" s="254"/>
    </row>
    <row r="911">
      <c r="A911" s="492"/>
      <c r="B911" s="254"/>
      <c r="C911" s="492"/>
      <c r="D911" s="181"/>
      <c r="E911" s="492"/>
      <c r="F911" s="254"/>
      <c r="G911" s="492"/>
      <c r="H911" s="254"/>
      <c r="I911" s="500"/>
      <c r="J911" s="181"/>
      <c r="K911" s="500"/>
      <c r="L911" s="181"/>
      <c r="M911" s="253"/>
      <c r="N911" s="254"/>
      <c r="O911" s="500"/>
      <c r="P911" s="181"/>
      <c r="Q911" s="492"/>
      <c r="R911" s="254"/>
      <c r="S911" s="501"/>
      <c r="T911" s="101"/>
      <c r="U911" s="253"/>
      <c r="V911" s="254"/>
      <c r="W911" s="254"/>
      <c r="X911" s="254"/>
      <c r="Y911" s="254"/>
      <c r="Z911" s="254"/>
    </row>
    <row r="912">
      <c r="A912" s="492"/>
      <c r="B912" s="254"/>
      <c r="C912" s="492"/>
      <c r="D912" s="181"/>
      <c r="E912" s="492"/>
      <c r="F912" s="254"/>
      <c r="G912" s="492"/>
      <c r="H912" s="254"/>
      <c r="I912" s="500"/>
      <c r="J912" s="181"/>
      <c r="K912" s="500"/>
      <c r="L912" s="181"/>
      <c r="M912" s="253"/>
      <c r="N912" s="254"/>
      <c r="O912" s="500"/>
      <c r="P912" s="181"/>
      <c r="Q912" s="492"/>
      <c r="R912" s="254"/>
      <c r="S912" s="501"/>
      <c r="T912" s="101"/>
      <c r="U912" s="253"/>
      <c r="V912" s="254"/>
      <c r="W912" s="254"/>
      <c r="X912" s="254"/>
      <c r="Y912" s="254"/>
      <c r="Z912" s="254"/>
    </row>
    <row r="913">
      <c r="A913" s="492"/>
      <c r="B913" s="254"/>
      <c r="C913" s="492"/>
      <c r="D913" s="181"/>
      <c r="E913" s="492"/>
      <c r="F913" s="254"/>
      <c r="G913" s="492"/>
      <c r="H913" s="254"/>
      <c r="I913" s="500"/>
      <c r="J913" s="181"/>
      <c r="K913" s="500"/>
      <c r="L913" s="181"/>
      <c r="M913" s="253"/>
      <c r="N913" s="254"/>
      <c r="O913" s="500"/>
      <c r="P913" s="181"/>
      <c r="Q913" s="492"/>
      <c r="R913" s="254"/>
      <c r="S913" s="501"/>
      <c r="T913" s="101"/>
      <c r="U913" s="253"/>
      <c r="V913" s="254"/>
      <c r="W913" s="254"/>
      <c r="X913" s="254"/>
      <c r="Y913" s="254"/>
      <c r="Z913" s="254"/>
    </row>
    <row r="914">
      <c r="A914" s="492"/>
      <c r="B914" s="254"/>
      <c r="C914" s="492"/>
      <c r="D914" s="181"/>
      <c r="E914" s="492"/>
      <c r="F914" s="254"/>
      <c r="G914" s="492"/>
      <c r="H914" s="254"/>
      <c r="I914" s="500"/>
      <c r="J914" s="181"/>
      <c r="K914" s="500"/>
      <c r="L914" s="181"/>
      <c r="M914" s="253"/>
      <c r="N914" s="254"/>
      <c r="O914" s="500"/>
      <c r="P914" s="181"/>
      <c r="Q914" s="492"/>
      <c r="R914" s="254"/>
      <c r="S914" s="501"/>
      <c r="T914" s="101"/>
      <c r="U914" s="253"/>
      <c r="V914" s="254"/>
      <c r="W914" s="254"/>
      <c r="X914" s="254"/>
      <c r="Y914" s="254"/>
      <c r="Z914" s="254"/>
    </row>
    <row r="915">
      <c r="A915" s="492"/>
      <c r="B915" s="254"/>
      <c r="C915" s="492"/>
      <c r="D915" s="181"/>
      <c r="E915" s="492"/>
      <c r="F915" s="254"/>
      <c r="G915" s="492"/>
      <c r="H915" s="254"/>
      <c r="I915" s="500"/>
      <c r="J915" s="181"/>
      <c r="K915" s="500"/>
      <c r="L915" s="181"/>
      <c r="M915" s="253"/>
      <c r="N915" s="254"/>
      <c r="O915" s="500"/>
      <c r="P915" s="181"/>
      <c r="Q915" s="492"/>
      <c r="R915" s="254"/>
      <c r="S915" s="501"/>
      <c r="T915" s="101"/>
      <c r="U915" s="253"/>
      <c r="V915" s="254"/>
      <c r="W915" s="254"/>
      <c r="X915" s="254"/>
      <c r="Y915" s="254"/>
      <c r="Z915" s="254"/>
    </row>
    <row r="916">
      <c r="A916" s="492"/>
      <c r="B916" s="254"/>
      <c r="C916" s="492"/>
      <c r="D916" s="181"/>
      <c r="E916" s="492"/>
      <c r="F916" s="254"/>
      <c r="G916" s="492"/>
      <c r="H916" s="254"/>
      <c r="I916" s="500"/>
      <c r="J916" s="181"/>
      <c r="K916" s="500"/>
      <c r="L916" s="181"/>
      <c r="M916" s="253"/>
      <c r="N916" s="254"/>
      <c r="O916" s="500"/>
      <c r="P916" s="181"/>
      <c r="Q916" s="492"/>
      <c r="R916" s="254"/>
      <c r="S916" s="501"/>
      <c r="T916" s="101"/>
      <c r="U916" s="253"/>
      <c r="V916" s="254"/>
      <c r="W916" s="254"/>
      <c r="X916" s="254"/>
      <c r="Y916" s="254"/>
      <c r="Z916" s="254"/>
    </row>
    <row r="917">
      <c r="A917" s="492"/>
      <c r="B917" s="254"/>
      <c r="C917" s="492"/>
      <c r="D917" s="181"/>
      <c r="E917" s="492"/>
      <c r="F917" s="254"/>
      <c r="G917" s="492"/>
      <c r="H917" s="254"/>
      <c r="I917" s="500"/>
      <c r="J917" s="181"/>
      <c r="K917" s="500"/>
      <c r="L917" s="181"/>
      <c r="M917" s="253"/>
      <c r="N917" s="254"/>
      <c r="O917" s="500"/>
      <c r="P917" s="181"/>
      <c r="Q917" s="492"/>
      <c r="R917" s="254"/>
      <c r="S917" s="501"/>
      <c r="T917" s="101"/>
      <c r="U917" s="253"/>
      <c r="V917" s="254"/>
      <c r="W917" s="254"/>
      <c r="X917" s="254"/>
      <c r="Y917" s="254"/>
      <c r="Z917" s="254"/>
    </row>
    <row r="918">
      <c r="A918" s="492"/>
      <c r="B918" s="254"/>
      <c r="C918" s="492"/>
      <c r="D918" s="181"/>
      <c r="E918" s="492"/>
      <c r="F918" s="254"/>
      <c r="G918" s="492"/>
      <c r="H918" s="254"/>
      <c r="I918" s="500"/>
      <c r="J918" s="181"/>
      <c r="K918" s="500"/>
      <c r="L918" s="181"/>
      <c r="M918" s="253"/>
      <c r="N918" s="254"/>
      <c r="O918" s="500"/>
      <c r="P918" s="181"/>
      <c r="Q918" s="492"/>
      <c r="R918" s="254"/>
      <c r="S918" s="501"/>
      <c r="T918" s="101"/>
      <c r="U918" s="253"/>
      <c r="V918" s="254"/>
      <c r="W918" s="254"/>
      <c r="X918" s="254"/>
      <c r="Y918" s="254"/>
      <c r="Z918" s="254"/>
    </row>
    <row r="919">
      <c r="A919" s="492"/>
      <c r="B919" s="254"/>
      <c r="C919" s="492"/>
      <c r="D919" s="181"/>
      <c r="E919" s="492"/>
      <c r="F919" s="254"/>
      <c r="G919" s="492"/>
      <c r="H919" s="254"/>
      <c r="I919" s="500"/>
      <c r="J919" s="181"/>
      <c r="K919" s="500"/>
      <c r="L919" s="181"/>
      <c r="M919" s="253"/>
      <c r="N919" s="254"/>
      <c r="O919" s="500"/>
      <c r="P919" s="181"/>
      <c r="Q919" s="492"/>
      <c r="R919" s="254"/>
      <c r="S919" s="501"/>
      <c r="T919" s="101"/>
      <c r="U919" s="253"/>
      <c r="V919" s="254"/>
      <c r="W919" s="254"/>
      <c r="X919" s="254"/>
      <c r="Y919" s="254"/>
      <c r="Z919" s="254"/>
    </row>
    <row r="920">
      <c r="A920" s="492"/>
      <c r="B920" s="254"/>
      <c r="C920" s="492"/>
      <c r="D920" s="181"/>
      <c r="E920" s="492"/>
      <c r="F920" s="254"/>
      <c r="G920" s="492"/>
      <c r="H920" s="254"/>
      <c r="I920" s="500"/>
      <c r="J920" s="181"/>
      <c r="K920" s="500"/>
      <c r="L920" s="181"/>
      <c r="M920" s="253"/>
      <c r="N920" s="254"/>
      <c r="O920" s="500"/>
      <c r="P920" s="181"/>
      <c r="Q920" s="492"/>
      <c r="R920" s="254"/>
      <c r="S920" s="501"/>
      <c r="T920" s="101"/>
      <c r="U920" s="253"/>
      <c r="V920" s="254"/>
      <c r="W920" s="254"/>
      <c r="X920" s="254"/>
      <c r="Y920" s="254"/>
      <c r="Z920" s="254"/>
    </row>
    <row r="921">
      <c r="A921" s="492"/>
      <c r="B921" s="254"/>
      <c r="C921" s="492"/>
      <c r="D921" s="181"/>
      <c r="E921" s="492"/>
      <c r="F921" s="254"/>
      <c r="G921" s="492"/>
      <c r="H921" s="254"/>
      <c r="I921" s="500"/>
      <c r="J921" s="181"/>
      <c r="K921" s="500"/>
      <c r="L921" s="181"/>
      <c r="M921" s="253"/>
      <c r="N921" s="254"/>
      <c r="O921" s="500"/>
      <c r="P921" s="181"/>
      <c r="Q921" s="492"/>
      <c r="R921" s="254"/>
      <c r="S921" s="501"/>
      <c r="T921" s="101"/>
      <c r="U921" s="253"/>
      <c r="V921" s="254"/>
      <c r="W921" s="254"/>
      <c r="X921" s="254"/>
      <c r="Y921" s="254"/>
      <c r="Z921" s="254"/>
    </row>
    <row r="922">
      <c r="A922" s="492"/>
      <c r="B922" s="254"/>
      <c r="C922" s="492"/>
      <c r="D922" s="181"/>
      <c r="E922" s="492"/>
      <c r="F922" s="254"/>
      <c r="G922" s="492"/>
      <c r="H922" s="254"/>
      <c r="I922" s="500"/>
      <c r="J922" s="181"/>
      <c r="K922" s="500"/>
      <c r="L922" s="181"/>
      <c r="M922" s="253"/>
      <c r="N922" s="254"/>
      <c r="O922" s="500"/>
      <c r="P922" s="181"/>
      <c r="Q922" s="492"/>
      <c r="R922" s="254"/>
      <c r="S922" s="501"/>
      <c r="T922" s="101"/>
      <c r="U922" s="253"/>
      <c r="V922" s="254"/>
      <c r="W922" s="254"/>
      <c r="X922" s="254"/>
      <c r="Y922" s="254"/>
      <c r="Z922" s="254"/>
    </row>
    <row r="923">
      <c r="A923" s="492"/>
      <c r="B923" s="254"/>
      <c r="C923" s="492"/>
      <c r="D923" s="181"/>
      <c r="E923" s="492"/>
      <c r="F923" s="254"/>
      <c r="G923" s="492"/>
      <c r="H923" s="254"/>
      <c r="I923" s="500"/>
      <c r="J923" s="181"/>
      <c r="K923" s="500"/>
      <c r="L923" s="181"/>
      <c r="M923" s="253"/>
      <c r="N923" s="254"/>
      <c r="O923" s="500"/>
      <c r="P923" s="181"/>
      <c r="Q923" s="492"/>
      <c r="R923" s="254"/>
      <c r="S923" s="501"/>
      <c r="T923" s="101"/>
      <c r="U923" s="253"/>
      <c r="V923" s="254"/>
      <c r="W923" s="254"/>
      <c r="X923" s="254"/>
      <c r="Y923" s="254"/>
      <c r="Z923" s="254"/>
    </row>
    <row r="924">
      <c r="A924" s="492"/>
      <c r="B924" s="254"/>
      <c r="C924" s="492"/>
      <c r="D924" s="181"/>
      <c r="E924" s="492"/>
      <c r="F924" s="254"/>
      <c r="G924" s="492"/>
      <c r="H924" s="254"/>
      <c r="I924" s="500"/>
      <c r="J924" s="181"/>
      <c r="K924" s="500"/>
      <c r="L924" s="181"/>
      <c r="M924" s="253"/>
      <c r="N924" s="254"/>
      <c r="O924" s="500"/>
      <c r="P924" s="181"/>
      <c r="Q924" s="492"/>
      <c r="R924" s="254"/>
      <c r="S924" s="501"/>
      <c r="T924" s="101"/>
      <c r="U924" s="253"/>
      <c r="V924" s="254"/>
      <c r="W924" s="254"/>
      <c r="X924" s="254"/>
      <c r="Y924" s="254"/>
      <c r="Z924" s="254"/>
    </row>
    <row r="925">
      <c r="A925" s="492"/>
      <c r="B925" s="254"/>
      <c r="C925" s="492"/>
      <c r="D925" s="181"/>
      <c r="E925" s="492"/>
      <c r="F925" s="254"/>
      <c r="G925" s="492"/>
      <c r="H925" s="254"/>
      <c r="I925" s="500"/>
      <c r="J925" s="181"/>
      <c r="K925" s="500"/>
      <c r="L925" s="181"/>
      <c r="M925" s="253"/>
      <c r="N925" s="254"/>
      <c r="O925" s="500"/>
      <c r="P925" s="181"/>
      <c r="Q925" s="492"/>
      <c r="R925" s="254"/>
      <c r="S925" s="501"/>
      <c r="T925" s="101"/>
      <c r="U925" s="253"/>
      <c r="V925" s="254"/>
      <c r="W925" s="254"/>
      <c r="X925" s="254"/>
      <c r="Y925" s="254"/>
      <c r="Z925" s="254"/>
    </row>
    <row r="926">
      <c r="A926" s="492"/>
      <c r="B926" s="254"/>
      <c r="C926" s="492"/>
      <c r="D926" s="181"/>
      <c r="E926" s="492"/>
      <c r="F926" s="254"/>
      <c r="G926" s="492"/>
      <c r="H926" s="254"/>
      <c r="I926" s="500"/>
      <c r="J926" s="181"/>
      <c r="K926" s="500"/>
      <c r="L926" s="181"/>
      <c r="M926" s="253"/>
      <c r="N926" s="254"/>
      <c r="O926" s="500"/>
      <c r="P926" s="181"/>
      <c r="Q926" s="492"/>
      <c r="R926" s="254"/>
      <c r="S926" s="501"/>
      <c r="T926" s="101"/>
      <c r="U926" s="253"/>
      <c r="V926" s="254"/>
      <c r="W926" s="254"/>
      <c r="X926" s="254"/>
      <c r="Y926" s="254"/>
      <c r="Z926" s="254"/>
    </row>
    <row r="927">
      <c r="A927" s="492"/>
      <c r="B927" s="254"/>
      <c r="C927" s="492"/>
      <c r="D927" s="181"/>
      <c r="E927" s="492"/>
      <c r="F927" s="254"/>
      <c r="G927" s="492"/>
      <c r="H927" s="254"/>
      <c r="I927" s="500"/>
      <c r="J927" s="181"/>
      <c r="K927" s="500"/>
      <c r="L927" s="181"/>
      <c r="M927" s="253"/>
      <c r="N927" s="254"/>
      <c r="O927" s="500"/>
      <c r="P927" s="181"/>
      <c r="Q927" s="492"/>
      <c r="R927" s="254"/>
      <c r="S927" s="501"/>
      <c r="T927" s="101"/>
      <c r="U927" s="253"/>
      <c r="V927" s="254"/>
      <c r="W927" s="254"/>
      <c r="X927" s="254"/>
      <c r="Y927" s="254"/>
      <c r="Z927" s="254"/>
    </row>
    <row r="928">
      <c r="A928" s="492"/>
      <c r="B928" s="254"/>
      <c r="C928" s="492"/>
      <c r="D928" s="181"/>
      <c r="E928" s="492"/>
      <c r="F928" s="254"/>
      <c r="G928" s="492"/>
      <c r="H928" s="254"/>
      <c r="I928" s="500"/>
      <c r="J928" s="181"/>
      <c r="K928" s="500"/>
      <c r="L928" s="181"/>
      <c r="M928" s="253"/>
      <c r="N928" s="254"/>
      <c r="O928" s="500"/>
      <c r="P928" s="181"/>
      <c r="Q928" s="492"/>
      <c r="R928" s="254"/>
      <c r="S928" s="501"/>
      <c r="T928" s="101"/>
      <c r="U928" s="253"/>
      <c r="V928" s="254"/>
      <c r="W928" s="254"/>
      <c r="X928" s="254"/>
      <c r="Y928" s="254"/>
      <c r="Z928" s="254"/>
    </row>
    <row r="929">
      <c r="A929" s="492"/>
      <c r="B929" s="254"/>
      <c r="C929" s="492"/>
      <c r="D929" s="181"/>
      <c r="E929" s="492"/>
      <c r="F929" s="254"/>
      <c r="G929" s="492"/>
      <c r="H929" s="254"/>
      <c r="I929" s="500"/>
      <c r="J929" s="181"/>
      <c r="K929" s="500"/>
      <c r="L929" s="181"/>
      <c r="M929" s="253"/>
      <c r="N929" s="254"/>
      <c r="O929" s="500"/>
      <c r="P929" s="181"/>
      <c r="Q929" s="492"/>
      <c r="R929" s="254"/>
      <c r="S929" s="501"/>
      <c r="T929" s="101"/>
      <c r="U929" s="253"/>
      <c r="V929" s="254"/>
      <c r="W929" s="254"/>
      <c r="X929" s="254"/>
      <c r="Y929" s="254"/>
      <c r="Z929" s="254"/>
    </row>
    <row r="930">
      <c r="A930" s="492"/>
      <c r="B930" s="254"/>
      <c r="C930" s="492"/>
      <c r="D930" s="181"/>
      <c r="E930" s="492"/>
      <c r="F930" s="254"/>
      <c r="G930" s="492"/>
      <c r="H930" s="254"/>
      <c r="I930" s="500"/>
      <c r="J930" s="181"/>
      <c r="K930" s="500"/>
      <c r="L930" s="181"/>
      <c r="M930" s="253"/>
      <c r="N930" s="254"/>
      <c r="O930" s="500"/>
      <c r="P930" s="181"/>
      <c r="Q930" s="492"/>
      <c r="R930" s="254"/>
      <c r="S930" s="501"/>
      <c r="T930" s="101"/>
      <c r="U930" s="253"/>
      <c r="V930" s="254"/>
      <c r="W930" s="254"/>
      <c r="X930" s="254"/>
      <c r="Y930" s="254"/>
      <c r="Z930" s="254"/>
    </row>
    <row r="931">
      <c r="A931" s="492"/>
      <c r="B931" s="254"/>
      <c r="C931" s="492"/>
      <c r="D931" s="181"/>
      <c r="E931" s="492"/>
      <c r="F931" s="254"/>
      <c r="G931" s="492"/>
      <c r="H931" s="254"/>
      <c r="I931" s="500"/>
      <c r="J931" s="181"/>
      <c r="K931" s="500"/>
      <c r="L931" s="181"/>
      <c r="M931" s="253"/>
      <c r="N931" s="254"/>
      <c r="O931" s="500"/>
      <c r="P931" s="181"/>
      <c r="Q931" s="492"/>
      <c r="R931" s="254"/>
      <c r="S931" s="501"/>
      <c r="T931" s="101"/>
      <c r="U931" s="253"/>
      <c r="V931" s="254"/>
      <c r="W931" s="254"/>
      <c r="X931" s="254"/>
      <c r="Y931" s="254"/>
      <c r="Z931" s="254"/>
    </row>
    <row r="932">
      <c r="A932" s="492"/>
      <c r="B932" s="254"/>
      <c r="C932" s="492"/>
      <c r="D932" s="181"/>
      <c r="E932" s="492"/>
      <c r="F932" s="254"/>
      <c r="G932" s="492"/>
      <c r="H932" s="254"/>
      <c r="I932" s="500"/>
      <c r="J932" s="181"/>
      <c r="K932" s="500"/>
      <c r="L932" s="181"/>
      <c r="M932" s="253"/>
      <c r="N932" s="254"/>
      <c r="O932" s="500"/>
      <c r="P932" s="181"/>
      <c r="Q932" s="492"/>
      <c r="R932" s="254"/>
      <c r="S932" s="501"/>
      <c r="T932" s="101"/>
      <c r="U932" s="253"/>
      <c r="V932" s="254"/>
      <c r="W932" s="254"/>
      <c r="X932" s="254"/>
      <c r="Y932" s="254"/>
      <c r="Z932" s="254"/>
    </row>
    <row r="933">
      <c r="A933" s="492"/>
      <c r="B933" s="254"/>
      <c r="C933" s="492"/>
      <c r="D933" s="181"/>
      <c r="E933" s="492"/>
      <c r="F933" s="254"/>
      <c r="G933" s="492"/>
      <c r="H933" s="254"/>
      <c r="I933" s="500"/>
      <c r="J933" s="181"/>
      <c r="K933" s="500"/>
      <c r="L933" s="181"/>
      <c r="M933" s="253"/>
      <c r="N933" s="254"/>
      <c r="O933" s="500"/>
      <c r="P933" s="181"/>
      <c r="Q933" s="492"/>
      <c r="R933" s="254"/>
      <c r="S933" s="501"/>
      <c r="T933" s="101"/>
      <c r="U933" s="253"/>
      <c r="V933" s="254"/>
      <c r="W933" s="254"/>
      <c r="X933" s="254"/>
      <c r="Y933" s="254"/>
      <c r="Z933" s="254"/>
    </row>
    <row r="934">
      <c r="A934" s="492"/>
      <c r="B934" s="254"/>
      <c r="C934" s="492"/>
      <c r="D934" s="181"/>
      <c r="E934" s="492"/>
      <c r="F934" s="254"/>
      <c r="G934" s="492"/>
      <c r="H934" s="254"/>
      <c r="I934" s="500"/>
      <c r="J934" s="181"/>
      <c r="K934" s="500"/>
      <c r="L934" s="181"/>
      <c r="M934" s="253"/>
      <c r="N934" s="254"/>
      <c r="O934" s="500"/>
      <c r="P934" s="181"/>
      <c r="Q934" s="492"/>
      <c r="R934" s="254"/>
      <c r="S934" s="501"/>
      <c r="T934" s="101"/>
      <c r="U934" s="253"/>
      <c r="V934" s="254"/>
      <c r="W934" s="254"/>
      <c r="X934" s="254"/>
      <c r="Y934" s="254"/>
      <c r="Z934" s="254"/>
    </row>
    <row r="935">
      <c r="A935" s="492"/>
      <c r="B935" s="254"/>
      <c r="C935" s="492"/>
      <c r="D935" s="181"/>
      <c r="E935" s="492"/>
      <c r="F935" s="254"/>
      <c r="G935" s="492"/>
      <c r="H935" s="254"/>
      <c r="I935" s="500"/>
      <c r="J935" s="181"/>
      <c r="K935" s="500"/>
      <c r="L935" s="181"/>
      <c r="M935" s="253"/>
      <c r="N935" s="254"/>
      <c r="O935" s="500"/>
      <c r="P935" s="181"/>
      <c r="Q935" s="492"/>
      <c r="R935" s="254"/>
      <c r="S935" s="501"/>
      <c r="T935" s="101"/>
      <c r="U935" s="253"/>
      <c r="V935" s="254"/>
      <c r="W935" s="254"/>
      <c r="X935" s="254"/>
      <c r="Y935" s="254"/>
      <c r="Z935" s="254"/>
    </row>
    <row r="936">
      <c r="A936" s="492"/>
      <c r="B936" s="254"/>
      <c r="C936" s="492"/>
      <c r="D936" s="181"/>
      <c r="E936" s="492"/>
      <c r="F936" s="254"/>
      <c r="G936" s="492"/>
      <c r="H936" s="254"/>
      <c r="I936" s="500"/>
      <c r="J936" s="181"/>
      <c r="K936" s="500"/>
      <c r="L936" s="181"/>
      <c r="M936" s="253"/>
      <c r="N936" s="254"/>
      <c r="O936" s="500"/>
      <c r="P936" s="181"/>
      <c r="Q936" s="492"/>
      <c r="R936" s="254"/>
      <c r="S936" s="501"/>
      <c r="T936" s="101"/>
      <c r="U936" s="253"/>
      <c r="V936" s="254"/>
      <c r="W936" s="254"/>
      <c r="X936" s="254"/>
      <c r="Y936" s="254"/>
      <c r="Z936" s="254"/>
    </row>
    <row r="937">
      <c r="A937" s="492"/>
      <c r="B937" s="254"/>
      <c r="C937" s="492"/>
      <c r="D937" s="181"/>
      <c r="E937" s="492"/>
      <c r="F937" s="254"/>
      <c r="G937" s="492"/>
      <c r="H937" s="254"/>
      <c r="I937" s="500"/>
      <c r="J937" s="181"/>
      <c r="K937" s="500"/>
      <c r="L937" s="181"/>
      <c r="M937" s="253"/>
      <c r="N937" s="254"/>
      <c r="O937" s="500"/>
      <c r="P937" s="181"/>
      <c r="Q937" s="492"/>
      <c r="R937" s="254"/>
      <c r="S937" s="501"/>
      <c r="T937" s="101"/>
      <c r="U937" s="253"/>
      <c r="V937" s="254"/>
      <c r="W937" s="254"/>
      <c r="X937" s="254"/>
      <c r="Y937" s="254"/>
      <c r="Z937" s="254"/>
    </row>
    <row r="938">
      <c r="A938" s="492"/>
      <c r="B938" s="254"/>
      <c r="C938" s="492"/>
      <c r="D938" s="181"/>
      <c r="E938" s="492"/>
      <c r="F938" s="254"/>
      <c r="G938" s="492"/>
      <c r="H938" s="254"/>
      <c r="I938" s="500"/>
      <c r="J938" s="181"/>
      <c r="K938" s="500"/>
      <c r="L938" s="181"/>
      <c r="M938" s="253"/>
      <c r="N938" s="254"/>
      <c r="O938" s="500"/>
      <c r="P938" s="181"/>
      <c r="Q938" s="492"/>
      <c r="R938" s="254"/>
      <c r="S938" s="501"/>
      <c r="T938" s="101"/>
      <c r="U938" s="253"/>
      <c r="V938" s="254"/>
      <c r="W938" s="254"/>
      <c r="X938" s="254"/>
      <c r="Y938" s="254"/>
      <c r="Z938" s="254"/>
    </row>
    <row r="939">
      <c r="A939" s="492"/>
      <c r="B939" s="254"/>
      <c r="C939" s="492"/>
      <c r="D939" s="181"/>
      <c r="E939" s="492"/>
      <c r="F939" s="254"/>
      <c r="G939" s="492"/>
      <c r="H939" s="254"/>
      <c r="I939" s="500"/>
      <c r="J939" s="181"/>
      <c r="K939" s="500"/>
      <c r="L939" s="181"/>
      <c r="M939" s="253"/>
      <c r="N939" s="254"/>
      <c r="O939" s="500"/>
      <c r="P939" s="181"/>
      <c r="Q939" s="492"/>
      <c r="R939" s="254"/>
      <c r="S939" s="501"/>
      <c r="T939" s="101"/>
      <c r="U939" s="253"/>
      <c r="V939" s="254"/>
      <c r="W939" s="254"/>
      <c r="X939" s="254"/>
      <c r="Y939" s="254"/>
      <c r="Z939" s="254"/>
    </row>
    <row r="940">
      <c r="A940" s="492"/>
      <c r="B940" s="254"/>
      <c r="C940" s="492"/>
      <c r="D940" s="181"/>
      <c r="E940" s="492"/>
      <c r="F940" s="254"/>
      <c r="G940" s="492"/>
      <c r="H940" s="254"/>
      <c r="I940" s="500"/>
      <c r="J940" s="181"/>
      <c r="K940" s="500"/>
      <c r="L940" s="181"/>
      <c r="M940" s="253"/>
      <c r="N940" s="254"/>
      <c r="O940" s="500"/>
      <c r="P940" s="181"/>
      <c r="Q940" s="492"/>
      <c r="R940" s="254"/>
      <c r="S940" s="501"/>
      <c r="T940" s="101"/>
      <c r="U940" s="253"/>
      <c r="V940" s="254"/>
      <c r="W940" s="254"/>
      <c r="X940" s="254"/>
      <c r="Y940" s="254"/>
      <c r="Z940" s="254"/>
    </row>
    <row r="941">
      <c r="A941" s="492"/>
      <c r="B941" s="254"/>
      <c r="C941" s="492"/>
      <c r="D941" s="181"/>
      <c r="E941" s="492"/>
      <c r="F941" s="254"/>
      <c r="G941" s="492"/>
      <c r="H941" s="254"/>
      <c r="I941" s="500"/>
      <c r="J941" s="181"/>
      <c r="K941" s="500"/>
      <c r="L941" s="181"/>
      <c r="M941" s="253"/>
      <c r="N941" s="254"/>
      <c r="O941" s="500"/>
      <c r="P941" s="181"/>
      <c r="Q941" s="492"/>
      <c r="R941" s="254"/>
      <c r="S941" s="501"/>
      <c r="T941" s="101"/>
      <c r="U941" s="253"/>
      <c r="V941" s="254"/>
      <c r="W941" s="254"/>
      <c r="X941" s="254"/>
      <c r="Y941" s="254"/>
      <c r="Z941" s="254"/>
    </row>
    <row r="942">
      <c r="A942" s="492"/>
      <c r="B942" s="254"/>
      <c r="C942" s="492"/>
      <c r="D942" s="181"/>
      <c r="E942" s="492"/>
      <c r="F942" s="254"/>
      <c r="G942" s="492"/>
      <c r="H942" s="254"/>
      <c r="I942" s="500"/>
      <c r="J942" s="181"/>
      <c r="K942" s="500"/>
      <c r="L942" s="181"/>
      <c r="M942" s="253"/>
      <c r="N942" s="254"/>
      <c r="O942" s="500"/>
      <c r="P942" s="181"/>
      <c r="Q942" s="492"/>
      <c r="R942" s="254"/>
      <c r="S942" s="501"/>
      <c r="T942" s="101"/>
      <c r="U942" s="253"/>
      <c r="V942" s="254"/>
      <c r="W942" s="254"/>
      <c r="X942" s="254"/>
      <c r="Y942" s="254"/>
      <c r="Z942" s="254"/>
    </row>
    <row r="943">
      <c r="A943" s="492"/>
      <c r="B943" s="254"/>
      <c r="C943" s="492"/>
      <c r="D943" s="181"/>
      <c r="E943" s="492"/>
      <c r="F943" s="254"/>
      <c r="G943" s="492"/>
      <c r="H943" s="254"/>
      <c r="I943" s="500"/>
      <c r="J943" s="181"/>
      <c r="K943" s="500"/>
      <c r="L943" s="181"/>
      <c r="M943" s="253"/>
      <c r="N943" s="254"/>
      <c r="O943" s="500"/>
      <c r="P943" s="181"/>
      <c r="Q943" s="492"/>
      <c r="R943" s="254"/>
      <c r="S943" s="501"/>
      <c r="T943" s="101"/>
      <c r="U943" s="253"/>
      <c r="V943" s="254"/>
      <c r="W943" s="254"/>
      <c r="X943" s="254"/>
      <c r="Y943" s="254"/>
      <c r="Z943" s="254"/>
    </row>
    <row r="944">
      <c r="A944" s="492"/>
      <c r="B944" s="254"/>
      <c r="C944" s="492"/>
      <c r="D944" s="181"/>
      <c r="E944" s="492"/>
      <c r="F944" s="254"/>
      <c r="G944" s="492"/>
      <c r="H944" s="254"/>
      <c r="I944" s="500"/>
      <c r="J944" s="181"/>
      <c r="K944" s="500"/>
      <c r="L944" s="181"/>
      <c r="M944" s="253"/>
      <c r="N944" s="254"/>
      <c r="O944" s="500"/>
      <c r="P944" s="181"/>
      <c r="Q944" s="492"/>
      <c r="R944" s="254"/>
      <c r="S944" s="501"/>
      <c r="T944" s="101"/>
      <c r="U944" s="253"/>
      <c r="V944" s="254"/>
      <c r="W944" s="254"/>
      <c r="X944" s="254"/>
      <c r="Y944" s="254"/>
      <c r="Z944" s="254"/>
    </row>
    <row r="945">
      <c r="A945" s="492"/>
      <c r="B945" s="254"/>
      <c r="C945" s="492"/>
      <c r="D945" s="181"/>
      <c r="E945" s="492"/>
      <c r="F945" s="254"/>
      <c r="G945" s="492"/>
      <c r="H945" s="254"/>
      <c r="I945" s="500"/>
      <c r="J945" s="181"/>
      <c r="K945" s="500"/>
      <c r="L945" s="181"/>
      <c r="M945" s="253"/>
      <c r="N945" s="254"/>
      <c r="O945" s="500"/>
      <c r="P945" s="181"/>
      <c r="Q945" s="492"/>
      <c r="R945" s="254"/>
      <c r="S945" s="501"/>
      <c r="T945" s="101"/>
      <c r="U945" s="253"/>
      <c r="V945" s="254"/>
      <c r="W945" s="254"/>
      <c r="X945" s="254"/>
      <c r="Y945" s="254"/>
      <c r="Z945" s="254"/>
    </row>
    <row r="946">
      <c r="A946" s="492"/>
      <c r="B946" s="254"/>
      <c r="C946" s="492"/>
      <c r="D946" s="181"/>
      <c r="E946" s="492"/>
      <c r="F946" s="254"/>
      <c r="G946" s="492"/>
      <c r="H946" s="254"/>
      <c r="I946" s="500"/>
      <c r="J946" s="181"/>
      <c r="K946" s="500"/>
      <c r="L946" s="181"/>
      <c r="M946" s="253"/>
      <c r="N946" s="254"/>
      <c r="O946" s="500"/>
      <c r="P946" s="181"/>
      <c r="Q946" s="492"/>
      <c r="R946" s="254"/>
      <c r="S946" s="501"/>
      <c r="T946" s="101"/>
      <c r="U946" s="253"/>
      <c r="V946" s="254"/>
      <c r="W946" s="254"/>
      <c r="X946" s="254"/>
      <c r="Y946" s="254"/>
      <c r="Z946" s="254"/>
    </row>
    <row r="947">
      <c r="A947" s="492"/>
      <c r="B947" s="254"/>
      <c r="C947" s="492"/>
      <c r="D947" s="181"/>
      <c r="E947" s="492"/>
      <c r="F947" s="254"/>
      <c r="G947" s="492"/>
      <c r="H947" s="254"/>
      <c r="I947" s="500"/>
      <c r="J947" s="181"/>
      <c r="K947" s="500"/>
      <c r="L947" s="181"/>
      <c r="M947" s="253"/>
      <c r="N947" s="254"/>
      <c r="O947" s="500"/>
      <c r="P947" s="181"/>
      <c r="Q947" s="492"/>
      <c r="R947" s="254"/>
      <c r="S947" s="501"/>
      <c r="T947" s="101"/>
      <c r="U947" s="253"/>
      <c r="V947" s="254"/>
      <c r="W947" s="254"/>
      <c r="X947" s="254"/>
      <c r="Y947" s="254"/>
      <c r="Z947" s="254"/>
    </row>
    <row r="948">
      <c r="A948" s="492"/>
      <c r="B948" s="254"/>
      <c r="C948" s="492"/>
      <c r="D948" s="181"/>
      <c r="E948" s="492"/>
      <c r="F948" s="254"/>
      <c r="G948" s="492"/>
      <c r="H948" s="254"/>
      <c r="I948" s="500"/>
      <c r="J948" s="181"/>
      <c r="K948" s="500"/>
      <c r="L948" s="181"/>
      <c r="M948" s="253"/>
      <c r="N948" s="254"/>
      <c r="O948" s="500"/>
      <c r="P948" s="181"/>
      <c r="Q948" s="492"/>
      <c r="R948" s="254"/>
      <c r="S948" s="501"/>
      <c r="T948" s="101"/>
      <c r="U948" s="253"/>
      <c r="V948" s="254"/>
      <c r="W948" s="254"/>
      <c r="X948" s="254"/>
      <c r="Y948" s="254"/>
      <c r="Z948" s="254"/>
    </row>
    <row r="949">
      <c r="A949" s="492"/>
      <c r="B949" s="254"/>
      <c r="C949" s="492"/>
      <c r="D949" s="181"/>
      <c r="E949" s="492"/>
      <c r="F949" s="254"/>
      <c r="G949" s="492"/>
      <c r="H949" s="254"/>
      <c r="I949" s="500"/>
      <c r="J949" s="181"/>
      <c r="K949" s="500"/>
      <c r="L949" s="181"/>
      <c r="M949" s="253"/>
      <c r="N949" s="254"/>
      <c r="O949" s="500"/>
      <c r="P949" s="181"/>
      <c r="Q949" s="492"/>
      <c r="R949" s="254"/>
      <c r="S949" s="501"/>
      <c r="T949" s="101"/>
      <c r="U949" s="253"/>
      <c r="V949" s="254"/>
      <c r="W949" s="254"/>
      <c r="X949" s="254"/>
      <c r="Y949" s="254"/>
      <c r="Z949" s="254"/>
    </row>
    <row r="950">
      <c r="A950" s="492"/>
      <c r="B950" s="254"/>
      <c r="C950" s="492"/>
      <c r="D950" s="181"/>
      <c r="E950" s="492"/>
      <c r="F950" s="254"/>
      <c r="G950" s="492"/>
      <c r="H950" s="254"/>
      <c r="I950" s="500"/>
      <c r="J950" s="181"/>
      <c r="K950" s="500"/>
      <c r="L950" s="181"/>
      <c r="M950" s="253"/>
      <c r="N950" s="254"/>
      <c r="O950" s="500"/>
      <c r="P950" s="181"/>
      <c r="Q950" s="492"/>
      <c r="R950" s="254"/>
      <c r="S950" s="501"/>
      <c r="T950" s="101"/>
      <c r="U950" s="253"/>
      <c r="V950" s="254"/>
      <c r="W950" s="254"/>
      <c r="X950" s="254"/>
      <c r="Y950" s="254"/>
      <c r="Z950" s="254"/>
    </row>
    <row r="951">
      <c r="A951" s="492"/>
      <c r="B951" s="254"/>
      <c r="C951" s="492"/>
      <c r="D951" s="181"/>
      <c r="E951" s="492"/>
      <c r="F951" s="254"/>
      <c r="G951" s="492"/>
      <c r="H951" s="254"/>
      <c r="I951" s="500"/>
      <c r="J951" s="181"/>
      <c r="K951" s="500"/>
      <c r="L951" s="181"/>
      <c r="M951" s="253"/>
      <c r="N951" s="254"/>
      <c r="O951" s="500"/>
      <c r="P951" s="181"/>
      <c r="Q951" s="492"/>
      <c r="R951" s="254"/>
      <c r="S951" s="501"/>
      <c r="T951" s="101"/>
      <c r="U951" s="253"/>
      <c r="V951" s="254"/>
      <c r="W951" s="254"/>
      <c r="X951" s="254"/>
      <c r="Y951" s="254"/>
      <c r="Z951" s="254"/>
    </row>
    <row r="952">
      <c r="A952" s="492"/>
      <c r="B952" s="254"/>
      <c r="C952" s="492"/>
      <c r="D952" s="181"/>
      <c r="E952" s="492"/>
      <c r="F952" s="254"/>
      <c r="G952" s="492"/>
      <c r="H952" s="254"/>
      <c r="I952" s="500"/>
      <c r="J952" s="181"/>
      <c r="K952" s="500"/>
      <c r="L952" s="181"/>
      <c r="M952" s="253"/>
      <c r="N952" s="254"/>
      <c r="O952" s="500"/>
      <c r="P952" s="181"/>
      <c r="Q952" s="492"/>
      <c r="R952" s="254"/>
      <c r="S952" s="501"/>
      <c r="T952" s="101"/>
      <c r="U952" s="253"/>
      <c r="V952" s="254"/>
      <c r="W952" s="254"/>
      <c r="X952" s="254"/>
      <c r="Y952" s="254"/>
      <c r="Z952" s="254"/>
    </row>
    <row r="953">
      <c r="A953" s="492"/>
      <c r="B953" s="254"/>
      <c r="C953" s="492"/>
      <c r="D953" s="181"/>
      <c r="E953" s="492"/>
      <c r="F953" s="254"/>
      <c r="G953" s="492"/>
      <c r="H953" s="254"/>
      <c r="I953" s="500"/>
      <c r="J953" s="181"/>
      <c r="K953" s="500"/>
      <c r="L953" s="181"/>
      <c r="M953" s="253"/>
      <c r="N953" s="254"/>
      <c r="O953" s="500"/>
      <c r="P953" s="181"/>
      <c r="Q953" s="492"/>
      <c r="R953" s="254"/>
      <c r="S953" s="501"/>
      <c r="T953" s="101"/>
      <c r="U953" s="253"/>
      <c r="V953" s="254"/>
      <c r="W953" s="254"/>
      <c r="X953" s="254"/>
      <c r="Y953" s="254"/>
      <c r="Z953" s="254"/>
    </row>
    <row r="954">
      <c r="A954" s="492"/>
      <c r="B954" s="254"/>
      <c r="C954" s="492"/>
      <c r="D954" s="181"/>
      <c r="E954" s="492"/>
      <c r="F954" s="254"/>
      <c r="G954" s="492"/>
      <c r="H954" s="254"/>
      <c r="I954" s="500"/>
      <c r="J954" s="181"/>
      <c r="K954" s="500"/>
      <c r="L954" s="181"/>
      <c r="M954" s="253"/>
      <c r="N954" s="254"/>
      <c r="O954" s="500"/>
      <c r="P954" s="181"/>
      <c r="Q954" s="492"/>
      <c r="R954" s="254"/>
      <c r="S954" s="501"/>
      <c r="T954" s="101"/>
      <c r="U954" s="253"/>
      <c r="V954" s="254"/>
      <c r="W954" s="254"/>
      <c r="X954" s="254"/>
      <c r="Y954" s="254"/>
      <c r="Z954" s="254"/>
    </row>
    <row r="955">
      <c r="A955" s="492"/>
      <c r="B955" s="254"/>
      <c r="C955" s="492"/>
      <c r="D955" s="181"/>
      <c r="E955" s="492"/>
      <c r="F955" s="254"/>
      <c r="G955" s="492"/>
      <c r="H955" s="254"/>
      <c r="I955" s="500"/>
      <c r="J955" s="181"/>
      <c r="K955" s="500"/>
      <c r="L955" s="181"/>
      <c r="M955" s="253"/>
      <c r="N955" s="254"/>
      <c r="O955" s="500"/>
      <c r="P955" s="181"/>
      <c r="Q955" s="492"/>
      <c r="R955" s="254"/>
      <c r="S955" s="501"/>
      <c r="T955" s="101"/>
      <c r="U955" s="253"/>
      <c r="V955" s="254"/>
      <c r="W955" s="254"/>
      <c r="X955" s="254"/>
      <c r="Y955" s="254"/>
      <c r="Z955" s="254"/>
    </row>
    <row r="956">
      <c r="A956" s="492"/>
      <c r="B956" s="254"/>
      <c r="C956" s="492"/>
      <c r="D956" s="181"/>
      <c r="E956" s="492"/>
      <c r="F956" s="254"/>
      <c r="G956" s="492"/>
      <c r="H956" s="254"/>
      <c r="I956" s="500"/>
      <c r="J956" s="181"/>
      <c r="K956" s="500"/>
      <c r="L956" s="181"/>
      <c r="M956" s="253"/>
      <c r="N956" s="254"/>
      <c r="O956" s="500"/>
      <c r="P956" s="181"/>
      <c r="Q956" s="492"/>
      <c r="R956" s="254"/>
      <c r="S956" s="501"/>
      <c r="T956" s="101"/>
      <c r="U956" s="253"/>
      <c r="V956" s="254"/>
      <c r="W956" s="254"/>
      <c r="X956" s="254"/>
      <c r="Y956" s="254"/>
      <c r="Z956" s="254"/>
    </row>
    <row r="957">
      <c r="A957" s="492"/>
      <c r="B957" s="254"/>
      <c r="C957" s="492"/>
      <c r="D957" s="181"/>
      <c r="E957" s="492"/>
      <c r="F957" s="254"/>
      <c r="G957" s="492"/>
      <c r="H957" s="254"/>
      <c r="I957" s="500"/>
      <c r="J957" s="181"/>
      <c r="K957" s="500"/>
      <c r="L957" s="181"/>
      <c r="M957" s="253"/>
      <c r="N957" s="254"/>
      <c r="O957" s="500"/>
      <c r="P957" s="181"/>
      <c r="Q957" s="492"/>
      <c r="R957" s="254"/>
      <c r="S957" s="501"/>
      <c r="T957" s="101"/>
      <c r="U957" s="253"/>
      <c r="V957" s="254"/>
      <c r="W957" s="254"/>
      <c r="X957" s="254"/>
      <c r="Y957" s="254"/>
      <c r="Z957" s="254"/>
    </row>
    <row r="958">
      <c r="A958" s="492"/>
      <c r="B958" s="254"/>
      <c r="C958" s="492"/>
      <c r="D958" s="181"/>
      <c r="E958" s="492"/>
      <c r="F958" s="254"/>
      <c r="G958" s="492"/>
      <c r="H958" s="254"/>
      <c r="I958" s="500"/>
      <c r="J958" s="181"/>
      <c r="K958" s="500"/>
      <c r="L958" s="181"/>
      <c r="M958" s="253"/>
      <c r="N958" s="254"/>
      <c r="O958" s="500"/>
      <c r="P958" s="181"/>
      <c r="Q958" s="492"/>
      <c r="R958" s="254"/>
      <c r="S958" s="501"/>
      <c r="T958" s="101"/>
      <c r="U958" s="253"/>
      <c r="V958" s="254"/>
      <c r="W958" s="254"/>
      <c r="X958" s="254"/>
      <c r="Y958" s="254"/>
      <c r="Z958" s="254"/>
    </row>
    <row r="959">
      <c r="A959" s="492"/>
      <c r="B959" s="254"/>
      <c r="C959" s="492"/>
      <c r="D959" s="181"/>
      <c r="E959" s="492"/>
      <c r="F959" s="254"/>
      <c r="G959" s="492"/>
      <c r="H959" s="254"/>
      <c r="I959" s="500"/>
      <c r="J959" s="181"/>
      <c r="K959" s="500"/>
      <c r="L959" s="181"/>
      <c r="M959" s="253"/>
      <c r="N959" s="254"/>
      <c r="O959" s="500"/>
      <c r="P959" s="181"/>
      <c r="Q959" s="492"/>
      <c r="R959" s="254"/>
      <c r="S959" s="501"/>
      <c r="T959" s="101"/>
      <c r="U959" s="253"/>
      <c r="V959" s="254"/>
      <c r="W959" s="254"/>
      <c r="X959" s="254"/>
      <c r="Y959" s="254"/>
      <c r="Z959" s="254"/>
    </row>
    <row r="960">
      <c r="A960" s="492"/>
      <c r="B960" s="254"/>
      <c r="C960" s="492"/>
      <c r="D960" s="181"/>
      <c r="E960" s="492"/>
      <c r="F960" s="254"/>
      <c r="G960" s="492"/>
      <c r="H960" s="254"/>
      <c r="I960" s="500"/>
      <c r="J960" s="181"/>
      <c r="K960" s="500"/>
      <c r="L960" s="181"/>
      <c r="M960" s="253"/>
      <c r="N960" s="254"/>
      <c r="O960" s="500"/>
      <c r="P960" s="181"/>
      <c r="Q960" s="492"/>
      <c r="R960" s="254"/>
      <c r="S960" s="501"/>
      <c r="T960" s="101"/>
      <c r="U960" s="253"/>
      <c r="V960" s="254"/>
      <c r="W960" s="254"/>
      <c r="X960" s="254"/>
      <c r="Y960" s="254"/>
      <c r="Z960" s="254"/>
    </row>
    <row r="961">
      <c r="A961" s="492"/>
      <c r="B961" s="254"/>
      <c r="C961" s="492"/>
      <c r="D961" s="181"/>
      <c r="E961" s="492"/>
      <c r="F961" s="254"/>
      <c r="G961" s="492"/>
      <c r="H961" s="254"/>
      <c r="I961" s="500"/>
      <c r="J961" s="181"/>
      <c r="K961" s="500"/>
      <c r="L961" s="181"/>
      <c r="M961" s="253"/>
      <c r="N961" s="254"/>
      <c r="O961" s="500"/>
      <c r="P961" s="181"/>
      <c r="Q961" s="492"/>
      <c r="R961" s="254"/>
      <c r="S961" s="501"/>
      <c r="T961" s="101"/>
      <c r="U961" s="253"/>
      <c r="V961" s="254"/>
      <c r="W961" s="254"/>
      <c r="X961" s="254"/>
      <c r="Y961" s="254"/>
      <c r="Z961" s="254"/>
    </row>
    <row r="962">
      <c r="A962" s="492"/>
      <c r="B962" s="254"/>
      <c r="C962" s="492"/>
      <c r="D962" s="181"/>
      <c r="E962" s="492"/>
      <c r="F962" s="254"/>
      <c r="G962" s="492"/>
      <c r="H962" s="254"/>
      <c r="I962" s="500"/>
      <c r="J962" s="181"/>
      <c r="K962" s="500"/>
      <c r="L962" s="181"/>
      <c r="M962" s="253"/>
      <c r="N962" s="254"/>
      <c r="O962" s="500"/>
      <c r="P962" s="181"/>
      <c r="Q962" s="492"/>
      <c r="R962" s="254"/>
      <c r="S962" s="501"/>
      <c r="T962" s="101"/>
      <c r="U962" s="253"/>
      <c r="V962" s="254"/>
      <c r="W962" s="254"/>
      <c r="X962" s="254"/>
      <c r="Y962" s="254"/>
      <c r="Z962" s="254"/>
    </row>
    <row r="963">
      <c r="A963" s="492"/>
      <c r="B963" s="254"/>
      <c r="C963" s="492"/>
      <c r="D963" s="181"/>
      <c r="E963" s="492"/>
      <c r="F963" s="254"/>
      <c r="G963" s="492"/>
      <c r="H963" s="254"/>
      <c r="I963" s="500"/>
      <c r="J963" s="181"/>
      <c r="K963" s="500"/>
      <c r="L963" s="181"/>
      <c r="M963" s="253"/>
      <c r="N963" s="254"/>
      <c r="O963" s="500"/>
      <c r="P963" s="181"/>
      <c r="Q963" s="492"/>
      <c r="R963" s="254"/>
      <c r="S963" s="501"/>
      <c r="T963" s="101"/>
      <c r="U963" s="253"/>
      <c r="V963" s="254"/>
      <c r="W963" s="254"/>
      <c r="X963" s="254"/>
      <c r="Y963" s="254"/>
      <c r="Z963" s="254"/>
    </row>
    <row r="964">
      <c r="A964" s="492"/>
      <c r="B964" s="254"/>
      <c r="C964" s="492"/>
      <c r="D964" s="181"/>
      <c r="E964" s="492"/>
      <c r="F964" s="254"/>
      <c r="G964" s="492"/>
      <c r="H964" s="254"/>
      <c r="I964" s="500"/>
      <c r="J964" s="181"/>
      <c r="K964" s="500"/>
      <c r="L964" s="181"/>
      <c r="M964" s="253"/>
      <c r="N964" s="254"/>
      <c r="O964" s="500"/>
      <c r="P964" s="181"/>
      <c r="Q964" s="492"/>
      <c r="R964" s="254"/>
      <c r="S964" s="501"/>
      <c r="T964" s="101"/>
      <c r="U964" s="253"/>
      <c r="V964" s="254"/>
      <c r="W964" s="254"/>
      <c r="X964" s="254"/>
      <c r="Y964" s="254"/>
      <c r="Z964" s="254"/>
    </row>
    <row r="965">
      <c r="A965" s="492"/>
      <c r="B965" s="254"/>
      <c r="C965" s="492"/>
      <c r="D965" s="181"/>
      <c r="E965" s="492"/>
      <c r="F965" s="254"/>
      <c r="G965" s="492"/>
      <c r="H965" s="254"/>
      <c r="I965" s="500"/>
      <c r="J965" s="181"/>
      <c r="K965" s="500"/>
      <c r="L965" s="181"/>
      <c r="M965" s="253"/>
      <c r="N965" s="254"/>
      <c r="O965" s="500"/>
      <c r="P965" s="181"/>
      <c r="Q965" s="492"/>
      <c r="R965" s="254"/>
      <c r="S965" s="501"/>
      <c r="T965" s="101"/>
      <c r="U965" s="253"/>
      <c r="V965" s="254"/>
      <c r="W965" s="254"/>
      <c r="X965" s="254"/>
      <c r="Y965" s="254"/>
      <c r="Z965" s="254"/>
    </row>
    <row r="966">
      <c r="A966" s="492"/>
      <c r="B966" s="254"/>
      <c r="C966" s="492"/>
      <c r="D966" s="181"/>
      <c r="E966" s="492"/>
      <c r="F966" s="254"/>
      <c r="G966" s="492"/>
      <c r="H966" s="254"/>
      <c r="I966" s="500"/>
      <c r="J966" s="181"/>
      <c r="K966" s="500"/>
      <c r="L966" s="181"/>
      <c r="M966" s="253"/>
      <c r="N966" s="254"/>
      <c r="O966" s="500"/>
      <c r="P966" s="181"/>
      <c r="Q966" s="492"/>
      <c r="R966" s="254"/>
      <c r="S966" s="501"/>
      <c r="T966" s="101"/>
      <c r="U966" s="253"/>
      <c r="V966" s="254"/>
      <c r="W966" s="254"/>
      <c r="X966" s="254"/>
      <c r="Y966" s="254"/>
      <c r="Z966" s="254"/>
    </row>
    <row r="967">
      <c r="A967" s="492"/>
      <c r="B967" s="254"/>
      <c r="C967" s="492"/>
      <c r="D967" s="181"/>
      <c r="E967" s="492"/>
      <c r="F967" s="254"/>
      <c r="G967" s="492"/>
      <c r="H967" s="254"/>
      <c r="I967" s="500"/>
      <c r="J967" s="181"/>
      <c r="K967" s="500"/>
      <c r="L967" s="181"/>
      <c r="M967" s="253"/>
      <c r="N967" s="254"/>
      <c r="O967" s="500"/>
      <c r="P967" s="181"/>
      <c r="Q967" s="492"/>
      <c r="R967" s="254"/>
      <c r="S967" s="501"/>
      <c r="T967" s="101"/>
      <c r="U967" s="253"/>
      <c r="V967" s="254"/>
      <c r="W967" s="254"/>
      <c r="X967" s="254"/>
      <c r="Y967" s="254"/>
      <c r="Z967" s="254"/>
    </row>
    <row r="968">
      <c r="A968" s="492"/>
      <c r="B968" s="254"/>
      <c r="C968" s="492"/>
      <c r="D968" s="181"/>
      <c r="E968" s="492"/>
      <c r="F968" s="254"/>
      <c r="G968" s="492"/>
      <c r="H968" s="254"/>
      <c r="I968" s="500"/>
      <c r="J968" s="181"/>
      <c r="K968" s="500"/>
      <c r="L968" s="181"/>
      <c r="M968" s="253"/>
      <c r="N968" s="254"/>
      <c r="O968" s="500"/>
      <c r="P968" s="181"/>
      <c r="Q968" s="492"/>
      <c r="R968" s="254"/>
      <c r="S968" s="501"/>
      <c r="T968" s="101"/>
      <c r="U968" s="253"/>
      <c r="V968" s="254"/>
      <c r="W968" s="254"/>
      <c r="X968" s="254"/>
      <c r="Y968" s="254"/>
      <c r="Z968" s="254"/>
    </row>
    <row r="969">
      <c r="A969" s="492"/>
      <c r="B969" s="254"/>
      <c r="C969" s="492"/>
      <c r="D969" s="181"/>
      <c r="E969" s="492"/>
      <c r="F969" s="254"/>
      <c r="G969" s="492"/>
      <c r="H969" s="254"/>
      <c r="I969" s="500"/>
      <c r="J969" s="181"/>
      <c r="K969" s="500"/>
      <c r="L969" s="181"/>
      <c r="M969" s="253"/>
      <c r="N969" s="254"/>
      <c r="O969" s="500"/>
      <c r="P969" s="181"/>
      <c r="Q969" s="492"/>
      <c r="R969" s="254"/>
      <c r="S969" s="501"/>
      <c r="T969" s="101"/>
      <c r="U969" s="253"/>
      <c r="V969" s="254"/>
      <c r="W969" s="254"/>
      <c r="X969" s="254"/>
      <c r="Y969" s="254"/>
      <c r="Z969" s="254"/>
    </row>
    <row r="970">
      <c r="A970" s="492"/>
      <c r="B970" s="254"/>
      <c r="C970" s="492"/>
      <c r="D970" s="181"/>
      <c r="E970" s="492"/>
      <c r="F970" s="254"/>
      <c r="G970" s="492"/>
      <c r="H970" s="254"/>
      <c r="I970" s="500"/>
      <c r="J970" s="181"/>
      <c r="K970" s="500"/>
      <c r="L970" s="181"/>
      <c r="M970" s="253"/>
      <c r="N970" s="254"/>
      <c r="O970" s="500"/>
      <c r="P970" s="181"/>
      <c r="Q970" s="492"/>
      <c r="R970" s="254"/>
      <c r="S970" s="501"/>
      <c r="T970" s="101"/>
      <c r="U970" s="253"/>
      <c r="V970" s="254"/>
      <c r="W970" s="254"/>
      <c r="X970" s="254"/>
      <c r="Y970" s="254"/>
      <c r="Z970" s="254"/>
    </row>
    <row r="971">
      <c r="A971" s="492"/>
      <c r="B971" s="254"/>
      <c r="C971" s="492"/>
      <c r="D971" s="181"/>
      <c r="E971" s="492"/>
      <c r="F971" s="254"/>
      <c r="G971" s="492"/>
      <c r="H971" s="254"/>
      <c r="I971" s="500"/>
      <c r="J971" s="181"/>
      <c r="K971" s="500"/>
      <c r="L971" s="181"/>
      <c r="M971" s="253"/>
      <c r="N971" s="254"/>
      <c r="O971" s="500"/>
      <c r="P971" s="181"/>
      <c r="Q971" s="492"/>
      <c r="R971" s="254"/>
      <c r="S971" s="501"/>
      <c r="T971" s="101"/>
      <c r="U971" s="253"/>
      <c r="V971" s="254"/>
      <c r="W971" s="254"/>
      <c r="X971" s="254"/>
      <c r="Y971" s="254"/>
      <c r="Z971" s="254"/>
    </row>
    <row r="972">
      <c r="A972" s="492"/>
      <c r="B972" s="254"/>
      <c r="C972" s="492"/>
      <c r="D972" s="181"/>
      <c r="E972" s="492"/>
      <c r="F972" s="254"/>
      <c r="G972" s="492"/>
      <c r="H972" s="254"/>
      <c r="I972" s="500"/>
      <c r="J972" s="181"/>
      <c r="K972" s="500"/>
      <c r="L972" s="181"/>
      <c r="M972" s="253"/>
      <c r="N972" s="254"/>
      <c r="O972" s="500"/>
      <c r="P972" s="181"/>
      <c r="Q972" s="492"/>
      <c r="R972" s="254"/>
      <c r="S972" s="501"/>
      <c r="T972" s="101"/>
      <c r="U972" s="253"/>
      <c r="V972" s="254"/>
      <c r="W972" s="254"/>
      <c r="X972" s="254"/>
      <c r="Y972" s="254"/>
      <c r="Z972" s="254"/>
    </row>
    <row r="973">
      <c r="A973" s="492"/>
      <c r="B973" s="254"/>
      <c r="C973" s="492"/>
      <c r="D973" s="181"/>
      <c r="E973" s="492"/>
      <c r="F973" s="254"/>
      <c r="G973" s="492"/>
      <c r="H973" s="254"/>
      <c r="I973" s="500"/>
      <c r="J973" s="181"/>
      <c r="K973" s="500"/>
      <c r="L973" s="181"/>
      <c r="M973" s="253"/>
      <c r="N973" s="254"/>
      <c r="O973" s="500"/>
      <c r="P973" s="181"/>
      <c r="Q973" s="492"/>
      <c r="R973" s="254"/>
      <c r="S973" s="501"/>
      <c r="T973" s="101"/>
      <c r="U973" s="253"/>
      <c r="V973" s="254"/>
      <c r="W973" s="254"/>
      <c r="X973" s="254"/>
      <c r="Y973" s="254"/>
      <c r="Z973" s="254"/>
    </row>
    <row r="974">
      <c r="A974" s="492"/>
      <c r="B974" s="254"/>
      <c r="C974" s="492"/>
      <c r="D974" s="181"/>
      <c r="E974" s="492"/>
      <c r="F974" s="254"/>
      <c r="G974" s="492"/>
      <c r="H974" s="254"/>
      <c r="I974" s="500"/>
      <c r="J974" s="181"/>
      <c r="K974" s="500"/>
      <c r="L974" s="181"/>
      <c r="M974" s="253"/>
      <c r="N974" s="254"/>
      <c r="O974" s="500"/>
      <c r="P974" s="181"/>
      <c r="Q974" s="492"/>
      <c r="R974" s="254"/>
      <c r="S974" s="501"/>
      <c r="T974" s="101"/>
      <c r="U974" s="253"/>
      <c r="V974" s="254"/>
      <c r="W974" s="254"/>
      <c r="X974" s="254"/>
      <c r="Y974" s="254"/>
      <c r="Z974" s="254"/>
    </row>
    <row r="975">
      <c r="A975" s="492"/>
      <c r="B975" s="254"/>
      <c r="C975" s="492"/>
      <c r="D975" s="181"/>
      <c r="E975" s="492"/>
      <c r="F975" s="254"/>
      <c r="G975" s="492"/>
      <c r="H975" s="254"/>
      <c r="I975" s="500"/>
      <c r="J975" s="181"/>
      <c r="K975" s="500"/>
      <c r="L975" s="181"/>
      <c r="M975" s="253"/>
      <c r="N975" s="254"/>
      <c r="O975" s="500"/>
      <c r="P975" s="181"/>
      <c r="Q975" s="492"/>
      <c r="R975" s="254"/>
      <c r="S975" s="501"/>
      <c r="T975" s="101"/>
      <c r="U975" s="253"/>
      <c r="V975" s="254"/>
      <c r="W975" s="254"/>
      <c r="X975" s="254"/>
      <c r="Y975" s="254"/>
      <c r="Z975" s="254"/>
    </row>
    <row r="976">
      <c r="A976" s="492"/>
      <c r="B976" s="254"/>
      <c r="C976" s="492"/>
      <c r="D976" s="181"/>
      <c r="E976" s="492"/>
      <c r="F976" s="254"/>
      <c r="G976" s="492"/>
      <c r="H976" s="254"/>
      <c r="I976" s="500"/>
      <c r="J976" s="181"/>
      <c r="K976" s="500"/>
      <c r="L976" s="181"/>
      <c r="M976" s="253"/>
      <c r="N976" s="254"/>
      <c r="O976" s="500"/>
      <c r="P976" s="181"/>
      <c r="Q976" s="492"/>
      <c r="R976" s="254"/>
      <c r="S976" s="501"/>
      <c r="T976" s="101"/>
      <c r="U976" s="253"/>
      <c r="V976" s="254"/>
      <c r="W976" s="254"/>
      <c r="X976" s="254"/>
      <c r="Y976" s="254"/>
      <c r="Z976" s="254"/>
    </row>
    <row r="977">
      <c r="A977" s="492"/>
      <c r="B977" s="254"/>
      <c r="C977" s="492"/>
      <c r="D977" s="181"/>
      <c r="E977" s="492"/>
      <c r="F977" s="254"/>
      <c r="G977" s="492"/>
      <c r="H977" s="254"/>
      <c r="I977" s="500"/>
      <c r="J977" s="181"/>
      <c r="K977" s="500"/>
      <c r="L977" s="181"/>
      <c r="M977" s="253"/>
      <c r="N977" s="254"/>
      <c r="O977" s="500"/>
      <c r="P977" s="181"/>
      <c r="Q977" s="492"/>
      <c r="R977" s="254"/>
      <c r="S977" s="501"/>
      <c r="T977" s="101"/>
      <c r="U977" s="253"/>
      <c r="V977" s="254"/>
      <c r="W977" s="254"/>
      <c r="X977" s="254"/>
      <c r="Y977" s="254"/>
      <c r="Z977" s="254"/>
    </row>
    <row r="978">
      <c r="A978" s="492"/>
      <c r="B978" s="254"/>
      <c r="C978" s="492"/>
      <c r="D978" s="181"/>
      <c r="E978" s="492"/>
      <c r="F978" s="254"/>
      <c r="G978" s="492"/>
      <c r="H978" s="254"/>
      <c r="I978" s="500"/>
      <c r="J978" s="181"/>
      <c r="K978" s="500"/>
      <c r="L978" s="181"/>
      <c r="M978" s="253"/>
      <c r="N978" s="254"/>
      <c r="O978" s="500"/>
      <c r="P978" s="181"/>
      <c r="Q978" s="492"/>
      <c r="R978" s="254"/>
      <c r="S978" s="501"/>
      <c r="T978" s="101"/>
      <c r="U978" s="253"/>
      <c r="V978" s="254"/>
      <c r="W978" s="254"/>
      <c r="X978" s="254"/>
      <c r="Y978" s="254"/>
      <c r="Z978" s="254"/>
    </row>
    <row r="979">
      <c r="A979" s="492"/>
      <c r="B979" s="254"/>
      <c r="C979" s="492"/>
      <c r="D979" s="181"/>
      <c r="E979" s="492"/>
      <c r="F979" s="254"/>
      <c r="G979" s="492"/>
      <c r="H979" s="254"/>
      <c r="I979" s="500"/>
      <c r="J979" s="181"/>
      <c r="K979" s="500"/>
      <c r="L979" s="181"/>
      <c r="M979" s="253"/>
      <c r="N979" s="254"/>
      <c r="O979" s="500"/>
      <c r="P979" s="181"/>
      <c r="Q979" s="492"/>
      <c r="R979" s="254"/>
      <c r="S979" s="501"/>
      <c r="T979" s="101"/>
      <c r="U979" s="253"/>
      <c r="V979" s="254"/>
      <c r="W979" s="254"/>
      <c r="X979" s="254"/>
      <c r="Y979" s="254"/>
      <c r="Z979" s="254"/>
    </row>
    <row r="980">
      <c r="A980" s="492"/>
      <c r="B980" s="254"/>
      <c r="C980" s="492"/>
      <c r="D980" s="181"/>
      <c r="E980" s="492"/>
      <c r="F980" s="254"/>
      <c r="G980" s="492"/>
      <c r="H980" s="254"/>
      <c r="I980" s="500"/>
      <c r="J980" s="181"/>
      <c r="K980" s="500"/>
      <c r="L980" s="181"/>
      <c r="M980" s="253"/>
      <c r="N980" s="254"/>
      <c r="O980" s="500"/>
      <c r="P980" s="181"/>
      <c r="Q980" s="492"/>
      <c r="R980" s="254"/>
      <c r="S980" s="501"/>
      <c r="T980" s="101"/>
      <c r="U980" s="253"/>
      <c r="V980" s="254"/>
      <c r="W980" s="254"/>
      <c r="X980" s="254"/>
      <c r="Y980" s="254"/>
      <c r="Z980" s="254"/>
    </row>
    <row r="981">
      <c r="A981" s="492"/>
      <c r="B981" s="254"/>
      <c r="C981" s="492"/>
      <c r="D981" s="181"/>
      <c r="E981" s="492"/>
      <c r="F981" s="254"/>
      <c r="G981" s="492"/>
      <c r="H981" s="254"/>
      <c r="I981" s="500"/>
      <c r="J981" s="181"/>
      <c r="K981" s="500"/>
      <c r="L981" s="181"/>
      <c r="M981" s="253"/>
      <c r="N981" s="254"/>
      <c r="O981" s="500"/>
      <c r="P981" s="181"/>
      <c r="Q981" s="492"/>
      <c r="R981" s="254"/>
      <c r="S981" s="501"/>
      <c r="T981" s="101"/>
      <c r="U981" s="253"/>
      <c r="V981" s="254"/>
      <c r="W981" s="254"/>
      <c r="X981" s="254"/>
      <c r="Y981" s="254"/>
      <c r="Z981" s="254"/>
    </row>
    <row r="982">
      <c r="A982" s="492"/>
      <c r="B982" s="254"/>
      <c r="C982" s="492"/>
      <c r="D982" s="181"/>
      <c r="E982" s="492"/>
      <c r="F982" s="254"/>
      <c r="G982" s="492"/>
      <c r="H982" s="254"/>
      <c r="I982" s="500"/>
      <c r="J982" s="181"/>
      <c r="K982" s="500"/>
      <c r="L982" s="181"/>
      <c r="M982" s="253"/>
      <c r="N982" s="254"/>
      <c r="O982" s="500"/>
      <c r="P982" s="181"/>
      <c r="Q982" s="492"/>
      <c r="R982" s="254"/>
      <c r="S982" s="501"/>
      <c r="T982" s="101"/>
      <c r="U982" s="253"/>
      <c r="V982" s="254"/>
      <c r="W982" s="254"/>
      <c r="X982" s="254"/>
      <c r="Y982" s="254"/>
      <c r="Z982" s="254"/>
    </row>
    <row r="983">
      <c r="A983" s="492"/>
      <c r="B983" s="254"/>
      <c r="C983" s="492"/>
      <c r="D983" s="181"/>
      <c r="E983" s="492"/>
      <c r="F983" s="254"/>
      <c r="G983" s="492"/>
      <c r="H983" s="254"/>
      <c r="I983" s="500"/>
      <c r="J983" s="181"/>
      <c r="K983" s="500"/>
      <c r="L983" s="181"/>
      <c r="M983" s="253"/>
      <c r="N983" s="254"/>
      <c r="O983" s="500"/>
      <c r="P983" s="181"/>
      <c r="Q983" s="492"/>
      <c r="R983" s="254"/>
      <c r="S983" s="501"/>
      <c r="T983" s="101"/>
      <c r="U983" s="253"/>
      <c r="V983" s="254"/>
      <c r="W983" s="254"/>
      <c r="X983" s="254"/>
      <c r="Y983" s="254"/>
      <c r="Z983" s="254"/>
    </row>
    <row r="984">
      <c r="A984" s="492"/>
      <c r="B984" s="254"/>
      <c r="C984" s="492"/>
      <c r="D984" s="181"/>
      <c r="E984" s="492"/>
      <c r="F984" s="254"/>
      <c r="G984" s="492"/>
      <c r="H984" s="254"/>
      <c r="I984" s="500"/>
      <c r="J984" s="181"/>
      <c r="K984" s="500"/>
      <c r="L984" s="181"/>
      <c r="M984" s="253"/>
      <c r="N984" s="254"/>
      <c r="O984" s="500"/>
      <c r="P984" s="181"/>
      <c r="Q984" s="492"/>
      <c r="R984" s="254"/>
      <c r="S984" s="501"/>
      <c r="T984" s="101"/>
      <c r="U984" s="253"/>
      <c r="V984" s="254"/>
      <c r="W984" s="254"/>
      <c r="X984" s="254"/>
      <c r="Y984" s="254"/>
      <c r="Z984" s="254"/>
    </row>
    <row r="985">
      <c r="A985" s="492"/>
      <c r="B985" s="254"/>
      <c r="C985" s="492"/>
      <c r="D985" s="181"/>
      <c r="E985" s="492"/>
      <c r="F985" s="254"/>
      <c r="G985" s="492"/>
      <c r="H985" s="254"/>
      <c r="I985" s="500"/>
      <c r="J985" s="181"/>
      <c r="K985" s="500"/>
      <c r="L985" s="181"/>
      <c r="M985" s="253"/>
      <c r="N985" s="254"/>
      <c r="O985" s="500"/>
      <c r="P985" s="181"/>
      <c r="Q985" s="492"/>
      <c r="R985" s="254"/>
      <c r="S985" s="501"/>
      <c r="T985" s="101"/>
      <c r="U985" s="253"/>
      <c r="V985" s="254"/>
      <c r="W985" s="254"/>
      <c r="X985" s="254"/>
      <c r="Y985" s="254"/>
      <c r="Z985" s="254"/>
    </row>
    <row r="986">
      <c r="A986" s="492"/>
      <c r="B986" s="254"/>
      <c r="C986" s="492"/>
      <c r="D986" s="181"/>
      <c r="E986" s="492"/>
      <c r="F986" s="254"/>
      <c r="G986" s="492"/>
      <c r="H986" s="254"/>
      <c r="I986" s="500"/>
      <c r="J986" s="181"/>
      <c r="K986" s="500"/>
      <c r="L986" s="181"/>
      <c r="M986" s="253"/>
      <c r="N986" s="254"/>
      <c r="O986" s="500"/>
      <c r="P986" s="181"/>
      <c r="Q986" s="492"/>
      <c r="R986" s="254"/>
      <c r="S986" s="501"/>
      <c r="T986" s="101"/>
      <c r="U986" s="253"/>
      <c r="V986" s="254"/>
      <c r="W986" s="254"/>
      <c r="X986" s="254"/>
      <c r="Y986" s="254"/>
      <c r="Z986" s="254"/>
    </row>
    <row r="987">
      <c r="A987" s="492"/>
      <c r="B987" s="254"/>
      <c r="C987" s="492"/>
      <c r="D987" s="181"/>
      <c r="E987" s="492"/>
      <c r="F987" s="254"/>
      <c r="G987" s="492"/>
      <c r="H987" s="254"/>
      <c r="I987" s="500"/>
      <c r="J987" s="181"/>
      <c r="K987" s="500"/>
      <c r="L987" s="181"/>
      <c r="M987" s="253"/>
      <c r="N987" s="254"/>
      <c r="O987" s="500"/>
      <c r="P987" s="181"/>
      <c r="Q987" s="492"/>
      <c r="R987" s="254"/>
      <c r="S987" s="501"/>
      <c r="T987" s="101"/>
      <c r="U987" s="253"/>
      <c r="V987" s="254"/>
      <c r="W987" s="254"/>
      <c r="X987" s="254"/>
      <c r="Y987" s="254"/>
      <c r="Z987" s="254"/>
    </row>
    <row r="988">
      <c r="A988" s="492"/>
      <c r="B988" s="254"/>
      <c r="C988" s="492"/>
      <c r="D988" s="181"/>
      <c r="E988" s="492"/>
      <c r="F988" s="254"/>
      <c r="G988" s="492"/>
      <c r="H988" s="254"/>
      <c r="I988" s="500"/>
      <c r="J988" s="181"/>
      <c r="K988" s="500"/>
      <c r="L988" s="181"/>
      <c r="M988" s="253"/>
      <c r="N988" s="254"/>
      <c r="O988" s="500"/>
      <c r="P988" s="181"/>
      <c r="Q988" s="492"/>
      <c r="R988" s="254"/>
      <c r="S988" s="501"/>
      <c r="T988" s="101"/>
      <c r="U988" s="253"/>
      <c r="V988" s="254"/>
      <c r="W988" s="254"/>
      <c r="X988" s="254"/>
      <c r="Y988" s="254"/>
      <c r="Z988" s="254"/>
    </row>
    <row r="989">
      <c r="A989" s="492"/>
      <c r="B989" s="254"/>
      <c r="C989" s="492"/>
      <c r="D989" s="181"/>
      <c r="E989" s="492"/>
      <c r="F989" s="254"/>
      <c r="G989" s="492"/>
      <c r="H989" s="254"/>
      <c r="I989" s="500"/>
      <c r="J989" s="181"/>
      <c r="K989" s="500"/>
      <c r="L989" s="181"/>
      <c r="M989" s="253"/>
      <c r="N989" s="254"/>
      <c r="O989" s="500"/>
      <c r="P989" s="181"/>
      <c r="Q989" s="492"/>
      <c r="R989" s="254"/>
      <c r="S989" s="501"/>
      <c r="T989" s="101"/>
      <c r="U989" s="253"/>
      <c r="V989" s="254"/>
      <c r="W989" s="254"/>
      <c r="X989" s="254"/>
      <c r="Y989" s="254"/>
      <c r="Z989" s="254"/>
    </row>
    <row r="990">
      <c r="A990" s="492"/>
      <c r="B990" s="254"/>
      <c r="C990" s="492"/>
      <c r="D990" s="181"/>
      <c r="E990" s="492"/>
      <c r="F990" s="254"/>
      <c r="G990" s="492"/>
      <c r="H990" s="254"/>
      <c r="I990" s="500"/>
      <c r="J990" s="181"/>
      <c r="K990" s="500"/>
      <c r="L990" s="181"/>
      <c r="M990" s="253"/>
      <c r="N990" s="254"/>
      <c r="O990" s="500"/>
      <c r="P990" s="181"/>
      <c r="Q990" s="492"/>
      <c r="R990" s="254"/>
      <c r="S990" s="501"/>
      <c r="T990" s="101"/>
      <c r="U990" s="253"/>
      <c r="V990" s="254"/>
      <c r="W990" s="254"/>
      <c r="X990" s="254"/>
      <c r="Y990" s="254"/>
      <c r="Z990" s="254"/>
    </row>
    <row r="991">
      <c r="A991" s="492"/>
      <c r="B991" s="254"/>
      <c r="C991" s="492"/>
      <c r="D991" s="181"/>
      <c r="E991" s="492"/>
      <c r="F991" s="254"/>
      <c r="G991" s="492"/>
      <c r="H991" s="254"/>
      <c r="I991" s="500"/>
      <c r="J991" s="181"/>
      <c r="K991" s="500"/>
      <c r="L991" s="181"/>
      <c r="M991" s="253"/>
      <c r="N991" s="254"/>
      <c r="O991" s="500"/>
      <c r="P991" s="181"/>
      <c r="Q991" s="492"/>
      <c r="R991" s="254"/>
      <c r="S991" s="501"/>
      <c r="T991" s="101"/>
      <c r="U991" s="253"/>
      <c r="V991" s="254"/>
      <c r="W991" s="254"/>
      <c r="X991" s="254"/>
      <c r="Y991" s="254"/>
      <c r="Z991" s="254"/>
    </row>
    <row r="992">
      <c r="A992" s="492"/>
      <c r="B992" s="254"/>
      <c r="C992" s="492"/>
      <c r="D992" s="181"/>
      <c r="E992" s="492"/>
      <c r="F992" s="254"/>
      <c r="G992" s="492"/>
      <c r="H992" s="254"/>
      <c r="I992" s="500"/>
      <c r="J992" s="181"/>
      <c r="K992" s="500"/>
      <c r="L992" s="181"/>
      <c r="M992" s="253"/>
      <c r="N992" s="254"/>
      <c r="O992" s="500"/>
      <c r="P992" s="181"/>
      <c r="Q992" s="492"/>
      <c r="R992" s="254"/>
      <c r="S992" s="501"/>
      <c r="T992" s="101"/>
      <c r="U992" s="253"/>
      <c r="V992" s="254"/>
      <c r="W992" s="254"/>
      <c r="X992" s="254"/>
      <c r="Y992" s="254"/>
      <c r="Z992" s="254"/>
    </row>
    <row r="993">
      <c r="A993" s="492"/>
      <c r="B993" s="254"/>
      <c r="C993" s="492"/>
      <c r="D993" s="181"/>
      <c r="E993" s="492"/>
      <c r="F993" s="254"/>
      <c r="G993" s="492"/>
      <c r="H993" s="254"/>
      <c r="I993" s="500"/>
      <c r="J993" s="181"/>
      <c r="K993" s="500"/>
      <c r="L993" s="181"/>
      <c r="M993" s="253"/>
      <c r="N993" s="254"/>
      <c r="O993" s="500"/>
      <c r="P993" s="181"/>
      <c r="Q993" s="492"/>
      <c r="R993" s="254"/>
      <c r="S993" s="501"/>
      <c r="T993" s="101"/>
      <c r="U993" s="253"/>
      <c r="V993" s="254"/>
      <c r="W993" s="254"/>
      <c r="X993" s="254"/>
      <c r="Y993" s="254"/>
      <c r="Z993" s="254"/>
    </row>
    <row r="994">
      <c r="A994" s="492"/>
      <c r="B994" s="254"/>
      <c r="C994" s="492"/>
      <c r="D994" s="181"/>
      <c r="E994" s="492"/>
      <c r="F994" s="254"/>
      <c r="G994" s="492"/>
      <c r="H994" s="254"/>
      <c r="I994" s="500"/>
      <c r="J994" s="181"/>
      <c r="K994" s="500"/>
      <c r="L994" s="181"/>
      <c r="M994" s="253"/>
      <c r="N994" s="254"/>
      <c r="O994" s="500"/>
      <c r="P994" s="181"/>
      <c r="Q994" s="492"/>
      <c r="R994" s="254"/>
      <c r="S994" s="501"/>
      <c r="T994" s="101"/>
      <c r="U994" s="253"/>
      <c r="V994" s="254"/>
      <c r="W994" s="254"/>
      <c r="X994" s="254"/>
      <c r="Y994" s="254"/>
      <c r="Z994" s="254"/>
    </row>
    <row r="995">
      <c r="A995" s="492"/>
      <c r="B995" s="254"/>
      <c r="C995" s="492"/>
      <c r="D995" s="181"/>
      <c r="E995" s="492"/>
      <c r="F995" s="254"/>
      <c r="G995" s="492"/>
      <c r="H995" s="254"/>
      <c r="I995" s="500"/>
      <c r="J995" s="181"/>
      <c r="K995" s="500"/>
      <c r="L995" s="181"/>
      <c r="M995" s="253"/>
      <c r="N995" s="254"/>
      <c r="O995" s="500"/>
      <c r="P995" s="181"/>
      <c r="Q995" s="492"/>
      <c r="R995" s="254"/>
      <c r="S995" s="501"/>
      <c r="T995" s="101"/>
      <c r="U995" s="253"/>
      <c r="V995" s="254"/>
      <c r="W995" s="254"/>
      <c r="X995" s="254"/>
      <c r="Y995" s="254"/>
      <c r="Z995" s="254"/>
    </row>
    <row r="996">
      <c r="A996" s="492"/>
      <c r="B996" s="254"/>
      <c r="C996" s="492"/>
      <c r="D996" s="181"/>
      <c r="E996" s="492"/>
      <c r="F996" s="254"/>
      <c r="G996" s="492"/>
      <c r="H996" s="254"/>
      <c r="I996" s="500"/>
      <c r="J996" s="181"/>
      <c r="K996" s="500"/>
      <c r="L996" s="181"/>
      <c r="M996" s="253"/>
      <c r="N996" s="254"/>
      <c r="O996" s="500"/>
      <c r="P996" s="181"/>
      <c r="Q996" s="492"/>
      <c r="R996" s="254"/>
      <c r="S996" s="501"/>
      <c r="T996" s="101"/>
      <c r="U996" s="253"/>
      <c r="V996" s="254"/>
      <c r="W996" s="254"/>
      <c r="X996" s="254"/>
      <c r="Y996" s="254"/>
      <c r="Z996" s="254"/>
    </row>
    <row r="997">
      <c r="A997" s="492"/>
      <c r="B997" s="254"/>
      <c r="C997" s="492"/>
      <c r="D997" s="181"/>
      <c r="E997" s="492"/>
      <c r="F997" s="254"/>
      <c r="G997" s="492"/>
      <c r="H997" s="254"/>
      <c r="I997" s="500"/>
      <c r="J997" s="181"/>
      <c r="K997" s="500"/>
      <c r="L997" s="181"/>
      <c r="M997" s="253"/>
      <c r="N997" s="254"/>
      <c r="O997" s="500"/>
      <c r="P997" s="181"/>
      <c r="Q997" s="492"/>
      <c r="R997" s="254"/>
      <c r="S997" s="501"/>
      <c r="T997" s="101"/>
      <c r="U997" s="253"/>
      <c r="V997" s="254"/>
      <c r="W997" s="254"/>
      <c r="X997" s="254"/>
      <c r="Y997" s="254"/>
      <c r="Z997" s="254"/>
    </row>
    <row r="998">
      <c r="A998" s="492"/>
      <c r="B998" s="254"/>
      <c r="C998" s="492"/>
      <c r="D998" s="181"/>
      <c r="E998" s="492"/>
      <c r="F998" s="254"/>
      <c r="G998" s="492"/>
      <c r="H998" s="254"/>
      <c r="I998" s="500"/>
      <c r="J998" s="181"/>
      <c r="K998" s="500"/>
      <c r="L998" s="181"/>
      <c r="M998" s="253"/>
      <c r="N998" s="254"/>
      <c r="O998" s="500"/>
      <c r="P998" s="181"/>
      <c r="Q998" s="492"/>
      <c r="R998" s="254"/>
      <c r="S998" s="501"/>
      <c r="T998" s="101"/>
      <c r="U998" s="253"/>
      <c r="V998" s="254"/>
      <c r="W998" s="254"/>
      <c r="X998" s="254"/>
      <c r="Y998" s="254"/>
      <c r="Z998" s="254"/>
    </row>
    <row r="999">
      <c r="A999" s="492"/>
      <c r="B999" s="254"/>
      <c r="C999" s="492"/>
      <c r="D999" s="181"/>
      <c r="E999" s="492"/>
      <c r="F999" s="254"/>
      <c r="G999" s="492"/>
      <c r="H999" s="254"/>
      <c r="I999" s="500"/>
      <c r="J999" s="181"/>
      <c r="K999" s="500"/>
      <c r="L999" s="181"/>
      <c r="M999" s="253"/>
      <c r="N999" s="254"/>
      <c r="O999" s="500"/>
      <c r="P999" s="181"/>
      <c r="Q999" s="492"/>
      <c r="R999" s="254"/>
      <c r="S999" s="501"/>
      <c r="T999" s="101"/>
      <c r="U999" s="253"/>
      <c r="V999" s="254"/>
      <c r="W999" s="254"/>
      <c r="X999" s="254"/>
      <c r="Y999" s="254"/>
      <c r="Z999" s="254"/>
    </row>
    <row r="1000">
      <c r="A1000" s="492"/>
      <c r="B1000" s="254"/>
      <c r="C1000" s="492"/>
      <c r="D1000" s="181"/>
      <c r="E1000" s="492"/>
      <c r="F1000" s="254"/>
      <c r="G1000" s="492"/>
      <c r="H1000" s="254"/>
      <c r="I1000" s="500"/>
      <c r="J1000" s="181"/>
      <c r="K1000" s="500"/>
      <c r="L1000" s="181"/>
      <c r="M1000" s="253"/>
      <c r="N1000" s="254"/>
      <c r="O1000" s="500"/>
      <c r="P1000" s="181"/>
      <c r="Q1000" s="492"/>
      <c r="R1000" s="254"/>
      <c r="S1000" s="501"/>
      <c r="T1000" s="101"/>
      <c r="U1000" s="253"/>
      <c r="V1000" s="254"/>
      <c r="W1000" s="254"/>
      <c r="X1000" s="254"/>
      <c r="Y1000" s="254"/>
      <c r="Z1000" s="254"/>
    </row>
    <row r="1001">
      <c r="A1001" s="492"/>
      <c r="B1001" s="254"/>
      <c r="C1001" s="492"/>
      <c r="D1001" s="181"/>
      <c r="E1001" s="492"/>
      <c r="F1001" s="254"/>
      <c r="G1001" s="492"/>
      <c r="H1001" s="254"/>
      <c r="I1001" s="500"/>
      <c r="J1001" s="181"/>
      <c r="K1001" s="500"/>
      <c r="L1001" s="181"/>
      <c r="M1001" s="253"/>
      <c r="N1001" s="254"/>
      <c r="O1001" s="500"/>
      <c r="P1001" s="181"/>
      <c r="Q1001" s="492"/>
      <c r="R1001" s="254"/>
      <c r="S1001" s="501"/>
      <c r="T1001" s="101"/>
      <c r="U1001" s="253"/>
      <c r="V1001" s="254"/>
      <c r="W1001" s="254"/>
      <c r="X1001" s="254"/>
      <c r="Y1001" s="254"/>
      <c r="Z1001" s="254"/>
    </row>
    <row r="1002">
      <c r="A1002" s="492"/>
      <c r="B1002" s="254"/>
      <c r="C1002" s="492"/>
      <c r="D1002" s="181"/>
      <c r="E1002" s="492"/>
      <c r="F1002" s="254"/>
      <c r="G1002" s="492"/>
      <c r="H1002" s="254"/>
      <c r="I1002" s="500"/>
      <c r="J1002" s="181"/>
      <c r="K1002" s="500"/>
      <c r="L1002" s="181"/>
      <c r="M1002" s="253"/>
      <c r="N1002" s="254"/>
      <c r="O1002" s="500"/>
      <c r="P1002" s="181"/>
      <c r="Q1002" s="492"/>
      <c r="R1002" s="254"/>
      <c r="S1002" s="501"/>
      <c r="T1002" s="101"/>
      <c r="U1002" s="253"/>
      <c r="V1002" s="254"/>
      <c r="W1002" s="254"/>
      <c r="X1002" s="254"/>
      <c r="Y1002" s="254"/>
      <c r="Z1002" s="254"/>
    </row>
    <row r="1003">
      <c r="A1003" s="492"/>
      <c r="B1003" s="254"/>
      <c r="C1003" s="492"/>
      <c r="D1003" s="181"/>
      <c r="E1003" s="492"/>
      <c r="F1003" s="254"/>
      <c r="G1003" s="492"/>
      <c r="H1003" s="254"/>
      <c r="I1003" s="500"/>
      <c r="J1003" s="181"/>
      <c r="K1003" s="500"/>
      <c r="L1003" s="181"/>
      <c r="M1003" s="253"/>
      <c r="N1003" s="254"/>
      <c r="O1003" s="500"/>
      <c r="P1003" s="181"/>
      <c r="Q1003" s="492"/>
      <c r="R1003" s="254"/>
      <c r="S1003" s="253"/>
      <c r="T1003" s="254"/>
      <c r="U1003" s="253"/>
      <c r="V1003" s="254"/>
      <c r="W1003" s="254"/>
      <c r="X1003" s="254"/>
      <c r="Y1003" s="254"/>
      <c r="Z1003" s="254"/>
    </row>
    <row r="1004">
      <c r="A1004" s="492"/>
      <c r="B1004" s="254"/>
      <c r="C1004" s="492"/>
      <c r="D1004" s="181"/>
      <c r="E1004" s="492"/>
      <c r="F1004" s="254"/>
      <c r="G1004" s="492"/>
      <c r="H1004" s="254"/>
      <c r="I1004" s="500"/>
      <c r="J1004" s="181"/>
      <c r="K1004" s="500"/>
      <c r="L1004" s="181"/>
      <c r="M1004" s="253"/>
      <c r="N1004" s="254"/>
      <c r="O1004" s="500"/>
      <c r="P1004" s="181"/>
      <c r="Q1004" s="492"/>
      <c r="R1004" s="254"/>
      <c r="S1004" s="253"/>
      <c r="T1004" s="254"/>
      <c r="U1004" s="253"/>
      <c r="V1004" s="254"/>
      <c r="W1004" s="254"/>
      <c r="X1004" s="254"/>
      <c r="Y1004" s="254"/>
      <c r="Z1004" s="254"/>
    </row>
    <row r="1005">
      <c r="A1005" s="492"/>
      <c r="B1005" s="254"/>
      <c r="C1005" s="492"/>
      <c r="D1005" s="181"/>
      <c r="E1005" s="492"/>
      <c r="F1005" s="254"/>
      <c r="G1005" s="492"/>
      <c r="H1005" s="254"/>
      <c r="I1005" s="500"/>
      <c r="J1005" s="181"/>
      <c r="K1005" s="500"/>
      <c r="L1005" s="181"/>
      <c r="M1005" s="253"/>
      <c r="N1005" s="254"/>
      <c r="O1005" s="500"/>
      <c r="P1005" s="181"/>
      <c r="Q1005" s="492"/>
      <c r="R1005" s="254"/>
      <c r="S1005" s="253"/>
      <c r="T1005" s="254"/>
      <c r="U1005" s="253"/>
      <c r="V1005" s="254"/>
      <c r="W1005" s="254"/>
      <c r="X1005" s="254"/>
      <c r="Y1005" s="254"/>
      <c r="Z1005" s="254"/>
    </row>
    <row r="1006">
      <c r="A1006" s="492"/>
      <c r="B1006" s="254"/>
      <c r="C1006" s="492"/>
      <c r="D1006" s="181"/>
      <c r="E1006" s="492"/>
      <c r="F1006" s="254"/>
      <c r="G1006" s="492"/>
      <c r="H1006" s="254"/>
      <c r="I1006" s="500"/>
      <c r="J1006" s="181"/>
      <c r="K1006" s="500"/>
      <c r="L1006" s="181"/>
      <c r="M1006" s="253"/>
      <c r="N1006" s="254"/>
      <c r="O1006" s="500"/>
      <c r="P1006" s="181"/>
      <c r="Q1006" s="492"/>
      <c r="R1006" s="254"/>
      <c r="S1006" s="253"/>
      <c r="T1006" s="254"/>
      <c r="U1006" s="253"/>
      <c r="V1006" s="254"/>
      <c r="W1006" s="254"/>
      <c r="X1006" s="254"/>
      <c r="Y1006" s="254"/>
      <c r="Z1006" s="254"/>
    </row>
    <row r="1007">
      <c r="A1007" s="492"/>
      <c r="B1007" s="254"/>
      <c r="C1007" s="492"/>
      <c r="D1007" s="181"/>
      <c r="E1007" s="492"/>
      <c r="F1007" s="254"/>
      <c r="G1007" s="492"/>
      <c r="H1007" s="254"/>
      <c r="I1007" s="500"/>
      <c r="J1007" s="181"/>
      <c r="K1007" s="500"/>
      <c r="L1007" s="181"/>
      <c r="M1007" s="253"/>
      <c r="N1007" s="254"/>
      <c r="O1007" s="500"/>
      <c r="P1007" s="181"/>
      <c r="Q1007" s="492"/>
      <c r="R1007" s="254"/>
      <c r="S1007" s="253"/>
      <c r="T1007" s="254"/>
      <c r="U1007" s="253"/>
      <c r="V1007" s="254"/>
      <c r="W1007" s="254"/>
      <c r="X1007" s="254"/>
      <c r="Y1007" s="254"/>
      <c r="Z1007" s="254"/>
    </row>
    <row r="1008">
      <c r="A1008" s="492"/>
      <c r="B1008" s="254"/>
      <c r="C1008" s="492"/>
      <c r="D1008" s="181"/>
      <c r="E1008" s="492"/>
      <c r="F1008" s="254"/>
      <c r="G1008" s="492"/>
      <c r="H1008" s="254"/>
      <c r="I1008" s="500"/>
      <c r="J1008" s="181"/>
      <c r="K1008" s="500"/>
      <c r="L1008" s="181"/>
      <c r="M1008" s="253"/>
      <c r="N1008" s="254"/>
      <c r="O1008" s="500"/>
      <c r="P1008" s="181"/>
      <c r="Q1008" s="492"/>
      <c r="R1008" s="254"/>
      <c r="S1008" s="253"/>
      <c r="T1008" s="254"/>
      <c r="U1008" s="253"/>
      <c r="V1008" s="254"/>
      <c r="W1008" s="254"/>
      <c r="X1008" s="254"/>
      <c r="Y1008" s="254"/>
      <c r="Z1008" s="254"/>
    </row>
    <row r="1009">
      <c r="A1009" s="492"/>
      <c r="B1009" s="254"/>
      <c r="C1009" s="492"/>
      <c r="D1009" s="181"/>
      <c r="E1009" s="492"/>
      <c r="F1009" s="254"/>
      <c r="G1009" s="492"/>
      <c r="H1009" s="254"/>
      <c r="I1009" s="500"/>
      <c r="J1009" s="181"/>
      <c r="K1009" s="500"/>
      <c r="L1009" s="181"/>
      <c r="M1009" s="253"/>
      <c r="N1009" s="254"/>
      <c r="O1009" s="500"/>
      <c r="P1009" s="181"/>
      <c r="Q1009" s="492"/>
      <c r="R1009" s="254"/>
      <c r="S1009" s="253"/>
      <c r="T1009" s="254"/>
      <c r="U1009" s="253"/>
      <c r="V1009" s="254"/>
      <c r="W1009" s="254"/>
      <c r="X1009" s="254"/>
      <c r="Y1009" s="254"/>
      <c r="Z1009" s="254"/>
    </row>
    <row r="1010">
      <c r="A1010" s="492"/>
      <c r="B1010" s="254"/>
      <c r="C1010" s="492"/>
      <c r="D1010" s="181"/>
      <c r="E1010" s="492"/>
      <c r="F1010" s="254"/>
      <c r="G1010" s="492"/>
      <c r="H1010" s="254"/>
      <c r="I1010" s="500"/>
      <c r="J1010" s="181"/>
      <c r="K1010" s="500"/>
      <c r="L1010" s="181"/>
      <c r="M1010" s="253"/>
      <c r="N1010" s="254"/>
      <c r="O1010" s="500"/>
      <c r="P1010" s="181"/>
      <c r="Q1010" s="492"/>
      <c r="R1010" s="254"/>
      <c r="S1010" s="253"/>
      <c r="T1010" s="254"/>
      <c r="U1010" s="253"/>
      <c r="V1010" s="254"/>
      <c r="W1010" s="254"/>
      <c r="X1010" s="254"/>
      <c r="Y1010" s="254"/>
      <c r="Z1010" s="254"/>
    </row>
    <row r="1011">
      <c r="A1011" s="492"/>
      <c r="B1011" s="254"/>
      <c r="C1011" s="492"/>
      <c r="D1011" s="181"/>
      <c r="E1011" s="492"/>
      <c r="F1011" s="254"/>
      <c r="G1011" s="492"/>
      <c r="H1011" s="254"/>
      <c r="I1011" s="500"/>
      <c r="J1011" s="181"/>
      <c r="K1011" s="500"/>
      <c r="L1011" s="181"/>
      <c r="M1011" s="253"/>
      <c r="N1011" s="254"/>
      <c r="O1011" s="500"/>
      <c r="P1011" s="181"/>
      <c r="Q1011" s="492"/>
      <c r="R1011" s="254"/>
      <c r="S1011" s="253"/>
      <c r="T1011" s="254"/>
      <c r="U1011" s="253"/>
      <c r="V1011" s="254"/>
      <c r="W1011" s="254"/>
      <c r="X1011" s="254"/>
      <c r="Y1011" s="254"/>
      <c r="Z1011" s="254"/>
    </row>
    <row r="1012">
      <c r="A1012" s="492"/>
      <c r="B1012" s="254"/>
      <c r="C1012" s="492"/>
      <c r="D1012" s="181"/>
      <c r="E1012" s="492"/>
      <c r="F1012" s="254"/>
      <c r="G1012" s="492"/>
      <c r="H1012" s="254"/>
      <c r="I1012" s="500"/>
      <c r="J1012" s="181"/>
      <c r="K1012" s="500"/>
      <c r="L1012" s="181"/>
      <c r="M1012" s="253"/>
      <c r="N1012" s="254"/>
      <c r="O1012" s="500"/>
      <c r="P1012" s="181"/>
      <c r="Q1012" s="492"/>
      <c r="R1012" s="254"/>
      <c r="S1012" s="253"/>
      <c r="T1012" s="254"/>
      <c r="U1012" s="253"/>
      <c r="V1012" s="254"/>
      <c r="W1012" s="254"/>
      <c r="X1012" s="254"/>
      <c r="Y1012" s="254"/>
      <c r="Z1012" s="254"/>
    </row>
    <row r="1013">
      <c r="A1013" s="492"/>
      <c r="B1013" s="254"/>
      <c r="C1013" s="492"/>
      <c r="D1013" s="181"/>
      <c r="E1013" s="492"/>
      <c r="F1013" s="254"/>
      <c r="G1013" s="492"/>
      <c r="H1013" s="254"/>
      <c r="I1013" s="500"/>
      <c r="J1013" s="181"/>
      <c r="K1013" s="500"/>
      <c r="L1013" s="181"/>
      <c r="M1013" s="253"/>
      <c r="N1013" s="254"/>
      <c r="O1013" s="500"/>
      <c r="P1013" s="181"/>
      <c r="Q1013" s="492"/>
      <c r="R1013" s="254"/>
      <c r="S1013" s="253"/>
      <c r="T1013" s="254"/>
      <c r="U1013" s="253"/>
      <c r="V1013" s="254"/>
      <c r="W1013" s="254"/>
      <c r="X1013" s="254"/>
      <c r="Y1013" s="254"/>
      <c r="Z1013" s="254"/>
    </row>
    <row r="1014">
      <c r="A1014" s="492"/>
      <c r="B1014" s="254"/>
      <c r="C1014" s="492"/>
      <c r="D1014" s="181"/>
      <c r="E1014" s="492"/>
      <c r="F1014" s="254"/>
      <c r="G1014" s="492"/>
      <c r="H1014" s="254"/>
      <c r="I1014" s="500"/>
      <c r="J1014" s="181"/>
      <c r="K1014" s="500"/>
      <c r="L1014" s="181"/>
      <c r="M1014" s="253"/>
      <c r="N1014" s="254"/>
      <c r="O1014" s="500"/>
      <c r="P1014" s="181"/>
      <c r="Q1014" s="492"/>
      <c r="R1014" s="254"/>
      <c r="S1014" s="253"/>
      <c r="T1014" s="254"/>
      <c r="U1014" s="253"/>
      <c r="V1014" s="254"/>
      <c r="W1014" s="254"/>
      <c r="X1014" s="254"/>
      <c r="Y1014" s="254"/>
      <c r="Z1014" s="254"/>
    </row>
  </sheetData>
  <mergeCells count="55">
    <mergeCell ref="O47:P47"/>
    <mergeCell ref="Q47:R47"/>
    <mergeCell ref="S47:T47"/>
    <mergeCell ref="U47:V47"/>
    <mergeCell ref="A47:B47"/>
    <mergeCell ref="C47:D47"/>
    <mergeCell ref="E47:F47"/>
    <mergeCell ref="G47:H47"/>
    <mergeCell ref="I47:J47"/>
    <mergeCell ref="K47:L47"/>
    <mergeCell ref="M47:N47"/>
    <mergeCell ref="O2:P2"/>
    <mergeCell ref="Q2:R2"/>
    <mergeCell ref="S2:T2"/>
    <mergeCell ref="U2:V2"/>
    <mergeCell ref="A2:B2"/>
    <mergeCell ref="C2:D2"/>
    <mergeCell ref="E2:F2"/>
    <mergeCell ref="G2:H2"/>
    <mergeCell ref="I2:J2"/>
    <mergeCell ref="K2:L2"/>
    <mergeCell ref="M2:N2"/>
    <mergeCell ref="O17:P17"/>
    <mergeCell ref="Q17:R17"/>
    <mergeCell ref="S17:T17"/>
    <mergeCell ref="U17:V17"/>
    <mergeCell ref="A17:B17"/>
    <mergeCell ref="C17:D17"/>
    <mergeCell ref="E17:F17"/>
    <mergeCell ref="G17:H17"/>
    <mergeCell ref="I17:J17"/>
    <mergeCell ref="K17:L17"/>
    <mergeCell ref="M17:N17"/>
    <mergeCell ref="O35:P35"/>
    <mergeCell ref="Q35:R35"/>
    <mergeCell ref="S35:T35"/>
    <mergeCell ref="U35:V35"/>
    <mergeCell ref="A35:B35"/>
    <mergeCell ref="C35:D35"/>
    <mergeCell ref="E35:F35"/>
    <mergeCell ref="G35:H35"/>
    <mergeCell ref="I35:J35"/>
    <mergeCell ref="K35:L35"/>
    <mergeCell ref="M35:N35"/>
    <mergeCell ref="O53:P53"/>
    <mergeCell ref="Q53:R53"/>
    <mergeCell ref="S53:T53"/>
    <mergeCell ref="U53:V53"/>
    <mergeCell ref="A53:B53"/>
    <mergeCell ref="C53:D53"/>
    <mergeCell ref="E53:F53"/>
    <mergeCell ref="G53:H53"/>
    <mergeCell ref="I53:J53"/>
    <mergeCell ref="K53:L53"/>
    <mergeCell ref="M53:N5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22.88"/>
    <col customWidth="1" min="14" max="14" width="34.5"/>
    <col customWidth="1" min="15" max="15" width="19.75"/>
    <col customWidth="1" min="16" max="16" width="29.38"/>
    <col customWidth="1" min="17" max="17" width="19.75"/>
    <col customWidth="1" min="18" max="18" width="29.38"/>
    <col customWidth="1" min="19" max="19" width="25.0"/>
    <col customWidth="1" min="20" max="20" width="44.38"/>
    <col customWidth="1" min="21" max="21" width="22.88"/>
    <col customWidth="1" min="22" max="22" width="39.0"/>
    <col customWidth="1" min="23" max="46" width="23.13"/>
  </cols>
  <sheetData>
    <row r="1">
      <c r="A1" s="482" t="s">
        <v>9215</v>
      </c>
      <c r="B1" s="109" t="s">
        <v>9216</v>
      </c>
      <c r="C1" s="484" t="str">
        <f>IFERROR(__xludf.DUMMYFUNCTION("GOOGLETRANSLATE(A1,""zh-tw"",""ja"")"),"設備プロジェクト")</f>
        <v>設備プロジェクト</v>
      </c>
      <c r="D1" s="113" t="str">
        <f>IFERROR(__xludf.DUMMYFUNCTION("GOOGLETRANSLATE(B1,""zh-tw"",""ja"")"),"装備属性")</f>
        <v>装備属性</v>
      </c>
      <c r="E1" s="485" t="s">
        <v>9217</v>
      </c>
      <c r="F1" s="44" t="s">
        <v>8341</v>
      </c>
      <c r="G1" s="484" t="str">
        <f>IFERROR(__xludf.DUMMYFUNCTION("GOOGLETRANSLATE(A1,""zh-tw"",""zh"")"),"装备项目")</f>
        <v>装备项目</v>
      </c>
      <c r="H1" s="113" t="str">
        <f>IFERROR(__xludf.DUMMYFUNCTION("GOOGLETRANSLATE(B1,""zh-tw"",""zh"")"),"装备属性")</f>
        <v>装备属性</v>
      </c>
      <c r="I1" s="483" t="str">
        <f>IFERROR(__xludf.DUMMYFUNCTION("GOOGLETRANSLATE(A1,""zh-tw"",""es-MX"")"),"Proyecto de equipamiento")</f>
        <v>Proyecto de equipamiento</v>
      </c>
      <c r="J1" s="71" t="str">
        <f>IFERROR(__xludf.DUMMYFUNCTION("GOOGLETRANSLATE(B1,""zh-tw"",""es-MX"")"),"Atributos del equipo")</f>
        <v>Atributos del equipo</v>
      </c>
      <c r="K1" s="484" t="str">
        <f>IFERROR(__xludf.DUMMYFUNCTION("GOOGLETRANSLATE(A1,""zh-tw"",""KO"")"),"장비 프로젝트")</f>
        <v>장비 프로젝트</v>
      </c>
      <c r="L1" s="113" t="str">
        <f>IFERROR(__xludf.DUMMYFUNCTION("GOOGLETRANSLATE(B1,""zh-tw"",""KO"")"),"장비 속성")</f>
        <v>장비 속성</v>
      </c>
      <c r="M1" s="483" t="s">
        <v>9218</v>
      </c>
      <c r="N1" s="71" t="s">
        <v>8343</v>
      </c>
      <c r="O1" s="484" t="s">
        <v>9219</v>
      </c>
      <c r="P1" s="113" t="s">
        <v>8343</v>
      </c>
      <c r="Q1" s="482" t="s">
        <v>9220</v>
      </c>
      <c r="R1" s="109" t="s">
        <v>9221</v>
      </c>
      <c r="S1" s="502" t="s">
        <v>9222</v>
      </c>
      <c r="T1" s="487" t="s">
        <v>8348</v>
      </c>
      <c r="U1" s="483" t="s">
        <v>9223</v>
      </c>
      <c r="V1" s="71" t="s">
        <v>8350</v>
      </c>
      <c r="W1" s="9"/>
      <c r="X1" s="9"/>
      <c r="Y1" s="9"/>
      <c r="Z1" s="9"/>
      <c r="AA1" s="9"/>
      <c r="AB1" s="9"/>
      <c r="AC1" s="9"/>
      <c r="AD1" s="9"/>
      <c r="AE1" s="9"/>
      <c r="AF1" s="9"/>
      <c r="AG1" s="9"/>
      <c r="AH1" s="9"/>
      <c r="AI1" s="9"/>
      <c r="AJ1" s="9"/>
      <c r="AK1" s="9"/>
      <c r="AL1" s="9"/>
      <c r="AM1" s="9"/>
      <c r="AN1" s="9"/>
      <c r="AO1" s="9"/>
      <c r="AP1" s="9"/>
      <c r="AQ1" s="9"/>
      <c r="AR1" s="9"/>
      <c r="AS1" s="9"/>
      <c r="AT1" s="9"/>
    </row>
    <row r="2">
      <c r="A2" s="200" t="s">
        <v>8351</v>
      </c>
      <c r="C2" s="200" t="s">
        <v>8352</v>
      </c>
      <c r="E2" s="200" t="s">
        <v>8353</v>
      </c>
      <c r="G2" s="200" t="s">
        <v>8354</v>
      </c>
      <c r="I2" s="200"/>
      <c r="K2" s="200"/>
      <c r="M2" s="193" t="s">
        <v>8355</v>
      </c>
      <c r="O2" s="200" t="s">
        <v>8356</v>
      </c>
      <c r="Q2" s="200"/>
      <c r="S2" s="203" t="s">
        <v>8357</v>
      </c>
      <c r="U2" s="200" t="s">
        <v>8358</v>
      </c>
      <c r="W2" s="254"/>
      <c r="X2" s="254"/>
      <c r="Y2" s="254"/>
      <c r="Z2" s="254"/>
      <c r="AA2" s="9"/>
      <c r="AB2" s="9"/>
      <c r="AC2" s="9"/>
      <c r="AD2" s="9"/>
      <c r="AE2" s="9"/>
      <c r="AF2" s="9"/>
      <c r="AG2" s="9"/>
      <c r="AH2" s="9"/>
      <c r="AI2" s="9"/>
      <c r="AJ2" s="9"/>
      <c r="AK2" s="9"/>
      <c r="AL2" s="9"/>
      <c r="AM2" s="9"/>
      <c r="AN2" s="9"/>
      <c r="AO2" s="9"/>
      <c r="AP2" s="9"/>
      <c r="AQ2" s="9"/>
      <c r="AR2" s="9"/>
      <c r="AS2" s="9"/>
      <c r="AT2" s="9"/>
    </row>
    <row r="3">
      <c r="A3" s="489" t="s">
        <v>9224</v>
      </c>
      <c r="B3" s="260" t="s">
        <v>9225</v>
      </c>
      <c r="C3" s="488" t="s">
        <v>9226</v>
      </c>
      <c r="D3" s="205" t="s">
        <v>9227</v>
      </c>
      <c r="E3" s="488" t="s">
        <v>9228</v>
      </c>
      <c r="F3" s="205" t="s">
        <v>9229</v>
      </c>
      <c r="G3" s="492" t="str">
        <f>IFERROR(__xludf.DUMMYFUNCTION("GOOGLETRANSLATE(A3,""zh-tw"",""zh"")"),"雨天娃娃")</f>
        <v>雨天娃娃</v>
      </c>
      <c r="H3" s="254" t="str">
        <f>IFERROR(__xludf.DUMMYFUNCTION("GOOGLETRANSLATE(B3,""zh-tw"",""zh"")"),"魔抗：10
幸运：10
第二天雨天(消耗品)")</f>
        <v>魔抗：10
幸运：10
第二天雨天(消耗品)</v>
      </c>
      <c r="I3" s="488" t="s">
        <v>9228</v>
      </c>
      <c r="J3" s="254" t="str">
        <f>IFERROR(__xludf.DUMMYFUNCTION("GOOGLETRANSLATE(B3,""zh-tw"",""es-MX"")"),"Resistencia mágica: 10
Suerte: 10
Día 2: Lluvia (Consumible)")</f>
        <v>Resistencia mágica: 10
Suerte: 10
Día 2: Lluvia (Consumible)</v>
      </c>
      <c r="K3" s="488" t="s">
        <v>9230</v>
      </c>
      <c r="L3" s="205" t="s">
        <v>9231</v>
      </c>
      <c r="M3" s="492" t="s">
        <v>9232</v>
      </c>
      <c r="N3" s="254" t="s">
        <v>9233</v>
      </c>
      <c r="O3" s="492" t="s">
        <v>9234</v>
      </c>
      <c r="P3" s="205" t="s">
        <v>9235</v>
      </c>
      <c r="Q3" s="489" t="s">
        <v>9236</v>
      </c>
      <c r="R3" s="260" t="s">
        <v>9237</v>
      </c>
      <c r="S3" s="503" t="s">
        <v>9238</v>
      </c>
      <c r="T3" s="495" t="s">
        <v>9239</v>
      </c>
      <c r="U3" s="492" t="s">
        <v>9240</v>
      </c>
      <c r="V3" s="254" t="s">
        <v>9241</v>
      </c>
      <c r="W3" s="9"/>
      <c r="X3" s="9"/>
      <c r="Y3" s="9"/>
      <c r="Z3" s="9"/>
      <c r="AA3" s="9"/>
      <c r="AB3" s="9"/>
      <c r="AC3" s="9"/>
      <c r="AD3" s="9"/>
      <c r="AE3" s="9"/>
      <c r="AF3" s="9"/>
      <c r="AG3" s="9"/>
      <c r="AH3" s="9"/>
      <c r="AI3" s="9"/>
      <c r="AJ3" s="9"/>
      <c r="AK3" s="9"/>
      <c r="AL3" s="9"/>
      <c r="AM3" s="9"/>
      <c r="AN3" s="9"/>
      <c r="AO3" s="9"/>
      <c r="AP3" s="9"/>
      <c r="AQ3" s="9"/>
      <c r="AR3" s="9"/>
      <c r="AS3" s="9"/>
      <c r="AT3" s="9"/>
    </row>
    <row r="4">
      <c r="A4" s="488" t="s">
        <v>9242</v>
      </c>
      <c r="B4" s="260" t="s">
        <v>9243</v>
      </c>
      <c r="C4" s="488" t="s">
        <v>9244</v>
      </c>
      <c r="D4" s="205" t="s">
        <v>9245</v>
      </c>
      <c r="E4" s="488" t="s">
        <v>9246</v>
      </c>
      <c r="F4" s="205" t="s">
        <v>9247</v>
      </c>
      <c r="G4" s="492" t="str">
        <f>IFERROR(__xludf.DUMMYFUNCTION("GOOGLETRANSLATE(A4,""zh-tw"",""zh"")"),"炎天娃娃")</f>
        <v>炎天娃娃</v>
      </c>
      <c r="H4" s="254" t="str">
        <f>IFERROR(__xludf.DUMMYFUNCTION("GOOGLETRANSLATE(B4,""zh-tw"",""zh"")"),"魔抗：10
幸运：10
第二天炎热(消耗品)")</f>
        <v>魔抗：10
幸运：10
第二天炎热(消耗品)</v>
      </c>
      <c r="I4" s="488" t="s">
        <v>9246</v>
      </c>
      <c r="J4" s="254" t="str">
        <f>IFERROR(__xludf.DUMMYFUNCTION("GOOGLETRANSLATE(B4,""zh-tw"",""es-MX"")"),"Resistencia mágica: 10
Suerte: 10
Día 2: Calor (Consumible)")</f>
        <v>Resistencia mágica: 10
Suerte: 10
Día 2: Calor (Consumible)</v>
      </c>
      <c r="K4" s="492" t="str">
        <f>IFERROR(__xludf.DUMMYFUNCTION("GOOGLETRANSLATE(A4,""zh-tw"",""KO"")"),"불꽃 인형")</f>
        <v>불꽃 인형</v>
      </c>
      <c r="L4" s="254" t="str">
        <f>IFERROR(__xludf.DUMMYFUNCTION("GOOGLETRANSLATE(B4,""zh-tw"",""KO"")"),"마법 저항력: 10
행운: 10
2일차: 열기 (소모품)")</f>
        <v>마법 저항력: 10
행운: 10
2일차: 열기 (소모품)</v>
      </c>
      <c r="M4" s="492" t="s">
        <v>9248</v>
      </c>
      <c r="N4" s="504" t="s">
        <v>9249</v>
      </c>
      <c r="O4" s="492" t="s">
        <v>9250</v>
      </c>
      <c r="P4" s="205" t="s">
        <v>9251</v>
      </c>
      <c r="Q4" s="489" t="s">
        <v>9252</v>
      </c>
      <c r="R4" s="260" t="s">
        <v>9253</v>
      </c>
      <c r="S4" s="503" t="s">
        <v>9254</v>
      </c>
      <c r="T4" s="491" t="s">
        <v>9255</v>
      </c>
      <c r="U4" s="492" t="s">
        <v>9256</v>
      </c>
      <c r="V4" s="254" t="s">
        <v>9257</v>
      </c>
      <c r="W4" s="9"/>
      <c r="X4" s="9"/>
      <c r="Y4" s="9"/>
      <c r="Z4" s="9"/>
      <c r="AA4" s="9"/>
      <c r="AB4" s="9"/>
      <c r="AC4" s="9"/>
      <c r="AD4" s="9"/>
      <c r="AE4" s="9"/>
      <c r="AF4" s="9"/>
      <c r="AG4" s="9"/>
      <c r="AH4" s="9"/>
      <c r="AI4" s="9"/>
      <c r="AJ4" s="9"/>
      <c r="AK4" s="9"/>
      <c r="AL4" s="9"/>
      <c r="AM4" s="9"/>
      <c r="AN4" s="9"/>
      <c r="AO4" s="9"/>
      <c r="AP4" s="9"/>
      <c r="AQ4" s="9"/>
      <c r="AR4" s="9"/>
      <c r="AS4" s="9"/>
      <c r="AT4" s="9"/>
    </row>
    <row r="5">
      <c r="A5" s="489" t="s">
        <v>9258</v>
      </c>
      <c r="B5" s="260" t="s">
        <v>9259</v>
      </c>
      <c r="C5" s="488" t="s">
        <v>9260</v>
      </c>
      <c r="D5" s="205" t="s">
        <v>9261</v>
      </c>
      <c r="E5" s="488" t="s">
        <v>9262</v>
      </c>
      <c r="F5" s="205" t="s">
        <v>9263</v>
      </c>
      <c r="G5" s="492" t="str">
        <f>IFERROR(__xludf.DUMMYFUNCTION("GOOGLETRANSLATE(A5,""zh-tw"",""zh"")"),"阴天娃娃")</f>
        <v>阴天娃娃</v>
      </c>
      <c r="H5" s="254" t="str">
        <f>IFERROR(__xludf.DUMMYFUNCTION("GOOGLETRANSLATE(B5,""zh-tw"",""zh"")"),"魔抗：10
幸运：10
第二天阴天(消耗品)")</f>
        <v>魔抗：10
幸运：10
第二天阴天(消耗品)</v>
      </c>
      <c r="I5" s="488" t="s">
        <v>9262</v>
      </c>
      <c r="J5" s="254" t="str">
        <f>IFERROR(__xludf.DUMMYFUNCTION("GOOGLETRANSLATE(B5,""zh-tw"",""es-MX"")"),"Resistencia mágica: 10
Suerte: 10
Día 2: Nublado (Consumible)")</f>
        <v>Resistencia mágica: 10
Suerte: 10
Día 2: Nublado (Consumible)</v>
      </c>
      <c r="K5" s="489" t="s">
        <v>9264</v>
      </c>
      <c r="L5" s="205" t="s">
        <v>9265</v>
      </c>
      <c r="M5" s="492" t="s">
        <v>9266</v>
      </c>
      <c r="N5" s="504" t="s">
        <v>9267</v>
      </c>
      <c r="O5" s="492" t="s">
        <v>9268</v>
      </c>
      <c r="P5" s="205" t="s">
        <v>9269</v>
      </c>
      <c r="Q5" s="489" t="s">
        <v>9270</v>
      </c>
      <c r="R5" s="260" t="s">
        <v>9271</v>
      </c>
      <c r="S5" s="503" t="s">
        <v>9272</v>
      </c>
      <c r="T5" s="491" t="s">
        <v>9273</v>
      </c>
      <c r="U5" s="492" t="s">
        <v>9274</v>
      </c>
      <c r="V5" s="254" t="s">
        <v>9275</v>
      </c>
      <c r="W5" s="9"/>
      <c r="X5" s="9"/>
      <c r="Y5" s="9"/>
      <c r="Z5" s="9"/>
      <c r="AA5" s="9"/>
      <c r="AB5" s="9"/>
      <c r="AC5" s="9"/>
      <c r="AD5" s="9"/>
      <c r="AE5" s="9"/>
      <c r="AF5" s="9"/>
      <c r="AG5" s="9"/>
      <c r="AH5" s="9"/>
      <c r="AI5" s="9"/>
      <c r="AJ5" s="9"/>
      <c r="AK5" s="9"/>
      <c r="AL5" s="9"/>
      <c r="AM5" s="9"/>
      <c r="AN5" s="9"/>
      <c r="AO5" s="9"/>
      <c r="AP5" s="9"/>
      <c r="AQ5" s="9"/>
      <c r="AR5" s="9"/>
      <c r="AS5" s="9"/>
      <c r="AT5" s="9"/>
    </row>
    <row r="6">
      <c r="A6" s="489" t="s">
        <v>9276</v>
      </c>
      <c r="B6" s="260" t="s">
        <v>9277</v>
      </c>
      <c r="C6" s="488" t="s">
        <v>9278</v>
      </c>
      <c r="D6" s="205" t="s">
        <v>9279</v>
      </c>
      <c r="E6" s="488" t="s">
        <v>9280</v>
      </c>
      <c r="F6" s="205" t="s">
        <v>9281</v>
      </c>
      <c r="G6" s="492" t="str">
        <f>IFERROR(__xludf.DUMMYFUNCTION("GOOGLETRANSLATE(A6,""zh-tw"",""zh"")"),"晴天娃娃")</f>
        <v>晴天娃娃</v>
      </c>
      <c r="H6" s="254" t="str">
        <f>IFERROR(__xludf.DUMMYFUNCTION("GOOGLETRANSLATE(B6,""zh-tw"",""zh"")"),"魔抗：10
幸运：10
第二天晴天(消耗品)")</f>
        <v>魔抗：10
幸运：10
第二天晴天(消耗品)</v>
      </c>
      <c r="I6" s="488" t="s">
        <v>9280</v>
      </c>
      <c r="J6" s="254" t="str">
        <f>IFERROR(__xludf.DUMMYFUNCTION("GOOGLETRANSLATE(B6,""zh-tw"",""es-MX"")"),"Resistencia mágica: 10
Suerte: 10
Día soleado 2 (Consumible)")</f>
        <v>Resistencia mágica: 10
Suerte: 10
Día soleado 2 (Consumible)</v>
      </c>
      <c r="K6" s="488" t="s">
        <v>9282</v>
      </c>
      <c r="L6" s="205" t="s">
        <v>9283</v>
      </c>
      <c r="M6" s="492" t="s">
        <v>9284</v>
      </c>
      <c r="N6" s="254" t="s">
        <v>9285</v>
      </c>
      <c r="O6" s="492" t="s">
        <v>9286</v>
      </c>
      <c r="P6" s="205" t="s">
        <v>9287</v>
      </c>
      <c r="Q6" s="489" t="s">
        <v>9288</v>
      </c>
      <c r="R6" s="260" t="s">
        <v>9289</v>
      </c>
      <c r="S6" s="503" t="s">
        <v>9290</v>
      </c>
      <c r="T6" s="491" t="s">
        <v>9291</v>
      </c>
      <c r="U6" s="492" t="s">
        <v>9292</v>
      </c>
      <c r="V6" s="254" t="s">
        <v>9293</v>
      </c>
      <c r="W6" s="9"/>
      <c r="X6" s="9"/>
      <c r="Y6" s="9"/>
      <c r="Z6" s="9"/>
      <c r="AA6" s="9"/>
      <c r="AB6" s="9"/>
      <c r="AC6" s="9"/>
      <c r="AD6" s="9"/>
      <c r="AE6" s="9"/>
      <c r="AF6" s="9"/>
      <c r="AG6" s="9"/>
      <c r="AH6" s="9"/>
      <c r="AI6" s="9"/>
      <c r="AJ6" s="9"/>
      <c r="AK6" s="9"/>
      <c r="AL6" s="9"/>
      <c r="AM6" s="9"/>
      <c r="AN6" s="9"/>
      <c r="AO6" s="9"/>
      <c r="AP6" s="9"/>
      <c r="AQ6" s="9"/>
      <c r="AR6" s="9"/>
      <c r="AS6" s="9"/>
      <c r="AT6" s="9"/>
    </row>
    <row r="7">
      <c r="A7" s="489" t="s">
        <v>9294</v>
      </c>
      <c r="B7" s="260" t="s">
        <v>9295</v>
      </c>
      <c r="C7" s="488" t="s">
        <v>9296</v>
      </c>
      <c r="D7" s="205" t="s">
        <v>9297</v>
      </c>
      <c r="E7" s="488" t="s">
        <v>9298</v>
      </c>
      <c r="F7" s="205" t="s">
        <v>9299</v>
      </c>
      <c r="G7" s="492" t="str">
        <f>IFERROR(__xludf.DUMMYFUNCTION("GOOGLETRANSLATE(A7,""zh-tw"",""zh"")"),"厕纸")</f>
        <v>厕纸</v>
      </c>
      <c r="H7" s="254" t="str">
        <f>IFERROR(__xludf.DUMMYFUNCTION("GOOGLETRANSLATE(B7,""zh-tw"",""zh"")"),"物防：1
降低出血伤害")</f>
        <v>物防：1
降低出血伤害</v>
      </c>
      <c r="I7" s="492" t="str">
        <f>IFERROR(__xludf.DUMMYFUNCTION("GOOGLETRANSLATE(A7,""zh-tw"",""es-MX"")"),"papel higiénico")</f>
        <v>papel higiénico</v>
      </c>
      <c r="J7" s="254" t="str">
        <f>IFERROR(__xludf.DUMMYFUNCTION("GOOGLETRANSLATE(B7,""zh-tw"",""es-MX"")"),"Defensa física: 1. Reduce el daño por sangrado.")</f>
        <v>Defensa física: 1. Reduce el daño por sangrado.</v>
      </c>
      <c r="K7" s="492" t="str">
        <f>IFERROR(__xludf.DUMMYFUNCTION("GOOGLETRANSLATE(A7,""zh-tw"",""KO"")"),"휴지")</f>
        <v>휴지</v>
      </c>
      <c r="L7" s="205" t="s">
        <v>9300</v>
      </c>
      <c r="M7" s="492" t="s">
        <v>9301</v>
      </c>
      <c r="N7" s="254" t="s">
        <v>9302</v>
      </c>
      <c r="O7" s="492" t="s">
        <v>9303</v>
      </c>
      <c r="P7" s="254" t="s">
        <v>9304</v>
      </c>
      <c r="Q7" s="489" t="s">
        <v>9305</v>
      </c>
      <c r="R7" s="260" t="s">
        <v>9306</v>
      </c>
      <c r="S7" s="505" t="s">
        <v>9307</v>
      </c>
      <c r="T7" s="495" t="s">
        <v>9308</v>
      </c>
      <c r="U7" s="492" t="s">
        <v>9309</v>
      </c>
      <c r="V7" s="254" t="s">
        <v>9310</v>
      </c>
      <c r="W7" s="9"/>
      <c r="X7" s="9"/>
      <c r="Y7" s="9"/>
      <c r="Z7" s="9"/>
      <c r="AA7" s="9"/>
      <c r="AB7" s="9"/>
      <c r="AC7" s="9"/>
      <c r="AD7" s="9"/>
      <c r="AE7" s="9"/>
      <c r="AF7" s="9"/>
      <c r="AG7" s="9"/>
      <c r="AH7" s="9"/>
      <c r="AI7" s="9"/>
      <c r="AJ7" s="9"/>
      <c r="AK7" s="9"/>
      <c r="AL7" s="9"/>
      <c r="AM7" s="9"/>
      <c r="AN7" s="9"/>
      <c r="AO7" s="9"/>
      <c r="AP7" s="9"/>
      <c r="AQ7" s="9"/>
      <c r="AR7" s="9"/>
      <c r="AS7" s="9"/>
      <c r="AT7" s="9"/>
    </row>
    <row r="8">
      <c r="A8" s="488" t="s">
        <v>9311</v>
      </c>
      <c r="B8" s="205" t="s">
        <v>9312</v>
      </c>
      <c r="C8" s="488" t="s">
        <v>9311</v>
      </c>
      <c r="D8" s="205" t="s">
        <v>9313</v>
      </c>
      <c r="E8" s="488" t="s">
        <v>9314</v>
      </c>
      <c r="F8" s="205" t="s">
        <v>9315</v>
      </c>
      <c r="G8" s="492" t="str">
        <f>IFERROR(__xludf.DUMMYFUNCTION("GOOGLETRANSLATE(A8,""zh-tw"",""zh"")"),"芳草心")</f>
        <v>芳草心</v>
      </c>
      <c r="H8" s="254" t="str">
        <f>IFERROR(__xludf.DUMMYFUNCTION("GOOGLETRANSLATE(B8,""zh-tw"",""zh"")"),"物防：1
魔抗：10
幸运：5
提升最大体力
装备3件额外获得魔法防御
装备5件额外获得自动回复")</f>
        <v>物防：1
魔抗：10
幸运：5
提升最大体力
装备3件额外获得魔法防御
装备5件额外获得自动回复</v>
      </c>
      <c r="I8" s="492" t="str">
        <f>IFERROR(__xludf.DUMMYFUNCTION("GOOGLETRANSLATE(A8,""zh-tw"",""es-MX"")"),"Corazón de hierba fragante")</f>
        <v>Corazón de hierba fragante</v>
      </c>
      <c r="J8" s="254" t="str">
        <f>IFERROR(__xludf.DUMMYFUNCTION("GOOGLETRANSLATE(B8,""zh-tw"",""es-MX"")"),"Defensa física: 1
Resistencia mágica: 10
Suerte: 5
Aumenta los PV máximos
Equipar 3 piezas otorga defensa mágica adicional
Equipar 5 piezas otorga regeneración automática adicional")</f>
        <v>Defensa física: 1
Resistencia mágica: 10
Suerte: 5
Aumenta los PV máximos
Equipar 3 piezas otorga defensa mágica adicional
Equipar 5 piezas otorga regeneración automática adicional</v>
      </c>
      <c r="K8" s="488" t="s">
        <v>9316</v>
      </c>
      <c r="L8" s="205" t="s">
        <v>9317</v>
      </c>
      <c r="M8" s="492" t="s">
        <v>9318</v>
      </c>
      <c r="N8" s="254" t="s">
        <v>9319</v>
      </c>
      <c r="O8" s="492" t="s">
        <v>9320</v>
      </c>
      <c r="P8" s="254" t="s">
        <v>9321</v>
      </c>
      <c r="Q8" s="489" t="s">
        <v>9322</v>
      </c>
      <c r="R8" s="260" t="s">
        <v>9323</v>
      </c>
      <c r="S8" s="505" t="s">
        <v>9324</v>
      </c>
      <c r="T8" s="495" t="s">
        <v>9325</v>
      </c>
      <c r="U8" s="492" t="s">
        <v>9326</v>
      </c>
      <c r="V8" s="254" t="s">
        <v>9327</v>
      </c>
      <c r="W8" s="9"/>
      <c r="X8" s="9"/>
      <c r="Y8" s="9"/>
      <c r="Z8" s="9"/>
      <c r="AA8" s="9"/>
      <c r="AB8" s="9"/>
      <c r="AC8" s="9"/>
      <c r="AD8" s="9"/>
      <c r="AE8" s="9"/>
      <c r="AF8" s="9"/>
      <c r="AG8" s="9"/>
      <c r="AH8" s="9"/>
      <c r="AI8" s="9"/>
      <c r="AJ8" s="9"/>
      <c r="AK8" s="9"/>
      <c r="AL8" s="9"/>
      <c r="AM8" s="9"/>
      <c r="AN8" s="9"/>
      <c r="AO8" s="9"/>
      <c r="AP8" s="9"/>
      <c r="AQ8" s="9"/>
      <c r="AR8" s="9"/>
      <c r="AS8" s="9"/>
      <c r="AT8" s="9"/>
    </row>
    <row r="9">
      <c r="A9" s="488" t="s">
        <v>9328</v>
      </c>
      <c r="B9" s="205" t="s">
        <v>9329</v>
      </c>
      <c r="C9" s="488" t="s">
        <v>9330</v>
      </c>
      <c r="D9" s="205" t="s">
        <v>9331</v>
      </c>
      <c r="E9" s="488" t="s">
        <v>9332</v>
      </c>
      <c r="F9" s="205" t="s">
        <v>9333</v>
      </c>
      <c r="G9" s="492" t="str">
        <f>IFERROR(__xludf.DUMMYFUNCTION("GOOGLETRANSLATE(A9,""zh-tw"",""zh"")"),"绿龟壳")</f>
        <v>绿龟壳</v>
      </c>
      <c r="H9" s="254" t="str">
        <f>IFERROR(__xludf.DUMMYFUNCTION("GOOGLETRANSLATE(B9,""zh-tw"",""zh"")"),"物防：20
魔抗：60
增加游泳移速、降低陆地移速")</f>
        <v>物防：20
魔抗：60
增加游泳移速、降低陆地移速</v>
      </c>
      <c r="I9" s="492" t="str">
        <f>IFERROR(__xludf.DUMMYFUNCTION("GOOGLETRANSLATE(A9,""zh-tw"",""es-MX"")"),"caparazón de tortuga verde")</f>
        <v>caparazón de tortuga verde</v>
      </c>
      <c r="J9" s="254" t="str">
        <f>IFERROR(__xludf.DUMMYFUNCTION("GOOGLETRANSLATE(B9,""zh-tw"",""es-MX"")"),"Defensa física: 20
Resistencia mágica: 60
Aumenta la velocidad de natación, reduce la velocidad de movimiento terrestre")</f>
        <v>Defensa física: 20
Resistencia mágica: 60
Aumenta la velocidad de natación, reduce la velocidad de movimiento terrestre</v>
      </c>
      <c r="K9" s="492" t="str">
        <f>IFERROR(__xludf.DUMMYFUNCTION("GOOGLETRANSLATE(A9,""zh-tw"",""KO"")"),"푸른바다거북 등껍질")</f>
        <v>푸른바다거북 등껍질</v>
      </c>
      <c r="L9" s="254" t="str">
        <f>IFERROR(__xludf.DUMMYFUNCTION("GOOGLETRANSLATE(B9,""zh-tw"",""KO"")"),"물리 방어력: 20
마법 저항력: 60
수영 속도 증가, 지상 이동 속도 감소")</f>
        <v>물리 방어력: 20
마법 저항력: 60
수영 속도 증가, 지상 이동 속도 감소</v>
      </c>
      <c r="M9" s="492" t="s">
        <v>9334</v>
      </c>
      <c r="N9" s="254" t="s">
        <v>9335</v>
      </c>
      <c r="O9" s="492" t="s">
        <v>9336</v>
      </c>
      <c r="P9" s="254" t="s">
        <v>9337</v>
      </c>
      <c r="Q9" s="506" t="str">
        <f>IFERROR(__xludf.DUMMYFUNCTION("GOOGLETRANSLATE(A9,""zh-tw"",""de"")"),"Grüner Schildkrötenpanzer")</f>
        <v>Grüner Schildkrötenpanzer</v>
      </c>
      <c r="R9" s="504" t="str">
        <f>IFERROR(__xludf.DUMMYFUNCTION("GOOGLETRANSLATE(B9,""zh-tw"",""de"")"),"Physische Verteidigung: 20
Magieresistenz: 60
Erhöht die Schwimmgeschwindigkeit, verringert die Bewegungsgeschwindigkeit an Land.")</f>
        <v>Physische Verteidigung: 20
Magieresistenz: 60
Erhöht die Schwimmgeschwindigkeit, verringert die Bewegungsgeschwindigkeit an Land.</v>
      </c>
      <c r="S9" s="505" t="s">
        <v>9338</v>
      </c>
      <c r="T9" s="491" t="s">
        <v>9339</v>
      </c>
      <c r="U9" s="492" t="s">
        <v>9340</v>
      </c>
      <c r="V9" s="254" t="s">
        <v>9341</v>
      </c>
      <c r="W9" s="9"/>
      <c r="X9" s="9"/>
      <c r="Y9" s="9"/>
      <c r="Z9" s="9"/>
      <c r="AA9" s="9"/>
      <c r="AB9" s="9"/>
      <c r="AC9" s="9"/>
      <c r="AD9" s="9"/>
      <c r="AE9" s="9"/>
      <c r="AF9" s="9"/>
      <c r="AG9" s="9"/>
      <c r="AH9" s="9"/>
      <c r="AI9" s="9"/>
      <c r="AJ9" s="9"/>
      <c r="AK9" s="9"/>
      <c r="AL9" s="9"/>
      <c r="AM9" s="9"/>
      <c r="AN9" s="9"/>
      <c r="AO9" s="9"/>
      <c r="AP9" s="9"/>
      <c r="AQ9" s="9"/>
      <c r="AR9" s="9"/>
      <c r="AS9" s="9"/>
      <c r="AT9" s="9"/>
    </row>
    <row r="10">
      <c r="A10" s="488" t="s">
        <v>9342</v>
      </c>
      <c r="B10" s="205" t="s">
        <v>9343</v>
      </c>
      <c r="C10" s="488" t="s">
        <v>9344</v>
      </c>
      <c r="D10" s="205" t="s">
        <v>9345</v>
      </c>
      <c r="E10" s="488" t="s">
        <v>9346</v>
      </c>
      <c r="F10" s="205" t="s">
        <v>9347</v>
      </c>
      <c r="G10" s="492" t="str">
        <f>IFERROR(__xludf.DUMMYFUNCTION("GOOGLETRANSLATE(A10,""zh-tw"",""zh"")"),"猎人服")</f>
        <v>猎人服</v>
      </c>
      <c r="H10" s="254" t="str">
        <f>IFERROR(__xludf.DUMMYFUNCTION("GOOGLETRANSLATE(B10,""zh-tw"",""zh"")"),"物防：3
魔抗：10
站在草地上回复体力")</f>
        <v>物防：3
魔抗：10
站在草地上回复体力</v>
      </c>
      <c r="I10" s="492" t="str">
        <f>IFERROR(__xludf.DUMMYFUNCTION("GOOGLETRANSLATE(A10,""zh-tw"",""es-MX"")"),"El atuendo de Hunter")</f>
        <v>El atuendo de Hunter</v>
      </c>
      <c r="J10" s="254" t="str">
        <f>IFERROR(__xludf.DUMMYFUNCTION("GOOGLETRANSLATE(B10,""zh-tw"",""es-MX"")"),"Defensa física: 3
Resistencia mágica: 10
Recupera resistencia al estar de pie sobre la hierba")</f>
        <v>Defensa física: 3
Resistencia mágica: 10
Recupera resistencia al estar de pie sobre la hierba</v>
      </c>
      <c r="K10" s="492" t="str">
        <f>IFERROR(__xludf.DUMMYFUNCTION("GOOGLETRANSLATE(A10,""zh-tw"",""KO"")"),"사냥꾼의 복장")</f>
        <v>사냥꾼의 복장</v>
      </c>
      <c r="L10" s="254" t="str">
        <f>IFERROR(__xludf.DUMMYFUNCTION("GOOGLETRANSLATE(B10,""zh-tw"",""KO"")"),"물리 방어력: 3
마법 저항력: 10
풀밭에 서 있으면 스태미나를 회복합니다.")</f>
        <v>물리 방어력: 3
마법 저항력: 10
풀밭에 서 있으면 스태미나를 회복합니다.</v>
      </c>
      <c r="M10" s="492" t="s">
        <v>9348</v>
      </c>
      <c r="N10" s="205" t="s">
        <v>9349</v>
      </c>
      <c r="O10" s="492" t="s">
        <v>9350</v>
      </c>
      <c r="P10" s="254" t="s">
        <v>9351</v>
      </c>
      <c r="Q10" s="506" t="str">
        <f>IFERROR(__xludf.DUMMYFUNCTION("GOOGLETRANSLATE(A10,""zh-tw"",""de"")"),"Jägers Outfit")</f>
        <v>Jägers Outfit</v>
      </c>
      <c r="R10" s="504" t="str">
        <f>IFERROR(__xludf.DUMMYFUNCTION("GOOGLETRANSLATE(B10,""zh-tw"",""de"")"),"Physische Verteidigung: 3
Magieresistenz: 10
Regeneriert Ausdauer beim Stehen auf Gras")</f>
        <v>Physische Verteidigung: 3
Magieresistenz: 10
Regeneriert Ausdauer beim Stehen auf Gras</v>
      </c>
      <c r="S10" s="505" t="s">
        <v>9352</v>
      </c>
      <c r="T10" s="491" t="s">
        <v>9353</v>
      </c>
      <c r="U10" s="492" t="s">
        <v>9354</v>
      </c>
      <c r="V10" s="254" t="s">
        <v>9355</v>
      </c>
      <c r="W10" s="9"/>
      <c r="X10" s="9"/>
      <c r="Y10" s="9"/>
      <c r="Z10" s="9"/>
      <c r="AA10" s="9"/>
      <c r="AB10" s="9"/>
      <c r="AC10" s="9"/>
      <c r="AD10" s="9"/>
      <c r="AE10" s="9"/>
      <c r="AF10" s="9"/>
      <c r="AG10" s="9"/>
      <c r="AH10" s="9"/>
      <c r="AI10" s="9"/>
      <c r="AJ10" s="9"/>
      <c r="AK10" s="9"/>
      <c r="AL10" s="9"/>
      <c r="AM10" s="9"/>
      <c r="AN10" s="9"/>
      <c r="AO10" s="9"/>
      <c r="AP10" s="9"/>
      <c r="AQ10" s="9"/>
      <c r="AR10" s="9"/>
      <c r="AS10" s="9"/>
      <c r="AT10" s="9"/>
    </row>
    <row r="11">
      <c r="A11" s="488" t="s">
        <v>9356</v>
      </c>
      <c r="B11" s="205" t="s">
        <v>9357</v>
      </c>
      <c r="C11" s="488" t="s">
        <v>9358</v>
      </c>
      <c r="D11" s="205" t="s">
        <v>9359</v>
      </c>
      <c r="E11" s="488" t="s">
        <v>9360</v>
      </c>
      <c r="F11" s="205" t="s">
        <v>9361</v>
      </c>
      <c r="G11" s="492" t="str">
        <f>IFERROR(__xludf.DUMMYFUNCTION("GOOGLETRANSLATE(A11,""zh-tw"",""zh"")"),"猎人腰带")</f>
        <v>猎人腰带</v>
      </c>
      <c r="H11" s="254" t="str">
        <f>IFERROR(__xludf.DUMMYFUNCTION("GOOGLETRANSLATE(B11,""zh-tw"",""zh"")"),"物防：1
小幅提升：体力上限、移动速度、装备携带数量")</f>
        <v>物防：1
小幅提升：体力上限、移动速度、装备携带数量</v>
      </c>
      <c r="I11" s="492" t="str">
        <f>IFERROR(__xludf.DUMMYFUNCTION("GOOGLETRANSLATE(A11,""zh-tw"",""es-MX"")"),"Cinturón de cazador")</f>
        <v>Cinturón de cazador</v>
      </c>
      <c r="J11" s="254" t="str">
        <f>IFERROR(__xludf.DUMMYFUNCTION("GOOGLETRANSLATE(B11,""zh-tw"",""es-MX"")"),"Defensa física: 1. Aumentos leves: Resistencia máxima, velocidad de movimiento, capacidad de equipo.")</f>
        <v>Defensa física: 1. Aumentos leves: Resistencia máxima, velocidad de movimiento, capacidad de equipo.</v>
      </c>
      <c r="K11" s="492" t="str">
        <f>IFERROR(__xludf.DUMMYFUNCTION("GOOGLETRANSLATE(A11,""zh-tw"",""KO"")"),"헌터 벨트")</f>
        <v>헌터 벨트</v>
      </c>
      <c r="L11" s="254" t="str">
        <f>IFERROR(__xludf.DUMMYFUNCTION("GOOGLETRANSLATE(B11,""zh-tw"",""KO"")"),"물리 방어력: 1 약간 증가: 최대 체력, 이동 속도, 장비 소지량")</f>
        <v>물리 방어력: 1 약간 증가: 최대 체력, 이동 속도, 장비 소지량</v>
      </c>
      <c r="M11" s="492" t="s">
        <v>9362</v>
      </c>
      <c r="N11" s="205" t="s">
        <v>9363</v>
      </c>
      <c r="O11" s="492" t="s">
        <v>9364</v>
      </c>
      <c r="P11" s="254" t="s">
        <v>9365</v>
      </c>
      <c r="Q11" s="506" t="str">
        <f>IFERROR(__xludf.DUMMYFUNCTION("GOOGLETRANSLATE(A11,""zh-tw"",""de"")"),"Jägergürtel")</f>
        <v>Jägergürtel</v>
      </c>
      <c r="R11" s="504" t="str">
        <f>IFERROR(__xludf.DUMMYFUNCTION("GOOGLETRANSLATE(B11,""zh-tw"",""de"")"),"Physische Verteidigung: 1 Leichte Erhöhungen: Maximale Ausdauer, Bewegungsgeschwindigkeit, Ausrüstungskapazität")</f>
        <v>Physische Verteidigung: 1 Leichte Erhöhungen: Maximale Ausdauer, Bewegungsgeschwindigkeit, Ausrüstungskapazität</v>
      </c>
      <c r="S11" s="505" t="s">
        <v>9366</v>
      </c>
      <c r="T11" s="495" t="s">
        <v>9367</v>
      </c>
      <c r="U11" s="492" t="s">
        <v>9368</v>
      </c>
      <c r="V11" s="254" t="s">
        <v>9369</v>
      </c>
      <c r="W11" s="9"/>
      <c r="X11" s="9"/>
      <c r="Y11" s="9"/>
      <c r="Z11" s="9"/>
      <c r="AA11" s="9"/>
      <c r="AB11" s="9"/>
      <c r="AC11" s="9"/>
      <c r="AD11" s="9"/>
      <c r="AE11" s="9"/>
      <c r="AF11" s="9"/>
      <c r="AG11" s="9"/>
      <c r="AH11" s="9"/>
      <c r="AI11" s="9"/>
      <c r="AJ11" s="9"/>
      <c r="AK11" s="9"/>
      <c r="AL11" s="9"/>
      <c r="AM11" s="9"/>
      <c r="AN11" s="9"/>
      <c r="AO11" s="9"/>
      <c r="AP11" s="9"/>
      <c r="AQ11" s="9"/>
      <c r="AR11" s="9"/>
      <c r="AS11" s="9"/>
      <c r="AT11" s="9"/>
    </row>
    <row r="12">
      <c r="A12" s="488" t="s">
        <v>9370</v>
      </c>
      <c r="B12" s="205" t="s">
        <v>9371</v>
      </c>
      <c r="C12" s="488" t="s">
        <v>9372</v>
      </c>
      <c r="D12" s="205" t="s">
        <v>9373</v>
      </c>
      <c r="E12" s="488" t="s">
        <v>9374</v>
      </c>
      <c r="F12" s="205" t="s">
        <v>9375</v>
      </c>
      <c r="G12" s="492" t="str">
        <f>IFERROR(__xludf.DUMMYFUNCTION("GOOGLETRANSLATE(A12,""zh-tw"",""zh"")"),"猎人短刀")</f>
        <v>猎人短刀</v>
      </c>
      <c r="H12" s="254" t="str">
        <f>IFERROR(__xludf.DUMMYFUNCTION("GOOGLETRANSLATE(B12,""zh-tw"",""zh"")"),"物攻：6
幸运：20
肉类掉落机率翻倍(包含炸鱼)")</f>
        <v>物攻：6
幸运：20
肉类掉落机率翻倍(包含炸鱼)</v>
      </c>
      <c r="I12" s="492" t="str">
        <f>IFERROR(__xludf.DUMMYFUNCTION("GOOGLETRANSLATE(A12,""zh-tw"",""es-MX"")"),"Daga del cazador")</f>
        <v>Daga del cazador</v>
      </c>
      <c r="J12" s="254" t="str">
        <f>IFERROR(__xludf.DUMMYFUNCTION("GOOGLETRANSLATE(B12,""zh-tw"",""es-MX"")"),"Ataque físico: 6
Suerte: 20
Probabilidad de obtención de carne duplicada (incluido el pescado frito)")</f>
        <v>Ataque físico: 6
Suerte: 20
Probabilidad de obtención de carne duplicada (incluido el pescado frito)</v>
      </c>
      <c r="K12" s="492" t="str">
        <f>IFERROR(__xludf.DUMMYFUNCTION("GOOGLETRANSLATE(A12,""zh-tw"",""KO"")"),"사냥꾼의 단검")</f>
        <v>사냥꾼의 단검</v>
      </c>
      <c r="L12" s="254" t="str">
        <f>IFERROR(__xludf.DUMMYFUNCTION("GOOGLETRANSLATE(B12,""zh-tw"",""KO"")"),"물리 공격력: 6
행운: 20
고기 드롭률 2배 증가 (튀긴 생선 포함)")</f>
        <v>물리 공격력: 6
행운: 20
고기 드롭률 2배 증가 (튀긴 생선 포함)</v>
      </c>
      <c r="M12" s="492" t="s">
        <v>9376</v>
      </c>
      <c r="N12" s="254" t="s">
        <v>9377</v>
      </c>
      <c r="O12" s="492" t="s">
        <v>9378</v>
      </c>
      <c r="P12" s="254" t="s">
        <v>9379</v>
      </c>
      <c r="Q12" s="506" t="str">
        <f>IFERROR(__xludf.DUMMYFUNCTION("GOOGLETRANSLATE(A12,""zh-tw"",""de"")"),"Jägerdolch")</f>
        <v>Jägerdolch</v>
      </c>
      <c r="R12" s="504" t="str">
        <f>IFERROR(__xludf.DUMMYFUNCTION("GOOGLETRANSLATE(B12,""zh-tw"",""de"")"),"Physischer Angriff: 6
Glück: 20
Fleischfundrate verdoppelt (einschließlich gebratenem Fisch)")</f>
        <v>Physischer Angriff: 6
Glück: 20
Fleischfundrate verdoppelt (einschließlich gebratenem Fisch)</v>
      </c>
      <c r="S12" s="505" t="s">
        <v>9380</v>
      </c>
      <c r="T12" s="491" t="s">
        <v>9381</v>
      </c>
      <c r="U12" s="492" t="s">
        <v>9382</v>
      </c>
      <c r="V12" s="254" t="s">
        <v>9383</v>
      </c>
      <c r="W12" s="9"/>
      <c r="X12" s="9"/>
      <c r="Y12" s="9"/>
      <c r="Z12" s="9"/>
      <c r="AA12" s="9"/>
      <c r="AB12" s="9"/>
      <c r="AC12" s="9"/>
      <c r="AD12" s="9"/>
      <c r="AE12" s="9"/>
      <c r="AF12" s="9"/>
      <c r="AG12" s="9"/>
      <c r="AH12" s="9"/>
      <c r="AI12" s="9"/>
      <c r="AJ12" s="9"/>
      <c r="AK12" s="9"/>
      <c r="AL12" s="9"/>
      <c r="AM12" s="9"/>
      <c r="AN12" s="9"/>
      <c r="AO12" s="9"/>
      <c r="AP12" s="9"/>
      <c r="AQ12" s="9"/>
      <c r="AR12" s="9"/>
      <c r="AS12" s="9"/>
      <c r="AT12" s="9"/>
    </row>
    <row r="13">
      <c r="A13" s="488" t="s">
        <v>9384</v>
      </c>
      <c r="B13" s="205" t="s">
        <v>9385</v>
      </c>
      <c r="C13" s="488" t="s">
        <v>9386</v>
      </c>
      <c r="D13" s="205" t="s">
        <v>9387</v>
      </c>
      <c r="E13" s="488" t="s">
        <v>9388</v>
      </c>
      <c r="F13" s="205" t="s">
        <v>9389</v>
      </c>
      <c r="G13" s="492" t="str">
        <f>IFERROR(__xludf.DUMMYFUNCTION("GOOGLETRANSLATE(A13,""zh-tw"",""zh"")"),"安全手套")</f>
        <v>安全手套</v>
      </c>
      <c r="H13" s="254" t="str">
        <f>IFERROR(__xludf.DUMMYFUNCTION("GOOGLETRANSLATE(B13,""zh-tw"",""zh"")"),"物攻：1
物防：2
魔抗：45
防御雷电")</f>
        <v>物攻：1
物防：2
魔抗：45
防御雷电</v>
      </c>
      <c r="I13" s="492" t="str">
        <f>IFERROR(__xludf.DUMMYFUNCTION("GOOGLETRANSLATE(A13,""zh-tw"",""es-MX"")"),"guantes de seguridad")</f>
        <v>guantes de seguridad</v>
      </c>
      <c r="J13" s="254" t="str">
        <f>IFERROR(__xludf.DUMMYFUNCTION("GOOGLETRANSLATE(B13,""zh-tw"",""es-MX"")"),"Ataque físico: 1
Defensa física: 2
Resistencia mágica: 45
Defensa contra rayos")</f>
        <v>Ataque físico: 1
Defensa física: 2
Resistencia mágica: 45
Defensa contra rayos</v>
      </c>
      <c r="K13" s="492" t="str">
        <f>IFERROR(__xludf.DUMMYFUNCTION("GOOGLETRANSLATE(A13,""zh-tw"",""KO"")"),"안전 장갑")</f>
        <v>안전 장갑</v>
      </c>
      <c r="L13" s="254" t="str">
        <f>IFERROR(__xludf.DUMMYFUNCTION("GOOGLETRANSLATE(B13,""zh-tw"",""KO"")"),"물리 공격력: 1
물리 방어력: 2
마법 저항력: 45
번개 방어력")</f>
        <v>물리 공격력: 1
물리 방어력: 2
마법 저항력: 45
번개 방어력</v>
      </c>
      <c r="M13" s="492" t="s">
        <v>9390</v>
      </c>
      <c r="N13" s="254" t="s">
        <v>9391</v>
      </c>
      <c r="O13" s="492" t="s">
        <v>9392</v>
      </c>
      <c r="P13" s="254" t="s">
        <v>9393</v>
      </c>
      <c r="Q13" s="506" t="str">
        <f>IFERROR(__xludf.DUMMYFUNCTION("GOOGLETRANSLATE(A13,""zh-tw"",""de"")"),"Schutzhandschuhe")</f>
        <v>Schutzhandschuhe</v>
      </c>
      <c r="R13" s="504" t="str">
        <f>IFERROR(__xludf.DUMMYFUNCTION("GOOGLETRANSLATE(B13,""zh-tw"",""de"")"),"Physischer Angriff: 1
Physische Verteidigung: 2
Magieresistenz: 45
Blitzabwehr")</f>
        <v>Physischer Angriff: 1
Physische Verteidigung: 2
Magieresistenz: 45
Blitzabwehr</v>
      </c>
      <c r="S13" s="505" t="s">
        <v>9394</v>
      </c>
      <c r="T13" s="495" t="s">
        <v>9395</v>
      </c>
      <c r="U13" s="492" t="s">
        <v>9396</v>
      </c>
      <c r="V13" s="254" t="s">
        <v>9397</v>
      </c>
      <c r="W13" s="9"/>
      <c r="X13" s="9"/>
      <c r="Y13" s="9"/>
      <c r="Z13" s="9"/>
      <c r="AA13" s="9"/>
      <c r="AB13" s="9"/>
      <c r="AC13" s="9"/>
      <c r="AD13" s="9"/>
      <c r="AE13" s="9"/>
      <c r="AF13" s="9"/>
      <c r="AG13" s="9"/>
      <c r="AH13" s="9"/>
      <c r="AI13" s="9"/>
      <c r="AJ13" s="9"/>
      <c r="AK13" s="9"/>
      <c r="AL13" s="9"/>
      <c r="AM13" s="9"/>
      <c r="AN13" s="9"/>
      <c r="AO13" s="9"/>
      <c r="AP13" s="9"/>
      <c r="AQ13" s="9"/>
      <c r="AR13" s="9"/>
      <c r="AS13" s="9"/>
      <c r="AT13" s="9"/>
    </row>
    <row r="14">
      <c r="A14" s="488" t="s">
        <v>9398</v>
      </c>
      <c r="B14" s="205" t="s">
        <v>9399</v>
      </c>
      <c r="C14" s="488" t="s">
        <v>9400</v>
      </c>
      <c r="D14" s="205" t="s">
        <v>9401</v>
      </c>
      <c r="E14" s="488" t="s">
        <v>9402</v>
      </c>
      <c r="F14" s="205" t="s">
        <v>9403</v>
      </c>
      <c r="G14" s="492" t="str">
        <f>IFERROR(__xludf.DUMMYFUNCTION("GOOGLETRANSLATE(A14,""zh-tw"",""zh"")"),"猪猪存钱罐")</f>
        <v>猪猪存钱罐</v>
      </c>
      <c r="H14" s="254" t="str">
        <f>IFERROR(__xludf.DUMMYFUNCTION("GOOGLETRANSLATE(B14,""zh-tw"",""zh"")"),"幸运：40
捡钱(100万进化)、易碎")</f>
        <v>幸运：40
捡钱(100万进化)、易碎</v>
      </c>
      <c r="I14" s="492" t="str">
        <f>IFERROR(__xludf.DUMMYFUNCTION("GOOGLETRANSLATE(A14,""zh-tw"",""es-MX"")"),"Hucha")</f>
        <v>Hucha</v>
      </c>
      <c r="J14" s="254" t="str">
        <f>IFERROR(__xludf.DUMMYFUNCTION("GOOGLETRANSLATE(B14,""zh-tw"",""es-MX"")"),"Suerte: 40 Encuentra dinero (Evoluciona con 1 millón), Frágil")</f>
        <v>Suerte: 40 Encuentra dinero (Evoluciona con 1 millón), Frágil</v>
      </c>
      <c r="K14" s="492" t="str">
        <f>IFERROR(__xludf.DUMMYFUNCTION("GOOGLETRANSLATE(A14,""zh-tw"",""KO"")"),"돼지 저금통")</f>
        <v>돼지 저금통</v>
      </c>
      <c r="L14" s="205" t="s">
        <v>9404</v>
      </c>
      <c r="M14" s="492" t="s">
        <v>9405</v>
      </c>
      <c r="N14" s="254" t="s">
        <v>9406</v>
      </c>
      <c r="O14" s="492" t="s">
        <v>9405</v>
      </c>
      <c r="P14" s="254" t="s">
        <v>9407</v>
      </c>
      <c r="Q14" s="489" t="s">
        <v>9408</v>
      </c>
      <c r="R14" s="260" t="s">
        <v>9409</v>
      </c>
      <c r="S14" s="505" t="s">
        <v>9410</v>
      </c>
      <c r="T14" s="491" t="s">
        <v>9411</v>
      </c>
      <c r="U14" s="492" t="s">
        <v>9412</v>
      </c>
      <c r="V14" s="254" t="s">
        <v>9413</v>
      </c>
      <c r="W14" s="9"/>
      <c r="X14" s="9"/>
      <c r="Y14" s="9"/>
      <c r="Z14" s="9"/>
      <c r="AA14" s="9"/>
      <c r="AB14" s="9"/>
      <c r="AC14" s="9"/>
      <c r="AD14" s="9"/>
      <c r="AE14" s="9"/>
      <c r="AF14" s="9"/>
      <c r="AG14" s="9"/>
      <c r="AH14" s="9"/>
      <c r="AI14" s="9"/>
      <c r="AJ14" s="9"/>
      <c r="AK14" s="9"/>
      <c r="AL14" s="9"/>
      <c r="AM14" s="9"/>
      <c r="AN14" s="9"/>
      <c r="AO14" s="9"/>
      <c r="AP14" s="9"/>
      <c r="AQ14" s="9"/>
      <c r="AR14" s="9"/>
      <c r="AS14" s="9"/>
      <c r="AT14" s="9"/>
    </row>
    <row r="15">
      <c r="A15" s="489" t="s">
        <v>9414</v>
      </c>
      <c r="B15" s="260" t="s">
        <v>1485</v>
      </c>
      <c r="C15" s="488" t="s">
        <v>9415</v>
      </c>
      <c r="D15" s="260" t="s">
        <v>1485</v>
      </c>
      <c r="E15" s="488" t="s">
        <v>9416</v>
      </c>
      <c r="F15" s="205" t="s">
        <v>1485</v>
      </c>
      <c r="G15" s="492" t="str">
        <f>IFERROR(__xludf.DUMMYFUNCTION("GOOGLETRANSLATE(A15,""zh-tw"",""zh"")"),"炸薯条")</f>
        <v>炸薯条</v>
      </c>
      <c r="H15" s="254" t="str">
        <f>IFERROR(__xludf.DUMMYFUNCTION("GOOGLETRANSLATE(B15,""zh-tw"",""zh"")"),"-")</f>
        <v>-</v>
      </c>
      <c r="I15" s="492" t="str">
        <f>IFERROR(__xludf.DUMMYFUNCTION("GOOGLETRANSLATE(A15,""zh-tw"",""es-MX"")"),"papas fritas")</f>
        <v>papas fritas</v>
      </c>
      <c r="J15" s="254" t="str">
        <f>IFERROR(__xludf.DUMMYFUNCTION("GOOGLETRANSLATE(B15,""zh-tw"",""es-MX"")"),"-")</f>
        <v>-</v>
      </c>
      <c r="K15" s="492" t="str">
        <f>IFERROR(__xludf.DUMMYFUNCTION("GOOGLETRANSLATE(A15,""zh-tw"",""KO"")"),"감자 튀김")</f>
        <v>감자 튀김</v>
      </c>
      <c r="L15" s="254" t="str">
        <f>IFERROR(__xludf.DUMMYFUNCTION("GOOGLETRANSLATE(B15,""zh-tw"",""KO"")"),"-")</f>
        <v>-</v>
      </c>
      <c r="M15" s="492" t="s">
        <v>9417</v>
      </c>
      <c r="N15" s="254" t="s">
        <v>1485</v>
      </c>
      <c r="O15" s="492" t="s">
        <v>9418</v>
      </c>
      <c r="P15" s="254" t="s">
        <v>1485</v>
      </c>
      <c r="Q15" s="489" t="s">
        <v>9419</v>
      </c>
      <c r="R15" s="260" t="s">
        <v>9420</v>
      </c>
      <c r="S15" s="505" t="s">
        <v>9421</v>
      </c>
      <c r="T15" s="491" t="s">
        <v>1485</v>
      </c>
      <c r="U15" s="492" t="s">
        <v>9422</v>
      </c>
      <c r="V15" s="254" t="s">
        <v>1485</v>
      </c>
      <c r="W15" s="9"/>
      <c r="X15" s="9"/>
      <c r="Y15" s="9"/>
      <c r="Z15" s="9"/>
      <c r="AA15" s="9"/>
      <c r="AB15" s="9"/>
      <c r="AC15" s="9"/>
      <c r="AD15" s="9"/>
      <c r="AE15" s="9"/>
      <c r="AF15" s="9"/>
      <c r="AG15" s="9"/>
      <c r="AH15" s="9"/>
      <c r="AI15" s="9"/>
      <c r="AJ15" s="9"/>
      <c r="AK15" s="9"/>
      <c r="AL15" s="9"/>
      <c r="AM15" s="9"/>
      <c r="AN15" s="9"/>
      <c r="AO15" s="9"/>
      <c r="AP15" s="9"/>
      <c r="AQ15" s="9"/>
      <c r="AR15" s="9"/>
      <c r="AS15" s="9"/>
      <c r="AT15" s="9"/>
    </row>
    <row r="16">
      <c r="A16" s="492" t="s">
        <v>9423</v>
      </c>
      <c r="B16" s="254" t="s">
        <v>9424</v>
      </c>
      <c r="C16" s="492" t="s">
        <v>9425</v>
      </c>
      <c r="D16" s="254" t="s">
        <v>9426</v>
      </c>
      <c r="E16" s="492" t="s">
        <v>9427</v>
      </c>
      <c r="F16" s="254" t="s">
        <v>9428</v>
      </c>
      <c r="G16" s="492" t="s">
        <v>9429</v>
      </c>
      <c r="H16" s="254" t="s">
        <v>9430</v>
      </c>
      <c r="I16" s="492" t="str">
        <f>IFERROR(__xludf.DUMMYFUNCTION("GOOGLETRANSLATE(A16,""zh-tw"",""es-MX"")"),"Regalo de los Creepers Oscuros")</f>
        <v>Regalo de los Creepers Oscuros</v>
      </c>
      <c r="J16" s="254" t="str">
        <f>IFERROR(__xludf.DUMMYFUNCTION("GOOGLETRANSLATE(B16,""zh-tw"",""es-MX"")"),"Mayor velocidad de movimiento.
Garantiza un efecto de estado especial.")</f>
        <v>Mayor velocidad de movimiento.
Garantiza un efecto de estado especial.</v>
      </c>
      <c r="K16" s="492" t="str">
        <f>IFERROR(__xludf.DUMMYFUNCTION("GOOGLETRANSLATE(A16,""zh-tw"",""KO"")"),"어둠의 덩굴의 선물")</f>
        <v>어둠의 덩굴의 선물</v>
      </c>
      <c r="L16" s="254" t="str">
        <f>IFERROR(__xludf.DUMMYFUNCTION("GOOGLETRANSLATE(B16,""zh-tw"",""KO"")"),"이동 속도 증가
특수 상태 효과 부여 보장")</f>
        <v>이동 속도 증가
특수 상태 효과 부여 보장</v>
      </c>
      <c r="M16" s="492" t="s">
        <v>9431</v>
      </c>
      <c r="N16" s="254" t="s">
        <v>9432</v>
      </c>
      <c r="O16" s="492" t="s">
        <v>9433</v>
      </c>
      <c r="P16" s="254" t="s">
        <v>9434</v>
      </c>
      <c r="Q16" s="506" t="str">
        <f>IFERROR(__xludf.DUMMYFUNCTION("GOOGLETRANSLATE(A16,""zh-tw"",""de"")"),"Geschenk der dunklen Kriecher")</f>
        <v>Geschenk der dunklen Kriecher</v>
      </c>
      <c r="R16" s="504" t="str">
        <f>IFERROR(__xludf.DUMMYFUNCTION("GOOGLETRANSLATE(B16,""zh-tw"",""de"")"),"Erhöhte Bewegungsgeschwindigkeit. Gewährt garantiert einen besonderen Statuseffekt.")</f>
        <v>Erhöhte Bewegungsgeschwindigkeit. Gewährt garantiert einen besonderen Statuseffekt.</v>
      </c>
      <c r="S16" s="503" t="s">
        <v>9435</v>
      </c>
      <c r="T16" s="261" t="s">
        <v>9436</v>
      </c>
      <c r="U16" s="492" t="s">
        <v>9437</v>
      </c>
      <c r="V16" s="254" t="s">
        <v>9438</v>
      </c>
      <c r="W16" s="9"/>
      <c r="X16" s="9"/>
      <c r="Y16" s="9"/>
      <c r="Z16" s="9"/>
      <c r="AA16" s="9"/>
      <c r="AB16" s="9"/>
      <c r="AC16" s="9"/>
      <c r="AD16" s="9"/>
      <c r="AE16" s="9"/>
      <c r="AF16" s="9"/>
      <c r="AG16" s="9"/>
      <c r="AH16" s="9"/>
      <c r="AI16" s="9"/>
      <c r="AJ16" s="9"/>
      <c r="AK16" s="9"/>
      <c r="AL16" s="9"/>
      <c r="AM16" s="9"/>
      <c r="AN16" s="9"/>
      <c r="AO16" s="9"/>
      <c r="AP16" s="9"/>
      <c r="AQ16" s="9"/>
      <c r="AR16" s="9"/>
      <c r="AS16" s="9"/>
      <c r="AT16" s="9"/>
    </row>
    <row r="17">
      <c r="A17" s="488" t="s">
        <v>9439</v>
      </c>
      <c r="B17" s="205" t="s">
        <v>9440</v>
      </c>
      <c r="C17" s="488" t="s">
        <v>9441</v>
      </c>
      <c r="D17" s="205" t="s">
        <v>9442</v>
      </c>
      <c r="E17" s="488" t="s">
        <v>9443</v>
      </c>
      <c r="F17" s="205" t="s">
        <v>9444</v>
      </c>
      <c r="G17" s="492" t="str">
        <f>IFERROR(__xludf.DUMMYFUNCTION("GOOGLETRANSLATE(A17,""zh-tw"",""zh"")"),"铁觇")</f>
        <v>铁觇</v>
      </c>
      <c r="H17" s="254" t="str">
        <f>IFERROR(__xludf.DUMMYFUNCTION("GOOGLETRANSLATE(B17,""zh-tw"",""zh"")"),"物防：15
魔抗：10
详细说明于Tips")</f>
        <v>物防：15
魔抗：10
详细说明于Tips</v>
      </c>
      <c r="I17" s="492" t="str">
        <f>IFERROR(__xludf.DUMMYFUNCTION("GOOGLETRANSLATE(A17,""zh-tw"",""es-MX"")"),"Águila de hierro")</f>
        <v>Águila de hierro</v>
      </c>
      <c r="J17" s="254" t="str">
        <f>IFERROR(__xludf.DUMMYFUNCTION("GOOGLETRANSLATE(B17,""zh-tw"",""es-MX"")"),"Defensa física: 15
Resistencia mágica: 10
Explicación detallada en Consejos")</f>
        <v>Defensa física: 15
Resistencia mágica: 10
Explicación detallada en Consejos</v>
      </c>
      <c r="K17" s="492" t="str">
        <f>IFERROR(__xludf.DUMMYFUNCTION("GOOGLETRANSLATE(A17,""zh-tw"",""KO"")"),"아이언 이글")</f>
        <v>아이언 이글</v>
      </c>
      <c r="L17" s="254" t="str">
        <f>IFERROR(__xludf.DUMMYFUNCTION("GOOGLETRANSLATE(B17,""zh-tw"",""KO"")"),"물리 방어력: 15
마법 저항력: 10
자세한 설명은 팁을 참조하세요.")</f>
        <v>물리 방어력: 15
마법 저항력: 10
자세한 설명은 팁을 참조하세요.</v>
      </c>
      <c r="M17" s="492" t="s">
        <v>9445</v>
      </c>
      <c r="N17" s="254" t="s">
        <v>9446</v>
      </c>
      <c r="O17" s="492" t="s">
        <v>9447</v>
      </c>
      <c r="P17" s="254" t="s">
        <v>9448</v>
      </c>
      <c r="Q17" s="506" t="str">
        <f>IFERROR(__xludf.DUMMYFUNCTION("GOOGLETRANSLATE(A17,""zh-tw"",""de"")"),"Eiserner Adler")</f>
        <v>Eiserner Adler</v>
      </c>
      <c r="R17" s="504" t="str">
        <f>IFERROR(__xludf.DUMMYFUNCTION("GOOGLETRANSLATE(B17,""zh-tw"",""de"")"),"Physische Verteidigung: 15
Magieresistenz: 10
Detaillierte Erklärung in den Tipps")</f>
        <v>Physische Verteidigung: 15
Magieresistenz: 10
Detaillierte Erklärung in den Tipps</v>
      </c>
      <c r="S17" s="503" t="s">
        <v>9449</v>
      </c>
      <c r="T17" s="491" t="s">
        <v>9450</v>
      </c>
      <c r="U17" s="492" t="s">
        <v>9451</v>
      </c>
      <c r="V17" s="254" t="s">
        <v>9452</v>
      </c>
      <c r="W17" s="9"/>
      <c r="X17" s="9"/>
      <c r="Y17" s="9"/>
      <c r="Z17" s="9"/>
      <c r="AA17" s="9"/>
      <c r="AB17" s="9"/>
      <c r="AC17" s="9"/>
      <c r="AD17" s="9"/>
      <c r="AE17" s="9"/>
      <c r="AF17" s="9"/>
      <c r="AG17" s="9"/>
      <c r="AH17" s="9"/>
      <c r="AI17" s="9"/>
      <c r="AJ17" s="9"/>
      <c r="AK17" s="9"/>
      <c r="AL17" s="9"/>
      <c r="AM17" s="9"/>
      <c r="AN17" s="9"/>
      <c r="AO17" s="9"/>
      <c r="AP17" s="9"/>
      <c r="AQ17" s="9"/>
      <c r="AR17" s="9"/>
      <c r="AS17" s="9"/>
      <c r="AT17" s="9"/>
    </row>
    <row r="18">
      <c r="A18" s="488" t="s">
        <v>9453</v>
      </c>
      <c r="B18" s="205" t="s">
        <v>9454</v>
      </c>
      <c r="C18" s="488" t="s">
        <v>9455</v>
      </c>
      <c r="D18" s="205" t="s">
        <v>9456</v>
      </c>
      <c r="E18" s="488" t="s">
        <v>9457</v>
      </c>
      <c r="F18" s="205" t="s">
        <v>9458</v>
      </c>
      <c r="G18" s="492" t="str">
        <f>IFERROR(__xludf.DUMMYFUNCTION("GOOGLETRANSLATE(A18,""zh-tw"",""zh"")"),"初号机枢I~VII")</f>
        <v>初号机枢I~VII</v>
      </c>
      <c r="H18" s="254" t="str">
        <f>IFERROR(__xludf.DUMMYFUNCTION("GOOGLETRANSLATE(B18,""zh-tw"",""zh"")"),"可以于技能栏位中，消耗特定物品进行提升机甲的型态，由此获得新能力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18" s="492" t="str">
        <f>IFERROR(__xludf.DUMMYFUNCTION("GOOGLETRANSLATE(A18,""zh-tw"",""es-MX"")"),"Unidad 1-VII")</f>
        <v>Unidad 1-VII</v>
      </c>
      <c r="J18" s="254" t="str">
        <f>IFERROR(__xludf.DUMMYFUNCTION("GOOGLETRANSLATE(B18,""zh-tw"",""es-MX"")"),"Puedes mejorar la forma de tu mecha consumiendo objetos específicos en las ranuras de habilidades, obteniendo así nuevas capacidades.
Resistencia mágica: 20~??
*No se puede descartar ni destruir
(Consulta los CONSEJOS para más detalles)")</f>
        <v>Puedes mejorar la forma de tu mecha consumiendo objetos específicos en las ranuras de habilidades, obteniendo así nuevas capacidades.
Resistencia mágica: 20~??
*No se puede descartar ni destruir
(Consulta los CONSEJOS para más detalles)</v>
      </c>
      <c r="K18" s="492" t="str">
        <f>IFERROR(__xludf.DUMMYFUNCTION("GOOGLETRANSLATE(A18,""zh-tw"",""KO"")"),"단원 1-VII")</f>
        <v>단원 1-VII</v>
      </c>
      <c r="L18" s="254" t="str">
        <f>IFERROR(__xludf.DUMMYFUNCTION("GOOGLETRANSLATE(B18,""zh-tw"",""KO"")"),"스킬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18" s="488" t="s">
        <v>9459</v>
      </c>
      <c r="N18" s="254" t="s">
        <v>9460</v>
      </c>
      <c r="O18" s="488" t="s">
        <v>9459</v>
      </c>
      <c r="P18" s="254" t="s">
        <v>9461</v>
      </c>
      <c r="Q18" s="488" t="s">
        <v>9462</v>
      </c>
      <c r="R18" s="205" t="s">
        <v>9463</v>
      </c>
      <c r="S18" s="505" t="s">
        <v>9457</v>
      </c>
      <c r="T18" s="495" t="s">
        <v>9464</v>
      </c>
      <c r="U18" s="492" t="s">
        <v>9465</v>
      </c>
      <c r="V18" s="254" t="s">
        <v>9466</v>
      </c>
      <c r="W18" s="9"/>
      <c r="X18" s="9"/>
      <c r="Y18" s="9"/>
      <c r="Z18" s="9"/>
      <c r="AA18" s="9"/>
      <c r="AB18" s="9"/>
      <c r="AC18" s="9"/>
      <c r="AD18" s="9"/>
      <c r="AE18" s="9"/>
      <c r="AF18" s="9"/>
      <c r="AG18" s="9"/>
      <c r="AH18" s="9"/>
      <c r="AI18" s="9"/>
      <c r="AJ18" s="9"/>
      <c r="AK18" s="9"/>
      <c r="AL18" s="9"/>
      <c r="AM18" s="9"/>
      <c r="AN18" s="9"/>
      <c r="AO18" s="9"/>
      <c r="AP18" s="9"/>
      <c r="AQ18" s="9"/>
      <c r="AR18" s="9"/>
      <c r="AS18" s="9"/>
      <c r="AT18" s="9"/>
    </row>
    <row r="19">
      <c r="A19" s="488" t="s">
        <v>9467</v>
      </c>
      <c r="B19" s="205" t="s">
        <v>9468</v>
      </c>
      <c r="C19" s="488" t="s">
        <v>9469</v>
      </c>
      <c r="D19" s="205" t="s">
        <v>9470</v>
      </c>
      <c r="E19" s="488" t="s">
        <v>9471</v>
      </c>
      <c r="F19" s="205" t="s">
        <v>9472</v>
      </c>
      <c r="G19" s="492" t="str">
        <f>IFERROR(__xludf.DUMMYFUNCTION("GOOGLETRANSLATE(A19,""zh-tw"",""zh"")"),"把草莓夺回来！ !")</f>
        <v>把草莓夺回来！ !</v>
      </c>
      <c r="H19" s="254" t="str">
        <f>IFERROR(__xludf.DUMMYFUNCTION("GOOGLETRANSLATE(B19,""zh-tw"",""zh"")"),"指令类型装备
(请见技能栏位)")</f>
        <v>指令类型装备
(请见技能栏位)</v>
      </c>
      <c r="I19" s="492" t="str">
        <f>IFERROR(__xludf.DUMMYFUNCTION("GOOGLETRANSLATE(A19,""zh-tw"",""es-MX"")"),"¡Devuelvan las fresas!")</f>
        <v>¡Devuelvan las fresas!</v>
      </c>
      <c r="J19" s="254" t="str">
        <f>IFERROR(__xludf.DUMMYFUNCTION("GOOGLETRANSLATE(B19,""zh-tw"",""es-MX"")"),"Equipo de tipo comando
(Ver ranuras de habilidad)")</f>
        <v>Equipo de tipo comando
(Ver ranuras de habilidad)</v>
      </c>
      <c r="K19" s="492" t="str">
        <f>IFERROR(__xludf.DUMMYFUNCTION("GOOGLETRANSLATE(A19,""zh-tw"",""KO"")"),"딸기를 되찾아와!")</f>
        <v>딸기를 되찾아와!</v>
      </c>
      <c r="L19" s="254" t="str">
        <f>IFERROR(__xludf.DUMMYFUNCTION("GOOGLETRANSLATE(B19,""zh-tw"",""KO"")"),"명령형 장비
(스킬 슬롯 참조)")</f>
        <v>명령형 장비
(스킬 슬롯 참조)</v>
      </c>
      <c r="M19" s="492" t="s">
        <v>9473</v>
      </c>
      <c r="N19" s="254" t="s">
        <v>9474</v>
      </c>
      <c r="O19" s="492" t="s">
        <v>9475</v>
      </c>
      <c r="P19" s="254" t="s">
        <v>9476</v>
      </c>
      <c r="Q19" s="506" t="str">
        <f>IFERROR(__xludf.DUMMYFUNCTION("GOOGLETRANSLATE(A19,""zh-tw"",""de"")"),"Holt die Erdbeeren zurück!")</f>
        <v>Holt die Erdbeeren zurück!</v>
      </c>
      <c r="R19" s="504" t="str">
        <f>IFERROR(__xludf.DUMMYFUNCTION("GOOGLETRANSLATE(B19,""zh-tw"",""de"")"),"Ausrüstung vom Typ „Befehl“
(Siehe Fertigkeitsplätze)")</f>
        <v>Ausrüstung vom Typ „Befehl“
(Siehe Fertigkeitsplätze)</v>
      </c>
      <c r="S19" s="505" t="s">
        <v>9477</v>
      </c>
      <c r="T19" s="495" t="s">
        <v>9478</v>
      </c>
      <c r="U19" s="492" t="s">
        <v>9479</v>
      </c>
      <c r="V19" s="254" t="s">
        <v>9480</v>
      </c>
      <c r="W19" s="9"/>
      <c r="X19" s="9"/>
      <c r="Y19" s="9"/>
      <c r="Z19" s="9"/>
      <c r="AA19" s="9"/>
      <c r="AB19" s="9"/>
      <c r="AC19" s="9"/>
      <c r="AD19" s="9"/>
      <c r="AE19" s="9"/>
      <c r="AF19" s="9"/>
      <c r="AG19" s="9"/>
      <c r="AH19" s="9"/>
      <c r="AI19" s="9"/>
      <c r="AJ19" s="9"/>
      <c r="AK19" s="9"/>
      <c r="AL19" s="9"/>
      <c r="AM19" s="9"/>
      <c r="AN19" s="9"/>
      <c r="AO19" s="9"/>
      <c r="AP19" s="9"/>
      <c r="AQ19" s="9"/>
      <c r="AR19" s="9"/>
      <c r="AS19" s="9"/>
      <c r="AT19" s="9"/>
    </row>
    <row r="20">
      <c r="A20" s="488" t="s">
        <v>9481</v>
      </c>
      <c r="B20" s="205" t="s">
        <v>9482</v>
      </c>
      <c r="C20" s="488"/>
      <c r="D20" s="205"/>
      <c r="E20" s="488" t="s">
        <v>9483</v>
      </c>
      <c r="F20" s="205" t="s">
        <v>9484</v>
      </c>
      <c r="G20" s="492"/>
      <c r="H20" s="254"/>
      <c r="I20" s="492"/>
      <c r="J20" s="254"/>
      <c r="K20" s="492"/>
      <c r="L20" s="254"/>
      <c r="M20" s="488" t="s">
        <v>9485</v>
      </c>
      <c r="N20" s="205" t="s">
        <v>9486</v>
      </c>
      <c r="O20" s="492"/>
      <c r="P20" s="254"/>
      <c r="Q20" s="506"/>
      <c r="R20" s="504"/>
      <c r="S20" s="505"/>
      <c r="T20" s="495" t="s">
        <v>9487</v>
      </c>
      <c r="U20" s="488" t="s">
        <v>9488</v>
      </c>
      <c r="V20" s="205" t="s">
        <v>9489</v>
      </c>
      <c r="W20" s="9"/>
      <c r="X20" s="9"/>
      <c r="Y20" s="9"/>
      <c r="Z20" s="9"/>
      <c r="AA20" s="9"/>
      <c r="AB20" s="9"/>
      <c r="AC20" s="9"/>
      <c r="AD20" s="9"/>
      <c r="AE20" s="9"/>
      <c r="AF20" s="9"/>
      <c r="AG20" s="9"/>
      <c r="AH20" s="9"/>
      <c r="AI20" s="9"/>
      <c r="AJ20" s="9"/>
      <c r="AK20" s="9"/>
      <c r="AL20" s="9"/>
      <c r="AM20" s="9"/>
      <c r="AN20" s="9"/>
      <c r="AO20" s="9"/>
      <c r="AP20" s="9"/>
      <c r="AQ20" s="9"/>
      <c r="AR20" s="9"/>
      <c r="AS20" s="9"/>
      <c r="AT20" s="9"/>
    </row>
    <row r="21">
      <c r="A21" s="200" t="s">
        <v>8596</v>
      </c>
      <c r="C21" s="200" t="s">
        <v>8597</v>
      </c>
      <c r="E21" s="200" t="s">
        <v>8598</v>
      </c>
      <c r="G21" s="200" t="s">
        <v>8599</v>
      </c>
      <c r="I21" s="200"/>
      <c r="K21" s="200"/>
      <c r="M21" s="193" t="s">
        <v>9490</v>
      </c>
      <c r="O21" s="200" t="s">
        <v>8601</v>
      </c>
      <c r="Q21" s="200"/>
      <c r="S21" s="203" t="s">
        <v>9491</v>
      </c>
      <c r="U21" s="200" t="s">
        <v>8603</v>
      </c>
      <c r="W21" s="254"/>
      <c r="X21" s="254"/>
      <c r="Y21" s="254"/>
      <c r="Z21" s="254"/>
      <c r="AA21" s="9"/>
      <c r="AB21" s="9"/>
      <c r="AC21" s="9"/>
      <c r="AD21" s="9"/>
      <c r="AE21" s="9"/>
      <c r="AF21" s="9"/>
      <c r="AG21" s="9"/>
      <c r="AH21" s="9"/>
      <c r="AI21" s="9"/>
      <c r="AJ21" s="9"/>
      <c r="AK21" s="9"/>
      <c r="AL21" s="9"/>
      <c r="AM21" s="9"/>
      <c r="AN21" s="9"/>
      <c r="AO21" s="9"/>
      <c r="AP21" s="9"/>
      <c r="AQ21" s="9"/>
      <c r="AR21" s="9"/>
      <c r="AS21" s="9"/>
      <c r="AT21" s="9"/>
    </row>
    <row r="22">
      <c r="A22" s="489" t="s">
        <v>9492</v>
      </c>
      <c r="B22" s="260" t="s">
        <v>9493</v>
      </c>
      <c r="C22" s="488" t="s">
        <v>9494</v>
      </c>
      <c r="D22" s="205" t="s">
        <v>9495</v>
      </c>
      <c r="E22" s="488" t="s">
        <v>9496</v>
      </c>
      <c r="F22" s="205" t="s">
        <v>9497</v>
      </c>
      <c r="G22" s="492" t="str">
        <f>IFERROR(__xludf.DUMMYFUNCTION("GOOGLETRANSLATE(A22,""zh-tw"",""zh"")"),"苹果头套")</f>
        <v>苹果头套</v>
      </c>
      <c r="H22" s="254" t="str">
        <f>IFERROR(__xludf.DUMMYFUNCTION("GOOGLETRANSLATE(B22,""zh-tw"",""zh"")"),"幸运：10
概率回复")</f>
        <v>幸运：10
概率回复</v>
      </c>
      <c r="I22" s="488" t="s">
        <v>9498</v>
      </c>
      <c r="J22" s="205" t="s">
        <v>9499</v>
      </c>
      <c r="K22" s="488" t="s">
        <v>9500</v>
      </c>
      <c r="L22" s="205" t="s">
        <v>9501</v>
      </c>
      <c r="M22" s="492" t="s">
        <v>9502</v>
      </c>
      <c r="N22" s="254" t="s">
        <v>9503</v>
      </c>
      <c r="O22" s="492" t="s">
        <v>9504</v>
      </c>
      <c r="P22" s="254" t="s">
        <v>9505</v>
      </c>
      <c r="Q22" s="489" t="s">
        <v>9506</v>
      </c>
      <c r="R22" s="260" t="s">
        <v>9507</v>
      </c>
      <c r="S22" s="505" t="s">
        <v>9508</v>
      </c>
      <c r="T22" s="491" t="s">
        <v>9509</v>
      </c>
      <c r="U22" s="492" t="s">
        <v>9510</v>
      </c>
      <c r="V22" s="254" t="s">
        <v>9511</v>
      </c>
      <c r="W22" s="9"/>
      <c r="X22" s="9"/>
      <c r="Y22" s="9"/>
      <c r="Z22" s="9"/>
      <c r="AA22" s="9"/>
      <c r="AB22" s="9"/>
      <c r="AC22" s="9"/>
      <c r="AD22" s="9"/>
      <c r="AE22" s="9"/>
      <c r="AF22" s="9"/>
      <c r="AG22" s="9"/>
      <c r="AH22" s="9"/>
      <c r="AI22" s="9"/>
      <c r="AJ22" s="9"/>
      <c r="AK22" s="9"/>
      <c r="AL22" s="9"/>
      <c r="AM22" s="9"/>
      <c r="AN22" s="9"/>
      <c r="AO22" s="9"/>
      <c r="AP22" s="9"/>
      <c r="AQ22" s="9"/>
      <c r="AR22" s="9"/>
      <c r="AS22" s="9"/>
      <c r="AT22" s="9"/>
    </row>
    <row r="23">
      <c r="A23" s="489" t="s">
        <v>9512</v>
      </c>
      <c r="B23" s="260" t="s">
        <v>9513</v>
      </c>
      <c r="C23" s="488" t="s">
        <v>9514</v>
      </c>
      <c r="D23" s="205" t="s">
        <v>9515</v>
      </c>
      <c r="E23" s="488" t="s">
        <v>9516</v>
      </c>
      <c r="F23" s="205" t="s">
        <v>9517</v>
      </c>
      <c r="G23" s="492" t="str">
        <f>IFERROR(__xludf.DUMMYFUNCTION("GOOGLETRANSLATE(A23,""zh-tw"",""zh"")"),"受诅胎体")</f>
        <v>受诅胎体</v>
      </c>
      <c r="H23" s="254" t="str">
        <f>IFERROR(__xludf.DUMMYFUNCTION("GOOGLETRANSLATE(B23,""zh-tw"",""zh"")"),"体力上升，基础25，额外加成2%
体力恢复效果提升20%")</f>
        <v>体力上升，基础25，额外加成2%
体力恢复效果提升20%</v>
      </c>
      <c r="I23" s="492" t="str">
        <f>IFERROR(__xludf.DUMMYFUNCTION("GOOGLETRANSLATE(A23,""zh-tw"",""es-MX"")"),"feto maldito")</f>
        <v>feto maldito</v>
      </c>
      <c r="J23" s="254" t="str">
        <f>IFERROR(__xludf.DUMMYFUNCTION("GOOGLETRANSLATE(B23,""zh-tw"",""es-MX"")"),"La resistencia aumentó desde un valor base de 25, con una bonificación adicional del 2%. El efecto de recuperación de resistencia aumentó un 20%.")</f>
        <v>La resistencia aumentó desde un valor base de 25, con una bonificación adicional del 2%. El efecto de recuperación de resistencia aumentó un 20%.</v>
      </c>
      <c r="K23" s="492" t="str">
        <f>IFERROR(__xludf.DUMMYFUNCTION("GOOGLETRANSLATE(A23,""zh-tw"",""KO"")"),"저주받은 태아")</f>
        <v>저주받은 태아</v>
      </c>
      <c r="L23" s="205" t="s">
        <v>9518</v>
      </c>
      <c r="M23" s="492" t="s">
        <v>9519</v>
      </c>
      <c r="N23" s="254" t="s">
        <v>9520</v>
      </c>
      <c r="O23" s="492" t="s">
        <v>9521</v>
      </c>
      <c r="P23" s="254" t="s">
        <v>9522</v>
      </c>
      <c r="Q23" s="489" t="s">
        <v>9523</v>
      </c>
      <c r="R23" s="260" t="s">
        <v>9524</v>
      </c>
      <c r="S23" s="505" t="s">
        <v>9525</v>
      </c>
      <c r="T23" s="491" t="s">
        <v>9526</v>
      </c>
      <c r="U23" s="492" t="s">
        <v>9527</v>
      </c>
      <c r="V23" s="254" t="s">
        <v>9528</v>
      </c>
      <c r="W23" s="9"/>
      <c r="X23" s="9"/>
      <c r="Y23" s="9"/>
      <c r="Z23" s="9"/>
      <c r="AA23" s="9"/>
      <c r="AB23" s="9"/>
      <c r="AC23" s="9"/>
      <c r="AD23" s="9"/>
      <c r="AE23" s="9"/>
      <c r="AF23" s="9"/>
      <c r="AG23" s="9"/>
      <c r="AH23" s="9"/>
      <c r="AI23" s="9"/>
      <c r="AJ23" s="9"/>
      <c r="AK23" s="9"/>
      <c r="AL23" s="9"/>
      <c r="AM23" s="9"/>
      <c r="AN23" s="9"/>
      <c r="AO23" s="9"/>
      <c r="AP23" s="9"/>
      <c r="AQ23" s="9"/>
      <c r="AR23" s="9"/>
      <c r="AS23" s="9"/>
      <c r="AT23" s="9"/>
    </row>
    <row r="24">
      <c r="A24" s="489" t="s">
        <v>9529</v>
      </c>
      <c r="B24" s="260" t="s">
        <v>9530</v>
      </c>
      <c r="C24" s="488" t="s">
        <v>9531</v>
      </c>
      <c r="D24" s="205" t="s">
        <v>9532</v>
      </c>
      <c r="E24" s="488" t="s">
        <v>9533</v>
      </c>
      <c r="F24" s="205" t="s">
        <v>9534</v>
      </c>
      <c r="G24" s="492" t="str">
        <f>IFERROR(__xludf.DUMMYFUNCTION("GOOGLETRANSLATE(A24,""zh-tw"",""zh"")"),"魔力晶簇")</f>
        <v>魔力晶簇</v>
      </c>
      <c r="H24" s="254" t="str">
        <f>IFERROR(__xludf.DUMMYFUNCTION("GOOGLETRANSLATE(B24,""zh-tw"",""zh"")"),"魔攻：20
魔抗：10
加快吟唱、提升魔法威力上限")</f>
        <v>魔攻：20
魔抗：10
加快吟唱、提升魔法威力上限</v>
      </c>
      <c r="I24" s="492" t="str">
        <f>IFERROR(__xludf.DUMMYFUNCTION("GOOGLETRANSLATE(A24,""zh-tw"",""es-MX"")"),"Racimo de cristales mágicos")</f>
        <v>Racimo de cristales mágicos</v>
      </c>
      <c r="J24" s="254" t="str">
        <f>IFERROR(__xludf.DUMMYFUNCTION("GOOGLETRANSLATE(B24,""zh-tw"",""es-MX"")"),"Ataque mágico: 20
Resistencia mágica: 10
Acelera el lanzamiento de hechizos, aumenta el poder mágico máximo")</f>
        <v>Ataque mágico: 20
Resistencia mágica: 10
Acelera el lanzamiento de hechizos, aumenta el poder mágico máximo</v>
      </c>
      <c r="K24" s="488" t="s">
        <v>9535</v>
      </c>
      <c r="L24" s="205" t="s">
        <v>9536</v>
      </c>
      <c r="M24" s="492" t="s">
        <v>9537</v>
      </c>
      <c r="N24" s="254" t="s">
        <v>9538</v>
      </c>
      <c r="O24" s="492" t="s">
        <v>9539</v>
      </c>
      <c r="P24" s="254" t="s">
        <v>9540</v>
      </c>
      <c r="Q24" s="489" t="s">
        <v>9541</v>
      </c>
      <c r="R24" s="260" t="s">
        <v>9542</v>
      </c>
      <c r="S24" s="505" t="s">
        <v>9543</v>
      </c>
      <c r="T24" s="495" t="s">
        <v>9544</v>
      </c>
      <c r="U24" s="492" t="s">
        <v>9545</v>
      </c>
      <c r="V24" s="254" t="s">
        <v>9546</v>
      </c>
      <c r="W24" s="9"/>
      <c r="X24" s="9"/>
      <c r="Y24" s="9"/>
      <c r="Z24" s="9"/>
      <c r="AA24" s="9"/>
      <c r="AB24" s="9"/>
      <c r="AC24" s="9"/>
      <c r="AD24" s="9"/>
      <c r="AE24" s="9"/>
      <c r="AF24" s="9"/>
      <c r="AG24" s="9"/>
      <c r="AH24" s="9"/>
      <c r="AI24" s="9"/>
      <c r="AJ24" s="9"/>
      <c r="AK24" s="9"/>
      <c r="AL24" s="9"/>
      <c r="AM24" s="9"/>
      <c r="AN24" s="9"/>
      <c r="AO24" s="9"/>
      <c r="AP24" s="9"/>
      <c r="AQ24" s="9"/>
      <c r="AR24" s="9"/>
      <c r="AS24" s="9"/>
      <c r="AT24" s="9"/>
    </row>
    <row r="25">
      <c r="A25" s="489" t="s">
        <v>9547</v>
      </c>
      <c r="B25" s="260" t="s">
        <v>9548</v>
      </c>
      <c r="C25" s="488" t="s">
        <v>9549</v>
      </c>
      <c r="D25" s="205" t="s">
        <v>9550</v>
      </c>
      <c r="E25" s="488" t="s">
        <v>9551</v>
      </c>
      <c r="F25" s="205" t="s">
        <v>9552</v>
      </c>
      <c r="G25" s="492" t="str">
        <f>IFERROR(__xludf.DUMMYFUNCTION("GOOGLETRANSLATE(A25,""zh-tw"",""zh"")"),"借来的猫爪")</f>
        <v>借来的猫爪</v>
      </c>
      <c r="H25" s="254" t="str">
        <f>IFERROR(__xludf.DUMMYFUNCTION("GOOGLETRANSLATE(B25,""zh-tw"",""zh"")"),"物攻：5
攻击力、攻速上升
降低坠落伤害")</f>
        <v>物攻：5
攻击力、攻速上升
降低坠落伤害</v>
      </c>
      <c r="I25" s="488" t="s">
        <v>9553</v>
      </c>
      <c r="J25" s="254" t="str">
        <f>IFERROR(__xludf.DUMMYFUNCTION("GOOGLETRANSLATE(B25,""zh-tw"",""es-MX"")"),"Ataque físico: 5 Aumenta el poder de ataque y la velocidad de ataque. Reduce el daño por caída.")</f>
        <v>Ataque físico: 5 Aumenta el poder de ataque y la velocidad de ataque. Reduce el daño por caída.</v>
      </c>
      <c r="K25" s="488" t="s">
        <v>9554</v>
      </c>
      <c r="L25" s="205" t="s">
        <v>9555</v>
      </c>
      <c r="M25" s="492" t="s">
        <v>9556</v>
      </c>
      <c r="N25" s="254" t="s">
        <v>9557</v>
      </c>
      <c r="O25" s="492" t="s">
        <v>9558</v>
      </c>
      <c r="P25" s="254" t="s">
        <v>9559</v>
      </c>
      <c r="Q25" s="489" t="s">
        <v>9560</v>
      </c>
      <c r="R25" s="260" t="s">
        <v>9561</v>
      </c>
      <c r="S25" s="505" t="s">
        <v>9562</v>
      </c>
      <c r="T25" s="495" t="s">
        <v>9563</v>
      </c>
      <c r="U25" s="492" t="s">
        <v>9564</v>
      </c>
      <c r="V25" s="254" t="s">
        <v>9565</v>
      </c>
      <c r="W25" s="9"/>
      <c r="X25" s="9"/>
      <c r="Y25" s="9"/>
      <c r="Z25" s="9"/>
      <c r="AA25" s="9"/>
      <c r="AB25" s="9"/>
      <c r="AC25" s="9"/>
      <c r="AD25" s="9"/>
      <c r="AE25" s="9"/>
      <c r="AF25" s="9"/>
      <c r="AG25" s="9"/>
      <c r="AH25" s="9"/>
      <c r="AI25" s="9"/>
      <c r="AJ25" s="9"/>
      <c r="AK25" s="9"/>
      <c r="AL25" s="9"/>
      <c r="AM25" s="9"/>
      <c r="AN25" s="9"/>
      <c r="AO25" s="9"/>
      <c r="AP25" s="9"/>
      <c r="AQ25" s="9"/>
      <c r="AR25" s="9"/>
      <c r="AS25" s="9"/>
      <c r="AT25" s="9"/>
    </row>
    <row r="26">
      <c r="A26" s="488" t="s">
        <v>9566</v>
      </c>
      <c r="B26" s="205" t="s">
        <v>9567</v>
      </c>
      <c r="C26" s="488" t="s">
        <v>9568</v>
      </c>
      <c r="D26" s="205" t="s">
        <v>9569</v>
      </c>
      <c r="E26" s="488" t="s">
        <v>9570</v>
      </c>
      <c r="F26" s="205" t="s">
        <v>9571</v>
      </c>
      <c r="G26" s="492" t="str">
        <f>IFERROR(__xludf.DUMMYFUNCTION("GOOGLETRANSLATE(A26,""zh-tw"",""zh"")"),"猫猫玩偶服")</f>
        <v>猫猫玩偶服</v>
      </c>
      <c r="H26" s="254" t="str">
        <f>IFERROR(__xludf.DUMMYFUNCTION("GOOGLETRANSLATE(B26,""zh-tw"",""zh"")"),"物防：3
魔抗：25
武器数量+10
装备数量+20")</f>
        <v>物防：3
魔抗：25
武器数量+10
装备数量+20</v>
      </c>
      <c r="I26" s="488" t="s">
        <v>9572</v>
      </c>
      <c r="J26" s="254" t="str">
        <f>IFERROR(__xludf.DUMMYFUNCTION("GOOGLETRANSLATE(B26,""zh-tw"",""es-MX"")"),"Defensa física: 3
Resistencia mágica: 25
Cantidad de armas: +10
Cantidad de equipo: +20")</f>
        <v>Defensa física: 3
Resistencia mágica: 25
Cantidad de armas: +10
Cantidad de equipo: +20</v>
      </c>
      <c r="K26" s="492" t="str">
        <f>IFERROR(__xludf.DUMMYFUNCTION("GOOGLETRANSLATE(A26,""zh-tw"",""KO"")"),"고양이 코스튬")</f>
        <v>고양이 코스튬</v>
      </c>
      <c r="L26" s="205" t="s">
        <v>9573</v>
      </c>
      <c r="M26" s="492" t="s">
        <v>9574</v>
      </c>
      <c r="N26" s="254" t="s">
        <v>9575</v>
      </c>
      <c r="O26" s="492" t="s">
        <v>9574</v>
      </c>
      <c r="P26" s="254" t="s">
        <v>9576</v>
      </c>
      <c r="Q26" s="489" t="s">
        <v>9577</v>
      </c>
      <c r="R26" s="260" t="s">
        <v>9578</v>
      </c>
      <c r="S26" s="505" t="s">
        <v>9579</v>
      </c>
      <c r="T26" s="495" t="s">
        <v>9580</v>
      </c>
      <c r="U26" s="492" t="s">
        <v>9581</v>
      </c>
      <c r="V26" s="254" t="s">
        <v>9582</v>
      </c>
      <c r="W26" s="9"/>
      <c r="X26" s="9"/>
      <c r="Y26" s="9"/>
      <c r="Z26" s="9"/>
      <c r="AA26" s="9"/>
      <c r="AB26" s="9"/>
      <c r="AC26" s="9"/>
      <c r="AD26" s="9"/>
      <c r="AE26" s="9"/>
      <c r="AF26" s="9"/>
      <c r="AG26" s="9"/>
      <c r="AH26" s="9"/>
      <c r="AI26" s="9"/>
      <c r="AJ26" s="9"/>
      <c r="AK26" s="9"/>
      <c r="AL26" s="9"/>
      <c r="AM26" s="9"/>
      <c r="AN26" s="9"/>
      <c r="AO26" s="9"/>
      <c r="AP26" s="9"/>
      <c r="AQ26" s="9"/>
      <c r="AR26" s="9"/>
      <c r="AS26" s="9"/>
      <c r="AT26" s="9"/>
    </row>
    <row r="27">
      <c r="A27" s="489" t="s">
        <v>9583</v>
      </c>
      <c r="B27" s="260" t="s">
        <v>9584</v>
      </c>
      <c r="C27" s="488" t="s">
        <v>9585</v>
      </c>
      <c r="D27" s="205" t="s">
        <v>9586</v>
      </c>
      <c r="E27" s="488" t="s">
        <v>9587</v>
      </c>
      <c r="F27" s="205" t="s">
        <v>9588</v>
      </c>
      <c r="G27" s="492" t="str">
        <f>IFERROR(__xludf.DUMMYFUNCTION("GOOGLETRANSLATE(A27,""zh-tw"",""zh"")"),"借来的猫足")</f>
        <v>借来的猫足</v>
      </c>
      <c r="H27" s="254" t="str">
        <f>IFERROR(__xludf.DUMMYFUNCTION("GOOGLETRANSLATE(B27,""zh-tw"",""zh"")"),"攻速、移速上升
闪步冷却时间缩短
降低坠落伤害")</f>
        <v>攻速、移速上升
闪步冷却时间缩短
降低坠落伤害</v>
      </c>
      <c r="I27" s="492" t="str">
        <f>IFERROR(__xludf.DUMMYFUNCTION("GOOGLETRANSLATE(A27,""zh-tw"",""es-MX"")"),"pies de gato prestados")</f>
        <v>pies de gato prestados</v>
      </c>
      <c r="J27" s="254" t="str">
        <f>IFERROR(__xludf.DUMMYFUNCTION("GOOGLETRANSLATE(B27,""zh-tw"",""es-MX"")"),"Mayor velocidad de ataque y de movimiento; menor tiempo de reutilización de Destello; menor daño por caída.")</f>
        <v>Mayor velocidad de ataque y de movimiento; menor tiempo de reutilización de Destello; menor daño por caída.</v>
      </c>
      <c r="K27" s="488" t="s">
        <v>9589</v>
      </c>
      <c r="L27" s="205" t="s">
        <v>9590</v>
      </c>
      <c r="M27" s="492" t="s">
        <v>7802</v>
      </c>
      <c r="N27" s="254" t="s">
        <v>9591</v>
      </c>
      <c r="O27" s="492" t="s">
        <v>7805</v>
      </c>
      <c r="P27" s="254" t="s">
        <v>9592</v>
      </c>
      <c r="Q27" s="489" t="s">
        <v>9593</v>
      </c>
      <c r="R27" s="260" t="s">
        <v>9594</v>
      </c>
      <c r="S27" s="505" t="s">
        <v>9595</v>
      </c>
      <c r="T27" s="495" t="s">
        <v>9596</v>
      </c>
      <c r="U27" s="492" t="s">
        <v>9597</v>
      </c>
      <c r="V27" s="254" t="s">
        <v>9598</v>
      </c>
      <c r="W27" s="9"/>
      <c r="X27" s="9"/>
      <c r="Y27" s="9"/>
      <c r="Z27" s="9"/>
      <c r="AA27" s="9"/>
      <c r="AB27" s="9"/>
      <c r="AC27" s="9"/>
      <c r="AD27" s="9"/>
      <c r="AE27" s="9"/>
      <c r="AF27" s="9"/>
      <c r="AG27" s="9"/>
      <c r="AH27" s="9"/>
      <c r="AI27" s="9"/>
      <c r="AJ27" s="9"/>
      <c r="AK27" s="9"/>
      <c r="AL27" s="9"/>
      <c r="AM27" s="9"/>
      <c r="AN27" s="9"/>
      <c r="AO27" s="9"/>
      <c r="AP27" s="9"/>
      <c r="AQ27" s="9"/>
      <c r="AR27" s="9"/>
      <c r="AS27" s="9"/>
      <c r="AT27" s="9"/>
    </row>
    <row r="28">
      <c r="A28" s="488" t="s">
        <v>9599</v>
      </c>
      <c r="B28" s="205" t="s">
        <v>9600</v>
      </c>
      <c r="C28" s="488" t="s">
        <v>5312</v>
      </c>
      <c r="D28" s="205" t="s">
        <v>9601</v>
      </c>
      <c r="E28" s="488" t="s">
        <v>9602</v>
      </c>
      <c r="F28" s="205" t="s">
        <v>9603</v>
      </c>
      <c r="G28" s="492" t="str">
        <f>IFERROR(__xludf.DUMMYFUNCTION("GOOGLETRANSLATE(A28,""zh-tw"",""zh"")"),"宝石剑")</f>
        <v>宝石剑</v>
      </c>
      <c r="H28" s="254" t="str">
        <f>IFERROR(__xludf.DUMMYFUNCTION("GOOGLETRANSLATE(B28,""zh-tw"",""zh"")"),"魔攻：15
魔抗：20
幸运：20
消耗宝石强化攻击")</f>
        <v>魔攻：15
魔抗：20
幸运：20
消耗宝石强化攻击</v>
      </c>
      <c r="I28" s="492" t="str">
        <f>IFERROR(__xludf.DUMMYFUNCTION("GOOGLETRANSLATE(A28,""zh-tw"",""es-MX"")"),"Espada enjoyada")</f>
        <v>Espada enjoyada</v>
      </c>
      <c r="J28" s="254" t="str">
        <f>IFERROR(__xludf.DUMMYFUNCTION("GOOGLETRANSLATE(B28,""zh-tw"",""es-MX"")"),"Ataque mágico: 15
Resistencia mágica: 20
Suerte: 20
Consume gemas para mejorar el ataque")</f>
        <v>Ataque mágico: 15
Resistencia mágica: 20
Suerte: 20
Consume gemas para mejorar el ataque</v>
      </c>
      <c r="K28" s="492" t="str">
        <f>IFERROR(__xludf.DUMMYFUNCTION("GOOGLETRANSLATE(A28,""zh-tw"",""KO"")"),"보석 박힌 검")</f>
        <v>보석 박힌 검</v>
      </c>
      <c r="L28" s="254" t="str">
        <f>IFERROR(__xludf.DUMMYFUNCTION("GOOGLETRANSLATE(B28,""zh-tw"",""KO"")"),"마법 공격력: 15
마법 저항력: 20
행운: 20
보석을 소모하여 공격력을 강화하세요")</f>
        <v>마법 공격력: 15
마법 저항력: 20
행운: 20
보석을 소모하여 공격력을 강화하세요</v>
      </c>
      <c r="M28" s="492" t="s">
        <v>9604</v>
      </c>
      <c r="N28" s="254" t="s">
        <v>9605</v>
      </c>
      <c r="O28" s="492" t="s">
        <v>9606</v>
      </c>
      <c r="P28" s="254" t="s">
        <v>9607</v>
      </c>
      <c r="Q28" s="506" t="str">
        <f>IFERROR(__xludf.DUMMYFUNCTION("GOOGLETRANSLATE(A28,""zh-tw"",""de"")"),"Juwelenschwert")</f>
        <v>Juwelenschwert</v>
      </c>
      <c r="R28" s="504" t="str">
        <f>IFERROR(__xludf.DUMMYFUNCTION("GOOGLETRANSLATE(B28,""zh-tw"",""de"")"),"Magischer Angriff: 15
Magieresistenz: 20
Glück: 20
Verbrauche Edelsteine, um den Angriff zu erhöhen")</f>
        <v>Magischer Angriff: 15
Magieresistenz: 20
Glück: 20
Verbrauche Edelsteine, um den Angriff zu erhöhen</v>
      </c>
      <c r="S28" s="505" t="s">
        <v>9608</v>
      </c>
      <c r="T28" s="68" t="s">
        <v>9609</v>
      </c>
      <c r="U28" s="492" t="s">
        <v>9610</v>
      </c>
      <c r="V28" s="254" t="s">
        <v>9611</v>
      </c>
      <c r="W28" s="9"/>
      <c r="X28" s="9"/>
      <c r="Y28" s="9"/>
      <c r="Z28" s="9"/>
      <c r="AA28" s="9"/>
      <c r="AB28" s="9"/>
      <c r="AC28" s="9"/>
      <c r="AD28" s="9"/>
      <c r="AE28" s="9"/>
      <c r="AF28" s="9"/>
      <c r="AG28" s="9"/>
      <c r="AH28" s="9"/>
      <c r="AI28" s="9"/>
      <c r="AJ28" s="9"/>
      <c r="AK28" s="9"/>
      <c r="AL28" s="9"/>
      <c r="AM28" s="9"/>
      <c r="AN28" s="9"/>
      <c r="AO28" s="9"/>
      <c r="AP28" s="9"/>
      <c r="AQ28" s="9"/>
      <c r="AR28" s="9"/>
      <c r="AS28" s="9"/>
      <c r="AT28" s="9"/>
    </row>
    <row r="29">
      <c r="A29" s="488" t="s">
        <v>9612</v>
      </c>
      <c r="B29" s="205" t="s">
        <v>9613</v>
      </c>
      <c r="C29" s="488" t="s">
        <v>9614</v>
      </c>
      <c r="D29" s="205" t="s">
        <v>9615</v>
      </c>
      <c r="E29" s="488" t="s">
        <v>9616</v>
      </c>
      <c r="F29" s="205" t="s">
        <v>9617</v>
      </c>
      <c r="G29" s="492" t="str">
        <f>IFERROR(__xludf.DUMMYFUNCTION("GOOGLETRANSLATE(A29,""zh-tw"",""zh"")"),"破颜拳套")</f>
        <v>破颜拳套</v>
      </c>
      <c r="H29" s="254" t="str">
        <f>IFERROR(__xludf.DUMMYFUNCTION("GOOGLETRANSLATE(B29,""zh-tw"",""zh"")"),"物攻：6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29" s="488" t="s">
        <v>9618</v>
      </c>
      <c r="J29" s="205" t="s">
        <v>9619</v>
      </c>
      <c r="K29" s="492" t="str">
        <f>IFERROR(__xludf.DUMMYFUNCTION("GOOGLETRANSLATE(A29,""zh-tw"",""KO"")"),"얼굴을 부수는 장갑")</f>
        <v>얼굴을 부수는 장갑</v>
      </c>
      <c r="L29" s="254" t="str">
        <f>IFERROR(__xludf.DUMMYFUNCTION("GOOGLETRANSLATE(B29,""zh-tw"",""KO"")"),"물리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29" s="492" t="s">
        <v>9620</v>
      </c>
      <c r="N29" s="205" t="s">
        <v>9621</v>
      </c>
      <c r="O29" s="492" t="s">
        <v>9622</v>
      </c>
      <c r="P29" s="254" t="s">
        <v>9623</v>
      </c>
      <c r="Q29" s="489" t="s">
        <v>9624</v>
      </c>
      <c r="R29" s="260" t="s">
        <v>9625</v>
      </c>
      <c r="S29" s="503" t="s">
        <v>9626</v>
      </c>
      <c r="T29" s="495" t="s">
        <v>9627</v>
      </c>
      <c r="U29" s="492" t="s">
        <v>9628</v>
      </c>
      <c r="V29" s="254" t="s">
        <v>9629</v>
      </c>
      <c r="W29" s="9"/>
      <c r="X29" s="9"/>
      <c r="Y29" s="9"/>
      <c r="Z29" s="9"/>
      <c r="AA29" s="9"/>
      <c r="AB29" s="9"/>
      <c r="AC29" s="9"/>
      <c r="AD29" s="9"/>
      <c r="AE29" s="9"/>
      <c r="AF29" s="9"/>
      <c r="AG29" s="9"/>
      <c r="AH29" s="9"/>
      <c r="AI29" s="9"/>
      <c r="AJ29" s="9"/>
      <c r="AK29" s="9"/>
      <c r="AL29" s="9"/>
      <c r="AM29" s="9"/>
      <c r="AN29" s="9"/>
      <c r="AO29" s="9"/>
      <c r="AP29" s="9"/>
      <c r="AQ29" s="9"/>
      <c r="AR29" s="9"/>
      <c r="AS29" s="9"/>
      <c r="AT29" s="9"/>
    </row>
    <row r="30">
      <c r="A30" s="489" t="s">
        <v>9630</v>
      </c>
      <c r="B30" s="260" t="s">
        <v>9631</v>
      </c>
      <c r="C30" s="488" t="s">
        <v>9632</v>
      </c>
      <c r="D30" s="205" t="s">
        <v>9633</v>
      </c>
      <c r="E30" s="488" t="s">
        <v>9634</v>
      </c>
      <c r="F30" s="205" t="s">
        <v>9635</v>
      </c>
      <c r="G30" s="492" t="str">
        <f>IFERROR(__xludf.DUMMYFUNCTION("GOOGLETRANSLATE(A30,""zh-tw"",""zh"")"),"萌萌兔耳")</f>
        <v>萌萌兔耳</v>
      </c>
      <c r="H30" s="254" t="str">
        <f>IFERROR(__xludf.DUMMYFUNCTION("GOOGLETRANSLATE(B30,""zh-tw"",""zh"")"),"物防：1
幸运：60
增加物品掉落率")</f>
        <v>物防：1
幸运：60
增加物品掉落率</v>
      </c>
      <c r="I30" s="492" t="str">
        <f>IFERROR(__xludf.DUMMYFUNCTION("GOOGLETRANSLATE(A30,""zh-tw"",""es-MX"")"),"Lindas orejas de conejito")</f>
        <v>Lindas orejas de conejito</v>
      </c>
      <c r="J30" s="254" t="str">
        <f>IFERROR(__xludf.DUMMYFUNCTION("GOOGLETRANSLATE(B30,""zh-tw"",""es-MX"")"),"Defensa física: 1
Suerte: 60
Aumenta la probabilidad de obtener objetos")</f>
        <v>Defensa física: 1
Suerte: 60
Aumenta la probabilidad de obtener objetos</v>
      </c>
      <c r="K30" s="492" t="str">
        <f>IFERROR(__xludf.DUMMYFUNCTION("GOOGLETRANSLATE(A30,""zh-tw"",""KO"")"),"귀여운 토끼 귀")</f>
        <v>귀여운 토끼 귀</v>
      </c>
      <c r="L30" s="254" t="str">
        <f>IFERROR(__xludf.DUMMYFUNCTION("GOOGLETRANSLATE(B30,""zh-tw"",""KO"")"),"물리 방어력: 1
행운: 60
아이템 드롭률 증가")</f>
        <v>물리 방어력: 1
행운: 60
아이템 드롭률 증가</v>
      </c>
      <c r="M30" s="492" t="s">
        <v>9636</v>
      </c>
      <c r="N30" s="254" t="s">
        <v>9637</v>
      </c>
      <c r="O30" s="492" t="s">
        <v>9638</v>
      </c>
      <c r="P30" s="254" t="s">
        <v>9639</v>
      </c>
      <c r="Q30" s="489" t="s">
        <v>9640</v>
      </c>
      <c r="R30" s="260" t="s">
        <v>9641</v>
      </c>
      <c r="S30" s="505" t="s">
        <v>9642</v>
      </c>
      <c r="T30" s="495" t="s">
        <v>9643</v>
      </c>
      <c r="U30" s="492" t="s">
        <v>9644</v>
      </c>
      <c r="V30" s="254" t="s">
        <v>9645</v>
      </c>
      <c r="W30" s="9"/>
      <c r="X30" s="9"/>
      <c r="Y30" s="9"/>
      <c r="Z30" s="9"/>
      <c r="AA30" s="9"/>
      <c r="AB30" s="9"/>
      <c r="AC30" s="9"/>
      <c r="AD30" s="9"/>
      <c r="AE30" s="9"/>
      <c r="AF30" s="9"/>
      <c r="AG30" s="9"/>
      <c r="AH30" s="9"/>
      <c r="AI30" s="9"/>
      <c r="AJ30" s="9"/>
      <c r="AK30" s="9"/>
      <c r="AL30" s="9"/>
      <c r="AM30" s="9"/>
      <c r="AN30" s="9"/>
      <c r="AO30" s="9"/>
      <c r="AP30" s="9"/>
      <c r="AQ30" s="9"/>
      <c r="AR30" s="9"/>
      <c r="AS30" s="9"/>
      <c r="AT30" s="9"/>
    </row>
    <row r="31">
      <c r="A31" s="489" t="s">
        <v>9646</v>
      </c>
      <c r="B31" s="260" t="s">
        <v>9647</v>
      </c>
      <c r="C31" s="488" t="s">
        <v>9648</v>
      </c>
      <c r="D31" s="205" t="s">
        <v>9649</v>
      </c>
      <c r="E31" s="488" t="s">
        <v>9650</v>
      </c>
      <c r="F31" s="205" t="s">
        <v>9651</v>
      </c>
      <c r="G31" s="492" t="str">
        <f>IFERROR(__xludf.DUMMYFUNCTION("GOOGLETRANSLATE(A31,""zh-tw"",""zh"")"),"女仆制服")</f>
        <v>女仆制服</v>
      </c>
      <c r="H31" s="254" t="str">
        <f>IFERROR(__xludf.DUMMYFUNCTION("GOOGLETRANSLATE(B31,""zh-tw"",""zh"")"),"物防：4
魔抗：4
幸运：30
无法攻击、特殊效果")</f>
        <v>物防：4
魔抗：4
幸运：30
无法攻击、特殊效果</v>
      </c>
      <c r="I31" s="492" t="str">
        <f>IFERROR(__xludf.DUMMYFUNCTION("GOOGLETRANSLATE(A31,""zh-tw"",""es-MX"")"),"Uniforme de sirvienta")</f>
        <v>Uniforme de sirvienta</v>
      </c>
      <c r="J31" s="254" t="str">
        <f>IFERROR(__xludf.DUMMYFUNCTION("GOOGLETRANSLATE(B31,""zh-tw"",""es-MX"")"),"Defensa física: 4
Resistencia mágica: 4
Suerte: 30
No puede atacar, efecto especial")</f>
        <v>Defensa física: 4
Resistencia mágica: 4
Suerte: 30
No puede atacar, efecto especial</v>
      </c>
      <c r="K31" s="489" t="s">
        <v>9652</v>
      </c>
      <c r="L31" s="205" t="s">
        <v>9653</v>
      </c>
      <c r="M31" s="492" t="s">
        <v>9654</v>
      </c>
      <c r="N31" s="254" t="s">
        <v>9655</v>
      </c>
      <c r="O31" s="492" t="s">
        <v>9656</v>
      </c>
      <c r="P31" s="254" t="s">
        <v>9657</v>
      </c>
      <c r="Q31" s="489" t="s">
        <v>9658</v>
      </c>
      <c r="R31" s="260" t="s">
        <v>9659</v>
      </c>
      <c r="S31" s="505" t="s">
        <v>9660</v>
      </c>
      <c r="T31" s="491" t="s">
        <v>9661</v>
      </c>
      <c r="U31" s="492" t="s">
        <v>9662</v>
      </c>
      <c r="V31" s="254" t="s">
        <v>9663</v>
      </c>
      <c r="W31" s="9"/>
      <c r="X31" s="9"/>
      <c r="Y31" s="9"/>
      <c r="Z31" s="9"/>
      <c r="AA31" s="9"/>
      <c r="AB31" s="9"/>
      <c r="AC31" s="9"/>
      <c r="AD31" s="9"/>
      <c r="AE31" s="9"/>
      <c r="AF31" s="9"/>
      <c r="AG31" s="9"/>
      <c r="AH31" s="9"/>
      <c r="AI31" s="9"/>
      <c r="AJ31" s="9"/>
      <c r="AK31" s="9"/>
      <c r="AL31" s="9"/>
      <c r="AM31" s="9"/>
      <c r="AN31" s="9"/>
      <c r="AO31" s="9"/>
      <c r="AP31" s="9"/>
      <c r="AQ31" s="9"/>
      <c r="AR31" s="9"/>
      <c r="AS31" s="9"/>
      <c r="AT31" s="9"/>
    </row>
    <row r="32">
      <c r="A32" s="489" t="s">
        <v>9664</v>
      </c>
      <c r="B32" s="260" t="s">
        <v>9665</v>
      </c>
      <c r="C32" s="488" t="s">
        <v>9666</v>
      </c>
      <c r="D32" s="205" t="s">
        <v>9667</v>
      </c>
      <c r="E32" s="488" t="s">
        <v>9668</v>
      </c>
      <c r="F32" s="205" t="s">
        <v>9669</v>
      </c>
      <c r="G32" s="492" t="str">
        <f>IFERROR(__xludf.DUMMYFUNCTION("GOOGLETRANSLATE(A32,""zh-tw"",""zh"")"),"毅力头巾")</f>
        <v>毅力头巾</v>
      </c>
      <c r="H32" s="254" t="str">
        <f>IFERROR(__xludf.DUMMYFUNCTION("GOOGLETRANSLATE(B32,""zh-tw"",""zh"")"),"物防：2
体力上升5%、增加了15%全异常抗性、15%机率免死")</f>
        <v>物防：2
体力上升5%、增加了15%全异常抗性、15%机率免死</v>
      </c>
      <c r="I32" s="492" t="str">
        <f>IFERROR(__xludf.DUMMYFUNCTION("GOOGLETRANSLATE(A32,""zh-tw"",""es-MX"")"),"Diadema de la perseverancia")</f>
        <v>Diadema de la perseverancia</v>
      </c>
      <c r="J32" s="254" t="str">
        <f>IFERROR(__xludf.DUMMYFUNCTION("GOOGLETRANSLATE(B32,""zh-tw"",""es-MX"")"),"Defensa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32" s="488" t="s">
        <v>9670</v>
      </c>
      <c r="L32" s="205" t="s">
        <v>9671</v>
      </c>
      <c r="M32" s="492" t="s">
        <v>9672</v>
      </c>
      <c r="N32" s="254" t="s">
        <v>9673</v>
      </c>
      <c r="O32" s="492" t="s">
        <v>9674</v>
      </c>
      <c r="P32" s="254" t="s">
        <v>9675</v>
      </c>
      <c r="Q32" s="489" t="s">
        <v>9676</v>
      </c>
      <c r="R32" s="260" t="s">
        <v>9677</v>
      </c>
      <c r="S32" s="505" t="s">
        <v>9678</v>
      </c>
      <c r="T32" s="491" t="s">
        <v>9679</v>
      </c>
      <c r="U32" s="492" t="s">
        <v>9680</v>
      </c>
      <c r="V32" s="254" t="s">
        <v>9681</v>
      </c>
      <c r="W32" s="9"/>
      <c r="X32" s="9"/>
      <c r="Y32" s="9"/>
      <c r="Z32" s="9"/>
      <c r="AA32" s="9"/>
      <c r="AB32" s="9"/>
      <c r="AC32" s="9"/>
      <c r="AD32" s="9"/>
      <c r="AE32" s="9"/>
      <c r="AF32" s="9"/>
      <c r="AG32" s="9"/>
      <c r="AH32" s="9"/>
      <c r="AI32" s="9"/>
      <c r="AJ32" s="9"/>
      <c r="AK32" s="9"/>
      <c r="AL32" s="9"/>
      <c r="AM32" s="9"/>
      <c r="AN32" s="9"/>
      <c r="AO32" s="9"/>
      <c r="AP32" s="9"/>
      <c r="AQ32" s="9"/>
      <c r="AR32" s="9"/>
      <c r="AS32" s="9"/>
      <c r="AT32" s="9"/>
    </row>
    <row r="33">
      <c r="A33" s="488" t="s">
        <v>9682</v>
      </c>
      <c r="B33" s="205" t="s">
        <v>9683</v>
      </c>
      <c r="C33" s="488" t="s">
        <v>9684</v>
      </c>
      <c r="D33" s="205" t="s">
        <v>9685</v>
      </c>
      <c r="E33" s="492" t="str">
        <f>IFERROR(__xludf.DUMMYFUNCTION("GOOGLETRANSLATE(A33,""zh-tw"",""en"")"),"Martial Arts Wristguards")</f>
        <v>Martial Arts Wristguards</v>
      </c>
      <c r="F33" s="205" t="s">
        <v>9686</v>
      </c>
      <c r="G33" s="492" t="str">
        <f>IFERROR(__xludf.DUMMYFUNCTION("GOOGLETRANSLATE(A33,""zh-tw"",""zh"")"),"武术家护腕")</f>
        <v>武术家护腕</v>
      </c>
      <c r="H33" s="254" t="str">
        <f>IFERROR(__xludf.DUMMYFUNCTION("GOOGLETRANSLATE(B33,""zh-tw"",""zh"")"),"物攻：3
减少物理系武器耐久消耗、提升攻速和拳击的伤害")</f>
        <v>物攻：3
减少物理系武器耐久消耗、提升攻速和拳击的伤害</v>
      </c>
      <c r="I33" s="492" t="str">
        <f>IFERROR(__xludf.DUMMYFUNCTION("GOOGLETRANSLATE(A33,""zh-tw"",""es-MX"")"),"Muñequeras para artes marciales")</f>
        <v>Muñequeras para artes marciales</v>
      </c>
      <c r="J33" s="254" t="str">
        <f>IFERROR(__xludf.DUMMYFUNCTION("GOOGLETRANSLATE(B33,""zh-tw"",""es-MX"")"),"Ataque físico: 3 Reduce el consumo de durabilidad de las armas físicas, aumenta la velocidad de ataque y el daño de los puñetazos.")</f>
        <v>Ataque físico: 3 Reduce el consumo de durabilidad de las armas físicas, aumenta la velocidad de ataque y el daño de los puñetazos.</v>
      </c>
      <c r="K33" s="492" t="str">
        <f>IFERROR(__xludf.DUMMYFUNCTION("GOOGLETRANSLATE(A33,""zh-tw"",""KO"")"),"무술용 손목 보호대")</f>
        <v>무술용 손목 보호대</v>
      </c>
      <c r="L33" s="254" t="str">
        <f>IFERROR(__xludf.DUMMYFUNCTION("GOOGLETRANSLATE(B33,""zh-tw"",""KO"")"),"물리 공격: 3 물리 무기의 내구도 소모를 줄이고, 공격 속도와 주먹 공격력을 증가시킵니다.")</f>
        <v>물리 공격: 3 물리 무기의 내구도 소모를 줄이고, 공격 속도와 주먹 공격력을 증가시킵니다.</v>
      </c>
      <c r="M33" s="492" t="s">
        <v>9687</v>
      </c>
      <c r="N33" s="254" t="s">
        <v>9688</v>
      </c>
      <c r="O33" s="492" t="s">
        <v>9689</v>
      </c>
      <c r="P33" s="254" t="s">
        <v>9690</v>
      </c>
      <c r="Q33" s="489" t="s">
        <v>9691</v>
      </c>
      <c r="R33" s="260" t="s">
        <v>9692</v>
      </c>
      <c r="S33" s="503" t="s">
        <v>9693</v>
      </c>
      <c r="T33" s="495" t="s">
        <v>9694</v>
      </c>
      <c r="U33" s="492" t="s">
        <v>9695</v>
      </c>
      <c r="V33" s="254" t="s">
        <v>9696</v>
      </c>
      <c r="W33" s="9"/>
      <c r="X33" s="9"/>
      <c r="Y33" s="9"/>
      <c r="Z33" s="9"/>
      <c r="AA33" s="9"/>
      <c r="AB33" s="9"/>
      <c r="AC33" s="9"/>
      <c r="AD33" s="9"/>
      <c r="AE33" s="9"/>
      <c r="AF33" s="9"/>
      <c r="AG33" s="9"/>
      <c r="AH33" s="9"/>
      <c r="AI33" s="9"/>
      <c r="AJ33" s="9"/>
      <c r="AK33" s="9"/>
      <c r="AL33" s="9"/>
      <c r="AM33" s="9"/>
      <c r="AN33" s="9"/>
      <c r="AO33" s="9"/>
      <c r="AP33" s="9"/>
      <c r="AQ33" s="9"/>
      <c r="AR33" s="9"/>
      <c r="AS33" s="9"/>
      <c r="AT33" s="9"/>
    </row>
    <row r="34">
      <c r="A34" s="489" t="s">
        <v>9697</v>
      </c>
      <c r="B34" s="260" t="s">
        <v>9698</v>
      </c>
      <c r="C34" s="488" t="s">
        <v>9699</v>
      </c>
      <c r="D34" s="205" t="s">
        <v>9700</v>
      </c>
      <c r="E34" s="488" t="s">
        <v>9701</v>
      </c>
      <c r="F34" s="205" t="s">
        <v>9702</v>
      </c>
      <c r="G34" s="492" t="str">
        <f>IFERROR(__xludf.DUMMYFUNCTION("GOOGLETRANSLATE(A34,""zh-tw"",""zh"")"),"武术家之鞋")</f>
        <v>武术家之鞋</v>
      </c>
      <c r="H34" s="254" t="str">
        <f>IFERROR(__xludf.DUMMYFUNCTION("GOOGLETRANSLATE(B34,""zh-tw"",""zh"")"),"物防：2
魔抗：10
闪步效果强化")</f>
        <v>物防：2
魔抗：10
闪步效果强化</v>
      </c>
      <c r="I34" s="492" t="str">
        <f>IFERROR(__xludf.DUMMYFUNCTION("GOOGLETRANSLATE(A34,""zh-tw"",""es-MX"")"),"Zapatos de artista marcial")</f>
        <v>Zapatos de artista marcial</v>
      </c>
      <c r="J34" s="254" t="str">
        <f>IFERROR(__xludf.DUMMYFUNCTION("GOOGLETRANSLATE(B34,""zh-tw"",""es-MX"")"),"Defensa física: 2
Resistencia mágica: 10
Mejora del efecto de Paso relámpago")</f>
        <v>Defensa física: 2
Resistencia mágica: 10
Mejora del efecto de Paso relámpago</v>
      </c>
      <c r="K34" s="492" t="str">
        <f>IFERROR(__xludf.DUMMYFUNCTION("GOOGLETRANSLATE(A34,""zh-tw"",""KO"")"),"무술가용 신발")</f>
        <v>무술가용 신발</v>
      </c>
      <c r="L34" s="254" t="str">
        <f>IFERROR(__xludf.DUMMYFUNCTION("GOOGLETRANSLATE(B34,""zh-tw"",""KO"")"),"물리 방어력: 2
마법 저항력: 10
플래시 스텝 효과 강화")</f>
        <v>물리 방어력: 2
마법 저항력: 10
플래시 스텝 효과 강화</v>
      </c>
      <c r="M34" s="492" t="s">
        <v>9703</v>
      </c>
      <c r="N34" s="254" t="s">
        <v>9704</v>
      </c>
      <c r="O34" s="492" t="s">
        <v>9705</v>
      </c>
      <c r="P34" s="254" t="s">
        <v>9706</v>
      </c>
      <c r="Q34" s="489" t="s">
        <v>9707</v>
      </c>
      <c r="R34" s="260" t="s">
        <v>9708</v>
      </c>
      <c r="S34" s="505" t="s">
        <v>9709</v>
      </c>
      <c r="T34" s="495" t="s">
        <v>9710</v>
      </c>
      <c r="U34" s="492" t="s">
        <v>9711</v>
      </c>
      <c r="V34" s="254" t="s">
        <v>9712</v>
      </c>
      <c r="W34" s="9"/>
      <c r="X34" s="9"/>
      <c r="Y34" s="9"/>
      <c r="Z34" s="9"/>
      <c r="AA34" s="9"/>
      <c r="AB34" s="9"/>
      <c r="AC34" s="9"/>
      <c r="AD34" s="9"/>
      <c r="AE34" s="9"/>
      <c r="AF34" s="9"/>
      <c r="AG34" s="9"/>
      <c r="AH34" s="9"/>
      <c r="AI34" s="9"/>
      <c r="AJ34" s="9"/>
      <c r="AK34" s="9"/>
      <c r="AL34" s="9"/>
      <c r="AM34" s="9"/>
      <c r="AN34" s="9"/>
      <c r="AO34" s="9"/>
      <c r="AP34" s="9"/>
      <c r="AQ34" s="9"/>
      <c r="AR34" s="9"/>
      <c r="AS34" s="9"/>
      <c r="AT34" s="9"/>
    </row>
    <row r="35">
      <c r="A35" s="489" t="s">
        <v>9713</v>
      </c>
      <c r="B35" s="260" t="s">
        <v>9714</v>
      </c>
      <c r="C35" s="488" t="s">
        <v>9715</v>
      </c>
      <c r="D35" s="205" t="s">
        <v>9716</v>
      </c>
      <c r="E35" s="488" t="s">
        <v>9717</v>
      </c>
      <c r="F35" s="205" t="s">
        <v>9718</v>
      </c>
      <c r="G35" s="492" t="str">
        <f>IFERROR(__xludf.DUMMYFUNCTION("GOOGLETRANSLATE(A35,""zh-tw"",""zh"")"),"穿刺钉盔")</f>
        <v>穿刺钉盔</v>
      </c>
      <c r="H35" s="254" t="str">
        <f>IFERROR(__xludf.DUMMYFUNCTION("GOOGLETRANSLATE(B35,""zh-tw"",""zh"")"),"物攻：4
物防：2
伤害型防具")</f>
        <v>物攻：4
物防：2
伤害型防具</v>
      </c>
      <c r="I35" s="492" t="str">
        <f>IFERROR(__xludf.DUMMYFUNCTION("GOOGLETRANSLATE(A35,""zh-tw"",""es-MX"")"),"Casco perforado")</f>
        <v>Casco perforado</v>
      </c>
      <c r="J35" s="254" t="str">
        <f>IFERROR(__xludf.DUMMYFUNCTION("GOOGLETRANSLATE(B35,""zh-tw"",""es-MX"")"),"Ataque físico: 4
Defensa física: 2
Armadura que inflige daño")</f>
        <v>Ataque físico: 4
Defensa física: 2
Armadura que inflige daño</v>
      </c>
      <c r="K35" s="488" t="s">
        <v>9719</v>
      </c>
      <c r="L35" s="205" t="s">
        <v>9720</v>
      </c>
      <c r="M35" s="492" t="s">
        <v>9721</v>
      </c>
      <c r="N35" s="254" t="s">
        <v>9722</v>
      </c>
      <c r="O35" s="492" t="s">
        <v>9723</v>
      </c>
      <c r="P35" s="254" t="s">
        <v>9724</v>
      </c>
      <c r="Q35" s="489" t="s">
        <v>9725</v>
      </c>
      <c r="R35" s="260" t="s">
        <v>9726</v>
      </c>
      <c r="S35" s="505" t="s">
        <v>9727</v>
      </c>
      <c r="T35" s="491" t="s">
        <v>9728</v>
      </c>
      <c r="U35" s="492" t="s">
        <v>9729</v>
      </c>
      <c r="V35" s="254" t="s">
        <v>9730</v>
      </c>
      <c r="W35" s="9"/>
      <c r="X35" s="9"/>
      <c r="Y35" s="9"/>
      <c r="Z35" s="9"/>
      <c r="AA35" s="9"/>
      <c r="AB35" s="9"/>
      <c r="AC35" s="9"/>
      <c r="AD35" s="9"/>
      <c r="AE35" s="9"/>
      <c r="AF35" s="9"/>
      <c r="AG35" s="9"/>
      <c r="AH35" s="9"/>
      <c r="AI35" s="9"/>
      <c r="AJ35" s="9"/>
      <c r="AK35" s="9"/>
      <c r="AL35" s="9"/>
      <c r="AM35" s="9"/>
      <c r="AN35" s="9"/>
      <c r="AO35" s="9"/>
      <c r="AP35" s="9"/>
      <c r="AQ35" s="9"/>
      <c r="AR35" s="9"/>
      <c r="AS35" s="9"/>
      <c r="AT35" s="9"/>
    </row>
    <row r="36">
      <c r="A36" s="489" t="s">
        <v>9731</v>
      </c>
      <c r="B36" s="260" t="s">
        <v>9732</v>
      </c>
      <c r="C36" s="488" t="s">
        <v>9733</v>
      </c>
      <c r="D36" s="205" t="s">
        <v>9734</v>
      </c>
      <c r="E36" s="488" t="s">
        <v>9735</v>
      </c>
      <c r="F36" s="205" t="s">
        <v>9736</v>
      </c>
      <c r="G36" s="492" t="str">
        <f>IFERROR(__xludf.DUMMYFUNCTION("GOOGLETRANSLATE(A36,""zh-tw"",""zh"")"),"穿刺钉甲")</f>
        <v>穿刺钉甲</v>
      </c>
      <c r="H36" s="254" t="str">
        <f>IFERROR(__xludf.DUMMYFUNCTION("GOOGLETRANSLATE(B36,""zh-tw"",""zh"")"),"物攻：2
物防：6
伤害型防具")</f>
        <v>物攻：2
物防：6
伤害型防具</v>
      </c>
      <c r="I36" s="492" t="str">
        <f>IFERROR(__xludf.DUMMYFUNCTION("GOOGLETRANSLATE(A36,""zh-tw"",""es-MX"")"),"Armadura de uñas perforantes")</f>
        <v>Armadura de uñas perforantes</v>
      </c>
      <c r="J36" s="254" t="str">
        <f>IFERROR(__xludf.DUMMYFUNCTION("GOOGLETRANSLATE(B36,""zh-tw"",""es-MX"")"),"Ataque físico: 2 Defensa física: 6 Armadura que inflige daño")</f>
        <v>Ataque físico: 2 Defensa física: 6 Armadura que inflige daño</v>
      </c>
      <c r="K36" s="488" t="s">
        <v>9737</v>
      </c>
      <c r="L36" s="205" t="s">
        <v>9738</v>
      </c>
      <c r="M36" s="492" t="s">
        <v>9739</v>
      </c>
      <c r="N36" s="254" t="s">
        <v>9740</v>
      </c>
      <c r="O36" s="492" t="s">
        <v>9741</v>
      </c>
      <c r="P36" s="254" t="s">
        <v>9742</v>
      </c>
      <c r="Q36" s="489" t="s">
        <v>9743</v>
      </c>
      <c r="R36" s="260" t="s">
        <v>9744</v>
      </c>
      <c r="S36" s="505" t="s">
        <v>9745</v>
      </c>
      <c r="T36" s="491" t="s">
        <v>9746</v>
      </c>
      <c r="U36" s="492" t="s">
        <v>9747</v>
      </c>
      <c r="V36" s="254" t="s">
        <v>9748</v>
      </c>
      <c r="W36" s="9"/>
      <c r="X36" s="9"/>
      <c r="Y36" s="9"/>
      <c r="Z36" s="9"/>
      <c r="AA36" s="9"/>
      <c r="AB36" s="9"/>
      <c r="AC36" s="9"/>
      <c r="AD36" s="9"/>
      <c r="AE36" s="9"/>
      <c r="AF36" s="9"/>
      <c r="AG36" s="9"/>
      <c r="AH36" s="9"/>
      <c r="AI36" s="9"/>
      <c r="AJ36" s="9"/>
      <c r="AK36" s="9"/>
      <c r="AL36" s="9"/>
      <c r="AM36" s="9"/>
      <c r="AN36" s="9"/>
      <c r="AO36" s="9"/>
      <c r="AP36" s="9"/>
      <c r="AQ36" s="9"/>
      <c r="AR36" s="9"/>
      <c r="AS36" s="9"/>
      <c r="AT36" s="9"/>
    </row>
    <row r="37">
      <c r="A37" s="489" t="s">
        <v>9749</v>
      </c>
      <c r="B37" s="260" t="s">
        <v>9750</v>
      </c>
      <c r="C37" s="488" t="s">
        <v>9751</v>
      </c>
      <c r="D37" s="205" t="s">
        <v>9752</v>
      </c>
      <c r="E37" s="488" t="s">
        <v>9753</v>
      </c>
      <c r="F37" s="205" t="s">
        <v>9754</v>
      </c>
      <c r="G37" s="492" t="str">
        <f>IFERROR(__xludf.DUMMYFUNCTION("GOOGLETRANSLATE(A37,""zh-tw"",""zh"")"),"穿刺臂铠")</f>
        <v>穿刺臂铠</v>
      </c>
      <c r="H37" s="254" t="str">
        <f>IFERROR(__xludf.DUMMYFUNCTION("GOOGLETRANSLATE(B37,""zh-tw"",""zh"")"),"物攻：5
物防：1
伤害型防具")</f>
        <v>物攻：5
物防：1
伤害型防具</v>
      </c>
      <c r="I37" s="492" t="str">
        <f>IFERROR(__xludf.DUMMYFUNCTION("GOOGLETRANSLATE(A37,""zh-tw"",""es-MX"")"),"Armadura de brazo perforante")</f>
        <v>Armadura de brazo perforante</v>
      </c>
      <c r="J37" s="254" t="str">
        <f>IFERROR(__xludf.DUMMYFUNCTION("GOOGLETRANSLATE(B37,""zh-tw"",""es-MX"")"),"Ataque físico: 5
Defensa física: 1
Armadura que inflige daño")</f>
        <v>Ataque físico: 5
Defensa física: 1
Armadura que inflige daño</v>
      </c>
      <c r="K37" s="488" t="s">
        <v>9755</v>
      </c>
      <c r="L37" s="205" t="s">
        <v>9756</v>
      </c>
      <c r="M37" s="492" t="s">
        <v>9757</v>
      </c>
      <c r="N37" s="254" t="s">
        <v>9758</v>
      </c>
      <c r="O37" s="492" t="s">
        <v>9759</v>
      </c>
      <c r="P37" s="254" t="s">
        <v>9760</v>
      </c>
      <c r="Q37" s="489" t="s">
        <v>9761</v>
      </c>
      <c r="R37" s="260" t="s">
        <v>9762</v>
      </c>
      <c r="S37" s="505" t="s">
        <v>9763</v>
      </c>
      <c r="T37" s="491" t="s">
        <v>9764</v>
      </c>
      <c r="U37" s="492" t="s">
        <v>9765</v>
      </c>
      <c r="V37" s="254" t="s">
        <v>9766</v>
      </c>
      <c r="W37" s="9"/>
      <c r="X37" s="9"/>
      <c r="Y37" s="9"/>
      <c r="Z37" s="9"/>
      <c r="AA37" s="9"/>
      <c r="AB37" s="9"/>
      <c r="AC37" s="9"/>
      <c r="AD37" s="9"/>
      <c r="AE37" s="9"/>
      <c r="AF37" s="9"/>
      <c r="AG37" s="9"/>
      <c r="AH37" s="9"/>
      <c r="AI37" s="9"/>
      <c r="AJ37" s="9"/>
      <c r="AK37" s="9"/>
      <c r="AL37" s="9"/>
      <c r="AM37" s="9"/>
      <c r="AN37" s="9"/>
      <c r="AO37" s="9"/>
      <c r="AP37" s="9"/>
      <c r="AQ37" s="9"/>
      <c r="AR37" s="9"/>
      <c r="AS37" s="9"/>
      <c r="AT37" s="9"/>
    </row>
    <row r="38">
      <c r="A38" s="489" t="s">
        <v>9767</v>
      </c>
      <c r="B38" s="260" t="s">
        <v>9768</v>
      </c>
      <c r="C38" s="488" t="s">
        <v>9769</v>
      </c>
      <c r="D38" s="205" t="s">
        <v>9770</v>
      </c>
      <c r="E38" s="488" t="s">
        <v>9771</v>
      </c>
      <c r="F38" s="205" t="s">
        <v>9772</v>
      </c>
      <c r="G38" s="492" t="str">
        <f>IFERROR(__xludf.DUMMYFUNCTION("GOOGLETRANSLATE(A38,""zh-tw"",""zh"")"),"穿刺钉鞋")</f>
        <v>穿刺钉鞋</v>
      </c>
      <c r="H38" s="254" t="str">
        <f>IFERROR(__xludf.DUMMYFUNCTION("GOOGLETRANSLATE(B38,""zh-tw"",""zh"")"),"物攻：2
物防：2
伤害型防具")</f>
        <v>物攻：2
物防：2
伤害型防具</v>
      </c>
      <c r="I38" s="488" t="s">
        <v>9773</v>
      </c>
      <c r="J38" s="254" t="str">
        <f>IFERROR(__xludf.DUMMYFUNCTION("GOOGLETRANSLATE(B38,""zh-tw"",""es-MX"")"),"Ataque físico: 2 Defensa física: 2 Armadura que inflige daño")</f>
        <v>Ataque físico: 2 Defensa física: 2 Armadura que inflige daño</v>
      </c>
      <c r="K38" s="488" t="s">
        <v>9774</v>
      </c>
      <c r="L38" s="205" t="s">
        <v>9775</v>
      </c>
      <c r="M38" s="492" t="s">
        <v>9776</v>
      </c>
      <c r="N38" s="254" t="s">
        <v>9777</v>
      </c>
      <c r="O38" s="492" t="s">
        <v>9778</v>
      </c>
      <c r="P38" s="254" t="s">
        <v>9779</v>
      </c>
      <c r="Q38" s="489" t="s">
        <v>9780</v>
      </c>
      <c r="R38" s="260" t="s">
        <v>9781</v>
      </c>
      <c r="S38" s="505" t="s">
        <v>9782</v>
      </c>
      <c r="T38" s="491" t="s">
        <v>9783</v>
      </c>
      <c r="U38" s="492" t="s">
        <v>9771</v>
      </c>
      <c r="V38" s="254" t="s">
        <v>9784</v>
      </c>
      <c r="W38" s="9"/>
      <c r="X38" s="9"/>
      <c r="Y38" s="9"/>
      <c r="Z38" s="9"/>
      <c r="AA38" s="9"/>
      <c r="AB38" s="9"/>
      <c r="AC38" s="9"/>
      <c r="AD38" s="9"/>
      <c r="AE38" s="9"/>
      <c r="AF38" s="9"/>
      <c r="AG38" s="9"/>
      <c r="AH38" s="9"/>
      <c r="AI38" s="9"/>
      <c r="AJ38" s="9"/>
      <c r="AK38" s="9"/>
      <c r="AL38" s="9"/>
      <c r="AM38" s="9"/>
      <c r="AN38" s="9"/>
      <c r="AO38" s="9"/>
      <c r="AP38" s="9"/>
      <c r="AQ38" s="9"/>
      <c r="AR38" s="9"/>
      <c r="AS38" s="9"/>
      <c r="AT38" s="9"/>
    </row>
    <row r="39">
      <c r="A39" s="489" t="s">
        <v>9785</v>
      </c>
      <c r="B39" s="260" t="s">
        <v>9786</v>
      </c>
      <c r="C39" s="488" t="s">
        <v>9787</v>
      </c>
      <c r="D39" s="205" t="s">
        <v>9788</v>
      </c>
      <c r="E39" s="488" t="s">
        <v>9789</v>
      </c>
      <c r="F39" s="205" t="s">
        <v>9790</v>
      </c>
      <c r="G39" s="492" t="str">
        <f>IFERROR(__xludf.DUMMYFUNCTION("GOOGLETRANSLATE(A39,""zh-tw"",""zh"")"),"骑士头盔")</f>
        <v>骑士头盔</v>
      </c>
      <c r="H39" s="254" t="str">
        <f>IFERROR(__xludf.DUMMYFUNCTION("GOOGLETRANSLATE(B39,""zh-tw"",""zh"")"),"物防：5
魔抗：2
低体力加防御")</f>
        <v>物防：5
魔抗：2
低体力加防御</v>
      </c>
      <c r="I39" s="492" t="str">
        <f>IFERROR(__xludf.DUMMYFUNCTION("GOOGLETRANSLATE(A39,""zh-tw"",""es-MX"")"),"Casco de caballero")</f>
        <v>Casco de caballero</v>
      </c>
      <c r="J39" s="254" t="str">
        <f>IFERROR(__xludf.DUMMYFUNCTION("GOOGLETRANSLATE(B39,""zh-tw"",""es-MX"")"),"Defensa física: 5
Resistencia mágica: 2
Pocos puntos de vida aumentan la defensa")</f>
        <v>Defensa física: 5
Resistencia mágica: 2
Pocos puntos de vida aumentan la defensa</v>
      </c>
      <c r="K39" s="488" t="s">
        <v>9791</v>
      </c>
      <c r="L39" s="205" t="s">
        <v>9792</v>
      </c>
      <c r="M39" s="492" t="s">
        <v>9793</v>
      </c>
      <c r="N39" s="254" t="s">
        <v>9794</v>
      </c>
      <c r="O39" s="492" t="s">
        <v>9795</v>
      </c>
      <c r="P39" s="254" t="s">
        <v>9796</v>
      </c>
      <c r="Q39" s="489" t="s">
        <v>9797</v>
      </c>
      <c r="R39" s="260" t="s">
        <v>9798</v>
      </c>
      <c r="S39" s="505" t="s">
        <v>9799</v>
      </c>
      <c r="T39" s="495" t="s">
        <v>9800</v>
      </c>
      <c r="U39" s="492" t="s">
        <v>9801</v>
      </c>
      <c r="V39" s="254" t="s">
        <v>9802</v>
      </c>
      <c r="W39" s="9"/>
      <c r="X39" s="9"/>
      <c r="Y39" s="9"/>
      <c r="Z39" s="9"/>
      <c r="AA39" s="9"/>
      <c r="AB39" s="9"/>
      <c r="AC39" s="9"/>
      <c r="AD39" s="9"/>
      <c r="AE39" s="9"/>
      <c r="AF39" s="9"/>
      <c r="AG39" s="9"/>
      <c r="AH39" s="9"/>
      <c r="AI39" s="9"/>
      <c r="AJ39" s="9"/>
      <c r="AK39" s="9"/>
      <c r="AL39" s="9"/>
      <c r="AM39" s="9"/>
      <c r="AN39" s="9"/>
      <c r="AO39" s="9"/>
      <c r="AP39" s="9"/>
      <c r="AQ39" s="9"/>
      <c r="AR39" s="9"/>
      <c r="AS39" s="9"/>
      <c r="AT39" s="9"/>
    </row>
    <row r="40">
      <c r="A40" s="489" t="s">
        <v>9803</v>
      </c>
      <c r="B40" s="260" t="s">
        <v>9804</v>
      </c>
      <c r="C40" s="488" t="s">
        <v>9805</v>
      </c>
      <c r="D40" s="205" t="s">
        <v>9806</v>
      </c>
      <c r="E40" s="488" t="s">
        <v>9807</v>
      </c>
      <c r="F40" s="205" t="s">
        <v>9808</v>
      </c>
      <c r="G40" s="492" t="str">
        <f>IFERROR(__xludf.DUMMYFUNCTION("GOOGLETRANSLATE(A40,""zh-tw"",""zh"")"),"骑士铠甲")</f>
        <v>骑士铠甲</v>
      </c>
      <c r="H40" s="254" t="str">
        <f>IFERROR(__xludf.DUMMYFUNCTION("GOOGLETRANSLATE(B40,""zh-tw"",""zh"")"),"物防：10
魔抗：4
低体力加防御")</f>
        <v>物防：10
魔抗：4
低体力加防御</v>
      </c>
      <c r="I40" s="492" t="str">
        <f>IFERROR(__xludf.DUMMYFUNCTION("GOOGLETRANSLATE(A40,""zh-tw"",""es-MX"")"),"Armadura de caballero")</f>
        <v>Armadura de caballero</v>
      </c>
      <c r="J40" s="254" t="str">
        <f>IFERROR(__xludf.DUMMYFUNCTION("GOOGLETRANSLATE(B40,""zh-tw"",""es-MX"")"),"Defensa física: 10
Resistencia mágica: 4
Pocos puntos de vida aumentan la defensa")</f>
        <v>Defensa física: 10
Resistencia mágica: 4
Pocos puntos de vida aumentan la defensa</v>
      </c>
      <c r="K40" s="488" t="s">
        <v>9809</v>
      </c>
      <c r="L40" s="205" t="s">
        <v>9810</v>
      </c>
      <c r="M40" s="492" t="s">
        <v>9811</v>
      </c>
      <c r="N40" s="254" t="s">
        <v>9812</v>
      </c>
      <c r="O40" s="492" t="s">
        <v>9813</v>
      </c>
      <c r="P40" s="254" t="s">
        <v>9814</v>
      </c>
      <c r="Q40" s="489" t="s">
        <v>9815</v>
      </c>
      <c r="R40" s="260" t="s">
        <v>9816</v>
      </c>
      <c r="S40" s="505" t="s">
        <v>9817</v>
      </c>
      <c r="T40" s="495" t="s">
        <v>9818</v>
      </c>
      <c r="U40" s="492" t="s">
        <v>9819</v>
      </c>
      <c r="V40" s="254" t="s">
        <v>9820</v>
      </c>
      <c r="W40" s="9"/>
      <c r="X40" s="9"/>
      <c r="Y40" s="9"/>
      <c r="Z40" s="9"/>
      <c r="AA40" s="9"/>
      <c r="AB40" s="9"/>
      <c r="AC40" s="9"/>
      <c r="AD40" s="9"/>
      <c r="AE40" s="9"/>
      <c r="AF40" s="9"/>
      <c r="AG40" s="9"/>
      <c r="AH40" s="9"/>
      <c r="AI40" s="9"/>
      <c r="AJ40" s="9"/>
      <c r="AK40" s="9"/>
      <c r="AL40" s="9"/>
      <c r="AM40" s="9"/>
      <c r="AN40" s="9"/>
      <c r="AO40" s="9"/>
      <c r="AP40" s="9"/>
      <c r="AQ40" s="9"/>
      <c r="AR40" s="9"/>
      <c r="AS40" s="9"/>
      <c r="AT40" s="9"/>
    </row>
    <row r="41">
      <c r="A41" s="489" t="s">
        <v>9821</v>
      </c>
      <c r="B41" s="260" t="s">
        <v>9822</v>
      </c>
      <c r="C41" s="488" t="s">
        <v>9823</v>
      </c>
      <c r="D41" s="205" t="s">
        <v>9824</v>
      </c>
      <c r="E41" s="488" t="s">
        <v>9825</v>
      </c>
      <c r="F41" s="205" t="s">
        <v>9826</v>
      </c>
      <c r="G41" s="492" t="str">
        <f>IFERROR(__xludf.DUMMYFUNCTION("GOOGLETRANSLATE(A41,""zh-tw"",""zh"")"),"骑士护臂")</f>
        <v>骑士护臂</v>
      </c>
      <c r="H41" s="254" t="str">
        <f>IFERROR(__xludf.DUMMYFUNCTION("GOOGLETRANSLATE(B41,""zh-tw"",""zh"")"),"物攻：3
物防：3
低体力加攻击、防御")</f>
        <v>物攻：3
物防：3
低体力加攻击、防御</v>
      </c>
      <c r="I41" s="488" t="s">
        <v>9827</v>
      </c>
      <c r="J41" s="254" t="str">
        <f>IFERROR(__xludf.DUMMYFUNCTION("GOOGLETRANSLATE(B41,""zh-tw"",""es-MX"")"),"Ataque físico: 3 Defensa física: 3 Aumenta el ataque y la defensa cuando los PS son bajos.")</f>
        <v>Ataque físico: 3 Defensa física: 3 Aumenta el ataque y la defensa cuando los PS son bajos.</v>
      </c>
      <c r="K41" s="489" t="s">
        <v>9828</v>
      </c>
      <c r="L41" s="205" t="s">
        <v>9829</v>
      </c>
      <c r="M41" s="492" t="s">
        <v>9830</v>
      </c>
      <c r="N41" s="254" t="s">
        <v>9831</v>
      </c>
      <c r="O41" s="492" t="s">
        <v>9832</v>
      </c>
      <c r="P41" s="254" t="s">
        <v>9833</v>
      </c>
      <c r="Q41" s="489" t="s">
        <v>9834</v>
      </c>
      <c r="R41" s="260" t="s">
        <v>9835</v>
      </c>
      <c r="S41" s="505" t="s">
        <v>9836</v>
      </c>
      <c r="T41" s="68" t="s">
        <v>9837</v>
      </c>
      <c r="U41" s="492" t="s">
        <v>9838</v>
      </c>
      <c r="V41" s="254" t="s">
        <v>9839</v>
      </c>
      <c r="W41" s="9"/>
      <c r="X41" s="9"/>
      <c r="Y41" s="9"/>
      <c r="Z41" s="9"/>
      <c r="AA41" s="9"/>
      <c r="AB41" s="9"/>
      <c r="AC41" s="9"/>
      <c r="AD41" s="9"/>
      <c r="AE41" s="9"/>
      <c r="AF41" s="9"/>
      <c r="AG41" s="9"/>
      <c r="AH41" s="9"/>
      <c r="AI41" s="9"/>
      <c r="AJ41" s="9"/>
      <c r="AK41" s="9"/>
      <c r="AL41" s="9"/>
      <c r="AM41" s="9"/>
      <c r="AN41" s="9"/>
      <c r="AO41" s="9"/>
      <c r="AP41" s="9"/>
      <c r="AQ41" s="9"/>
      <c r="AR41" s="9"/>
      <c r="AS41" s="9"/>
      <c r="AT41" s="9"/>
    </row>
    <row r="42">
      <c r="A42" s="489" t="s">
        <v>9840</v>
      </c>
      <c r="B42" s="260" t="s">
        <v>9841</v>
      </c>
      <c r="C42" s="488" t="s">
        <v>9842</v>
      </c>
      <c r="D42" s="205" t="s">
        <v>9843</v>
      </c>
      <c r="E42" s="488" t="s">
        <v>9844</v>
      </c>
      <c r="F42" s="205" t="s">
        <v>9845</v>
      </c>
      <c r="G42" s="492" t="str">
        <f>IFERROR(__xludf.DUMMYFUNCTION("GOOGLETRANSLATE(A42,""zh-tw"",""zh"")"),"骑士胫甲")</f>
        <v>骑士胫甲</v>
      </c>
      <c r="H42" s="254" t="str">
        <f>IFERROR(__xludf.DUMMYFUNCTION("GOOGLETRANSLATE(B42,""zh-tw"",""zh"")"),"物防：2
魔抗：2
低体力加移速")</f>
        <v>物防：2
魔抗：2
低体力加移速</v>
      </c>
      <c r="I42" s="492" t="str">
        <f>IFERROR(__xludf.DUMMYFUNCTION("GOOGLETRANSLATE(A42,""zh-tw"",""es-MX"")"),"Grebas de caballero")</f>
        <v>Grebas de caballero</v>
      </c>
      <c r="J42" s="254" t="str">
        <f>IFERROR(__xludf.DUMMYFUNCTION("GOOGLETRANSLATE(B42,""zh-tw"",""es-MX"")"),"Defensa física: 2
Resistencia mágica: 2
Baja resistencia, mayor velocidad de movimiento")</f>
        <v>Defensa física: 2
Resistencia mágica: 2
Baja resistencia, mayor velocidad de movimiento</v>
      </c>
      <c r="K42" s="488" t="s">
        <v>9846</v>
      </c>
      <c r="L42" s="205" t="s">
        <v>9847</v>
      </c>
      <c r="M42" s="492" t="s">
        <v>9848</v>
      </c>
      <c r="N42" s="254" t="s">
        <v>9849</v>
      </c>
      <c r="O42" s="492" t="s">
        <v>9850</v>
      </c>
      <c r="P42" s="254" t="s">
        <v>9851</v>
      </c>
      <c r="Q42" s="489" t="s">
        <v>9852</v>
      </c>
      <c r="R42" s="260" t="s">
        <v>9853</v>
      </c>
      <c r="S42" s="505" t="s">
        <v>9854</v>
      </c>
      <c r="T42" s="495" t="s">
        <v>9855</v>
      </c>
      <c r="U42" s="492" t="s">
        <v>9856</v>
      </c>
      <c r="V42" s="254" t="s">
        <v>9857</v>
      </c>
      <c r="W42" s="9"/>
      <c r="X42" s="9"/>
      <c r="Y42" s="9"/>
      <c r="Z42" s="9"/>
      <c r="AA42" s="9"/>
      <c r="AB42" s="9"/>
      <c r="AC42" s="9"/>
      <c r="AD42" s="9"/>
      <c r="AE42" s="9"/>
      <c r="AF42" s="9"/>
      <c r="AG42" s="9"/>
      <c r="AH42" s="9"/>
      <c r="AI42" s="9"/>
      <c r="AJ42" s="9"/>
      <c r="AK42" s="9"/>
      <c r="AL42" s="9"/>
      <c r="AM42" s="9"/>
      <c r="AN42" s="9"/>
      <c r="AO42" s="9"/>
      <c r="AP42" s="9"/>
      <c r="AQ42" s="9"/>
      <c r="AR42" s="9"/>
      <c r="AS42" s="9"/>
      <c r="AT42" s="9"/>
    </row>
    <row r="43">
      <c r="A43" s="489" t="s">
        <v>9858</v>
      </c>
      <c r="B43" s="260" t="s">
        <v>9859</v>
      </c>
      <c r="C43" s="488" t="s">
        <v>9860</v>
      </c>
      <c r="D43" s="205" t="s">
        <v>9861</v>
      </c>
      <c r="E43" s="488" t="s">
        <v>9862</v>
      </c>
      <c r="F43" s="205" t="s">
        <v>9863</v>
      </c>
      <c r="G43" s="492" t="str">
        <f>IFERROR(__xludf.DUMMYFUNCTION("GOOGLETRANSLATE(A43,""zh-tw"",""zh"")"),"倒吊人的骨戒")</f>
        <v>倒吊人的骨戒</v>
      </c>
      <c r="H43" s="254" t="str">
        <f>IFERROR(__xludf.DUMMYFUNCTION("GOOGLETRANSLATE(B43,""zh-tw"",""zh"")"),"物防：2
魔抗：15
坠落时受到的伤害减免
增加坠落时，造成的范围伤害")</f>
        <v>物防：2
魔抗：15
坠落时受到的伤害减免
增加坠落时，造成的范围伤害</v>
      </c>
      <c r="I43" s="492" t="str">
        <f>IFERROR(__xludf.DUMMYFUNCTION("GOOGLETRANSLATE(A43,""zh-tw"",""es-MX"")"),"El anillo de huesos del ahorcado")</f>
        <v>El anillo de huesos del ahorcado</v>
      </c>
      <c r="J43" s="254" t="str">
        <f>IFERROR(__xludf.DUMMYFUNCTION("GOOGLETRANSLATE(B43,""zh-tw"",""es-MX"")"),"Defensa física: 2
Resistencia mágica: 15
Reducción de daño al caer
Aumenta el daño de área infligido al caer")</f>
        <v>Defensa física: 2
Resistencia mágica: 15
Reducción de daño al caer
Aumenta el daño de área infligido al caer</v>
      </c>
      <c r="K43" s="488" t="s">
        <v>9864</v>
      </c>
      <c r="L43" s="205" t="s">
        <v>9865</v>
      </c>
      <c r="M43" s="492" t="s">
        <v>9866</v>
      </c>
      <c r="N43" s="254" t="s">
        <v>9867</v>
      </c>
      <c r="O43" s="492" t="s">
        <v>9868</v>
      </c>
      <c r="P43" s="254" t="s">
        <v>9869</v>
      </c>
      <c r="Q43" s="489" t="s">
        <v>9870</v>
      </c>
      <c r="R43" s="260" t="s">
        <v>9871</v>
      </c>
      <c r="S43" s="505" t="s">
        <v>9872</v>
      </c>
      <c r="T43" s="495" t="s">
        <v>9873</v>
      </c>
      <c r="U43" s="492" t="s">
        <v>9874</v>
      </c>
      <c r="V43" s="254" t="s">
        <v>9875</v>
      </c>
      <c r="W43" s="9"/>
      <c r="X43" s="9"/>
      <c r="Y43" s="9"/>
      <c r="Z43" s="9"/>
      <c r="AA43" s="9"/>
      <c r="AB43" s="9"/>
      <c r="AC43" s="9"/>
      <c r="AD43" s="9"/>
      <c r="AE43" s="9"/>
      <c r="AF43" s="9"/>
      <c r="AG43" s="9"/>
      <c r="AH43" s="9"/>
      <c r="AI43" s="9"/>
      <c r="AJ43" s="9"/>
      <c r="AK43" s="9"/>
      <c r="AL43" s="9"/>
      <c r="AM43" s="9"/>
      <c r="AN43" s="9"/>
      <c r="AO43" s="9"/>
      <c r="AP43" s="9"/>
      <c r="AQ43" s="9"/>
      <c r="AR43" s="9"/>
      <c r="AS43" s="9"/>
      <c r="AT43" s="9"/>
    </row>
    <row r="44">
      <c r="A44" s="488" t="s">
        <v>9876</v>
      </c>
      <c r="B44" s="205" t="s">
        <v>9877</v>
      </c>
      <c r="C44" s="488" t="s">
        <v>9878</v>
      </c>
      <c r="D44" s="205" t="s">
        <v>9879</v>
      </c>
      <c r="E44" s="488" t="s">
        <v>9880</v>
      </c>
      <c r="F44" s="205" t="s">
        <v>9881</v>
      </c>
      <c r="G44" s="492" t="str">
        <f>IFERROR(__xludf.DUMMYFUNCTION("GOOGLETRANSLATE(A44,""zh-tw"",""zh"")"),"熔岩戒指")</f>
        <v>熔岩戒指</v>
      </c>
      <c r="H44" s="254" t="str">
        <f>IFERROR(__xludf.DUMMYFUNCTION("GOOGLETRANSLATE(B44,""zh-tw"",""zh"")"),"物防：2
魔功：15
魔抗：60
降低结冰、炎上的机率")</f>
        <v>物防：2
魔功：15
魔抗：60
降低结冰、炎上的机率</v>
      </c>
      <c r="I44" s="492" t="str">
        <f>IFERROR(__xludf.DUMMYFUNCTION("GOOGLETRANSLATE(A44,""zh-tw"",""es-MX"")"),"Anillo de lava")</f>
        <v>Anillo de lava</v>
      </c>
      <c r="J44" s="254" t="str">
        <f>IFERROR(__xludf.DUMMYFUNCTION("GOOGLETRANSLATE(B44,""zh-tw"",""es-MX"")"),"Defensa física: 2
Ataque mágico: 15
Resistencia mágica: 60
Reduce la probabilidad de congelación y quemaduras.")</f>
        <v>Defensa física: 2
Ataque mágico: 15
Resistencia mágica: 60
Reduce la probabilidad de congelación y quemaduras.</v>
      </c>
      <c r="K44" s="488" t="s">
        <v>8230</v>
      </c>
      <c r="L44" s="205" t="s">
        <v>9882</v>
      </c>
      <c r="M44" s="492" t="s">
        <v>9883</v>
      </c>
      <c r="N44" s="254" t="s">
        <v>9884</v>
      </c>
      <c r="O44" s="492" t="s">
        <v>9885</v>
      </c>
      <c r="P44" s="254" t="s">
        <v>9886</v>
      </c>
      <c r="Q44" s="489" t="s">
        <v>8236</v>
      </c>
      <c r="R44" s="260" t="s">
        <v>9887</v>
      </c>
      <c r="S44" s="505" t="s">
        <v>9888</v>
      </c>
      <c r="T44" s="491" t="s">
        <v>9889</v>
      </c>
      <c r="U44" s="492" t="s">
        <v>9890</v>
      </c>
      <c r="V44" s="254" t="s">
        <v>9891</v>
      </c>
      <c r="W44" s="9"/>
      <c r="X44" s="9"/>
      <c r="Y44" s="9"/>
      <c r="Z44" s="9"/>
      <c r="AA44" s="9"/>
      <c r="AB44" s="9"/>
      <c r="AC44" s="9"/>
      <c r="AD44" s="9"/>
      <c r="AE44" s="9"/>
      <c r="AF44" s="9"/>
      <c r="AG44" s="9"/>
      <c r="AH44" s="9"/>
      <c r="AI44" s="9"/>
      <c r="AJ44" s="9"/>
      <c r="AK44" s="9"/>
      <c r="AL44" s="9"/>
      <c r="AM44" s="9"/>
      <c r="AN44" s="9"/>
      <c r="AO44" s="9"/>
      <c r="AP44" s="9"/>
      <c r="AQ44" s="9"/>
      <c r="AR44" s="9"/>
      <c r="AS44" s="9"/>
      <c r="AT44" s="9"/>
    </row>
    <row r="45">
      <c r="A45" s="493" t="s">
        <v>9892</v>
      </c>
      <c r="B45" s="205" t="s">
        <v>9893</v>
      </c>
      <c r="C45" s="493" t="s">
        <v>9894</v>
      </c>
      <c r="D45" s="205" t="s">
        <v>9895</v>
      </c>
      <c r="E45" s="493" t="s">
        <v>9896</v>
      </c>
      <c r="F45" s="205" t="s">
        <v>9897</v>
      </c>
      <c r="G45" s="492" t="str">
        <f>IFERROR(__xludf.DUMMYFUNCTION("GOOGLETRANSLATE(A45,""zh-tw"",""zh"")"),"火蝾螈之卷")</f>
        <v>火蝾螈之卷</v>
      </c>
      <c r="H45" s="254" t="str">
        <f>IFERROR(__xludf.DUMMYFUNCTION("GOOGLETRANSLATE(B45,""zh-tw"",""zh"")"),"魔攻：25
魔防：15
强化火焰元素")</f>
        <v>魔攻：25
魔防：15
强化火焰元素</v>
      </c>
      <c r="I45" s="492" t="str">
        <f>IFERROR(__xludf.DUMMYFUNCTION("GOOGLETRANSLATE(A45,""zh-tw"",""es-MX"")"),"Pergamino de la Salamandra de Fuego")</f>
        <v>Pergamino de la Salamandra de Fuego</v>
      </c>
      <c r="J45" s="254" t="str">
        <f>IFERROR(__xludf.DUMMYFUNCTION("GOOGLETRANSLATE(B45,""zh-tw"",""es-MX"")"),"Ataque mágico: 25
Defensa mágica: 15
Elemento fuego mejorado")</f>
        <v>Ataque mágico: 25
Defensa mágica: 15
Elemento fuego mejorado</v>
      </c>
      <c r="K45" s="492" t="str">
        <f>IFERROR(__xludf.DUMMYFUNCTION("GOOGLETRANSLATE(A45,""zh-tw"",""KO"")"),"불도롱뇽 두루마리")</f>
        <v>불도롱뇽 두루마리</v>
      </c>
      <c r="L45" s="254" t="str">
        <f>IFERROR(__xludf.DUMMYFUNCTION("GOOGLETRANSLATE(B45,""zh-tw"",""KO"")"),"마법 공격력: 25
마법 방어력: 15
강화된 화염 속성")</f>
        <v>마법 공격력: 25
마법 방어력: 15
강화된 화염 속성</v>
      </c>
      <c r="M45" s="492" t="s">
        <v>9898</v>
      </c>
      <c r="N45" s="254" t="s">
        <v>9899</v>
      </c>
      <c r="O45" s="492" t="s">
        <v>9900</v>
      </c>
      <c r="P45" s="254" t="s">
        <v>9901</v>
      </c>
      <c r="Q45" s="492" t="s">
        <v>9902</v>
      </c>
      <c r="R45" s="205" t="s">
        <v>9903</v>
      </c>
      <c r="S45" s="505" t="s">
        <v>9904</v>
      </c>
      <c r="T45" s="495" t="s">
        <v>9905</v>
      </c>
      <c r="U45" s="492" t="s">
        <v>9896</v>
      </c>
      <c r="V45" s="254" t="s">
        <v>9906</v>
      </c>
      <c r="W45" s="9"/>
      <c r="X45" s="9"/>
      <c r="Y45" s="9"/>
      <c r="Z45" s="9"/>
      <c r="AA45" s="9"/>
      <c r="AB45" s="9"/>
      <c r="AC45" s="9"/>
      <c r="AD45" s="9"/>
      <c r="AE45" s="9"/>
      <c r="AF45" s="9"/>
      <c r="AG45" s="9"/>
      <c r="AH45" s="9"/>
      <c r="AI45" s="9"/>
      <c r="AJ45" s="9"/>
      <c r="AK45" s="9"/>
      <c r="AL45" s="9"/>
      <c r="AM45" s="9"/>
      <c r="AN45" s="9"/>
      <c r="AO45" s="9"/>
      <c r="AP45" s="9"/>
      <c r="AQ45" s="9"/>
      <c r="AR45" s="9"/>
      <c r="AS45" s="9"/>
      <c r="AT45" s="9"/>
    </row>
    <row r="46">
      <c r="A46" s="488" t="s">
        <v>9907</v>
      </c>
      <c r="B46" s="205" t="s">
        <v>9908</v>
      </c>
      <c r="C46" s="488" t="s">
        <v>9909</v>
      </c>
      <c r="D46" s="205" t="s">
        <v>9910</v>
      </c>
      <c r="E46" s="488" t="s">
        <v>9911</v>
      </c>
      <c r="F46" s="205" t="s">
        <v>9912</v>
      </c>
      <c r="G46" s="492" t="str">
        <f>IFERROR(__xludf.DUMMYFUNCTION("GOOGLETRANSLATE(A46,""zh-tw"",""zh"")"),"纵火狂的防烫手套")</f>
        <v>纵火狂的防烫手套</v>
      </c>
      <c r="H46" s="254" t="str">
        <f>IFERROR(__xludf.DUMMYFUNCTION("GOOGLETRANSLATE(B46,""zh-tw"",""zh"")"),"物攻：4
魔抗：8
幸运：4
增强炸弹效果
(丢炸弹概率连环爆炸)")</f>
        <v>物攻：4
魔抗：8
幸运：4
增强炸弹效果
(丢炸弹概率连环爆炸)</v>
      </c>
      <c r="I46" s="492" t="str">
        <f>IFERROR(__xludf.DUMMYFUNCTION("GOOGLETRANSLATE(A46,""zh-tw"",""es-MX"")"),"Los guantes resistentes al calor del pirómano")</f>
        <v>Los guantes resistentes al calor del pirómano</v>
      </c>
      <c r="J46" s="254" t="str">
        <f>IFERROR(__xludf.DUMMYFUNCTION("GOOGLETRANSLATE(B46,""zh-tw"",""es-MX"")"),"Ataque físico: 4
Resistencia mágica: 8
Suerte: 4
Efecto de bomba mejorado
(Posibilidad de explosión en cadena al lanzar una bomba)")</f>
        <v>Ataque físico: 4
Resistencia mágica: 8
Suerte: 4
Efecto de bomba mejorado
(Posibilidad de explosión en cadena al lanzar una bomba)</v>
      </c>
      <c r="K46" s="488" t="s">
        <v>9913</v>
      </c>
      <c r="L46" s="205" t="s">
        <v>9914</v>
      </c>
      <c r="M46" s="492" t="s">
        <v>9915</v>
      </c>
      <c r="N46" s="254" t="s">
        <v>9916</v>
      </c>
      <c r="O46" s="492" t="s">
        <v>9917</v>
      </c>
      <c r="P46" s="254" t="s">
        <v>9918</v>
      </c>
      <c r="Q46" s="489" t="s">
        <v>9919</v>
      </c>
      <c r="R46" s="260" t="s">
        <v>9920</v>
      </c>
      <c r="S46" s="505" t="s">
        <v>9921</v>
      </c>
      <c r="T46" s="495" t="s">
        <v>9922</v>
      </c>
      <c r="U46" s="492" t="s">
        <v>9923</v>
      </c>
      <c r="V46" s="254" t="s">
        <v>9924</v>
      </c>
      <c r="W46" s="9"/>
      <c r="X46" s="9"/>
      <c r="Y46" s="9"/>
      <c r="Z46" s="9"/>
      <c r="AA46" s="9"/>
      <c r="AB46" s="9"/>
      <c r="AC46" s="9"/>
      <c r="AD46" s="9"/>
      <c r="AE46" s="9"/>
      <c r="AF46" s="9"/>
      <c r="AG46" s="9"/>
      <c r="AH46" s="9"/>
      <c r="AI46" s="9"/>
      <c r="AJ46" s="9"/>
      <c r="AK46" s="9"/>
      <c r="AL46" s="9"/>
      <c r="AM46" s="9"/>
      <c r="AN46" s="9"/>
      <c r="AO46" s="9"/>
      <c r="AP46" s="9"/>
      <c r="AQ46" s="9"/>
      <c r="AR46" s="9"/>
      <c r="AS46" s="9"/>
      <c r="AT46" s="9"/>
    </row>
    <row r="47">
      <c r="A47" s="488" t="s">
        <v>9925</v>
      </c>
      <c r="B47" s="205" t="s">
        <v>9926</v>
      </c>
      <c r="C47" s="488" t="s">
        <v>5216</v>
      </c>
      <c r="D47" s="205" t="s">
        <v>9927</v>
      </c>
      <c r="E47" s="488" t="s">
        <v>9928</v>
      </c>
      <c r="F47" s="205" t="s">
        <v>9929</v>
      </c>
      <c r="G47" s="492" t="str">
        <f>IFERROR(__xludf.DUMMYFUNCTION("GOOGLETRANSLATE(A47,""zh-tw"",""zh"")"),"护刃众的徽章")</f>
        <v>护刃众的徽章</v>
      </c>
      <c r="H47" s="254" t="str">
        <f>IFERROR(__xludf.DUMMYFUNCTION("GOOGLETRANSLATE(B47,""zh-tw"",""zh"")"),"减少攻击力、攻击上限降低至200
降低武器耐久度消耗")</f>
        <v>减少攻击力、攻击上限降低至200
降低武器耐久度消耗</v>
      </c>
      <c r="I47" s="492" t="str">
        <f>IFERROR(__xludf.DUMMYFUNCTION("GOOGLETRANSLATE(A47,""zh-tw"",""es-MX"")"),"Insignias del Goken-kun")</f>
        <v>Insignias del Goken-kun</v>
      </c>
      <c r="J47" s="254" t="str">
        <f>IFERROR(__xludf.DUMMYFUNCTION("GOOGLETRANSLATE(B47,""zh-tw"",""es-MX"")"),"Poder de ataque reducido, límite de ataque disminuido a 200. Consumo de durabilidad de armas reducido.")</f>
        <v>Poder de ataque reducido, límite de ataque disminuido a 200. Consumo de durabilidad de armas reducido.</v>
      </c>
      <c r="K47" s="492" t="str">
        <f>IFERROR(__xludf.DUMMYFUNCTION("GOOGLETRANSLATE(A47,""zh-tw"",""KO"")"),"고켄군의 배지")</f>
        <v>고켄군의 배지</v>
      </c>
      <c r="L47" s="254" t="str">
        <f>IFERROR(__xludf.DUMMYFUNCTION("GOOGLETRANSLATE(B47,""zh-tw"",""KO"")"),"공격력이 감소하고, 공격력 상한선이 200으로 낮아졌습니다. 무기 내구도 소모량도 감소했습니다.")</f>
        <v>공격력이 감소하고, 공격력 상한선이 200으로 낮아졌습니다. 무기 내구도 소모량도 감소했습니다.</v>
      </c>
      <c r="M47" s="492" t="s">
        <v>9930</v>
      </c>
      <c r="N47" s="254" t="s">
        <v>9931</v>
      </c>
      <c r="O47" s="492" t="s">
        <v>9932</v>
      </c>
      <c r="P47" s="254" t="s">
        <v>9933</v>
      </c>
      <c r="Q47" s="506" t="str">
        <f>IFERROR(__xludf.DUMMYFUNCTION("GOOGLETRANSLATE(A47,""zh-tw"",""de"")"),"Abzeichen des Goken-kun")</f>
        <v>Abzeichen des Goken-kun</v>
      </c>
      <c r="R47" s="504" t="str">
        <f>IFERROR(__xludf.DUMMYFUNCTION("GOOGLETRANSLATE(B47,""zh-tw"",""de"")"),"Reduzierte Angriffskraft, Angriffslimit auf 200 gesenkt. Reduzierter Verbrauch der Waffenhaltbarkeit.")</f>
        <v>Reduzierte Angriffskraft, Angriffslimit auf 200 gesenkt. Reduzierter Verbrauch der Waffenhaltbarkeit.</v>
      </c>
      <c r="S47" s="505" t="s">
        <v>9934</v>
      </c>
      <c r="T47" s="495" t="s">
        <v>9935</v>
      </c>
      <c r="U47" s="492" t="s">
        <v>9936</v>
      </c>
      <c r="V47" s="254" t="s">
        <v>9937</v>
      </c>
      <c r="W47" s="9"/>
      <c r="X47" s="9"/>
      <c r="Y47" s="9"/>
      <c r="Z47" s="9"/>
      <c r="AA47" s="9"/>
      <c r="AB47" s="9"/>
      <c r="AC47" s="9"/>
      <c r="AD47" s="9"/>
      <c r="AE47" s="9"/>
      <c r="AF47" s="9"/>
      <c r="AG47" s="9"/>
      <c r="AH47" s="9"/>
      <c r="AI47" s="9"/>
      <c r="AJ47" s="9"/>
      <c r="AK47" s="9"/>
      <c r="AL47" s="9"/>
      <c r="AM47" s="9"/>
      <c r="AN47" s="9"/>
      <c r="AO47" s="9"/>
      <c r="AP47" s="9"/>
      <c r="AQ47" s="9"/>
      <c r="AR47" s="9"/>
      <c r="AS47" s="9"/>
      <c r="AT47" s="9"/>
    </row>
    <row r="48">
      <c r="A48" s="488" t="s">
        <v>9938</v>
      </c>
      <c r="B48" s="205" t="s">
        <v>9939</v>
      </c>
      <c r="C48" s="488" t="s">
        <v>9940</v>
      </c>
      <c r="D48" s="205" t="s">
        <v>9941</v>
      </c>
      <c r="E48" s="488" t="s">
        <v>9942</v>
      </c>
      <c r="F48" s="205" t="s">
        <v>9943</v>
      </c>
      <c r="G48" s="488" t="s">
        <v>9944</v>
      </c>
      <c r="H48" s="205" t="s">
        <v>9945</v>
      </c>
      <c r="I48" s="492"/>
      <c r="J48" s="254"/>
      <c r="K48" s="492"/>
      <c r="L48" s="254"/>
      <c r="M48" s="493" t="s">
        <v>9946</v>
      </c>
      <c r="N48" s="194" t="s">
        <v>9947</v>
      </c>
      <c r="O48" s="488" t="s">
        <v>9948</v>
      </c>
      <c r="P48" s="205" t="s">
        <v>9949</v>
      </c>
      <c r="Q48" s="492"/>
      <c r="R48" s="254"/>
      <c r="S48" s="503" t="s">
        <v>9950</v>
      </c>
      <c r="T48" s="495" t="s">
        <v>9951</v>
      </c>
      <c r="U48" s="488" t="s">
        <v>9952</v>
      </c>
      <c r="V48" s="205" t="s">
        <v>9953</v>
      </c>
      <c r="W48" s="9"/>
      <c r="X48" s="9"/>
      <c r="Y48" s="9"/>
      <c r="Z48" s="9"/>
      <c r="AA48" s="9"/>
      <c r="AB48" s="9"/>
      <c r="AC48" s="9"/>
      <c r="AD48" s="9"/>
      <c r="AE48" s="9"/>
      <c r="AF48" s="9"/>
      <c r="AG48" s="9"/>
      <c r="AH48" s="9"/>
      <c r="AI48" s="9"/>
      <c r="AJ48" s="9"/>
      <c r="AK48" s="9"/>
      <c r="AL48" s="9"/>
      <c r="AM48" s="9"/>
      <c r="AN48" s="9"/>
      <c r="AO48" s="9"/>
      <c r="AP48" s="9"/>
      <c r="AQ48" s="9"/>
      <c r="AR48" s="9"/>
      <c r="AS48" s="9"/>
      <c r="AT48" s="9"/>
    </row>
    <row r="49">
      <c r="A49" s="493" t="s">
        <v>9954</v>
      </c>
      <c r="B49" s="194" t="s">
        <v>9955</v>
      </c>
      <c r="C49" s="488" t="s">
        <v>9956</v>
      </c>
      <c r="D49" s="205" t="s">
        <v>9957</v>
      </c>
      <c r="E49" s="493" t="s">
        <v>9958</v>
      </c>
      <c r="F49" s="194" t="s">
        <v>9959</v>
      </c>
      <c r="G49" s="492" t="str">
        <f>IFERROR(__xludf.DUMMYFUNCTION("GOOGLETRANSLATE(A49,""zh-tw"",""zh"")"),"逆咒缚契约")</f>
        <v>逆咒缚契约</v>
      </c>
      <c r="H49" s="254" t="str">
        <f>IFERROR(__xludf.DUMMYFUNCTION("GOOGLETRANSLATE(B49,""zh-tw"",""zh"")"),"代替从者受到伤害
依从者数量提升主角生命回复力")</f>
        <v>代替从者受到伤害
依从者数量提升主角生命回复力</v>
      </c>
      <c r="I49" s="492" t="str">
        <f>IFERROR(__xludf.DUMMYFUNCTION("GOOGLETRANSLATE(A49,""zh-tw"",""es-MX"")"),"Contrato de maldición inversa")</f>
        <v>Contrato de maldición inversa</v>
      </c>
      <c r="J49" s="254" t="str">
        <f>IFERROR(__xludf.DUMMYFUNCTION("GOOGLETRANSLATE(B49,""zh-tw"",""es-MX"")"),"Recibir daño en lugar de los Servants; aumentar la regeneración de HP del protagonista en función del número de Servants.")</f>
        <v>Recibir daño en lugar de los Servants; aumentar la regeneración de HP del protagonista en función del número de Servants.</v>
      </c>
      <c r="K49" s="492" t="str">
        <f>IFERROR(__xludf.DUMMYFUNCTION("GOOGLETRANSLATE(A49,""zh-tw"",""KO"")"),"역저주 계약")</f>
        <v>역저주 계약</v>
      </c>
      <c r="L49" s="254" t="str">
        <f>IFERROR(__xludf.DUMMYFUNCTION("GOOGLETRANSLATE(B49,""zh-tw"",""KO"")"),"서번트를 대신해 피해를 입고, 서번트 수에 비례하여 주인공의 HP 회복량이 증가합니다.")</f>
        <v>서번트를 대신해 피해를 입고, 서번트 수에 비례하여 주인공의 HP 회복량이 증가합니다.</v>
      </c>
      <c r="M49" s="492" t="s">
        <v>9960</v>
      </c>
      <c r="N49" s="254" t="s">
        <v>9961</v>
      </c>
      <c r="O49" s="492" t="s">
        <v>9962</v>
      </c>
      <c r="P49" s="254" t="s">
        <v>9963</v>
      </c>
      <c r="Q49" s="492" t="s">
        <v>9964</v>
      </c>
      <c r="R49" s="254" t="s">
        <v>9965</v>
      </c>
      <c r="S49" s="503" t="s">
        <v>9966</v>
      </c>
      <c r="T49" s="68" t="s">
        <v>9967</v>
      </c>
      <c r="U49" s="492" t="s">
        <v>9968</v>
      </c>
      <c r="V49" s="254" t="s">
        <v>9969</v>
      </c>
      <c r="W49" s="9"/>
      <c r="X49" s="9"/>
      <c r="Y49" s="9"/>
      <c r="Z49" s="9"/>
      <c r="AA49" s="9"/>
      <c r="AB49" s="9"/>
      <c r="AC49" s="9"/>
      <c r="AD49" s="9"/>
      <c r="AE49" s="9"/>
      <c r="AF49" s="9"/>
      <c r="AG49" s="9"/>
      <c r="AH49" s="9"/>
      <c r="AI49" s="9"/>
      <c r="AJ49" s="9"/>
      <c r="AK49" s="9"/>
      <c r="AL49" s="9"/>
      <c r="AM49" s="9"/>
      <c r="AN49" s="9"/>
      <c r="AO49" s="9"/>
      <c r="AP49" s="9"/>
      <c r="AQ49" s="9"/>
      <c r="AR49" s="9"/>
      <c r="AS49" s="9"/>
      <c r="AT49" s="9"/>
    </row>
    <row r="50">
      <c r="A50" s="489" t="s">
        <v>9970</v>
      </c>
      <c r="B50" s="260" t="s">
        <v>9971</v>
      </c>
      <c r="C50" s="488" t="s">
        <v>9972</v>
      </c>
      <c r="D50" s="205" t="s">
        <v>9973</v>
      </c>
      <c r="E50" s="488" t="s">
        <v>9974</v>
      </c>
      <c r="F50" s="205" t="s">
        <v>9975</v>
      </c>
      <c r="G50" s="492" t="str">
        <f>IFERROR(__xludf.DUMMYFUNCTION("GOOGLETRANSLATE(A50,""zh-tw"",""zh"")"),"愤怒的拳头")</f>
        <v>愤怒的拳头</v>
      </c>
      <c r="H50" s="254" t="str">
        <f>IFERROR(__xludf.DUMMYFUNCTION("GOOGLETRANSLATE(B50,""zh-tw"",""zh"")"),"物攻：1
魔攻：8
自动环绕攻击")</f>
        <v>物攻：1
魔攻：8
自动环绕攻击</v>
      </c>
      <c r="I50" s="492" t="str">
        <f>IFERROR(__xludf.DUMMYFUNCTION("GOOGLETRANSLATE(A50,""zh-tw"",""es-MX"")"),"Puño furioso")</f>
        <v>Puño furioso</v>
      </c>
      <c r="J50" s="254" t="str">
        <f>IFERROR(__xludf.DUMMYFUNCTION("GOOGLETRANSLATE(B50,""zh-tw"",""es-MX"")"),"Ataque físico: 1
Ataque mágico: 8
Ataque circular automático")</f>
        <v>Ataque físico: 1
Ataque mágico: 8
Ataque circular automático</v>
      </c>
      <c r="K50" s="492" t="str">
        <f>IFERROR(__xludf.DUMMYFUNCTION("GOOGLETRANSLATE(A50,""zh-tw"",""KO"")"),"분노에 찬 주먹")</f>
        <v>분노에 찬 주먹</v>
      </c>
      <c r="L50" s="205" t="s">
        <v>9976</v>
      </c>
      <c r="M50" s="492" t="s">
        <v>9977</v>
      </c>
      <c r="N50" s="254" t="s">
        <v>9978</v>
      </c>
      <c r="O50" s="492" t="s">
        <v>9979</v>
      </c>
      <c r="P50" s="254" t="s">
        <v>9980</v>
      </c>
      <c r="Q50" s="489" t="s">
        <v>9981</v>
      </c>
      <c r="R50" s="260" t="s">
        <v>9982</v>
      </c>
      <c r="S50" s="505" t="s">
        <v>9983</v>
      </c>
      <c r="T50" s="495" t="s">
        <v>9984</v>
      </c>
      <c r="U50" s="492" t="s">
        <v>9985</v>
      </c>
      <c r="V50" s="254" t="s">
        <v>9986</v>
      </c>
      <c r="W50" s="9"/>
      <c r="X50" s="9"/>
      <c r="Y50" s="9"/>
      <c r="Z50" s="9"/>
      <c r="AA50" s="9"/>
      <c r="AB50" s="9"/>
      <c r="AC50" s="9"/>
      <c r="AD50" s="9"/>
      <c r="AE50" s="9"/>
      <c r="AF50" s="9"/>
      <c r="AG50" s="9"/>
      <c r="AH50" s="9"/>
      <c r="AI50" s="9"/>
      <c r="AJ50" s="9"/>
      <c r="AK50" s="9"/>
      <c r="AL50" s="9"/>
      <c r="AM50" s="9"/>
      <c r="AN50" s="9"/>
      <c r="AO50" s="9"/>
      <c r="AP50" s="9"/>
      <c r="AQ50" s="9"/>
      <c r="AR50" s="9"/>
      <c r="AS50" s="9"/>
      <c r="AT50" s="9"/>
    </row>
    <row r="51">
      <c r="A51" s="493" t="s">
        <v>7356</v>
      </c>
      <c r="B51" s="205" t="s">
        <v>9987</v>
      </c>
      <c r="C51" s="488" t="s">
        <v>9988</v>
      </c>
      <c r="D51" s="205" t="s">
        <v>9989</v>
      </c>
      <c r="E51" s="488" t="s">
        <v>7362</v>
      </c>
      <c r="F51" s="205" t="s">
        <v>9990</v>
      </c>
      <c r="G51" s="492" t="str">
        <f>IFERROR(__xludf.DUMMYFUNCTION("GOOGLETRANSLATE(A51,""zh-tw"",""zh"")"),"◉▽◉(蓝色)")</f>
        <v>◉▽◉(蓝色)</v>
      </c>
      <c r="H51" s="254" t="str">
        <f>IFERROR(__xludf.DUMMYFUNCTION("GOOGLETRANSLATE(B51,""zh-tw"",""zh"")"),"投掷攻击
遇水消失、会被击杀
幸运：10")</f>
        <v>投掷攻击
遇水消失、会被击杀
幸运：10</v>
      </c>
      <c r="I51" s="492" t="str">
        <f>IFERROR(__xludf.DUMMYFUNCTION("GOOGLETRANSLATE(A51,""zh-tw"",""es-MX"")"),"◉▽◉ (Azul)")</f>
        <v>◉▽◉ (Azul)</v>
      </c>
      <c r="J51" s="254" t="str">
        <f>IFERROR(__xludf.DUMMYFUNCTION("GOOGLETRANSLATE(B51,""zh-tw"",""es-MX"")"),"Ataque de lanzamiento. Desaparece al contacto con el agua y puede ser eliminado. Suerte: 10")</f>
        <v>Ataque de lanzamiento. Desaparece al contacto con el agua y puede ser eliminado. Suerte: 10</v>
      </c>
      <c r="K51" s="492" t="str">
        <f>IFERROR(__xludf.DUMMYFUNCTION("GOOGLETRANSLATE(A51,""zh-tw"",""KO"")"),"◉▽◉ (파란색)")</f>
        <v>◉▽◉ (파란색)</v>
      </c>
      <c r="L51" s="254" t="str">
        <f>IFERROR(__xludf.DUMMYFUNCTION("GOOGLETRANSLATE(B51,""zh-tw"",""KO"")"),"투척 공격. 물에 닿으면 사라지며, 물에 닿으면 죽습니다. 행운: 10")</f>
        <v>투척 공격. 물에 닿으면 사라지며, 물에 닿으면 죽습니다. 행운: 10</v>
      </c>
      <c r="M51" s="492" t="s">
        <v>7365</v>
      </c>
      <c r="N51" s="254" t="s">
        <v>9991</v>
      </c>
      <c r="O51" s="492" t="s">
        <v>7368</v>
      </c>
      <c r="P51" s="254" t="s">
        <v>9992</v>
      </c>
      <c r="Q51" s="488" t="s">
        <v>7371</v>
      </c>
      <c r="R51" s="205" t="s">
        <v>9993</v>
      </c>
      <c r="S51" s="505" t="s">
        <v>7374</v>
      </c>
      <c r="T51" s="491" t="s">
        <v>9994</v>
      </c>
      <c r="U51" s="492" t="s">
        <v>7377</v>
      </c>
      <c r="V51" s="254" t="s">
        <v>9995</v>
      </c>
      <c r="W51" s="9"/>
      <c r="X51" s="9"/>
      <c r="Y51" s="9"/>
      <c r="Z51" s="9"/>
      <c r="AA51" s="9"/>
      <c r="AB51" s="9"/>
      <c r="AC51" s="9"/>
      <c r="AD51" s="9"/>
      <c r="AE51" s="9"/>
      <c r="AF51" s="9"/>
      <c r="AG51" s="9"/>
      <c r="AH51" s="9"/>
      <c r="AI51" s="9"/>
      <c r="AJ51" s="9"/>
      <c r="AK51" s="9"/>
      <c r="AL51" s="9"/>
      <c r="AM51" s="9"/>
      <c r="AN51" s="9"/>
      <c r="AO51" s="9"/>
      <c r="AP51" s="9"/>
      <c r="AQ51" s="9"/>
      <c r="AR51" s="9"/>
      <c r="AS51" s="9"/>
      <c r="AT51" s="9"/>
    </row>
    <row r="52">
      <c r="A52" s="200" t="s">
        <v>8878</v>
      </c>
      <c r="C52" s="200" t="s">
        <v>8879</v>
      </c>
      <c r="E52" s="200" t="s">
        <v>8880</v>
      </c>
      <c r="G52" s="200" t="s">
        <v>8881</v>
      </c>
      <c r="I52" s="200"/>
      <c r="K52" s="200"/>
      <c r="M52" s="193" t="s">
        <v>9996</v>
      </c>
      <c r="O52" s="200" t="s">
        <v>8883</v>
      </c>
      <c r="Q52" s="200"/>
      <c r="S52" s="203" t="s">
        <v>9997</v>
      </c>
      <c r="U52" s="200" t="s">
        <v>8885</v>
      </c>
      <c r="W52" s="254"/>
      <c r="X52" s="254"/>
      <c r="Y52" s="254"/>
      <c r="Z52" s="254"/>
      <c r="AA52" s="9"/>
      <c r="AB52" s="9"/>
      <c r="AC52" s="9"/>
      <c r="AD52" s="9"/>
      <c r="AE52" s="9"/>
      <c r="AF52" s="9"/>
      <c r="AG52" s="9"/>
      <c r="AH52" s="9"/>
      <c r="AI52" s="9"/>
      <c r="AJ52" s="9"/>
      <c r="AK52" s="9"/>
      <c r="AL52" s="9"/>
      <c r="AM52" s="9"/>
      <c r="AN52" s="9"/>
      <c r="AO52" s="9"/>
      <c r="AP52" s="9"/>
      <c r="AQ52" s="9"/>
      <c r="AR52" s="9"/>
      <c r="AS52" s="9"/>
      <c r="AT52" s="9"/>
    </row>
    <row r="53">
      <c r="A53" s="489" t="s">
        <v>7793</v>
      </c>
      <c r="B53" s="260" t="s">
        <v>9998</v>
      </c>
      <c r="C53" s="488" t="s">
        <v>7795</v>
      </c>
      <c r="D53" s="205" t="s">
        <v>9999</v>
      </c>
      <c r="E53" s="488" t="s">
        <v>7797</v>
      </c>
      <c r="F53" s="205" t="s">
        <v>10000</v>
      </c>
      <c r="G53" s="492" t="str">
        <f>IFERROR(__xludf.DUMMYFUNCTION("GOOGLETRANSLATE(A53,""zh-tw"",""zh"")"),"猫爪手套")</f>
        <v>猫爪手套</v>
      </c>
      <c r="H53" s="254" t="str">
        <f>IFERROR(__xludf.DUMMYFUNCTION("GOOGLETRANSLATE(B53,""zh-tw"",""zh"")"),"增加攻击速度、攻击数目+1")</f>
        <v>增加攻击速度、攻击数目+1</v>
      </c>
      <c r="I53" s="492" t="str">
        <f>IFERROR(__xludf.DUMMYFUNCTION("GOOGLETRANSLATE(A53,""zh-tw"",""es-MX"")"),"Guantes con forma de pata de gato")</f>
        <v>Guantes con forma de pata de gato</v>
      </c>
      <c r="J53" s="254" t="str">
        <f>IFERROR(__xludf.DUMMYFUNCTION("GOOGLETRANSLATE(B53,""zh-tw"",""es-MX"")"),"Aumenta la velocidad de ataque y el número de ataques en 1.")</f>
        <v>Aumenta la velocidad de ataque y el número de ataques en 1.</v>
      </c>
      <c r="K53" s="488" t="s">
        <v>7799</v>
      </c>
      <c r="L53" s="205" t="s">
        <v>10001</v>
      </c>
      <c r="M53" s="492" t="s">
        <v>10002</v>
      </c>
      <c r="N53" s="254" t="s">
        <v>10003</v>
      </c>
      <c r="O53" s="492" t="s">
        <v>10004</v>
      </c>
      <c r="P53" s="254" t="s">
        <v>10005</v>
      </c>
      <c r="Q53" s="489" t="s">
        <v>7807</v>
      </c>
      <c r="R53" s="260" t="s">
        <v>10006</v>
      </c>
      <c r="S53" s="503" t="s">
        <v>10007</v>
      </c>
      <c r="T53" s="491" t="s">
        <v>10008</v>
      </c>
      <c r="U53" s="492" t="s">
        <v>7811</v>
      </c>
      <c r="V53" s="254" t="s">
        <v>10009</v>
      </c>
      <c r="W53" s="9"/>
      <c r="X53" s="9"/>
      <c r="Y53" s="9"/>
      <c r="Z53" s="9"/>
      <c r="AA53" s="9"/>
      <c r="AB53" s="9"/>
      <c r="AC53" s="9"/>
      <c r="AD53" s="9"/>
      <c r="AE53" s="9"/>
      <c r="AF53" s="9"/>
      <c r="AG53" s="9"/>
      <c r="AH53" s="9"/>
      <c r="AI53" s="9"/>
      <c r="AJ53" s="9"/>
      <c r="AK53" s="9"/>
      <c r="AL53" s="9"/>
      <c r="AM53" s="9"/>
      <c r="AN53" s="9"/>
      <c r="AO53" s="9"/>
      <c r="AP53" s="9"/>
      <c r="AQ53" s="9"/>
      <c r="AR53" s="9"/>
      <c r="AS53" s="9"/>
      <c r="AT53" s="9"/>
    </row>
    <row r="54">
      <c r="A54" s="488" t="s">
        <v>10010</v>
      </c>
      <c r="B54" s="205" t="s">
        <v>10011</v>
      </c>
      <c r="C54" s="488" t="s">
        <v>10010</v>
      </c>
      <c r="D54" s="205" t="s">
        <v>10012</v>
      </c>
      <c r="E54" s="488" t="s">
        <v>10013</v>
      </c>
      <c r="F54" s="205" t="s">
        <v>10014</v>
      </c>
      <c r="G54" s="492" t="str">
        <f>IFERROR(__xludf.DUMMYFUNCTION("GOOGLETRANSLATE(A54,""zh-tw"",""zh"")"),"胁差")</f>
        <v>胁差</v>
      </c>
      <c r="H54" s="254" t="str">
        <f>IFERROR(__xludf.DUMMYFUNCTION("GOOGLETRANSLATE(B54,""zh-tw"",""zh"")"),"近距离普通攻击次数+1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54" s="492" t="str">
        <f>IFERROR(__xludf.DUMMYFUNCTION("GOOGLETRANSLATE(A54,""zh-tw"",""es-MX"")"),"takizashi")</f>
        <v>takizashi</v>
      </c>
      <c r="J54" s="254" t="str">
        <f>IFERROR(__xludf.DUMMYFUNCTION("GOOGLETRANSLATE(B54,""zh-tw"",""es-MX"")"),"+1 al contador de ataques normales cuerpo a cuerpo. Posibilidad de sangrado. Área de impacto pequeña, que no varía con el tamaño del arma. Daño fijo, pero se puede combinar con entrenamiento en esgrima para obtener bonificaciones de daño.")</f>
        <v>+1 al contador de ataques normales cuerpo a cuerpo. Posibilidad de sangrado. Área de impacto pequeña, que no varía con el tamaño del arma. Daño fijo, pero se puede combinar con entrenamiento en esgrima para obtener bonificaciones de daño.</v>
      </c>
      <c r="K54" s="492" t="str">
        <f>IFERROR(__xludf.DUMMYFUNCTION("GOOGLETRANSLATE(A54,""zh-tw"",""KO"")"),"다키자시")</f>
        <v>다키자시</v>
      </c>
      <c r="L54" s="254" t="str">
        <f>IFERROR(__xludf.DUMMYFUNCTION("GOOGLETRANSLATE(B54,""zh-tw"",""KO"")"),"근접 일반 공격 횟수 +1. 출혈 확률 증가. 작은 히트박스를 가지며 무기 크기에 따라 변하지 않습니다. 고정 피해량이지만 검술 훈련과 조합하여 피해량 보너스를 얻을 수 있습니다.")</f>
        <v>근접 일반 공격 횟수 +1. 출혈 확률 증가. 작은 히트박스를 가지며 무기 크기에 따라 변하지 않습니다. 고정 피해량이지만 검술 훈련과 조합하여 피해량 보너스를 얻을 수 있습니다.</v>
      </c>
      <c r="M54" s="492" t="s">
        <v>10015</v>
      </c>
      <c r="N54" s="254" t="s">
        <v>10016</v>
      </c>
      <c r="O54" s="492" t="s">
        <v>10017</v>
      </c>
      <c r="P54" s="254" t="s">
        <v>10018</v>
      </c>
      <c r="Q54" s="506" t="str">
        <f>IFERROR(__xludf.DUMMYFUNCTION("GOOGLETRANSLATE(A54,""zh-tw"",""de"")"),"Takizashi")</f>
        <v>Takizashi</v>
      </c>
      <c r="R54" s="504" t="str">
        <f>IFERROR(__xludf.DUMMYFUNCTION("GOOGLETRANSLATE(B54,""zh-tw"",""de"")"),"+1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S54" s="505" t="s">
        <v>10013</v>
      </c>
      <c r="T54" s="68" t="s">
        <v>10019</v>
      </c>
      <c r="U54" s="492" t="s">
        <v>10013</v>
      </c>
      <c r="V54" s="254" t="s">
        <v>10020</v>
      </c>
      <c r="W54" s="9"/>
      <c r="X54" s="9"/>
      <c r="Y54" s="9"/>
      <c r="Z54" s="9"/>
      <c r="AA54" s="9"/>
      <c r="AB54" s="9"/>
      <c r="AC54" s="9"/>
      <c r="AD54" s="9"/>
      <c r="AE54" s="9"/>
      <c r="AF54" s="9"/>
      <c r="AG54" s="9"/>
      <c r="AH54" s="9"/>
      <c r="AI54" s="9"/>
      <c r="AJ54" s="9"/>
      <c r="AK54" s="9"/>
      <c r="AL54" s="9"/>
      <c r="AM54" s="9"/>
      <c r="AN54" s="9"/>
      <c r="AO54" s="9"/>
      <c r="AP54" s="9"/>
      <c r="AQ54" s="9"/>
      <c r="AR54" s="9"/>
      <c r="AS54" s="9"/>
      <c r="AT54" s="9"/>
    </row>
    <row r="55">
      <c r="A55" s="488" t="s">
        <v>10021</v>
      </c>
      <c r="B55" s="205" t="s">
        <v>10022</v>
      </c>
      <c r="C55" s="488" t="s">
        <v>10023</v>
      </c>
      <c r="D55" s="205" t="s">
        <v>10024</v>
      </c>
      <c r="E55" s="488" t="s">
        <v>10025</v>
      </c>
      <c r="F55" s="205" t="s">
        <v>10026</v>
      </c>
      <c r="G55" s="492" t="str">
        <f>IFERROR(__xludf.DUMMYFUNCTION("GOOGLETRANSLATE(A55,""zh-tw"",""zh"")"),"锐刃指环")</f>
        <v>锐刃指环</v>
      </c>
      <c r="H55" s="254" t="str">
        <f>IFERROR(__xludf.DUMMYFUNCTION("GOOGLETRANSLATE(B55,""zh-tw"",""zh"")"),"物攻：4
物防：1
物攻+15%
")</f>
        <v>物攻：4
物防：1
物攻+15%
</v>
      </c>
      <c r="I55" s="492" t="str">
        <f>IFERROR(__xludf.DUMMYFUNCTION("GOOGLETRANSLATE(A55,""zh-tw"",""es-MX"")"),"Anillo de cuchilla afilada")</f>
        <v>Anillo de cuchilla afilada</v>
      </c>
      <c r="J55" s="254" t="str">
        <f>IFERROR(__xludf.DUMMYFUNCTION("GOOGLETRANSLATE(B55,""zh-tw"",""es-MX"")"),"Ataque físico: 4
Defensa física: 1
Ataque físico +15%
")</f>
        <v>Ataque físico: 4
Defensa física: 1
Ataque físico +15%
</v>
      </c>
      <c r="K55" s="492" t="str">
        <f>IFERROR(__xludf.DUMMYFUNCTION("GOOGLETRANSLATE(A55,""zh-tw"",""KO"")"),"날카로운 칼날 고리")</f>
        <v>날카로운 칼날 고리</v>
      </c>
      <c r="L55" s="254" t="str">
        <f>IFERROR(__xludf.DUMMYFUNCTION("GOOGLETRANSLATE(B55,""zh-tw"",""KO"")"),"물리 공격력: 4
물리 방어력: 1
물리 공격력 +15%
")</f>
        <v>물리 공격력: 4
물리 방어력: 1
물리 공격력 +15%
</v>
      </c>
      <c r="M55" s="492" t="s">
        <v>10027</v>
      </c>
      <c r="N55" s="254" t="s">
        <v>10028</v>
      </c>
      <c r="O55" s="492" t="s">
        <v>10029</v>
      </c>
      <c r="P55" s="254" t="s">
        <v>10030</v>
      </c>
      <c r="Q55" s="506" t="str">
        <f>IFERROR(__xludf.DUMMYFUNCTION("GOOGLETRANSLATE(A55,""zh-tw"",""de"")"),"Scharfer Klingenring")</f>
        <v>Scharfer Klingenring</v>
      </c>
      <c r="R55" s="504" t="str">
        <f>IFERROR(__xludf.DUMMYFUNCTION("GOOGLETRANSLATE(B55,""zh-tw"",""de"")"),"Physischer Angriff: 4
Physische Verteidigung: 1
Physischer Angriff +15 %
")</f>
        <v>Physischer Angriff: 4
Physische Verteidigung: 1
Physischer Angriff +15 %
</v>
      </c>
      <c r="S55" s="505" t="s">
        <v>10031</v>
      </c>
      <c r="T55" s="495" t="s">
        <v>10032</v>
      </c>
      <c r="U55" s="492" t="s">
        <v>10033</v>
      </c>
      <c r="V55" s="254" t="s">
        <v>10034</v>
      </c>
      <c r="W55" s="9"/>
      <c r="X55" s="9"/>
      <c r="Y55" s="9"/>
      <c r="Z55" s="9"/>
      <c r="AA55" s="9"/>
      <c r="AB55" s="9"/>
      <c r="AC55" s="9"/>
      <c r="AD55" s="9"/>
      <c r="AE55" s="9"/>
      <c r="AF55" s="9"/>
      <c r="AG55" s="9"/>
      <c r="AH55" s="9"/>
      <c r="AI55" s="9"/>
      <c r="AJ55" s="9"/>
      <c r="AK55" s="9"/>
      <c r="AL55" s="9"/>
      <c r="AM55" s="9"/>
      <c r="AN55" s="9"/>
      <c r="AO55" s="9"/>
      <c r="AP55" s="9"/>
      <c r="AQ55" s="9"/>
      <c r="AR55" s="9"/>
      <c r="AS55" s="9"/>
      <c r="AT55" s="9"/>
    </row>
    <row r="56">
      <c r="A56" s="488" t="s">
        <v>10035</v>
      </c>
      <c r="B56" s="205" t="s">
        <v>10036</v>
      </c>
      <c r="C56" s="488" t="s">
        <v>10037</v>
      </c>
      <c r="D56" s="205" t="s">
        <v>10038</v>
      </c>
      <c r="E56" s="488" t="s">
        <v>10039</v>
      </c>
      <c r="F56" s="205" t="s">
        <v>10040</v>
      </c>
      <c r="G56" s="492" t="str">
        <f>IFERROR(__xludf.DUMMYFUNCTION("GOOGLETRANSLATE(A56,""zh-tw"",""zh"")"),"炸弹魔之魂")</f>
        <v>炸弹魔之魂</v>
      </c>
      <c r="H56" s="254" t="str">
        <f>IFERROR(__xludf.DUMMYFUNCTION("GOOGLETRANSLATE(B56,""zh-tw"",""zh"")"),"小概率附带爆炸效果、爆炸减免")</f>
        <v>小概率附带爆炸效果、爆炸减免</v>
      </c>
      <c r="I56" s="492" t="str">
        <f>IFERROR(__xludf.DUMMYFUNCTION("GOOGLETRANSLATE(A56,""zh-tw"",""es-MX"")"),"Alma del bombardero")</f>
        <v>Alma del bombardero</v>
      </c>
      <c r="J56" s="254" t="str">
        <f>IFERROR(__xludf.DUMMYFUNCTION("GOOGLETRANSLATE(B56,""zh-tw"",""es-MX"")"),"Baja probabilidad de desencadenar un efecto explosivo o una reducción de la explosión.")</f>
        <v>Baja probabilidad de desencadenar un efecto explosivo o una reducción de la explosión.</v>
      </c>
      <c r="K56" s="489" t="s">
        <v>10041</v>
      </c>
      <c r="L56" s="205" t="s">
        <v>10042</v>
      </c>
      <c r="M56" s="492" t="s">
        <v>10043</v>
      </c>
      <c r="N56" s="254" t="s">
        <v>10044</v>
      </c>
      <c r="O56" s="492" t="s">
        <v>10045</v>
      </c>
      <c r="P56" s="254" t="s">
        <v>10046</v>
      </c>
      <c r="Q56" s="489" t="s">
        <v>10047</v>
      </c>
      <c r="R56" s="260" t="s">
        <v>10048</v>
      </c>
      <c r="S56" s="505" t="s">
        <v>10049</v>
      </c>
      <c r="T56" s="491" t="s">
        <v>10050</v>
      </c>
      <c r="U56" s="492" t="s">
        <v>10051</v>
      </c>
      <c r="V56" s="254" t="s">
        <v>10052</v>
      </c>
      <c r="W56" s="9"/>
      <c r="X56" s="9"/>
      <c r="Y56" s="9"/>
      <c r="Z56" s="9"/>
      <c r="AA56" s="9"/>
      <c r="AB56" s="9"/>
      <c r="AC56" s="9"/>
      <c r="AD56" s="9"/>
      <c r="AE56" s="9"/>
      <c r="AF56" s="9"/>
      <c r="AG56" s="9"/>
      <c r="AH56" s="9"/>
      <c r="AI56" s="9"/>
      <c r="AJ56" s="9"/>
      <c r="AK56" s="9"/>
      <c r="AL56" s="9"/>
      <c r="AM56" s="9"/>
      <c r="AN56" s="9"/>
      <c r="AO56" s="9"/>
      <c r="AP56" s="9"/>
      <c r="AQ56" s="9"/>
      <c r="AR56" s="9"/>
      <c r="AS56" s="9"/>
      <c r="AT56" s="9"/>
    </row>
    <row r="57">
      <c r="A57" s="488" t="s">
        <v>10053</v>
      </c>
      <c r="B57" s="205" t="s">
        <v>10054</v>
      </c>
      <c r="C57" s="488" t="s">
        <v>10055</v>
      </c>
      <c r="D57" s="205" t="s">
        <v>10056</v>
      </c>
      <c r="E57" s="488" t="s">
        <v>10057</v>
      </c>
      <c r="F57" s="205" t="s">
        <v>10058</v>
      </c>
      <c r="G57" s="492" t="str">
        <f>IFERROR(__xludf.DUMMYFUNCTION("GOOGLETRANSLATE(A57,""zh-tw"",""zh"")"),"堕落法师的头环")</f>
        <v>堕落法师的头环</v>
      </c>
      <c r="H57" s="254" t="str">
        <f>IFERROR(__xludf.DUMMYFUNCTION("GOOGLETRANSLATE(B57,""zh-tw"",""zh"")"),"魔攻：10
魔抗：25
提升魔攻100%
降低体力上限50%")</f>
        <v>魔攻：10
魔抗：25
提升魔攻100%
降低体力上限50%</v>
      </c>
      <c r="I57" s="492" t="str">
        <f>IFERROR(__xludf.DUMMYFUNCTION("GOOGLETRANSLATE(A57,""zh-tw"",""es-MX"")"),"La diadema del mago caído")</f>
        <v>La diadema del mago caído</v>
      </c>
      <c r="J57" s="254" t="str">
        <f>IFERROR(__xludf.DUMMYFUNCTION("GOOGLETRANSLATE(B57,""zh-tw"",""es-MX"")"),"Ataque mágico: 10
Resistencia mágica: 25
Aumenta el ataque mágico un 100%
Disminuye la resistencia máxima un 50%")</f>
        <v>Ataque mágico: 10
Resistencia mágica: 25
Aumenta el ataque mágico un 100%
Disminuye la resistencia máxima un 50%</v>
      </c>
      <c r="K57" s="488" t="s">
        <v>10059</v>
      </c>
      <c r="L57" s="205" t="s">
        <v>10060</v>
      </c>
      <c r="M57" s="492" t="s">
        <v>10061</v>
      </c>
      <c r="N57" s="254" t="s">
        <v>10062</v>
      </c>
      <c r="O57" s="492" t="s">
        <v>10063</v>
      </c>
      <c r="P57" s="254" t="s">
        <v>10064</v>
      </c>
      <c r="Q57" s="489" t="s">
        <v>10065</v>
      </c>
      <c r="R57" s="260" t="s">
        <v>10066</v>
      </c>
      <c r="S57" s="503" t="s">
        <v>10067</v>
      </c>
      <c r="T57" s="491" t="s">
        <v>10068</v>
      </c>
      <c r="U57" s="492" t="s">
        <v>10069</v>
      </c>
      <c r="V57" s="254" t="s">
        <v>10070</v>
      </c>
      <c r="W57" s="9"/>
      <c r="X57" s="9"/>
      <c r="Y57" s="9"/>
      <c r="Z57" s="9"/>
      <c r="AA57" s="9"/>
      <c r="AB57" s="9"/>
      <c r="AC57" s="9"/>
      <c r="AD57" s="9"/>
      <c r="AE57" s="9"/>
      <c r="AF57" s="9"/>
      <c r="AG57" s="9"/>
      <c r="AH57" s="9"/>
      <c r="AI57" s="9"/>
      <c r="AJ57" s="9"/>
      <c r="AK57" s="9"/>
      <c r="AL57" s="9"/>
      <c r="AM57" s="9"/>
      <c r="AN57" s="9"/>
      <c r="AO57" s="9"/>
      <c r="AP57" s="9"/>
      <c r="AQ57" s="9"/>
      <c r="AR57" s="9"/>
      <c r="AS57" s="9"/>
      <c r="AT57" s="9"/>
    </row>
    <row r="58">
      <c r="A58" s="488" t="s">
        <v>10071</v>
      </c>
      <c r="B58" s="205" t="s">
        <v>10072</v>
      </c>
      <c r="C58" s="488" t="s">
        <v>10073</v>
      </c>
      <c r="D58" s="205" t="s">
        <v>10074</v>
      </c>
      <c r="E58" s="488" t="s">
        <v>10075</v>
      </c>
      <c r="F58" s="205" t="s">
        <v>10076</v>
      </c>
      <c r="G58" s="492" t="str">
        <f>IFERROR(__xludf.DUMMYFUNCTION("GOOGLETRANSLATE(A58,""zh-tw"",""zh"")"),"堕落法师的披风")</f>
        <v>堕落法师的披风</v>
      </c>
      <c r="H58" s="254" t="str">
        <f>IFERROR(__xludf.DUMMYFUNCTION("GOOGLETRANSLATE(B58,""zh-tw"",""zh"")"),"魔攻：10
物防:1
魔抗：35
闪步使物体陷入凝滞状态")</f>
        <v>魔攻：10
物防:1
魔抗：35
闪步使物体陷入凝滞状态</v>
      </c>
      <c r="I58" s="492" t="str">
        <f>IFERROR(__xludf.DUMMYFUNCTION("GOOGLETRANSLATE(A58,""zh-tw"",""es-MX"")"),"La capa del mago caído")</f>
        <v>La capa del mago caído</v>
      </c>
      <c r="J58" s="254" t="str">
        <f>IFERROR(__xludf.DUMMYFUNCTION("GOOGLETRANSLATE(B58,""zh-tw"",""es-MX"")"),"Ataque mágico: 10 Defensa física: 1 Resistencia mágica: 35 Paso relámpago congela los objetos en un estado de estancamiento.")</f>
        <v>Ataque mágico: 10 Defensa física: 1 Resistencia mágica: 35 Paso relámpago congela los objetos en un estado de estancamiento.</v>
      </c>
      <c r="K58" s="488" t="s">
        <v>10077</v>
      </c>
      <c r="L58" s="205" t="s">
        <v>10078</v>
      </c>
      <c r="M58" s="492" t="s">
        <v>10079</v>
      </c>
      <c r="N58" s="254" t="s">
        <v>10080</v>
      </c>
      <c r="O58" s="492" t="s">
        <v>10081</v>
      </c>
      <c r="P58" s="254" t="s">
        <v>10082</v>
      </c>
      <c r="Q58" s="489" t="s">
        <v>10083</v>
      </c>
      <c r="R58" s="260" t="s">
        <v>10084</v>
      </c>
      <c r="S58" s="503" t="s">
        <v>10085</v>
      </c>
      <c r="T58" s="491" t="s">
        <v>10086</v>
      </c>
      <c r="U58" s="492" t="s">
        <v>10087</v>
      </c>
      <c r="V58" s="254" t="s">
        <v>10088</v>
      </c>
      <c r="W58" s="9"/>
      <c r="X58" s="9"/>
      <c r="Y58" s="9"/>
      <c r="Z58" s="9"/>
      <c r="AA58" s="9"/>
      <c r="AB58" s="9"/>
      <c r="AC58" s="9"/>
      <c r="AD58" s="9"/>
      <c r="AE58" s="9"/>
      <c r="AF58" s="9"/>
      <c r="AG58" s="9"/>
      <c r="AH58" s="9"/>
      <c r="AI58" s="9"/>
      <c r="AJ58" s="9"/>
      <c r="AK58" s="9"/>
      <c r="AL58" s="9"/>
      <c r="AM58" s="9"/>
      <c r="AN58" s="9"/>
      <c r="AO58" s="9"/>
      <c r="AP58" s="9"/>
      <c r="AQ58" s="9"/>
      <c r="AR58" s="9"/>
      <c r="AS58" s="9"/>
      <c r="AT58" s="9"/>
    </row>
    <row r="59">
      <c r="A59" s="493" t="s">
        <v>10089</v>
      </c>
      <c r="B59" s="205" t="s">
        <v>10090</v>
      </c>
      <c r="C59" s="488" t="s">
        <v>10091</v>
      </c>
      <c r="D59" s="205" t="s">
        <v>10092</v>
      </c>
      <c r="E59" s="488" t="s">
        <v>10093</v>
      </c>
      <c r="F59" s="205" t="s">
        <v>10094</v>
      </c>
      <c r="G59" s="492" t="str">
        <f>IFERROR(__xludf.DUMMYFUNCTION("GOOGLETRANSLATE(A59,""zh-tw"",""zh"")"),"堕落法师的手套")</f>
        <v>堕落法师的手套</v>
      </c>
      <c r="H59" s="254" t="str">
        <f>IFERROR(__xludf.DUMMYFUNCTION("GOOGLETRANSLATE(B59,""zh-tw"",""zh"")"),"物攻：2
魔攻：10
魔抗：20
自动瞄准")</f>
        <v>物攻：2
魔攻：10
魔抗：20
自动瞄准</v>
      </c>
      <c r="I59" s="492" t="str">
        <f>IFERROR(__xludf.DUMMYFUNCTION("GOOGLETRANSLATE(A59,""zh-tw"",""es-MX"")"),"Los guantes del mago caído")</f>
        <v>Los guantes del mago caído</v>
      </c>
      <c r="J59" s="254" t="str">
        <f>IFERROR(__xludf.DUMMYFUNCTION("GOOGLETRANSLATE(B59,""zh-tw"",""es-MX"")"),"Ataque físico: 2
Ataque mágico: 10
Resistencia mágica: 20
Apuntado automático")</f>
        <v>Ataque físico: 2
Ataque mágico: 10
Resistencia mágica: 20
Apuntado automático</v>
      </c>
      <c r="K59" s="492" t="str">
        <f>IFERROR(__xludf.DUMMYFUNCTION("GOOGLETRANSLATE(A59,""zh-tw"",""KO"")"),"타락한 마법사의 장갑")</f>
        <v>타락한 마법사의 장갑</v>
      </c>
      <c r="L59" s="205" t="s">
        <v>10095</v>
      </c>
      <c r="M59" s="492" t="s">
        <v>10096</v>
      </c>
      <c r="N59" s="254" t="s">
        <v>10097</v>
      </c>
      <c r="O59" s="492" t="s">
        <v>10098</v>
      </c>
      <c r="P59" s="254" t="s">
        <v>10099</v>
      </c>
      <c r="Q59" s="489" t="s">
        <v>10100</v>
      </c>
      <c r="R59" s="260" t="s">
        <v>10101</v>
      </c>
      <c r="S59" s="503" t="s">
        <v>10102</v>
      </c>
      <c r="T59" s="507" t="s">
        <v>10103</v>
      </c>
      <c r="U59" s="492" t="s">
        <v>10104</v>
      </c>
      <c r="V59" s="254" t="s">
        <v>10105</v>
      </c>
      <c r="W59" s="9"/>
      <c r="X59" s="9"/>
      <c r="Y59" s="9"/>
      <c r="Z59" s="9"/>
      <c r="AA59" s="9"/>
      <c r="AB59" s="9"/>
      <c r="AC59" s="9"/>
      <c r="AD59" s="9"/>
      <c r="AE59" s="9"/>
      <c r="AF59" s="9"/>
      <c r="AG59" s="9"/>
      <c r="AH59" s="9"/>
      <c r="AI59" s="9"/>
      <c r="AJ59" s="9"/>
      <c r="AK59" s="9"/>
      <c r="AL59" s="9"/>
      <c r="AM59" s="9"/>
      <c r="AN59" s="9"/>
      <c r="AO59" s="9"/>
      <c r="AP59" s="9"/>
      <c r="AQ59" s="9"/>
      <c r="AR59" s="9"/>
      <c r="AS59" s="9"/>
      <c r="AT59" s="9"/>
    </row>
    <row r="60">
      <c r="A60" s="493" t="s">
        <v>10106</v>
      </c>
      <c r="B60" s="205" t="s">
        <v>10107</v>
      </c>
      <c r="C60" s="488" t="s">
        <v>10108</v>
      </c>
      <c r="D60" s="205" t="s">
        <v>10109</v>
      </c>
      <c r="E60" s="488" t="s">
        <v>10110</v>
      </c>
      <c r="F60" s="205" t="s">
        <v>10111</v>
      </c>
      <c r="G60" s="492" t="str">
        <f>IFERROR(__xludf.DUMMYFUNCTION("GOOGLETRANSLATE(A60,""zh-tw"",""zh"")"),"堕落法师的轻履")</f>
        <v>堕落法师的轻履</v>
      </c>
      <c r="H60" s="254" t="str">
        <f>IFERROR(__xludf.DUMMYFUNCTION("GOOGLETRANSLATE(B60,""zh-tw"",""zh"")"),"物攻：2
魔攻：10
魔抗：20
虚无：无视一切阻碍、包括敌人子弹")</f>
        <v>物攻：2
魔攻：10
魔抗：20
虚无：无视一切阻碍、包括敌人子弹</v>
      </c>
      <c r="I60" s="492" t="str">
        <f>IFERROR(__xludf.DUMMYFUNCTION("GOOGLETRANSLATE(A60,""zh-tw"",""es-MX"")"),"Los pasos ligeros del mago caído")</f>
        <v>Los pasos ligeros del mago caído</v>
      </c>
      <c r="J60" s="254" t="str">
        <f>IFERROR(__xludf.DUMMYFUNCTION("GOOGLETRANSLATE(B60,""zh-tw"",""es-MX"")"),"Ataque físico: 2
Ataque mágico: 10
Resistencia mágica: 20
Vacío: Ignora todos los obstáculos, incluyendo las balas enemigas")</f>
        <v>Ataque físico: 2
Ataque mágico: 10
Resistencia mágica: 20
Vacío: Ignora todos los obstáculos, incluyendo las balas enemigas</v>
      </c>
      <c r="K60" s="488" t="s">
        <v>10112</v>
      </c>
      <c r="L60" s="205" t="s">
        <v>10113</v>
      </c>
      <c r="M60" s="492" t="s">
        <v>10114</v>
      </c>
      <c r="N60" s="254" t="s">
        <v>10115</v>
      </c>
      <c r="O60" s="492" t="s">
        <v>10116</v>
      </c>
      <c r="P60" s="254" t="s">
        <v>10117</v>
      </c>
      <c r="Q60" s="489" t="s">
        <v>10118</v>
      </c>
      <c r="R60" s="260" t="s">
        <v>10119</v>
      </c>
      <c r="S60" s="503" t="s">
        <v>10120</v>
      </c>
      <c r="T60" s="495" t="s">
        <v>10121</v>
      </c>
      <c r="U60" s="492" t="s">
        <v>10122</v>
      </c>
      <c r="V60" s="254" t="s">
        <v>10123</v>
      </c>
      <c r="W60" s="9"/>
      <c r="X60" s="9"/>
      <c r="Y60" s="9"/>
      <c r="Z60" s="9"/>
      <c r="AA60" s="9"/>
      <c r="AB60" s="9"/>
      <c r="AC60" s="9"/>
      <c r="AD60" s="9"/>
      <c r="AE60" s="9"/>
      <c r="AF60" s="9"/>
      <c r="AG60" s="9"/>
      <c r="AH60" s="9"/>
      <c r="AI60" s="9"/>
      <c r="AJ60" s="9"/>
      <c r="AK60" s="9"/>
      <c r="AL60" s="9"/>
      <c r="AM60" s="9"/>
      <c r="AN60" s="9"/>
      <c r="AO60" s="9"/>
      <c r="AP60" s="9"/>
      <c r="AQ60" s="9"/>
      <c r="AR60" s="9"/>
      <c r="AS60" s="9"/>
      <c r="AT60" s="9"/>
    </row>
    <row r="61">
      <c r="A61" s="488" t="s">
        <v>10124</v>
      </c>
      <c r="B61" s="205" t="s">
        <v>10125</v>
      </c>
      <c r="C61" s="488" t="s">
        <v>10126</v>
      </c>
      <c r="D61" s="205" t="s">
        <v>10127</v>
      </c>
      <c r="E61" s="488" t="s">
        <v>10128</v>
      </c>
      <c r="F61" s="205" t="s">
        <v>10129</v>
      </c>
      <c r="G61" s="492" t="str">
        <f>IFERROR(__xludf.DUMMYFUNCTION("GOOGLETRANSLATE(A61,""zh-tw"",""zh"")"),"调皮的杰克")</f>
        <v>调皮的杰克</v>
      </c>
      <c r="H61" s="254" t="str">
        <f>IFERROR(__xludf.DUMMYFUNCTION("GOOGLETRANSLATE(B61,""zh-tw"",""zh"")"),"魔攻：8
魔防：8
增强残血伤害
(最大额外附加30%伤害)")</f>
        <v>魔攻：8
魔防：8
增强残血伤害
(最大额外附加30%伤害)</v>
      </c>
      <c r="I61" s="492" t="str">
        <f>IFERROR(__xludf.DUMMYFUNCTION("GOOGLETRANSLATE(A61,""zh-tw"",""es-MX"")"),"Jack travieso")</f>
        <v>Jack travieso</v>
      </c>
      <c r="J61" s="254" t="str">
        <f>IFERROR(__xludf.DUMMYFUNCTION("GOOGLETRANSLATE(B61,""zh-tw"",""es-MX"")"),"Ataque mágico: 8
Defensa mágica: 8
Aumenta el daño infligido a enemigos con poca salud
(Daño adicional máximo del 30%)")</f>
        <v>Ataque mágico: 8
Defensa mágica: 8
Aumenta el daño infligido a enemigos con poca salud
(Daño adicional máximo del 30%)</v>
      </c>
      <c r="K61" s="492" t="str">
        <f>IFERROR(__xludf.DUMMYFUNCTION("GOOGLETRANSLATE(A61,""zh-tw"",""KO"")"),"장난꾸러기 잭")</f>
        <v>장난꾸러기 잭</v>
      </c>
      <c r="L61" s="205" t="s">
        <v>10130</v>
      </c>
      <c r="M61" s="492" t="s">
        <v>10131</v>
      </c>
      <c r="N61" s="254" t="s">
        <v>10132</v>
      </c>
      <c r="O61" s="492" t="s">
        <v>10133</v>
      </c>
      <c r="P61" s="254" t="s">
        <v>10134</v>
      </c>
      <c r="Q61" s="489" t="s">
        <v>10135</v>
      </c>
      <c r="R61" s="260" t="s">
        <v>10136</v>
      </c>
      <c r="S61" s="503" t="s">
        <v>10137</v>
      </c>
      <c r="T61" s="68" t="s">
        <v>10138</v>
      </c>
      <c r="U61" s="492" t="s">
        <v>10139</v>
      </c>
      <c r="V61" s="254" t="s">
        <v>10140</v>
      </c>
      <c r="W61" s="9"/>
      <c r="X61" s="9"/>
      <c r="Y61" s="9"/>
      <c r="Z61" s="9"/>
      <c r="AA61" s="9"/>
      <c r="AB61" s="9"/>
      <c r="AC61" s="9"/>
      <c r="AD61" s="9"/>
      <c r="AE61" s="9"/>
      <c r="AF61" s="9"/>
      <c r="AG61" s="9"/>
      <c r="AH61" s="9"/>
      <c r="AI61" s="9"/>
      <c r="AJ61" s="9"/>
      <c r="AK61" s="9"/>
      <c r="AL61" s="9"/>
      <c r="AM61" s="9"/>
      <c r="AN61" s="9"/>
      <c r="AO61" s="9"/>
      <c r="AP61" s="9"/>
      <c r="AQ61" s="9"/>
      <c r="AR61" s="9"/>
      <c r="AS61" s="9"/>
      <c r="AT61" s="9"/>
    </row>
    <row r="62">
      <c r="A62" s="488" t="s">
        <v>10141</v>
      </c>
      <c r="B62" s="205" t="s">
        <v>10142</v>
      </c>
      <c r="C62" s="488" t="s">
        <v>10143</v>
      </c>
      <c r="D62" s="205" t="s">
        <v>10144</v>
      </c>
      <c r="E62" s="488" t="s">
        <v>10145</v>
      </c>
      <c r="F62" s="205" t="s">
        <v>10146</v>
      </c>
      <c r="G62" s="492" t="str">
        <f>IFERROR(__xludf.DUMMYFUNCTION("GOOGLETRANSLATE(A62,""zh-tw"",""zh"")"),"夜雾幻影")</f>
        <v>夜雾幻影</v>
      </c>
      <c r="H62" s="254" t="str">
        <f>IFERROR(__xludf.DUMMYFUNCTION("GOOGLETRANSLATE(B62,""zh-tw"",""zh"")"),"物防:2
魔防:2
每隔一段时间会透明化、透明时进行背刺伤害加倍")</f>
        <v>物防:2
魔防:2
每隔一段时间会透明化、透明时进行背刺伤害加倍</v>
      </c>
      <c r="I62" s="492" t="str">
        <f>IFERROR(__xludf.DUMMYFUNCTION("GOOGLETRANSLATE(A62,""zh-tw"",""es-MX"")"),"Fantasma de la Niebla Nocturna")</f>
        <v>Fantasma de la Niebla Nocturna</v>
      </c>
      <c r="J62" s="254" t="str">
        <f>IFERROR(__xludf.DUMMYFUNCTION("GOOGLETRANSLATE(B62,""zh-tw"",""es-MX"")"),"Defensa física: 2
Defensa mágica: 2
Periódicamente se vuelve transparente; el daño por ataque por la espalda se duplica mientras está transparente.")</f>
        <v>Defensa física: 2
Defensa mágica: 2
Periódicamente se vuelve transparente; el daño por ataque por la espalda se duplica mientras está transparente.</v>
      </c>
      <c r="K62" s="488" t="s">
        <v>10147</v>
      </c>
      <c r="L62" s="205" t="s">
        <v>10148</v>
      </c>
      <c r="M62" s="492" t="s">
        <v>10149</v>
      </c>
      <c r="N62" s="254" t="s">
        <v>10150</v>
      </c>
      <c r="O62" s="492" t="s">
        <v>10151</v>
      </c>
      <c r="P62" s="254" t="s">
        <v>10152</v>
      </c>
      <c r="Q62" s="489" t="s">
        <v>10153</v>
      </c>
      <c r="R62" s="260" t="s">
        <v>10154</v>
      </c>
      <c r="S62" s="503" t="s">
        <v>10155</v>
      </c>
      <c r="T62" s="491" t="s">
        <v>10156</v>
      </c>
      <c r="U62" s="492" t="s">
        <v>10157</v>
      </c>
      <c r="V62" s="254" t="s">
        <v>10158</v>
      </c>
      <c r="W62" s="9"/>
      <c r="X62" s="9"/>
      <c r="Y62" s="9"/>
      <c r="Z62" s="9"/>
      <c r="AA62" s="9"/>
      <c r="AB62" s="9"/>
      <c r="AC62" s="9"/>
      <c r="AD62" s="9"/>
      <c r="AE62" s="9"/>
      <c r="AF62" s="9"/>
      <c r="AG62" s="9"/>
      <c r="AH62" s="9"/>
      <c r="AI62" s="9"/>
      <c r="AJ62" s="9"/>
      <c r="AK62" s="9"/>
      <c r="AL62" s="9"/>
      <c r="AM62" s="9"/>
      <c r="AN62" s="9"/>
      <c r="AO62" s="9"/>
      <c r="AP62" s="9"/>
      <c r="AQ62" s="9"/>
      <c r="AR62" s="9"/>
      <c r="AS62" s="9"/>
      <c r="AT62" s="9"/>
    </row>
    <row r="63">
      <c r="A63" s="488" t="s">
        <v>10159</v>
      </c>
      <c r="B63" s="205" t="s">
        <v>10160</v>
      </c>
      <c r="C63" s="488" t="s">
        <v>10161</v>
      </c>
      <c r="D63" s="205" t="s">
        <v>10162</v>
      </c>
      <c r="E63" s="488" t="s">
        <v>10163</v>
      </c>
      <c r="F63" s="205" t="s">
        <v>10164</v>
      </c>
      <c r="G63" s="488" t="s">
        <v>10159</v>
      </c>
      <c r="H63" s="205" t="s">
        <v>10160</v>
      </c>
      <c r="I63" s="492"/>
      <c r="J63" s="254"/>
      <c r="K63" s="488" t="s">
        <v>10165</v>
      </c>
      <c r="L63" s="205" t="s">
        <v>10166</v>
      </c>
      <c r="M63" s="493" t="s">
        <v>10167</v>
      </c>
      <c r="N63" s="194" t="s">
        <v>10168</v>
      </c>
      <c r="O63" s="493" t="s">
        <v>10169</v>
      </c>
      <c r="P63" s="194" t="s">
        <v>10170</v>
      </c>
      <c r="Q63" s="488" t="s">
        <v>10163</v>
      </c>
      <c r="R63" s="254" t="str">
        <f>IFERROR(__xludf.DUMMYFUNCTION("GOOGLETRANSLATE(B63,""zh-tw"",""de"")"),"Physischer Angriff: 10
Magische Verteidigung: 10
Physischer Angriff verdoppelt, Angriffsgeschwindigkeit verringert, Haltbarkeitsverbrauch erhöht.")</f>
        <v>Physischer Angriff: 10
Magische Verteidigung: 10
Physischer Angriff verdoppelt, Angriffsgeschwindigkeit verringert, Haltbarkeitsverbrauch erhöht.</v>
      </c>
      <c r="S63" s="503" t="s">
        <v>10171</v>
      </c>
      <c r="T63" s="68" t="s">
        <v>10172</v>
      </c>
      <c r="U63" s="488" t="s">
        <v>10173</v>
      </c>
      <c r="V63" s="205" t="s">
        <v>10174</v>
      </c>
      <c r="W63" s="9"/>
      <c r="X63" s="9"/>
      <c r="Y63" s="9"/>
      <c r="Z63" s="9"/>
      <c r="AA63" s="9"/>
      <c r="AB63" s="9"/>
      <c r="AC63" s="9"/>
      <c r="AD63" s="9"/>
      <c r="AE63" s="9"/>
      <c r="AF63" s="9"/>
      <c r="AG63" s="9"/>
      <c r="AH63" s="9"/>
      <c r="AI63" s="9"/>
      <c r="AJ63" s="9"/>
      <c r="AK63" s="9"/>
      <c r="AL63" s="9"/>
      <c r="AM63" s="9"/>
      <c r="AN63" s="9"/>
      <c r="AO63" s="9"/>
      <c r="AP63" s="9"/>
      <c r="AQ63" s="9"/>
      <c r="AR63" s="9"/>
      <c r="AS63" s="9"/>
      <c r="AT63" s="9"/>
    </row>
    <row r="64">
      <c r="A64" s="492" t="s">
        <v>10175</v>
      </c>
      <c r="B64" s="254" t="s">
        <v>10176</v>
      </c>
      <c r="C64" s="488" t="s">
        <v>10177</v>
      </c>
      <c r="D64" s="254" t="s">
        <v>10178</v>
      </c>
      <c r="E64" s="492" t="s">
        <v>10179</v>
      </c>
      <c r="F64" s="205" t="s">
        <v>10180</v>
      </c>
      <c r="G64" s="492" t="str">
        <f>IFERROR(__xludf.DUMMYFUNCTION("GOOGLETRANSLATE(A64,""zh-tw"",""zh"")"),"谢里斯的诅咒之手")</f>
        <v>谢里斯的诅咒之手</v>
      </c>
      <c r="H64" s="254" t="str">
        <f>IFERROR(__xludf.DUMMYFUNCTION("GOOGLETRANSLATE(B64,""zh-tw"",""zh"")"),"魔防：18
自动环绕从者
对目标施加伤害
附上Debuff：嘲讽、激怒
(减少对方防御、增加对方攻击)
(Debuff未实装)")</f>
        <v>魔防：18
自动环绕从者
对目标施加伤害
附上Debuff：嘲讽、激怒
(减少对方防御、增加对方攻击)
(Debuff未实装)</v>
      </c>
      <c r="I64" s="492" t="str">
        <f>IFERROR(__xludf.DUMMYFUNCTION("GOOGLETRANSLATE(A64,""zh-tw"",""es-MX"")"),"La mano maldita de Sheris")</f>
        <v>La mano maldita de Sheris</v>
      </c>
      <c r="J64" s="254" t="str">
        <f>IFERROR(__xludf.DUMMYFUNCTION("GOOGLETRANSLATE(B64,""zh-tw"",""es-MX"")"),"Defensa Mágica: 18. Orbita automáticamente al Servant. Inflige daño al objetivo. Aplica desventajas: Provocación, Enfurecer.
(Reduce la defensa del enemigo, aumenta su ataque).
(Desventaja aún no implementada).")</f>
        <v>Defensa Mágica: 18. Orbita automáticamente al Servant. Inflige daño al objetivo. Aplica desventajas: Provocación, Enfurecer.
(Reduce la defensa del enemigo, aumenta su ataque).
(Desventaja aún no implementada).</v>
      </c>
      <c r="K64" s="492" t="str">
        <f>IFERROR(__xludf.DUMMYFUNCTION("GOOGLETRANSLATE(A64,""zh-tw"",""KO"")"),"셰리스의 저주받은 손")</f>
        <v>셰리스의 저주받은 손</v>
      </c>
      <c r="L64" s="254" t="str">
        <f>IFERROR(__xludf.DUMMYFUNCTION("GOOGLETRANSLATE(B64,""zh-tw"",""KO"")"),"마법 방어력: 18 자동으로 하수인 주위를 공전하며 대상에게 피해를 줍니다. 도발, 분노 등의 디버프를 부여합니다.
(적의 방어력을 감소시키고 공격력을 증가시킵니다.)
(디버프는 아직 구현되지 않았습니다.)")</f>
        <v>마법 방어력: 18 자동으로 하수인 주위를 공전하며 대상에게 피해를 줍니다. 도발, 분노 등의 디버프를 부여합니다.
(적의 방어력을 감소시키고 공격력을 증가시킵니다.)
(디버프는 아직 구현되지 않았습니다.)</v>
      </c>
      <c r="M64" s="492" t="s">
        <v>10181</v>
      </c>
      <c r="N64" s="254" t="s">
        <v>10182</v>
      </c>
      <c r="O64" s="492" t="s">
        <v>10183</v>
      </c>
      <c r="P64" s="254" t="s">
        <v>10184</v>
      </c>
      <c r="Q64" s="488" t="s">
        <v>10185</v>
      </c>
      <c r="R64" s="205" t="s">
        <v>10186</v>
      </c>
      <c r="S64" s="508" t="s">
        <v>10187</v>
      </c>
      <c r="T64" s="495" t="s">
        <v>10188</v>
      </c>
      <c r="U64" s="492" t="s">
        <v>10189</v>
      </c>
      <c r="V64" s="254" t="s">
        <v>10190</v>
      </c>
      <c r="W64" s="9"/>
      <c r="X64" s="9"/>
      <c r="Y64" s="9"/>
      <c r="Z64" s="9"/>
      <c r="AA64" s="9"/>
      <c r="AB64" s="9"/>
      <c r="AC64" s="9"/>
      <c r="AD64" s="9"/>
      <c r="AE64" s="9"/>
      <c r="AF64" s="9"/>
      <c r="AG64" s="9"/>
      <c r="AH64" s="9"/>
      <c r="AI64" s="9"/>
      <c r="AJ64" s="9"/>
      <c r="AK64" s="9"/>
      <c r="AL64" s="9"/>
      <c r="AM64" s="9"/>
      <c r="AN64" s="9"/>
      <c r="AO64" s="9"/>
      <c r="AP64" s="9"/>
      <c r="AQ64" s="9"/>
      <c r="AR64" s="9"/>
      <c r="AS64" s="9"/>
      <c r="AT64" s="9"/>
    </row>
    <row r="65">
      <c r="A65" s="489" t="s">
        <v>10191</v>
      </c>
      <c r="B65" s="260" t="s">
        <v>9971</v>
      </c>
      <c r="C65" s="488" t="s">
        <v>10192</v>
      </c>
      <c r="D65" s="205" t="s">
        <v>9973</v>
      </c>
      <c r="E65" s="488" t="s">
        <v>10193</v>
      </c>
      <c r="F65" s="205" t="s">
        <v>10194</v>
      </c>
      <c r="G65" s="492" t="str">
        <f>IFERROR(__xludf.DUMMYFUNCTION("GOOGLETRANSLATE(A65,""zh-tw"",""zh"")"),"毒蛇之拥")</f>
        <v>毒蛇之拥</v>
      </c>
      <c r="H65" s="254" t="str">
        <f>IFERROR(__xludf.DUMMYFUNCTION("GOOGLETRANSLATE(B65,""zh-tw"",""zh"")"),"物攻：1
魔攻：8
自动环绕攻击")</f>
        <v>物攻：1
魔攻：8
自动环绕攻击</v>
      </c>
      <c r="I65" s="492" t="str">
        <f>IFERROR(__xludf.DUMMYFUNCTION("GOOGLETRANSLATE(A65,""zh-tw"",""es-MX"")"),"El abrazo de la serpiente")</f>
        <v>El abrazo de la serpiente</v>
      </c>
      <c r="J65" s="254" t="str">
        <f>IFERROR(__xludf.DUMMYFUNCTION("GOOGLETRANSLATE(B65,""zh-tw"",""es-MX"")"),"Ataque físico: 1
Ataque mágico: 8
Ataque circular automático")</f>
        <v>Ataque físico: 1
Ataque mágico: 8
Ataque circular automático</v>
      </c>
      <c r="K65" s="488" t="s">
        <v>10195</v>
      </c>
      <c r="L65" s="205" t="s">
        <v>9976</v>
      </c>
      <c r="M65" s="492" t="s">
        <v>10196</v>
      </c>
      <c r="N65" s="254" t="s">
        <v>10197</v>
      </c>
      <c r="O65" s="492" t="s">
        <v>10198</v>
      </c>
      <c r="P65" s="254" t="s">
        <v>10199</v>
      </c>
      <c r="Q65" s="489" t="s">
        <v>10200</v>
      </c>
      <c r="R65" s="260" t="s">
        <v>10201</v>
      </c>
      <c r="S65" s="505" t="s">
        <v>10202</v>
      </c>
      <c r="T65" s="495" t="s">
        <v>10203</v>
      </c>
      <c r="U65" s="492" t="s">
        <v>10204</v>
      </c>
      <c r="V65" s="254" t="s">
        <v>10205</v>
      </c>
      <c r="W65" s="9"/>
      <c r="X65" s="9"/>
      <c r="Y65" s="9"/>
      <c r="Z65" s="9"/>
      <c r="AA65" s="9"/>
      <c r="AB65" s="9"/>
      <c r="AC65" s="9"/>
      <c r="AD65" s="9"/>
      <c r="AE65" s="9"/>
      <c r="AF65" s="9"/>
      <c r="AG65" s="9"/>
      <c r="AH65" s="9"/>
      <c r="AI65" s="9"/>
      <c r="AJ65" s="9"/>
      <c r="AK65" s="9"/>
      <c r="AL65" s="9"/>
      <c r="AM65" s="9"/>
      <c r="AN65" s="9"/>
      <c r="AO65" s="9"/>
      <c r="AP65" s="9"/>
      <c r="AQ65" s="9"/>
      <c r="AR65" s="9"/>
      <c r="AS65" s="9"/>
      <c r="AT65" s="9"/>
    </row>
    <row r="66">
      <c r="A66" s="489" t="s">
        <v>10206</v>
      </c>
      <c r="B66" s="260" t="s">
        <v>10207</v>
      </c>
      <c r="C66" s="488" t="s">
        <v>10208</v>
      </c>
      <c r="D66" s="205" t="s">
        <v>10209</v>
      </c>
      <c r="E66" s="488" t="s">
        <v>10210</v>
      </c>
      <c r="F66" s="205" t="s">
        <v>10211</v>
      </c>
      <c r="G66" s="492" t="str">
        <f>IFERROR(__xludf.DUMMYFUNCTION("GOOGLETRANSLATE(A66,""zh-tw"",""zh"")"),"招财猫")</f>
        <v>招财猫</v>
      </c>
      <c r="H66" s="254" t="str">
        <f>IFERROR(__xludf.DUMMYFUNCTION("GOOGLETRANSLATE(B66,""zh-tw"",""zh"")"),"魔抗：10
幸运：50
吸取物品")</f>
        <v>魔抗：10
幸运：50
吸取物品</v>
      </c>
      <c r="I66" s="492" t="str">
        <f>IFERROR(__xludf.DUMMYFUNCTION("GOOGLETRANSLATE(A66,""zh-tw"",""es-MX"")"),"Gato de la suerte")</f>
        <v>Gato de la suerte</v>
      </c>
      <c r="J66" s="254" t="str">
        <f>IFERROR(__xludf.DUMMYFUNCTION("GOOGLETRANSLATE(B66,""zh-tw"",""es-MX"")"),"Resistencia mágica: 10
Suerte: 50
Absorber objetos")</f>
        <v>Resistencia mágica: 10
Suerte: 50
Absorber objetos</v>
      </c>
      <c r="K66" s="488" t="s">
        <v>10212</v>
      </c>
      <c r="L66" s="205" t="s">
        <v>10213</v>
      </c>
      <c r="M66" s="492" t="s">
        <v>10214</v>
      </c>
      <c r="N66" s="254" t="s">
        <v>10215</v>
      </c>
      <c r="O66" s="492" t="s">
        <v>10216</v>
      </c>
      <c r="P66" s="254" t="s">
        <v>10217</v>
      </c>
      <c r="Q66" s="489" t="s">
        <v>10218</v>
      </c>
      <c r="R66" s="260" t="s">
        <v>10219</v>
      </c>
      <c r="S66" s="505" t="s">
        <v>10220</v>
      </c>
      <c r="T66" s="491" t="s">
        <v>10221</v>
      </c>
      <c r="U66" s="492" t="s">
        <v>10222</v>
      </c>
      <c r="V66" s="254" t="s">
        <v>10223</v>
      </c>
      <c r="W66" s="9"/>
      <c r="X66" s="9"/>
      <c r="Y66" s="9"/>
      <c r="Z66" s="9"/>
      <c r="AA66" s="9"/>
      <c r="AB66" s="9"/>
      <c r="AC66" s="9"/>
      <c r="AD66" s="9"/>
      <c r="AE66" s="9"/>
      <c r="AF66" s="9"/>
      <c r="AG66" s="9"/>
      <c r="AH66" s="9"/>
      <c r="AI66" s="9"/>
      <c r="AJ66" s="9"/>
      <c r="AK66" s="9"/>
      <c r="AL66" s="9"/>
      <c r="AM66" s="9"/>
      <c r="AN66" s="9"/>
      <c r="AO66" s="9"/>
      <c r="AP66" s="9"/>
      <c r="AQ66" s="9"/>
      <c r="AR66" s="9"/>
      <c r="AS66" s="9"/>
      <c r="AT66" s="9"/>
    </row>
    <row r="67">
      <c r="A67" s="492" t="s">
        <v>7384</v>
      </c>
      <c r="B67" s="205" t="s">
        <v>10224</v>
      </c>
      <c r="C67" s="492" t="s">
        <v>7384</v>
      </c>
      <c r="D67" s="205" t="s">
        <v>10225</v>
      </c>
      <c r="E67" s="488" t="s">
        <v>7388</v>
      </c>
      <c r="F67" s="205" t="s">
        <v>10226</v>
      </c>
      <c r="G67" s="492" t="str">
        <f>IFERROR(__xludf.DUMMYFUNCTION("GOOGLETRANSLATE(A67,""zh-tw"",""zh"")"),"◉▽◉(紫色)")</f>
        <v>◉▽◉(紫色)</v>
      </c>
      <c r="H67" s="254" t="str">
        <f>IFERROR(__xludf.DUMMYFUNCTION("GOOGLETRANSLATE(B67,""zh-tw"",""zh"")"),"投掷攻击
遇水消失、会被击杀
幸运：20")</f>
        <v>投掷攻击
遇水消失、会被击杀
幸运：20</v>
      </c>
      <c r="I67" s="492" t="str">
        <f>IFERROR(__xludf.DUMMYFUNCTION("GOOGLETRANSLATE(A67,""zh-tw"",""es-MX"")"),"◉▽◉(morado)")</f>
        <v>◉▽◉(morado)</v>
      </c>
      <c r="J67" s="254" t="str">
        <f>IFERROR(__xludf.DUMMYFUNCTION("GOOGLETRANSLATE(B67,""zh-tw"",""es-MX"")"),"Ataque de lanzamiento. Desaparece al contacto con el agua y puede ser eliminado. Suerte: 20")</f>
        <v>Ataque de lanzamiento. Desaparece al contacto con el agua y puede ser eliminado. Suerte: 20</v>
      </c>
      <c r="K67" s="492" t="str">
        <f>IFERROR(__xludf.DUMMYFUNCTION("GOOGLETRANSLATE(A67,""zh-tw"",""KO"")"),"◉▽◉(보라색)")</f>
        <v>◉▽◉(보라색)</v>
      </c>
      <c r="L67" s="254" t="str">
        <f>IFERROR(__xludf.DUMMYFUNCTION("GOOGLETRANSLATE(B67,""zh-tw"",""KO"")"),"투척 공격. 물에 닿으면 사라지며, 물에 닿으면 죽습니다. 행운: 20")</f>
        <v>투척 공격. 물에 닿으면 사라지며, 물에 닿으면 죽습니다. 행운: 20</v>
      </c>
      <c r="M67" s="492" t="s">
        <v>10227</v>
      </c>
      <c r="N67" s="254" t="s">
        <v>10228</v>
      </c>
      <c r="O67" s="492" t="s">
        <v>10229</v>
      </c>
      <c r="P67" s="254" t="s">
        <v>10230</v>
      </c>
      <c r="Q67" s="488" t="s">
        <v>7394</v>
      </c>
      <c r="R67" s="205" t="s">
        <v>10231</v>
      </c>
      <c r="S67" s="509" t="s">
        <v>7396</v>
      </c>
      <c r="T67" s="491" t="s">
        <v>10232</v>
      </c>
      <c r="U67" s="492" t="s">
        <v>7398</v>
      </c>
      <c r="V67" s="254" t="s">
        <v>10233</v>
      </c>
      <c r="W67" s="9"/>
      <c r="X67" s="9"/>
      <c r="Y67" s="9"/>
      <c r="Z67" s="9"/>
      <c r="AA67" s="9"/>
      <c r="AB67" s="9"/>
      <c r="AC67" s="9"/>
      <c r="AD67" s="9"/>
      <c r="AE67" s="9"/>
      <c r="AF67" s="9"/>
      <c r="AG67" s="9"/>
      <c r="AH67" s="9"/>
      <c r="AI67" s="9"/>
      <c r="AJ67" s="9"/>
      <c r="AK67" s="9"/>
      <c r="AL67" s="9"/>
      <c r="AM67" s="9"/>
      <c r="AN67" s="9"/>
      <c r="AO67" s="9"/>
      <c r="AP67" s="9"/>
      <c r="AQ67" s="9"/>
      <c r="AR67" s="9"/>
      <c r="AS67" s="9"/>
      <c r="AT67" s="9"/>
    </row>
    <row r="68">
      <c r="A68" s="492" t="s">
        <v>10234</v>
      </c>
      <c r="B68" s="254" t="s">
        <v>10235</v>
      </c>
      <c r="C68" s="492" t="s">
        <v>10236</v>
      </c>
      <c r="D68" s="254" t="s">
        <v>10237</v>
      </c>
      <c r="E68" s="492" t="s">
        <v>10238</v>
      </c>
      <c r="F68" s="254" t="s">
        <v>10239</v>
      </c>
      <c r="G68" s="492" t="s">
        <v>10240</v>
      </c>
      <c r="H68" s="254" t="s">
        <v>10241</v>
      </c>
      <c r="I68" s="492" t="str">
        <f>IFERROR(__xludf.DUMMYFUNCTION("GOOGLETRANSLATE(A68,""zh-tw"",""es-MX"")"),"Cuerno rojo")</f>
        <v>Cuerno rojo</v>
      </c>
      <c r="J68" s="254" t="str">
        <f>IFERROR(__xludf.DUMMYFUNCTION("GOOGLETRANSLATE(B68,""zh-tw"",""es-MX"")"),"Ataque físico: 4
Defensa física: 2
Defensa mágica: 25
Aumento de velocidad ilimitado tras cargarse")</f>
        <v>Ataque físico: 4
Defensa física: 2
Defensa mágica: 25
Aumento de velocidad ilimitado tras cargarse</v>
      </c>
      <c r="K68" s="492" t="str">
        <f>IFERROR(__xludf.DUMMYFUNCTION("GOOGLETRANSLATE(A68,""zh-tw"",""KO"")"),"붉은 뿔")</f>
        <v>붉은 뿔</v>
      </c>
      <c r="L68" s="254" t="str">
        <f>IFERROR(__xludf.DUMMYFUNCTION("GOOGLETRANSLATE(B68,""zh-tw"",""KO"")"),"물리 공격력: 4
물리 방어력: 2
마법 방어력: 25
충전 후 무제한 속도 증가")</f>
        <v>물리 공격력: 4
물리 방어력: 2
마법 방어력: 25
충전 후 무제한 속도 증가</v>
      </c>
      <c r="M68" s="492" t="s">
        <v>10242</v>
      </c>
      <c r="N68" s="254" t="s">
        <v>10243</v>
      </c>
      <c r="O68" s="492" t="s">
        <v>10244</v>
      </c>
      <c r="P68" s="254" t="s">
        <v>10245</v>
      </c>
      <c r="Q68" s="506" t="str">
        <f>IFERROR(__xludf.DUMMYFUNCTION("GOOGLETRANSLATE(A68,""zh-tw"",""de"")"),"Rothorn")</f>
        <v>Rothorn</v>
      </c>
      <c r="R68" s="504" t="str">
        <f>IFERROR(__xludf.DUMMYFUNCTION("GOOGLETRANSLATE(B68,""zh-tw"",""de"")"),"Physischer Angriff: 4
Physische Verteidigung: 2
Magische Verteidigung: 25
Unbegrenzter Geschwindigkeitsschub nach dem Aufladen")</f>
        <v>Physischer Angriff: 4
Physische Verteidigung: 2
Magische Verteidigung: 25
Unbegrenzter Geschwindigkeitsschub nach dem Aufladen</v>
      </c>
      <c r="S68" s="510" t="s">
        <v>10246</v>
      </c>
      <c r="T68" s="198" t="s">
        <v>10247</v>
      </c>
      <c r="U68" s="492" t="s">
        <v>10248</v>
      </c>
      <c r="V68" s="254" t="s">
        <v>10249</v>
      </c>
      <c r="W68" s="9"/>
      <c r="X68" s="9"/>
      <c r="Y68" s="9"/>
      <c r="Z68" s="9"/>
      <c r="AA68" s="9"/>
      <c r="AB68" s="9"/>
      <c r="AC68" s="9"/>
      <c r="AD68" s="9"/>
      <c r="AE68" s="9"/>
      <c r="AF68" s="9"/>
      <c r="AG68" s="9"/>
      <c r="AH68" s="9"/>
      <c r="AI68" s="9"/>
      <c r="AJ68" s="9"/>
      <c r="AK68" s="9"/>
      <c r="AL68" s="9"/>
      <c r="AM68" s="9"/>
      <c r="AN68" s="9"/>
      <c r="AO68" s="9"/>
      <c r="AP68" s="9"/>
      <c r="AQ68" s="9"/>
      <c r="AR68" s="9"/>
      <c r="AS68" s="9"/>
      <c r="AT68" s="9"/>
    </row>
    <row r="69" ht="105.0" customHeight="1">
      <c r="A69" s="488" t="s">
        <v>10250</v>
      </c>
      <c r="B69" s="205" t="s">
        <v>10251</v>
      </c>
      <c r="C69" s="488" t="s">
        <v>7660</v>
      </c>
      <c r="D69" s="205" t="s">
        <v>10252</v>
      </c>
      <c r="E69" s="488" t="s">
        <v>7662</v>
      </c>
      <c r="F69" s="205" t="s">
        <v>10253</v>
      </c>
      <c r="G69" s="492"/>
      <c r="H69" s="254"/>
      <c r="I69" s="492"/>
      <c r="J69" s="254"/>
      <c r="K69" s="492"/>
      <c r="L69" s="254"/>
      <c r="M69" s="492" t="s">
        <v>7664</v>
      </c>
      <c r="N69" s="254" t="s">
        <v>10254</v>
      </c>
      <c r="O69" s="492" t="s">
        <v>7666</v>
      </c>
      <c r="P69" s="254" t="s">
        <v>10255</v>
      </c>
      <c r="Q69" s="506"/>
      <c r="R69" s="504"/>
      <c r="S69" s="510" t="s">
        <v>7668</v>
      </c>
      <c r="T69" s="198" t="s">
        <v>10256</v>
      </c>
      <c r="U69" s="488" t="s">
        <v>10257</v>
      </c>
      <c r="V69" s="205" t="s">
        <v>10258</v>
      </c>
      <c r="W69" s="9"/>
      <c r="X69" s="9"/>
      <c r="Y69" s="9"/>
      <c r="Z69" s="9"/>
      <c r="AA69" s="9"/>
      <c r="AB69" s="9"/>
      <c r="AC69" s="9"/>
      <c r="AD69" s="9"/>
      <c r="AE69" s="9"/>
      <c r="AF69" s="9"/>
      <c r="AG69" s="9"/>
      <c r="AH69" s="9"/>
      <c r="AI69" s="9"/>
      <c r="AJ69" s="9"/>
      <c r="AK69" s="9"/>
      <c r="AL69" s="9"/>
      <c r="AM69" s="9"/>
      <c r="AN69" s="9"/>
      <c r="AO69" s="9"/>
      <c r="AP69" s="9"/>
      <c r="AQ69" s="9"/>
      <c r="AR69" s="9"/>
      <c r="AS69" s="9"/>
      <c r="AT69" s="9"/>
    </row>
    <row r="70">
      <c r="A70" s="200" t="s">
        <v>9068</v>
      </c>
      <c r="C70" s="200" t="s">
        <v>9069</v>
      </c>
      <c r="E70" s="200" t="s">
        <v>9070</v>
      </c>
      <c r="G70" s="200" t="s">
        <v>9071</v>
      </c>
      <c r="I70" s="200"/>
      <c r="K70" s="200"/>
      <c r="M70" s="193" t="s">
        <v>10259</v>
      </c>
      <c r="O70" s="200" t="s">
        <v>9073</v>
      </c>
      <c r="Q70" s="200"/>
      <c r="S70" s="203" t="s">
        <v>9074</v>
      </c>
      <c r="U70" s="200" t="s">
        <v>9075</v>
      </c>
      <c r="W70" s="254"/>
      <c r="X70" s="254"/>
      <c r="Y70" s="254"/>
      <c r="Z70" s="254"/>
      <c r="AA70" s="9"/>
      <c r="AB70" s="9"/>
      <c r="AC70" s="9"/>
      <c r="AD70" s="9"/>
      <c r="AE70" s="9"/>
      <c r="AF70" s="9"/>
      <c r="AG70" s="9"/>
      <c r="AH70" s="9"/>
      <c r="AI70" s="9"/>
      <c r="AJ70" s="9"/>
      <c r="AK70" s="9"/>
      <c r="AL70" s="9"/>
      <c r="AM70" s="9"/>
      <c r="AN70" s="9"/>
      <c r="AO70" s="9"/>
      <c r="AP70" s="9"/>
      <c r="AQ70" s="9"/>
      <c r="AR70" s="9"/>
      <c r="AS70" s="9"/>
      <c r="AT70" s="9"/>
    </row>
    <row r="71">
      <c r="A71" s="489" t="s">
        <v>10260</v>
      </c>
      <c r="B71" s="260" t="s">
        <v>10261</v>
      </c>
      <c r="C71" s="488" t="s">
        <v>10262</v>
      </c>
      <c r="D71" s="205" t="s">
        <v>10263</v>
      </c>
      <c r="E71" s="488" t="s">
        <v>10264</v>
      </c>
      <c r="F71" s="205" t="s">
        <v>10265</v>
      </c>
      <c r="G71" s="492" t="str">
        <f>IFERROR(__xludf.DUMMYFUNCTION("GOOGLETRANSLATE(A71,""zh-tw"",""zh"")"),"火鸟的羽毛")</f>
        <v>火鸟的羽毛</v>
      </c>
      <c r="H71" s="254" t="str">
        <f>IFERROR(__xludf.DUMMYFUNCTION("GOOGLETRANSLATE(B71,""zh-tw"",""zh"")"),"复活并恢复全部体力(消耗品)")</f>
        <v>复活并恢复全部体力(消耗品)</v>
      </c>
      <c r="I71" s="492" t="str">
        <f>IFERROR(__xludf.DUMMYFUNCTION("GOOGLETRANSLATE(A71,""zh-tw"",""es-MX"")"),"plumas de pájaro de fuego")</f>
        <v>plumas de pájaro de fuego</v>
      </c>
      <c r="J71" s="254" t="str">
        <f>IFERROR(__xludf.DUMMYFUNCTION("GOOGLETRANSLATE(B71,""zh-tw"",""es-MX"")"),"Reanima y restaura la salud por completo (consumible).")</f>
        <v>Reanima y restaura la salud por completo (consumible).</v>
      </c>
      <c r="K71" s="489" t="s">
        <v>8011</v>
      </c>
      <c r="L71" s="205" t="s">
        <v>10266</v>
      </c>
      <c r="M71" s="492" t="s">
        <v>10267</v>
      </c>
      <c r="N71" s="254" t="s">
        <v>10268</v>
      </c>
      <c r="O71" s="492" t="s">
        <v>10269</v>
      </c>
      <c r="P71" s="254" t="s">
        <v>10270</v>
      </c>
      <c r="Q71" s="489" t="s">
        <v>8019</v>
      </c>
      <c r="R71" s="260" t="s">
        <v>10271</v>
      </c>
      <c r="S71" s="505" t="s">
        <v>10272</v>
      </c>
      <c r="T71" s="495" t="s">
        <v>10273</v>
      </c>
      <c r="U71" s="492" t="s">
        <v>10274</v>
      </c>
      <c r="V71" s="254" t="s">
        <v>10275</v>
      </c>
      <c r="W71" s="9"/>
      <c r="X71" s="9"/>
      <c r="Y71" s="9"/>
      <c r="Z71" s="9"/>
      <c r="AA71" s="9"/>
      <c r="AB71" s="9"/>
      <c r="AC71" s="9"/>
      <c r="AD71" s="9"/>
      <c r="AE71" s="9"/>
      <c r="AF71" s="9"/>
      <c r="AG71" s="9"/>
      <c r="AH71" s="9"/>
      <c r="AI71" s="9"/>
      <c r="AJ71" s="9"/>
      <c r="AK71" s="9"/>
      <c r="AL71" s="9"/>
      <c r="AM71" s="9"/>
      <c r="AN71" s="9"/>
      <c r="AO71" s="9"/>
      <c r="AP71" s="9"/>
      <c r="AQ71" s="9"/>
      <c r="AR71" s="9"/>
      <c r="AS71" s="9"/>
      <c r="AT71" s="9"/>
    </row>
    <row r="72">
      <c r="A72" s="488" t="s">
        <v>7731</v>
      </c>
      <c r="B72" s="205" t="s">
        <v>10276</v>
      </c>
      <c r="C72" s="488" t="s">
        <v>7733</v>
      </c>
      <c r="D72" s="205" t="s">
        <v>10277</v>
      </c>
      <c r="E72" s="488" t="s">
        <v>7735</v>
      </c>
      <c r="F72" s="205" t="s">
        <v>10278</v>
      </c>
      <c r="G72" s="492" t="str">
        <f>IFERROR(__xludf.DUMMYFUNCTION("GOOGLETRANSLATE(A72,""zh-tw"",""zh"")"),"稻草人的心")</f>
        <v>稻草人的心</v>
      </c>
      <c r="H72" s="254" t="str">
        <f>IFERROR(__xludf.DUMMYFUNCTION("GOOGLETRANSLATE(B72,""zh-tw"",""zh"")"),"魔抗：30
无法回复、免死7秒")</f>
        <v>魔抗：30
无法回复、免死7秒</v>
      </c>
      <c r="I72" s="492" t="str">
        <f>IFERROR(__xludf.DUMMYFUNCTION("GOOGLETRANSLATE(A72,""zh-tw"",""es-MX"")"),"El corazón del espantapájaros")</f>
        <v>El corazón del espantapájaros</v>
      </c>
      <c r="J72" s="254" t="str">
        <f>IFERROR(__xludf.DUMMYFUNCTION("GOOGLETRANSLATE(B72,""zh-tw"",""es-MX"")"),"Resistencia mágica: 30. Incapaz de recuperarse, invulnerable durante 7 segundos.")</f>
        <v>Resistencia mágica: 30. Incapaz de recuperarse, invulnerable durante 7 segundos.</v>
      </c>
      <c r="K72" s="488" t="s">
        <v>7737</v>
      </c>
      <c r="L72" s="205" t="s">
        <v>10279</v>
      </c>
      <c r="M72" s="492" t="s">
        <v>10280</v>
      </c>
      <c r="N72" s="254" t="s">
        <v>10281</v>
      </c>
      <c r="O72" s="492" t="s">
        <v>7741</v>
      </c>
      <c r="P72" s="254" t="s">
        <v>10282</v>
      </c>
      <c r="Q72" s="489" t="s">
        <v>7743</v>
      </c>
      <c r="R72" s="260" t="s">
        <v>10283</v>
      </c>
      <c r="S72" s="505" t="s">
        <v>7745</v>
      </c>
      <c r="T72" s="495" t="s">
        <v>10284</v>
      </c>
      <c r="U72" s="492" t="s">
        <v>7747</v>
      </c>
      <c r="V72" s="254" t="s">
        <v>10285</v>
      </c>
      <c r="W72" s="9"/>
      <c r="X72" s="9"/>
      <c r="Y72" s="9"/>
      <c r="Z72" s="9"/>
      <c r="AA72" s="9"/>
      <c r="AB72" s="9"/>
      <c r="AC72" s="9"/>
      <c r="AD72" s="9"/>
      <c r="AE72" s="9"/>
      <c r="AF72" s="9"/>
      <c r="AG72" s="9"/>
      <c r="AH72" s="9"/>
      <c r="AI72" s="9"/>
      <c r="AJ72" s="9"/>
      <c r="AK72" s="9"/>
      <c r="AL72" s="9"/>
      <c r="AM72" s="9"/>
      <c r="AN72" s="9"/>
      <c r="AO72" s="9"/>
      <c r="AP72" s="9"/>
      <c r="AQ72" s="9"/>
      <c r="AR72" s="9"/>
      <c r="AS72" s="9"/>
      <c r="AT72" s="9"/>
    </row>
    <row r="73">
      <c r="A73" s="489" t="s">
        <v>10286</v>
      </c>
      <c r="B73" s="260" t="s">
        <v>10287</v>
      </c>
      <c r="C73" s="488" t="s">
        <v>10288</v>
      </c>
      <c r="D73" s="205" t="s">
        <v>10289</v>
      </c>
      <c r="E73" s="488" t="s">
        <v>10290</v>
      </c>
      <c r="F73" s="205" t="s">
        <v>10291</v>
      </c>
      <c r="G73" s="492" t="str">
        <f>IFERROR(__xludf.DUMMYFUNCTION("GOOGLETRANSLATE(A73,""zh-tw"",""zh"")"),"不幸的诞生")</f>
        <v>不幸的诞生</v>
      </c>
      <c r="H73" s="254" t="str">
        <f>IFERROR(__xludf.DUMMYFUNCTION("GOOGLETRANSLATE(B73,""zh-tw"",""zh"")"),"体力上升，基础30，额外加成10%
获得自动回复效果，体力恢复效果提升25%")</f>
        <v>体力上升，基础30，额外加成10%
获得自动回复效果，体力恢复效果提升25%</v>
      </c>
      <c r="I73" s="492" t="str">
        <f>IFERROR(__xludf.DUMMYFUNCTION("GOOGLETRANSLATE(A73,""zh-tw"",""es-MX"")"),"Un nacimiento desafortunado")</f>
        <v>Un nacimiento desafortunado</v>
      </c>
      <c r="J73" s="254" t="str">
        <f>IFERROR(__xludf.DUMMYFUNCTION("GOOGLETRANSLATE(B73,""zh-tw"",""es-MX"")"),"Aumenta la resistencia, base 30, bonificación adicional del 10%. Obtiene efecto de recuperación automática de resistencia, la tasa de recuperación de resistencia aumenta un 25%.")</f>
        <v>Aumenta la resistencia, base 30, bonificación adicional del 10%. Obtiene efecto de recuperación automática de resistencia, la tasa de recuperación de resistencia aumenta un 25%.</v>
      </c>
      <c r="K73" s="492" t="str">
        <f>IFERROR(__xludf.DUMMYFUNCTION("GOOGLETRANSLATE(A73,""zh-tw"",""KO"")"),"불행한 탄생")</f>
        <v>불행한 탄생</v>
      </c>
      <c r="L73" s="205" t="s">
        <v>10292</v>
      </c>
      <c r="M73" s="492" t="s">
        <v>10293</v>
      </c>
      <c r="N73" s="254" t="s">
        <v>10294</v>
      </c>
      <c r="O73" s="492" t="s">
        <v>10295</v>
      </c>
      <c r="P73" s="254" t="s">
        <v>10296</v>
      </c>
      <c r="Q73" s="489" t="s">
        <v>10297</v>
      </c>
      <c r="R73" s="260" t="s">
        <v>10298</v>
      </c>
      <c r="S73" s="503" t="s">
        <v>10299</v>
      </c>
      <c r="T73" s="495" t="s">
        <v>10300</v>
      </c>
      <c r="U73" s="492" t="s">
        <v>10301</v>
      </c>
      <c r="V73" s="254" t="s">
        <v>10302</v>
      </c>
      <c r="W73" s="9"/>
      <c r="X73" s="9"/>
      <c r="Y73" s="9"/>
      <c r="Z73" s="9"/>
      <c r="AA73" s="9"/>
      <c r="AB73" s="9"/>
      <c r="AC73" s="9"/>
      <c r="AD73" s="9"/>
      <c r="AE73" s="9"/>
      <c r="AF73" s="9"/>
      <c r="AG73" s="9"/>
      <c r="AH73" s="9"/>
      <c r="AI73" s="9"/>
      <c r="AJ73" s="9"/>
      <c r="AK73" s="9"/>
      <c r="AL73" s="9"/>
      <c r="AM73" s="9"/>
      <c r="AN73" s="9"/>
      <c r="AO73" s="9"/>
      <c r="AP73" s="9"/>
      <c r="AQ73" s="9"/>
      <c r="AR73" s="9"/>
      <c r="AS73" s="9"/>
      <c r="AT73" s="9"/>
    </row>
    <row r="74">
      <c r="A74" s="489" t="s">
        <v>10303</v>
      </c>
      <c r="B74" s="260" t="s">
        <v>10304</v>
      </c>
      <c r="C74" s="488" t="s">
        <v>10305</v>
      </c>
      <c r="D74" s="205" t="s">
        <v>10306</v>
      </c>
      <c r="E74" s="488" t="s">
        <v>10307</v>
      </c>
      <c r="F74" s="205" t="s">
        <v>10308</v>
      </c>
      <c r="G74" s="492" t="str">
        <f>IFERROR(__xludf.DUMMYFUNCTION("GOOGLETRANSLATE(A74,""zh-tw"",""zh"")"),"妹妹脱下的内裤")</f>
        <v>妹妹脱下的内裤</v>
      </c>
      <c r="H74" s="254" t="str">
        <f>IFERROR(__xludf.DUMMYFUNCTION("GOOGLETRANSLATE(B74,""zh-tw"",""zh"")"),"低体力回复")</f>
        <v>低体力回复</v>
      </c>
      <c r="I74" s="488" t="s">
        <v>10309</v>
      </c>
      <c r="J74" s="205" t="s">
        <v>10310</v>
      </c>
      <c r="K74" s="488" t="s">
        <v>10311</v>
      </c>
      <c r="L74" s="205" t="s">
        <v>10312</v>
      </c>
      <c r="M74" s="493" t="s">
        <v>10313</v>
      </c>
      <c r="N74" s="254" t="s">
        <v>10314</v>
      </c>
      <c r="O74" s="492" t="s">
        <v>10315</v>
      </c>
      <c r="P74" s="254" t="s">
        <v>10316</v>
      </c>
      <c r="Q74" s="489" t="s">
        <v>10317</v>
      </c>
      <c r="R74" s="260" t="s">
        <v>10318</v>
      </c>
      <c r="S74" s="505" t="s">
        <v>10319</v>
      </c>
      <c r="T74" s="491" t="s">
        <v>10320</v>
      </c>
      <c r="U74" s="488" t="s">
        <v>10321</v>
      </c>
      <c r="V74" s="254" t="s">
        <v>10322</v>
      </c>
      <c r="W74" s="9"/>
      <c r="X74" s="9"/>
      <c r="Y74" s="9"/>
      <c r="Z74" s="9"/>
      <c r="AA74" s="9"/>
      <c r="AB74" s="9"/>
      <c r="AC74" s="9"/>
      <c r="AD74" s="9"/>
      <c r="AE74" s="9"/>
      <c r="AF74" s="9"/>
      <c r="AG74" s="9"/>
      <c r="AH74" s="9"/>
      <c r="AI74" s="9"/>
      <c r="AJ74" s="9"/>
      <c r="AK74" s="9"/>
      <c r="AL74" s="9"/>
      <c r="AM74" s="9"/>
      <c r="AN74" s="9"/>
      <c r="AO74" s="9"/>
      <c r="AP74" s="9"/>
      <c r="AQ74" s="9"/>
      <c r="AR74" s="9"/>
      <c r="AS74" s="9"/>
      <c r="AT74" s="9"/>
    </row>
    <row r="75">
      <c r="A75" s="489" t="s">
        <v>10323</v>
      </c>
      <c r="B75" s="260" t="s">
        <v>10324</v>
      </c>
      <c r="C75" s="488" t="s">
        <v>10325</v>
      </c>
      <c r="D75" s="205" t="s">
        <v>10326</v>
      </c>
      <c r="E75" s="488" t="s">
        <v>10327</v>
      </c>
      <c r="F75" s="205" t="s">
        <v>10328</v>
      </c>
      <c r="G75" s="492" t="str">
        <f>IFERROR(__xludf.DUMMYFUNCTION("GOOGLETRANSLATE(A75,""zh-tw"",""zh"")"),"少女的笑容")</f>
        <v>少女的笑容</v>
      </c>
      <c r="H75" s="254" t="str">
        <f>IFERROR(__xludf.DUMMYFUNCTION("GOOGLETRANSLATE(B75,""zh-tw"",""zh"")"),"性欲上升，全属性上升10%")</f>
        <v>性欲上升，全属性上升10%</v>
      </c>
      <c r="I75" s="488" t="s">
        <v>10329</v>
      </c>
      <c r="J75" s="254" t="str">
        <f>IFERROR(__xludf.DUMMYFUNCTION("GOOGLETRANSLATE(B75,""zh-tw"",""es-MX"")"),"Aumento de la libido; todos los atributos aumentan un 10%.")</f>
        <v>Aumento de la libido; todos los atributos aumentan un 10%.</v>
      </c>
      <c r="K75" s="492" t="str">
        <f>IFERROR(__xludf.DUMMYFUNCTION("GOOGLETRANSLATE(A75,""zh-tw"",""KO"")"),"소녀의 미소")</f>
        <v>소녀의 미소</v>
      </c>
      <c r="L75" s="205" t="s">
        <v>10330</v>
      </c>
      <c r="M75" s="492" t="s">
        <v>10331</v>
      </c>
      <c r="N75" s="254" t="s">
        <v>10332</v>
      </c>
      <c r="O75" s="492" t="s">
        <v>10333</v>
      </c>
      <c r="P75" s="254" t="s">
        <v>10334</v>
      </c>
      <c r="Q75" s="489" t="s">
        <v>10335</v>
      </c>
      <c r="R75" s="260" t="s">
        <v>10336</v>
      </c>
      <c r="S75" s="503" t="s">
        <v>10337</v>
      </c>
      <c r="T75" s="491" t="s">
        <v>10338</v>
      </c>
      <c r="U75" s="492" t="s">
        <v>10339</v>
      </c>
      <c r="V75" s="254" t="s">
        <v>10340</v>
      </c>
      <c r="W75" s="9"/>
      <c r="X75" s="9"/>
      <c r="Y75" s="9"/>
      <c r="Z75" s="9"/>
      <c r="AA75" s="9"/>
      <c r="AB75" s="9"/>
      <c r="AC75" s="9"/>
      <c r="AD75" s="9"/>
      <c r="AE75" s="9"/>
      <c r="AF75" s="9"/>
      <c r="AG75" s="9"/>
      <c r="AH75" s="9"/>
      <c r="AI75" s="9"/>
      <c r="AJ75" s="9"/>
      <c r="AK75" s="9"/>
      <c r="AL75" s="9"/>
      <c r="AM75" s="9"/>
      <c r="AN75" s="9"/>
      <c r="AO75" s="9"/>
      <c r="AP75" s="9"/>
      <c r="AQ75" s="9"/>
      <c r="AR75" s="9"/>
      <c r="AS75" s="9"/>
      <c r="AT75" s="9"/>
    </row>
    <row r="76">
      <c r="A76" s="488" t="s">
        <v>10341</v>
      </c>
      <c r="B76" s="205" t="s">
        <v>10342</v>
      </c>
      <c r="C76" s="488" t="s">
        <v>10343</v>
      </c>
      <c r="D76" s="205" t="s">
        <v>10344</v>
      </c>
      <c r="E76" s="488" t="s">
        <v>10345</v>
      </c>
      <c r="F76" s="205" t="s">
        <v>10346</v>
      </c>
      <c r="G76" s="492" t="str">
        <f>IFERROR(__xludf.DUMMYFUNCTION("GOOGLETRANSLATE(A76,""zh-tw"",""zh"")"),"圣少女的怜悯")</f>
        <v>圣少女的怜悯</v>
      </c>
      <c r="H76" s="254" t="str">
        <f>IFERROR(__xludf.DUMMYFUNCTION("GOOGLETRANSLATE(B76,""zh-tw"",""zh"")"),"魔攻：20
物防:2
魔抗：40
贤者、特殊好感")</f>
        <v>魔攻：20
物防:2
魔抗：40
贤者、特殊好感</v>
      </c>
      <c r="I76" s="492" t="str">
        <f>IFERROR(__xludf.DUMMYFUNCTION("GOOGLETRANSLATE(A76,""zh-tw"",""es-MX"")"),"La Misericordia de la Santa Doncella")</f>
        <v>La Misericordia de la Santa Doncella</v>
      </c>
      <c r="J76" s="254" t="str">
        <f>IFERROR(__xludf.DUMMYFUNCTION("GOOGLETRANSLATE(B76,""zh-tw"",""es-MX"")"),"Ataque mágico: 20 Defensa física: 2 Resistencia mágica: 40 Sabio, Afinidad especial")</f>
        <v>Ataque mágico: 20 Defensa física: 2 Resistencia mágica: 40 Sabio, Afinidad especial</v>
      </c>
      <c r="K76" s="488" t="s">
        <v>10347</v>
      </c>
      <c r="L76" s="205" t="s">
        <v>10348</v>
      </c>
      <c r="M76" s="492" t="s">
        <v>10349</v>
      </c>
      <c r="N76" s="254" t="s">
        <v>10350</v>
      </c>
      <c r="O76" s="492" t="s">
        <v>10351</v>
      </c>
      <c r="P76" s="254" t="s">
        <v>10352</v>
      </c>
      <c r="Q76" s="489" t="s">
        <v>10353</v>
      </c>
      <c r="R76" s="260" t="s">
        <v>10354</v>
      </c>
      <c r="S76" s="505" t="s">
        <v>10355</v>
      </c>
      <c r="T76" s="491" t="s">
        <v>10356</v>
      </c>
      <c r="U76" s="492" t="s">
        <v>10357</v>
      </c>
      <c r="V76" s="254" t="s">
        <v>10358</v>
      </c>
      <c r="W76" s="9"/>
      <c r="X76" s="9"/>
      <c r="Y76" s="9"/>
      <c r="Z76" s="9"/>
      <c r="AA76" s="9"/>
      <c r="AB76" s="9"/>
      <c r="AC76" s="9"/>
      <c r="AD76" s="9"/>
      <c r="AE76" s="9"/>
      <c r="AF76" s="9"/>
      <c r="AG76" s="9"/>
      <c r="AH76" s="9"/>
      <c r="AI76" s="9"/>
      <c r="AJ76" s="9"/>
      <c r="AK76" s="9"/>
      <c r="AL76" s="9"/>
      <c r="AM76" s="9"/>
      <c r="AN76" s="9"/>
      <c r="AO76" s="9"/>
      <c r="AP76" s="9"/>
      <c r="AQ76" s="9"/>
      <c r="AR76" s="9"/>
      <c r="AS76" s="9"/>
      <c r="AT76" s="9"/>
    </row>
    <row r="77">
      <c r="A77" s="489" t="s">
        <v>10359</v>
      </c>
      <c r="B77" s="260" t="s">
        <v>10360</v>
      </c>
      <c r="C77" s="488" t="s">
        <v>10361</v>
      </c>
      <c r="D77" s="205" t="s">
        <v>10362</v>
      </c>
      <c r="E77" s="488" t="s">
        <v>10363</v>
      </c>
      <c r="F77" s="205" t="s">
        <v>10364</v>
      </c>
      <c r="G77" s="492" t="str">
        <f>IFERROR(__xludf.DUMMYFUNCTION("GOOGLETRANSLATE(A77,""zh-tw"",""zh"")"),"深邃魔力晶簇")</f>
        <v>深邃魔力晶簇</v>
      </c>
      <c r="H77" s="254" t="str">
        <f>IFERROR(__xludf.DUMMYFUNCTION("GOOGLETRANSLATE(B77,""zh-tw"",""zh"")"),"魔攻：35
魔抗：20
加快吟唱、提升魔法威力上限")</f>
        <v>魔攻：35
魔抗：20
加快吟唱、提升魔法威力上限</v>
      </c>
      <c r="I77" s="492" t="str">
        <f>IFERROR(__xludf.DUMMYFUNCTION("GOOGLETRANSLATE(A77,""zh-tw"",""es-MX"")"),"Clúster de Cristales de Magia Profunda")</f>
        <v>Clúster de Cristales de Magia Profunda</v>
      </c>
      <c r="J77" s="254" t="str">
        <f>IFERROR(__xludf.DUMMYFUNCTION("GOOGLETRANSLATE(B77,""zh-tw"",""es-MX"")"),"Ataque mágico: 35
Resistencia mágica: 20
Acelera el lanzamiento de hechizos, aumenta el poder mágico máximo")</f>
        <v>Ataque mágico: 35
Resistencia mágica: 20
Acelera el lanzamiento de hechizos, aumenta el poder mágico máximo</v>
      </c>
      <c r="K77" s="489" t="s">
        <v>10365</v>
      </c>
      <c r="L77" s="205" t="s">
        <v>10366</v>
      </c>
      <c r="M77" s="492" t="s">
        <v>10367</v>
      </c>
      <c r="N77" s="254" t="s">
        <v>10368</v>
      </c>
      <c r="O77" s="492" t="s">
        <v>10369</v>
      </c>
      <c r="P77" s="254" t="s">
        <v>10370</v>
      </c>
      <c r="Q77" s="489" t="s">
        <v>10371</v>
      </c>
      <c r="R77" s="260" t="s">
        <v>10372</v>
      </c>
      <c r="S77" s="505" t="s">
        <v>10373</v>
      </c>
      <c r="T77" s="495" t="s">
        <v>10374</v>
      </c>
      <c r="U77" s="492" t="s">
        <v>10375</v>
      </c>
      <c r="V77" s="254" t="s">
        <v>10376</v>
      </c>
      <c r="W77" s="9"/>
      <c r="X77" s="9"/>
      <c r="Y77" s="9"/>
      <c r="Z77" s="9"/>
      <c r="AA77" s="9"/>
      <c r="AB77" s="9"/>
      <c r="AC77" s="9"/>
      <c r="AD77" s="9"/>
      <c r="AE77" s="9"/>
      <c r="AF77" s="9"/>
      <c r="AG77" s="9"/>
      <c r="AH77" s="9"/>
      <c r="AI77" s="9"/>
      <c r="AJ77" s="9"/>
      <c r="AK77" s="9"/>
      <c r="AL77" s="9"/>
      <c r="AM77" s="9"/>
      <c r="AN77" s="9"/>
      <c r="AO77" s="9"/>
      <c r="AP77" s="9"/>
      <c r="AQ77" s="9"/>
      <c r="AR77" s="9"/>
      <c r="AS77" s="9"/>
      <c r="AT77" s="9"/>
    </row>
    <row r="78">
      <c r="A78" s="488" t="s">
        <v>10377</v>
      </c>
      <c r="B78" s="205" t="s">
        <v>10378</v>
      </c>
      <c r="C78" s="488" t="s">
        <v>10379</v>
      </c>
      <c r="D78" s="205" t="s">
        <v>10380</v>
      </c>
      <c r="E78" s="488" t="s">
        <v>10381</v>
      </c>
      <c r="F78" s="205" t="s">
        <v>10382</v>
      </c>
      <c r="G78" s="492" t="str">
        <f>IFERROR(__xludf.DUMMYFUNCTION("GOOGLETRANSLATE(A78,""zh-tw"",""zh"")"),"精神凝聚头环")</f>
        <v>精神凝聚头环</v>
      </c>
      <c r="H78" s="254" t="str">
        <f>IFERROR(__xludf.DUMMYFUNCTION("GOOGLETRANSLATE(B78,""zh-tw"",""zh"")"),"魔攻：1
魔抗：20
免疫晕眩、增强魔法输出和魔法范围")</f>
        <v>魔攻：1
魔抗：20
免疫晕眩、增强魔法输出和魔法范围</v>
      </c>
      <c r="I78" s="492" t="str">
        <f>IFERROR(__xludf.DUMMYFUNCTION("GOOGLETRANSLATE(A78,""zh-tw"",""es-MX"")"),"Diadema de cohesión espiritual")</f>
        <v>Diadema de cohesión espiritual</v>
      </c>
      <c r="J78" s="254" t="str">
        <f>IFERROR(__xludf.DUMMYFUNCTION("GOOGLETRANSLATE(B78,""zh-tw"",""es-MX"")"),"Ataque mágico: 1
Resistencia mágica: 20
Inmune al aturdimiento, aumenta el daño mágico y el alcance mágico")</f>
        <v>Ataque mágico: 1
Resistencia mágica: 20
Inmune al aturdimiento, aumenta el daño mágico y el alcance mágico</v>
      </c>
      <c r="K78" s="488" t="s">
        <v>10383</v>
      </c>
      <c r="L78" s="205" t="s">
        <v>10384</v>
      </c>
      <c r="M78" s="492" t="s">
        <v>10385</v>
      </c>
      <c r="N78" s="254" t="s">
        <v>10386</v>
      </c>
      <c r="O78" s="492" t="s">
        <v>10387</v>
      </c>
      <c r="P78" s="254" t="s">
        <v>10388</v>
      </c>
      <c r="Q78" s="489" t="s">
        <v>10389</v>
      </c>
      <c r="R78" s="260" t="s">
        <v>10390</v>
      </c>
      <c r="S78" s="505" t="s">
        <v>10391</v>
      </c>
      <c r="T78" s="495" t="s">
        <v>10392</v>
      </c>
      <c r="U78" s="492" t="s">
        <v>10393</v>
      </c>
      <c r="V78" s="254" t="s">
        <v>10394</v>
      </c>
      <c r="W78" s="9"/>
      <c r="X78" s="9"/>
      <c r="Y78" s="9"/>
      <c r="Z78" s="9"/>
      <c r="AA78" s="9"/>
      <c r="AB78" s="9"/>
      <c r="AC78" s="9"/>
      <c r="AD78" s="9"/>
      <c r="AE78" s="9"/>
      <c r="AF78" s="9"/>
      <c r="AG78" s="9"/>
      <c r="AH78" s="9"/>
      <c r="AI78" s="9"/>
      <c r="AJ78" s="9"/>
      <c r="AK78" s="9"/>
      <c r="AL78" s="9"/>
      <c r="AM78" s="9"/>
      <c r="AN78" s="9"/>
      <c r="AO78" s="9"/>
      <c r="AP78" s="9"/>
      <c r="AQ78" s="9"/>
      <c r="AR78" s="9"/>
      <c r="AS78" s="9"/>
      <c r="AT78" s="9"/>
    </row>
    <row r="79">
      <c r="A79" s="489" t="s">
        <v>10395</v>
      </c>
      <c r="B79" s="260" t="s">
        <v>10396</v>
      </c>
      <c r="C79" s="488" t="s">
        <v>10397</v>
      </c>
      <c r="D79" s="205" t="s">
        <v>10398</v>
      </c>
      <c r="E79" s="488" t="s">
        <v>10399</v>
      </c>
      <c r="F79" s="205" t="s">
        <v>10400</v>
      </c>
      <c r="G79" s="492" t="str">
        <f>IFERROR(__xludf.DUMMYFUNCTION("GOOGLETRANSLATE(A79,""zh-tw"",""zh"")"),"魔力汲取手套")</f>
        <v>魔力汲取手套</v>
      </c>
      <c r="H79" s="254" t="str">
        <f>IFERROR(__xludf.DUMMYFUNCTION("GOOGLETRANSLATE(B79,""zh-tw"",""zh"")"),"物攻：3
魔攻：10
物防：1
魔抗：20
武器附带魔法伤害")</f>
        <v>物攻：3
魔攻：10
物防：1
魔抗：20
武器附带魔法伤害</v>
      </c>
      <c r="I79" s="492" t="str">
        <f>IFERROR(__xludf.DUMMYFUNCTION("GOOGLETRANSLATE(A79,""zh-tw"",""es-MX"")"),"Guantes de absorción mágica")</f>
        <v>Guantes de absorción mágica</v>
      </c>
      <c r="J79" s="254" t="str">
        <f>IFERROR(__xludf.DUMMYFUNCTION("GOOGLETRANSLATE(B79,""zh-tw"",""es-MX"")"),"Ataque físico: 3
Ataque mágico: 10
Defensa física: 1
Resistencia mágica: 20
El arma inflige daño mágico adicional.")</f>
        <v>Ataque físico: 3
Ataque mágico: 10
Defensa física: 1
Resistencia mágica: 20
El arma inflige daño mágico adicional.</v>
      </c>
      <c r="K79" s="489" t="s">
        <v>10401</v>
      </c>
      <c r="L79" s="205" t="s">
        <v>10402</v>
      </c>
      <c r="M79" s="492" t="s">
        <v>10403</v>
      </c>
      <c r="N79" s="205" t="s">
        <v>10404</v>
      </c>
      <c r="O79" s="488" t="s">
        <v>10405</v>
      </c>
      <c r="P79" s="254" t="s">
        <v>10406</v>
      </c>
      <c r="Q79" s="489" t="s">
        <v>10407</v>
      </c>
      <c r="R79" s="260" t="s">
        <v>10408</v>
      </c>
      <c r="S79" s="505" t="s">
        <v>10409</v>
      </c>
      <c r="T79" s="495" t="s">
        <v>10410</v>
      </c>
      <c r="U79" s="492" t="s">
        <v>10411</v>
      </c>
      <c r="V79" s="254" t="s">
        <v>10412</v>
      </c>
      <c r="W79" s="9"/>
      <c r="X79" s="9"/>
      <c r="Y79" s="9"/>
      <c r="Z79" s="9"/>
      <c r="AA79" s="9"/>
      <c r="AB79" s="9"/>
      <c r="AC79" s="9"/>
      <c r="AD79" s="9"/>
      <c r="AE79" s="9"/>
      <c r="AF79" s="9"/>
      <c r="AG79" s="9"/>
      <c r="AH79" s="9"/>
      <c r="AI79" s="9"/>
      <c r="AJ79" s="9"/>
      <c r="AK79" s="9"/>
      <c r="AL79" s="9"/>
      <c r="AM79" s="9"/>
      <c r="AN79" s="9"/>
      <c r="AO79" s="9"/>
      <c r="AP79" s="9"/>
      <c r="AQ79" s="9"/>
      <c r="AR79" s="9"/>
      <c r="AS79" s="9"/>
      <c r="AT79" s="9"/>
    </row>
    <row r="80" ht="103.5" customHeight="1">
      <c r="A80" s="489" t="s">
        <v>10413</v>
      </c>
      <c r="B80" s="260" t="s">
        <v>10414</v>
      </c>
      <c r="C80" s="488" t="s">
        <v>10415</v>
      </c>
      <c r="D80" s="205" t="s">
        <v>10416</v>
      </c>
      <c r="E80" s="488" t="s">
        <v>10417</v>
      </c>
      <c r="F80" s="205" t="s">
        <v>10418</v>
      </c>
      <c r="G80" s="488" t="s">
        <v>10419</v>
      </c>
      <c r="H80" s="205" t="s">
        <v>10420</v>
      </c>
      <c r="I80" s="492"/>
      <c r="J80" s="254"/>
      <c r="K80" s="489"/>
      <c r="L80" s="205"/>
      <c r="M80" s="488" t="s">
        <v>10421</v>
      </c>
      <c r="N80" s="205" t="s">
        <v>10422</v>
      </c>
      <c r="O80" s="488" t="s">
        <v>10423</v>
      </c>
      <c r="P80" s="205" t="s">
        <v>10424</v>
      </c>
      <c r="Q80" s="489"/>
      <c r="R80" s="260"/>
      <c r="S80" s="503" t="s">
        <v>10425</v>
      </c>
      <c r="T80" s="68" t="s">
        <v>10426</v>
      </c>
      <c r="U80" s="488" t="s">
        <v>10427</v>
      </c>
      <c r="V80" s="205" t="s">
        <v>10428</v>
      </c>
      <c r="W80" s="9"/>
      <c r="X80" s="9"/>
      <c r="Y80" s="9"/>
      <c r="Z80" s="9"/>
      <c r="AA80" s="9"/>
      <c r="AB80" s="9"/>
      <c r="AC80" s="9"/>
      <c r="AD80" s="9"/>
      <c r="AE80" s="9"/>
      <c r="AF80" s="9"/>
      <c r="AG80" s="9"/>
      <c r="AH80" s="9"/>
      <c r="AI80" s="9"/>
      <c r="AJ80" s="9"/>
      <c r="AK80" s="9"/>
      <c r="AL80" s="9"/>
      <c r="AM80" s="9"/>
      <c r="AN80" s="9"/>
      <c r="AO80" s="9"/>
      <c r="AP80" s="9"/>
      <c r="AQ80" s="9"/>
      <c r="AR80" s="9"/>
      <c r="AS80" s="9"/>
      <c r="AT80" s="9"/>
    </row>
    <row r="81">
      <c r="A81" s="492" t="s">
        <v>10429</v>
      </c>
      <c r="B81" s="205" t="s">
        <v>10430</v>
      </c>
      <c r="C81" s="488" t="s">
        <v>10431</v>
      </c>
      <c r="D81" s="205" t="s">
        <v>10432</v>
      </c>
      <c r="E81" s="492" t="s">
        <v>10433</v>
      </c>
      <c r="F81" s="205" t="s">
        <v>10434</v>
      </c>
      <c r="G81" s="492" t="str">
        <f>IFERROR(__xludf.DUMMYFUNCTION("GOOGLETRANSLATE(A81,""zh-tw"",""zh"")"),"红髓玉吊坠")</f>
        <v>红髓玉吊坠</v>
      </c>
      <c r="H81" s="254" t="str">
        <f>IFERROR(__xludf.DUMMYFUNCTION("GOOGLETRANSLATE(B81,""zh-tw"",""zh"")"),"魔攻：20
魔防：45
1.降低魔法武器的耐久消耗(可叠加)
2.依照""天上石碎片""的数量，每个碎片提升10魔法攻击数值(多件装备无法叠加效果)")</f>
        <v>魔攻：20
魔防：45
1.降低魔法武器的耐久消耗(可叠加)
2.依照"天上石碎片"的数量，每个碎片提升10魔法攻击数值(多件装备无法叠加效果)</v>
      </c>
      <c r="I81" s="492" t="str">
        <f>IFERROR(__xludf.DUMMYFUNCTION("GOOGLETRANSLATE(A81,""zh-tw"",""es-MX"")"),"Colgante de cornalina roja")</f>
        <v>Colgante de cornalina roja</v>
      </c>
      <c r="J81" s="254" t="str">
        <f>IFERROR(__xludf.DUMMYFUNCTION("GOOGLETRANSLATE(B81,""zh-tw"",""es-MX"")"),"Ataque mágico: 20
Defensa mágica: 45
1. Reduce el consumo de durabilidad de las armas mágicas (acumulable)
2. Aumenta el ataque mágico en 10 por cada ""Fragmento de Piedra Celestial"" (las piezas de equipo múltiples no se acumulan).")</f>
        <v>Ataque mágico: 20
Defensa mágica: 45
1. Reduce el consumo de durabilidad de las armas mágicas (acumulable)
2. Aumenta el ataque mágico en 10 por cada "Fragmento de Piedra Celestial" (las piezas de equipo múltiples no se acumulan).</v>
      </c>
      <c r="K81" s="492" t="str">
        <f>IFERROR(__xludf.DUMMYFUNCTION("GOOGLETRANSLATE(A81,""zh-tw"",""KO"")"),"붉은 카넬리언 펜던트")</f>
        <v>붉은 카넬리언 펜던트</v>
      </c>
      <c r="L81" s="254" t="str">
        <f>IFERROR(__xludf.DUMMYFUNCTION("GOOGLETRANSLATE(B81,""zh-tw"",""KO"")"),"마법 공격력: 20
마법 방어력: 45
1. 마법 무기의 내구도 소모량을 감소시킵니다 (중첩 가능)
2. ""천석 조각"" 하나당 마법 공격력이 10씩 증가합니다 (여러 장비에 적용해도 중첩되지 않습니다).")</f>
        <v>마법 공격력: 20
마법 방어력: 45
1. 마법 무기의 내구도 소모량을 감소시킵니다 (중첩 가능)
2. "천석 조각" 하나당 마법 공격력이 10씩 증가합니다 (여러 장비에 적용해도 중첩되지 않습니다).</v>
      </c>
      <c r="M81" s="492" t="s">
        <v>10435</v>
      </c>
      <c r="N81" s="194" t="s">
        <v>10436</v>
      </c>
      <c r="O81" s="492" t="s">
        <v>10435</v>
      </c>
      <c r="P81" s="205" t="s">
        <v>10437</v>
      </c>
      <c r="Q81" s="488" t="s">
        <v>10433</v>
      </c>
      <c r="R81" s="205" t="s">
        <v>10438</v>
      </c>
      <c r="S81" s="509" t="s">
        <v>10439</v>
      </c>
      <c r="T81" s="68" t="s">
        <v>10440</v>
      </c>
      <c r="U81" s="492" t="s">
        <v>10441</v>
      </c>
      <c r="V81" s="205" t="s">
        <v>10442</v>
      </c>
      <c r="W81" s="9"/>
      <c r="X81" s="9"/>
      <c r="Y81" s="9"/>
      <c r="Z81" s="9"/>
      <c r="AA81" s="9"/>
      <c r="AB81" s="9"/>
      <c r="AC81" s="9"/>
      <c r="AD81" s="9"/>
      <c r="AE81" s="9"/>
      <c r="AF81" s="9"/>
      <c r="AG81" s="9"/>
      <c r="AH81" s="9"/>
      <c r="AI81" s="9"/>
      <c r="AJ81" s="9"/>
      <c r="AK81" s="9"/>
      <c r="AL81" s="9"/>
      <c r="AM81" s="9"/>
      <c r="AN81" s="9"/>
      <c r="AO81" s="9"/>
      <c r="AP81" s="9"/>
      <c r="AQ81" s="9"/>
      <c r="AR81" s="9"/>
      <c r="AS81" s="9"/>
      <c r="AT81" s="9"/>
    </row>
    <row r="82">
      <c r="A82" s="488" t="s">
        <v>10443</v>
      </c>
      <c r="B82" s="205" t="s">
        <v>10444</v>
      </c>
      <c r="C82" s="488" t="s">
        <v>10445</v>
      </c>
      <c r="D82" s="205" t="s">
        <v>10446</v>
      </c>
      <c r="E82" s="488" t="s">
        <v>10447</v>
      </c>
      <c r="F82" s="205" t="s">
        <v>10448</v>
      </c>
      <c r="G82" s="488" t="str">
        <f>IFERROR(__xludf.DUMMYFUNCTION("GOOGLETRANSLATE(A82,""zh-tw"",""zh"")"),"恶魔眼球")</f>
        <v>恶魔眼球</v>
      </c>
      <c r="H82" s="205" t="str">
        <f>IFERROR(__xludf.DUMMYFUNCTION("GOOGLETRANSLATE(B82,""zh-tw"",""zh"")"),"魔攻:6
魔防:40
装备时可以解除部分怪物资讯的马赛克
可以于部分SLG事件中，观看动画的X光透视效果")</f>
        <v>魔攻:6
魔防:40
装备时可以解除部分怪物资讯的马赛克
可以于部分SLG事件中，观看动画的X光透视效果</v>
      </c>
      <c r="I82" s="492" t="str">
        <f>IFERROR(__xludf.DUMMYFUNCTION("GOOGLETRANSLATE(A82,""zh-tw"",""es-MX"")"),"Ojo del diablo")</f>
        <v>Ojo del diablo</v>
      </c>
      <c r="J82" s="254" t="str">
        <f>IFERROR(__xludf.DUMMYFUNCTION("GOOGLETRANSLATE(B82,""zh-tw"",""es-MX"")"),"Ataque mágico: 6
Defensa mágica: 40
Equipar este objeto reduce la pixelación de la información de los monstruos.
También permite ver el efecto de rayos X de la animación en ciertos eventos de SLG.")</f>
        <v>Ataque mágico: 6
Defensa mágica: 40
Equipar este objeto reduce la pixelación de la información de los monstruos.
También permite ver el efecto de rayos X de la animación en ciertos eventos de SLG.</v>
      </c>
      <c r="K82" s="488" t="str">
        <f>IFERROR(__xludf.DUMMYFUNCTION("GOOGLETRANSLATE(A82,""zh-tw"",""KO"")"),"악마의 눈알")</f>
        <v>악마의 눈알</v>
      </c>
      <c r="L82" s="205" t="str">
        <f>IFERROR(__xludf.DUMMYFUNCTION("GOOGLETRANSLATE(B82,""zh-tw"",""KO"")"),"마법 공격력: 6
마법 방어력: 40
이 아이템을 장착하면 몬스터 정보의 픽셀화 현상이 일부 제거됩니다.
또한 특정 SLG 이벤트에서 애니메이션의 X-레이 효과를 볼 수 있습니다.")</f>
        <v>마법 공격력: 6
마법 방어력: 40
이 아이템을 장착하면 몬스터 정보의 픽셀화 현상이 일부 제거됩니다.
또한 특정 SLG 이벤트에서 애니메이션의 X-레이 효과를 볼 수 있습니다.</v>
      </c>
      <c r="M82" s="493" t="s">
        <v>10449</v>
      </c>
      <c r="N82" s="205" t="s">
        <v>10450</v>
      </c>
      <c r="O82" s="493" t="s">
        <v>10451</v>
      </c>
      <c r="P82" s="194" t="s">
        <v>10452</v>
      </c>
      <c r="Q82" s="488" t="s">
        <v>10453</v>
      </c>
      <c r="R82" s="254" t="s">
        <v>10454</v>
      </c>
      <c r="S82" s="503" t="s">
        <v>10455</v>
      </c>
      <c r="T82" s="68" t="s">
        <v>10456</v>
      </c>
      <c r="U82" s="488" t="s">
        <v>10457</v>
      </c>
      <c r="V82" s="205" t="s">
        <v>10458</v>
      </c>
      <c r="W82" s="9"/>
      <c r="X82" s="9"/>
      <c r="Y82" s="9"/>
      <c r="Z82" s="9"/>
      <c r="AA82" s="9"/>
      <c r="AB82" s="9"/>
      <c r="AC82" s="9"/>
      <c r="AD82" s="9"/>
      <c r="AE82" s="9"/>
      <c r="AF82" s="9"/>
      <c r="AG82" s="9"/>
      <c r="AH82" s="9"/>
      <c r="AI82" s="9"/>
      <c r="AJ82" s="9"/>
      <c r="AK82" s="9"/>
      <c r="AL82" s="9"/>
      <c r="AM82" s="9"/>
      <c r="AN82" s="9"/>
      <c r="AO82" s="9"/>
      <c r="AP82" s="9"/>
      <c r="AQ82" s="9"/>
      <c r="AR82" s="9"/>
      <c r="AS82" s="9"/>
      <c r="AT82" s="9"/>
    </row>
    <row r="83">
      <c r="A83" s="492" t="s">
        <v>10459</v>
      </c>
      <c r="B83" s="205" t="s">
        <v>10460</v>
      </c>
      <c r="C83" s="488" t="s">
        <v>10461</v>
      </c>
      <c r="D83" s="205" t="s">
        <v>10462</v>
      </c>
      <c r="E83" s="488" t="s">
        <v>10463</v>
      </c>
      <c r="F83" s="205" t="s">
        <v>10464</v>
      </c>
      <c r="G83" s="492" t="str">
        <f>IFERROR(__xludf.DUMMYFUNCTION("GOOGLETRANSLATE(A83,""zh-tw"",""zh"")"),"◉▽◉(粉色)")</f>
        <v>◉▽◉(粉色)</v>
      </c>
      <c r="H83" s="254" t="str">
        <f>IFERROR(__xludf.DUMMYFUNCTION("GOOGLETRANSLATE(B83,""zh-tw"",""zh"")"),"投掷攻击
遇水消失、会被击杀
幸运：40")</f>
        <v>投掷攻击
遇水消失、会被击杀
幸运：40</v>
      </c>
      <c r="I83" s="492" t="str">
        <f>IFERROR(__xludf.DUMMYFUNCTION("GOOGLETRANSLATE(A83,""zh-tw"",""es-MX"")"),"◉▽◉(Rosa)")</f>
        <v>◉▽◉(Rosa)</v>
      </c>
      <c r="J83" s="254" t="str">
        <f>IFERROR(__xludf.DUMMYFUNCTION("GOOGLETRANSLATE(B83,""zh-tw"",""es-MX"")"),"Ataque de lanzamiento. Desaparece al contacto con el agua; puede ser eliminado. Suerte: 40")</f>
        <v>Ataque de lanzamiento. Desaparece al contacto con el agua; puede ser eliminado. Suerte: 40</v>
      </c>
      <c r="K83" s="492" t="str">
        <f>IFERROR(__xludf.DUMMYFUNCTION("GOOGLETRANSLATE(A83,""zh-tw"",""KO"")"),"◉▽◉(핑크)")</f>
        <v>◉▽◉(핑크)</v>
      </c>
      <c r="L83" s="254" t="str">
        <f>IFERROR(__xludf.DUMMYFUNCTION("GOOGLETRANSLATE(B83,""zh-tw"",""KO"")"),"투척 공격. 물에 닿으면 사라짐; 죽일 수 있음. 행운: 40")</f>
        <v>투척 공격. 물에 닿으면 사라짐; 죽일 수 있음. 행운: 40</v>
      </c>
      <c r="M83" s="492" t="s">
        <v>10465</v>
      </c>
      <c r="N83" s="254" t="s">
        <v>10466</v>
      </c>
      <c r="O83" s="492" t="s">
        <v>10467</v>
      </c>
      <c r="P83" s="254" t="s">
        <v>10468</v>
      </c>
      <c r="Q83" s="488" t="s">
        <v>10469</v>
      </c>
      <c r="R83" s="205" t="s">
        <v>10470</v>
      </c>
      <c r="S83" s="509" t="s">
        <v>10471</v>
      </c>
      <c r="T83" s="491" t="s">
        <v>10472</v>
      </c>
      <c r="U83" s="492" t="s">
        <v>10473</v>
      </c>
      <c r="V83" s="254" t="s">
        <v>10474</v>
      </c>
      <c r="W83" s="9"/>
      <c r="X83" s="9"/>
      <c r="Y83" s="9"/>
      <c r="Z83" s="9"/>
      <c r="AA83" s="9"/>
      <c r="AB83" s="9"/>
      <c r="AC83" s="9"/>
      <c r="AD83" s="9"/>
      <c r="AE83" s="9"/>
      <c r="AF83" s="9"/>
      <c r="AG83" s="9"/>
      <c r="AH83" s="9"/>
      <c r="AI83" s="9"/>
      <c r="AJ83" s="9"/>
      <c r="AK83" s="9"/>
      <c r="AL83" s="9"/>
      <c r="AM83" s="9"/>
      <c r="AN83" s="9"/>
      <c r="AO83" s="9"/>
      <c r="AP83" s="9"/>
      <c r="AQ83" s="9"/>
      <c r="AR83" s="9"/>
      <c r="AS83" s="9"/>
      <c r="AT83" s="9"/>
    </row>
    <row r="84">
      <c r="A84" s="200" t="s">
        <v>9159</v>
      </c>
      <c r="C84" s="200" t="s">
        <v>9160</v>
      </c>
      <c r="E84" s="200" t="s">
        <v>9161</v>
      </c>
      <c r="G84" s="200" t="s">
        <v>9162</v>
      </c>
      <c r="I84" s="200"/>
      <c r="K84" s="200"/>
      <c r="M84" s="193" t="s">
        <v>10475</v>
      </c>
      <c r="O84" s="200" t="s">
        <v>9164</v>
      </c>
      <c r="Q84" s="200"/>
      <c r="S84" s="203" t="s">
        <v>9165</v>
      </c>
      <c r="U84" s="200" t="s">
        <v>9166</v>
      </c>
      <c r="W84" s="254"/>
      <c r="X84" s="254"/>
      <c r="Y84" s="254"/>
      <c r="Z84" s="254"/>
      <c r="AA84" s="9"/>
      <c r="AB84" s="9"/>
      <c r="AC84" s="9"/>
      <c r="AD84" s="9"/>
      <c r="AE84" s="9"/>
      <c r="AF84" s="9"/>
      <c r="AG84" s="9"/>
      <c r="AH84" s="9"/>
      <c r="AI84" s="9"/>
      <c r="AJ84" s="9"/>
      <c r="AK84" s="9"/>
      <c r="AL84" s="9"/>
      <c r="AM84" s="9"/>
      <c r="AN84" s="9"/>
      <c r="AO84" s="9"/>
      <c r="AP84" s="9"/>
      <c r="AQ84" s="9"/>
      <c r="AR84" s="9"/>
      <c r="AS84" s="9"/>
      <c r="AT84" s="9"/>
    </row>
    <row r="85">
      <c r="A85" s="488" t="s">
        <v>10476</v>
      </c>
      <c r="B85" s="205" t="s">
        <v>10477</v>
      </c>
      <c r="C85" s="488" t="s">
        <v>10478</v>
      </c>
      <c r="D85" s="205" t="s">
        <v>10479</v>
      </c>
      <c r="E85" s="488" t="s">
        <v>10480</v>
      </c>
      <c r="F85" s="205" t="s">
        <v>10481</v>
      </c>
      <c r="G85" s="492" t="str">
        <f>IFERROR(__xludf.DUMMYFUNCTION("GOOGLETRANSLATE(A85,""zh-tw"",""zh"")"),"未满的黄金圣杯")</f>
        <v>未满的黄金圣杯</v>
      </c>
      <c r="H85" s="254" t="str">
        <f>IFERROR(__xludf.DUMMYFUNCTION("GOOGLETRANSLATE(B85,""zh-tw"",""zh"")"),"幸运:100
掉落拾取的金钱数量翻倍
(不可以和存钱罐连动)")</f>
        <v>幸运:100
掉落拾取的金钱数量翻倍
(不可以和存钱罐连动)</v>
      </c>
      <c r="I85" s="488" t="s">
        <v>10482</v>
      </c>
      <c r="J85" s="254" t="str">
        <f>IFERROR(__xludf.DUMMYFUNCTION("GOOGLETRANSLATE(B85,""zh-tw"",""es-MX"")"),"Suerte: 100 - Duplica la cantidad de dinero que recoges de los objetos que sueltan los enemigos.
(No se puede combinar con una hucha)")</f>
        <v>Suerte: 100 - Duplica la cantidad de dinero que recoges de los objetos que sueltan los enemigos.
(No se puede combinar con una hucha)</v>
      </c>
      <c r="K85" s="488" t="s">
        <v>10483</v>
      </c>
      <c r="L85" s="205" t="s">
        <v>10484</v>
      </c>
      <c r="M85" s="492" t="s">
        <v>10485</v>
      </c>
      <c r="N85" s="254" t="s">
        <v>10486</v>
      </c>
      <c r="O85" s="492" t="s">
        <v>10487</v>
      </c>
      <c r="P85" s="254" t="s">
        <v>10488</v>
      </c>
      <c r="Q85" s="489" t="s">
        <v>10489</v>
      </c>
      <c r="R85" s="260" t="s">
        <v>10490</v>
      </c>
      <c r="S85" s="505" t="s">
        <v>10491</v>
      </c>
      <c r="T85" s="491" t="s">
        <v>10492</v>
      </c>
      <c r="U85" s="511" t="s">
        <v>10480</v>
      </c>
      <c r="V85" s="254" t="s">
        <v>10493</v>
      </c>
      <c r="W85" s="9"/>
      <c r="X85" s="9"/>
      <c r="Y85" s="9"/>
      <c r="Z85" s="9"/>
      <c r="AA85" s="9"/>
      <c r="AB85" s="9"/>
      <c r="AC85" s="9"/>
      <c r="AD85" s="9"/>
      <c r="AE85" s="9"/>
      <c r="AF85" s="9"/>
      <c r="AG85" s="9"/>
      <c r="AH85" s="9"/>
      <c r="AI85" s="9"/>
      <c r="AJ85" s="9"/>
      <c r="AK85" s="9"/>
      <c r="AL85" s="9"/>
      <c r="AM85" s="9"/>
      <c r="AN85" s="9"/>
      <c r="AO85" s="9"/>
      <c r="AP85" s="9"/>
      <c r="AQ85" s="9"/>
      <c r="AR85" s="9"/>
      <c r="AS85" s="9"/>
      <c r="AT85" s="9"/>
    </row>
    <row r="86">
      <c r="A86" s="488" t="s">
        <v>10494</v>
      </c>
      <c r="B86" s="205" t="s">
        <v>10495</v>
      </c>
      <c r="C86" s="488" t="s">
        <v>10496</v>
      </c>
      <c r="D86" s="205" t="s">
        <v>10497</v>
      </c>
      <c r="E86" s="488" t="s">
        <v>10498</v>
      </c>
      <c r="F86" s="205" t="s">
        <v>10499</v>
      </c>
      <c r="G86" s="492" t="str">
        <f>IFERROR(__xludf.DUMMYFUNCTION("GOOGLETRANSLATE(A86,""zh-tw"",""zh"")"),"王权之令")</f>
        <v>王权之令</v>
      </c>
      <c r="H86" s="254" t="str">
        <f>IFERROR(__xludf.DUMMYFUNCTION("GOOGLETRANSLATE(B86,""zh-tw"",""zh"")"),"提升从者大小和能力、提升全属性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86" s="492" t="str">
        <f>IFERROR(__xludf.DUMMYFUNCTION("GOOGLETRANSLATE(A86,""zh-tw"",""es-MX"")"),"Real Decreto")</f>
        <v>Real Decreto</v>
      </c>
      <c r="J86" s="254" t="str">
        <f>IFERROR(__xludf.DUMMYFUNCTION("GOOGLETRANSLATE(B86,""zh-tw"",""es-MX"")"),"Aumenta el tamaño y las habilidades del Servant, y mejora todos sus atributos.
Puño Furioso: Aumenta el daño y la distancia de retroceso.
Cuchillo Envenenado: Aumenta la probabilidad de envenenamiento.
Hucha: Más resistente.
Hucha Codiciosa: Aumenta e"&amp;"l alcance de detección y el alcance del aura.
Mano Maldita de Sheris: Mejora los efectos negativos y pixela los dedos (aún no implementado).
◉▽◉: Aumenta el tamaño y el daño, y añade un efecto de retroceso (este efecto no se acumula).
(Gaviota no compa"&amp;"tible actualmente)")</f>
        <v>Aumenta el tamaño y las habilidades del Servant, y mejora todos sus atributos.
Puño Furioso: Aumenta el daño y la distancia de retroceso.
Cuchillo Envenenado: Aumenta la probabilidad de envenenamiento.
Hucha: Más resistente.
Hucha Codiciosa: Aumenta el alcance de detección y el alcance del aura.
Mano Maldita de Sheris: Mejora los efectos negativos y pixela los dedos (aún no implementado).
◉▽◉: Aumenta el tamaño y el daño, y añade un efecto de retroceso (este efecto no se acumula).
(Gaviota no compatible actualmente)</v>
      </c>
      <c r="K86" s="492" t="str">
        <f>IFERROR(__xludf.DUMMYFUNCTION("GOOGLETRANSLATE(A86,""zh-tw"",""KO"")"),"왕령")</f>
        <v>왕령</v>
      </c>
      <c r="L86" s="205" t="s">
        <v>10500</v>
      </c>
      <c r="M86" s="492" t="s">
        <v>10501</v>
      </c>
      <c r="N86" s="254" t="s">
        <v>10502</v>
      </c>
      <c r="O86" s="492" t="s">
        <v>10503</v>
      </c>
      <c r="P86" s="254" t="s">
        <v>10504</v>
      </c>
      <c r="Q86" s="489" t="s">
        <v>10505</v>
      </c>
      <c r="R86" s="260" t="s">
        <v>10506</v>
      </c>
      <c r="S86" s="505" t="s">
        <v>10507</v>
      </c>
      <c r="T86" s="68" t="s">
        <v>10508</v>
      </c>
      <c r="U86" s="492" t="s">
        <v>10509</v>
      </c>
      <c r="V86" s="254" t="s">
        <v>10510</v>
      </c>
      <c r="W86" s="9"/>
      <c r="X86" s="9"/>
      <c r="Y86" s="9"/>
      <c r="Z86" s="9"/>
      <c r="AA86" s="9"/>
      <c r="AB86" s="9"/>
      <c r="AC86" s="9"/>
      <c r="AD86" s="9"/>
      <c r="AE86" s="9"/>
      <c r="AF86" s="9"/>
      <c r="AG86" s="9"/>
      <c r="AH86" s="9"/>
      <c r="AI86" s="9"/>
      <c r="AJ86" s="9"/>
      <c r="AK86" s="9"/>
      <c r="AL86" s="9"/>
      <c r="AM86" s="9"/>
      <c r="AN86" s="9"/>
      <c r="AO86" s="9"/>
      <c r="AP86" s="9"/>
      <c r="AQ86" s="9"/>
      <c r="AR86" s="9"/>
      <c r="AS86" s="9"/>
      <c r="AT86" s="9"/>
    </row>
    <row r="87">
      <c r="A87" s="488" t="s">
        <v>10511</v>
      </c>
      <c r="B87" s="205" t="s">
        <v>10512</v>
      </c>
      <c r="C87" s="488" t="s">
        <v>10513</v>
      </c>
      <c r="D87" s="205" t="s">
        <v>10514</v>
      </c>
      <c r="E87" s="488" t="s">
        <v>10515</v>
      </c>
      <c r="F87" s="254" t="str">
        <f>IFERROR(__xludf.DUMMYFUNCTION("GOOGLETRANSLATE(B87,""zh-tw"",""en"")"),"Luck: 100 (Lucky stats include: finding money, Mammon aura, indestructible, increased movement speed)
")</f>
        <v>Luck: 100 (Lucky stats include: finding money, Mammon aura, indestructible, increased movement speed)
</v>
      </c>
      <c r="G87" s="492" t="str">
        <f>IFERROR(__xludf.DUMMYFUNCTION("GOOGLETRANSLATE(A87,""zh-tw"",""zh"")"),"贪欲存钱罐")</f>
        <v>贪欲存钱罐</v>
      </c>
      <c r="H87" s="254" t="str">
        <f>IFERROR(__xludf.DUMMYFUNCTION("GOOGLETRANSLATE(B87,""zh-tw"",""zh"")"),"幸运：100
捡钱、玛门光环、坚不可摧、移动加快
")</f>
        <v>幸运：100
捡钱、玛门光环、坚不可摧、移动加快
</v>
      </c>
      <c r="I87" s="492" t="str">
        <f>IFERROR(__xludf.DUMMYFUNCTION("GOOGLETRANSLATE(A87,""zh-tw"",""es-MX"")"),"Hucha codiciosa")</f>
        <v>Hucha codiciosa</v>
      </c>
      <c r="J87" s="254" t="str">
        <f>IFERROR(__xludf.DUMMYFUNCTION("GOOGLETRANSLATE(B87,""zh-tw"",""es-MX"")"),"Suerte: 100 (Estadísticas de suerte: encontrar dinero, aura de Mammon, indestructible, mayor velocidad de movimiento)
")</f>
        <v>Suerte: 100 (Estadísticas de suerte: encontrar dinero, aura de Mammon, indestructible, mayor velocidad de movimiento)
</v>
      </c>
      <c r="K87" s="492" t="str">
        <f>IFERROR(__xludf.DUMMYFUNCTION("GOOGLETRANSLATE(A87,""zh-tw"",""KO"")"),"욕심쟁이 돼지 저금통")</f>
        <v>욕심쟁이 돼지 저금통</v>
      </c>
      <c r="L87" s="205" t="s">
        <v>10516</v>
      </c>
      <c r="M87" s="492" t="s">
        <v>10517</v>
      </c>
      <c r="N87" s="194" t="s">
        <v>10518</v>
      </c>
      <c r="O87" s="492" t="s">
        <v>10519</v>
      </c>
      <c r="P87" s="254" t="s">
        <v>10520</v>
      </c>
      <c r="Q87" s="489" t="s">
        <v>10521</v>
      </c>
      <c r="R87" s="260" t="s">
        <v>10522</v>
      </c>
      <c r="S87" s="505" t="s">
        <v>10523</v>
      </c>
      <c r="T87" s="495" t="s">
        <v>10524</v>
      </c>
      <c r="U87" s="492" t="s">
        <v>10525</v>
      </c>
      <c r="V87" s="205" t="s">
        <v>10526</v>
      </c>
      <c r="W87" s="9"/>
      <c r="X87" s="9"/>
      <c r="Y87" s="9"/>
      <c r="Z87" s="9"/>
      <c r="AA87" s="9"/>
      <c r="AB87" s="9"/>
      <c r="AC87" s="9"/>
      <c r="AD87" s="9"/>
      <c r="AE87" s="9"/>
      <c r="AF87" s="9"/>
      <c r="AG87" s="9"/>
      <c r="AH87" s="9"/>
      <c r="AI87" s="9"/>
      <c r="AJ87" s="9"/>
      <c r="AK87" s="9"/>
      <c r="AL87" s="9"/>
      <c r="AM87" s="9"/>
      <c r="AN87" s="9"/>
      <c r="AO87" s="9"/>
      <c r="AP87" s="9"/>
      <c r="AQ87" s="9"/>
      <c r="AR87" s="9"/>
      <c r="AS87" s="9"/>
      <c r="AT87" s="9"/>
    </row>
    <row r="88">
      <c r="A88" s="492" t="s">
        <v>10527</v>
      </c>
      <c r="B88" s="254" t="s">
        <v>10528</v>
      </c>
      <c r="C88" s="488" t="s">
        <v>10529</v>
      </c>
      <c r="D88" s="205" t="s">
        <v>10530</v>
      </c>
      <c r="E88" s="488" t="s">
        <v>10531</v>
      </c>
      <c r="F88" s="205" t="s">
        <v>10532</v>
      </c>
      <c r="G88" s="492" t="str">
        <f>IFERROR(__xludf.DUMMYFUNCTION("GOOGLETRANSLATE(A88,""zh-tw"",""zh"")"),"爱神荡漾")</f>
        <v>爱神荡漾</v>
      </c>
      <c r="H88" s="254" t="str">
        <f>IFERROR(__xludf.DUMMYFUNCTION("GOOGLETRANSLATE(B88,""zh-tw"",""zh"")"),"大幅增加触摸时提升的好感度
(摸一次增加一颗好感)
※此为作弊神器，请参考TIPS")</f>
        <v>大幅增加触摸时提升的好感度
(摸一次增加一颗好感)
※此为作弊神器，请参考TIPS</v>
      </c>
      <c r="I88" s="492" t="str">
        <f>IFERROR(__xludf.DUMMYFUNCTION("GOOGLETRANSLATE(A88,""zh-tw"",""es-MX"")"),"Ondulación de Cupido")</f>
        <v>Ondulación de Cupido</v>
      </c>
      <c r="J88" s="254" t="str">
        <f>IFERROR(__xludf.DUMMYFUNCTION("GOOGLETRANSLATE(B88,""zh-tw"",""es-MX"")"),"Aumenta significativamente la afinidad obtenida al tocar a alguien.
(Un toque aumenta la afinidad en un punto).
※Esto es una herramienta para hacer trampa; consulta los consejos.")</f>
        <v>Aumenta significativamente la afinidad obtenida al tocar a alguien.
(Un toque aumenta la afinidad en un punto).
※Esto es una herramienta para hacer trampa; consulta los consejos.</v>
      </c>
      <c r="K88" s="492" t="str">
        <f>IFERROR(__xludf.DUMMYFUNCTION("GOOGLETRANSLATE(A88,""zh-tw"",""KO"")"),"큐피드의 잔물결")</f>
        <v>큐피드의 잔물결</v>
      </c>
      <c r="L88" s="254" t="str">
        <f>IFERROR(__xludf.DUMMYFUNCTION("GOOGLETRANSLATE(B88,""zh-tw"",""KO"")"),"접촉을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88" s="492" t="s">
        <v>10533</v>
      </c>
      <c r="N88" s="194" t="s">
        <v>10534</v>
      </c>
      <c r="O88" s="492" t="s">
        <v>10535</v>
      </c>
      <c r="P88" s="254" t="s">
        <v>10536</v>
      </c>
      <c r="Q88" s="488" t="s">
        <v>10537</v>
      </c>
      <c r="R88" s="205" t="s">
        <v>10538</v>
      </c>
      <c r="S88" s="503" t="s">
        <v>10539</v>
      </c>
      <c r="T88" s="495" t="s">
        <v>10540</v>
      </c>
      <c r="U88" s="492" t="s">
        <v>10541</v>
      </c>
      <c r="V88" s="205" t="s">
        <v>10542</v>
      </c>
      <c r="W88" s="9"/>
      <c r="X88" s="9"/>
      <c r="Y88" s="9"/>
      <c r="Z88" s="9"/>
      <c r="AA88" s="9"/>
      <c r="AB88" s="9"/>
      <c r="AC88" s="9"/>
      <c r="AD88" s="9"/>
      <c r="AE88" s="9"/>
      <c r="AF88" s="9"/>
      <c r="AG88" s="9"/>
      <c r="AH88" s="9"/>
      <c r="AI88" s="9"/>
      <c r="AJ88" s="9"/>
      <c r="AK88" s="9"/>
      <c r="AL88" s="9"/>
      <c r="AM88" s="9"/>
      <c r="AN88" s="9"/>
      <c r="AO88" s="9"/>
      <c r="AP88" s="9"/>
      <c r="AQ88" s="9"/>
      <c r="AR88" s="9"/>
      <c r="AS88" s="9"/>
      <c r="AT88" s="9"/>
    </row>
    <row r="89">
      <c r="A89" s="488" t="s">
        <v>10543</v>
      </c>
      <c r="B89" s="205" t="s">
        <v>10544</v>
      </c>
      <c r="C89" s="488" t="s">
        <v>10545</v>
      </c>
      <c r="D89" s="205" t="s">
        <v>10546</v>
      </c>
      <c r="E89" s="488" t="s">
        <v>10547</v>
      </c>
      <c r="F89" s="205" t="s">
        <v>10548</v>
      </c>
      <c r="G89" s="492" t="str">
        <f>IFERROR(__xludf.DUMMYFUNCTION("GOOGLETRANSLATE(A89,""zh-tw"",""zh"")"),"绝对领域")</f>
        <v>绝对领域</v>
      </c>
      <c r="H89" s="254" t="str">
        <f>IFERROR(__xludf.DUMMYFUNCTION("GOOGLETRANSLATE(B89,""zh-tw"",""zh"")"),"魔防：169
幸运：69
增加携带武器/防具数量+99
※此为作弊神器，请参考TIPS")</f>
        <v>魔防：169
幸运：69
增加携带武器/防具数量+99
※此为作弊神器，请参考TIPS</v>
      </c>
      <c r="I89" s="492" t="str">
        <f>IFERROR(__xludf.DUMMYFUNCTION("GOOGLETRANSLATE(A89,""zh-tw"",""es-MX"")"),"Territorio absoluto")</f>
        <v>Territorio absoluto</v>
      </c>
      <c r="J89" s="254" t="str">
        <f>IFERROR(__xludf.DUMMYFUNCTION("GOOGLETRANSLATE(B89,""zh-tw"",""es-MX"")"),"Defensa mágica: 169
Suerte: 69
Aumenta la cantidad de armas/armaduras que puedes llevar en +99
※Este es un objeto de trucos. Consulta los CONSEJOS.")</f>
        <v>Defensa mágica: 169
Suerte: 69
Aumenta la cantidad de armas/armaduras que puedes llevar en +99
※Este es un objeto de trucos. Consulta los CONSEJOS.</v>
      </c>
      <c r="K89" s="492" t="str">
        <f>IFERROR(__xludf.DUMMYFUNCTION("GOOGLETRANSLATE(A89,""zh-tw"",""KO"")"),"절대 영토")</f>
        <v>절대 영토</v>
      </c>
      <c r="L89" s="254" t="str">
        <f>IFERROR(__xludf.DUMMYFUNCTION("GOOGLETRANSLATE(B89,""zh-tw"",""KO"")"),"마법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89" s="492" t="s">
        <v>10549</v>
      </c>
      <c r="N89" s="194" t="s">
        <v>10550</v>
      </c>
      <c r="O89" s="492" t="s">
        <v>10551</v>
      </c>
      <c r="P89" s="254" t="s">
        <v>10552</v>
      </c>
      <c r="Q89" s="488" t="s">
        <v>10553</v>
      </c>
      <c r="R89" s="205" t="s">
        <v>10554</v>
      </c>
      <c r="S89" s="505" t="s">
        <v>10555</v>
      </c>
      <c r="T89" s="495" t="s">
        <v>10556</v>
      </c>
      <c r="U89" s="492" t="s">
        <v>10557</v>
      </c>
      <c r="V89" s="205" t="s">
        <v>10558</v>
      </c>
      <c r="W89" s="9"/>
      <c r="X89" s="9"/>
      <c r="Y89" s="9"/>
      <c r="Z89" s="9"/>
      <c r="AA89" s="9"/>
      <c r="AB89" s="9"/>
      <c r="AC89" s="9"/>
      <c r="AD89" s="9"/>
      <c r="AE89" s="9"/>
      <c r="AF89" s="9"/>
      <c r="AG89" s="9"/>
      <c r="AH89" s="9"/>
      <c r="AI89" s="9"/>
      <c r="AJ89" s="9"/>
      <c r="AK89" s="9"/>
      <c r="AL89" s="9"/>
      <c r="AM89" s="9"/>
      <c r="AN89" s="9"/>
      <c r="AO89" s="9"/>
      <c r="AP89" s="9"/>
      <c r="AQ89" s="9"/>
      <c r="AR89" s="9"/>
      <c r="AS89" s="9"/>
      <c r="AT89" s="9"/>
    </row>
    <row r="90">
      <c r="A90" s="488" t="s">
        <v>10559</v>
      </c>
      <c r="B90" s="205" t="s">
        <v>10560</v>
      </c>
      <c r="C90" s="488" t="s">
        <v>10561</v>
      </c>
      <c r="D90" s="205" t="s">
        <v>10562</v>
      </c>
      <c r="E90" s="488" t="s">
        <v>10563</v>
      </c>
      <c r="F90" s="205" t="s">
        <v>10564</v>
      </c>
      <c r="G90" s="492" t="str">
        <f>IFERROR(__xludf.DUMMYFUNCTION("GOOGLETRANSLATE(A90,""zh-tw"",""zh"")"),"Mio的急救箱")</f>
        <v>Mio的急救箱</v>
      </c>
      <c r="H90" s="254" t="str">
        <f>IFERROR(__xludf.DUMMYFUNCTION("GOOGLETRANSLATE(B90,""zh-tw"",""zh"")"),"每秒回复血
※此为作弊神器，请参考TIPS")</f>
        <v>每秒回复血
※此为作弊神器，请参考TIPS</v>
      </c>
      <c r="I90" s="492" t="str">
        <f>IFERROR(__xludf.DUMMYFUNCTION("GOOGLETRANSLATE(A90,""zh-tw"",""es-MX"")"),"Botiquín de primeros auxilios de Mio")</f>
        <v>Botiquín de primeros auxilios de Mio</v>
      </c>
      <c r="J90" s="254" t="str">
        <f>IFERROR(__xludf.DUMMYFUNCTION("GOOGLETRANSLATE(B90,""zh-tw"",""es-MX"")"),"Regenera salud por segundo
※Esta es una herramienta para hacer trampas; consulta los CONSEJOS.")</f>
        <v>Regenera salud por segundo
※Esta es una herramienta para hacer trampas; consulta los CONSEJOS.</v>
      </c>
      <c r="K90" s="492" t="str">
        <f>IFERROR(__xludf.DUMMYFUNCTION("GOOGLETRANSLATE(A90,""zh-tw"",""KO"")"),"미오의 구급상자")</f>
        <v>미오의 구급상자</v>
      </c>
      <c r="L90" s="254" t="str">
        <f>IFERROR(__xludf.DUMMYFUNCTION("GOOGLETRANSLATE(B90,""zh-tw"",""KO"")"),"초당 체력을 회복합니다.
※이것은 치트 도구입니다. 사용 시 주의사항을 참고하세요.")</f>
        <v>초당 체력을 회복합니다.
※이것은 치트 도구입니다. 사용 시 주의사항을 참고하세요.</v>
      </c>
      <c r="M90" s="492" t="s">
        <v>10565</v>
      </c>
      <c r="N90" s="194" t="s">
        <v>10566</v>
      </c>
      <c r="O90" s="492" t="s">
        <v>10567</v>
      </c>
      <c r="P90" s="254" t="s">
        <v>10568</v>
      </c>
      <c r="Q90" s="506" t="str">
        <f>IFERROR(__xludf.DUMMYFUNCTION("GOOGLETRANSLATE(A90,""zh-tw"",""de"")"),"Mios Erste-Hilfe-Set")</f>
        <v>Mios Erste-Hilfe-Set</v>
      </c>
      <c r="R90" s="504" t="str">
        <f>IFERROR(__xludf.DUMMYFUNCTION("GOOGLETRANSLATE(B90,""zh-tw"",""de"")"),"Regeneriert Gesundheit pro Sekunde
※Dies ist ein Cheat-Tool. Bitte beachte die Tipps.")</f>
        <v>Regeneriert Gesundheit pro Sekunde
※Dies ist ein Cheat-Tool. Bitte beachte die Tipps.</v>
      </c>
      <c r="S90" s="503" t="s">
        <v>10569</v>
      </c>
      <c r="T90" s="495" t="s">
        <v>10570</v>
      </c>
      <c r="U90" s="492" t="s">
        <v>10571</v>
      </c>
      <c r="V90" s="205" t="s">
        <v>10572</v>
      </c>
      <c r="W90" s="9"/>
      <c r="X90" s="9"/>
      <c r="Y90" s="9"/>
      <c r="Z90" s="9"/>
      <c r="AA90" s="9"/>
      <c r="AB90" s="9"/>
      <c r="AC90" s="9"/>
      <c r="AD90" s="9"/>
      <c r="AE90" s="9"/>
      <c r="AF90" s="9"/>
      <c r="AG90" s="9"/>
      <c r="AH90" s="9"/>
      <c r="AI90" s="9"/>
      <c r="AJ90" s="9"/>
      <c r="AK90" s="9"/>
      <c r="AL90" s="9"/>
      <c r="AM90" s="9"/>
      <c r="AN90" s="9"/>
      <c r="AO90" s="9"/>
      <c r="AP90" s="9"/>
      <c r="AQ90" s="9"/>
      <c r="AR90" s="9"/>
      <c r="AS90" s="9"/>
      <c r="AT90" s="9"/>
    </row>
    <row r="91">
      <c r="A91" s="488" t="s">
        <v>10573</v>
      </c>
      <c r="B91" s="205" t="s">
        <v>10574</v>
      </c>
      <c r="C91" s="488" t="s">
        <v>10575</v>
      </c>
      <c r="D91" s="205" t="s">
        <v>10576</v>
      </c>
      <c r="E91" s="488" t="s">
        <v>10577</v>
      </c>
      <c r="F91" s="205" t="s">
        <v>10578</v>
      </c>
      <c r="G91" s="492" t="str">
        <f>IFERROR(__xludf.DUMMYFUNCTION("GOOGLETRANSLATE(A91,""zh-tw"",""zh"")"),"Ruika的万宝槌")</f>
        <v>Ruika的万宝槌</v>
      </c>
      <c r="H91" s="254" t="str">
        <f>IFERROR(__xludf.DUMMYFUNCTION("GOOGLETRANSLATE(B91,""zh-tw"",""zh"")"),"幸运：777
增加掉落率
※此为作弊神器，请参考TIPS")</f>
        <v>幸运：777
增加掉落率
※此为作弊神器，请参考TIPS</v>
      </c>
      <c r="I91" s="492" t="str">
        <f>IFERROR(__xludf.DUMMYFUNCTION("GOOGLETRANSLATE(A91,""zh-tw"",""es-MX"")"),"El martillo de Ruika")</f>
        <v>El martillo de Ruika</v>
      </c>
      <c r="J91" s="254" t="str">
        <f>IFERROR(__xludf.DUMMYFUNCTION("GOOGLETRANSLATE(B91,""zh-tw"",""es-MX"")"),"Suerte: 777
Aumenta la probabilidad de obtención
※Esta es una herramienta de trucos; consulta los CONSEJOS.")</f>
        <v>Suerte: 777
Aumenta la probabilidad de obtención
※Esta es una herramienta de trucos; consulta los CONSEJOS.</v>
      </c>
      <c r="K91" s="492" t="str">
        <f>IFERROR(__xludf.DUMMYFUNCTION("GOOGLETRANSLATE(A91,""zh-tw"",""KO"")"),"루이카의 망치")</f>
        <v>루이카의 망치</v>
      </c>
      <c r="L91" s="254" t="str">
        <f>IFERROR(__xludf.DUMMYFUNCTION("GOOGLETRANSLATE(B91,""zh-tw"",""KO"")"),"행운: 777
드롭률 증가
※본 도구는 치트 도구이므로, 사용 시 주의사항을 참고하시기 바랍니다.")</f>
        <v>행운: 777
드롭률 증가
※본 도구는 치트 도구이므로, 사용 시 주의사항을 참고하시기 바랍니다.</v>
      </c>
      <c r="M91" s="492" t="s">
        <v>10579</v>
      </c>
      <c r="N91" s="194" t="s">
        <v>10580</v>
      </c>
      <c r="O91" s="492" t="s">
        <v>10581</v>
      </c>
      <c r="P91" s="254" t="s">
        <v>10582</v>
      </c>
      <c r="Q91" s="506" t="str">
        <f>IFERROR(__xludf.DUMMYFUNCTION("GOOGLETRANSLATE(A91,""zh-tw"",""de"")"),"Ruikas Hammer")</f>
        <v>Ruikas Hammer</v>
      </c>
      <c r="R91" s="504" t="str">
        <f>IFERROR(__xludf.DUMMYFUNCTION("GOOGLETRANSLATE(B91,""zh-tw"",""de"")"),"Glück: 777
Erhöht die Drop-Rate
※Dies ist ein Cheat-Tool. Bitte beachte die Tipps.")</f>
        <v>Glück: 777
Erhöht die Drop-Rate
※Dies ist ein Cheat-Tool. Bitte beachte die Tipps.</v>
      </c>
      <c r="S91" s="503" t="s">
        <v>10583</v>
      </c>
      <c r="T91" s="495" t="s">
        <v>10584</v>
      </c>
      <c r="U91" s="492" t="s">
        <v>10585</v>
      </c>
      <c r="V91" s="205" t="s">
        <v>10586</v>
      </c>
      <c r="W91" s="9"/>
      <c r="X91" s="9"/>
      <c r="Y91" s="9"/>
      <c r="Z91" s="9"/>
      <c r="AA91" s="9"/>
      <c r="AB91" s="9"/>
      <c r="AC91" s="9"/>
      <c r="AD91" s="9"/>
      <c r="AE91" s="9"/>
      <c r="AF91" s="9"/>
      <c r="AG91" s="9"/>
      <c r="AH91" s="9"/>
      <c r="AI91" s="9"/>
      <c r="AJ91" s="9"/>
      <c r="AK91" s="9"/>
      <c r="AL91" s="9"/>
      <c r="AM91" s="9"/>
      <c r="AN91" s="9"/>
      <c r="AO91" s="9"/>
      <c r="AP91" s="9"/>
      <c r="AQ91" s="9"/>
      <c r="AR91" s="9"/>
      <c r="AS91" s="9"/>
      <c r="AT91" s="9"/>
    </row>
    <row r="92">
      <c r="A92" s="488" t="s">
        <v>10587</v>
      </c>
      <c r="B92" s="205" t="s">
        <v>10588</v>
      </c>
      <c r="C92" s="488" t="s">
        <v>10589</v>
      </c>
      <c r="D92" s="205" t="s">
        <v>10590</v>
      </c>
      <c r="E92" s="488" t="s">
        <v>10591</v>
      </c>
      <c r="F92" s="205" t="s">
        <v>10592</v>
      </c>
      <c r="G92" s="492" t="str">
        <f>IFERROR(__xludf.DUMMYFUNCTION("GOOGLETRANSLATE(A92,""zh-tw"",""zh"")"),"白湮的金手指")</f>
        <v>白湮的金手指</v>
      </c>
      <c r="H92" s="254" t="str">
        <f>IFERROR(__xludf.DUMMYFUNCTION("GOOGLETRANSLATE(B92,""zh-tw"",""zh"")"),"武器无消耗
※此为作弊神器，请参考TIPS")</f>
        <v>武器无消耗
※此为作弊神器，请参考TIPS</v>
      </c>
      <c r="I92" s="492" t="str">
        <f>IFERROR(__xludf.DUMMYFUNCTION("GOOGLETRANSLATE(A92,""zh-tw"",""es-MX"")"),"El dedo dorado de Bai Yan")</f>
        <v>El dedo dorado de Bai Yan</v>
      </c>
      <c r="J92" s="254" t="str">
        <f>IFERROR(__xludf.DUMMYFUNCTION("GOOGLETRANSLATE(B92,""zh-tw"",""es-MX"")"),"El arma no tiene costo.
※Esta es una herramienta para hacer trampas; consulta los CONSEJOS.")</f>
        <v>El arma no tiene costo.
※Esta es una herramienta para hacer trampas; consulta los CONSEJOS.</v>
      </c>
      <c r="K92" s="492" t="str">
        <f>IFERROR(__xludf.DUMMYFUNCTION("GOOGLETRANSLATE(A92,""zh-tw"",""KO"")"),"바이옌의 황금손가락")</f>
        <v>바이옌의 황금손가락</v>
      </c>
      <c r="L92" s="254" t="str">
        <f>IFERROR(__xludf.DUMMYFUNCTION("GOOGLETRANSLATE(B92,""zh-tw"",""KO"")"),"무기는 비용이 들지 않습니다.
※이것은 치트 도구입니다. 팁을 참고하세요.")</f>
        <v>무기는 비용이 들지 않습니다.
※이것은 치트 도구입니다. 팁을 참고하세요.</v>
      </c>
      <c r="M92" s="492" t="s">
        <v>10593</v>
      </c>
      <c r="N92" s="194" t="s">
        <v>10594</v>
      </c>
      <c r="O92" s="492" t="s">
        <v>10595</v>
      </c>
      <c r="P92" s="254" t="s">
        <v>10596</v>
      </c>
      <c r="Q92" s="506" t="str">
        <f>IFERROR(__xludf.DUMMYFUNCTION("GOOGLETRANSLATE(A92,""zh-tw"",""de"")"),"Bai Yans goldener Finger")</f>
        <v>Bai Yans goldener Finger</v>
      </c>
      <c r="R92" s="504" t="str">
        <f>IFERROR(__xludf.DUMMYFUNCTION("GOOGLETRANSLATE(B92,""zh-tw"",""de"")"),"Die Waffe ist kostenlos.
※Dies ist ein Cheat-Tool; bitte beachte die Tipps.")</f>
        <v>Die Waffe ist kostenlos.
※Dies ist ein Cheat-Tool; bitte beachte die Tipps.</v>
      </c>
      <c r="S92" s="503" t="s">
        <v>10597</v>
      </c>
      <c r="T92" s="495" t="s">
        <v>10598</v>
      </c>
      <c r="U92" s="492" t="s">
        <v>10599</v>
      </c>
      <c r="V92" s="205" t="s">
        <v>10600</v>
      </c>
      <c r="W92" s="9"/>
      <c r="X92" s="9"/>
      <c r="Y92" s="9"/>
      <c r="Z92" s="9"/>
      <c r="AA92" s="9"/>
      <c r="AB92" s="9"/>
      <c r="AC92" s="9"/>
      <c r="AD92" s="9"/>
      <c r="AE92" s="9"/>
      <c r="AF92" s="9"/>
      <c r="AG92" s="9"/>
      <c r="AH92" s="9"/>
      <c r="AI92" s="9"/>
      <c r="AJ92" s="9"/>
      <c r="AK92" s="9"/>
      <c r="AL92" s="9"/>
      <c r="AM92" s="9"/>
      <c r="AN92" s="9"/>
      <c r="AO92" s="9"/>
      <c r="AP92" s="9"/>
      <c r="AQ92" s="9"/>
      <c r="AR92" s="9"/>
      <c r="AS92" s="9"/>
      <c r="AT92" s="9"/>
    </row>
    <row r="93">
      <c r="A93" s="488" t="s">
        <v>10601</v>
      </c>
      <c r="B93" s="205" t="s">
        <v>10602</v>
      </c>
      <c r="C93" s="492"/>
      <c r="D93" s="254"/>
      <c r="E93" s="488" t="s">
        <v>10603</v>
      </c>
      <c r="F93" s="205" t="s">
        <v>10604</v>
      </c>
      <c r="G93" s="492"/>
      <c r="H93" s="254"/>
      <c r="I93" s="492"/>
      <c r="J93" s="254"/>
      <c r="K93" s="492"/>
      <c r="L93" s="254"/>
      <c r="M93" s="492" t="s">
        <v>10605</v>
      </c>
      <c r="N93" s="254" t="s">
        <v>10606</v>
      </c>
      <c r="O93" s="492" t="s">
        <v>10607</v>
      </c>
      <c r="P93" s="254" t="s">
        <v>10608</v>
      </c>
      <c r="Q93" s="492"/>
      <c r="R93" s="254"/>
      <c r="S93" s="508" t="s">
        <v>10609</v>
      </c>
      <c r="T93" s="68" t="s">
        <v>10610</v>
      </c>
      <c r="U93" s="488" t="s">
        <v>10611</v>
      </c>
      <c r="V93" s="205" t="s">
        <v>10612</v>
      </c>
      <c r="W93" s="9"/>
      <c r="X93" s="9"/>
      <c r="Y93" s="9"/>
      <c r="Z93" s="9"/>
      <c r="AA93" s="9"/>
      <c r="AB93" s="9"/>
      <c r="AC93" s="9"/>
      <c r="AD93" s="9"/>
      <c r="AE93" s="9"/>
      <c r="AF93" s="9"/>
      <c r="AG93" s="9"/>
      <c r="AH93" s="9"/>
      <c r="AI93" s="9"/>
      <c r="AJ93" s="9"/>
      <c r="AK93" s="9"/>
      <c r="AL93" s="9"/>
      <c r="AM93" s="9"/>
      <c r="AN93" s="9"/>
      <c r="AO93" s="9"/>
      <c r="AP93" s="9"/>
      <c r="AQ93" s="9"/>
      <c r="AR93" s="9"/>
      <c r="AS93" s="9"/>
      <c r="AT93" s="9"/>
    </row>
    <row r="94">
      <c r="A94" s="492"/>
      <c r="B94" s="254"/>
      <c r="C94" s="492"/>
      <c r="D94" s="254"/>
      <c r="E94" s="492"/>
      <c r="F94" s="254"/>
      <c r="G94" s="492"/>
      <c r="H94" s="254"/>
      <c r="I94" s="492"/>
      <c r="J94" s="254"/>
      <c r="K94" s="492"/>
      <c r="L94" s="254"/>
      <c r="M94" s="492"/>
      <c r="N94" s="254"/>
      <c r="O94" s="492"/>
      <c r="P94" s="254"/>
      <c r="Q94" s="492"/>
      <c r="R94" s="254"/>
      <c r="S94" s="505"/>
      <c r="T94" s="491"/>
      <c r="U94" s="492"/>
      <c r="V94" s="254"/>
      <c r="W94" s="9"/>
      <c r="X94" s="9"/>
      <c r="Y94" s="9"/>
      <c r="Z94" s="9"/>
      <c r="AA94" s="9"/>
      <c r="AB94" s="9"/>
      <c r="AC94" s="9"/>
      <c r="AD94" s="9"/>
      <c r="AE94" s="9"/>
      <c r="AF94" s="9"/>
      <c r="AG94" s="9"/>
      <c r="AH94" s="9"/>
      <c r="AI94" s="9"/>
      <c r="AJ94" s="9"/>
      <c r="AK94" s="9"/>
      <c r="AL94" s="9"/>
      <c r="AM94" s="9"/>
      <c r="AN94" s="9"/>
      <c r="AO94" s="9"/>
      <c r="AP94" s="9"/>
      <c r="AQ94" s="9"/>
      <c r="AR94" s="9"/>
      <c r="AS94" s="9"/>
      <c r="AT94" s="9"/>
    </row>
    <row r="95">
      <c r="A95" s="492"/>
      <c r="B95" s="512"/>
      <c r="C95" s="492"/>
      <c r="D95" s="254"/>
      <c r="E95" s="492"/>
      <c r="F95" s="254"/>
      <c r="G95" s="492"/>
      <c r="H95" s="254"/>
      <c r="I95" s="492"/>
      <c r="J95" s="254"/>
      <c r="K95" s="492"/>
      <c r="L95" s="254"/>
      <c r="M95" s="492"/>
      <c r="N95" s="254"/>
      <c r="O95" s="492"/>
      <c r="P95" s="254"/>
      <c r="Q95" s="492"/>
      <c r="R95" s="254"/>
      <c r="S95" s="505"/>
      <c r="T95" s="491"/>
      <c r="U95" s="492"/>
      <c r="V95" s="254"/>
      <c r="W95" s="9"/>
      <c r="X95" s="9"/>
      <c r="Y95" s="9"/>
      <c r="Z95" s="9"/>
      <c r="AA95" s="9"/>
      <c r="AB95" s="9"/>
      <c r="AC95" s="9"/>
      <c r="AD95" s="9"/>
      <c r="AE95" s="9"/>
      <c r="AF95" s="9"/>
      <c r="AG95" s="9"/>
      <c r="AH95" s="9"/>
      <c r="AI95" s="9"/>
      <c r="AJ95" s="9"/>
      <c r="AK95" s="9"/>
      <c r="AL95" s="9"/>
      <c r="AM95" s="9"/>
      <c r="AN95" s="9"/>
      <c r="AO95" s="9"/>
      <c r="AP95" s="9"/>
      <c r="AQ95" s="9"/>
      <c r="AR95" s="9"/>
      <c r="AS95" s="9"/>
      <c r="AT95" s="9"/>
    </row>
    <row r="96">
      <c r="A96" s="492"/>
      <c r="B96" s="254"/>
      <c r="C96" s="492"/>
      <c r="D96" s="254"/>
      <c r="E96" s="492"/>
      <c r="F96" s="254"/>
      <c r="G96" s="492"/>
      <c r="H96" s="254"/>
      <c r="I96" s="492"/>
      <c r="J96" s="254"/>
      <c r="K96" s="492"/>
      <c r="L96" s="254"/>
      <c r="M96" s="492"/>
      <c r="N96" s="254"/>
      <c r="O96" s="492"/>
      <c r="P96" s="254"/>
      <c r="Q96" s="492"/>
      <c r="R96" s="254"/>
      <c r="S96" s="505"/>
      <c r="T96" s="491"/>
      <c r="U96" s="492"/>
      <c r="V96" s="254"/>
      <c r="W96" s="9"/>
      <c r="X96" s="9"/>
      <c r="Y96" s="9"/>
      <c r="Z96" s="9"/>
      <c r="AA96" s="9"/>
      <c r="AB96" s="9"/>
      <c r="AC96" s="9"/>
      <c r="AD96" s="9"/>
      <c r="AE96" s="9"/>
      <c r="AF96" s="9"/>
      <c r="AG96" s="9"/>
      <c r="AH96" s="9"/>
      <c r="AI96" s="9"/>
      <c r="AJ96" s="9"/>
      <c r="AK96" s="9"/>
      <c r="AL96" s="9"/>
      <c r="AM96" s="9"/>
      <c r="AN96" s="9"/>
      <c r="AO96" s="9"/>
      <c r="AP96" s="9"/>
      <c r="AQ96" s="9"/>
      <c r="AR96" s="9"/>
      <c r="AS96" s="9"/>
      <c r="AT96" s="9"/>
    </row>
    <row r="97">
      <c r="A97" s="492"/>
      <c r="B97" s="254"/>
      <c r="C97" s="492"/>
      <c r="D97" s="254"/>
      <c r="E97" s="492"/>
      <c r="F97" s="254"/>
      <c r="G97" s="492"/>
      <c r="H97" s="254"/>
      <c r="I97" s="492"/>
      <c r="J97" s="254"/>
      <c r="K97" s="492"/>
      <c r="L97" s="254"/>
      <c r="M97" s="492"/>
      <c r="N97" s="254"/>
      <c r="O97" s="492"/>
      <c r="P97" s="254"/>
      <c r="Q97" s="492"/>
      <c r="R97" s="254"/>
      <c r="S97" s="505"/>
      <c r="T97" s="491"/>
      <c r="U97" s="492"/>
      <c r="V97" s="254"/>
      <c r="W97" s="9"/>
      <c r="X97" s="9"/>
      <c r="Y97" s="9"/>
      <c r="Z97" s="9"/>
      <c r="AA97" s="9"/>
      <c r="AB97" s="9"/>
      <c r="AC97" s="9"/>
      <c r="AD97" s="9"/>
      <c r="AE97" s="9"/>
      <c r="AF97" s="9"/>
      <c r="AG97" s="9"/>
      <c r="AH97" s="9"/>
      <c r="AI97" s="9"/>
      <c r="AJ97" s="9"/>
      <c r="AK97" s="9"/>
      <c r="AL97" s="9"/>
      <c r="AM97" s="9"/>
      <c r="AN97" s="9"/>
      <c r="AO97" s="9"/>
      <c r="AP97" s="9"/>
      <c r="AQ97" s="9"/>
      <c r="AR97" s="9"/>
      <c r="AS97" s="9"/>
      <c r="AT97" s="9"/>
    </row>
    <row r="98">
      <c r="A98" s="492"/>
      <c r="B98" s="254"/>
      <c r="C98" s="492"/>
      <c r="D98" s="254"/>
      <c r="E98" s="492"/>
      <c r="F98" s="254"/>
      <c r="G98" s="492"/>
      <c r="H98" s="254"/>
      <c r="I98" s="492"/>
      <c r="J98" s="254"/>
      <c r="K98" s="492"/>
      <c r="L98" s="254"/>
      <c r="M98" s="492"/>
      <c r="N98" s="254"/>
      <c r="O98" s="492"/>
      <c r="P98" s="254"/>
      <c r="Q98" s="492"/>
      <c r="R98" s="254"/>
      <c r="S98" s="505"/>
      <c r="T98" s="491"/>
      <c r="U98" s="492"/>
      <c r="V98" s="254"/>
      <c r="W98" s="9"/>
      <c r="X98" s="9"/>
      <c r="Y98" s="9"/>
      <c r="Z98" s="9"/>
      <c r="AA98" s="9"/>
      <c r="AB98" s="9"/>
      <c r="AC98" s="9"/>
      <c r="AD98" s="9"/>
      <c r="AE98" s="9"/>
      <c r="AF98" s="9"/>
      <c r="AG98" s="9"/>
      <c r="AH98" s="9"/>
      <c r="AI98" s="9"/>
      <c r="AJ98" s="9"/>
      <c r="AK98" s="9"/>
      <c r="AL98" s="9"/>
      <c r="AM98" s="9"/>
      <c r="AN98" s="9"/>
      <c r="AO98" s="9"/>
      <c r="AP98" s="9"/>
      <c r="AQ98" s="9"/>
      <c r="AR98" s="9"/>
      <c r="AS98" s="9"/>
      <c r="AT98" s="9"/>
    </row>
    <row r="99">
      <c r="A99" s="492"/>
      <c r="B99" s="254"/>
      <c r="C99" s="492"/>
      <c r="D99" s="254"/>
      <c r="E99" s="492"/>
      <c r="F99" s="254"/>
      <c r="G99" s="492"/>
      <c r="H99" s="254"/>
      <c r="I99" s="492"/>
      <c r="J99" s="254"/>
      <c r="K99" s="492"/>
      <c r="L99" s="254"/>
      <c r="M99" s="492"/>
      <c r="N99" s="254"/>
      <c r="O99" s="492"/>
      <c r="P99" s="254"/>
      <c r="Q99" s="492"/>
      <c r="R99" s="254"/>
      <c r="S99" s="505"/>
      <c r="T99" s="491"/>
      <c r="U99" s="492"/>
      <c r="V99" s="254"/>
      <c r="W99" s="9"/>
      <c r="X99" s="9"/>
      <c r="Y99" s="9"/>
      <c r="Z99" s="9"/>
      <c r="AA99" s="9"/>
      <c r="AB99" s="9"/>
      <c r="AC99" s="9"/>
      <c r="AD99" s="9"/>
      <c r="AE99" s="9"/>
      <c r="AF99" s="9"/>
      <c r="AG99" s="9"/>
      <c r="AH99" s="9"/>
      <c r="AI99" s="9"/>
      <c r="AJ99" s="9"/>
      <c r="AK99" s="9"/>
      <c r="AL99" s="9"/>
      <c r="AM99" s="9"/>
      <c r="AN99" s="9"/>
      <c r="AO99" s="9"/>
      <c r="AP99" s="9"/>
      <c r="AQ99" s="9"/>
      <c r="AR99" s="9"/>
      <c r="AS99" s="9"/>
      <c r="AT99" s="9"/>
    </row>
    <row r="100">
      <c r="A100" s="492"/>
      <c r="B100" s="254"/>
      <c r="C100" s="492"/>
      <c r="D100" s="254"/>
      <c r="E100" s="492"/>
      <c r="F100" s="254"/>
      <c r="G100" s="492"/>
      <c r="H100" s="254"/>
      <c r="I100" s="492"/>
      <c r="J100" s="254"/>
      <c r="K100" s="492"/>
      <c r="L100" s="254"/>
      <c r="M100" s="492"/>
      <c r="N100" s="254"/>
      <c r="O100" s="492"/>
      <c r="P100" s="254"/>
      <c r="Q100" s="492"/>
      <c r="R100" s="254"/>
      <c r="S100" s="505"/>
      <c r="T100" s="491"/>
      <c r="U100" s="492"/>
      <c r="V100" s="254"/>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row>
    <row r="101">
      <c r="A101" s="492"/>
      <c r="B101" s="254"/>
      <c r="C101" s="492"/>
      <c r="D101" s="254"/>
      <c r="E101" s="492"/>
      <c r="F101" s="254"/>
      <c r="G101" s="492"/>
      <c r="H101" s="254"/>
      <c r="I101" s="492"/>
      <c r="J101" s="254"/>
      <c r="K101" s="492"/>
      <c r="L101" s="254"/>
      <c r="M101" s="492"/>
      <c r="N101" s="254"/>
      <c r="O101" s="492"/>
      <c r="P101" s="254"/>
      <c r="Q101" s="492"/>
      <c r="R101" s="254"/>
      <c r="S101" s="505"/>
      <c r="T101" s="491"/>
      <c r="U101" s="492"/>
      <c r="V101" s="254"/>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row>
    <row r="102">
      <c r="A102" s="492"/>
      <c r="B102" s="254"/>
      <c r="C102" s="492"/>
      <c r="D102" s="254"/>
      <c r="E102" s="492"/>
      <c r="F102" s="254"/>
      <c r="G102" s="492"/>
      <c r="H102" s="254"/>
      <c r="I102" s="492"/>
      <c r="J102" s="254"/>
      <c r="K102" s="492"/>
      <c r="L102" s="254"/>
      <c r="M102" s="492"/>
      <c r="N102" s="254"/>
      <c r="O102" s="492"/>
      <c r="P102" s="254"/>
      <c r="Q102" s="492"/>
      <c r="R102" s="254"/>
      <c r="S102" s="505"/>
      <c r="T102" s="491"/>
      <c r="U102" s="492"/>
      <c r="V102" s="254"/>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row>
    <row r="103">
      <c r="A103" s="492"/>
      <c r="B103" s="254"/>
      <c r="C103" s="492"/>
      <c r="D103" s="254"/>
      <c r="E103" s="492"/>
      <c r="F103" s="254"/>
      <c r="G103" s="492"/>
      <c r="H103" s="254"/>
      <c r="I103" s="492"/>
      <c r="J103" s="254"/>
      <c r="K103" s="492"/>
      <c r="L103" s="254"/>
      <c r="M103" s="492"/>
      <c r="N103" s="254"/>
      <c r="O103" s="492"/>
      <c r="P103" s="254"/>
      <c r="Q103" s="492"/>
      <c r="R103" s="254"/>
      <c r="S103" s="505"/>
      <c r="T103" s="491"/>
      <c r="U103" s="492"/>
      <c r="V103" s="254"/>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row>
    <row r="104">
      <c r="A104" s="492"/>
      <c r="B104" s="254"/>
      <c r="C104" s="492"/>
      <c r="D104" s="254"/>
      <c r="E104" s="492"/>
      <c r="F104" s="254"/>
      <c r="G104" s="492"/>
      <c r="H104" s="254"/>
      <c r="I104" s="492"/>
      <c r="J104" s="254"/>
      <c r="K104" s="492"/>
      <c r="L104" s="254"/>
      <c r="M104" s="492"/>
      <c r="N104" s="254"/>
      <c r="O104" s="492"/>
      <c r="P104" s="254"/>
      <c r="Q104" s="492"/>
      <c r="R104" s="254"/>
      <c r="S104" s="505"/>
      <c r="T104" s="491"/>
      <c r="U104" s="492"/>
      <c r="V104" s="254"/>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row>
    <row r="105">
      <c r="A105" s="492"/>
      <c r="B105" s="254"/>
      <c r="C105" s="492"/>
      <c r="D105" s="254"/>
      <c r="E105" s="492"/>
      <c r="F105" s="254"/>
      <c r="G105" s="492"/>
      <c r="H105" s="254"/>
      <c r="I105" s="492"/>
      <c r="J105" s="254"/>
      <c r="K105" s="492"/>
      <c r="L105" s="254"/>
      <c r="M105" s="492"/>
      <c r="N105" s="254"/>
      <c r="O105" s="492"/>
      <c r="P105" s="254"/>
      <c r="Q105" s="492"/>
      <c r="R105" s="254"/>
      <c r="S105" s="505"/>
      <c r="T105" s="491"/>
      <c r="U105" s="492"/>
      <c r="V105" s="254"/>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row>
    <row r="106">
      <c r="A106" s="492"/>
      <c r="B106" s="254"/>
      <c r="C106" s="492"/>
      <c r="D106" s="254"/>
      <c r="E106" s="492"/>
      <c r="F106" s="254"/>
      <c r="G106" s="492"/>
      <c r="H106" s="254"/>
      <c r="I106" s="492"/>
      <c r="J106" s="254"/>
      <c r="K106" s="492"/>
      <c r="L106" s="254"/>
      <c r="M106" s="492"/>
      <c r="N106" s="254"/>
      <c r="O106" s="492"/>
      <c r="P106" s="254"/>
      <c r="Q106" s="492"/>
      <c r="R106" s="254"/>
      <c r="S106" s="505"/>
      <c r="T106" s="491"/>
      <c r="U106" s="492"/>
      <c r="V106" s="254"/>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row>
    <row r="107">
      <c r="A107" s="492"/>
      <c r="B107" s="254"/>
      <c r="C107" s="492"/>
      <c r="D107" s="254"/>
      <c r="E107" s="492"/>
      <c r="F107" s="254"/>
      <c r="G107" s="492"/>
      <c r="H107" s="254"/>
      <c r="I107" s="492"/>
      <c r="J107" s="254"/>
      <c r="K107" s="492"/>
      <c r="L107" s="254"/>
      <c r="M107" s="492"/>
      <c r="N107" s="254"/>
      <c r="O107" s="492"/>
      <c r="P107" s="254"/>
      <c r="Q107" s="492"/>
      <c r="R107" s="254"/>
      <c r="S107" s="505"/>
      <c r="T107" s="491"/>
      <c r="U107" s="492"/>
      <c r="V107" s="254"/>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row>
    <row r="108">
      <c r="A108" s="492"/>
      <c r="B108" s="254"/>
      <c r="C108" s="492"/>
      <c r="D108" s="254"/>
      <c r="E108" s="492"/>
      <c r="F108" s="254"/>
      <c r="G108" s="492"/>
      <c r="H108" s="254"/>
      <c r="I108" s="492"/>
      <c r="J108" s="254"/>
      <c r="K108" s="492"/>
      <c r="L108" s="254"/>
      <c r="M108" s="492"/>
      <c r="N108" s="254"/>
      <c r="O108" s="492"/>
      <c r="P108" s="254"/>
      <c r="Q108" s="492"/>
      <c r="R108" s="254"/>
      <c r="S108" s="505"/>
      <c r="T108" s="491"/>
      <c r="U108" s="492"/>
      <c r="V108" s="254"/>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row>
    <row r="109">
      <c r="A109" s="492"/>
      <c r="B109" s="254"/>
      <c r="C109" s="492"/>
      <c r="D109" s="254"/>
      <c r="E109" s="492"/>
      <c r="F109" s="254"/>
      <c r="G109" s="492"/>
      <c r="H109" s="254"/>
      <c r="I109" s="492"/>
      <c r="J109" s="254"/>
      <c r="K109" s="492"/>
      <c r="L109" s="254"/>
      <c r="M109" s="492"/>
      <c r="N109" s="254"/>
      <c r="O109" s="492"/>
      <c r="P109" s="254"/>
      <c r="Q109" s="492"/>
      <c r="R109" s="254"/>
      <c r="S109" s="505"/>
      <c r="T109" s="491"/>
      <c r="U109" s="492"/>
      <c r="V109" s="254"/>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row>
    <row r="110">
      <c r="A110" s="492"/>
      <c r="B110" s="254"/>
      <c r="C110" s="492"/>
      <c r="D110" s="254"/>
      <c r="E110" s="492"/>
      <c r="F110" s="254"/>
      <c r="G110" s="492"/>
      <c r="H110" s="254"/>
      <c r="I110" s="492"/>
      <c r="J110" s="254"/>
      <c r="K110" s="492"/>
      <c r="L110" s="254"/>
      <c r="M110" s="492"/>
      <c r="N110" s="254"/>
      <c r="O110" s="492"/>
      <c r="P110" s="254"/>
      <c r="Q110" s="492"/>
      <c r="R110" s="254"/>
      <c r="S110" s="505"/>
      <c r="T110" s="491"/>
      <c r="U110" s="492"/>
      <c r="V110" s="254"/>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row>
    <row r="111">
      <c r="A111" s="492"/>
      <c r="B111" s="254"/>
      <c r="C111" s="492"/>
      <c r="D111" s="254"/>
      <c r="E111" s="492"/>
      <c r="F111" s="254"/>
      <c r="G111" s="492"/>
      <c r="H111" s="254"/>
      <c r="I111" s="492"/>
      <c r="J111" s="254"/>
      <c r="K111" s="492"/>
      <c r="L111" s="254"/>
      <c r="M111" s="492"/>
      <c r="N111" s="254"/>
      <c r="O111" s="492"/>
      <c r="P111" s="254"/>
      <c r="Q111" s="492"/>
      <c r="R111" s="254"/>
      <c r="S111" s="505"/>
      <c r="T111" s="491"/>
      <c r="U111" s="492"/>
      <c r="V111" s="254"/>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row>
    <row r="112">
      <c r="A112" s="492"/>
      <c r="B112" s="254"/>
      <c r="C112" s="492"/>
      <c r="D112" s="254"/>
      <c r="E112" s="492"/>
      <c r="F112" s="254"/>
      <c r="G112" s="492"/>
      <c r="H112" s="254"/>
      <c r="I112" s="492"/>
      <c r="J112" s="254"/>
      <c r="K112" s="492"/>
      <c r="L112" s="254"/>
      <c r="M112" s="492"/>
      <c r="N112" s="254"/>
      <c r="O112" s="492"/>
      <c r="P112" s="254"/>
      <c r="Q112" s="492"/>
      <c r="R112" s="254"/>
      <c r="S112" s="505"/>
      <c r="T112" s="491"/>
      <c r="U112" s="492"/>
      <c r="V112" s="254"/>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row>
    <row r="113">
      <c r="A113" s="492"/>
      <c r="B113" s="254"/>
      <c r="C113" s="492"/>
      <c r="D113" s="254"/>
      <c r="E113" s="492"/>
      <c r="F113" s="254"/>
      <c r="G113" s="492"/>
      <c r="H113" s="254"/>
      <c r="I113" s="492"/>
      <c r="J113" s="254"/>
      <c r="K113" s="492"/>
      <c r="L113" s="254"/>
      <c r="M113" s="492"/>
      <c r="N113" s="254"/>
      <c r="O113" s="492"/>
      <c r="P113" s="254"/>
      <c r="Q113" s="492"/>
      <c r="R113" s="254"/>
      <c r="S113" s="505"/>
      <c r="T113" s="491"/>
      <c r="U113" s="492"/>
      <c r="V113" s="254"/>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row>
    <row r="114">
      <c r="A114" s="492"/>
      <c r="B114" s="254"/>
      <c r="C114" s="492"/>
      <c r="D114" s="254"/>
      <c r="E114" s="492"/>
      <c r="F114" s="254"/>
      <c r="G114" s="492"/>
      <c r="H114" s="254"/>
      <c r="I114" s="492"/>
      <c r="J114" s="254"/>
      <c r="K114" s="492"/>
      <c r="L114" s="254"/>
      <c r="M114" s="492"/>
      <c r="N114" s="254"/>
      <c r="O114" s="492"/>
      <c r="P114" s="254"/>
      <c r="Q114" s="492"/>
      <c r="R114" s="254"/>
      <c r="S114" s="505"/>
      <c r="T114" s="491"/>
      <c r="U114" s="492"/>
      <c r="V114" s="254"/>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row>
    <row r="115">
      <c r="A115" s="492"/>
      <c r="B115" s="254"/>
      <c r="C115" s="492"/>
      <c r="D115" s="254"/>
      <c r="E115" s="492"/>
      <c r="F115" s="254"/>
      <c r="G115" s="492"/>
      <c r="H115" s="254"/>
      <c r="I115" s="492"/>
      <c r="J115" s="254"/>
      <c r="K115" s="492"/>
      <c r="L115" s="254"/>
      <c r="M115" s="492"/>
      <c r="N115" s="254"/>
      <c r="O115" s="492"/>
      <c r="P115" s="254"/>
      <c r="Q115" s="492"/>
      <c r="R115" s="254"/>
      <c r="S115" s="505"/>
      <c r="T115" s="491"/>
      <c r="U115" s="492"/>
      <c r="V115" s="254"/>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row>
    <row r="116">
      <c r="A116" s="492"/>
      <c r="B116" s="254"/>
      <c r="C116" s="492"/>
      <c r="D116" s="254"/>
      <c r="E116" s="492"/>
      <c r="F116" s="254"/>
      <c r="G116" s="492"/>
      <c r="H116" s="254"/>
      <c r="I116" s="492"/>
      <c r="J116" s="254"/>
      <c r="K116" s="492"/>
      <c r="L116" s="254"/>
      <c r="M116" s="492"/>
      <c r="N116" s="254"/>
      <c r="O116" s="492"/>
      <c r="P116" s="254"/>
      <c r="Q116" s="492"/>
      <c r="R116" s="254"/>
      <c r="S116" s="505"/>
      <c r="T116" s="491"/>
      <c r="U116" s="492"/>
      <c r="V116" s="254"/>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row>
    <row r="117">
      <c r="A117" s="492"/>
      <c r="B117" s="254"/>
      <c r="C117" s="492"/>
      <c r="D117" s="254"/>
      <c r="E117" s="492"/>
      <c r="F117" s="254"/>
      <c r="G117" s="492"/>
      <c r="H117" s="254"/>
      <c r="I117" s="492"/>
      <c r="J117" s="254"/>
      <c r="K117" s="492"/>
      <c r="L117" s="254"/>
      <c r="M117" s="492"/>
      <c r="N117" s="254"/>
      <c r="O117" s="492"/>
      <c r="P117" s="254"/>
      <c r="Q117" s="492"/>
      <c r="R117" s="254"/>
      <c r="S117" s="505"/>
      <c r="T117" s="491"/>
      <c r="U117" s="492"/>
      <c r="V117" s="254"/>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row>
    <row r="118">
      <c r="A118" s="492"/>
      <c r="B118" s="254"/>
      <c r="C118" s="492"/>
      <c r="D118" s="254"/>
      <c r="E118" s="492"/>
      <c r="F118" s="254"/>
      <c r="G118" s="492"/>
      <c r="H118" s="254"/>
      <c r="I118" s="492"/>
      <c r="J118" s="254"/>
      <c r="K118" s="492"/>
      <c r="L118" s="254"/>
      <c r="M118" s="492"/>
      <c r="N118" s="254"/>
      <c r="O118" s="492"/>
      <c r="P118" s="254"/>
      <c r="Q118" s="492"/>
      <c r="R118" s="254"/>
      <c r="S118" s="505"/>
      <c r="T118" s="491"/>
      <c r="U118" s="492"/>
      <c r="V118" s="254"/>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row>
    <row r="119">
      <c r="A119" s="492"/>
      <c r="B119" s="254"/>
      <c r="C119" s="492"/>
      <c r="D119" s="254"/>
      <c r="E119" s="492"/>
      <c r="F119" s="254"/>
      <c r="G119" s="492"/>
      <c r="H119" s="254"/>
      <c r="I119" s="492"/>
      <c r="J119" s="254"/>
      <c r="K119" s="492"/>
      <c r="L119" s="254"/>
      <c r="M119" s="492"/>
      <c r="N119" s="254"/>
      <c r="O119" s="492"/>
      <c r="P119" s="254"/>
      <c r="Q119" s="492"/>
      <c r="R119" s="254"/>
      <c r="S119" s="505"/>
      <c r="T119" s="491"/>
      <c r="U119" s="492"/>
      <c r="V119" s="254"/>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row>
    <row r="120">
      <c r="A120" s="492"/>
      <c r="B120" s="254"/>
      <c r="C120" s="492"/>
      <c r="D120" s="254"/>
      <c r="E120" s="492"/>
      <c r="F120" s="254"/>
      <c r="G120" s="492"/>
      <c r="H120" s="254"/>
      <c r="I120" s="492"/>
      <c r="J120" s="254"/>
      <c r="K120" s="492"/>
      <c r="L120" s="254"/>
      <c r="M120" s="492"/>
      <c r="N120" s="254"/>
      <c r="O120" s="492"/>
      <c r="P120" s="254"/>
      <c r="Q120" s="492"/>
      <c r="R120" s="254"/>
      <c r="S120" s="505"/>
      <c r="T120" s="491"/>
      <c r="U120" s="492"/>
      <c r="V120" s="254"/>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row>
    <row r="121">
      <c r="A121" s="492"/>
      <c r="B121" s="254"/>
      <c r="C121" s="492"/>
      <c r="D121" s="254"/>
      <c r="E121" s="492"/>
      <c r="F121" s="254"/>
      <c r="G121" s="492"/>
      <c r="H121" s="254"/>
      <c r="I121" s="492"/>
      <c r="J121" s="254"/>
      <c r="K121" s="492"/>
      <c r="L121" s="254"/>
      <c r="M121" s="492"/>
      <c r="N121" s="254"/>
      <c r="O121" s="492"/>
      <c r="P121" s="254"/>
      <c r="Q121" s="492"/>
      <c r="R121" s="254"/>
      <c r="S121" s="505"/>
      <c r="T121" s="491"/>
      <c r="U121" s="492"/>
      <c r="V121" s="254"/>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row>
    <row r="122">
      <c r="A122" s="492"/>
      <c r="B122" s="254"/>
      <c r="C122" s="492"/>
      <c r="D122" s="254"/>
      <c r="E122" s="492"/>
      <c r="F122" s="254"/>
      <c r="G122" s="492"/>
      <c r="H122" s="254"/>
      <c r="I122" s="492"/>
      <c r="J122" s="254"/>
      <c r="K122" s="492"/>
      <c r="L122" s="254"/>
      <c r="M122" s="492"/>
      <c r="N122" s="254"/>
      <c r="O122" s="492"/>
      <c r="P122" s="254"/>
      <c r="Q122" s="492"/>
      <c r="R122" s="254"/>
      <c r="S122" s="505"/>
      <c r="T122" s="491"/>
      <c r="U122" s="492"/>
      <c r="V122" s="254"/>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row>
    <row r="123">
      <c r="A123" s="492"/>
      <c r="B123" s="254"/>
      <c r="C123" s="492"/>
      <c r="D123" s="254"/>
      <c r="E123" s="492"/>
      <c r="F123" s="254"/>
      <c r="G123" s="492"/>
      <c r="H123" s="254"/>
      <c r="I123" s="492"/>
      <c r="J123" s="254"/>
      <c r="K123" s="492"/>
      <c r="L123" s="254"/>
      <c r="M123" s="492"/>
      <c r="N123" s="254"/>
      <c r="O123" s="492"/>
      <c r="P123" s="254"/>
      <c r="Q123" s="492"/>
      <c r="R123" s="254"/>
      <c r="S123" s="505"/>
      <c r="T123" s="491"/>
      <c r="U123" s="492"/>
      <c r="V123" s="254"/>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row>
    <row r="124">
      <c r="A124" s="492"/>
      <c r="B124" s="254"/>
      <c r="C124" s="492"/>
      <c r="D124" s="254"/>
      <c r="E124" s="492"/>
      <c r="F124" s="254"/>
      <c r="G124" s="492"/>
      <c r="H124" s="254"/>
      <c r="I124" s="492"/>
      <c r="J124" s="254"/>
      <c r="K124" s="492"/>
      <c r="L124" s="254"/>
      <c r="M124" s="492"/>
      <c r="N124" s="254"/>
      <c r="O124" s="492"/>
      <c r="P124" s="254"/>
      <c r="Q124" s="492"/>
      <c r="R124" s="254"/>
      <c r="S124" s="505"/>
      <c r="T124" s="491"/>
      <c r="U124" s="492"/>
      <c r="V124" s="254"/>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row>
    <row r="125">
      <c r="A125" s="492"/>
      <c r="B125" s="254"/>
      <c r="C125" s="492"/>
      <c r="D125" s="254"/>
      <c r="E125" s="492"/>
      <c r="F125" s="254"/>
      <c r="G125" s="492"/>
      <c r="H125" s="254"/>
      <c r="I125" s="492"/>
      <c r="J125" s="254"/>
      <c r="K125" s="492"/>
      <c r="L125" s="254"/>
      <c r="M125" s="492"/>
      <c r="N125" s="254"/>
      <c r="O125" s="492"/>
      <c r="P125" s="254"/>
      <c r="Q125" s="492"/>
      <c r="R125" s="254"/>
      <c r="S125" s="505"/>
      <c r="T125" s="491"/>
      <c r="U125" s="492"/>
      <c r="V125" s="254"/>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row>
    <row r="126">
      <c r="A126" s="492"/>
      <c r="B126" s="254"/>
      <c r="C126" s="492"/>
      <c r="D126" s="254"/>
      <c r="E126" s="492"/>
      <c r="F126" s="254"/>
      <c r="G126" s="492"/>
      <c r="H126" s="254"/>
      <c r="I126" s="492"/>
      <c r="J126" s="254"/>
      <c r="K126" s="492"/>
      <c r="L126" s="254"/>
      <c r="M126" s="492"/>
      <c r="N126" s="254"/>
      <c r="O126" s="492"/>
      <c r="P126" s="254"/>
      <c r="Q126" s="492"/>
      <c r="R126" s="254"/>
      <c r="S126" s="505"/>
      <c r="T126" s="491"/>
      <c r="U126" s="492"/>
      <c r="V126" s="254"/>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row>
    <row r="127">
      <c r="A127" s="492"/>
      <c r="B127" s="254"/>
      <c r="C127" s="492"/>
      <c r="D127" s="254"/>
      <c r="E127" s="492"/>
      <c r="F127" s="254"/>
      <c r="G127" s="492"/>
      <c r="H127" s="254"/>
      <c r="I127" s="492"/>
      <c r="J127" s="254"/>
      <c r="K127" s="492"/>
      <c r="L127" s="254"/>
      <c r="M127" s="492"/>
      <c r="N127" s="254"/>
      <c r="O127" s="492"/>
      <c r="P127" s="254"/>
      <c r="Q127" s="492"/>
      <c r="R127" s="254"/>
      <c r="S127" s="505"/>
      <c r="T127" s="491"/>
      <c r="U127" s="492"/>
      <c r="V127" s="254"/>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row>
    <row r="128">
      <c r="A128" s="492"/>
      <c r="B128" s="254"/>
      <c r="C128" s="492"/>
      <c r="D128" s="254"/>
      <c r="E128" s="492"/>
      <c r="F128" s="254"/>
      <c r="G128" s="492"/>
      <c r="H128" s="254"/>
      <c r="I128" s="492"/>
      <c r="J128" s="254"/>
      <c r="K128" s="492"/>
      <c r="L128" s="254"/>
      <c r="M128" s="492"/>
      <c r="N128" s="254"/>
      <c r="O128" s="492"/>
      <c r="P128" s="254"/>
      <c r="Q128" s="492"/>
      <c r="R128" s="254"/>
      <c r="S128" s="505"/>
      <c r="T128" s="491"/>
      <c r="U128" s="492"/>
      <c r="V128" s="254"/>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row>
    <row r="129">
      <c r="A129" s="492"/>
      <c r="B129" s="254"/>
      <c r="C129" s="492"/>
      <c r="D129" s="254"/>
      <c r="E129" s="492"/>
      <c r="F129" s="254"/>
      <c r="G129" s="492"/>
      <c r="H129" s="254"/>
      <c r="I129" s="492"/>
      <c r="J129" s="254"/>
      <c r="K129" s="492"/>
      <c r="L129" s="254"/>
      <c r="M129" s="492"/>
      <c r="N129" s="254"/>
      <c r="O129" s="492"/>
      <c r="P129" s="254"/>
      <c r="Q129" s="492"/>
      <c r="R129" s="254"/>
      <c r="S129" s="505"/>
      <c r="T129" s="491"/>
      <c r="U129" s="492"/>
      <c r="V129" s="254"/>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row>
    <row r="130">
      <c r="A130" s="492"/>
      <c r="B130" s="254"/>
      <c r="C130" s="492"/>
      <c r="D130" s="254"/>
      <c r="E130" s="492"/>
      <c r="F130" s="254"/>
      <c r="G130" s="492"/>
      <c r="H130" s="254"/>
      <c r="I130" s="492"/>
      <c r="J130" s="254"/>
      <c r="K130" s="492"/>
      <c r="L130" s="254"/>
      <c r="M130" s="492"/>
      <c r="N130" s="254"/>
      <c r="O130" s="492"/>
      <c r="P130" s="254"/>
      <c r="Q130" s="492"/>
      <c r="R130" s="254"/>
      <c r="S130" s="505"/>
      <c r="T130" s="491"/>
      <c r="U130" s="492"/>
      <c r="V130" s="254"/>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row>
    <row r="131">
      <c r="A131" s="492"/>
      <c r="B131" s="254"/>
      <c r="C131" s="492"/>
      <c r="D131" s="254"/>
      <c r="E131" s="492"/>
      <c r="F131" s="254"/>
      <c r="G131" s="492"/>
      <c r="H131" s="254"/>
      <c r="I131" s="492"/>
      <c r="J131" s="254"/>
      <c r="K131" s="492"/>
      <c r="L131" s="254"/>
      <c r="M131" s="492"/>
      <c r="N131" s="254"/>
      <c r="O131" s="492"/>
      <c r="P131" s="254"/>
      <c r="Q131" s="492"/>
      <c r="R131" s="254"/>
      <c r="S131" s="505"/>
      <c r="T131" s="491"/>
      <c r="U131" s="492"/>
      <c r="V131" s="254"/>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row>
    <row r="132">
      <c r="A132" s="492"/>
      <c r="B132" s="254"/>
      <c r="C132" s="492"/>
      <c r="D132" s="254"/>
      <c r="E132" s="492"/>
      <c r="F132" s="254"/>
      <c r="G132" s="492"/>
      <c r="H132" s="254"/>
      <c r="I132" s="492"/>
      <c r="J132" s="254"/>
      <c r="K132" s="492"/>
      <c r="L132" s="254"/>
      <c r="M132" s="492"/>
      <c r="N132" s="254"/>
      <c r="O132" s="492"/>
      <c r="P132" s="254"/>
      <c r="Q132" s="492"/>
      <c r="R132" s="254"/>
      <c r="S132" s="505"/>
      <c r="T132" s="491"/>
      <c r="U132" s="492"/>
      <c r="V132" s="254"/>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row>
    <row r="133">
      <c r="A133" s="492"/>
      <c r="B133" s="254"/>
      <c r="C133" s="492"/>
      <c r="D133" s="254"/>
      <c r="E133" s="492"/>
      <c r="F133" s="254"/>
      <c r="G133" s="492"/>
      <c r="H133" s="254"/>
      <c r="I133" s="492"/>
      <c r="J133" s="254"/>
      <c r="K133" s="492"/>
      <c r="L133" s="254"/>
      <c r="M133" s="492"/>
      <c r="N133" s="254"/>
      <c r="O133" s="492"/>
      <c r="P133" s="254"/>
      <c r="Q133" s="492"/>
      <c r="R133" s="254"/>
      <c r="S133" s="505"/>
      <c r="T133" s="491"/>
      <c r="U133" s="492"/>
      <c r="V133" s="254"/>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row>
    <row r="134">
      <c r="A134" s="492"/>
      <c r="B134" s="254"/>
      <c r="C134" s="492"/>
      <c r="D134" s="254"/>
      <c r="E134" s="492"/>
      <c r="F134" s="254"/>
      <c r="G134" s="492"/>
      <c r="H134" s="254"/>
      <c r="I134" s="492"/>
      <c r="J134" s="254"/>
      <c r="K134" s="492"/>
      <c r="L134" s="254"/>
      <c r="M134" s="492"/>
      <c r="N134" s="254"/>
      <c r="O134" s="492"/>
      <c r="P134" s="254"/>
      <c r="Q134" s="492"/>
      <c r="R134" s="254"/>
      <c r="S134" s="513"/>
      <c r="T134" s="46"/>
      <c r="U134" s="492"/>
      <c r="V134" s="254"/>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row>
    <row r="135">
      <c r="A135" s="492"/>
      <c r="B135" s="254"/>
      <c r="C135" s="492"/>
      <c r="D135" s="254"/>
      <c r="E135" s="492"/>
      <c r="F135" s="254"/>
      <c r="G135" s="492"/>
      <c r="H135" s="254"/>
      <c r="I135" s="492"/>
      <c r="J135" s="254"/>
      <c r="K135" s="492"/>
      <c r="L135" s="254"/>
      <c r="M135" s="492"/>
      <c r="N135" s="254"/>
      <c r="O135" s="492"/>
      <c r="P135" s="254"/>
      <c r="Q135" s="492"/>
      <c r="R135" s="254"/>
      <c r="S135" s="513"/>
      <c r="T135" s="46"/>
      <c r="U135" s="492"/>
      <c r="V135" s="254"/>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row>
    <row r="136">
      <c r="A136" s="492"/>
      <c r="B136" s="254"/>
      <c r="C136" s="492"/>
      <c r="D136" s="254"/>
      <c r="E136" s="492"/>
      <c r="F136" s="254"/>
      <c r="G136" s="492"/>
      <c r="H136" s="254"/>
      <c r="I136" s="492"/>
      <c r="J136" s="254"/>
      <c r="K136" s="492"/>
      <c r="L136" s="254"/>
      <c r="M136" s="492"/>
      <c r="N136" s="254"/>
      <c r="O136" s="492"/>
      <c r="P136" s="254"/>
      <c r="Q136" s="492"/>
      <c r="R136" s="254"/>
      <c r="S136" s="513"/>
      <c r="T136" s="46"/>
      <c r="U136" s="492"/>
      <c r="V136" s="254"/>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row>
    <row r="137">
      <c r="A137" s="492"/>
      <c r="B137" s="254"/>
      <c r="C137" s="492"/>
      <c r="D137" s="254"/>
      <c r="E137" s="492"/>
      <c r="F137" s="254"/>
      <c r="G137" s="492"/>
      <c r="H137" s="254"/>
      <c r="I137" s="492"/>
      <c r="J137" s="254"/>
      <c r="K137" s="492"/>
      <c r="L137" s="254"/>
      <c r="M137" s="492"/>
      <c r="N137" s="254"/>
      <c r="O137" s="492"/>
      <c r="P137" s="254"/>
      <c r="Q137" s="492"/>
      <c r="R137" s="254"/>
      <c r="S137" s="513"/>
      <c r="T137" s="46"/>
      <c r="U137" s="492"/>
      <c r="V137" s="254"/>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row>
    <row r="138">
      <c r="A138" s="492"/>
      <c r="B138" s="254"/>
      <c r="C138" s="492"/>
      <c r="D138" s="254"/>
      <c r="E138" s="492"/>
      <c r="F138" s="254"/>
      <c r="G138" s="492"/>
      <c r="H138" s="254"/>
      <c r="I138" s="492"/>
      <c r="J138" s="254"/>
      <c r="K138" s="492"/>
      <c r="L138" s="254"/>
      <c r="M138" s="492"/>
      <c r="N138" s="254"/>
      <c r="O138" s="492"/>
      <c r="P138" s="254"/>
      <c r="Q138" s="492"/>
      <c r="R138" s="254"/>
      <c r="S138" s="513"/>
      <c r="T138" s="46"/>
      <c r="U138" s="492"/>
      <c r="V138" s="254"/>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row>
    <row r="139">
      <c r="A139" s="492"/>
      <c r="B139" s="254"/>
      <c r="C139" s="492"/>
      <c r="D139" s="254"/>
      <c r="E139" s="492"/>
      <c r="F139" s="254"/>
      <c r="G139" s="492"/>
      <c r="H139" s="254"/>
      <c r="I139" s="492"/>
      <c r="J139" s="254"/>
      <c r="K139" s="492"/>
      <c r="L139" s="254"/>
      <c r="M139" s="492"/>
      <c r="N139" s="254"/>
      <c r="O139" s="492"/>
      <c r="P139" s="254"/>
      <c r="Q139" s="492"/>
      <c r="R139" s="254"/>
      <c r="S139" s="513"/>
      <c r="T139" s="46"/>
      <c r="U139" s="492"/>
      <c r="V139" s="254"/>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row>
    <row r="140">
      <c r="A140" s="492"/>
      <c r="B140" s="254"/>
      <c r="C140" s="492"/>
      <c r="D140" s="254"/>
      <c r="E140" s="492"/>
      <c r="F140" s="254"/>
      <c r="G140" s="492"/>
      <c r="H140" s="254"/>
      <c r="I140" s="492"/>
      <c r="J140" s="254"/>
      <c r="K140" s="492"/>
      <c r="L140" s="254"/>
      <c r="M140" s="492"/>
      <c r="N140" s="254"/>
      <c r="O140" s="492"/>
      <c r="P140" s="254"/>
      <c r="Q140" s="492"/>
      <c r="R140" s="254"/>
      <c r="S140" s="513"/>
      <c r="T140" s="46"/>
      <c r="U140" s="492"/>
      <c r="V140" s="254"/>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row>
    <row r="141">
      <c r="A141" s="492"/>
      <c r="B141" s="254"/>
      <c r="C141" s="492"/>
      <c r="D141" s="254"/>
      <c r="E141" s="492"/>
      <c r="F141" s="254"/>
      <c r="G141" s="492"/>
      <c r="H141" s="254"/>
      <c r="I141" s="492"/>
      <c r="J141" s="254"/>
      <c r="K141" s="492"/>
      <c r="L141" s="254"/>
      <c r="M141" s="492"/>
      <c r="N141" s="254"/>
      <c r="O141" s="492"/>
      <c r="P141" s="254"/>
      <c r="Q141" s="492"/>
      <c r="R141" s="254"/>
      <c r="S141" s="513"/>
      <c r="T141" s="46"/>
      <c r="U141" s="492"/>
      <c r="V141" s="254"/>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row>
    <row r="142">
      <c r="A142" s="492"/>
      <c r="B142" s="254"/>
      <c r="C142" s="492"/>
      <c r="D142" s="254"/>
      <c r="E142" s="492"/>
      <c r="F142" s="254"/>
      <c r="G142" s="492"/>
      <c r="H142" s="254"/>
      <c r="I142" s="492"/>
      <c r="J142" s="254"/>
      <c r="K142" s="492"/>
      <c r="L142" s="254"/>
      <c r="M142" s="492"/>
      <c r="N142" s="254"/>
      <c r="O142" s="492"/>
      <c r="P142" s="254"/>
      <c r="Q142" s="492"/>
      <c r="R142" s="254"/>
      <c r="S142" s="513"/>
      <c r="T142" s="46"/>
      <c r="U142" s="492"/>
      <c r="V142" s="254"/>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row>
    <row r="143">
      <c r="A143" s="492"/>
      <c r="B143" s="254"/>
      <c r="C143" s="492"/>
      <c r="D143" s="254"/>
      <c r="E143" s="492"/>
      <c r="F143" s="254"/>
      <c r="G143" s="492"/>
      <c r="H143" s="254"/>
      <c r="I143" s="492"/>
      <c r="J143" s="254"/>
      <c r="K143" s="492"/>
      <c r="L143" s="254"/>
      <c r="M143" s="492"/>
      <c r="N143" s="254"/>
      <c r="O143" s="492"/>
      <c r="P143" s="254"/>
      <c r="Q143" s="492"/>
      <c r="R143" s="254"/>
      <c r="S143" s="513"/>
      <c r="T143" s="46"/>
      <c r="U143" s="492"/>
      <c r="V143" s="254"/>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row>
    <row r="144">
      <c r="A144" s="492"/>
      <c r="B144" s="254"/>
      <c r="C144" s="492"/>
      <c r="D144" s="254"/>
      <c r="E144" s="492"/>
      <c r="F144" s="254"/>
      <c r="G144" s="492"/>
      <c r="H144" s="254"/>
      <c r="I144" s="492"/>
      <c r="J144" s="254"/>
      <c r="K144" s="492"/>
      <c r="L144" s="254"/>
      <c r="M144" s="492"/>
      <c r="N144" s="254"/>
      <c r="O144" s="492"/>
      <c r="P144" s="254"/>
      <c r="Q144" s="492"/>
      <c r="R144" s="254"/>
      <c r="S144" s="513"/>
      <c r="T144" s="46"/>
      <c r="U144" s="492"/>
      <c r="V144" s="254"/>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row>
    <row r="145">
      <c r="A145" s="492"/>
      <c r="B145" s="254"/>
      <c r="C145" s="492"/>
      <c r="D145" s="254"/>
      <c r="E145" s="492"/>
      <c r="F145" s="254"/>
      <c r="G145" s="492"/>
      <c r="H145" s="254"/>
      <c r="I145" s="492"/>
      <c r="J145" s="254"/>
      <c r="K145" s="492"/>
      <c r="L145" s="254"/>
      <c r="M145" s="492"/>
      <c r="N145" s="254"/>
      <c r="O145" s="492"/>
      <c r="P145" s="254"/>
      <c r="Q145" s="492"/>
      <c r="R145" s="254"/>
      <c r="S145" s="513"/>
      <c r="T145" s="46"/>
      <c r="U145" s="492"/>
      <c r="V145" s="254"/>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row>
    <row r="146">
      <c r="A146" s="492"/>
      <c r="B146" s="254"/>
      <c r="C146" s="492"/>
      <c r="D146" s="254"/>
      <c r="E146" s="492"/>
      <c r="F146" s="254"/>
      <c r="G146" s="492"/>
      <c r="H146" s="254"/>
      <c r="I146" s="492"/>
      <c r="J146" s="254"/>
      <c r="K146" s="492"/>
      <c r="L146" s="254"/>
      <c r="M146" s="492"/>
      <c r="N146" s="254"/>
      <c r="O146" s="492"/>
      <c r="P146" s="254"/>
      <c r="Q146" s="492"/>
      <c r="R146" s="254"/>
      <c r="S146" s="513"/>
      <c r="T146" s="46"/>
      <c r="U146" s="492"/>
      <c r="V146" s="254"/>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row>
    <row r="147">
      <c r="A147" s="492"/>
      <c r="B147" s="254"/>
      <c r="C147" s="492"/>
      <c r="D147" s="254"/>
      <c r="E147" s="492"/>
      <c r="F147" s="254"/>
      <c r="G147" s="492"/>
      <c r="H147" s="254"/>
      <c r="I147" s="492"/>
      <c r="J147" s="254"/>
      <c r="K147" s="492"/>
      <c r="L147" s="254"/>
      <c r="M147" s="492"/>
      <c r="N147" s="254"/>
      <c r="O147" s="492"/>
      <c r="P147" s="254"/>
      <c r="Q147" s="492"/>
      <c r="R147" s="254"/>
      <c r="S147" s="513"/>
      <c r="T147" s="46"/>
      <c r="U147" s="492"/>
      <c r="V147" s="254"/>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row>
    <row r="148">
      <c r="A148" s="492"/>
      <c r="B148" s="254"/>
      <c r="C148" s="492"/>
      <c r="D148" s="254"/>
      <c r="E148" s="492"/>
      <c r="F148" s="254"/>
      <c r="G148" s="492"/>
      <c r="H148" s="254"/>
      <c r="I148" s="492"/>
      <c r="J148" s="254"/>
      <c r="K148" s="492"/>
      <c r="L148" s="254"/>
      <c r="M148" s="492"/>
      <c r="N148" s="254"/>
      <c r="O148" s="492"/>
      <c r="P148" s="254"/>
      <c r="Q148" s="492"/>
      <c r="R148" s="254"/>
      <c r="S148" s="513"/>
      <c r="T148" s="46"/>
      <c r="U148" s="492"/>
      <c r="V148" s="254"/>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row>
    <row r="149">
      <c r="A149" s="492"/>
      <c r="B149" s="254"/>
      <c r="C149" s="492"/>
      <c r="D149" s="254"/>
      <c r="E149" s="492"/>
      <c r="F149" s="254"/>
      <c r="G149" s="492"/>
      <c r="H149" s="254"/>
      <c r="I149" s="492"/>
      <c r="J149" s="254"/>
      <c r="K149" s="492"/>
      <c r="L149" s="254"/>
      <c r="M149" s="492"/>
      <c r="N149" s="254"/>
      <c r="O149" s="492"/>
      <c r="P149" s="254"/>
      <c r="Q149" s="492"/>
      <c r="R149" s="254"/>
      <c r="S149" s="513"/>
      <c r="T149" s="46"/>
      <c r="U149" s="492"/>
      <c r="V149" s="254"/>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row>
    <row r="150">
      <c r="A150" s="492"/>
      <c r="B150" s="254"/>
      <c r="C150" s="492"/>
      <c r="D150" s="254"/>
      <c r="E150" s="492"/>
      <c r="F150" s="254"/>
      <c r="G150" s="492"/>
      <c r="H150" s="254"/>
      <c r="I150" s="492"/>
      <c r="J150" s="254"/>
      <c r="K150" s="492"/>
      <c r="L150" s="254"/>
      <c r="M150" s="492"/>
      <c r="N150" s="254"/>
      <c r="O150" s="492"/>
      <c r="P150" s="254"/>
      <c r="Q150" s="492"/>
      <c r="R150" s="254"/>
      <c r="S150" s="513"/>
      <c r="T150" s="46"/>
      <c r="U150" s="492"/>
      <c r="V150" s="254"/>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row>
    <row r="151">
      <c r="A151" s="492"/>
      <c r="B151" s="254"/>
      <c r="C151" s="492"/>
      <c r="D151" s="254"/>
      <c r="E151" s="492"/>
      <c r="F151" s="254"/>
      <c r="G151" s="492"/>
      <c r="H151" s="254"/>
      <c r="I151" s="492"/>
      <c r="J151" s="254"/>
      <c r="K151" s="492"/>
      <c r="L151" s="254"/>
      <c r="M151" s="492"/>
      <c r="N151" s="254"/>
      <c r="O151" s="492"/>
      <c r="P151" s="254"/>
      <c r="Q151" s="492"/>
      <c r="R151" s="254"/>
      <c r="S151" s="513"/>
      <c r="T151" s="46"/>
      <c r="U151" s="492"/>
      <c r="V151" s="254"/>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row>
    <row r="152">
      <c r="A152" s="492"/>
      <c r="B152" s="254"/>
      <c r="C152" s="492"/>
      <c r="D152" s="254"/>
      <c r="E152" s="492"/>
      <c r="F152" s="254"/>
      <c r="G152" s="492"/>
      <c r="H152" s="254"/>
      <c r="I152" s="492"/>
      <c r="J152" s="254"/>
      <c r="K152" s="492"/>
      <c r="L152" s="254"/>
      <c r="M152" s="492"/>
      <c r="N152" s="254"/>
      <c r="O152" s="492"/>
      <c r="P152" s="254"/>
      <c r="Q152" s="492"/>
      <c r="R152" s="254"/>
      <c r="S152" s="513"/>
      <c r="T152" s="46"/>
      <c r="U152" s="492"/>
      <c r="V152" s="254"/>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row>
    <row r="153">
      <c r="A153" s="492"/>
      <c r="B153" s="254"/>
      <c r="C153" s="492"/>
      <c r="D153" s="254"/>
      <c r="E153" s="492"/>
      <c r="F153" s="254"/>
      <c r="G153" s="492"/>
      <c r="H153" s="254"/>
      <c r="I153" s="492"/>
      <c r="J153" s="254"/>
      <c r="K153" s="492"/>
      <c r="L153" s="254"/>
      <c r="M153" s="492"/>
      <c r="N153" s="254"/>
      <c r="O153" s="492"/>
      <c r="P153" s="254"/>
      <c r="Q153" s="492"/>
      <c r="R153" s="254"/>
      <c r="S153" s="513"/>
      <c r="T153" s="46"/>
      <c r="U153" s="492"/>
      <c r="V153" s="254"/>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row>
    <row r="154">
      <c r="A154" s="492"/>
      <c r="B154" s="254"/>
      <c r="C154" s="492"/>
      <c r="D154" s="254"/>
      <c r="E154" s="492"/>
      <c r="F154" s="254"/>
      <c r="G154" s="492"/>
      <c r="H154" s="254"/>
      <c r="I154" s="492"/>
      <c r="J154" s="254"/>
      <c r="K154" s="492"/>
      <c r="L154" s="254"/>
      <c r="M154" s="492"/>
      <c r="N154" s="254"/>
      <c r="O154" s="492"/>
      <c r="P154" s="254"/>
      <c r="Q154" s="492"/>
      <c r="R154" s="254"/>
      <c r="S154" s="513"/>
      <c r="T154" s="46"/>
      <c r="U154" s="492"/>
      <c r="V154" s="254"/>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row>
    <row r="155">
      <c r="A155" s="492"/>
      <c r="B155" s="254"/>
      <c r="C155" s="492"/>
      <c r="D155" s="254"/>
      <c r="E155" s="492"/>
      <c r="F155" s="254"/>
      <c r="G155" s="492"/>
      <c r="H155" s="254"/>
      <c r="I155" s="492"/>
      <c r="J155" s="254"/>
      <c r="K155" s="492"/>
      <c r="L155" s="254"/>
      <c r="M155" s="492"/>
      <c r="N155" s="254"/>
      <c r="O155" s="492"/>
      <c r="P155" s="254"/>
      <c r="Q155" s="492"/>
      <c r="R155" s="254"/>
      <c r="S155" s="513"/>
      <c r="T155" s="46"/>
      <c r="U155" s="492"/>
      <c r="V155" s="254"/>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row>
    <row r="156">
      <c r="A156" s="492"/>
      <c r="B156" s="254"/>
      <c r="C156" s="492"/>
      <c r="D156" s="254"/>
      <c r="E156" s="492"/>
      <c r="F156" s="254"/>
      <c r="G156" s="492"/>
      <c r="H156" s="254"/>
      <c r="I156" s="492"/>
      <c r="J156" s="254"/>
      <c r="K156" s="492"/>
      <c r="L156" s="254"/>
      <c r="M156" s="492"/>
      <c r="N156" s="254"/>
      <c r="O156" s="492"/>
      <c r="P156" s="254"/>
      <c r="Q156" s="492"/>
      <c r="R156" s="254"/>
      <c r="S156" s="513"/>
      <c r="T156" s="46"/>
      <c r="U156" s="492"/>
      <c r="V156" s="254"/>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row>
    <row r="157">
      <c r="A157" s="492"/>
      <c r="B157" s="254"/>
      <c r="C157" s="492"/>
      <c r="D157" s="254"/>
      <c r="E157" s="492"/>
      <c r="F157" s="254"/>
      <c r="G157" s="492"/>
      <c r="H157" s="254"/>
      <c r="I157" s="492"/>
      <c r="J157" s="254"/>
      <c r="K157" s="492"/>
      <c r="L157" s="254"/>
      <c r="M157" s="492"/>
      <c r="N157" s="254"/>
      <c r="O157" s="492"/>
      <c r="P157" s="254"/>
      <c r="Q157" s="492"/>
      <c r="R157" s="254"/>
      <c r="S157" s="513"/>
      <c r="T157" s="46"/>
      <c r="U157" s="492"/>
      <c r="V157" s="254"/>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row>
    <row r="158">
      <c r="A158" s="492"/>
      <c r="B158" s="254"/>
      <c r="C158" s="492"/>
      <c r="D158" s="254"/>
      <c r="E158" s="492"/>
      <c r="F158" s="254"/>
      <c r="G158" s="492"/>
      <c r="H158" s="254"/>
      <c r="I158" s="492"/>
      <c r="J158" s="254"/>
      <c r="K158" s="492"/>
      <c r="L158" s="254"/>
      <c r="M158" s="492"/>
      <c r="N158" s="254"/>
      <c r="O158" s="492"/>
      <c r="P158" s="254"/>
      <c r="Q158" s="492"/>
      <c r="R158" s="254"/>
      <c r="S158" s="513"/>
      <c r="T158" s="46"/>
      <c r="U158" s="492"/>
      <c r="V158" s="254"/>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row>
    <row r="159">
      <c r="A159" s="492"/>
      <c r="B159" s="254"/>
      <c r="C159" s="492"/>
      <c r="D159" s="254"/>
      <c r="E159" s="492"/>
      <c r="F159" s="254"/>
      <c r="G159" s="492"/>
      <c r="H159" s="254"/>
      <c r="I159" s="492"/>
      <c r="J159" s="254"/>
      <c r="K159" s="492"/>
      <c r="L159" s="254"/>
      <c r="M159" s="492"/>
      <c r="N159" s="254"/>
      <c r="O159" s="492"/>
      <c r="P159" s="254"/>
      <c r="Q159" s="492"/>
      <c r="R159" s="254"/>
      <c r="S159" s="513"/>
      <c r="T159" s="46"/>
      <c r="U159" s="492"/>
      <c r="V159" s="254"/>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row>
    <row r="160">
      <c r="A160" s="492"/>
      <c r="B160" s="254"/>
      <c r="C160" s="492"/>
      <c r="D160" s="254"/>
      <c r="E160" s="492"/>
      <c r="F160" s="254"/>
      <c r="G160" s="492"/>
      <c r="H160" s="254"/>
      <c r="I160" s="492"/>
      <c r="J160" s="254"/>
      <c r="K160" s="492"/>
      <c r="L160" s="254"/>
      <c r="M160" s="492"/>
      <c r="N160" s="254"/>
      <c r="O160" s="492"/>
      <c r="P160" s="254"/>
      <c r="Q160" s="492"/>
      <c r="R160" s="254"/>
      <c r="S160" s="513"/>
      <c r="T160" s="46"/>
      <c r="U160" s="492"/>
      <c r="V160" s="254"/>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row>
    <row r="161">
      <c r="A161" s="492"/>
      <c r="B161" s="254"/>
      <c r="C161" s="492"/>
      <c r="D161" s="254"/>
      <c r="E161" s="492"/>
      <c r="F161" s="254"/>
      <c r="G161" s="492"/>
      <c r="H161" s="254"/>
      <c r="I161" s="492"/>
      <c r="J161" s="254"/>
      <c r="K161" s="492"/>
      <c r="L161" s="254"/>
      <c r="M161" s="492"/>
      <c r="N161" s="254"/>
      <c r="O161" s="492"/>
      <c r="P161" s="254"/>
      <c r="Q161" s="492"/>
      <c r="R161" s="254"/>
      <c r="S161" s="513"/>
      <c r="T161" s="46"/>
      <c r="U161" s="492"/>
      <c r="V161" s="254"/>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row>
    <row r="162">
      <c r="A162" s="492"/>
      <c r="B162" s="254"/>
      <c r="C162" s="492"/>
      <c r="D162" s="254"/>
      <c r="E162" s="492"/>
      <c r="F162" s="254"/>
      <c r="G162" s="492"/>
      <c r="H162" s="254"/>
      <c r="I162" s="492"/>
      <c r="J162" s="254"/>
      <c r="K162" s="492"/>
      <c r="L162" s="254"/>
      <c r="M162" s="492"/>
      <c r="N162" s="254"/>
      <c r="O162" s="492"/>
      <c r="P162" s="254"/>
      <c r="Q162" s="492"/>
      <c r="R162" s="254"/>
      <c r="S162" s="513"/>
      <c r="T162" s="46"/>
      <c r="U162" s="492"/>
      <c r="V162" s="254"/>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row>
    <row r="163">
      <c r="A163" s="492"/>
      <c r="B163" s="254"/>
      <c r="C163" s="492"/>
      <c r="D163" s="254"/>
      <c r="E163" s="492"/>
      <c r="F163" s="254"/>
      <c r="G163" s="492"/>
      <c r="H163" s="254"/>
      <c r="I163" s="492"/>
      <c r="J163" s="254"/>
      <c r="K163" s="492"/>
      <c r="L163" s="254"/>
      <c r="M163" s="492"/>
      <c r="N163" s="254"/>
      <c r="O163" s="492"/>
      <c r="P163" s="254"/>
      <c r="Q163" s="492"/>
      <c r="R163" s="254"/>
      <c r="S163" s="513"/>
      <c r="T163" s="46"/>
      <c r="U163" s="492"/>
      <c r="V163" s="254"/>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row>
    <row r="164">
      <c r="A164" s="492"/>
      <c r="B164" s="254"/>
      <c r="C164" s="492"/>
      <c r="D164" s="254"/>
      <c r="E164" s="492"/>
      <c r="F164" s="254"/>
      <c r="G164" s="492"/>
      <c r="H164" s="254"/>
      <c r="I164" s="492"/>
      <c r="J164" s="254"/>
      <c r="K164" s="492"/>
      <c r="L164" s="254"/>
      <c r="M164" s="492"/>
      <c r="N164" s="254"/>
      <c r="O164" s="492"/>
      <c r="P164" s="254"/>
      <c r="Q164" s="492"/>
      <c r="R164" s="254"/>
      <c r="S164" s="513"/>
      <c r="T164" s="46"/>
      <c r="U164" s="492"/>
      <c r="V164" s="254"/>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row>
    <row r="165">
      <c r="A165" s="492"/>
      <c r="B165" s="254"/>
      <c r="C165" s="492"/>
      <c r="D165" s="254"/>
      <c r="E165" s="492"/>
      <c r="F165" s="254"/>
      <c r="G165" s="492"/>
      <c r="H165" s="254"/>
      <c r="I165" s="492"/>
      <c r="J165" s="254"/>
      <c r="K165" s="492"/>
      <c r="L165" s="254"/>
      <c r="M165" s="492"/>
      <c r="N165" s="254"/>
      <c r="O165" s="492"/>
      <c r="P165" s="254"/>
      <c r="Q165" s="492"/>
      <c r="R165" s="254"/>
      <c r="S165" s="513"/>
      <c r="T165" s="46"/>
      <c r="U165" s="492"/>
      <c r="V165" s="254"/>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row>
    <row r="166">
      <c r="A166" s="492"/>
      <c r="B166" s="254"/>
      <c r="C166" s="492"/>
      <c r="D166" s="254"/>
      <c r="E166" s="492"/>
      <c r="F166" s="254"/>
      <c r="G166" s="492"/>
      <c r="H166" s="254"/>
      <c r="I166" s="492"/>
      <c r="J166" s="254"/>
      <c r="K166" s="492"/>
      <c r="L166" s="254"/>
      <c r="M166" s="492"/>
      <c r="N166" s="254"/>
      <c r="O166" s="492"/>
      <c r="P166" s="254"/>
      <c r="Q166" s="492"/>
      <c r="R166" s="254"/>
      <c r="S166" s="513"/>
      <c r="T166" s="46"/>
      <c r="U166" s="492"/>
      <c r="V166" s="254"/>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row>
    <row r="167">
      <c r="A167" s="492"/>
      <c r="B167" s="254"/>
      <c r="C167" s="492"/>
      <c r="D167" s="254"/>
      <c r="E167" s="492"/>
      <c r="F167" s="254"/>
      <c r="G167" s="492"/>
      <c r="H167" s="254"/>
      <c r="I167" s="492"/>
      <c r="J167" s="254"/>
      <c r="K167" s="492"/>
      <c r="L167" s="254"/>
      <c r="M167" s="492"/>
      <c r="N167" s="254"/>
      <c r="O167" s="492"/>
      <c r="P167" s="254"/>
      <c r="Q167" s="492"/>
      <c r="R167" s="254"/>
      <c r="S167" s="513"/>
      <c r="T167" s="46"/>
      <c r="U167" s="492"/>
      <c r="V167" s="254"/>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row>
    <row r="168">
      <c r="A168" s="492"/>
      <c r="B168" s="254"/>
      <c r="C168" s="492"/>
      <c r="D168" s="254"/>
      <c r="E168" s="492"/>
      <c r="F168" s="254"/>
      <c r="G168" s="492"/>
      <c r="H168" s="254"/>
      <c r="I168" s="492"/>
      <c r="J168" s="254"/>
      <c r="K168" s="492"/>
      <c r="L168" s="254"/>
      <c r="M168" s="492"/>
      <c r="N168" s="254"/>
      <c r="O168" s="492"/>
      <c r="P168" s="254"/>
      <c r="Q168" s="492"/>
      <c r="R168" s="254"/>
      <c r="S168" s="513"/>
      <c r="T168" s="46"/>
      <c r="U168" s="492"/>
      <c r="V168" s="254"/>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row>
    <row r="169">
      <c r="A169" s="492"/>
      <c r="B169" s="254"/>
      <c r="C169" s="492"/>
      <c r="D169" s="254"/>
      <c r="E169" s="492"/>
      <c r="F169" s="254"/>
      <c r="G169" s="492"/>
      <c r="H169" s="254"/>
      <c r="I169" s="492"/>
      <c r="J169" s="254"/>
      <c r="K169" s="492"/>
      <c r="L169" s="254"/>
      <c r="M169" s="492"/>
      <c r="N169" s="254"/>
      <c r="O169" s="492"/>
      <c r="P169" s="254"/>
      <c r="Q169" s="492"/>
      <c r="R169" s="254"/>
      <c r="S169" s="513"/>
      <c r="T169" s="46"/>
      <c r="U169" s="492"/>
      <c r="V169" s="254"/>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row>
    <row r="170">
      <c r="A170" s="492"/>
      <c r="B170" s="254"/>
      <c r="C170" s="492"/>
      <c r="D170" s="254"/>
      <c r="E170" s="492"/>
      <c r="F170" s="254"/>
      <c r="G170" s="492"/>
      <c r="H170" s="254"/>
      <c r="I170" s="492"/>
      <c r="J170" s="254"/>
      <c r="K170" s="492"/>
      <c r="L170" s="254"/>
      <c r="M170" s="492"/>
      <c r="N170" s="254"/>
      <c r="O170" s="492"/>
      <c r="P170" s="254"/>
      <c r="Q170" s="492"/>
      <c r="R170" s="254"/>
      <c r="S170" s="513"/>
      <c r="T170" s="46"/>
      <c r="U170" s="492"/>
      <c r="V170" s="254"/>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row>
    <row r="171">
      <c r="A171" s="492"/>
      <c r="B171" s="254"/>
      <c r="C171" s="492"/>
      <c r="D171" s="254"/>
      <c r="E171" s="492"/>
      <c r="F171" s="254"/>
      <c r="G171" s="492"/>
      <c r="H171" s="254"/>
      <c r="I171" s="492"/>
      <c r="J171" s="254"/>
      <c r="K171" s="492"/>
      <c r="L171" s="254"/>
      <c r="M171" s="492"/>
      <c r="N171" s="254"/>
      <c r="O171" s="492"/>
      <c r="P171" s="254"/>
      <c r="Q171" s="492"/>
      <c r="R171" s="254"/>
      <c r="S171" s="513"/>
      <c r="T171" s="46"/>
      <c r="U171" s="492"/>
      <c r="V171" s="254"/>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row>
    <row r="172">
      <c r="A172" s="492"/>
      <c r="B172" s="254"/>
      <c r="C172" s="492"/>
      <c r="D172" s="254"/>
      <c r="E172" s="492"/>
      <c r="F172" s="254"/>
      <c r="G172" s="492"/>
      <c r="H172" s="254"/>
      <c r="I172" s="492"/>
      <c r="J172" s="254"/>
      <c r="K172" s="492"/>
      <c r="L172" s="254"/>
      <c r="M172" s="492"/>
      <c r="N172" s="254"/>
      <c r="O172" s="492"/>
      <c r="P172" s="254"/>
      <c r="Q172" s="492"/>
      <c r="R172" s="254"/>
      <c r="S172" s="513"/>
      <c r="T172" s="46"/>
      <c r="U172" s="492"/>
      <c r="V172" s="254"/>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row>
    <row r="173">
      <c r="A173" s="492"/>
      <c r="B173" s="254"/>
      <c r="C173" s="492"/>
      <c r="D173" s="254"/>
      <c r="E173" s="492"/>
      <c r="F173" s="254"/>
      <c r="G173" s="492"/>
      <c r="H173" s="254"/>
      <c r="I173" s="492"/>
      <c r="J173" s="254"/>
      <c r="K173" s="492"/>
      <c r="L173" s="254"/>
      <c r="M173" s="492"/>
      <c r="N173" s="254"/>
      <c r="O173" s="492"/>
      <c r="P173" s="254"/>
      <c r="Q173" s="492"/>
      <c r="R173" s="254"/>
      <c r="S173" s="513"/>
      <c r="T173" s="46"/>
      <c r="U173" s="492"/>
      <c r="V173" s="254"/>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row>
    <row r="174">
      <c r="A174" s="492"/>
      <c r="B174" s="254"/>
      <c r="C174" s="492"/>
      <c r="D174" s="254"/>
      <c r="E174" s="492"/>
      <c r="F174" s="254"/>
      <c r="G174" s="492"/>
      <c r="H174" s="254"/>
      <c r="I174" s="492"/>
      <c r="J174" s="254"/>
      <c r="K174" s="492"/>
      <c r="L174" s="254"/>
      <c r="M174" s="492"/>
      <c r="N174" s="254"/>
      <c r="O174" s="492"/>
      <c r="P174" s="254"/>
      <c r="Q174" s="492"/>
      <c r="R174" s="254"/>
      <c r="S174" s="513"/>
      <c r="T174" s="46"/>
      <c r="U174" s="492"/>
      <c r="V174" s="254"/>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row>
    <row r="175">
      <c r="A175" s="492"/>
      <c r="B175" s="254"/>
      <c r="C175" s="492"/>
      <c r="D175" s="254"/>
      <c r="E175" s="492"/>
      <c r="F175" s="254"/>
      <c r="G175" s="492"/>
      <c r="H175" s="254"/>
      <c r="I175" s="492"/>
      <c r="J175" s="254"/>
      <c r="K175" s="492"/>
      <c r="L175" s="254"/>
      <c r="M175" s="492"/>
      <c r="N175" s="254"/>
      <c r="O175" s="492"/>
      <c r="P175" s="254"/>
      <c r="Q175" s="492"/>
      <c r="R175" s="254"/>
      <c r="S175" s="513"/>
      <c r="T175" s="46"/>
      <c r="U175" s="492"/>
      <c r="V175" s="254"/>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row>
    <row r="176">
      <c r="A176" s="492"/>
      <c r="B176" s="254"/>
      <c r="C176" s="492"/>
      <c r="D176" s="254"/>
      <c r="E176" s="492"/>
      <c r="F176" s="254"/>
      <c r="G176" s="492"/>
      <c r="H176" s="254"/>
      <c r="I176" s="492"/>
      <c r="J176" s="254"/>
      <c r="K176" s="492"/>
      <c r="L176" s="254"/>
      <c r="M176" s="492"/>
      <c r="N176" s="254"/>
      <c r="O176" s="492"/>
      <c r="P176" s="254"/>
      <c r="Q176" s="492"/>
      <c r="R176" s="254"/>
      <c r="S176" s="513"/>
      <c r="T176" s="46"/>
      <c r="U176" s="492"/>
      <c r="V176" s="254"/>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row>
    <row r="177">
      <c r="A177" s="492"/>
      <c r="B177" s="254"/>
      <c r="C177" s="492"/>
      <c r="D177" s="254"/>
      <c r="E177" s="492"/>
      <c r="F177" s="254"/>
      <c r="G177" s="492"/>
      <c r="H177" s="254"/>
      <c r="I177" s="492"/>
      <c r="J177" s="254"/>
      <c r="K177" s="492"/>
      <c r="L177" s="254"/>
      <c r="M177" s="492"/>
      <c r="N177" s="254"/>
      <c r="O177" s="492"/>
      <c r="P177" s="254"/>
      <c r="Q177" s="492"/>
      <c r="R177" s="254"/>
      <c r="S177" s="513"/>
      <c r="T177" s="46"/>
      <c r="U177" s="492"/>
      <c r="V177" s="254"/>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row>
    <row r="178">
      <c r="A178" s="492"/>
      <c r="B178" s="254"/>
      <c r="C178" s="492"/>
      <c r="D178" s="254"/>
      <c r="E178" s="492"/>
      <c r="F178" s="254"/>
      <c r="G178" s="492"/>
      <c r="H178" s="254"/>
      <c r="I178" s="492"/>
      <c r="J178" s="254"/>
      <c r="K178" s="492"/>
      <c r="L178" s="254"/>
      <c r="M178" s="492"/>
      <c r="N178" s="254"/>
      <c r="O178" s="492"/>
      <c r="P178" s="254"/>
      <c r="Q178" s="492"/>
      <c r="R178" s="254"/>
      <c r="S178" s="513"/>
      <c r="T178" s="46"/>
      <c r="U178" s="492"/>
      <c r="V178" s="254"/>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row>
    <row r="179">
      <c r="A179" s="492"/>
      <c r="B179" s="254"/>
      <c r="C179" s="492"/>
      <c r="D179" s="254"/>
      <c r="E179" s="492"/>
      <c r="F179" s="254"/>
      <c r="G179" s="492"/>
      <c r="H179" s="254"/>
      <c r="I179" s="492"/>
      <c r="J179" s="254"/>
      <c r="K179" s="492"/>
      <c r="L179" s="254"/>
      <c r="M179" s="492"/>
      <c r="N179" s="254"/>
      <c r="O179" s="492"/>
      <c r="P179" s="254"/>
      <c r="Q179" s="492"/>
      <c r="R179" s="254"/>
      <c r="S179" s="513"/>
      <c r="T179" s="46"/>
      <c r="U179" s="492"/>
      <c r="V179" s="254"/>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row>
    <row r="180">
      <c r="A180" s="492"/>
      <c r="B180" s="254"/>
      <c r="C180" s="492"/>
      <c r="D180" s="254"/>
      <c r="E180" s="492"/>
      <c r="F180" s="254"/>
      <c r="G180" s="492"/>
      <c r="H180" s="254"/>
      <c r="I180" s="492"/>
      <c r="J180" s="254"/>
      <c r="K180" s="492"/>
      <c r="L180" s="254"/>
      <c r="M180" s="492"/>
      <c r="N180" s="254"/>
      <c r="O180" s="492"/>
      <c r="P180" s="254"/>
      <c r="Q180" s="492"/>
      <c r="R180" s="254"/>
      <c r="S180" s="513"/>
      <c r="T180" s="46"/>
      <c r="U180" s="492"/>
      <c r="V180" s="254"/>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row>
    <row r="181">
      <c r="A181" s="492"/>
      <c r="B181" s="254"/>
      <c r="C181" s="492"/>
      <c r="D181" s="254"/>
      <c r="E181" s="492"/>
      <c r="F181" s="254"/>
      <c r="G181" s="492"/>
      <c r="H181" s="254"/>
      <c r="I181" s="492"/>
      <c r="J181" s="254"/>
      <c r="K181" s="492"/>
      <c r="L181" s="254"/>
      <c r="M181" s="492"/>
      <c r="N181" s="254"/>
      <c r="O181" s="492"/>
      <c r="P181" s="254"/>
      <c r="Q181" s="492"/>
      <c r="R181" s="254"/>
      <c r="S181" s="513"/>
      <c r="T181" s="46"/>
      <c r="U181" s="492"/>
      <c r="V181" s="254"/>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row>
    <row r="182">
      <c r="A182" s="492"/>
      <c r="B182" s="254"/>
      <c r="C182" s="492"/>
      <c r="D182" s="254"/>
      <c r="E182" s="492"/>
      <c r="F182" s="254"/>
      <c r="G182" s="492"/>
      <c r="H182" s="254"/>
      <c r="I182" s="492"/>
      <c r="J182" s="254"/>
      <c r="K182" s="492"/>
      <c r="L182" s="254"/>
      <c r="M182" s="492"/>
      <c r="N182" s="254"/>
      <c r="O182" s="492"/>
      <c r="P182" s="254"/>
      <c r="Q182" s="492"/>
      <c r="R182" s="254"/>
      <c r="S182" s="513"/>
      <c r="T182" s="46"/>
      <c r="U182" s="492"/>
      <c r="V182" s="254"/>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row>
    <row r="183">
      <c r="A183" s="492"/>
      <c r="B183" s="254"/>
      <c r="C183" s="492"/>
      <c r="D183" s="254"/>
      <c r="E183" s="492"/>
      <c r="F183" s="254"/>
      <c r="G183" s="492"/>
      <c r="H183" s="254"/>
      <c r="I183" s="492"/>
      <c r="J183" s="254"/>
      <c r="K183" s="492"/>
      <c r="L183" s="254"/>
      <c r="M183" s="492"/>
      <c r="N183" s="254"/>
      <c r="O183" s="492"/>
      <c r="P183" s="254"/>
      <c r="Q183" s="492"/>
      <c r="R183" s="254"/>
      <c r="S183" s="513"/>
      <c r="T183" s="46"/>
      <c r="U183" s="492"/>
      <c r="V183" s="254"/>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row>
    <row r="184">
      <c r="A184" s="492"/>
      <c r="B184" s="254"/>
      <c r="C184" s="492"/>
      <c r="D184" s="254"/>
      <c r="E184" s="492"/>
      <c r="F184" s="254"/>
      <c r="G184" s="492"/>
      <c r="H184" s="254"/>
      <c r="I184" s="492"/>
      <c r="J184" s="254"/>
      <c r="K184" s="492"/>
      <c r="L184" s="254"/>
      <c r="M184" s="492"/>
      <c r="N184" s="254"/>
      <c r="O184" s="492"/>
      <c r="P184" s="254"/>
      <c r="Q184" s="492"/>
      <c r="R184" s="254"/>
      <c r="S184" s="513"/>
      <c r="T184" s="46"/>
      <c r="U184" s="492"/>
      <c r="V184" s="254"/>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row>
    <row r="185">
      <c r="A185" s="492"/>
      <c r="B185" s="254"/>
      <c r="C185" s="492"/>
      <c r="D185" s="254"/>
      <c r="E185" s="492"/>
      <c r="F185" s="254"/>
      <c r="G185" s="492"/>
      <c r="H185" s="254"/>
      <c r="I185" s="492"/>
      <c r="J185" s="254"/>
      <c r="K185" s="492"/>
      <c r="L185" s="254"/>
      <c r="M185" s="492"/>
      <c r="N185" s="254"/>
      <c r="O185" s="492"/>
      <c r="P185" s="254"/>
      <c r="Q185" s="492"/>
      <c r="R185" s="254"/>
      <c r="S185" s="513"/>
      <c r="T185" s="46"/>
      <c r="U185" s="492"/>
      <c r="V185" s="254"/>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row>
    <row r="186">
      <c r="A186" s="492"/>
      <c r="B186" s="254"/>
      <c r="C186" s="492"/>
      <c r="D186" s="254"/>
      <c r="E186" s="492"/>
      <c r="F186" s="254"/>
      <c r="G186" s="492"/>
      <c r="H186" s="254"/>
      <c r="I186" s="492"/>
      <c r="J186" s="254"/>
      <c r="K186" s="492"/>
      <c r="L186" s="254"/>
      <c r="M186" s="492"/>
      <c r="N186" s="254"/>
      <c r="O186" s="492"/>
      <c r="P186" s="254"/>
      <c r="Q186" s="492"/>
      <c r="R186" s="254"/>
      <c r="S186" s="513"/>
      <c r="T186" s="46"/>
      <c r="U186" s="492"/>
      <c r="V186" s="254"/>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row>
    <row r="187">
      <c r="A187" s="492"/>
      <c r="B187" s="254"/>
      <c r="C187" s="492"/>
      <c r="D187" s="254"/>
      <c r="E187" s="492"/>
      <c r="F187" s="254"/>
      <c r="G187" s="492"/>
      <c r="H187" s="254"/>
      <c r="I187" s="492"/>
      <c r="J187" s="254"/>
      <c r="K187" s="492"/>
      <c r="L187" s="254"/>
      <c r="M187" s="492"/>
      <c r="N187" s="254"/>
      <c r="O187" s="492"/>
      <c r="P187" s="254"/>
      <c r="Q187" s="492"/>
      <c r="R187" s="254"/>
      <c r="S187" s="513"/>
      <c r="T187" s="46"/>
      <c r="U187" s="492"/>
      <c r="V187" s="254"/>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row>
    <row r="188">
      <c r="A188" s="492"/>
      <c r="B188" s="254"/>
      <c r="C188" s="492"/>
      <c r="D188" s="254"/>
      <c r="E188" s="492"/>
      <c r="F188" s="254"/>
      <c r="G188" s="492"/>
      <c r="H188" s="254"/>
      <c r="I188" s="492"/>
      <c r="J188" s="254"/>
      <c r="K188" s="492"/>
      <c r="L188" s="254"/>
      <c r="M188" s="492"/>
      <c r="N188" s="254"/>
      <c r="O188" s="492"/>
      <c r="P188" s="254"/>
      <c r="Q188" s="492"/>
      <c r="R188" s="254"/>
      <c r="S188" s="513"/>
      <c r="T188" s="46"/>
      <c r="U188" s="492"/>
      <c r="V188" s="254"/>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row>
    <row r="189">
      <c r="A189" s="492"/>
      <c r="B189" s="254"/>
      <c r="C189" s="492"/>
      <c r="D189" s="254"/>
      <c r="E189" s="492"/>
      <c r="F189" s="254"/>
      <c r="G189" s="492"/>
      <c r="H189" s="254"/>
      <c r="I189" s="492"/>
      <c r="J189" s="254"/>
      <c r="K189" s="492"/>
      <c r="L189" s="254"/>
      <c r="M189" s="492"/>
      <c r="N189" s="254"/>
      <c r="O189" s="492"/>
      <c r="P189" s="254"/>
      <c r="Q189" s="492"/>
      <c r="R189" s="254"/>
      <c r="S189" s="513"/>
      <c r="T189" s="46"/>
      <c r="U189" s="492"/>
      <c r="V189" s="254"/>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row>
    <row r="190">
      <c r="A190" s="492"/>
      <c r="B190" s="254"/>
      <c r="C190" s="492"/>
      <c r="D190" s="254"/>
      <c r="E190" s="492"/>
      <c r="F190" s="254"/>
      <c r="G190" s="492"/>
      <c r="H190" s="254"/>
      <c r="I190" s="492"/>
      <c r="J190" s="254"/>
      <c r="K190" s="492"/>
      <c r="L190" s="254"/>
      <c r="M190" s="492"/>
      <c r="N190" s="254"/>
      <c r="O190" s="492"/>
      <c r="P190" s="254"/>
      <c r="Q190" s="492"/>
      <c r="R190" s="254"/>
      <c r="S190" s="513"/>
      <c r="T190" s="46"/>
      <c r="U190" s="492"/>
      <c r="V190" s="254"/>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row>
    <row r="191">
      <c r="A191" s="492"/>
      <c r="B191" s="254"/>
      <c r="C191" s="492"/>
      <c r="D191" s="254"/>
      <c r="E191" s="492"/>
      <c r="F191" s="254"/>
      <c r="G191" s="492"/>
      <c r="H191" s="254"/>
      <c r="I191" s="492"/>
      <c r="J191" s="254"/>
      <c r="K191" s="492"/>
      <c r="L191" s="254"/>
      <c r="M191" s="492"/>
      <c r="N191" s="254"/>
      <c r="O191" s="492"/>
      <c r="P191" s="254"/>
      <c r="Q191" s="492"/>
      <c r="R191" s="254"/>
      <c r="S191" s="513"/>
      <c r="T191" s="46"/>
      <c r="U191" s="492"/>
      <c r="V191" s="254"/>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row>
    <row r="192">
      <c r="A192" s="492"/>
      <c r="B192" s="254"/>
      <c r="C192" s="492"/>
      <c r="D192" s="254"/>
      <c r="E192" s="492"/>
      <c r="F192" s="254"/>
      <c r="G192" s="492"/>
      <c r="H192" s="254"/>
      <c r="I192" s="492"/>
      <c r="J192" s="254"/>
      <c r="K192" s="492"/>
      <c r="L192" s="254"/>
      <c r="M192" s="492"/>
      <c r="N192" s="254"/>
      <c r="O192" s="492"/>
      <c r="P192" s="254"/>
      <c r="Q192" s="492"/>
      <c r="R192" s="254"/>
      <c r="S192" s="513"/>
      <c r="T192" s="46"/>
      <c r="U192" s="492"/>
      <c r="V192" s="254"/>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row>
    <row r="193">
      <c r="A193" s="492"/>
      <c r="B193" s="254"/>
      <c r="C193" s="492"/>
      <c r="D193" s="254"/>
      <c r="E193" s="492"/>
      <c r="F193" s="254"/>
      <c r="G193" s="492"/>
      <c r="H193" s="254"/>
      <c r="I193" s="492"/>
      <c r="J193" s="254"/>
      <c r="K193" s="492"/>
      <c r="L193" s="254"/>
      <c r="M193" s="492"/>
      <c r="N193" s="254"/>
      <c r="O193" s="492"/>
      <c r="P193" s="254"/>
      <c r="Q193" s="492"/>
      <c r="R193" s="254"/>
      <c r="S193" s="513"/>
      <c r="T193" s="46"/>
      <c r="U193" s="492"/>
      <c r="V193" s="254"/>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row>
    <row r="194">
      <c r="A194" s="492"/>
      <c r="B194" s="254"/>
      <c r="C194" s="492"/>
      <c r="D194" s="254"/>
      <c r="E194" s="492"/>
      <c r="F194" s="254"/>
      <c r="G194" s="492"/>
      <c r="H194" s="254"/>
      <c r="I194" s="492"/>
      <c r="J194" s="254"/>
      <c r="K194" s="492"/>
      <c r="L194" s="254"/>
      <c r="M194" s="492"/>
      <c r="N194" s="254"/>
      <c r="O194" s="492"/>
      <c r="P194" s="254"/>
      <c r="Q194" s="492"/>
      <c r="R194" s="254"/>
      <c r="S194" s="513"/>
      <c r="T194" s="46"/>
      <c r="U194" s="492"/>
      <c r="V194" s="254"/>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row>
    <row r="195">
      <c r="A195" s="492"/>
      <c r="B195" s="254"/>
      <c r="C195" s="492"/>
      <c r="D195" s="254"/>
      <c r="E195" s="492"/>
      <c r="F195" s="254"/>
      <c r="G195" s="492"/>
      <c r="H195" s="254"/>
      <c r="I195" s="492"/>
      <c r="J195" s="254"/>
      <c r="K195" s="492"/>
      <c r="L195" s="254"/>
      <c r="M195" s="492"/>
      <c r="N195" s="254"/>
      <c r="O195" s="492"/>
      <c r="P195" s="254"/>
      <c r="Q195" s="492"/>
      <c r="R195" s="254"/>
      <c r="S195" s="513"/>
      <c r="T195" s="46"/>
      <c r="U195" s="492"/>
      <c r="V195" s="254"/>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row>
    <row r="196">
      <c r="A196" s="492"/>
      <c r="B196" s="254"/>
      <c r="C196" s="492"/>
      <c r="D196" s="254"/>
      <c r="E196" s="492"/>
      <c r="F196" s="254"/>
      <c r="G196" s="492"/>
      <c r="H196" s="254"/>
      <c r="I196" s="492"/>
      <c r="J196" s="254"/>
      <c r="K196" s="492"/>
      <c r="L196" s="254"/>
      <c r="M196" s="492"/>
      <c r="N196" s="254"/>
      <c r="O196" s="492"/>
      <c r="P196" s="254"/>
      <c r="Q196" s="492"/>
      <c r="R196" s="254"/>
      <c r="S196" s="513"/>
      <c r="T196" s="46"/>
      <c r="U196" s="492"/>
      <c r="V196" s="254"/>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row>
    <row r="197">
      <c r="A197" s="492"/>
      <c r="B197" s="254"/>
      <c r="C197" s="492"/>
      <c r="D197" s="254"/>
      <c r="E197" s="492"/>
      <c r="F197" s="254"/>
      <c r="G197" s="492"/>
      <c r="H197" s="254"/>
      <c r="I197" s="492"/>
      <c r="J197" s="254"/>
      <c r="K197" s="492"/>
      <c r="L197" s="254"/>
      <c r="M197" s="492"/>
      <c r="N197" s="254"/>
      <c r="O197" s="492"/>
      <c r="P197" s="254"/>
      <c r="Q197" s="492"/>
      <c r="R197" s="254"/>
      <c r="S197" s="513"/>
      <c r="T197" s="46"/>
      <c r="U197" s="492"/>
      <c r="V197" s="254"/>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row>
    <row r="198">
      <c r="A198" s="492"/>
      <c r="B198" s="254"/>
      <c r="C198" s="492"/>
      <c r="D198" s="254"/>
      <c r="E198" s="492"/>
      <c r="F198" s="254"/>
      <c r="G198" s="492"/>
      <c r="H198" s="254"/>
      <c r="I198" s="492"/>
      <c r="J198" s="254"/>
      <c r="K198" s="492"/>
      <c r="L198" s="254"/>
      <c r="M198" s="492"/>
      <c r="N198" s="254"/>
      <c r="O198" s="492"/>
      <c r="P198" s="254"/>
      <c r="Q198" s="492"/>
      <c r="R198" s="254"/>
      <c r="S198" s="513"/>
      <c r="T198" s="46"/>
      <c r="U198" s="492"/>
      <c r="V198" s="254"/>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row>
    <row r="199">
      <c r="A199" s="492"/>
      <c r="B199" s="254"/>
      <c r="C199" s="492"/>
      <c r="D199" s="254"/>
      <c r="E199" s="492"/>
      <c r="F199" s="254"/>
      <c r="G199" s="492"/>
      <c r="H199" s="254"/>
      <c r="I199" s="492"/>
      <c r="J199" s="254"/>
      <c r="K199" s="492"/>
      <c r="L199" s="254"/>
      <c r="M199" s="492"/>
      <c r="N199" s="254"/>
      <c r="O199" s="492"/>
      <c r="P199" s="254"/>
      <c r="Q199" s="492"/>
      <c r="R199" s="254"/>
      <c r="S199" s="513"/>
      <c r="T199" s="46"/>
      <c r="U199" s="492"/>
      <c r="V199" s="254"/>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row>
    <row r="200">
      <c r="A200" s="492"/>
      <c r="B200" s="254"/>
      <c r="C200" s="492"/>
      <c r="D200" s="254"/>
      <c r="E200" s="492"/>
      <c r="F200" s="254"/>
      <c r="G200" s="492"/>
      <c r="H200" s="254"/>
      <c r="I200" s="492"/>
      <c r="J200" s="254"/>
      <c r="K200" s="492"/>
      <c r="L200" s="254"/>
      <c r="M200" s="492"/>
      <c r="N200" s="254"/>
      <c r="O200" s="492"/>
      <c r="P200" s="254"/>
      <c r="Q200" s="492"/>
      <c r="R200" s="254"/>
      <c r="S200" s="513"/>
      <c r="T200" s="46"/>
      <c r="U200" s="492"/>
      <c r="V200" s="254"/>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row>
    <row r="201">
      <c r="A201" s="492"/>
      <c r="B201" s="254"/>
      <c r="C201" s="492"/>
      <c r="D201" s="254"/>
      <c r="E201" s="492"/>
      <c r="F201" s="254"/>
      <c r="G201" s="492"/>
      <c r="H201" s="254"/>
      <c r="I201" s="492"/>
      <c r="J201" s="254"/>
      <c r="K201" s="492"/>
      <c r="L201" s="254"/>
      <c r="M201" s="492"/>
      <c r="N201" s="254"/>
      <c r="O201" s="492"/>
      <c r="P201" s="254"/>
      <c r="Q201" s="492"/>
      <c r="R201" s="254"/>
      <c r="S201" s="513"/>
      <c r="T201" s="46"/>
      <c r="U201" s="492"/>
      <c r="V201" s="254"/>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row>
    <row r="202">
      <c r="A202" s="492"/>
      <c r="B202" s="254"/>
      <c r="C202" s="492"/>
      <c r="D202" s="254"/>
      <c r="E202" s="492"/>
      <c r="F202" s="254"/>
      <c r="G202" s="492"/>
      <c r="H202" s="254"/>
      <c r="I202" s="492"/>
      <c r="J202" s="254"/>
      <c r="K202" s="492"/>
      <c r="L202" s="254"/>
      <c r="M202" s="492"/>
      <c r="N202" s="254"/>
      <c r="O202" s="492"/>
      <c r="P202" s="254"/>
      <c r="Q202" s="492"/>
      <c r="R202" s="254"/>
      <c r="S202" s="513"/>
      <c r="T202" s="46"/>
      <c r="U202" s="492"/>
      <c r="V202" s="254"/>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row>
    <row r="203">
      <c r="A203" s="492"/>
      <c r="B203" s="254"/>
      <c r="C203" s="492"/>
      <c r="D203" s="254"/>
      <c r="E203" s="492"/>
      <c r="F203" s="254"/>
      <c r="G203" s="492"/>
      <c r="H203" s="254"/>
      <c r="I203" s="492"/>
      <c r="J203" s="254"/>
      <c r="K203" s="492"/>
      <c r="L203" s="254"/>
      <c r="M203" s="492"/>
      <c r="N203" s="254"/>
      <c r="O203" s="492"/>
      <c r="P203" s="254"/>
      <c r="Q203" s="492"/>
      <c r="R203" s="254"/>
      <c r="S203" s="513"/>
      <c r="T203" s="46"/>
      <c r="U203" s="492"/>
      <c r="V203" s="254"/>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row>
    <row r="204">
      <c r="A204" s="492"/>
      <c r="B204" s="254"/>
      <c r="C204" s="492"/>
      <c r="D204" s="254"/>
      <c r="E204" s="492"/>
      <c r="F204" s="254"/>
      <c r="G204" s="492"/>
      <c r="H204" s="254"/>
      <c r="I204" s="492"/>
      <c r="J204" s="254"/>
      <c r="K204" s="492"/>
      <c r="L204" s="254"/>
      <c r="M204" s="492"/>
      <c r="N204" s="254"/>
      <c r="O204" s="492"/>
      <c r="P204" s="254"/>
      <c r="Q204" s="492"/>
      <c r="R204" s="254"/>
      <c r="S204" s="513"/>
      <c r="T204" s="46"/>
      <c r="U204" s="492"/>
      <c r="V204" s="254"/>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row>
    <row r="205">
      <c r="A205" s="492"/>
      <c r="B205" s="254"/>
      <c r="C205" s="492"/>
      <c r="D205" s="254"/>
      <c r="E205" s="492"/>
      <c r="F205" s="254"/>
      <c r="G205" s="492"/>
      <c r="H205" s="254"/>
      <c r="I205" s="492"/>
      <c r="J205" s="254"/>
      <c r="K205" s="492"/>
      <c r="L205" s="254"/>
      <c r="M205" s="492"/>
      <c r="N205" s="254"/>
      <c r="O205" s="492"/>
      <c r="P205" s="254"/>
      <c r="Q205" s="492"/>
      <c r="R205" s="254"/>
      <c r="S205" s="513"/>
      <c r="T205" s="46"/>
      <c r="U205" s="492"/>
      <c r="V205" s="254"/>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row>
    <row r="206">
      <c r="A206" s="492"/>
      <c r="B206" s="254"/>
      <c r="C206" s="492"/>
      <c r="D206" s="254"/>
      <c r="E206" s="492"/>
      <c r="F206" s="254"/>
      <c r="G206" s="492"/>
      <c r="H206" s="254"/>
      <c r="I206" s="492"/>
      <c r="J206" s="254"/>
      <c r="K206" s="492"/>
      <c r="L206" s="254"/>
      <c r="M206" s="492"/>
      <c r="N206" s="254"/>
      <c r="O206" s="492"/>
      <c r="P206" s="254"/>
      <c r="Q206" s="492"/>
      <c r="R206" s="254"/>
      <c r="S206" s="513"/>
      <c r="T206" s="46"/>
      <c r="U206" s="492"/>
      <c r="V206" s="254"/>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row>
    <row r="207">
      <c r="A207" s="492"/>
      <c r="B207" s="254"/>
      <c r="C207" s="492"/>
      <c r="D207" s="254"/>
      <c r="E207" s="492"/>
      <c r="F207" s="254"/>
      <c r="G207" s="492"/>
      <c r="H207" s="254"/>
      <c r="I207" s="492"/>
      <c r="J207" s="254"/>
      <c r="K207" s="492"/>
      <c r="L207" s="254"/>
      <c r="M207" s="492"/>
      <c r="N207" s="254"/>
      <c r="O207" s="492"/>
      <c r="P207" s="254"/>
      <c r="Q207" s="492"/>
      <c r="R207" s="254"/>
      <c r="S207" s="513"/>
      <c r="T207" s="46"/>
      <c r="U207" s="492"/>
      <c r="V207" s="254"/>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row>
    <row r="208">
      <c r="A208" s="492"/>
      <c r="B208" s="254"/>
      <c r="C208" s="492"/>
      <c r="D208" s="254"/>
      <c r="E208" s="492"/>
      <c r="F208" s="254"/>
      <c r="G208" s="492"/>
      <c r="H208" s="254"/>
      <c r="I208" s="492"/>
      <c r="J208" s="254"/>
      <c r="K208" s="492"/>
      <c r="L208" s="254"/>
      <c r="M208" s="492"/>
      <c r="N208" s="254"/>
      <c r="O208" s="492"/>
      <c r="P208" s="254"/>
      <c r="Q208" s="492"/>
      <c r="R208" s="254"/>
      <c r="S208" s="513"/>
      <c r="T208" s="46"/>
      <c r="U208" s="492"/>
      <c r="V208" s="254"/>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row>
    <row r="209">
      <c r="A209" s="492"/>
      <c r="B209" s="254"/>
      <c r="C209" s="492"/>
      <c r="D209" s="254"/>
      <c r="E209" s="492"/>
      <c r="F209" s="254"/>
      <c r="G209" s="492"/>
      <c r="H209" s="254"/>
      <c r="I209" s="492"/>
      <c r="J209" s="254"/>
      <c r="K209" s="492"/>
      <c r="L209" s="254"/>
      <c r="M209" s="492"/>
      <c r="N209" s="254"/>
      <c r="O209" s="492"/>
      <c r="P209" s="254"/>
      <c r="Q209" s="492"/>
      <c r="R209" s="254"/>
      <c r="S209" s="513"/>
      <c r="T209" s="46"/>
      <c r="U209" s="492"/>
      <c r="V209" s="254"/>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row>
    <row r="210">
      <c r="A210" s="492"/>
      <c r="B210" s="254"/>
      <c r="C210" s="492"/>
      <c r="D210" s="254"/>
      <c r="E210" s="492"/>
      <c r="F210" s="254"/>
      <c r="G210" s="492"/>
      <c r="H210" s="254"/>
      <c r="I210" s="492"/>
      <c r="J210" s="254"/>
      <c r="K210" s="492"/>
      <c r="L210" s="254"/>
      <c r="M210" s="492"/>
      <c r="N210" s="254"/>
      <c r="O210" s="492"/>
      <c r="P210" s="254"/>
      <c r="Q210" s="492"/>
      <c r="R210" s="254"/>
      <c r="S210" s="513"/>
      <c r="T210" s="46"/>
      <c r="U210" s="492"/>
      <c r="V210" s="254"/>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row>
    <row r="211">
      <c r="A211" s="492"/>
      <c r="B211" s="254"/>
      <c r="C211" s="492"/>
      <c r="D211" s="254"/>
      <c r="E211" s="492"/>
      <c r="F211" s="254"/>
      <c r="G211" s="492"/>
      <c r="H211" s="254"/>
      <c r="I211" s="492"/>
      <c r="J211" s="254"/>
      <c r="K211" s="492"/>
      <c r="L211" s="254"/>
      <c r="M211" s="492"/>
      <c r="N211" s="254"/>
      <c r="O211" s="492"/>
      <c r="P211" s="254"/>
      <c r="Q211" s="492"/>
      <c r="R211" s="254"/>
      <c r="S211" s="513"/>
      <c r="T211" s="46"/>
      <c r="U211" s="492"/>
      <c r="V211" s="254"/>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row>
    <row r="212">
      <c r="A212" s="492"/>
      <c r="B212" s="254"/>
      <c r="C212" s="492"/>
      <c r="D212" s="254"/>
      <c r="E212" s="492"/>
      <c r="F212" s="254"/>
      <c r="G212" s="492"/>
      <c r="H212" s="254"/>
      <c r="I212" s="492"/>
      <c r="J212" s="254"/>
      <c r="K212" s="492"/>
      <c r="L212" s="254"/>
      <c r="M212" s="492"/>
      <c r="N212" s="254"/>
      <c r="O212" s="492"/>
      <c r="P212" s="254"/>
      <c r="Q212" s="492"/>
      <c r="R212" s="254"/>
      <c r="S212" s="513"/>
      <c r="T212" s="46"/>
      <c r="U212" s="492"/>
      <c r="V212" s="254"/>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row>
    <row r="213">
      <c r="A213" s="492"/>
      <c r="B213" s="254"/>
      <c r="C213" s="492"/>
      <c r="D213" s="254"/>
      <c r="E213" s="492"/>
      <c r="F213" s="254"/>
      <c r="G213" s="492"/>
      <c r="H213" s="254"/>
      <c r="I213" s="492"/>
      <c r="J213" s="254"/>
      <c r="K213" s="492"/>
      <c r="L213" s="254"/>
      <c r="M213" s="492"/>
      <c r="N213" s="254"/>
      <c r="O213" s="492"/>
      <c r="P213" s="254"/>
      <c r="Q213" s="492"/>
      <c r="R213" s="254"/>
      <c r="S213" s="513"/>
      <c r="T213" s="46"/>
      <c r="U213" s="492"/>
      <c r="V213" s="254"/>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row>
    <row r="214">
      <c r="A214" s="492"/>
      <c r="B214" s="254"/>
      <c r="C214" s="492"/>
      <c r="D214" s="254"/>
      <c r="E214" s="492"/>
      <c r="F214" s="254"/>
      <c r="G214" s="492"/>
      <c r="H214" s="254"/>
      <c r="I214" s="492"/>
      <c r="J214" s="254"/>
      <c r="K214" s="492"/>
      <c r="L214" s="254"/>
      <c r="M214" s="492"/>
      <c r="N214" s="254"/>
      <c r="O214" s="492"/>
      <c r="P214" s="254"/>
      <c r="Q214" s="492"/>
      <c r="R214" s="254"/>
      <c r="S214" s="513"/>
      <c r="T214" s="46"/>
      <c r="U214" s="492"/>
      <c r="V214" s="254"/>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row>
    <row r="215">
      <c r="A215" s="492"/>
      <c r="B215" s="254"/>
      <c r="C215" s="492"/>
      <c r="D215" s="254"/>
      <c r="E215" s="492"/>
      <c r="F215" s="254"/>
      <c r="G215" s="492"/>
      <c r="H215" s="254"/>
      <c r="I215" s="492"/>
      <c r="J215" s="254"/>
      <c r="K215" s="492"/>
      <c r="L215" s="254"/>
      <c r="M215" s="492"/>
      <c r="N215" s="254"/>
      <c r="O215" s="492"/>
      <c r="P215" s="254"/>
      <c r="Q215" s="492"/>
      <c r="R215" s="254"/>
      <c r="S215" s="513"/>
      <c r="T215" s="46"/>
      <c r="U215" s="492"/>
      <c r="V215" s="254"/>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row>
    <row r="216">
      <c r="A216" s="492"/>
      <c r="B216" s="254"/>
      <c r="C216" s="492"/>
      <c r="D216" s="254"/>
      <c r="E216" s="492"/>
      <c r="F216" s="254"/>
      <c r="G216" s="492"/>
      <c r="H216" s="254"/>
      <c r="I216" s="492"/>
      <c r="J216" s="254"/>
      <c r="K216" s="492"/>
      <c r="L216" s="254"/>
      <c r="M216" s="492"/>
      <c r="N216" s="254"/>
      <c r="O216" s="492"/>
      <c r="P216" s="254"/>
      <c r="Q216" s="492"/>
      <c r="R216" s="254"/>
      <c r="S216" s="513"/>
      <c r="T216" s="46"/>
      <c r="U216" s="492"/>
      <c r="V216" s="254"/>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row>
    <row r="217">
      <c r="A217" s="492"/>
      <c r="B217" s="254"/>
      <c r="C217" s="492"/>
      <c r="D217" s="254"/>
      <c r="E217" s="492"/>
      <c r="F217" s="254"/>
      <c r="G217" s="492"/>
      <c r="H217" s="254"/>
      <c r="I217" s="492"/>
      <c r="J217" s="254"/>
      <c r="K217" s="492"/>
      <c r="L217" s="254"/>
      <c r="M217" s="492"/>
      <c r="N217" s="254"/>
      <c r="O217" s="492"/>
      <c r="P217" s="254"/>
      <c r="Q217" s="492"/>
      <c r="R217" s="254"/>
      <c r="S217" s="513"/>
      <c r="T217" s="46"/>
      <c r="U217" s="492"/>
      <c r="V217" s="254"/>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row>
    <row r="218">
      <c r="A218" s="492"/>
      <c r="B218" s="254"/>
      <c r="C218" s="492"/>
      <c r="D218" s="254"/>
      <c r="E218" s="492"/>
      <c r="F218" s="254"/>
      <c r="G218" s="492"/>
      <c r="H218" s="254"/>
      <c r="I218" s="492"/>
      <c r="J218" s="254"/>
      <c r="K218" s="492"/>
      <c r="L218" s="254"/>
      <c r="M218" s="492"/>
      <c r="N218" s="254"/>
      <c r="O218" s="492"/>
      <c r="P218" s="254"/>
      <c r="Q218" s="492"/>
      <c r="R218" s="254"/>
      <c r="S218" s="513"/>
      <c r="T218" s="46"/>
      <c r="U218" s="492"/>
      <c r="V218" s="254"/>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row>
    <row r="219">
      <c r="A219" s="492"/>
      <c r="B219" s="254"/>
      <c r="C219" s="492"/>
      <c r="D219" s="254"/>
      <c r="E219" s="492"/>
      <c r="F219" s="254"/>
      <c r="G219" s="492"/>
      <c r="H219" s="254"/>
      <c r="I219" s="492"/>
      <c r="J219" s="254"/>
      <c r="K219" s="492"/>
      <c r="L219" s="254"/>
      <c r="M219" s="492"/>
      <c r="N219" s="254"/>
      <c r="O219" s="492"/>
      <c r="P219" s="254"/>
      <c r="Q219" s="492"/>
      <c r="R219" s="254"/>
      <c r="S219" s="513"/>
      <c r="T219" s="46"/>
      <c r="U219" s="492"/>
      <c r="V219" s="254"/>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row>
    <row r="220">
      <c r="A220" s="492"/>
      <c r="B220" s="254"/>
      <c r="C220" s="492"/>
      <c r="D220" s="254"/>
      <c r="E220" s="492"/>
      <c r="F220" s="254"/>
      <c r="G220" s="492"/>
      <c r="H220" s="254"/>
      <c r="I220" s="492"/>
      <c r="J220" s="254"/>
      <c r="K220" s="492"/>
      <c r="L220" s="254"/>
      <c r="M220" s="492"/>
      <c r="N220" s="254"/>
      <c r="O220" s="492"/>
      <c r="P220" s="254"/>
      <c r="Q220" s="492"/>
      <c r="R220" s="254"/>
      <c r="S220" s="513"/>
      <c r="T220" s="46"/>
      <c r="U220" s="492"/>
      <c r="V220" s="254"/>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row>
    <row r="221">
      <c r="A221" s="492"/>
      <c r="B221" s="254"/>
      <c r="C221" s="492"/>
      <c r="D221" s="254"/>
      <c r="E221" s="492"/>
      <c r="F221" s="254"/>
      <c r="G221" s="492"/>
      <c r="H221" s="254"/>
      <c r="I221" s="492"/>
      <c r="J221" s="254"/>
      <c r="K221" s="492"/>
      <c r="L221" s="254"/>
      <c r="M221" s="492"/>
      <c r="N221" s="254"/>
      <c r="O221" s="492"/>
      <c r="P221" s="254"/>
      <c r="Q221" s="492"/>
      <c r="R221" s="254"/>
      <c r="S221" s="513"/>
      <c r="T221" s="46"/>
      <c r="U221" s="492"/>
      <c r="V221" s="254"/>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row>
    <row r="222">
      <c r="A222" s="492"/>
      <c r="B222" s="254"/>
      <c r="C222" s="492"/>
      <c r="D222" s="254"/>
      <c r="E222" s="492"/>
      <c r="F222" s="254"/>
      <c r="G222" s="492"/>
      <c r="H222" s="254"/>
      <c r="I222" s="492"/>
      <c r="J222" s="254"/>
      <c r="K222" s="492"/>
      <c r="L222" s="254"/>
      <c r="M222" s="492"/>
      <c r="N222" s="254"/>
      <c r="O222" s="492"/>
      <c r="P222" s="254"/>
      <c r="Q222" s="492"/>
      <c r="R222" s="254"/>
      <c r="S222" s="513"/>
      <c r="T222" s="46"/>
      <c r="U222" s="492"/>
      <c r="V222" s="254"/>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row>
    <row r="223">
      <c r="A223" s="492"/>
      <c r="B223" s="254"/>
      <c r="C223" s="492"/>
      <c r="D223" s="254"/>
      <c r="E223" s="492"/>
      <c r="F223" s="254"/>
      <c r="G223" s="492"/>
      <c r="H223" s="254"/>
      <c r="I223" s="492"/>
      <c r="J223" s="254"/>
      <c r="K223" s="492"/>
      <c r="L223" s="254"/>
      <c r="M223" s="492"/>
      <c r="N223" s="254"/>
      <c r="O223" s="492"/>
      <c r="P223" s="254"/>
      <c r="Q223" s="492"/>
      <c r="R223" s="254"/>
      <c r="S223" s="513"/>
      <c r="T223" s="46"/>
      <c r="U223" s="492"/>
      <c r="V223" s="254"/>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row>
    <row r="224">
      <c r="A224" s="492"/>
      <c r="B224" s="254"/>
      <c r="C224" s="492"/>
      <c r="D224" s="254"/>
      <c r="E224" s="492"/>
      <c r="F224" s="254"/>
      <c r="G224" s="492"/>
      <c r="H224" s="254"/>
      <c r="I224" s="492"/>
      <c r="J224" s="254"/>
      <c r="K224" s="492"/>
      <c r="L224" s="254"/>
      <c r="M224" s="492"/>
      <c r="N224" s="254"/>
      <c r="O224" s="492"/>
      <c r="P224" s="254"/>
      <c r="Q224" s="492"/>
      <c r="R224" s="254"/>
      <c r="S224" s="513"/>
      <c r="T224" s="46"/>
      <c r="U224" s="492"/>
      <c r="V224" s="254"/>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row>
    <row r="225">
      <c r="A225" s="492"/>
      <c r="B225" s="254"/>
      <c r="C225" s="492"/>
      <c r="D225" s="254"/>
      <c r="E225" s="492"/>
      <c r="F225" s="254"/>
      <c r="G225" s="492"/>
      <c r="H225" s="254"/>
      <c r="I225" s="492"/>
      <c r="J225" s="254"/>
      <c r="K225" s="492"/>
      <c r="L225" s="254"/>
      <c r="M225" s="492"/>
      <c r="N225" s="254"/>
      <c r="O225" s="492"/>
      <c r="P225" s="254"/>
      <c r="Q225" s="492"/>
      <c r="R225" s="254"/>
      <c r="S225" s="513"/>
      <c r="T225" s="46"/>
      <c r="U225" s="492"/>
      <c r="V225" s="254"/>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row>
    <row r="226">
      <c r="A226" s="492"/>
      <c r="B226" s="254"/>
      <c r="C226" s="492"/>
      <c r="D226" s="254"/>
      <c r="E226" s="492"/>
      <c r="F226" s="254"/>
      <c r="G226" s="492"/>
      <c r="H226" s="254"/>
      <c r="I226" s="492"/>
      <c r="J226" s="254"/>
      <c r="K226" s="492"/>
      <c r="L226" s="254"/>
      <c r="M226" s="492"/>
      <c r="N226" s="254"/>
      <c r="O226" s="492"/>
      <c r="P226" s="254"/>
      <c r="Q226" s="492"/>
      <c r="R226" s="254"/>
      <c r="S226" s="513"/>
      <c r="T226" s="46"/>
      <c r="U226" s="492"/>
      <c r="V226" s="254"/>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row>
    <row r="227">
      <c r="A227" s="492"/>
      <c r="B227" s="254"/>
      <c r="C227" s="492"/>
      <c r="D227" s="254"/>
      <c r="E227" s="492"/>
      <c r="F227" s="254"/>
      <c r="G227" s="492"/>
      <c r="H227" s="254"/>
      <c r="I227" s="492"/>
      <c r="J227" s="254"/>
      <c r="K227" s="492"/>
      <c r="L227" s="254"/>
      <c r="M227" s="492"/>
      <c r="N227" s="254"/>
      <c r="O227" s="492"/>
      <c r="P227" s="254"/>
      <c r="Q227" s="492"/>
      <c r="R227" s="254"/>
      <c r="S227" s="513"/>
      <c r="T227" s="46"/>
      <c r="U227" s="492"/>
      <c r="V227" s="254"/>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row>
    <row r="228">
      <c r="A228" s="492"/>
      <c r="B228" s="254"/>
      <c r="C228" s="492"/>
      <c r="D228" s="254"/>
      <c r="E228" s="492"/>
      <c r="F228" s="254"/>
      <c r="G228" s="492"/>
      <c r="H228" s="254"/>
      <c r="I228" s="492"/>
      <c r="J228" s="254"/>
      <c r="K228" s="492"/>
      <c r="L228" s="254"/>
      <c r="M228" s="492"/>
      <c r="N228" s="254"/>
      <c r="O228" s="492"/>
      <c r="P228" s="254"/>
      <c r="Q228" s="492"/>
      <c r="R228" s="254"/>
      <c r="S228" s="513"/>
      <c r="T228" s="46"/>
      <c r="U228" s="492"/>
      <c r="V228" s="254"/>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row>
    <row r="229">
      <c r="A229" s="492"/>
      <c r="B229" s="254"/>
      <c r="C229" s="492"/>
      <c r="D229" s="254"/>
      <c r="E229" s="492"/>
      <c r="F229" s="254"/>
      <c r="G229" s="492"/>
      <c r="H229" s="254"/>
      <c r="I229" s="492"/>
      <c r="J229" s="254"/>
      <c r="K229" s="492"/>
      <c r="L229" s="254"/>
      <c r="M229" s="492"/>
      <c r="N229" s="254"/>
      <c r="O229" s="492"/>
      <c r="P229" s="254"/>
      <c r="Q229" s="492"/>
      <c r="R229" s="254"/>
      <c r="S229" s="513"/>
      <c r="T229" s="46"/>
      <c r="U229" s="492"/>
      <c r="V229" s="254"/>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row>
    <row r="230">
      <c r="A230" s="492"/>
      <c r="B230" s="254"/>
      <c r="C230" s="492"/>
      <c r="D230" s="254"/>
      <c r="E230" s="492"/>
      <c r="F230" s="254"/>
      <c r="G230" s="492"/>
      <c r="H230" s="254"/>
      <c r="I230" s="492"/>
      <c r="J230" s="254"/>
      <c r="K230" s="492"/>
      <c r="L230" s="254"/>
      <c r="M230" s="492"/>
      <c r="N230" s="254"/>
      <c r="O230" s="492"/>
      <c r="P230" s="254"/>
      <c r="Q230" s="492"/>
      <c r="R230" s="254"/>
      <c r="S230" s="513"/>
      <c r="T230" s="46"/>
      <c r="U230" s="492"/>
      <c r="V230" s="254"/>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row>
    <row r="231">
      <c r="A231" s="492"/>
      <c r="B231" s="254"/>
      <c r="C231" s="492"/>
      <c r="D231" s="254"/>
      <c r="E231" s="492"/>
      <c r="F231" s="254"/>
      <c r="G231" s="492"/>
      <c r="H231" s="254"/>
      <c r="I231" s="492"/>
      <c r="J231" s="254"/>
      <c r="K231" s="492"/>
      <c r="L231" s="254"/>
      <c r="M231" s="492"/>
      <c r="N231" s="254"/>
      <c r="O231" s="492"/>
      <c r="P231" s="254"/>
      <c r="Q231" s="492"/>
      <c r="R231" s="254"/>
      <c r="S231" s="513"/>
      <c r="T231" s="46"/>
      <c r="U231" s="492"/>
      <c r="V231" s="254"/>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row>
    <row r="232">
      <c r="A232" s="492"/>
      <c r="B232" s="254"/>
      <c r="C232" s="492"/>
      <c r="D232" s="254"/>
      <c r="E232" s="492"/>
      <c r="F232" s="254"/>
      <c r="G232" s="492"/>
      <c r="H232" s="254"/>
      <c r="I232" s="492"/>
      <c r="J232" s="254"/>
      <c r="K232" s="492"/>
      <c r="L232" s="254"/>
      <c r="M232" s="492"/>
      <c r="N232" s="254"/>
      <c r="O232" s="492"/>
      <c r="P232" s="254"/>
      <c r="Q232" s="492"/>
      <c r="R232" s="254"/>
      <c r="S232" s="513"/>
      <c r="T232" s="46"/>
      <c r="U232" s="492"/>
      <c r="V232" s="254"/>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row>
    <row r="233">
      <c r="A233" s="492"/>
      <c r="B233" s="254"/>
      <c r="C233" s="492"/>
      <c r="D233" s="254"/>
      <c r="E233" s="492"/>
      <c r="F233" s="254"/>
      <c r="G233" s="492"/>
      <c r="H233" s="254"/>
      <c r="I233" s="492"/>
      <c r="J233" s="254"/>
      <c r="K233" s="492"/>
      <c r="L233" s="254"/>
      <c r="M233" s="492"/>
      <c r="N233" s="254"/>
      <c r="O233" s="492"/>
      <c r="P233" s="254"/>
      <c r="Q233" s="492"/>
      <c r="R233" s="254"/>
      <c r="S233" s="513"/>
      <c r="T233" s="46"/>
      <c r="U233" s="492"/>
      <c r="V233" s="254"/>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row>
    <row r="234">
      <c r="A234" s="492"/>
      <c r="B234" s="254"/>
      <c r="C234" s="492"/>
      <c r="D234" s="254"/>
      <c r="E234" s="492"/>
      <c r="F234" s="254"/>
      <c r="G234" s="492"/>
      <c r="H234" s="254"/>
      <c r="I234" s="492"/>
      <c r="J234" s="254"/>
      <c r="K234" s="492"/>
      <c r="L234" s="254"/>
      <c r="M234" s="492"/>
      <c r="N234" s="254"/>
      <c r="O234" s="492"/>
      <c r="P234" s="254"/>
      <c r="Q234" s="492"/>
      <c r="R234" s="254"/>
      <c r="S234" s="513"/>
      <c r="T234" s="46"/>
      <c r="U234" s="492"/>
      <c r="V234" s="254"/>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row>
    <row r="235">
      <c r="A235" s="492"/>
      <c r="B235" s="254"/>
      <c r="C235" s="492"/>
      <c r="D235" s="254"/>
      <c r="E235" s="492"/>
      <c r="F235" s="254"/>
      <c r="G235" s="492"/>
      <c r="H235" s="254"/>
      <c r="I235" s="492"/>
      <c r="J235" s="254"/>
      <c r="K235" s="492"/>
      <c r="L235" s="254"/>
      <c r="M235" s="492"/>
      <c r="N235" s="254"/>
      <c r="O235" s="492"/>
      <c r="P235" s="254"/>
      <c r="Q235" s="492"/>
      <c r="R235" s="254"/>
      <c r="S235" s="513"/>
      <c r="T235" s="46"/>
      <c r="U235" s="492"/>
      <c r="V235" s="254"/>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row>
    <row r="236">
      <c r="A236" s="492"/>
      <c r="B236" s="254"/>
      <c r="C236" s="492"/>
      <c r="D236" s="254"/>
      <c r="E236" s="492"/>
      <c r="F236" s="254"/>
      <c r="G236" s="492"/>
      <c r="H236" s="254"/>
      <c r="I236" s="492"/>
      <c r="J236" s="254"/>
      <c r="K236" s="492"/>
      <c r="L236" s="254"/>
      <c r="M236" s="492"/>
      <c r="N236" s="254"/>
      <c r="O236" s="492"/>
      <c r="P236" s="254"/>
      <c r="Q236" s="492"/>
      <c r="R236" s="254"/>
      <c r="S236" s="513"/>
      <c r="T236" s="46"/>
      <c r="U236" s="492"/>
      <c r="V236" s="254"/>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row>
    <row r="237">
      <c r="A237" s="492"/>
      <c r="B237" s="254"/>
      <c r="C237" s="492"/>
      <c r="D237" s="254"/>
      <c r="E237" s="492"/>
      <c r="F237" s="254"/>
      <c r="G237" s="492"/>
      <c r="H237" s="254"/>
      <c r="I237" s="492"/>
      <c r="J237" s="254"/>
      <c r="K237" s="492"/>
      <c r="L237" s="254"/>
      <c r="M237" s="492"/>
      <c r="N237" s="254"/>
      <c r="O237" s="492"/>
      <c r="P237" s="254"/>
      <c r="Q237" s="492"/>
      <c r="R237" s="254"/>
      <c r="S237" s="513"/>
      <c r="T237" s="46"/>
      <c r="U237" s="492"/>
      <c r="V237" s="254"/>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row>
    <row r="238">
      <c r="A238" s="492"/>
      <c r="B238" s="254"/>
      <c r="C238" s="492"/>
      <c r="D238" s="254"/>
      <c r="E238" s="492"/>
      <c r="F238" s="254"/>
      <c r="G238" s="492"/>
      <c r="H238" s="254"/>
      <c r="I238" s="492"/>
      <c r="J238" s="254"/>
      <c r="K238" s="492"/>
      <c r="L238" s="254"/>
      <c r="M238" s="492"/>
      <c r="N238" s="254"/>
      <c r="O238" s="492"/>
      <c r="P238" s="254"/>
      <c r="Q238" s="492"/>
      <c r="R238" s="254"/>
      <c r="S238" s="513"/>
      <c r="T238" s="46"/>
      <c r="U238" s="492"/>
      <c r="V238" s="254"/>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row>
    <row r="239">
      <c r="A239" s="492"/>
      <c r="B239" s="254"/>
      <c r="C239" s="492"/>
      <c r="D239" s="254"/>
      <c r="E239" s="492"/>
      <c r="F239" s="254"/>
      <c r="G239" s="492"/>
      <c r="H239" s="254"/>
      <c r="I239" s="492"/>
      <c r="J239" s="254"/>
      <c r="K239" s="492"/>
      <c r="L239" s="254"/>
      <c r="M239" s="492"/>
      <c r="N239" s="254"/>
      <c r="O239" s="492"/>
      <c r="P239" s="254"/>
      <c r="Q239" s="492"/>
      <c r="R239" s="254"/>
      <c r="S239" s="513"/>
      <c r="T239" s="46"/>
      <c r="U239" s="492"/>
      <c r="V239" s="254"/>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row>
    <row r="240">
      <c r="A240" s="492"/>
      <c r="B240" s="254"/>
      <c r="C240" s="492"/>
      <c r="D240" s="254"/>
      <c r="E240" s="492"/>
      <c r="F240" s="254"/>
      <c r="G240" s="492"/>
      <c r="H240" s="254"/>
      <c r="I240" s="492"/>
      <c r="J240" s="254"/>
      <c r="K240" s="492"/>
      <c r="L240" s="254"/>
      <c r="M240" s="492"/>
      <c r="N240" s="254"/>
      <c r="O240" s="492"/>
      <c r="P240" s="254"/>
      <c r="Q240" s="492"/>
      <c r="R240" s="254"/>
      <c r="S240" s="513"/>
      <c r="T240" s="46"/>
      <c r="U240" s="492"/>
      <c r="V240" s="254"/>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row>
    <row r="241">
      <c r="A241" s="492"/>
      <c r="B241" s="254"/>
      <c r="C241" s="492"/>
      <c r="D241" s="254"/>
      <c r="E241" s="492"/>
      <c r="F241" s="254"/>
      <c r="G241" s="492"/>
      <c r="H241" s="254"/>
      <c r="I241" s="492"/>
      <c r="J241" s="254"/>
      <c r="K241" s="492"/>
      <c r="L241" s="254"/>
      <c r="M241" s="492"/>
      <c r="N241" s="254"/>
      <c r="O241" s="492"/>
      <c r="P241" s="254"/>
      <c r="Q241" s="492"/>
      <c r="R241" s="254"/>
      <c r="S241" s="513"/>
      <c r="T241" s="46"/>
      <c r="U241" s="492"/>
      <c r="V241" s="254"/>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row>
    <row r="242">
      <c r="A242" s="492"/>
      <c r="B242" s="254"/>
      <c r="C242" s="492"/>
      <c r="D242" s="254"/>
      <c r="E242" s="492"/>
      <c r="F242" s="254"/>
      <c r="G242" s="492"/>
      <c r="H242" s="254"/>
      <c r="I242" s="492"/>
      <c r="J242" s="254"/>
      <c r="K242" s="492"/>
      <c r="L242" s="254"/>
      <c r="M242" s="492"/>
      <c r="N242" s="254"/>
      <c r="O242" s="492"/>
      <c r="P242" s="254"/>
      <c r="Q242" s="492"/>
      <c r="R242" s="254"/>
      <c r="S242" s="513"/>
      <c r="T242" s="46"/>
      <c r="U242" s="492"/>
      <c r="V242" s="254"/>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row>
    <row r="243">
      <c r="A243" s="492"/>
      <c r="B243" s="254"/>
      <c r="C243" s="492"/>
      <c r="D243" s="254"/>
      <c r="E243" s="492"/>
      <c r="F243" s="254"/>
      <c r="G243" s="492"/>
      <c r="H243" s="254"/>
      <c r="I243" s="492"/>
      <c r="J243" s="254"/>
      <c r="K243" s="492"/>
      <c r="L243" s="254"/>
      <c r="M243" s="492"/>
      <c r="N243" s="254"/>
      <c r="O243" s="492"/>
      <c r="P243" s="254"/>
      <c r="Q243" s="492"/>
      <c r="R243" s="254"/>
      <c r="S243" s="513"/>
      <c r="T243" s="46"/>
      <c r="U243" s="492"/>
      <c r="V243" s="254"/>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row>
    <row r="244">
      <c r="A244" s="492"/>
      <c r="B244" s="254"/>
      <c r="C244" s="492"/>
      <c r="D244" s="254"/>
      <c r="E244" s="492"/>
      <c r="F244" s="254"/>
      <c r="G244" s="492"/>
      <c r="H244" s="254"/>
      <c r="I244" s="492"/>
      <c r="J244" s="254"/>
      <c r="K244" s="492"/>
      <c r="L244" s="254"/>
      <c r="M244" s="492"/>
      <c r="N244" s="254"/>
      <c r="O244" s="492"/>
      <c r="P244" s="254"/>
      <c r="Q244" s="492"/>
      <c r="R244" s="254"/>
      <c r="S244" s="513"/>
      <c r="T244" s="46"/>
      <c r="U244" s="492"/>
      <c r="V244" s="254"/>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row>
    <row r="245">
      <c r="A245" s="492"/>
      <c r="B245" s="254"/>
      <c r="C245" s="492"/>
      <c r="D245" s="254"/>
      <c r="E245" s="492"/>
      <c r="F245" s="254"/>
      <c r="G245" s="492"/>
      <c r="H245" s="254"/>
      <c r="I245" s="492"/>
      <c r="J245" s="254"/>
      <c r="K245" s="492"/>
      <c r="L245" s="254"/>
      <c r="M245" s="492"/>
      <c r="N245" s="254"/>
      <c r="O245" s="492"/>
      <c r="P245" s="254"/>
      <c r="Q245" s="492"/>
      <c r="R245" s="254"/>
      <c r="S245" s="513"/>
      <c r="T245" s="46"/>
      <c r="U245" s="492"/>
      <c r="V245" s="254"/>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row>
    <row r="246">
      <c r="A246" s="492"/>
      <c r="B246" s="254"/>
      <c r="C246" s="492"/>
      <c r="D246" s="254"/>
      <c r="E246" s="492"/>
      <c r="F246" s="254"/>
      <c r="G246" s="492"/>
      <c r="H246" s="254"/>
      <c r="I246" s="492"/>
      <c r="J246" s="254"/>
      <c r="K246" s="492"/>
      <c r="L246" s="254"/>
      <c r="M246" s="492"/>
      <c r="N246" s="254"/>
      <c r="O246" s="492"/>
      <c r="P246" s="254"/>
      <c r="Q246" s="492"/>
      <c r="R246" s="254"/>
      <c r="S246" s="513"/>
      <c r="T246" s="46"/>
      <c r="U246" s="492"/>
      <c r="V246" s="254"/>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row>
    <row r="247">
      <c r="A247" s="492"/>
      <c r="B247" s="254"/>
      <c r="C247" s="492"/>
      <c r="D247" s="254"/>
      <c r="E247" s="492"/>
      <c r="F247" s="254"/>
      <c r="G247" s="492"/>
      <c r="H247" s="254"/>
      <c r="I247" s="492"/>
      <c r="J247" s="254"/>
      <c r="K247" s="492"/>
      <c r="L247" s="254"/>
      <c r="M247" s="492"/>
      <c r="N247" s="254"/>
      <c r="O247" s="492"/>
      <c r="P247" s="254"/>
      <c r="Q247" s="492"/>
      <c r="R247" s="254"/>
      <c r="S247" s="513"/>
      <c r="T247" s="46"/>
      <c r="U247" s="492"/>
      <c r="V247" s="254"/>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row>
    <row r="248">
      <c r="A248" s="492"/>
      <c r="B248" s="254"/>
      <c r="C248" s="492"/>
      <c r="D248" s="254"/>
      <c r="E248" s="492"/>
      <c r="F248" s="254"/>
      <c r="G248" s="492"/>
      <c r="H248" s="254"/>
      <c r="I248" s="492"/>
      <c r="J248" s="254"/>
      <c r="K248" s="492"/>
      <c r="L248" s="254"/>
      <c r="M248" s="492"/>
      <c r="N248" s="254"/>
      <c r="O248" s="492"/>
      <c r="P248" s="254"/>
      <c r="Q248" s="492"/>
      <c r="R248" s="254"/>
      <c r="S248" s="513"/>
      <c r="T248" s="46"/>
      <c r="U248" s="492"/>
      <c r="V248" s="254"/>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row>
    <row r="249">
      <c r="A249" s="492"/>
      <c r="B249" s="254"/>
      <c r="C249" s="492"/>
      <c r="D249" s="254"/>
      <c r="E249" s="492"/>
      <c r="F249" s="254"/>
      <c r="G249" s="492"/>
      <c r="H249" s="254"/>
      <c r="I249" s="492"/>
      <c r="J249" s="254"/>
      <c r="K249" s="492"/>
      <c r="L249" s="254"/>
      <c r="M249" s="492"/>
      <c r="N249" s="254"/>
      <c r="O249" s="492"/>
      <c r="P249" s="254"/>
      <c r="Q249" s="492"/>
      <c r="R249" s="254"/>
      <c r="S249" s="513"/>
      <c r="T249" s="46"/>
      <c r="U249" s="492"/>
      <c r="V249" s="254"/>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row>
    <row r="250">
      <c r="A250" s="492"/>
      <c r="B250" s="254"/>
      <c r="C250" s="492"/>
      <c r="D250" s="254"/>
      <c r="E250" s="492"/>
      <c r="F250" s="254"/>
      <c r="G250" s="492"/>
      <c r="H250" s="254"/>
      <c r="I250" s="492"/>
      <c r="J250" s="254"/>
      <c r="K250" s="492"/>
      <c r="L250" s="254"/>
      <c r="M250" s="492"/>
      <c r="N250" s="254"/>
      <c r="O250" s="492"/>
      <c r="P250" s="254"/>
      <c r="Q250" s="492"/>
      <c r="R250" s="254"/>
      <c r="S250" s="513"/>
      <c r="T250" s="46"/>
      <c r="U250" s="492"/>
      <c r="V250" s="254"/>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row>
    <row r="251">
      <c r="A251" s="492"/>
      <c r="B251" s="254"/>
      <c r="C251" s="492"/>
      <c r="D251" s="254"/>
      <c r="E251" s="492"/>
      <c r="F251" s="254"/>
      <c r="G251" s="492"/>
      <c r="H251" s="254"/>
      <c r="I251" s="492"/>
      <c r="J251" s="254"/>
      <c r="K251" s="492"/>
      <c r="L251" s="254"/>
      <c r="M251" s="492"/>
      <c r="N251" s="254"/>
      <c r="O251" s="492"/>
      <c r="P251" s="254"/>
      <c r="Q251" s="492"/>
      <c r="R251" s="254"/>
      <c r="S251" s="513"/>
      <c r="T251" s="46"/>
      <c r="U251" s="492"/>
      <c r="V251" s="254"/>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row>
    <row r="252">
      <c r="A252" s="492"/>
      <c r="B252" s="254"/>
      <c r="C252" s="492"/>
      <c r="D252" s="254"/>
      <c r="E252" s="492"/>
      <c r="F252" s="254"/>
      <c r="G252" s="492"/>
      <c r="H252" s="254"/>
      <c r="I252" s="492"/>
      <c r="J252" s="254"/>
      <c r="K252" s="492"/>
      <c r="L252" s="254"/>
      <c r="M252" s="492"/>
      <c r="N252" s="254"/>
      <c r="O252" s="492"/>
      <c r="P252" s="254"/>
      <c r="Q252" s="492"/>
      <c r="R252" s="254"/>
      <c r="S252" s="513"/>
      <c r="T252" s="46"/>
      <c r="U252" s="492"/>
      <c r="V252" s="254"/>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row>
    <row r="253">
      <c r="A253" s="492"/>
      <c r="B253" s="254"/>
      <c r="C253" s="492"/>
      <c r="D253" s="254"/>
      <c r="E253" s="492"/>
      <c r="F253" s="254"/>
      <c r="G253" s="492"/>
      <c r="H253" s="254"/>
      <c r="I253" s="492"/>
      <c r="J253" s="254"/>
      <c r="K253" s="492"/>
      <c r="L253" s="254"/>
      <c r="M253" s="492"/>
      <c r="N253" s="254"/>
      <c r="O253" s="492"/>
      <c r="P253" s="254"/>
      <c r="Q253" s="492"/>
      <c r="R253" s="254"/>
      <c r="S253" s="513"/>
      <c r="T253" s="46"/>
      <c r="U253" s="492"/>
      <c r="V253" s="254"/>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row>
    <row r="254">
      <c r="A254" s="492"/>
      <c r="B254" s="254"/>
      <c r="C254" s="492"/>
      <c r="D254" s="254"/>
      <c r="E254" s="492"/>
      <c r="F254" s="254"/>
      <c r="G254" s="492"/>
      <c r="H254" s="254"/>
      <c r="I254" s="492"/>
      <c r="J254" s="254"/>
      <c r="K254" s="492"/>
      <c r="L254" s="254"/>
      <c r="M254" s="492"/>
      <c r="N254" s="254"/>
      <c r="O254" s="492"/>
      <c r="P254" s="254"/>
      <c r="Q254" s="492"/>
      <c r="R254" s="254"/>
      <c r="S254" s="513"/>
      <c r="T254" s="46"/>
      <c r="U254" s="492"/>
      <c r="V254" s="254"/>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row>
    <row r="255">
      <c r="A255" s="492"/>
      <c r="B255" s="254"/>
      <c r="C255" s="492"/>
      <c r="D255" s="254"/>
      <c r="E255" s="492"/>
      <c r="F255" s="254"/>
      <c r="G255" s="492"/>
      <c r="H255" s="254"/>
      <c r="I255" s="492"/>
      <c r="J255" s="254"/>
      <c r="K255" s="492"/>
      <c r="L255" s="254"/>
      <c r="M255" s="492"/>
      <c r="N255" s="254"/>
      <c r="O255" s="492"/>
      <c r="P255" s="254"/>
      <c r="Q255" s="492"/>
      <c r="R255" s="254"/>
      <c r="S255" s="513"/>
      <c r="T255" s="46"/>
      <c r="U255" s="492"/>
      <c r="V255" s="254"/>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row>
    <row r="256">
      <c r="A256" s="492"/>
      <c r="B256" s="254"/>
      <c r="C256" s="492"/>
      <c r="D256" s="254"/>
      <c r="E256" s="492"/>
      <c r="F256" s="254"/>
      <c r="G256" s="492"/>
      <c r="H256" s="254"/>
      <c r="I256" s="492"/>
      <c r="J256" s="254"/>
      <c r="K256" s="492"/>
      <c r="L256" s="254"/>
      <c r="M256" s="492"/>
      <c r="N256" s="254"/>
      <c r="O256" s="492"/>
      <c r="P256" s="254"/>
      <c r="Q256" s="492"/>
      <c r="R256" s="254"/>
      <c r="S256" s="513"/>
      <c r="T256" s="46"/>
      <c r="U256" s="492"/>
      <c r="V256" s="254"/>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row>
    <row r="257">
      <c r="A257" s="492"/>
      <c r="B257" s="254"/>
      <c r="C257" s="492"/>
      <c r="D257" s="254"/>
      <c r="E257" s="492"/>
      <c r="F257" s="254"/>
      <c r="G257" s="492"/>
      <c r="H257" s="254"/>
      <c r="I257" s="492"/>
      <c r="J257" s="254"/>
      <c r="K257" s="492"/>
      <c r="L257" s="254"/>
      <c r="M257" s="492"/>
      <c r="N257" s="254"/>
      <c r="O257" s="492"/>
      <c r="P257" s="254"/>
      <c r="Q257" s="492"/>
      <c r="R257" s="254"/>
      <c r="S257" s="513"/>
      <c r="T257" s="46"/>
      <c r="U257" s="492"/>
      <c r="V257" s="254"/>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row>
    <row r="258">
      <c r="A258" s="492"/>
      <c r="B258" s="254"/>
      <c r="C258" s="492"/>
      <c r="D258" s="254"/>
      <c r="E258" s="492"/>
      <c r="F258" s="254"/>
      <c r="G258" s="492"/>
      <c r="H258" s="254"/>
      <c r="I258" s="492"/>
      <c r="J258" s="254"/>
      <c r="K258" s="492"/>
      <c r="L258" s="254"/>
      <c r="M258" s="492"/>
      <c r="N258" s="254"/>
      <c r="O258" s="492"/>
      <c r="P258" s="254"/>
      <c r="Q258" s="492"/>
      <c r="R258" s="254"/>
      <c r="S258" s="513"/>
      <c r="T258" s="46"/>
      <c r="U258" s="492"/>
      <c r="V258" s="254"/>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row>
    <row r="259">
      <c r="A259" s="492"/>
      <c r="B259" s="254"/>
      <c r="C259" s="492"/>
      <c r="D259" s="254"/>
      <c r="E259" s="492"/>
      <c r="F259" s="254"/>
      <c r="G259" s="492"/>
      <c r="H259" s="254"/>
      <c r="I259" s="492"/>
      <c r="J259" s="254"/>
      <c r="K259" s="492"/>
      <c r="L259" s="254"/>
      <c r="M259" s="492"/>
      <c r="N259" s="254"/>
      <c r="O259" s="492"/>
      <c r="P259" s="254"/>
      <c r="Q259" s="492"/>
      <c r="R259" s="254"/>
      <c r="S259" s="513"/>
      <c r="T259" s="46"/>
      <c r="U259" s="492"/>
      <c r="V259" s="254"/>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row>
    <row r="260">
      <c r="A260" s="492"/>
      <c r="B260" s="254"/>
      <c r="C260" s="492"/>
      <c r="D260" s="254"/>
      <c r="E260" s="492"/>
      <c r="F260" s="254"/>
      <c r="G260" s="492"/>
      <c r="H260" s="254"/>
      <c r="I260" s="492"/>
      <c r="J260" s="254"/>
      <c r="K260" s="492"/>
      <c r="L260" s="254"/>
      <c r="M260" s="492"/>
      <c r="N260" s="254"/>
      <c r="O260" s="492"/>
      <c r="P260" s="254"/>
      <c r="Q260" s="492"/>
      <c r="R260" s="254"/>
      <c r="S260" s="513"/>
      <c r="T260" s="46"/>
      <c r="U260" s="492"/>
      <c r="V260" s="254"/>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row>
    <row r="261">
      <c r="A261" s="492"/>
      <c r="B261" s="254"/>
      <c r="C261" s="492"/>
      <c r="D261" s="254"/>
      <c r="E261" s="492"/>
      <c r="F261" s="254"/>
      <c r="G261" s="492"/>
      <c r="H261" s="254"/>
      <c r="I261" s="492"/>
      <c r="J261" s="254"/>
      <c r="K261" s="492"/>
      <c r="L261" s="254"/>
      <c r="M261" s="492"/>
      <c r="N261" s="254"/>
      <c r="O261" s="492"/>
      <c r="P261" s="254"/>
      <c r="Q261" s="492"/>
      <c r="R261" s="254"/>
      <c r="S261" s="513"/>
      <c r="T261" s="46"/>
      <c r="U261" s="492"/>
      <c r="V261" s="254"/>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row>
    <row r="262">
      <c r="A262" s="492"/>
      <c r="B262" s="254"/>
      <c r="C262" s="492"/>
      <c r="D262" s="254"/>
      <c r="E262" s="492"/>
      <c r="F262" s="254"/>
      <c r="G262" s="492"/>
      <c r="H262" s="254"/>
      <c r="I262" s="492"/>
      <c r="J262" s="254"/>
      <c r="K262" s="492"/>
      <c r="L262" s="254"/>
      <c r="M262" s="492"/>
      <c r="N262" s="254"/>
      <c r="O262" s="492"/>
      <c r="P262" s="254"/>
      <c r="Q262" s="492"/>
      <c r="R262" s="254"/>
      <c r="S262" s="513"/>
      <c r="T262" s="46"/>
      <c r="U262" s="492"/>
      <c r="V262" s="254"/>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row>
    <row r="263">
      <c r="A263" s="492"/>
      <c r="B263" s="254"/>
      <c r="C263" s="492"/>
      <c r="D263" s="254"/>
      <c r="E263" s="492"/>
      <c r="F263" s="254"/>
      <c r="G263" s="492"/>
      <c r="H263" s="254"/>
      <c r="I263" s="492"/>
      <c r="J263" s="254"/>
      <c r="K263" s="492"/>
      <c r="L263" s="254"/>
      <c r="M263" s="492"/>
      <c r="N263" s="254"/>
      <c r="O263" s="492"/>
      <c r="P263" s="254"/>
      <c r="Q263" s="492"/>
      <c r="R263" s="254"/>
      <c r="S263" s="513"/>
      <c r="T263" s="46"/>
      <c r="U263" s="492"/>
      <c r="V263" s="254"/>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row>
    <row r="264">
      <c r="A264" s="492"/>
      <c r="B264" s="254"/>
      <c r="C264" s="492"/>
      <c r="D264" s="254"/>
      <c r="E264" s="492"/>
      <c r="F264" s="254"/>
      <c r="G264" s="492"/>
      <c r="H264" s="254"/>
      <c r="I264" s="492"/>
      <c r="J264" s="254"/>
      <c r="K264" s="492"/>
      <c r="L264" s="254"/>
      <c r="M264" s="492"/>
      <c r="N264" s="254"/>
      <c r="O264" s="492"/>
      <c r="P264" s="254"/>
      <c r="Q264" s="492"/>
      <c r="R264" s="254"/>
      <c r="S264" s="513"/>
      <c r="T264" s="46"/>
      <c r="U264" s="492"/>
      <c r="V264" s="254"/>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row>
    <row r="265">
      <c r="A265" s="492"/>
      <c r="B265" s="254"/>
      <c r="C265" s="492"/>
      <c r="D265" s="254"/>
      <c r="E265" s="492"/>
      <c r="F265" s="254"/>
      <c r="G265" s="492"/>
      <c r="H265" s="254"/>
      <c r="I265" s="492"/>
      <c r="J265" s="254"/>
      <c r="K265" s="492"/>
      <c r="L265" s="254"/>
      <c r="M265" s="492"/>
      <c r="N265" s="254"/>
      <c r="O265" s="492"/>
      <c r="P265" s="254"/>
      <c r="Q265" s="492"/>
      <c r="R265" s="254"/>
      <c r="S265" s="513"/>
      <c r="T265" s="46"/>
      <c r="U265" s="492"/>
      <c r="V265" s="254"/>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row>
    <row r="266">
      <c r="A266" s="492"/>
      <c r="B266" s="254"/>
      <c r="C266" s="492"/>
      <c r="D266" s="254"/>
      <c r="E266" s="492"/>
      <c r="F266" s="254"/>
      <c r="G266" s="492"/>
      <c r="H266" s="254"/>
      <c r="I266" s="492"/>
      <c r="J266" s="254"/>
      <c r="K266" s="492"/>
      <c r="L266" s="254"/>
      <c r="M266" s="492"/>
      <c r="N266" s="254"/>
      <c r="O266" s="492"/>
      <c r="P266" s="254"/>
      <c r="Q266" s="492"/>
      <c r="R266" s="254"/>
      <c r="S266" s="513"/>
      <c r="T266" s="46"/>
      <c r="U266" s="492"/>
      <c r="V266" s="254"/>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row>
    <row r="267">
      <c r="A267" s="492"/>
      <c r="B267" s="254"/>
      <c r="C267" s="492"/>
      <c r="D267" s="254"/>
      <c r="E267" s="492"/>
      <c r="F267" s="254"/>
      <c r="G267" s="492"/>
      <c r="H267" s="254"/>
      <c r="I267" s="492"/>
      <c r="J267" s="254"/>
      <c r="K267" s="492"/>
      <c r="L267" s="254"/>
      <c r="M267" s="492"/>
      <c r="N267" s="254"/>
      <c r="O267" s="492"/>
      <c r="P267" s="254"/>
      <c r="Q267" s="492"/>
      <c r="R267" s="254"/>
      <c r="S267" s="513"/>
      <c r="T267" s="46"/>
      <c r="U267" s="492"/>
      <c r="V267" s="254"/>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row>
    <row r="268">
      <c r="A268" s="492"/>
      <c r="B268" s="254"/>
      <c r="C268" s="492"/>
      <c r="D268" s="254"/>
      <c r="E268" s="492"/>
      <c r="F268" s="254"/>
      <c r="G268" s="492"/>
      <c r="H268" s="254"/>
      <c r="I268" s="492"/>
      <c r="J268" s="254"/>
      <c r="K268" s="492"/>
      <c r="L268" s="254"/>
      <c r="M268" s="492"/>
      <c r="N268" s="254"/>
      <c r="O268" s="492"/>
      <c r="P268" s="254"/>
      <c r="Q268" s="492"/>
      <c r="R268" s="254"/>
      <c r="S268" s="513"/>
      <c r="T268" s="46"/>
      <c r="U268" s="492"/>
      <c r="V268" s="254"/>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row>
    <row r="269">
      <c r="A269" s="492"/>
      <c r="B269" s="254"/>
      <c r="C269" s="492"/>
      <c r="D269" s="254"/>
      <c r="E269" s="492"/>
      <c r="F269" s="254"/>
      <c r="G269" s="492"/>
      <c r="H269" s="254"/>
      <c r="I269" s="492"/>
      <c r="J269" s="254"/>
      <c r="K269" s="492"/>
      <c r="L269" s="254"/>
      <c r="M269" s="492"/>
      <c r="N269" s="254"/>
      <c r="O269" s="492"/>
      <c r="P269" s="254"/>
      <c r="Q269" s="492"/>
      <c r="R269" s="254"/>
      <c r="S269" s="513"/>
      <c r="T269" s="46"/>
      <c r="U269" s="492"/>
      <c r="V269" s="254"/>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row>
    <row r="270">
      <c r="A270" s="492"/>
      <c r="B270" s="254"/>
      <c r="C270" s="492"/>
      <c r="D270" s="254"/>
      <c r="E270" s="492"/>
      <c r="F270" s="254"/>
      <c r="G270" s="492"/>
      <c r="H270" s="254"/>
      <c r="I270" s="492"/>
      <c r="J270" s="254"/>
      <c r="K270" s="492"/>
      <c r="L270" s="254"/>
      <c r="M270" s="492"/>
      <c r="N270" s="254"/>
      <c r="O270" s="492"/>
      <c r="P270" s="254"/>
      <c r="Q270" s="492"/>
      <c r="R270" s="254"/>
      <c r="S270" s="513"/>
      <c r="T270" s="46"/>
      <c r="U270" s="492"/>
      <c r="V270" s="254"/>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row>
    <row r="271">
      <c r="A271" s="492"/>
      <c r="B271" s="254"/>
      <c r="C271" s="492"/>
      <c r="D271" s="254"/>
      <c r="E271" s="492"/>
      <c r="F271" s="254"/>
      <c r="G271" s="492"/>
      <c r="H271" s="254"/>
      <c r="I271" s="492"/>
      <c r="J271" s="254"/>
      <c r="K271" s="492"/>
      <c r="L271" s="254"/>
      <c r="M271" s="492"/>
      <c r="N271" s="254"/>
      <c r="O271" s="492"/>
      <c r="P271" s="254"/>
      <c r="Q271" s="492"/>
      <c r="R271" s="254"/>
      <c r="S271" s="513"/>
      <c r="T271" s="46"/>
      <c r="U271" s="492"/>
      <c r="V271" s="254"/>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row>
    <row r="272">
      <c r="A272" s="492"/>
      <c r="B272" s="254"/>
      <c r="C272" s="492"/>
      <c r="D272" s="254"/>
      <c r="E272" s="492"/>
      <c r="F272" s="254"/>
      <c r="G272" s="492"/>
      <c r="H272" s="254"/>
      <c r="I272" s="492"/>
      <c r="J272" s="254"/>
      <c r="K272" s="492"/>
      <c r="L272" s="254"/>
      <c r="M272" s="492"/>
      <c r="N272" s="254"/>
      <c r="O272" s="492"/>
      <c r="P272" s="254"/>
      <c r="Q272" s="492"/>
      <c r="R272" s="254"/>
      <c r="S272" s="513"/>
      <c r="T272" s="46"/>
      <c r="U272" s="492"/>
      <c r="V272" s="254"/>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row>
    <row r="273">
      <c r="A273" s="492"/>
      <c r="B273" s="254"/>
      <c r="C273" s="492"/>
      <c r="D273" s="254"/>
      <c r="E273" s="492"/>
      <c r="F273" s="254"/>
      <c r="G273" s="492"/>
      <c r="H273" s="254"/>
      <c r="I273" s="492"/>
      <c r="J273" s="254"/>
      <c r="K273" s="492"/>
      <c r="L273" s="254"/>
      <c r="M273" s="492"/>
      <c r="N273" s="254"/>
      <c r="O273" s="492"/>
      <c r="P273" s="254"/>
      <c r="Q273" s="492"/>
      <c r="R273" s="254"/>
      <c r="S273" s="513"/>
      <c r="T273" s="46"/>
      <c r="U273" s="492"/>
      <c r="V273" s="254"/>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row>
    <row r="274">
      <c r="A274" s="492"/>
      <c r="B274" s="254"/>
      <c r="C274" s="492"/>
      <c r="D274" s="254"/>
      <c r="E274" s="492"/>
      <c r="F274" s="254"/>
      <c r="G274" s="492"/>
      <c r="H274" s="254"/>
      <c r="I274" s="492"/>
      <c r="J274" s="254"/>
      <c r="K274" s="492"/>
      <c r="L274" s="254"/>
      <c r="M274" s="492"/>
      <c r="N274" s="254"/>
      <c r="O274" s="492"/>
      <c r="P274" s="254"/>
      <c r="Q274" s="492"/>
      <c r="R274" s="254"/>
      <c r="S274" s="513"/>
      <c r="T274" s="46"/>
      <c r="U274" s="492"/>
      <c r="V274" s="254"/>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row>
    <row r="275">
      <c r="A275" s="492"/>
      <c r="B275" s="254"/>
      <c r="C275" s="492"/>
      <c r="D275" s="254"/>
      <c r="E275" s="492"/>
      <c r="F275" s="254"/>
      <c r="G275" s="492"/>
      <c r="H275" s="254"/>
      <c r="I275" s="492"/>
      <c r="J275" s="254"/>
      <c r="K275" s="492"/>
      <c r="L275" s="254"/>
      <c r="M275" s="492"/>
      <c r="N275" s="254"/>
      <c r="O275" s="492"/>
      <c r="P275" s="254"/>
      <c r="Q275" s="492"/>
      <c r="R275" s="254"/>
      <c r="S275" s="513"/>
      <c r="T275" s="46"/>
      <c r="U275" s="492"/>
      <c r="V275" s="254"/>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row>
    <row r="276">
      <c r="A276" s="492"/>
      <c r="B276" s="254"/>
      <c r="C276" s="492"/>
      <c r="D276" s="254"/>
      <c r="E276" s="492"/>
      <c r="F276" s="254"/>
      <c r="G276" s="492"/>
      <c r="H276" s="254"/>
      <c r="I276" s="492"/>
      <c r="J276" s="254"/>
      <c r="K276" s="492"/>
      <c r="L276" s="254"/>
      <c r="M276" s="492"/>
      <c r="N276" s="254"/>
      <c r="O276" s="492"/>
      <c r="P276" s="254"/>
      <c r="Q276" s="492"/>
      <c r="R276" s="254"/>
      <c r="S276" s="513"/>
      <c r="T276" s="46"/>
      <c r="U276" s="492"/>
      <c r="V276" s="254"/>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row>
    <row r="277">
      <c r="A277" s="492"/>
      <c r="B277" s="254"/>
      <c r="C277" s="492"/>
      <c r="D277" s="254"/>
      <c r="E277" s="492"/>
      <c r="F277" s="254"/>
      <c r="G277" s="492"/>
      <c r="H277" s="254"/>
      <c r="I277" s="492"/>
      <c r="J277" s="254"/>
      <c r="K277" s="492"/>
      <c r="L277" s="254"/>
      <c r="M277" s="492"/>
      <c r="N277" s="254"/>
      <c r="O277" s="492"/>
      <c r="P277" s="254"/>
      <c r="Q277" s="492"/>
      <c r="R277" s="254"/>
      <c r="S277" s="513"/>
      <c r="T277" s="46"/>
      <c r="U277" s="492"/>
      <c r="V277" s="254"/>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row>
    <row r="278">
      <c r="A278" s="492"/>
      <c r="B278" s="254"/>
      <c r="C278" s="492"/>
      <c r="D278" s="254"/>
      <c r="E278" s="492"/>
      <c r="F278" s="254"/>
      <c r="G278" s="492"/>
      <c r="H278" s="254"/>
      <c r="I278" s="492"/>
      <c r="J278" s="254"/>
      <c r="K278" s="492"/>
      <c r="L278" s="254"/>
      <c r="M278" s="492"/>
      <c r="N278" s="254"/>
      <c r="O278" s="492"/>
      <c r="P278" s="254"/>
      <c r="Q278" s="492"/>
      <c r="R278" s="254"/>
      <c r="S278" s="513"/>
      <c r="T278" s="46"/>
      <c r="U278" s="492"/>
      <c r="V278" s="254"/>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row>
    <row r="279">
      <c r="A279" s="492"/>
      <c r="B279" s="254"/>
      <c r="C279" s="492"/>
      <c r="D279" s="254"/>
      <c r="E279" s="492"/>
      <c r="F279" s="254"/>
      <c r="G279" s="492"/>
      <c r="H279" s="254"/>
      <c r="I279" s="492"/>
      <c r="J279" s="254"/>
      <c r="K279" s="492"/>
      <c r="L279" s="254"/>
      <c r="M279" s="492"/>
      <c r="N279" s="254"/>
      <c r="O279" s="492"/>
      <c r="P279" s="254"/>
      <c r="Q279" s="492"/>
      <c r="R279" s="254"/>
      <c r="S279" s="513"/>
      <c r="T279" s="46"/>
      <c r="U279" s="492"/>
      <c r="V279" s="254"/>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row>
    <row r="280">
      <c r="A280" s="492"/>
      <c r="B280" s="254"/>
      <c r="C280" s="492"/>
      <c r="D280" s="254"/>
      <c r="E280" s="492"/>
      <c r="F280" s="254"/>
      <c r="G280" s="492"/>
      <c r="H280" s="254"/>
      <c r="I280" s="492"/>
      <c r="J280" s="254"/>
      <c r="K280" s="492"/>
      <c r="L280" s="254"/>
      <c r="M280" s="492"/>
      <c r="N280" s="254"/>
      <c r="O280" s="492"/>
      <c r="P280" s="254"/>
      <c r="Q280" s="492"/>
      <c r="R280" s="254"/>
      <c r="S280" s="513"/>
      <c r="T280" s="46"/>
      <c r="U280" s="492"/>
      <c r="V280" s="254"/>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row>
    <row r="281">
      <c r="A281" s="492"/>
      <c r="B281" s="254"/>
      <c r="C281" s="492"/>
      <c r="D281" s="254"/>
      <c r="E281" s="492"/>
      <c r="F281" s="254"/>
      <c r="G281" s="492"/>
      <c r="H281" s="254"/>
      <c r="I281" s="492"/>
      <c r="J281" s="254"/>
      <c r="K281" s="492"/>
      <c r="L281" s="254"/>
      <c r="M281" s="492"/>
      <c r="N281" s="254"/>
      <c r="O281" s="492"/>
      <c r="P281" s="254"/>
      <c r="Q281" s="492"/>
      <c r="R281" s="254"/>
      <c r="S281" s="513"/>
      <c r="T281" s="46"/>
      <c r="U281" s="492"/>
      <c r="V281" s="254"/>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row>
    <row r="282">
      <c r="A282" s="492"/>
      <c r="B282" s="254"/>
      <c r="C282" s="492"/>
      <c r="D282" s="254"/>
      <c r="E282" s="492"/>
      <c r="F282" s="254"/>
      <c r="G282" s="492"/>
      <c r="H282" s="254"/>
      <c r="I282" s="492"/>
      <c r="J282" s="254"/>
      <c r="K282" s="492"/>
      <c r="L282" s="254"/>
      <c r="M282" s="492"/>
      <c r="N282" s="254"/>
      <c r="O282" s="492"/>
      <c r="P282" s="254"/>
      <c r="Q282" s="492"/>
      <c r="R282" s="254"/>
      <c r="S282" s="513"/>
      <c r="T282" s="46"/>
      <c r="U282" s="492"/>
      <c r="V282" s="254"/>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row>
    <row r="283">
      <c r="A283" s="492"/>
      <c r="B283" s="254"/>
      <c r="C283" s="492"/>
      <c r="D283" s="254"/>
      <c r="E283" s="492"/>
      <c r="F283" s="254"/>
      <c r="G283" s="492"/>
      <c r="H283" s="254"/>
      <c r="I283" s="492"/>
      <c r="J283" s="254"/>
      <c r="K283" s="492"/>
      <c r="L283" s="254"/>
      <c r="M283" s="492"/>
      <c r="N283" s="254"/>
      <c r="O283" s="492"/>
      <c r="P283" s="254"/>
      <c r="Q283" s="492"/>
      <c r="R283" s="254"/>
      <c r="S283" s="513"/>
      <c r="T283" s="46"/>
      <c r="U283" s="492"/>
      <c r="V283" s="254"/>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row>
    <row r="284">
      <c r="A284" s="492"/>
      <c r="B284" s="254"/>
      <c r="C284" s="492"/>
      <c r="D284" s="254"/>
      <c r="E284" s="492"/>
      <c r="F284" s="254"/>
      <c r="G284" s="492"/>
      <c r="H284" s="254"/>
      <c r="I284" s="492"/>
      <c r="J284" s="254"/>
      <c r="K284" s="492"/>
      <c r="L284" s="254"/>
      <c r="M284" s="492"/>
      <c r="N284" s="254"/>
      <c r="O284" s="492"/>
      <c r="P284" s="254"/>
      <c r="Q284" s="492"/>
      <c r="R284" s="254"/>
      <c r="S284" s="513"/>
      <c r="T284" s="46"/>
      <c r="U284" s="492"/>
      <c r="V284" s="254"/>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row>
    <row r="285">
      <c r="A285" s="492"/>
      <c r="B285" s="254"/>
      <c r="C285" s="492"/>
      <c r="D285" s="254"/>
      <c r="E285" s="492"/>
      <c r="F285" s="254"/>
      <c r="G285" s="492"/>
      <c r="H285" s="254"/>
      <c r="I285" s="492"/>
      <c r="J285" s="254"/>
      <c r="K285" s="492"/>
      <c r="L285" s="254"/>
      <c r="M285" s="492"/>
      <c r="N285" s="254"/>
      <c r="O285" s="492"/>
      <c r="P285" s="254"/>
      <c r="Q285" s="492"/>
      <c r="R285" s="254"/>
      <c r="S285" s="513"/>
      <c r="T285" s="46"/>
      <c r="U285" s="492"/>
      <c r="V285" s="254"/>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row>
    <row r="286">
      <c r="A286" s="492"/>
      <c r="B286" s="254"/>
      <c r="C286" s="492"/>
      <c r="D286" s="254"/>
      <c r="E286" s="492"/>
      <c r="F286" s="254"/>
      <c r="G286" s="492"/>
      <c r="H286" s="254"/>
      <c r="I286" s="492"/>
      <c r="J286" s="254"/>
      <c r="K286" s="492"/>
      <c r="L286" s="254"/>
      <c r="M286" s="492"/>
      <c r="N286" s="254"/>
      <c r="O286" s="492"/>
      <c r="P286" s="254"/>
      <c r="Q286" s="492"/>
      <c r="R286" s="254"/>
      <c r="S286" s="513"/>
      <c r="T286" s="46"/>
      <c r="U286" s="492"/>
      <c r="V286" s="254"/>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row>
    <row r="287">
      <c r="A287" s="492"/>
      <c r="B287" s="254"/>
      <c r="C287" s="492"/>
      <c r="D287" s="254"/>
      <c r="E287" s="492"/>
      <c r="F287" s="254"/>
      <c r="G287" s="492"/>
      <c r="H287" s="254"/>
      <c r="I287" s="492"/>
      <c r="J287" s="254"/>
      <c r="K287" s="492"/>
      <c r="L287" s="254"/>
      <c r="M287" s="492"/>
      <c r="N287" s="254"/>
      <c r="O287" s="492"/>
      <c r="P287" s="254"/>
      <c r="Q287" s="492"/>
      <c r="R287" s="254"/>
      <c r="S287" s="513"/>
      <c r="T287" s="46"/>
      <c r="U287" s="492"/>
      <c r="V287" s="254"/>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row>
    <row r="288">
      <c r="A288" s="492"/>
      <c r="B288" s="254"/>
      <c r="C288" s="492"/>
      <c r="D288" s="254"/>
      <c r="E288" s="492"/>
      <c r="F288" s="254"/>
      <c r="G288" s="492"/>
      <c r="H288" s="254"/>
      <c r="I288" s="492"/>
      <c r="J288" s="254"/>
      <c r="K288" s="492"/>
      <c r="L288" s="254"/>
      <c r="M288" s="492"/>
      <c r="N288" s="254"/>
      <c r="O288" s="492"/>
      <c r="P288" s="254"/>
      <c r="Q288" s="492"/>
      <c r="R288" s="254"/>
      <c r="S288" s="513"/>
      <c r="T288" s="46"/>
      <c r="U288" s="492"/>
      <c r="V288" s="254"/>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row>
    <row r="289">
      <c r="A289" s="492"/>
      <c r="B289" s="254"/>
      <c r="C289" s="492"/>
      <c r="D289" s="254"/>
      <c r="E289" s="492"/>
      <c r="F289" s="254"/>
      <c r="G289" s="492"/>
      <c r="H289" s="254"/>
      <c r="I289" s="492"/>
      <c r="J289" s="254"/>
      <c r="K289" s="492"/>
      <c r="L289" s="254"/>
      <c r="M289" s="492"/>
      <c r="N289" s="254"/>
      <c r="O289" s="492"/>
      <c r="P289" s="254"/>
      <c r="Q289" s="492"/>
      <c r="R289" s="254"/>
      <c r="S289" s="513"/>
      <c r="T289" s="46"/>
      <c r="U289" s="492"/>
      <c r="V289" s="254"/>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row>
    <row r="290">
      <c r="A290" s="492"/>
      <c r="B290" s="254"/>
      <c r="C290" s="492"/>
      <c r="D290" s="254"/>
      <c r="E290" s="492"/>
      <c r="F290" s="254"/>
      <c r="G290" s="492"/>
      <c r="H290" s="254"/>
      <c r="I290" s="492"/>
      <c r="J290" s="254"/>
      <c r="K290" s="492"/>
      <c r="L290" s="254"/>
      <c r="M290" s="492"/>
      <c r="N290" s="254"/>
      <c r="O290" s="492"/>
      <c r="P290" s="254"/>
      <c r="Q290" s="492"/>
      <c r="R290" s="254"/>
      <c r="S290" s="513"/>
      <c r="T290" s="46"/>
      <c r="U290" s="492"/>
      <c r="V290" s="254"/>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row>
    <row r="291">
      <c r="A291" s="492"/>
      <c r="B291" s="254"/>
      <c r="C291" s="492"/>
      <c r="D291" s="254"/>
      <c r="E291" s="492"/>
      <c r="F291" s="254"/>
      <c r="G291" s="492"/>
      <c r="H291" s="254"/>
      <c r="I291" s="492"/>
      <c r="J291" s="254"/>
      <c r="K291" s="492"/>
      <c r="L291" s="254"/>
      <c r="M291" s="492"/>
      <c r="N291" s="254"/>
      <c r="O291" s="492"/>
      <c r="P291" s="254"/>
      <c r="Q291" s="492"/>
      <c r="R291" s="254"/>
      <c r="S291" s="513"/>
      <c r="T291" s="46"/>
      <c r="U291" s="492"/>
      <c r="V291" s="254"/>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row>
    <row r="292">
      <c r="A292" s="492"/>
      <c r="B292" s="254"/>
      <c r="C292" s="492"/>
      <c r="D292" s="254"/>
      <c r="E292" s="492"/>
      <c r="F292" s="254"/>
      <c r="G292" s="492"/>
      <c r="H292" s="254"/>
      <c r="I292" s="492"/>
      <c r="J292" s="254"/>
      <c r="K292" s="492"/>
      <c r="L292" s="254"/>
      <c r="M292" s="492"/>
      <c r="N292" s="254"/>
      <c r="O292" s="492"/>
      <c r="P292" s="254"/>
      <c r="Q292" s="492"/>
      <c r="R292" s="254"/>
      <c r="S292" s="513"/>
      <c r="T292" s="46"/>
      <c r="U292" s="492"/>
      <c r="V292" s="254"/>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row>
    <row r="293">
      <c r="A293" s="492"/>
      <c r="B293" s="254"/>
      <c r="C293" s="492"/>
      <c r="D293" s="254"/>
      <c r="E293" s="492"/>
      <c r="F293" s="254"/>
      <c r="G293" s="492"/>
      <c r="H293" s="254"/>
      <c r="I293" s="492"/>
      <c r="J293" s="254"/>
      <c r="K293" s="492"/>
      <c r="L293" s="254"/>
      <c r="M293" s="492"/>
      <c r="N293" s="254"/>
      <c r="O293" s="492"/>
      <c r="P293" s="254"/>
      <c r="Q293" s="492"/>
      <c r="R293" s="254"/>
      <c r="S293" s="513"/>
      <c r="T293" s="46"/>
      <c r="U293" s="492"/>
      <c r="V293" s="254"/>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row>
    <row r="294">
      <c r="A294" s="492"/>
      <c r="B294" s="254"/>
      <c r="C294" s="492"/>
      <c r="D294" s="254"/>
      <c r="E294" s="492"/>
      <c r="F294" s="254"/>
      <c r="G294" s="492"/>
      <c r="H294" s="254"/>
      <c r="I294" s="492"/>
      <c r="J294" s="254"/>
      <c r="K294" s="492"/>
      <c r="L294" s="254"/>
      <c r="M294" s="492"/>
      <c r="N294" s="254"/>
      <c r="O294" s="492"/>
      <c r="P294" s="254"/>
      <c r="Q294" s="492"/>
      <c r="R294" s="254"/>
      <c r="S294" s="513"/>
      <c r="T294" s="46"/>
      <c r="U294" s="492"/>
      <c r="V294" s="254"/>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row>
    <row r="295">
      <c r="A295" s="492"/>
      <c r="B295" s="254"/>
      <c r="C295" s="492"/>
      <c r="D295" s="254"/>
      <c r="E295" s="492"/>
      <c r="F295" s="254"/>
      <c r="G295" s="492"/>
      <c r="H295" s="254"/>
      <c r="I295" s="492"/>
      <c r="J295" s="254"/>
      <c r="K295" s="492"/>
      <c r="L295" s="254"/>
      <c r="M295" s="492"/>
      <c r="N295" s="254"/>
      <c r="O295" s="492"/>
      <c r="P295" s="254"/>
      <c r="Q295" s="492"/>
      <c r="R295" s="254"/>
      <c r="S295" s="513"/>
      <c r="T295" s="46"/>
      <c r="U295" s="492"/>
      <c r="V295" s="254"/>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row>
    <row r="296">
      <c r="A296" s="492"/>
      <c r="B296" s="254"/>
      <c r="C296" s="492"/>
      <c r="D296" s="254"/>
      <c r="E296" s="492"/>
      <c r="F296" s="254"/>
      <c r="G296" s="492"/>
      <c r="H296" s="254"/>
      <c r="I296" s="492"/>
      <c r="J296" s="254"/>
      <c r="K296" s="492"/>
      <c r="L296" s="254"/>
      <c r="M296" s="492"/>
      <c r="N296" s="254"/>
      <c r="O296" s="492"/>
      <c r="P296" s="254"/>
      <c r="Q296" s="492"/>
      <c r="R296" s="254"/>
      <c r="S296" s="513"/>
      <c r="T296" s="46"/>
      <c r="U296" s="492"/>
      <c r="V296" s="254"/>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row>
    <row r="297">
      <c r="A297" s="492"/>
      <c r="B297" s="254"/>
      <c r="C297" s="492"/>
      <c r="D297" s="254"/>
      <c r="E297" s="492"/>
      <c r="F297" s="254"/>
      <c r="G297" s="492"/>
      <c r="H297" s="254"/>
      <c r="I297" s="492"/>
      <c r="J297" s="254"/>
      <c r="K297" s="492"/>
      <c r="L297" s="254"/>
      <c r="M297" s="492"/>
      <c r="N297" s="254"/>
      <c r="O297" s="492"/>
      <c r="P297" s="254"/>
      <c r="Q297" s="492"/>
      <c r="R297" s="254"/>
      <c r="S297" s="513"/>
      <c r="T297" s="46"/>
      <c r="U297" s="492"/>
      <c r="V297" s="254"/>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row>
    <row r="298">
      <c r="A298" s="492"/>
      <c r="B298" s="254"/>
      <c r="C298" s="492"/>
      <c r="D298" s="254"/>
      <c r="E298" s="492"/>
      <c r="F298" s="254"/>
      <c r="G298" s="492"/>
      <c r="H298" s="254"/>
      <c r="I298" s="492"/>
      <c r="J298" s="254"/>
      <c r="K298" s="492"/>
      <c r="L298" s="254"/>
      <c r="M298" s="492"/>
      <c r="N298" s="254"/>
      <c r="O298" s="492"/>
      <c r="P298" s="254"/>
      <c r="Q298" s="492"/>
      <c r="R298" s="254"/>
      <c r="S298" s="513"/>
      <c r="T298" s="46"/>
      <c r="U298" s="492"/>
      <c r="V298" s="254"/>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row>
    <row r="299">
      <c r="A299" s="492"/>
      <c r="B299" s="254"/>
      <c r="C299" s="492"/>
      <c r="D299" s="254"/>
      <c r="E299" s="492"/>
      <c r="F299" s="254"/>
      <c r="G299" s="492"/>
      <c r="H299" s="254"/>
      <c r="I299" s="492"/>
      <c r="J299" s="254"/>
      <c r="K299" s="492"/>
      <c r="L299" s="254"/>
      <c r="M299" s="492"/>
      <c r="N299" s="254"/>
      <c r="O299" s="492"/>
      <c r="P299" s="254"/>
      <c r="Q299" s="492"/>
      <c r="R299" s="254"/>
      <c r="S299" s="513"/>
      <c r="T299" s="46"/>
      <c r="U299" s="492"/>
      <c r="V299" s="254"/>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row>
    <row r="300">
      <c r="A300" s="492"/>
      <c r="B300" s="254"/>
      <c r="C300" s="492"/>
      <c r="D300" s="254"/>
      <c r="E300" s="492"/>
      <c r="F300" s="254"/>
      <c r="G300" s="492"/>
      <c r="H300" s="254"/>
      <c r="I300" s="492"/>
      <c r="J300" s="254"/>
      <c r="K300" s="492"/>
      <c r="L300" s="254"/>
      <c r="M300" s="492"/>
      <c r="N300" s="254"/>
      <c r="O300" s="492"/>
      <c r="P300" s="254"/>
      <c r="Q300" s="492"/>
      <c r="R300" s="254"/>
      <c r="S300" s="513"/>
      <c r="T300" s="46"/>
      <c r="U300" s="492"/>
      <c r="V300" s="254"/>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row>
    <row r="301">
      <c r="A301" s="492"/>
      <c r="B301" s="254"/>
      <c r="C301" s="492"/>
      <c r="D301" s="254"/>
      <c r="E301" s="492"/>
      <c r="F301" s="254"/>
      <c r="G301" s="492"/>
      <c r="H301" s="254"/>
      <c r="I301" s="492"/>
      <c r="J301" s="254"/>
      <c r="K301" s="492"/>
      <c r="L301" s="254"/>
      <c r="M301" s="492"/>
      <c r="N301" s="254"/>
      <c r="O301" s="492"/>
      <c r="P301" s="254"/>
      <c r="Q301" s="492"/>
      <c r="R301" s="254"/>
      <c r="S301" s="513"/>
      <c r="T301" s="46"/>
      <c r="U301" s="492"/>
      <c r="V301" s="254"/>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row>
    <row r="302">
      <c r="A302" s="492"/>
      <c r="B302" s="254"/>
      <c r="C302" s="492"/>
      <c r="D302" s="254"/>
      <c r="E302" s="492"/>
      <c r="F302" s="254"/>
      <c r="G302" s="492"/>
      <c r="H302" s="254"/>
      <c r="I302" s="492"/>
      <c r="J302" s="254"/>
      <c r="K302" s="492"/>
      <c r="L302" s="254"/>
      <c r="M302" s="492"/>
      <c r="N302" s="254"/>
      <c r="O302" s="492"/>
      <c r="P302" s="254"/>
      <c r="Q302" s="492"/>
      <c r="R302" s="254"/>
      <c r="S302" s="513"/>
      <c r="T302" s="46"/>
      <c r="U302" s="492"/>
      <c r="V302" s="254"/>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row>
    <row r="303">
      <c r="A303" s="492"/>
      <c r="B303" s="254"/>
      <c r="C303" s="492"/>
      <c r="D303" s="254"/>
      <c r="E303" s="492"/>
      <c r="F303" s="254"/>
      <c r="G303" s="492"/>
      <c r="H303" s="254"/>
      <c r="I303" s="492"/>
      <c r="J303" s="254"/>
      <c r="K303" s="492"/>
      <c r="L303" s="254"/>
      <c r="M303" s="492"/>
      <c r="N303" s="254"/>
      <c r="O303" s="492"/>
      <c r="P303" s="254"/>
      <c r="Q303" s="492"/>
      <c r="R303" s="254"/>
      <c r="S303" s="513"/>
      <c r="T303" s="46"/>
      <c r="U303" s="492"/>
      <c r="V303" s="254"/>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row>
    <row r="304">
      <c r="A304" s="492"/>
      <c r="B304" s="254"/>
      <c r="C304" s="492"/>
      <c r="D304" s="254"/>
      <c r="E304" s="492"/>
      <c r="F304" s="254"/>
      <c r="G304" s="492"/>
      <c r="H304" s="254"/>
      <c r="I304" s="492"/>
      <c r="J304" s="254"/>
      <c r="K304" s="492"/>
      <c r="L304" s="254"/>
      <c r="M304" s="492"/>
      <c r="N304" s="254"/>
      <c r="O304" s="492"/>
      <c r="P304" s="254"/>
      <c r="Q304" s="492"/>
      <c r="R304" s="254"/>
      <c r="S304" s="513"/>
      <c r="T304" s="46"/>
      <c r="U304" s="492"/>
      <c r="V304" s="254"/>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row>
    <row r="305">
      <c r="A305" s="492"/>
      <c r="B305" s="254"/>
      <c r="C305" s="492"/>
      <c r="D305" s="254"/>
      <c r="E305" s="492"/>
      <c r="F305" s="254"/>
      <c r="G305" s="492"/>
      <c r="H305" s="254"/>
      <c r="I305" s="492"/>
      <c r="J305" s="254"/>
      <c r="K305" s="492"/>
      <c r="L305" s="254"/>
      <c r="M305" s="492"/>
      <c r="N305" s="254"/>
      <c r="O305" s="492"/>
      <c r="P305" s="254"/>
      <c r="Q305" s="492"/>
      <c r="R305" s="254"/>
      <c r="S305" s="513"/>
      <c r="T305" s="46"/>
      <c r="U305" s="492"/>
      <c r="V305" s="254"/>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row>
    <row r="306">
      <c r="A306" s="492"/>
      <c r="B306" s="254"/>
      <c r="C306" s="492"/>
      <c r="D306" s="254"/>
      <c r="E306" s="492"/>
      <c r="F306" s="254"/>
      <c r="G306" s="492"/>
      <c r="H306" s="254"/>
      <c r="I306" s="492"/>
      <c r="J306" s="254"/>
      <c r="K306" s="492"/>
      <c r="L306" s="254"/>
      <c r="M306" s="492"/>
      <c r="N306" s="254"/>
      <c r="O306" s="492"/>
      <c r="P306" s="254"/>
      <c r="Q306" s="492"/>
      <c r="R306" s="254"/>
      <c r="S306" s="513"/>
      <c r="T306" s="46"/>
      <c r="U306" s="492"/>
      <c r="V306" s="254"/>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row>
    <row r="307">
      <c r="A307" s="492"/>
      <c r="B307" s="254"/>
      <c r="C307" s="492"/>
      <c r="D307" s="254"/>
      <c r="E307" s="492"/>
      <c r="F307" s="254"/>
      <c r="G307" s="492"/>
      <c r="H307" s="254"/>
      <c r="I307" s="492"/>
      <c r="J307" s="254"/>
      <c r="K307" s="492"/>
      <c r="L307" s="254"/>
      <c r="M307" s="492"/>
      <c r="N307" s="254"/>
      <c r="O307" s="492"/>
      <c r="P307" s="254"/>
      <c r="Q307" s="492"/>
      <c r="R307" s="254"/>
      <c r="S307" s="513"/>
      <c r="T307" s="46"/>
      <c r="U307" s="492"/>
      <c r="V307" s="254"/>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row>
    <row r="308">
      <c r="A308" s="492"/>
      <c r="B308" s="254"/>
      <c r="C308" s="492"/>
      <c r="D308" s="254"/>
      <c r="E308" s="492"/>
      <c r="F308" s="254"/>
      <c r="G308" s="492"/>
      <c r="H308" s="254"/>
      <c r="I308" s="492"/>
      <c r="J308" s="254"/>
      <c r="K308" s="492"/>
      <c r="L308" s="254"/>
      <c r="M308" s="492"/>
      <c r="N308" s="254"/>
      <c r="O308" s="492"/>
      <c r="P308" s="254"/>
      <c r="Q308" s="492"/>
      <c r="R308" s="254"/>
      <c r="S308" s="513"/>
      <c r="T308" s="46"/>
      <c r="U308" s="492"/>
      <c r="V308" s="254"/>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row>
    <row r="309">
      <c r="A309" s="492"/>
      <c r="B309" s="254"/>
      <c r="C309" s="492"/>
      <c r="D309" s="254"/>
      <c r="E309" s="492"/>
      <c r="F309" s="254"/>
      <c r="G309" s="492"/>
      <c r="H309" s="254"/>
      <c r="I309" s="492"/>
      <c r="J309" s="254"/>
      <c r="K309" s="492"/>
      <c r="L309" s="254"/>
      <c r="M309" s="492"/>
      <c r="N309" s="254"/>
      <c r="O309" s="492"/>
      <c r="P309" s="254"/>
      <c r="Q309" s="492"/>
      <c r="R309" s="254"/>
      <c r="S309" s="513"/>
      <c r="T309" s="46"/>
      <c r="U309" s="492"/>
      <c r="V309" s="254"/>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row>
    <row r="310">
      <c r="A310" s="492"/>
      <c r="B310" s="254"/>
      <c r="C310" s="492"/>
      <c r="D310" s="254"/>
      <c r="E310" s="492"/>
      <c r="F310" s="254"/>
      <c r="G310" s="492"/>
      <c r="H310" s="254"/>
      <c r="I310" s="492"/>
      <c r="J310" s="254"/>
      <c r="K310" s="492"/>
      <c r="L310" s="254"/>
      <c r="M310" s="492"/>
      <c r="N310" s="254"/>
      <c r="O310" s="492"/>
      <c r="P310" s="254"/>
      <c r="Q310" s="492"/>
      <c r="R310" s="254"/>
      <c r="S310" s="513"/>
      <c r="T310" s="46"/>
      <c r="U310" s="492"/>
      <c r="V310" s="254"/>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row>
    <row r="311">
      <c r="A311" s="492"/>
      <c r="B311" s="254"/>
      <c r="C311" s="492"/>
      <c r="D311" s="254"/>
      <c r="E311" s="492"/>
      <c r="F311" s="254"/>
      <c r="G311" s="492"/>
      <c r="H311" s="254"/>
      <c r="I311" s="492"/>
      <c r="J311" s="254"/>
      <c r="K311" s="492"/>
      <c r="L311" s="254"/>
      <c r="M311" s="492"/>
      <c r="N311" s="254"/>
      <c r="O311" s="492"/>
      <c r="P311" s="254"/>
      <c r="Q311" s="492"/>
      <c r="R311" s="254"/>
      <c r="S311" s="513"/>
      <c r="T311" s="46"/>
      <c r="U311" s="492"/>
      <c r="V311" s="254"/>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row>
    <row r="312">
      <c r="A312" s="492"/>
      <c r="B312" s="254"/>
      <c r="C312" s="492"/>
      <c r="D312" s="254"/>
      <c r="E312" s="492"/>
      <c r="F312" s="254"/>
      <c r="G312" s="492"/>
      <c r="H312" s="254"/>
      <c r="I312" s="492"/>
      <c r="J312" s="254"/>
      <c r="K312" s="492"/>
      <c r="L312" s="254"/>
      <c r="M312" s="492"/>
      <c r="N312" s="254"/>
      <c r="O312" s="492"/>
      <c r="P312" s="254"/>
      <c r="Q312" s="492"/>
      <c r="R312" s="254"/>
      <c r="S312" s="513"/>
      <c r="T312" s="46"/>
      <c r="U312" s="492"/>
      <c r="V312" s="254"/>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row>
    <row r="313">
      <c r="A313" s="492"/>
      <c r="B313" s="254"/>
      <c r="C313" s="492"/>
      <c r="D313" s="254"/>
      <c r="E313" s="492"/>
      <c r="F313" s="254"/>
      <c r="G313" s="492"/>
      <c r="H313" s="254"/>
      <c r="I313" s="492"/>
      <c r="J313" s="254"/>
      <c r="K313" s="492"/>
      <c r="L313" s="254"/>
      <c r="M313" s="492"/>
      <c r="N313" s="254"/>
      <c r="O313" s="492"/>
      <c r="P313" s="254"/>
      <c r="Q313" s="492"/>
      <c r="R313" s="254"/>
      <c r="S313" s="513"/>
      <c r="T313" s="46"/>
      <c r="U313" s="492"/>
      <c r="V313" s="254"/>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row>
    <row r="314">
      <c r="A314" s="492"/>
      <c r="B314" s="254"/>
      <c r="C314" s="492"/>
      <c r="D314" s="254"/>
      <c r="E314" s="492"/>
      <c r="F314" s="254"/>
      <c r="G314" s="492"/>
      <c r="H314" s="254"/>
      <c r="I314" s="492"/>
      <c r="J314" s="254"/>
      <c r="K314" s="492"/>
      <c r="L314" s="254"/>
      <c r="M314" s="492"/>
      <c r="N314" s="254"/>
      <c r="O314" s="492"/>
      <c r="P314" s="254"/>
      <c r="Q314" s="492"/>
      <c r="R314" s="254"/>
      <c r="S314" s="513"/>
      <c r="T314" s="46"/>
      <c r="U314" s="492"/>
      <c r="V314" s="254"/>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row>
    <row r="315">
      <c r="A315" s="492"/>
      <c r="B315" s="254"/>
      <c r="C315" s="492"/>
      <c r="D315" s="254"/>
      <c r="E315" s="492"/>
      <c r="F315" s="254"/>
      <c r="G315" s="492"/>
      <c r="H315" s="254"/>
      <c r="I315" s="492"/>
      <c r="J315" s="254"/>
      <c r="K315" s="492"/>
      <c r="L315" s="254"/>
      <c r="M315" s="492"/>
      <c r="N315" s="254"/>
      <c r="O315" s="492"/>
      <c r="P315" s="254"/>
      <c r="Q315" s="492"/>
      <c r="R315" s="254"/>
      <c r="S315" s="513"/>
      <c r="T315" s="46"/>
      <c r="U315" s="492"/>
      <c r="V315" s="254"/>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row>
    <row r="316">
      <c r="A316" s="492"/>
      <c r="B316" s="254"/>
      <c r="C316" s="492"/>
      <c r="D316" s="254"/>
      <c r="E316" s="492"/>
      <c r="F316" s="254"/>
      <c r="G316" s="492"/>
      <c r="H316" s="254"/>
      <c r="I316" s="492"/>
      <c r="J316" s="254"/>
      <c r="K316" s="492"/>
      <c r="L316" s="254"/>
      <c r="M316" s="492"/>
      <c r="N316" s="254"/>
      <c r="O316" s="492"/>
      <c r="P316" s="254"/>
      <c r="Q316" s="492"/>
      <c r="R316" s="254"/>
      <c r="S316" s="513"/>
      <c r="T316" s="46"/>
      <c r="U316" s="492"/>
      <c r="V316" s="254"/>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row>
    <row r="317">
      <c r="A317" s="492"/>
      <c r="B317" s="254"/>
      <c r="C317" s="492"/>
      <c r="D317" s="254"/>
      <c r="E317" s="492"/>
      <c r="F317" s="254"/>
      <c r="G317" s="492"/>
      <c r="H317" s="254"/>
      <c r="I317" s="492"/>
      <c r="J317" s="254"/>
      <c r="K317" s="492"/>
      <c r="L317" s="254"/>
      <c r="M317" s="492"/>
      <c r="N317" s="254"/>
      <c r="O317" s="492"/>
      <c r="P317" s="254"/>
      <c r="Q317" s="492"/>
      <c r="R317" s="254"/>
      <c r="S317" s="513"/>
      <c r="T317" s="46"/>
      <c r="U317" s="492"/>
      <c r="V317" s="254"/>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row>
    <row r="318">
      <c r="A318" s="492"/>
      <c r="B318" s="254"/>
      <c r="C318" s="492"/>
      <c r="D318" s="254"/>
      <c r="E318" s="492"/>
      <c r="F318" s="254"/>
      <c r="G318" s="492"/>
      <c r="H318" s="254"/>
      <c r="I318" s="492"/>
      <c r="J318" s="254"/>
      <c r="K318" s="492"/>
      <c r="L318" s="254"/>
      <c r="M318" s="492"/>
      <c r="N318" s="254"/>
      <c r="O318" s="492"/>
      <c r="P318" s="254"/>
      <c r="Q318" s="492"/>
      <c r="R318" s="254"/>
      <c r="S318" s="513"/>
      <c r="T318" s="46"/>
      <c r="U318" s="492"/>
      <c r="V318" s="254"/>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row>
    <row r="319">
      <c r="A319" s="492"/>
      <c r="B319" s="254"/>
      <c r="C319" s="492"/>
      <c r="D319" s="254"/>
      <c r="E319" s="492"/>
      <c r="F319" s="254"/>
      <c r="G319" s="492"/>
      <c r="H319" s="254"/>
      <c r="I319" s="492"/>
      <c r="J319" s="254"/>
      <c r="K319" s="492"/>
      <c r="L319" s="254"/>
      <c r="M319" s="492"/>
      <c r="N319" s="254"/>
      <c r="O319" s="492"/>
      <c r="P319" s="254"/>
      <c r="Q319" s="492"/>
      <c r="R319" s="254"/>
      <c r="S319" s="513"/>
      <c r="T319" s="46"/>
      <c r="U319" s="492"/>
      <c r="V319" s="254"/>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row>
    <row r="320">
      <c r="A320" s="492"/>
      <c r="B320" s="254"/>
      <c r="C320" s="492"/>
      <c r="D320" s="254"/>
      <c r="E320" s="492"/>
      <c r="F320" s="254"/>
      <c r="G320" s="492"/>
      <c r="H320" s="254"/>
      <c r="I320" s="492"/>
      <c r="J320" s="254"/>
      <c r="K320" s="492"/>
      <c r="L320" s="254"/>
      <c r="M320" s="492"/>
      <c r="N320" s="254"/>
      <c r="O320" s="492"/>
      <c r="P320" s="254"/>
      <c r="Q320" s="492"/>
      <c r="R320" s="254"/>
      <c r="S320" s="513"/>
      <c r="T320" s="46"/>
      <c r="U320" s="492"/>
      <c r="V320" s="254"/>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row>
    <row r="321">
      <c r="A321" s="492"/>
      <c r="B321" s="254"/>
      <c r="C321" s="492"/>
      <c r="D321" s="254"/>
      <c r="E321" s="492"/>
      <c r="F321" s="254"/>
      <c r="G321" s="492"/>
      <c r="H321" s="254"/>
      <c r="I321" s="492"/>
      <c r="J321" s="254"/>
      <c r="K321" s="492"/>
      <c r="L321" s="254"/>
      <c r="M321" s="492"/>
      <c r="N321" s="254"/>
      <c r="O321" s="492"/>
      <c r="P321" s="254"/>
      <c r="Q321" s="492"/>
      <c r="R321" s="254"/>
      <c r="S321" s="513"/>
      <c r="T321" s="46"/>
      <c r="U321" s="492"/>
      <c r="V321" s="254"/>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row>
    <row r="322">
      <c r="A322" s="492"/>
      <c r="B322" s="254"/>
      <c r="C322" s="492"/>
      <c r="D322" s="254"/>
      <c r="E322" s="492"/>
      <c r="F322" s="254"/>
      <c r="G322" s="492"/>
      <c r="H322" s="254"/>
      <c r="I322" s="492"/>
      <c r="J322" s="254"/>
      <c r="K322" s="492"/>
      <c r="L322" s="254"/>
      <c r="M322" s="492"/>
      <c r="N322" s="254"/>
      <c r="O322" s="492"/>
      <c r="P322" s="254"/>
      <c r="Q322" s="492"/>
      <c r="R322" s="254"/>
      <c r="S322" s="513"/>
      <c r="T322" s="46"/>
      <c r="U322" s="492"/>
      <c r="V322" s="254"/>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row>
    <row r="323">
      <c r="A323" s="492"/>
      <c r="B323" s="254"/>
      <c r="C323" s="492"/>
      <c r="D323" s="254"/>
      <c r="E323" s="492"/>
      <c r="F323" s="254"/>
      <c r="G323" s="492"/>
      <c r="H323" s="254"/>
      <c r="I323" s="492"/>
      <c r="J323" s="254"/>
      <c r="K323" s="492"/>
      <c r="L323" s="254"/>
      <c r="M323" s="492"/>
      <c r="N323" s="254"/>
      <c r="O323" s="492"/>
      <c r="P323" s="254"/>
      <c r="Q323" s="492"/>
      <c r="R323" s="254"/>
      <c r="S323" s="513"/>
      <c r="T323" s="46"/>
      <c r="U323" s="492"/>
      <c r="V323" s="254"/>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row>
    <row r="324">
      <c r="A324" s="492"/>
      <c r="B324" s="254"/>
      <c r="C324" s="492"/>
      <c r="D324" s="254"/>
      <c r="E324" s="492"/>
      <c r="F324" s="254"/>
      <c r="G324" s="492"/>
      <c r="H324" s="254"/>
      <c r="I324" s="492"/>
      <c r="J324" s="254"/>
      <c r="K324" s="492"/>
      <c r="L324" s="254"/>
      <c r="M324" s="492"/>
      <c r="N324" s="254"/>
      <c r="O324" s="492"/>
      <c r="P324" s="254"/>
      <c r="Q324" s="492"/>
      <c r="R324" s="254"/>
      <c r="S324" s="513"/>
      <c r="T324" s="46"/>
      <c r="U324" s="492"/>
      <c r="V324" s="254"/>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row>
    <row r="325">
      <c r="A325" s="492"/>
      <c r="B325" s="254"/>
      <c r="C325" s="492"/>
      <c r="D325" s="254"/>
      <c r="E325" s="492"/>
      <c r="F325" s="254"/>
      <c r="G325" s="492"/>
      <c r="H325" s="254"/>
      <c r="I325" s="492"/>
      <c r="J325" s="254"/>
      <c r="K325" s="492"/>
      <c r="L325" s="254"/>
      <c r="M325" s="492"/>
      <c r="N325" s="254"/>
      <c r="O325" s="492"/>
      <c r="P325" s="254"/>
      <c r="Q325" s="492"/>
      <c r="R325" s="254"/>
      <c r="S325" s="513"/>
      <c r="T325" s="46"/>
      <c r="U325" s="492"/>
      <c r="V325" s="254"/>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row>
    <row r="326">
      <c r="A326" s="492"/>
      <c r="B326" s="254"/>
      <c r="C326" s="492"/>
      <c r="D326" s="254"/>
      <c r="E326" s="492"/>
      <c r="F326" s="254"/>
      <c r="G326" s="492"/>
      <c r="H326" s="254"/>
      <c r="I326" s="492"/>
      <c r="J326" s="254"/>
      <c r="K326" s="492"/>
      <c r="L326" s="254"/>
      <c r="M326" s="492"/>
      <c r="N326" s="254"/>
      <c r="O326" s="492"/>
      <c r="P326" s="254"/>
      <c r="Q326" s="492"/>
      <c r="R326" s="254"/>
      <c r="S326" s="513"/>
      <c r="T326" s="46"/>
      <c r="U326" s="492"/>
      <c r="V326" s="254"/>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row>
    <row r="327">
      <c r="A327" s="492"/>
      <c r="B327" s="254"/>
      <c r="C327" s="492"/>
      <c r="D327" s="254"/>
      <c r="E327" s="492"/>
      <c r="F327" s="254"/>
      <c r="G327" s="492"/>
      <c r="H327" s="254"/>
      <c r="I327" s="492"/>
      <c r="J327" s="254"/>
      <c r="K327" s="492"/>
      <c r="L327" s="254"/>
      <c r="M327" s="492"/>
      <c r="N327" s="254"/>
      <c r="O327" s="492"/>
      <c r="P327" s="254"/>
      <c r="Q327" s="492"/>
      <c r="R327" s="254"/>
      <c r="S327" s="513"/>
      <c r="T327" s="46"/>
      <c r="U327" s="492"/>
      <c r="V327" s="254"/>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row>
    <row r="328">
      <c r="A328" s="492"/>
      <c r="B328" s="254"/>
      <c r="C328" s="492"/>
      <c r="D328" s="254"/>
      <c r="E328" s="492"/>
      <c r="F328" s="254"/>
      <c r="G328" s="492"/>
      <c r="H328" s="254"/>
      <c r="I328" s="492"/>
      <c r="J328" s="254"/>
      <c r="K328" s="492"/>
      <c r="L328" s="254"/>
      <c r="M328" s="492"/>
      <c r="N328" s="254"/>
      <c r="O328" s="492"/>
      <c r="P328" s="254"/>
      <c r="Q328" s="492"/>
      <c r="R328" s="254"/>
      <c r="S328" s="513"/>
      <c r="T328" s="46"/>
      <c r="U328" s="492"/>
      <c r="V328" s="254"/>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row>
    <row r="329">
      <c r="A329" s="492"/>
      <c r="B329" s="254"/>
      <c r="C329" s="492"/>
      <c r="D329" s="254"/>
      <c r="E329" s="492"/>
      <c r="F329" s="254"/>
      <c r="G329" s="492"/>
      <c r="H329" s="254"/>
      <c r="I329" s="492"/>
      <c r="J329" s="254"/>
      <c r="K329" s="492"/>
      <c r="L329" s="254"/>
      <c r="M329" s="492"/>
      <c r="N329" s="254"/>
      <c r="O329" s="492"/>
      <c r="P329" s="254"/>
      <c r="Q329" s="492"/>
      <c r="R329" s="254"/>
      <c r="S329" s="513"/>
      <c r="T329" s="46"/>
      <c r="U329" s="492"/>
      <c r="V329" s="254"/>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row>
    <row r="330">
      <c r="A330" s="492"/>
      <c r="B330" s="254"/>
      <c r="C330" s="492"/>
      <c r="D330" s="254"/>
      <c r="E330" s="492"/>
      <c r="F330" s="254"/>
      <c r="G330" s="492"/>
      <c r="H330" s="254"/>
      <c r="I330" s="492"/>
      <c r="J330" s="254"/>
      <c r="K330" s="492"/>
      <c r="L330" s="254"/>
      <c r="M330" s="492"/>
      <c r="N330" s="254"/>
      <c r="O330" s="492"/>
      <c r="P330" s="254"/>
      <c r="Q330" s="492"/>
      <c r="R330" s="254"/>
      <c r="S330" s="513"/>
      <c r="T330" s="46"/>
      <c r="U330" s="492"/>
      <c r="V330" s="254"/>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row>
    <row r="331">
      <c r="A331" s="492"/>
      <c r="B331" s="254"/>
      <c r="C331" s="492"/>
      <c r="D331" s="254"/>
      <c r="E331" s="492"/>
      <c r="F331" s="254"/>
      <c r="G331" s="492"/>
      <c r="H331" s="254"/>
      <c r="I331" s="492"/>
      <c r="J331" s="254"/>
      <c r="K331" s="492"/>
      <c r="L331" s="254"/>
      <c r="M331" s="492"/>
      <c r="N331" s="254"/>
      <c r="O331" s="492"/>
      <c r="P331" s="254"/>
      <c r="Q331" s="492"/>
      <c r="R331" s="254"/>
      <c r="S331" s="513"/>
      <c r="T331" s="46"/>
      <c r="U331" s="492"/>
      <c r="V331" s="254"/>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row>
    <row r="332">
      <c r="A332" s="492"/>
      <c r="B332" s="254"/>
      <c r="C332" s="492"/>
      <c r="D332" s="254"/>
      <c r="E332" s="492"/>
      <c r="F332" s="254"/>
      <c r="G332" s="492"/>
      <c r="H332" s="254"/>
      <c r="I332" s="492"/>
      <c r="J332" s="254"/>
      <c r="K332" s="492"/>
      <c r="L332" s="254"/>
      <c r="M332" s="492"/>
      <c r="N332" s="254"/>
      <c r="O332" s="492"/>
      <c r="P332" s="254"/>
      <c r="Q332" s="492"/>
      <c r="R332" s="254"/>
      <c r="S332" s="513"/>
      <c r="T332" s="46"/>
      <c r="U332" s="492"/>
      <c r="V332" s="254"/>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row>
    <row r="333">
      <c r="A333" s="492"/>
      <c r="B333" s="254"/>
      <c r="C333" s="492"/>
      <c r="D333" s="254"/>
      <c r="E333" s="492"/>
      <c r="F333" s="254"/>
      <c r="G333" s="492"/>
      <c r="H333" s="254"/>
      <c r="I333" s="492"/>
      <c r="J333" s="254"/>
      <c r="K333" s="492"/>
      <c r="L333" s="254"/>
      <c r="M333" s="492"/>
      <c r="N333" s="254"/>
      <c r="O333" s="492"/>
      <c r="P333" s="254"/>
      <c r="Q333" s="492"/>
      <c r="R333" s="254"/>
      <c r="S333" s="513"/>
      <c r="T333" s="46"/>
      <c r="U333" s="492"/>
      <c r="V333" s="254"/>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row>
    <row r="334">
      <c r="A334" s="492"/>
      <c r="B334" s="254"/>
      <c r="C334" s="492"/>
      <c r="D334" s="254"/>
      <c r="E334" s="492"/>
      <c r="F334" s="254"/>
      <c r="G334" s="492"/>
      <c r="H334" s="254"/>
      <c r="I334" s="492"/>
      <c r="J334" s="254"/>
      <c r="K334" s="492"/>
      <c r="L334" s="254"/>
      <c r="M334" s="492"/>
      <c r="N334" s="254"/>
      <c r="O334" s="492"/>
      <c r="P334" s="254"/>
      <c r="Q334" s="492"/>
      <c r="R334" s="254"/>
      <c r="S334" s="513"/>
      <c r="T334" s="46"/>
      <c r="U334" s="492"/>
      <c r="V334" s="254"/>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row>
    <row r="335">
      <c r="A335" s="492"/>
      <c r="B335" s="254"/>
      <c r="C335" s="492"/>
      <c r="D335" s="254"/>
      <c r="E335" s="492"/>
      <c r="F335" s="254"/>
      <c r="G335" s="492"/>
      <c r="H335" s="254"/>
      <c r="I335" s="492"/>
      <c r="J335" s="254"/>
      <c r="K335" s="492"/>
      <c r="L335" s="254"/>
      <c r="M335" s="492"/>
      <c r="N335" s="254"/>
      <c r="O335" s="492"/>
      <c r="P335" s="254"/>
      <c r="Q335" s="492"/>
      <c r="R335" s="254"/>
      <c r="S335" s="513"/>
      <c r="T335" s="46"/>
      <c r="U335" s="492"/>
      <c r="V335" s="254"/>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row>
    <row r="336">
      <c r="A336" s="492"/>
      <c r="B336" s="254"/>
      <c r="C336" s="492"/>
      <c r="D336" s="254"/>
      <c r="E336" s="492"/>
      <c r="F336" s="254"/>
      <c r="G336" s="492"/>
      <c r="H336" s="254"/>
      <c r="I336" s="492"/>
      <c r="J336" s="254"/>
      <c r="K336" s="492"/>
      <c r="L336" s="254"/>
      <c r="M336" s="492"/>
      <c r="N336" s="254"/>
      <c r="O336" s="492"/>
      <c r="P336" s="254"/>
      <c r="Q336" s="492"/>
      <c r="R336" s="254"/>
      <c r="S336" s="513"/>
      <c r="T336" s="46"/>
      <c r="U336" s="492"/>
      <c r="V336" s="254"/>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row>
    <row r="337">
      <c r="A337" s="492"/>
      <c r="B337" s="254"/>
      <c r="C337" s="492"/>
      <c r="D337" s="254"/>
      <c r="E337" s="492"/>
      <c r="F337" s="254"/>
      <c r="G337" s="492"/>
      <c r="H337" s="254"/>
      <c r="I337" s="492"/>
      <c r="J337" s="254"/>
      <c r="K337" s="492"/>
      <c r="L337" s="254"/>
      <c r="M337" s="492"/>
      <c r="N337" s="254"/>
      <c r="O337" s="492"/>
      <c r="P337" s="254"/>
      <c r="Q337" s="492"/>
      <c r="R337" s="254"/>
      <c r="S337" s="513"/>
      <c r="T337" s="46"/>
      <c r="U337" s="492"/>
      <c r="V337" s="254"/>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row>
    <row r="338">
      <c r="A338" s="492"/>
      <c r="B338" s="254"/>
      <c r="C338" s="492"/>
      <c r="D338" s="254"/>
      <c r="E338" s="492"/>
      <c r="F338" s="254"/>
      <c r="G338" s="492"/>
      <c r="H338" s="254"/>
      <c r="I338" s="492"/>
      <c r="J338" s="254"/>
      <c r="K338" s="492"/>
      <c r="L338" s="254"/>
      <c r="M338" s="492"/>
      <c r="N338" s="254"/>
      <c r="O338" s="492"/>
      <c r="P338" s="254"/>
      <c r="Q338" s="492"/>
      <c r="R338" s="254"/>
      <c r="S338" s="513"/>
      <c r="T338" s="46"/>
      <c r="U338" s="492"/>
      <c r="V338" s="254"/>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row>
    <row r="339">
      <c r="A339" s="492"/>
      <c r="B339" s="254"/>
      <c r="C339" s="492"/>
      <c r="D339" s="254"/>
      <c r="E339" s="492"/>
      <c r="F339" s="254"/>
      <c r="G339" s="492"/>
      <c r="H339" s="254"/>
      <c r="I339" s="492"/>
      <c r="J339" s="254"/>
      <c r="K339" s="492"/>
      <c r="L339" s="254"/>
      <c r="M339" s="492"/>
      <c r="N339" s="254"/>
      <c r="O339" s="492"/>
      <c r="P339" s="254"/>
      <c r="Q339" s="492"/>
      <c r="R339" s="254"/>
      <c r="S339" s="513"/>
      <c r="T339" s="46"/>
      <c r="U339" s="492"/>
      <c r="V339" s="254"/>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row>
    <row r="340">
      <c r="A340" s="492"/>
      <c r="B340" s="254"/>
      <c r="C340" s="492"/>
      <c r="D340" s="254"/>
      <c r="E340" s="492"/>
      <c r="F340" s="254"/>
      <c r="G340" s="492"/>
      <c r="H340" s="254"/>
      <c r="I340" s="492"/>
      <c r="J340" s="254"/>
      <c r="K340" s="492"/>
      <c r="L340" s="254"/>
      <c r="M340" s="492"/>
      <c r="N340" s="254"/>
      <c r="O340" s="492"/>
      <c r="P340" s="254"/>
      <c r="Q340" s="492"/>
      <c r="R340" s="254"/>
      <c r="S340" s="513"/>
      <c r="T340" s="46"/>
      <c r="U340" s="492"/>
      <c r="V340" s="254"/>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row>
    <row r="341">
      <c r="A341" s="492"/>
      <c r="B341" s="254"/>
      <c r="C341" s="492"/>
      <c r="D341" s="254"/>
      <c r="E341" s="492"/>
      <c r="F341" s="254"/>
      <c r="G341" s="492"/>
      <c r="H341" s="254"/>
      <c r="I341" s="492"/>
      <c r="J341" s="254"/>
      <c r="K341" s="492"/>
      <c r="L341" s="254"/>
      <c r="M341" s="492"/>
      <c r="N341" s="254"/>
      <c r="O341" s="492"/>
      <c r="P341" s="254"/>
      <c r="Q341" s="492"/>
      <c r="R341" s="254"/>
      <c r="S341" s="513"/>
      <c r="T341" s="46"/>
      <c r="U341" s="492"/>
      <c r="V341" s="254"/>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row>
    <row r="342">
      <c r="A342" s="492"/>
      <c r="B342" s="254"/>
      <c r="C342" s="492"/>
      <c r="D342" s="254"/>
      <c r="E342" s="492"/>
      <c r="F342" s="254"/>
      <c r="G342" s="492"/>
      <c r="H342" s="254"/>
      <c r="I342" s="492"/>
      <c r="J342" s="254"/>
      <c r="K342" s="492"/>
      <c r="L342" s="254"/>
      <c r="M342" s="492"/>
      <c r="N342" s="254"/>
      <c r="O342" s="492"/>
      <c r="P342" s="254"/>
      <c r="Q342" s="492"/>
      <c r="R342" s="254"/>
      <c r="S342" s="513"/>
      <c r="T342" s="46"/>
      <c r="U342" s="492"/>
      <c r="V342" s="254"/>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row>
    <row r="343">
      <c r="A343" s="492"/>
      <c r="B343" s="254"/>
      <c r="C343" s="492"/>
      <c r="D343" s="254"/>
      <c r="E343" s="492"/>
      <c r="F343" s="254"/>
      <c r="G343" s="492"/>
      <c r="H343" s="254"/>
      <c r="I343" s="492"/>
      <c r="J343" s="254"/>
      <c r="K343" s="492"/>
      <c r="L343" s="254"/>
      <c r="M343" s="492"/>
      <c r="N343" s="254"/>
      <c r="O343" s="492"/>
      <c r="P343" s="254"/>
      <c r="Q343" s="492"/>
      <c r="R343" s="254"/>
      <c r="S343" s="513"/>
      <c r="T343" s="46"/>
      <c r="U343" s="492"/>
      <c r="V343" s="254"/>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row>
    <row r="344">
      <c r="A344" s="492"/>
      <c r="B344" s="254"/>
      <c r="C344" s="492"/>
      <c r="D344" s="254"/>
      <c r="E344" s="492"/>
      <c r="F344" s="254"/>
      <c r="G344" s="492"/>
      <c r="H344" s="254"/>
      <c r="I344" s="492"/>
      <c r="J344" s="254"/>
      <c r="K344" s="492"/>
      <c r="L344" s="254"/>
      <c r="M344" s="492"/>
      <c r="N344" s="254"/>
      <c r="O344" s="492"/>
      <c r="P344" s="254"/>
      <c r="Q344" s="492"/>
      <c r="R344" s="254"/>
      <c r="S344" s="513"/>
      <c r="T344" s="46"/>
      <c r="U344" s="492"/>
      <c r="V344" s="254"/>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row>
    <row r="345">
      <c r="A345" s="492"/>
      <c r="B345" s="254"/>
      <c r="C345" s="492"/>
      <c r="D345" s="254"/>
      <c r="E345" s="492"/>
      <c r="F345" s="254"/>
      <c r="G345" s="492"/>
      <c r="H345" s="254"/>
      <c r="I345" s="492"/>
      <c r="J345" s="254"/>
      <c r="K345" s="492"/>
      <c r="L345" s="254"/>
      <c r="M345" s="492"/>
      <c r="N345" s="254"/>
      <c r="O345" s="492"/>
      <c r="P345" s="254"/>
      <c r="Q345" s="492"/>
      <c r="R345" s="254"/>
      <c r="S345" s="513"/>
      <c r="T345" s="46"/>
      <c r="U345" s="492"/>
      <c r="V345" s="254"/>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row>
    <row r="346">
      <c r="A346" s="492"/>
      <c r="B346" s="254"/>
      <c r="C346" s="492"/>
      <c r="D346" s="254"/>
      <c r="E346" s="492"/>
      <c r="F346" s="254"/>
      <c r="G346" s="492"/>
      <c r="H346" s="254"/>
      <c r="I346" s="492"/>
      <c r="J346" s="254"/>
      <c r="K346" s="492"/>
      <c r="L346" s="254"/>
      <c r="M346" s="492"/>
      <c r="N346" s="254"/>
      <c r="O346" s="492"/>
      <c r="P346" s="254"/>
      <c r="Q346" s="492"/>
      <c r="R346" s="254"/>
      <c r="S346" s="513"/>
      <c r="T346" s="46"/>
      <c r="U346" s="492"/>
      <c r="V346" s="254"/>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row>
    <row r="347">
      <c r="A347" s="492"/>
      <c r="B347" s="254"/>
      <c r="C347" s="492"/>
      <c r="D347" s="254"/>
      <c r="E347" s="492"/>
      <c r="F347" s="254"/>
      <c r="G347" s="492"/>
      <c r="H347" s="254"/>
      <c r="I347" s="492"/>
      <c r="J347" s="254"/>
      <c r="K347" s="492"/>
      <c r="L347" s="254"/>
      <c r="M347" s="492"/>
      <c r="N347" s="254"/>
      <c r="O347" s="492"/>
      <c r="P347" s="254"/>
      <c r="Q347" s="492"/>
      <c r="R347" s="254"/>
      <c r="S347" s="513"/>
      <c r="T347" s="46"/>
      <c r="U347" s="492"/>
      <c r="V347" s="254"/>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row>
    <row r="348">
      <c r="A348" s="492"/>
      <c r="B348" s="254"/>
      <c r="C348" s="492"/>
      <c r="D348" s="254"/>
      <c r="E348" s="492"/>
      <c r="F348" s="254"/>
      <c r="G348" s="492"/>
      <c r="H348" s="254"/>
      <c r="I348" s="492"/>
      <c r="J348" s="254"/>
      <c r="K348" s="492"/>
      <c r="L348" s="254"/>
      <c r="M348" s="492"/>
      <c r="N348" s="254"/>
      <c r="O348" s="492"/>
      <c r="P348" s="254"/>
      <c r="Q348" s="492"/>
      <c r="R348" s="254"/>
      <c r="S348" s="513"/>
      <c r="T348" s="46"/>
      <c r="U348" s="492"/>
      <c r="V348" s="254"/>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row>
    <row r="349">
      <c r="A349" s="492"/>
      <c r="B349" s="254"/>
      <c r="C349" s="492"/>
      <c r="D349" s="254"/>
      <c r="E349" s="492"/>
      <c r="F349" s="254"/>
      <c r="G349" s="492"/>
      <c r="H349" s="254"/>
      <c r="I349" s="492"/>
      <c r="J349" s="254"/>
      <c r="K349" s="492"/>
      <c r="L349" s="254"/>
      <c r="M349" s="492"/>
      <c r="N349" s="254"/>
      <c r="O349" s="492"/>
      <c r="P349" s="254"/>
      <c r="Q349" s="492"/>
      <c r="R349" s="254"/>
      <c r="S349" s="513"/>
      <c r="T349" s="46"/>
      <c r="U349" s="492"/>
      <c r="V349" s="254"/>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row>
    <row r="350">
      <c r="A350" s="492"/>
      <c r="B350" s="254"/>
      <c r="C350" s="492"/>
      <c r="D350" s="254"/>
      <c r="E350" s="492"/>
      <c r="F350" s="254"/>
      <c r="G350" s="492"/>
      <c r="H350" s="254"/>
      <c r="I350" s="492"/>
      <c r="J350" s="254"/>
      <c r="K350" s="492"/>
      <c r="L350" s="254"/>
      <c r="M350" s="492"/>
      <c r="N350" s="254"/>
      <c r="O350" s="492"/>
      <c r="P350" s="254"/>
      <c r="Q350" s="492"/>
      <c r="R350" s="254"/>
      <c r="S350" s="513"/>
      <c r="T350" s="46"/>
      <c r="U350" s="492"/>
      <c r="V350" s="254"/>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row>
    <row r="351">
      <c r="A351" s="492"/>
      <c r="B351" s="254"/>
      <c r="C351" s="492"/>
      <c r="D351" s="254"/>
      <c r="E351" s="492"/>
      <c r="F351" s="254"/>
      <c r="G351" s="492"/>
      <c r="H351" s="254"/>
      <c r="I351" s="492"/>
      <c r="J351" s="254"/>
      <c r="K351" s="492"/>
      <c r="L351" s="254"/>
      <c r="M351" s="492"/>
      <c r="N351" s="254"/>
      <c r="O351" s="492"/>
      <c r="P351" s="254"/>
      <c r="Q351" s="492"/>
      <c r="R351" s="254"/>
      <c r="S351" s="513"/>
      <c r="T351" s="46"/>
      <c r="U351" s="492"/>
      <c r="V351" s="254"/>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row>
    <row r="352">
      <c r="A352" s="492"/>
      <c r="B352" s="254"/>
      <c r="C352" s="492"/>
      <c r="D352" s="254"/>
      <c r="E352" s="492"/>
      <c r="F352" s="254"/>
      <c r="G352" s="492"/>
      <c r="H352" s="254"/>
      <c r="I352" s="492"/>
      <c r="J352" s="254"/>
      <c r="K352" s="492"/>
      <c r="L352" s="254"/>
      <c r="M352" s="492"/>
      <c r="N352" s="254"/>
      <c r="O352" s="492"/>
      <c r="P352" s="254"/>
      <c r="Q352" s="492"/>
      <c r="R352" s="254"/>
      <c r="S352" s="513"/>
      <c r="T352" s="46"/>
      <c r="U352" s="492"/>
      <c r="V352" s="254"/>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row>
    <row r="353">
      <c r="A353" s="492"/>
      <c r="B353" s="254"/>
      <c r="C353" s="492"/>
      <c r="D353" s="254"/>
      <c r="E353" s="492"/>
      <c r="F353" s="254"/>
      <c r="G353" s="492"/>
      <c r="H353" s="254"/>
      <c r="I353" s="492"/>
      <c r="J353" s="254"/>
      <c r="K353" s="492"/>
      <c r="L353" s="254"/>
      <c r="M353" s="492"/>
      <c r="N353" s="254"/>
      <c r="O353" s="492"/>
      <c r="P353" s="254"/>
      <c r="Q353" s="492"/>
      <c r="R353" s="254"/>
      <c r="S353" s="513"/>
      <c r="T353" s="46"/>
      <c r="U353" s="492"/>
      <c r="V353" s="254"/>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row>
    <row r="354">
      <c r="A354" s="492"/>
      <c r="B354" s="254"/>
      <c r="C354" s="492"/>
      <c r="D354" s="254"/>
      <c r="E354" s="492"/>
      <c r="F354" s="254"/>
      <c r="G354" s="492"/>
      <c r="H354" s="254"/>
      <c r="I354" s="492"/>
      <c r="J354" s="254"/>
      <c r="K354" s="492"/>
      <c r="L354" s="254"/>
      <c r="M354" s="492"/>
      <c r="N354" s="254"/>
      <c r="O354" s="492"/>
      <c r="P354" s="254"/>
      <c r="Q354" s="492"/>
      <c r="R354" s="254"/>
      <c r="S354" s="513"/>
      <c r="T354" s="46"/>
      <c r="U354" s="492"/>
      <c r="V354" s="254"/>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row>
    <row r="355">
      <c r="A355" s="492"/>
      <c r="B355" s="254"/>
      <c r="C355" s="492"/>
      <c r="D355" s="254"/>
      <c r="E355" s="492"/>
      <c r="F355" s="254"/>
      <c r="G355" s="492"/>
      <c r="H355" s="254"/>
      <c r="I355" s="492"/>
      <c r="J355" s="254"/>
      <c r="K355" s="492"/>
      <c r="L355" s="254"/>
      <c r="M355" s="492"/>
      <c r="N355" s="254"/>
      <c r="O355" s="492"/>
      <c r="P355" s="254"/>
      <c r="Q355" s="492"/>
      <c r="R355" s="254"/>
      <c r="S355" s="513"/>
      <c r="T355" s="46"/>
      <c r="U355" s="492"/>
      <c r="V355" s="254"/>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row>
    <row r="356">
      <c r="A356" s="492"/>
      <c r="B356" s="254"/>
      <c r="C356" s="492"/>
      <c r="D356" s="254"/>
      <c r="E356" s="492"/>
      <c r="F356" s="254"/>
      <c r="G356" s="492"/>
      <c r="H356" s="254"/>
      <c r="I356" s="492"/>
      <c r="J356" s="254"/>
      <c r="K356" s="492"/>
      <c r="L356" s="254"/>
      <c r="M356" s="492"/>
      <c r="N356" s="254"/>
      <c r="O356" s="492"/>
      <c r="P356" s="254"/>
      <c r="Q356" s="492"/>
      <c r="R356" s="254"/>
      <c r="S356" s="513"/>
      <c r="T356" s="46"/>
      <c r="U356" s="492"/>
      <c r="V356" s="254"/>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row>
    <row r="357">
      <c r="A357" s="492"/>
      <c r="B357" s="254"/>
      <c r="C357" s="492"/>
      <c r="D357" s="254"/>
      <c r="E357" s="492"/>
      <c r="F357" s="254"/>
      <c r="G357" s="492"/>
      <c r="H357" s="254"/>
      <c r="I357" s="492"/>
      <c r="J357" s="254"/>
      <c r="K357" s="492"/>
      <c r="L357" s="254"/>
      <c r="M357" s="492"/>
      <c r="N357" s="254"/>
      <c r="O357" s="492"/>
      <c r="P357" s="254"/>
      <c r="Q357" s="492"/>
      <c r="R357" s="254"/>
      <c r="S357" s="513"/>
      <c r="T357" s="46"/>
      <c r="U357" s="492"/>
      <c r="V357" s="254"/>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row>
    <row r="358">
      <c r="A358" s="492"/>
      <c r="B358" s="254"/>
      <c r="C358" s="492"/>
      <c r="D358" s="254"/>
      <c r="E358" s="492"/>
      <c r="F358" s="254"/>
      <c r="G358" s="492"/>
      <c r="H358" s="254"/>
      <c r="I358" s="492"/>
      <c r="J358" s="254"/>
      <c r="K358" s="492"/>
      <c r="L358" s="254"/>
      <c r="M358" s="492"/>
      <c r="N358" s="254"/>
      <c r="O358" s="492"/>
      <c r="P358" s="254"/>
      <c r="Q358" s="492"/>
      <c r="R358" s="254"/>
      <c r="S358" s="513"/>
      <c r="T358" s="46"/>
      <c r="U358" s="492"/>
      <c r="V358" s="254"/>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row>
    <row r="359">
      <c r="A359" s="492"/>
      <c r="B359" s="254"/>
      <c r="C359" s="492"/>
      <c r="D359" s="254"/>
      <c r="E359" s="492"/>
      <c r="F359" s="254"/>
      <c r="G359" s="492"/>
      <c r="H359" s="254"/>
      <c r="I359" s="492"/>
      <c r="J359" s="254"/>
      <c r="K359" s="492"/>
      <c r="L359" s="254"/>
      <c r="M359" s="492"/>
      <c r="N359" s="254"/>
      <c r="O359" s="492"/>
      <c r="P359" s="254"/>
      <c r="Q359" s="492"/>
      <c r="R359" s="254"/>
      <c r="S359" s="513"/>
      <c r="T359" s="46"/>
      <c r="U359" s="492"/>
      <c r="V359" s="254"/>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row>
    <row r="360">
      <c r="A360" s="492"/>
      <c r="B360" s="254"/>
      <c r="C360" s="492"/>
      <c r="D360" s="254"/>
      <c r="E360" s="492"/>
      <c r="F360" s="254"/>
      <c r="G360" s="492"/>
      <c r="H360" s="254"/>
      <c r="I360" s="492"/>
      <c r="J360" s="254"/>
      <c r="K360" s="492"/>
      <c r="L360" s="254"/>
      <c r="M360" s="492"/>
      <c r="N360" s="254"/>
      <c r="O360" s="492"/>
      <c r="P360" s="254"/>
      <c r="Q360" s="492"/>
      <c r="R360" s="254"/>
      <c r="S360" s="513"/>
      <c r="T360" s="46"/>
      <c r="U360" s="492"/>
      <c r="V360" s="254"/>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row>
    <row r="361">
      <c r="A361" s="492"/>
      <c r="B361" s="254"/>
      <c r="C361" s="492"/>
      <c r="D361" s="254"/>
      <c r="E361" s="492"/>
      <c r="F361" s="254"/>
      <c r="G361" s="492"/>
      <c r="H361" s="254"/>
      <c r="I361" s="492"/>
      <c r="J361" s="254"/>
      <c r="K361" s="492"/>
      <c r="L361" s="254"/>
      <c r="M361" s="492"/>
      <c r="N361" s="254"/>
      <c r="O361" s="492"/>
      <c r="P361" s="254"/>
      <c r="Q361" s="492"/>
      <c r="R361" s="254"/>
      <c r="S361" s="513"/>
      <c r="T361" s="46"/>
      <c r="U361" s="492"/>
      <c r="V361" s="254"/>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row>
    <row r="362">
      <c r="A362" s="492"/>
      <c r="B362" s="254"/>
      <c r="C362" s="492"/>
      <c r="D362" s="254"/>
      <c r="E362" s="492"/>
      <c r="F362" s="254"/>
      <c r="G362" s="492"/>
      <c r="H362" s="254"/>
      <c r="I362" s="492"/>
      <c r="J362" s="254"/>
      <c r="K362" s="492"/>
      <c r="L362" s="254"/>
      <c r="M362" s="492"/>
      <c r="N362" s="254"/>
      <c r="O362" s="492"/>
      <c r="P362" s="254"/>
      <c r="Q362" s="492"/>
      <c r="R362" s="254"/>
      <c r="S362" s="513"/>
      <c r="T362" s="46"/>
      <c r="U362" s="492"/>
      <c r="V362" s="254"/>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row>
    <row r="363">
      <c r="A363" s="492"/>
      <c r="B363" s="254"/>
      <c r="C363" s="492"/>
      <c r="D363" s="254"/>
      <c r="E363" s="492"/>
      <c r="F363" s="254"/>
      <c r="G363" s="492"/>
      <c r="H363" s="254"/>
      <c r="I363" s="492"/>
      <c r="J363" s="254"/>
      <c r="K363" s="492"/>
      <c r="L363" s="254"/>
      <c r="M363" s="492"/>
      <c r="N363" s="254"/>
      <c r="O363" s="492"/>
      <c r="P363" s="254"/>
      <c r="Q363" s="492"/>
      <c r="R363" s="254"/>
      <c r="S363" s="513"/>
      <c r="T363" s="46"/>
      <c r="U363" s="492"/>
      <c r="V363" s="254"/>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row>
    <row r="364">
      <c r="A364" s="492"/>
      <c r="B364" s="254"/>
      <c r="C364" s="492"/>
      <c r="D364" s="254"/>
      <c r="E364" s="492"/>
      <c r="F364" s="254"/>
      <c r="G364" s="492"/>
      <c r="H364" s="254"/>
      <c r="I364" s="492"/>
      <c r="J364" s="254"/>
      <c r="K364" s="492"/>
      <c r="L364" s="254"/>
      <c r="M364" s="492"/>
      <c r="N364" s="254"/>
      <c r="O364" s="492"/>
      <c r="P364" s="254"/>
      <c r="Q364" s="492"/>
      <c r="R364" s="254"/>
      <c r="S364" s="513"/>
      <c r="T364" s="46"/>
      <c r="U364" s="492"/>
      <c r="V364" s="254"/>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row>
    <row r="365">
      <c r="A365" s="492"/>
      <c r="B365" s="254"/>
      <c r="C365" s="492"/>
      <c r="D365" s="254"/>
      <c r="E365" s="492"/>
      <c r="F365" s="254"/>
      <c r="G365" s="492"/>
      <c r="H365" s="254"/>
      <c r="I365" s="492"/>
      <c r="J365" s="254"/>
      <c r="K365" s="492"/>
      <c r="L365" s="254"/>
      <c r="M365" s="492"/>
      <c r="N365" s="254"/>
      <c r="O365" s="492"/>
      <c r="P365" s="254"/>
      <c r="Q365" s="492"/>
      <c r="R365" s="254"/>
      <c r="S365" s="513"/>
      <c r="T365" s="46"/>
      <c r="U365" s="492"/>
      <c r="V365" s="254"/>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row>
    <row r="366">
      <c r="A366" s="492"/>
      <c r="B366" s="254"/>
      <c r="C366" s="492"/>
      <c r="D366" s="254"/>
      <c r="E366" s="492"/>
      <c r="F366" s="254"/>
      <c r="G366" s="492"/>
      <c r="H366" s="254"/>
      <c r="I366" s="492"/>
      <c r="J366" s="254"/>
      <c r="K366" s="492"/>
      <c r="L366" s="254"/>
      <c r="M366" s="492"/>
      <c r="N366" s="254"/>
      <c r="O366" s="492"/>
      <c r="P366" s="254"/>
      <c r="Q366" s="492"/>
      <c r="R366" s="254"/>
      <c r="S366" s="513"/>
      <c r="T366" s="46"/>
      <c r="U366" s="492"/>
      <c r="V366" s="254"/>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row>
    <row r="367">
      <c r="A367" s="492"/>
      <c r="B367" s="254"/>
      <c r="C367" s="492"/>
      <c r="D367" s="254"/>
      <c r="E367" s="492"/>
      <c r="F367" s="254"/>
      <c r="G367" s="492"/>
      <c r="H367" s="254"/>
      <c r="I367" s="492"/>
      <c r="J367" s="254"/>
      <c r="K367" s="492"/>
      <c r="L367" s="254"/>
      <c r="M367" s="492"/>
      <c r="N367" s="254"/>
      <c r="O367" s="492"/>
      <c r="P367" s="254"/>
      <c r="Q367" s="492"/>
      <c r="R367" s="254"/>
      <c r="S367" s="513"/>
      <c r="T367" s="46"/>
      <c r="U367" s="492"/>
      <c r="V367" s="254"/>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row>
    <row r="368">
      <c r="A368" s="492"/>
      <c r="B368" s="254"/>
      <c r="C368" s="492"/>
      <c r="D368" s="254"/>
      <c r="E368" s="492"/>
      <c r="F368" s="254"/>
      <c r="G368" s="492"/>
      <c r="H368" s="254"/>
      <c r="I368" s="492"/>
      <c r="J368" s="254"/>
      <c r="K368" s="492"/>
      <c r="L368" s="254"/>
      <c r="M368" s="492"/>
      <c r="N368" s="254"/>
      <c r="O368" s="492"/>
      <c r="P368" s="254"/>
      <c r="Q368" s="492"/>
      <c r="R368" s="254"/>
      <c r="S368" s="513"/>
      <c r="T368" s="46"/>
      <c r="U368" s="492"/>
      <c r="V368" s="254"/>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row>
    <row r="369">
      <c r="A369" s="492"/>
      <c r="B369" s="254"/>
      <c r="C369" s="492"/>
      <c r="D369" s="254"/>
      <c r="E369" s="492"/>
      <c r="F369" s="254"/>
      <c r="G369" s="492"/>
      <c r="H369" s="254"/>
      <c r="I369" s="492"/>
      <c r="J369" s="254"/>
      <c r="K369" s="492"/>
      <c r="L369" s="254"/>
      <c r="M369" s="492"/>
      <c r="N369" s="254"/>
      <c r="O369" s="492"/>
      <c r="P369" s="254"/>
      <c r="Q369" s="492"/>
      <c r="R369" s="254"/>
      <c r="S369" s="513"/>
      <c r="T369" s="46"/>
      <c r="U369" s="492"/>
      <c r="V369" s="254"/>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row>
    <row r="370">
      <c r="A370" s="492"/>
      <c r="B370" s="254"/>
      <c r="C370" s="492"/>
      <c r="D370" s="254"/>
      <c r="E370" s="492"/>
      <c r="F370" s="254"/>
      <c r="G370" s="492"/>
      <c r="H370" s="254"/>
      <c r="I370" s="492"/>
      <c r="J370" s="254"/>
      <c r="K370" s="492"/>
      <c r="L370" s="254"/>
      <c r="M370" s="492"/>
      <c r="N370" s="254"/>
      <c r="O370" s="492"/>
      <c r="P370" s="254"/>
      <c r="Q370" s="492"/>
      <c r="R370" s="254"/>
      <c r="S370" s="513"/>
      <c r="T370" s="46"/>
      <c r="U370" s="492"/>
      <c r="V370" s="254"/>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row>
    <row r="371">
      <c r="A371" s="492"/>
      <c r="B371" s="254"/>
      <c r="C371" s="492"/>
      <c r="D371" s="254"/>
      <c r="E371" s="492"/>
      <c r="F371" s="254"/>
      <c r="G371" s="492"/>
      <c r="H371" s="254"/>
      <c r="I371" s="492"/>
      <c r="J371" s="254"/>
      <c r="K371" s="492"/>
      <c r="L371" s="254"/>
      <c r="M371" s="492"/>
      <c r="N371" s="254"/>
      <c r="O371" s="492"/>
      <c r="P371" s="254"/>
      <c r="Q371" s="492"/>
      <c r="R371" s="254"/>
      <c r="S371" s="513"/>
      <c r="T371" s="46"/>
      <c r="U371" s="492"/>
      <c r="V371" s="254"/>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row>
    <row r="372">
      <c r="A372" s="492"/>
      <c r="B372" s="254"/>
      <c r="C372" s="492"/>
      <c r="D372" s="254"/>
      <c r="E372" s="492"/>
      <c r="F372" s="254"/>
      <c r="G372" s="492"/>
      <c r="H372" s="254"/>
      <c r="I372" s="492"/>
      <c r="J372" s="254"/>
      <c r="K372" s="492"/>
      <c r="L372" s="254"/>
      <c r="M372" s="492"/>
      <c r="N372" s="254"/>
      <c r="O372" s="492"/>
      <c r="P372" s="254"/>
      <c r="Q372" s="492"/>
      <c r="R372" s="254"/>
      <c r="S372" s="513"/>
      <c r="T372" s="46"/>
      <c r="U372" s="492"/>
      <c r="V372" s="254"/>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row>
    <row r="373">
      <c r="A373" s="492"/>
      <c r="B373" s="254"/>
      <c r="C373" s="492"/>
      <c r="D373" s="254"/>
      <c r="E373" s="492"/>
      <c r="F373" s="254"/>
      <c r="G373" s="492"/>
      <c r="H373" s="254"/>
      <c r="I373" s="492"/>
      <c r="J373" s="254"/>
      <c r="K373" s="492"/>
      <c r="L373" s="254"/>
      <c r="M373" s="492"/>
      <c r="N373" s="254"/>
      <c r="O373" s="492"/>
      <c r="P373" s="254"/>
      <c r="Q373" s="492"/>
      <c r="R373" s="254"/>
      <c r="S373" s="513"/>
      <c r="T373" s="46"/>
      <c r="U373" s="492"/>
      <c r="V373" s="254"/>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row>
    <row r="374">
      <c r="A374" s="492"/>
      <c r="B374" s="254"/>
      <c r="C374" s="492"/>
      <c r="D374" s="254"/>
      <c r="E374" s="492"/>
      <c r="F374" s="254"/>
      <c r="G374" s="492"/>
      <c r="H374" s="254"/>
      <c r="I374" s="492"/>
      <c r="J374" s="254"/>
      <c r="K374" s="492"/>
      <c r="L374" s="254"/>
      <c r="M374" s="492"/>
      <c r="N374" s="254"/>
      <c r="O374" s="492"/>
      <c r="P374" s="254"/>
      <c r="Q374" s="492"/>
      <c r="R374" s="254"/>
      <c r="S374" s="513"/>
      <c r="T374" s="46"/>
      <c r="U374" s="492"/>
      <c r="V374" s="254"/>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row>
    <row r="375">
      <c r="A375" s="492"/>
      <c r="B375" s="254"/>
      <c r="C375" s="492"/>
      <c r="D375" s="254"/>
      <c r="E375" s="492"/>
      <c r="F375" s="254"/>
      <c r="G375" s="492"/>
      <c r="H375" s="254"/>
      <c r="I375" s="492"/>
      <c r="J375" s="254"/>
      <c r="K375" s="492"/>
      <c r="L375" s="254"/>
      <c r="M375" s="492"/>
      <c r="N375" s="254"/>
      <c r="O375" s="492"/>
      <c r="P375" s="254"/>
      <c r="Q375" s="492"/>
      <c r="R375" s="254"/>
      <c r="S375" s="513"/>
      <c r="T375" s="46"/>
      <c r="U375" s="492"/>
      <c r="V375" s="254"/>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row>
    <row r="376">
      <c r="A376" s="492"/>
      <c r="B376" s="254"/>
      <c r="C376" s="492"/>
      <c r="D376" s="254"/>
      <c r="E376" s="492"/>
      <c r="F376" s="254"/>
      <c r="G376" s="492"/>
      <c r="H376" s="254"/>
      <c r="I376" s="492"/>
      <c r="J376" s="254"/>
      <c r="K376" s="492"/>
      <c r="L376" s="254"/>
      <c r="M376" s="492"/>
      <c r="N376" s="254"/>
      <c r="O376" s="492"/>
      <c r="P376" s="254"/>
      <c r="Q376" s="492"/>
      <c r="R376" s="254"/>
      <c r="S376" s="513"/>
      <c r="T376" s="46"/>
      <c r="U376" s="492"/>
      <c r="V376" s="254"/>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row>
    <row r="377">
      <c r="A377" s="492"/>
      <c r="B377" s="254"/>
      <c r="C377" s="492"/>
      <c r="D377" s="254"/>
      <c r="E377" s="492"/>
      <c r="F377" s="254"/>
      <c r="G377" s="492"/>
      <c r="H377" s="254"/>
      <c r="I377" s="492"/>
      <c r="J377" s="254"/>
      <c r="K377" s="492"/>
      <c r="L377" s="254"/>
      <c r="M377" s="492"/>
      <c r="N377" s="254"/>
      <c r="O377" s="492"/>
      <c r="P377" s="254"/>
      <c r="Q377" s="492"/>
      <c r="R377" s="254"/>
      <c r="S377" s="513"/>
      <c r="T377" s="46"/>
      <c r="U377" s="492"/>
      <c r="V377" s="254"/>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row>
    <row r="378">
      <c r="A378" s="492"/>
      <c r="B378" s="254"/>
      <c r="C378" s="492"/>
      <c r="D378" s="254"/>
      <c r="E378" s="492"/>
      <c r="F378" s="254"/>
      <c r="G378" s="492"/>
      <c r="H378" s="254"/>
      <c r="I378" s="492"/>
      <c r="J378" s="254"/>
      <c r="K378" s="492"/>
      <c r="L378" s="254"/>
      <c r="M378" s="492"/>
      <c r="N378" s="254"/>
      <c r="O378" s="492"/>
      <c r="P378" s="254"/>
      <c r="Q378" s="492"/>
      <c r="R378" s="254"/>
      <c r="S378" s="513"/>
      <c r="T378" s="46"/>
      <c r="U378" s="492"/>
      <c r="V378" s="254"/>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row>
    <row r="379">
      <c r="A379" s="492"/>
      <c r="B379" s="254"/>
      <c r="C379" s="492"/>
      <c r="D379" s="254"/>
      <c r="E379" s="492"/>
      <c r="F379" s="254"/>
      <c r="G379" s="492"/>
      <c r="H379" s="254"/>
      <c r="I379" s="492"/>
      <c r="J379" s="254"/>
      <c r="K379" s="492"/>
      <c r="L379" s="254"/>
      <c r="M379" s="492"/>
      <c r="N379" s="254"/>
      <c r="O379" s="492"/>
      <c r="P379" s="254"/>
      <c r="Q379" s="492"/>
      <c r="R379" s="254"/>
      <c r="S379" s="513"/>
      <c r="T379" s="46"/>
      <c r="U379" s="492"/>
      <c r="V379" s="254"/>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row>
    <row r="380">
      <c r="A380" s="492"/>
      <c r="B380" s="254"/>
      <c r="C380" s="492"/>
      <c r="D380" s="254"/>
      <c r="E380" s="492"/>
      <c r="F380" s="254"/>
      <c r="G380" s="492"/>
      <c r="H380" s="254"/>
      <c r="I380" s="492"/>
      <c r="J380" s="254"/>
      <c r="K380" s="492"/>
      <c r="L380" s="254"/>
      <c r="M380" s="492"/>
      <c r="N380" s="254"/>
      <c r="O380" s="492"/>
      <c r="P380" s="254"/>
      <c r="Q380" s="492"/>
      <c r="R380" s="254"/>
      <c r="S380" s="513"/>
      <c r="T380" s="46"/>
      <c r="U380" s="492"/>
      <c r="V380" s="254"/>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row>
    <row r="381">
      <c r="A381" s="492"/>
      <c r="B381" s="254"/>
      <c r="C381" s="492"/>
      <c r="D381" s="254"/>
      <c r="E381" s="492"/>
      <c r="F381" s="254"/>
      <c r="G381" s="492"/>
      <c r="H381" s="254"/>
      <c r="I381" s="492"/>
      <c r="J381" s="254"/>
      <c r="K381" s="492"/>
      <c r="L381" s="254"/>
      <c r="M381" s="492"/>
      <c r="N381" s="254"/>
      <c r="O381" s="492"/>
      <c r="P381" s="254"/>
      <c r="Q381" s="492"/>
      <c r="R381" s="254"/>
      <c r="S381" s="513"/>
      <c r="T381" s="46"/>
      <c r="U381" s="492"/>
      <c r="V381" s="254"/>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row>
    <row r="382">
      <c r="A382" s="492"/>
      <c r="B382" s="254"/>
      <c r="C382" s="492"/>
      <c r="D382" s="254"/>
      <c r="E382" s="492"/>
      <c r="F382" s="254"/>
      <c r="G382" s="492"/>
      <c r="H382" s="254"/>
      <c r="I382" s="492"/>
      <c r="J382" s="254"/>
      <c r="K382" s="492"/>
      <c r="L382" s="254"/>
      <c r="M382" s="492"/>
      <c r="N382" s="254"/>
      <c r="O382" s="492"/>
      <c r="P382" s="254"/>
      <c r="Q382" s="492"/>
      <c r="R382" s="254"/>
      <c r="S382" s="513"/>
      <c r="T382" s="46"/>
      <c r="U382" s="492"/>
      <c r="V382" s="254"/>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row>
    <row r="383">
      <c r="A383" s="492"/>
      <c r="B383" s="254"/>
      <c r="C383" s="492"/>
      <c r="D383" s="254"/>
      <c r="E383" s="492"/>
      <c r="F383" s="254"/>
      <c r="G383" s="492"/>
      <c r="H383" s="254"/>
      <c r="I383" s="492"/>
      <c r="J383" s="254"/>
      <c r="K383" s="492"/>
      <c r="L383" s="254"/>
      <c r="M383" s="492"/>
      <c r="N383" s="254"/>
      <c r="O383" s="492"/>
      <c r="P383" s="254"/>
      <c r="Q383" s="492"/>
      <c r="R383" s="254"/>
      <c r="S383" s="513"/>
      <c r="T383" s="46"/>
      <c r="U383" s="492"/>
      <c r="V383" s="254"/>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row>
    <row r="384">
      <c r="A384" s="492"/>
      <c r="B384" s="254"/>
      <c r="C384" s="492"/>
      <c r="D384" s="254"/>
      <c r="E384" s="492"/>
      <c r="F384" s="254"/>
      <c r="G384" s="492"/>
      <c r="H384" s="254"/>
      <c r="I384" s="492"/>
      <c r="J384" s="254"/>
      <c r="K384" s="492"/>
      <c r="L384" s="254"/>
      <c r="M384" s="492"/>
      <c r="N384" s="254"/>
      <c r="O384" s="492"/>
      <c r="P384" s="254"/>
      <c r="Q384" s="492"/>
      <c r="R384" s="254"/>
      <c r="S384" s="513"/>
      <c r="T384" s="46"/>
      <c r="U384" s="492"/>
      <c r="V384" s="254"/>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row>
    <row r="385">
      <c r="A385" s="492"/>
      <c r="B385" s="254"/>
      <c r="C385" s="492"/>
      <c r="D385" s="254"/>
      <c r="E385" s="492"/>
      <c r="F385" s="254"/>
      <c r="G385" s="492"/>
      <c r="H385" s="254"/>
      <c r="I385" s="492"/>
      <c r="J385" s="254"/>
      <c r="K385" s="492"/>
      <c r="L385" s="254"/>
      <c r="M385" s="492"/>
      <c r="N385" s="254"/>
      <c r="O385" s="492"/>
      <c r="P385" s="254"/>
      <c r="Q385" s="492"/>
      <c r="R385" s="254"/>
      <c r="S385" s="513"/>
      <c r="T385" s="46"/>
      <c r="U385" s="492"/>
      <c r="V385" s="254"/>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row>
    <row r="386">
      <c r="A386" s="492"/>
      <c r="B386" s="254"/>
      <c r="C386" s="492"/>
      <c r="D386" s="254"/>
      <c r="E386" s="492"/>
      <c r="F386" s="254"/>
      <c r="G386" s="492"/>
      <c r="H386" s="254"/>
      <c r="I386" s="492"/>
      <c r="J386" s="254"/>
      <c r="K386" s="492"/>
      <c r="L386" s="254"/>
      <c r="M386" s="492"/>
      <c r="N386" s="254"/>
      <c r="O386" s="492"/>
      <c r="P386" s="254"/>
      <c r="Q386" s="492"/>
      <c r="R386" s="254"/>
      <c r="S386" s="513"/>
      <c r="T386" s="46"/>
      <c r="U386" s="492"/>
      <c r="V386" s="254"/>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row>
    <row r="387">
      <c r="A387" s="492"/>
      <c r="B387" s="254"/>
      <c r="C387" s="492"/>
      <c r="D387" s="254"/>
      <c r="E387" s="492"/>
      <c r="F387" s="254"/>
      <c r="G387" s="492"/>
      <c r="H387" s="254"/>
      <c r="I387" s="492"/>
      <c r="J387" s="254"/>
      <c r="K387" s="492"/>
      <c r="L387" s="254"/>
      <c r="M387" s="492"/>
      <c r="N387" s="254"/>
      <c r="O387" s="492"/>
      <c r="P387" s="254"/>
      <c r="Q387" s="492"/>
      <c r="R387" s="254"/>
      <c r="S387" s="513"/>
      <c r="T387" s="46"/>
      <c r="U387" s="492"/>
      <c r="V387" s="254"/>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row>
    <row r="388">
      <c r="A388" s="492"/>
      <c r="B388" s="254"/>
      <c r="C388" s="492"/>
      <c r="D388" s="254"/>
      <c r="E388" s="492"/>
      <c r="F388" s="254"/>
      <c r="G388" s="492"/>
      <c r="H388" s="254"/>
      <c r="I388" s="492"/>
      <c r="J388" s="254"/>
      <c r="K388" s="492"/>
      <c r="L388" s="254"/>
      <c r="M388" s="492"/>
      <c r="N388" s="254"/>
      <c r="O388" s="492"/>
      <c r="P388" s="254"/>
      <c r="Q388" s="492"/>
      <c r="R388" s="254"/>
      <c r="S388" s="513"/>
      <c r="T388" s="46"/>
      <c r="U388" s="492"/>
      <c r="V388" s="254"/>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row>
    <row r="389">
      <c r="A389" s="492"/>
      <c r="B389" s="254"/>
      <c r="C389" s="492"/>
      <c r="D389" s="254"/>
      <c r="E389" s="492"/>
      <c r="F389" s="254"/>
      <c r="G389" s="492"/>
      <c r="H389" s="254"/>
      <c r="I389" s="492"/>
      <c r="J389" s="254"/>
      <c r="K389" s="492"/>
      <c r="L389" s="254"/>
      <c r="M389" s="492"/>
      <c r="N389" s="254"/>
      <c r="O389" s="492"/>
      <c r="P389" s="254"/>
      <c r="Q389" s="492"/>
      <c r="R389" s="254"/>
      <c r="S389" s="513"/>
      <c r="T389" s="46"/>
      <c r="U389" s="492"/>
      <c r="V389" s="254"/>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row>
    <row r="390">
      <c r="A390" s="492"/>
      <c r="B390" s="254"/>
      <c r="C390" s="492"/>
      <c r="D390" s="254"/>
      <c r="E390" s="492"/>
      <c r="F390" s="254"/>
      <c r="G390" s="492"/>
      <c r="H390" s="254"/>
      <c r="I390" s="492"/>
      <c r="J390" s="254"/>
      <c r="K390" s="492"/>
      <c r="L390" s="254"/>
      <c r="M390" s="492"/>
      <c r="N390" s="254"/>
      <c r="O390" s="492"/>
      <c r="P390" s="254"/>
      <c r="Q390" s="492"/>
      <c r="R390" s="254"/>
      <c r="S390" s="513"/>
      <c r="T390" s="46"/>
      <c r="U390" s="492"/>
      <c r="V390" s="254"/>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row>
    <row r="391">
      <c r="A391" s="492"/>
      <c r="B391" s="254"/>
      <c r="C391" s="492"/>
      <c r="D391" s="254"/>
      <c r="E391" s="492"/>
      <c r="F391" s="254"/>
      <c r="G391" s="492"/>
      <c r="H391" s="254"/>
      <c r="I391" s="492"/>
      <c r="J391" s="254"/>
      <c r="K391" s="492"/>
      <c r="L391" s="254"/>
      <c r="M391" s="492"/>
      <c r="N391" s="254"/>
      <c r="O391" s="492"/>
      <c r="P391" s="254"/>
      <c r="Q391" s="492"/>
      <c r="R391" s="254"/>
      <c r="S391" s="513"/>
      <c r="T391" s="46"/>
      <c r="U391" s="492"/>
      <c r="V391" s="254"/>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row>
    <row r="392">
      <c r="A392" s="492"/>
      <c r="B392" s="254"/>
      <c r="C392" s="492"/>
      <c r="D392" s="254"/>
      <c r="E392" s="492"/>
      <c r="F392" s="254"/>
      <c r="G392" s="492"/>
      <c r="H392" s="254"/>
      <c r="I392" s="492"/>
      <c r="J392" s="254"/>
      <c r="K392" s="492"/>
      <c r="L392" s="254"/>
      <c r="M392" s="492"/>
      <c r="N392" s="254"/>
      <c r="O392" s="492"/>
      <c r="P392" s="254"/>
      <c r="Q392" s="492"/>
      <c r="R392" s="254"/>
      <c r="S392" s="513"/>
      <c r="T392" s="46"/>
      <c r="U392" s="492"/>
      <c r="V392" s="254"/>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row>
    <row r="393">
      <c r="A393" s="492"/>
      <c r="B393" s="254"/>
      <c r="C393" s="492"/>
      <c r="D393" s="254"/>
      <c r="E393" s="492"/>
      <c r="F393" s="254"/>
      <c r="G393" s="492"/>
      <c r="H393" s="254"/>
      <c r="I393" s="492"/>
      <c r="J393" s="254"/>
      <c r="K393" s="492"/>
      <c r="L393" s="254"/>
      <c r="M393" s="492"/>
      <c r="N393" s="254"/>
      <c r="O393" s="492"/>
      <c r="P393" s="254"/>
      <c r="Q393" s="492"/>
      <c r="R393" s="254"/>
      <c r="S393" s="513"/>
      <c r="T393" s="46"/>
      <c r="U393" s="492"/>
      <c r="V393" s="254"/>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row>
    <row r="394">
      <c r="A394" s="492"/>
      <c r="B394" s="254"/>
      <c r="C394" s="492"/>
      <c r="D394" s="254"/>
      <c r="E394" s="492"/>
      <c r="F394" s="254"/>
      <c r="G394" s="492"/>
      <c r="H394" s="254"/>
      <c r="I394" s="492"/>
      <c r="J394" s="254"/>
      <c r="K394" s="492"/>
      <c r="L394" s="254"/>
      <c r="M394" s="492"/>
      <c r="N394" s="254"/>
      <c r="O394" s="492"/>
      <c r="P394" s="254"/>
      <c r="Q394" s="492"/>
      <c r="R394" s="254"/>
      <c r="S394" s="513"/>
      <c r="T394" s="46"/>
      <c r="U394" s="492"/>
      <c r="V394" s="254"/>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row>
    <row r="395">
      <c r="A395" s="492"/>
      <c r="B395" s="254"/>
      <c r="C395" s="492"/>
      <c r="D395" s="254"/>
      <c r="E395" s="492"/>
      <c r="F395" s="254"/>
      <c r="G395" s="492"/>
      <c r="H395" s="254"/>
      <c r="I395" s="492"/>
      <c r="J395" s="254"/>
      <c r="K395" s="492"/>
      <c r="L395" s="254"/>
      <c r="M395" s="492"/>
      <c r="N395" s="254"/>
      <c r="O395" s="492"/>
      <c r="P395" s="254"/>
      <c r="Q395" s="492"/>
      <c r="R395" s="254"/>
      <c r="S395" s="513"/>
      <c r="T395" s="46"/>
      <c r="U395" s="492"/>
      <c r="V395" s="254"/>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row>
    <row r="396">
      <c r="A396" s="492"/>
      <c r="B396" s="254"/>
      <c r="C396" s="492"/>
      <c r="D396" s="254"/>
      <c r="E396" s="492"/>
      <c r="F396" s="254"/>
      <c r="G396" s="492"/>
      <c r="H396" s="254"/>
      <c r="I396" s="492"/>
      <c r="J396" s="254"/>
      <c r="K396" s="492"/>
      <c r="L396" s="254"/>
      <c r="M396" s="492"/>
      <c r="N396" s="254"/>
      <c r="O396" s="492"/>
      <c r="P396" s="254"/>
      <c r="Q396" s="492"/>
      <c r="R396" s="254"/>
      <c r="S396" s="513"/>
      <c r="T396" s="46"/>
      <c r="U396" s="492"/>
      <c r="V396" s="254"/>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row>
    <row r="397">
      <c r="A397" s="492"/>
      <c r="B397" s="254"/>
      <c r="C397" s="492"/>
      <c r="D397" s="254"/>
      <c r="E397" s="492"/>
      <c r="F397" s="254"/>
      <c r="G397" s="492"/>
      <c r="H397" s="254"/>
      <c r="I397" s="492"/>
      <c r="J397" s="254"/>
      <c r="K397" s="492"/>
      <c r="L397" s="254"/>
      <c r="M397" s="492"/>
      <c r="N397" s="254"/>
      <c r="O397" s="492"/>
      <c r="P397" s="254"/>
      <c r="Q397" s="492"/>
      <c r="R397" s="254"/>
      <c r="S397" s="513"/>
      <c r="T397" s="46"/>
      <c r="U397" s="492"/>
      <c r="V397" s="254"/>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row>
    <row r="398">
      <c r="A398" s="492"/>
      <c r="B398" s="254"/>
      <c r="C398" s="492"/>
      <c r="D398" s="254"/>
      <c r="E398" s="492"/>
      <c r="F398" s="254"/>
      <c r="G398" s="492"/>
      <c r="H398" s="254"/>
      <c r="I398" s="492"/>
      <c r="J398" s="254"/>
      <c r="K398" s="492"/>
      <c r="L398" s="254"/>
      <c r="M398" s="492"/>
      <c r="N398" s="254"/>
      <c r="O398" s="492"/>
      <c r="P398" s="254"/>
      <c r="Q398" s="492"/>
      <c r="R398" s="254"/>
      <c r="S398" s="513"/>
      <c r="T398" s="46"/>
      <c r="U398" s="492"/>
      <c r="V398" s="254"/>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row>
    <row r="399">
      <c r="A399" s="492"/>
      <c r="B399" s="254"/>
      <c r="C399" s="492"/>
      <c r="D399" s="254"/>
      <c r="E399" s="492"/>
      <c r="F399" s="254"/>
      <c r="G399" s="492"/>
      <c r="H399" s="254"/>
      <c r="I399" s="492"/>
      <c r="J399" s="254"/>
      <c r="K399" s="492"/>
      <c r="L399" s="254"/>
      <c r="M399" s="492"/>
      <c r="N399" s="254"/>
      <c r="O399" s="492"/>
      <c r="P399" s="254"/>
      <c r="Q399" s="492"/>
      <c r="R399" s="254"/>
      <c r="S399" s="513"/>
      <c r="T399" s="46"/>
      <c r="U399" s="492"/>
      <c r="V399" s="254"/>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row>
    <row r="400">
      <c r="A400" s="492"/>
      <c r="B400" s="254"/>
      <c r="C400" s="492"/>
      <c r="D400" s="254"/>
      <c r="E400" s="492"/>
      <c r="F400" s="254"/>
      <c r="G400" s="492"/>
      <c r="H400" s="254"/>
      <c r="I400" s="492"/>
      <c r="J400" s="254"/>
      <c r="K400" s="492"/>
      <c r="L400" s="254"/>
      <c r="M400" s="492"/>
      <c r="N400" s="254"/>
      <c r="O400" s="492"/>
      <c r="P400" s="254"/>
      <c r="Q400" s="492"/>
      <c r="R400" s="254"/>
      <c r="S400" s="513"/>
      <c r="T400" s="46"/>
      <c r="U400" s="492"/>
      <c r="V400" s="254"/>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row>
    <row r="401">
      <c r="A401" s="492"/>
      <c r="B401" s="254"/>
      <c r="C401" s="492"/>
      <c r="D401" s="254"/>
      <c r="E401" s="492"/>
      <c r="F401" s="254"/>
      <c r="G401" s="492"/>
      <c r="H401" s="254"/>
      <c r="I401" s="492"/>
      <c r="J401" s="254"/>
      <c r="K401" s="492"/>
      <c r="L401" s="254"/>
      <c r="M401" s="492"/>
      <c r="N401" s="254"/>
      <c r="O401" s="492"/>
      <c r="P401" s="254"/>
      <c r="Q401" s="492"/>
      <c r="R401" s="254"/>
      <c r="S401" s="513"/>
      <c r="T401" s="46"/>
      <c r="U401" s="492"/>
      <c r="V401" s="254"/>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row>
    <row r="402">
      <c r="A402" s="492"/>
      <c r="B402" s="254"/>
      <c r="C402" s="492"/>
      <c r="D402" s="254"/>
      <c r="E402" s="492"/>
      <c r="F402" s="254"/>
      <c r="G402" s="492"/>
      <c r="H402" s="254"/>
      <c r="I402" s="492"/>
      <c r="J402" s="254"/>
      <c r="K402" s="492"/>
      <c r="L402" s="254"/>
      <c r="M402" s="492"/>
      <c r="N402" s="254"/>
      <c r="O402" s="492"/>
      <c r="P402" s="254"/>
      <c r="Q402" s="492"/>
      <c r="R402" s="254"/>
      <c r="S402" s="513"/>
      <c r="T402" s="46"/>
      <c r="U402" s="492"/>
      <c r="V402" s="254"/>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row>
    <row r="403">
      <c r="A403" s="492"/>
      <c r="B403" s="254"/>
      <c r="C403" s="492"/>
      <c r="D403" s="254"/>
      <c r="E403" s="492"/>
      <c r="F403" s="254"/>
      <c r="G403" s="492"/>
      <c r="H403" s="254"/>
      <c r="I403" s="492"/>
      <c r="J403" s="254"/>
      <c r="K403" s="492"/>
      <c r="L403" s="254"/>
      <c r="M403" s="492"/>
      <c r="N403" s="254"/>
      <c r="O403" s="492"/>
      <c r="P403" s="254"/>
      <c r="Q403" s="492"/>
      <c r="R403" s="254"/>
      <c r="S403" s="513"/>
      <c r="T403" s="46"/>
      <c r="U403" s="492"/>
      <c r="V403" s="254"/>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row>
    <row r="404">
      <c r="A404" s="492"/>
      <c r="B404" s="254"/>
      <c r="C404" s="492"/>
      <c r="D404" s="254"/>
      <c r="E404" s="492"/>
      <c r="F404" s="254"/>
      <c r="G404" s="492"/>
      <c r="H404" s="254"/>
      <c r="I404" s="492"/>
      <c r="J404" s="254"/>
      <c r="K404" s="492"/>
      <c r="L404" s="254"/>
      <c r="M404" s="492"/>
      <c r="N404" s="254"/>
      <c r="O404" s="492"/>
      <c r="P404" s="254"/>
      <c r="Q404" s="492"/>
      <c r="R404" s="254"/>
      <c r="S404" s="513"/>
      <c r="T404" s="46"/>
      <c r="U404" s="492"/>
      <c r="V404" s="254"/>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row>
    <row r="405">
      <c r="A405" s="492"/>
      <c r="B405" s="254"/>
      <c r="C405" s="492"/>
      <c r="D405" s="254"/>
      <c r="E405" s="492"/>
      <c r="F405" s="254"/>
      <c r="G405" s="492"/>
      <c r="H405" s="254"/>
      <c r="I405" s="492"/>
      <c r="J405" s="254"/>
      <c r="K405" s="492"/>
      <c r="L405" s="254"/>
      <c r="M405" s="492"/>
      <c r="N405" s="254"/>
      <c r="O405" s="492"/>
      <c r="P405" s="254"/>
      <c r="Q405" s="492"/>
      <c r="R405" s="254"/>
      <c r="S405" s="513"/>
      <c r="T405" s="46"/>
      <c r="U405" s="492"/>
      <c r="V405" s="254"/>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row>
    <row r="406">
      <c r="A406" s="492"/>
      <c r="B406" s="254"/>
      <c r="C406" s="492"/>
      <c r="D406" s="254"/>
      <c r="E406" s="492"/>
      <c r="F406" s="254"/>
      <c r="G406" s="492"/>
      <c r="H406" s="254"/>
      <c r="I406" s="492"/>
      <c r="J406" s="254"/>
      <c r="K406" s="492"/>
      <c r="L406" s="254"/>
      <c r="M406" s="492"/>
      <c r="N406" s="254"/>
      <c r="O406" s="492"/>
      <c r="P406" s="254"/>
      <c r="Q406" s="492"/>
      <c r="R406" s="254"/>
      <c r="S406" s="513"/>
      <c r="T406" s="46"/>
      <c r="U406" s="492"/>
      <c r="V406" s="254"/>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row>
    <row r="407">
      <c r="A407" s="492"/>
      <c r="B407" s="254"/>
      <c r="C407" s="492"/>
      <c r="D407" s="254"/>
      <c r="E407" s="492"/>
      <c r="F407" s="254"/>
      <c r="G407" s="492"/>
      <c r="H407" s="254"/>
      <c r="I407" s="492"/>
      <c r="J407" s="254"/>
      <c r="K407" s="492"/>
      <c r="L407" s="254"/>
      <c r="M407" s="492"/>
      <c r="N407" s="254"/>
      <c r="O407" s="492"/>
      <c r="P407" s="254"/>
      <c r="Q407" s="492"/>
      <c r="R407" s="254"/>
      <c r="S407" s="513"/>
      <c r="T407" s="46"/>
      <c r="U407" s="492"/>
      <c r="V407" s="254"/>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row>
    <row r="408">
      <c r="A408" s="492"/>
      <c r="B408" s="254"/>
      <c r="C408" s="492"/>
      <c r="D408" s="254"/>
      <c r="E408" s="492"/>
      <c r="F408" s="254"/>
      <c r="G408" s="492"/>
      <c r="H408" s="254"/>
      <c r="I408" s="492"/>
      <c r="J408" s="254"/>
      <c r="K408" s="492"/>
      <c r="L408" s="254"/>
      <c r="M408" s="492"/>
      <c r="N408" s="254"/>
      <c r="O408" s="492"/>
      <c r="P408" s="254"/>
      <c r="Q408" s="492"/>
      <c r="R408" s="254"/>
      <c r="S408" s="513"/>
      <c r="T408" s="46"/>
      <c r="U408" s="492"/>
      <c r="V408" s="254"/>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row>
    <row r="409">
      <c r="A409" s="492"/>
      <c r="B409" s="254"/>
      <c r="C409" s="492"/>
      <c r="D409" s="254"/>
      <c r="E409" s="492"/>
      <c r="F409" s="254"/>
      <c r="G409" s="492"/>
      <c r="H409" s="254"/>
      <c r="I409" s="492"/>
      <c r="J409" s="254"/>
      <c r="K409" s="492"/>
      <c r="L409" s="254"/>
      <c r="M409" s="492"/>
      <c r="N409" s="254"/>
      <c r="O409" s="492"/>
      <c r="P409" s="254"/>
      <c r="Q409" s="492"/>
      <c r="R409" s="254"/>
      <c r="S409" s="513"/>
      <c r="T409" s="46"/>
      <c r="U409" s="492"/>
      <c r="V409" s="254"/>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row>
    <row r="410">
      <c r="A410" s="492"/>
      <c r="B410" s="254"/>
      <c r="C410" s="492"/>
      <c r="D410" s="254"/>
      <c r="E410" s="492"/>
      <c r="F410" s="254"/>
      <c r="G410" s="492"/>
      <c r="H410" s="254"/>
      <c r="I410" s="492"/>
      <c r="J410" s="254"/>
      <c r="K410" s="492"/>
      <c r="L410" s="254"/>
      <c r="M410" s="492"/>
      <c r="N410" s="254"/>
      <c r="O410" s="492"/>
      <c r="P410" s="254"/>
      <c r="Q410" s="492"/>
      <c r="R410" s="254"/>
      <c r="S410" s="513"/>
      <c r="T410" s="46"/>
      <c r="U410" s="492"/>
      <c r="V410" s="254"/>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row>
    <row r="411">
      <c r="A411" s="492"/>
      <c r="B411" s="254"/>
      <c r="C411" s="492"/>
      <c r="D411" s="254"/>
      <c r="E411" s="492"/>
      <c r="F411" s="254"/>
      <c r="G411" s="492"/>
      <c r="H411" s="254"/>
      <c r="I411" s="492"/>
      <c r="J411" s="254"/>
      <c r="K411" s="492"/>
      <c r="L411" s="254"/>
      <c r="M411" s="492"/>
      <c r="N411" s="254"/>
      <c r="O411" s="492"/>
      <c r="P411" s="254"/>
      <c r="Q411" s="492"/>
      <c r="R411" s="254"/>
      <c r="S411" s="513"/>
      <c r="T411" s="46"/>
      <c r="U411" s="492"/>
      <c r="V411" s="254"/>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row>
    <row r="412">
      <c r="A412" s="492"/>
      <c r="B412" s="254"/>
      <c r="C412" s="492"/>
      <c r="D412" s="254"/>
      <c r="E412" s="492"/>
      <c r="F412" s="254"/>
      <c r="G412" s="492"/>
      <c r="H412" s="254"/>
      <c r="I412" s="492"/>
      <c r="J412" s="254"/>
      <c r="K412" s="492"/>
      <c r="L412" s="254"/>
      <c r="M412" s="492"/>
      <c r="N412" s="254"/>
      <c r="O412" s="492"/>
      <c r="P412" s="254"/>
      <c r="Q412" s="492"/>
      <c r="R412" s="254"/>
      <c r="S412" s="513"/>
      <c r="T412" s="46"/>
      <c r="U412" s="492"/>
      <c r="V412" s="254"/>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row>
    <row r="413">
      <c r="A413" s="492"/>
      <c r="B413" s="254"/>
      <c r="C413" s="492"/>
      <c r="D413" s="254"/>
      <c r="E413" s="492"/>
      <c r="F413" s="254"/>
      <c r="G413" s="492"/>
      <c r="H413" s="254"/>
      <c r="I413" s="492"/>
      <c r="J413" s="254"/>
      <c r="K413" s="492"/>
      <c r="L413" s="254"/>
      <c r="M413" s="492"/>
      <c r="N413" s="254"/>
      <c r="O413" s="492"/>
      <c r="P413" s="254"/>
      <c r="Q413" s="492"/>
      <c r="R413" s="254"/>
      <c r="S413" s="513"/>
      <c r="T413" s="46"/>
      <c r="U413" s="492"/>
      <c r="V413" s="254"/>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row>
    <row r="414">
      <c r="A414" s="492"/>
      <c r="B414" s="254"/>
      <c r="C414" s="492"/>
      <c r="D414" s="254"/>
      <c r="E414" s="492"/>
      <c r="F414" s="254"/>
      <c r="G414" s="492"/>
      <c r="H414" s="254"/>
      <c r="I414" s="492"/>
      <c r="J414" s="254"/>
      <c r="K414" s="492"/>
      <c r="L414" s="254"/>
      <c r="M414" s="492"/>
      <c r="N414" s="254"/>
      <c r="O414" s="492"/>
      <c r="P414" s="254"/>
      <c r="Q414" s="492"/>
      <c r="R414" s="254"/>
      <c r="S414" s="513"/>
      <c r="T414" s="46"/>
      <c r="U414" s="492"/>
      <c r="V414" s="254"/>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row>
    <row r="415">
      <c r="A415" s="492"/>
      <c r="B415" s="254"/>
      <c r="C415" s="492"/>
      <c r="D415" s="254"/>
      <c r="E415" s="492"/>
      <c r="F415" s="254"/>
      <c r="G415" s="492"/>
      <c r="H415" s="254"/>
      <c r="I415" s="492"/>
      <c r="J415" s="254"/>
      <c r="K415" s="492"/>
      <c r="L415" s="254"/>
      <c r="M415" s="492"/>
      <c r="N415" s="254"/>
      <c r="O415" s="492"/>
      <c r="P415" s="254"/>
      <c r="Q415" s="492"/>
      <c r="R415" s="254"/>
      <c r="S415" s="513"/>
      <c r="T415" s="46"/>
      <c r="U415" s="492"/>
      <c r="V415" s="254"/>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row>
    <row r="416">
      <c r="A416" s="492"/>
      <c r="B416" s="254"/>
      <c r="C416" s="492"/>
      <c r="D416" s="254"/>
      <c r="E416" s="492"/>
      <c r="F416" s="254"/>
      <c r="G416" s="492"/>
      <c r="H416" s="254"/>
      <c r="I416" s="492"/>
      <c r="J416" s="254"/>
      <c r="K416" s="492"/>
      <c r="L416" s="254"/>
      <c r="M416" s="492"/>
      <c r="N416" s="254"/>
      <c r="O416" s="492"/>
      <c r="P416" s="254"/>
      <c r="Q416" s="492"/>
      <c r="R416" s="254"/>
      <c r="S416" s="513"/>
      <c r="T416" s="46"/>
      <c r="U416" s="492"/>
      <c r="V416" s="254"/>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row>
    <row r="417">
      <c r="A417" s="492"/>
      <c r="B417" s="254"/>
      <c r="C417" s="492"/>
      <c r="D417" s="254"/>
      <c r="E417" s="492"/>
      <c r="F417" s="254"/>
      <c r="G417" s="492"/>
      <c r="H417" s="254"/>
      <c r="I417" s="492"/>
      <c r="J417" s="254"/>
      <c r="K417" s="492"/>
      <c r="L417" s="254"/>
      <c r="M417" s="492"/>
      <c r="N417" s="254"/>
      <c r="O417" s="492"/>
      <c r="P417" s="254"/>
      <c r="Q417" s="492"/>
      <c r="R417" s="254"/>
      <c r="S417" s="513"/>
      <c r="T417" s="46"/>
      <c r="U417" s="492"/>
      <c r="V417" s="254"/>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row>
    <row r="418">
      <c r="A418" s="492"/>
      <c r="B418" s="254"/>
      <c r="C418" s="492"/>
      <c r="D418" s="254"/>
      <c r="E418" s="492"/>
      <c r="F418" s="254"/>
      <c r="G418" s="492"/>
      <c r="H418" s="254"/>
      <c r="I418" s="492"/>
      <c r="J418" s="254"/>
      <c r="K418" s="492"/>
      <c r="L418" s="254"/>
      <c r="M418" s="492"/>
      <c r="N418" s="254"/>
      <c r="O418" s="492"/>
      <c r="P418" s="254"/>
      <c r="Q418" s="492"/>
      <c r="R418" s="254"/>
      <c r="S418" s="513"/>
      <c r="T418" s="46"/>
      <c r="U418" s="492"/>
      <c r="V418" s="254"/>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row>
    <row r="419">
      <c r="A419" s="492"/>
      <c r="B419" s="254"/>
      <c r="C419" s="492"/>
      <c r="D419" s="254"/>
      <c r="E419" s="492"/>
      <c r="F419" s="254"/>
      <c r="G419" s="492"/>
      <c r="H419" s="254"/>
      <c r="I419" s="492"/>
      <c r="J419" s="254"/>
      <c r="K419" s="492"/>
      <c r="L419" s="254"/>
      <c r="M419" s="492"/>
      <c r="N419" s="254"/>
      <c r="O419" s="492"/>
      <c r="P419" s="254"/>
      <c r="Q419" s="492"/>
      <c r="R419" s="254"/>
      <c r="S419" s="513"/>
      <c r="T419" s="46"/>
      <c r="U419" s="492"/>
      <c r="V419" s="254"/>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row>
    <row r="420">
      <c r="A420" s="492"/>
      <c r="B420" s="254"/>
      <c r="C420" s="492"/>
      <c r="D420" s="254"/>
      <c r="E420" s="492"/>
      <c r="F420" s="254"/>
      <c r="G420" s="492"/>
      <c r="H420" s="254"/>
      <c r="I420" s="492"/>
      <c r="J420" s="254"/>
      <c r="K420" s="492"/>
      <c r="L420" s="254"/>
      <c r="M420" s="492"/>
      <c r="N420" s="254"/>
      <c r="O420" s="492"/>
      <c r="P420" s="254"/>
      <c r="Q420" s="492"/>
      <c r="R420" s="254"/>
      <c r="S420" s="513"/>
      <c r="T420" s="46"/>
      <c r="U420" s="492"/>
      <c r="V420" s="254"/>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row>
    <row r="421">
      <c r="A421" s="492"/>
      <c r="B421" s="254"/>
      <c r="C421" s="492"/>
      <c r="D421" s="254"/>
      <c r="E421" s="492"/>
      <c r="F421" s="254"/>
      <c r="G421" s="492"/>
      <c r="H421" s="254"/>
      <c r="I421" s="492"/>
      <c r="J421" s="254"/>
      <c r="K421" s="492"/>
      <c r="L421" s="254"/>
      <c r="M421" s="492"/>
      <c r="N421" s="254"/>
      <c r="O421" s="492"/>
      <c r="P421" s="254"/>
      <c r="Q421" s="492"/>
      <c r="R421" s="254"/>
      <c r="S421" s="513"/>
      <c r="T421" s="46"/>
      <c r="U421" s="492"/>
      <c r="V421" s="254"/>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row>
    <row r="422">
      <c r="A422" s="492"/>
      <c r="B422" s="254"/>
      <c r="C422" s="492"/>
      <c r="D422" s="254"/>
      <c r="E422" s="492"/>
      <c r="F422" s="254"/>
      <c r="G422" s="492"/>
      <c r="H422" s="254"/>
      <c r="I422" s="492"/>
      <c r="J422" s="254"/>
      <c r="K422" s="492"/>
      <c r="L422" s="254"/>
      <c r="M422" s="492"/>
      <c r="N422" s="254"/>
      <c r="O422" s="492"/>
      <c r="P422" s="254"/>
      <c r="Q422" s="492"/>
      <c r="R422" s="254"/>
      <c r="S422" s="513"/>
      <c r="T422" s="46"/>
      <c r="U422" s="492"/>
      <c r="V422" s="254"/>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row>
    <row r="423">
      <c r="A423" s="492"/>
      <c r="B423" s="254"/>
      <c r="C423" s="492"/>
      <c r="D423" s="254"/>
      <c r="E423" s="492"/>
      <c r="F423" s="254"/>
      <c r="G423" s="492"/>
      <c r="H423" s="254"/>
      <c r="I423" s="492"/>
      <c r="J423" s="254"/>
      <c r="K423" s="492"/>
      <c r="L423" s="254"/>
      <c r="M423" s="492"/>
      <c r="N423" s="254"/>
      <c r="O423" s="492"/>
      <c r="P423" s="254"/>
      <c r="Q423" s="492"/>
      <c r="R423" s="254"/>
      <c r="S423" s="513"/>
      <c r="T423" s="46"/>
      <c r="U423" s="492"/>
      <c r="V423" s="254"/>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row>
    <row r="424">
      <c r="A424" s="492"/>
      <c r="B424" s="254"/>
      <c r="C424" s="492"/>
      <c r="D424" s="254"/>
      <c r="E424" s="492"/>
      <c r="F424" s="254"/>
      <c r="G424" s="492"/>
      <c r="H424" s="254"/>
      <c r="I424" s="492"/>
      <c r="J424" s="254"/>
      <c r="K424" s="492"/>
      <c r="L424" s="254"/>
      <c r="M424" s="492"/>
      <c r="N424" s="254"/>
      <c r="O424" s="492"/>
      <c r="P424" s="254"/>
      <c r="Q424" s="492"/>
      <c r="R424" s="254"/>
      <c r="S424" s="513"/>
      <c r="T424" s="46"/>
      <c r="U424" s="492"/>
      <c r="V424" s="254"/>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row>
    <row r="425">
      <c r="A425" s="492"/>
      <c r="B425" s="254"/>
      <c r="C425" s="492"/>
      <c r="D425" s="254"/>
      <c r="E425" s="492"/>
      <c r="F425" s="254"/>
      <c r="G425" s="492"/>
      <c r="H425" s="254"/>
      <c r="I425" s="492"/>
      <c r="J425" s="254"/>
      <c r="K425" s="492"/>
      <c r="L425" s="254"/>
      <c r="M425" s="492"/>
      <c r="N425" s="254"/>
      <c r="O425" s="492"/>
      <c r="P425" s="254"/>
      <c r="Q425" s="492"/>
      <c r="R425" s="254"/>
      <c r="S425" s="513"/>
      <c r="T425" s="46"/>
      <c r="U425" s="492"/>
      <c r="V425" s="254"/>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row>
    <row r="426">
      <c r="A426" s="492"/>
      <c r="B426" s="254"/>
      <c r="C426" s="492"/>
      <c r="D426" s="254"/>
      <c r="E426" s="492"/>
      <c r="F426" s="254"/>
      <c r="G426" s="492"/>
      <c r="H426" s="254"/>
      <c r="I426" s="492"/>
      <c r="J426" s="254"/>
      <c r="K426" s="492"/>
      <c r="L426" s="254"/>
      <c r="M426" s="492"/>
      <c r="N426" s="254"/>
      <c r="O426" s="492"/>
      <c r="P426" s="254"/>
      <c r="Q426" s="492"/>
      <c r="R426" s="254"/>
      <c r="S426" s="513"/>
      <c r="T426" s="46"/>
      <c r="U426" s="492"/>
      <c r="V426" s="254"/>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row>
    <row r="427">
      <c r="A427" s="492"/>
      <c r="B427" s="254"/>
      <c r="C427" s="492"/>
      <c r="D427" s="254"/>
      <c r="E427" s="492"/>
      <c r="F427" s="254"/>
      <c r="G427" s="492"/>
      <c r="H427" s="254"/>
      <c r="I427" s="492"/>
      <c r="J427" s="254"/>
      <c r="K427" s="492"/>
      <c r="L427" s="254"/>
      <c r="M427" s="492"/>
      <c r="N427" s="254"/>
      <c r="O427" s="492"/>
      <c r="P427" s="254"/>
      <c r="Q427" s="492"/>
      <c r="R427" s="254"/>
      <c r="S427" s="513"/>
      <c r="T427" s="46"/>
      <c r="U427" s="492"/>
      <c r="V427" s="254"/>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row>
    <row r="428">
      <c r="A428" s="492"/>
      <c r="B428" s="254"/>
      <c r="C428" s="492"/>
      <c r="D428" s="254"/>
      <c r="E428" s="492"/>
      <c r="F428" s="254"/>
      <c r="G428" s="492"/>
      <c r="H428" s="254"/>
      <c r="I428" s="492"/>
      <c r="J428" s="254"/>
      <c r="K428" s="492"/>
      <c r="L428" s="254"/>
      <c r="M428" s="492"/>
      <c r="N428" s="254"/>
      <c r="O428" s="492"/>
      <c r="P428" s="254"/>
      <c r="Q428" s="492"/>
      <c r="R428" s="254"/>
      <c r="S428" s="513"/>
      <c r="T428" s="46"/>
      <c r="U428" s="492"/>
      <c r="V428" s="254"/>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row>
    <row r="429">
      <c r="A429" s="492"/>
      <c r="B429" s="254"/>
      <c r="C429" s="492"/>
      <c r="D429" s="254"/>
      <c r="E429" s="492"/>
      <c r="F429" s="254"/>
      <c r="G429" s="492"/>
      <c r="H429" s="254"/>
      <c r="I429" s="492"/>
      <c r="J429" s="254"/>
      <c r="K429" s="492"/>
      <c r="L429" s="254"/>
      <c r="M429" s="492"/>
      <c r="N429" s="254"/>
      <c r="O429" s="492"/>
      <c r="P429" s="254"/>
      <c r="Q429" s="492"/>
      <c r="R429" s="254"/>
      <c r="S429" s="513"/>
      <c r="T429" s="46"/>
      <c r="U429" s="492"/>
      <c r="V429" s="254"/>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row>
    <row r="430">
      <c r="A430" s="492"/>
      <c r="B430" s="254"/>
      <c r="C430" s="492"/>
      <c r="D430" s="254"/>
      <c r="E430" s="492"/>
      <c r="F430" s="254"/>
      <c r="G430" s="492"/>
      <c r="H430" s="254"/>
      <c r="I430" s="492"/>
      <c r="J430" s="254"/>
      <c r="K430" s="492"/>
      <c r="L430" s="254"/>
      <c r="M430" s="492"/>
      <c r="N430" s="254"/>
      <c r="O430" s="492"/>
      <c r="P430" s="254"/>
      <c r="Q430" s="492"/>
      <c r="R430" s="254"/>
      <c r="S430" s="513"/>
      <c r="T430" s="46"/>
      <c r="U430" s="492"/>
      <c r="V430" s="254"/>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row>
    <row r="431">
      <c r="A431" s="492"/>
      <c r="B431" s="254"/>
      <c r="C431" s="492"/>
      <c r="D431" s="254"/>
      <c r="E431" s="492"/>
      <c r="F431" s="254"/>
      <c r="G431" s="492"/>
      <c r="H431" s="254"/>
      <c r="I431" s="492"/>
      <c r="J431" s="254"/>
      <c r="K431" s="492"/>
      <c r="L431" s="254"/>
      <c r="M431" s="492"/>
      <c r="N431" s="254"/>
      <c r="O431" s="492"/>
      <c r="P431" s="254"/>
      <c r="Q431" s="492"/>
      <c r="R431" s="254"/>
      <c r="S431" s="513"/>
      <c r="T431" s="46"/>
      <c r="U431" s="492"/>
      <c r="V431" s="254"/>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row>
    <row r="432">
      <c r="A432" s="492"/>
      <c r="B432" s="254"/>
      <c r="C432" s="492"/>
      <c r="D432" s="254"/>
      <c r="E432" s="492"/>
      <c r="F432" s="254"/>
      <c r="G432" s="492"/>
      <c r="H432" s="254"/>
      <c r="I432" s="492"/>
      <c r="J432" s="254"/>
      <c r="K432" s="492"/>
      <c r="L432" s="254"/>
      <c r="M432" s="492"/>
      <c r="N432" s="254"/>
      <c r="O432" s="492"/>
      <c r="P432" s="254"/>
      <c r="Q432" s="492"/>
      <c r="R432" s="254"/>
      <c r="S432" s="513"/>
      <c r="T432" s="46"/>
      <c r="U432" s="492"/>
      <c r="V432" s="254"/>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row>
    <row r="433">
      <c r="A433" s="492"/>
      <c r="B433" s="254"/>
      <c r="C433" s="492"/>
      <c r="D433" s="254"/>
      <c r="E433" s="492"/>
      <c r="F433" s="254"/>
      <c r="G433" s="492"/>
      <c r="H433" s="254"/>
      <c r="I433" s="492"/>
      <c r="J433" s="254"/>
      <c r="K433" s="492"/>
      <c r="L433" s="254"/>
      <c r="M433" s="492"/>
      <c r="N433" s="254"/>
      <c r="O433" s="492"/>
      <c r="P433" s="254"/>
      <c r="Q433" s="492"/>
      <c r="R433" s="254"/>
      <c r="S433" s="513"/>
      <c r="T433" s="46"/>
      <c r="U433" s="492"/>
      <c r="V433" s="254"/>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row>
    <row r="434">
      <c r="A434" s="492"/>
      <c r="B434" s="254"/>
      <c r="C434" s="492"/>
      <c r="D434" s="254"/>
      <c r="E434" s="492"/>
      <c r="F434" s="254"/>
      <c r="G434" s="492"/>
      <c r="H434" s="254"/>
      <c r="I434" s="492"/>
      <c r="J434" s="254"/>
      <c r="K434" s="492"/>
      <c r="L434" s="254"/>
      <c r="M434" s="492"/>
      <c r="N434" s="254"/>
      <c r="O434" s="492"/>
      <c r="P434" s="254"/>
      <c r="Q434" s="492"/>
      <c r="R434" s="254"/>
      <c r="S434" s="513"/>
      <c r="T434" s="46"/>
      <c r="U434" s="492"/>
      <c r="V434" s="254"/>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row>
    <row r="435">
      <c r="A435" s="492"/>
      <c r="B435" s="254"/>
      <c r="C435" s="492"/>
      <c r="D435" s="254"/>
      <c r="E435" s="492"/>
      <c r="F435" s="254"/>
      <c r="G435" s="492"/>
      <c r="H435" s="254"/>
      <c r="I435" s="492"/>
      <c r="J435" s="254"/>
      <c r="K435" s="492"/>
      <c r="L435" s="254"/>
      <c r="M435" s="492"/>
      <c r="N435" s="254"/>
      <c r="O435" s="492"/>
      <c r="P435" s="254"/>
      <c r="Q435" s="492"/>
      <c r="R435" s="254"/>
      <c r="S435" s="513"/>
      <c r="T435" s="46"/>
      <c r="U435" s="492"/>
      <c r="V435" s="254"/>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row>
    <row r="436">
      <c r="A436" s="492"/>
      <c r="B436" s="254"/>
      <c r="C436" s="492"/>
      <c r="D436" s="254"/>
      <c r="E436" s="492"/>
      <c r="F436" s="254"/>
      <c r="G436" s="492"/>
      <c r="H436" s="254"/>
      <c r="I436" s="492"/>
      <c r="J436" s="254"/>
      <c r="K436" s="492"/>
      <c r="L436" s="254"/>
      <c r="M436" s="492"/>
      <c r="N436" s="254"/>
      <c r="O436" s="492"/>
      <c r="P436" s="254"/>
      <c r="Q436" s="492"/>
      <c r="R436" s="254"/>
      <c r="S436" s="513"/>
      <c r="T436" s="46"/>
      <c r="U436" s="492"/>
      <c r="V436" s="254"/>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row>
    <row r="437">
      <c r="A437" s="492"/>
      <c r="B437" s="254"/>
      <c r="C437" s="492"/>
      <c r="D437" s="254"/>
      <c r="E437" s="492"/>
      <c r="F437" s="254"/>
      <c r="G437" s="492"/>
      <c r="H437" s="254"/>
      <c r="I437" s="492"/>
      <c r="J437" s="254"/>
      <c r="K437" s="492"/>
      <c r="L437" s="254"/>
      <c r="M437" s="492"/>
      <c r="N437" s="254"/>
      <c r="O437" s="492"/>
      <c r="P437" s="254"/>
      <c r="Q437" s="492"/>
      <c r="R437" s="254"/>
      <c r="S437" s="513"/>
      <c r="T437" s="46"/>
      <c r="U437" s="492"/>
      <c r="V437" s="254"/>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row>
    <row r="438">
      <c r="A438" s="492"/>
      <c r="B438" s="254"/>
      <c r="C438" s="492"/>
      <c r="D438" s="254"/>
      <c r="E438" s="492"/>
      <c r="F438" s="254"/>
      <c r="G438" s="492"/>
      <c r="H438" s="254"/>
      <c r="I438" s="492"/>
      <c r="J438" s="254"/>
      <c r="K438" s="492"/>
      <c r="L438" s="254"/>
      <c r="M438" s="492"/>
      <c r="N438" s="254"/>
      <c r="O438" s="492"/>
      <c r="P438" s="254"/>
      <c r="Q438" s="492"/>
      <c r="R438" s="254"/>
      <c r="S438" s="513"/>
      <c r="T438" s="46"/>
      <c r="U438" s="492"/>
      <c r="V438" s="254"/>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row>
    <row r="439">
      <c r="A439" s="492"/>
      <c r="B439" s="254"/>
      <c r="C439" s="492"/>
      <c r="D439" s="254"/>
      <c r="E439" s="492"/>
      <c r="F439" s="254"/>
      <c r="G439" s="492"/>
      <c r="H439" s="254"/>
      <c r="I439" s="492"/>
      <c r="J439" s="254"/>
      <c r="K439" s="492"/>
      <c r="L439" s="254"/>
      <c r="M439" s="492"/>
      <c r="N439" s="254"/>
      <c r="O439" s="492"/>
      <c r="P439" s="254"/>
      <c r="Q439" s="492"/>
      <c r="R439" s="254"/>
      <c r="S439" s="513"/>
      <c r="T439" s="46"/>
      <c r="U439" s="492"/>
      <c r="V439" s="254"/>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row>
    <row r="440">
      <c r="A440" s="492"/>
      <c r="B440" s="254"/>
      <c r="C440" s="492"/>
      <c r="D440" s="254"/>
      <c r="E440" s="492"/>
      <c r="F440" s="254"/>
      <c r="G440" s="492"/>
      <c r="H440" s="254"/>
      <c r="I440" s="492"/>
      <c r="J440" s="254"/>
      <c r="K440" s="492"/>
      <c r="L440" s="254"/>
      <c r="M440" s="492"/>
      <c r="N440" s="254"/>
      <c r="O440" s="492"/>
      <c r="P440" s="254"/>
      <c r="Q440" s="492"/>
      <c r="R440" s="254"/>
      <c r="S440" s="513"/>
      <c r="T440" s="46"/>
      <c r="U440" s="492"/>
      <c r="V440" s="254"/>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row>
    <row r="441">
      <c r="A441" s="492"/>
      <c r="B441" s="254"/>
      <c r="C441" s="492"/>
      <c r="D441" s="254"/>
      <c r="E441" s="492"/>
      <c r="F441" s="254"/>
      <c r="G441" s="492"/>
      <c r="H441" s="254"/>
      <c r="I441" s="492"/>
      <c r="J441" s="254"/>
      <c r="K441" s="492"/>
      <c r="L441" s="254"/>
      <c r="M441" s="492"/>
      <c r="N441" s="254"/>
      <c r="O441" s="492"/>
      <c r="P441" s="254"/>
      <c r="Q441" s="492"/>
      <c r="R441" s="254"/>
      <c r="S441" s="513"/>
      <c r="T441" s="46"/>
      <c r="U441" s="492"/>
      <c r="V441" s="254"/>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row>
    <row r="442">
      <c r="A442" s="492"/>
      <c r="B442" s="254"/>
      <c r="C442" s="492"/>
      <c r="D442" s="254"/>
      <c r="E442" s="492"/>
      <c r="F442" s="254"/>
      <c r="G442" s="492"/>
      <c r="H442" s="254"/>
      <c r="I442" s="492"/>
      <c r="J442" s="254"/>
      <c r="K442" s="492"/>
      <c r="L442" s="254"/>
      <c r="M442" s="492"/>
      <c r="N442" s="254"/>
      <c r="O442" s="492"/>
      <c r="P442" s="254"/>
      <c r="Q442" s="492"/>
      <c r="R442" s="254"/>
      <c r="S442" s="513"/>
      <c r="T442" s="46"/>
      <c r="U442" s="492"/>
      <c r="V442" s="254"/>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row>
    <row r="443">
      <c r="A443" s="492"/>
      <c r="B443" s="254"/>
      <c r="C443" s="492"/>
      <c r="D443" s="254"/>
      <c r="E443" s="492"/>
      <c r="F443" s="254"/>
      <c r="G443" s="492"/>
      <c r="H443" s="254"/>
      <c r="I443" s="492"/>
      <c r="J443" s="254"/>
      <c r="K443" s="492"/>
      <c r="L443" s="254"/>
      <c r="M443" s="492"/>
      <c r="N443" s="254"/>
      <c r="O443" s="492"/>
      <c r="P443" s="254"/>
      <c r="Q443" s="492"/>
      <c r="R443" s="254"/>
      <c r="S443" s="513"/>
      <c r="T443" s="46"/>
      <c r="U443" s="492"/>
      <c r="V443" s="254"/>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row>
    <row r="444">
      <c r="A444" s="492"/>
      <c r="B444" s="254"/>
      <c r="C444" s="492"/>
      <c r="D444" s="254"/>
      <c r="E444" s="492"/>
      <c r="F444" s="254"/>
      <c r="G444" s="492"/>
      <c r="H444" s="254"/>
      <c r="I444" s="492"/>
      <c r="J444" s="254"/>
      <c r="K444" s="492"/>
      <c r="L444" s="254"/>
      <c r="M444" s="492"/>
      <c r="N444" s="254"/>
      <c r="O444" s="492"/>
      <c r="P444" s="254"/>
      <c r="Q444" s="492"/>
      <c r="R444" s="254"/>
      <c r="S444" s="513"/>
      <c r="T444" s="46"/>
      <c r="U444" s="492"/>
      <c r="V444" s="254"/>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row>
    <row r="445">
      <c r="A445" s="492"/>
      <c r="B445" s="254"/>
      <c r="C445" s="492"/>
      <c r="D445" s="254"/>
      <c r="E445" s="492"/>
      <c r="F445" s="254"/>
      <c r="G445" s="492"/>
      <c r="H445" s="254"/>
      <c r="I445" s="492"/>
      <c r="J445" s="254"/>
      <c r="K445" s="492"/>
      <c r="L445" s="254"/>
      <c r="M445" s="492"/>
      <c r="N445" s="254"/>
      <c r="O445" s="492"/>
      <c r="P445" s="254"/>
      <c r="Q445" s="492"/>
      <c r="R445" s="254"/>
      <c r="S445" s="513"/>
      <c r="T445" s="46"/>
      <c r="U445" s="492"/>
      <c r="V445" s="254"/>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row>
    <row r="446">
      <c r="A446" s="492"/>
      <c r="B446" s="254"/>
      <c r="C446" s="492"/>
      <c r="D446" s="254"/>
      <c r="E446" s="492"/>
      <c r="F446" s="254"/>
      <c r="G446" s="492"/>
      <c r="H446" s="254"/>
      <c r="I446" s="492"/>
      <c r="J446" s="254"/>
      <c r="K446" s="492"/>
      <c r="L446" s="254"/>
      <c r="M446" s="492"/>
      <c r="N446" s="254"/>
      <c r="O446" s="492"/>
      <c r="P446" s="254"/>
      <c r="Q446" s="492"/>
      <c r="R446" s="254"/>
      <c r="S446" s="513"/>
      <c r="T446" s="46"/>
      <c r="U446" s="492"/>
      <c r="V446" s="254"/>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row>
    <row r="447">
      <c r="A447" s="492"/>
      <c r="B447" s="254"/>
      <c r="C447" s="492"/>
      <c r="D447" s="254"/>
      <c r="E447" s="492"/>
      <c r="F447" s="254"/>
      <c r="G447" s="492"/>
      <c r="H447" s="254"/>
      <c r="I447" s="492"/>
      <c r="J447" s="254"/>
      <c r="K447" s="492"/>
      <c r="L447" s="254"/>
      <c r="M447" s="492"/>
      <c r="N447" s="254"/>
      <c r="O447" s="492"/>
      <c r="P447" s="254"/>
      <c r="Q447" s="492"/>
      <c r="R447" s="254"/>
      <c r="S447" s="513"/>
      <c r="T447" s="46"/>
      <c r="U447" s="492"/>
      <c r="V447" s="254"/>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row>
    <row r="448">
      <c r="A448" s="492"/>
      <c r="B448" s="254"/>
      <c r="C448" s="492"/>
      <c r="D448" s="254"/>
      <c r="E448" s="492"/>
      <c r="F448" s="254"/>
      <c r="G448" s="492"/>
      <c r="H448" s="254"/>
      <c r="I448" s="492"/>
      <c r="J448" s="254"/>
      <c r="K448" s="492"/>
      <c r="L448" s="254"/>
      <c r="M448" s="492"/>
      <c r="N448" s="254"/>
      <c r="O448" s="492"/>
      <c r="P448" s="254"/>
      <c r="Q448" s="492"/>
      <c r="R448" s="254"/>
      <c r="S448" s="513"/>
      <c r="T448" s="46"/>
      <c r="U448" s="492"/>
      <c r="V448" s="254"/>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row>
    <row r="449">
      <c r="A449" s="492"/>
      <c r="B449" s="254"/>
      <c r="C449" s="492"/>
      <c r="D449" s="254"/>
      <c r="E449" s="492"/>
      <c r="F449" s="254"/>
      <c r="G449" s="492"/>
      <c r="H449" s="254"/>
      <c r="I449" s="492"/>
      <c r="J449" s="254"/>
      <c r="K449" s="492"/>
      <c r="L449" s="254"/>
      <c r="M449" s="492"/>
      <c r="N449" s="254"/>
      <c r="O449" s="492"/>
      <c r="P449" s="254"/>
      <c r="Q449" s="492"/>
      <c r="R449" s="254"/>
      <c r="S449" s="513"/>
      <c r="T449" s="46"/>
      <c r="U449" s="492"/>
      <c r="V449" s="254"/>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row>
    <row r="450">
      <c r="A450" s="492"/>
      <c r="B450" s="254"/>
      <c r="C450" s="492"/>
      <c r="D450" s="254"/>
      <c r="E450" s="492"/>
      <c r="F450" s="254"/>
      <c r="G450" s="492"/>
      <c r="H450" s="254"/>
      <c r="I450" s="492"/>
      <c r="J450" s="254"/>
      <c r="K450" s="492"/>
      <c r="L450" s="254"/>
      <c r="M450" s="492"/>
      <c r="N450" s="254"/>
      <c r="O450" s="492"/>
      <c r="P450" s="254"/>
      <c r="Q450" s="492"/>
      <c r="R450" s="254"/>
      <c r="S450" s="513"/>
      <c r="T450" s="46"/>
      <c r="U450" s="492"/>
      <c r="V450" s="254"/>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row>
    <row r="451">
      <c r="A451" s="492"/>
      <c r="B451" s="254"/>
      <c r="C451" s="492"/>
      <c r="D451" s="254"/>
      <c r="E451" s="492"/>
      <c r="F451" s="254"/>
      <c r="G451" s="492"/>
      <c r="H451" s="254"/>
      <c r="I451" s="492"/>
      <c r="J451" s="254"/>
      <c r="K451" s="492"/>
      <c r="L451" s="254"/>
      <c r="M451" s="492"/>
      <c r="N451" s="254"/>
      <c r="O451" s="492"/>
      <c r="P451" s="254"/>
      <c r="Q451" s="492"/>
      <c r="R451" s="254"/>
      <c r="S451" s="513"/>
      <c r="T451" s="46"/>
      <c r="U451" s="492"/>
      <c r="V451" s="254"/>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row>
    <row r="452">
      <c r="A452" s="492"/>
      <c r="B452" s="254"/>
      <c r="C452" s="492"/>
      <c r="D452" s="254"/>
      <c r="E452" s="492"/>
      <c r="F452" s="254"/>
      <c r="G452" s="492"/>
      <c r="H452" s="254"/>
      <c r="I452" s="492"/>
      <c r="J452" s="254"/>
      <c r="K452" s="492"/>
      <c r="L452" s="254"/>
      <c r="M452" s="492"/>
      <c r="N452" s="254"/>
      <c r="O452" s="492"/>
      <c r="P452" s="254"/>
      <c r="Q452" s="492"/>
      <c r="R452" s="254"/>
      <c r="S452" s="513"/>
      <c r="T452" s="46"/>
      <c r="U452" s="492"/>
      <c r="V452" s="254"/>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row>
    <row r="453">
      <c r="A453" s="492"/>
      <c r="B453" s="254"/>
      <c r="C453" s="492"/>
      <c r="D453" s="254"/>
      <c r="E453" s="492"/>
      <c r="F453" s="254"/>
      <c r="G453" s="492"/>
      <c r="H453" s="254"/>
      <c r="I453" s="492"/>
      <c r="J453" s="254"/>
      <c r="K453" s="492"/>
      <c r="L453" s="254"/>
      <c r="M453" s="492"/>
      <c r="N453" s="254"/>
      <c r="O453" s="492"/>
      <c r="P453" s="254"/>
      <c r="Q453" s="492"/>
      <c r="R453" s="254"/>
      <c r="S453" s="513"/>
      <c r="T453" s="46"/>
      <c r="U453" s="492"/>
      <c r="V453" s="254"/>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row>
    <row r="454">
      <c r="A454" s="492"/>
      <c r="B454" s="254"/>
      <c r="C454" s="492"/>
      <c r="D454" s="254"/>
      <c r="E454" s="492"/>
      <c r="F454" s="254"/>
      <c r="G454" s="492"/>
      <c r="H454" s="254"/>
      <c r="I454" s="492"/>
      <c r="J454" s="254"/>
      <c r="K454" s="492"/>
      <c r="L454" s="254"/>
      <c r="M454" s="492"/>
      <c r="N454" s="254"/>
      <c r="O454" s="492"/>
      <c r="P454" s="254"/>
      <c r="Q454" s="492"/>
      <c r="R454" s="254"/>
      <c r="S454" s="513"/>
      <c r="T454" s="46"/>
      <c r="U454" s="492"/>
      <c r="V454" s="254"/>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row>
    <row r="455">
      <c r="A455" s="492"/>
      <c r="B455" s="254"/>
      <c r="C455" s="492"/>
      <c r="D455" s="254"/>
      <c r="E455" s="492"/>
      <c r="F455" s="254"/>
      <c r="G455" s="492"/>
      <c r="H455" s="254"/>
      <c r="I455" s="492"/>
      <c r="J455" s="254"/>
      <c r="K455" s="492"/>
      <c r="L455" s="254"/>
      <c r="M455" s="492"/>
      <c r="N455" s="254"/>
      <c r="O455" s="492"/>
      <c r="P455" s="254"/>
      <c r="Q455" s="492"/>
      <c r="R455" s="254"/>
      <c r="S455" s="513"/>
      <c r="T455" s="46"/>
      <c r="U455" s="492"/>
      <c r="V455" s="254"/>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row>
    <row r="456">
      <c r="A456" s="492"/>
      <c r="B456" s="254"/>
      <c r="C456" s="492"/>
      <c r="D456" s="254"/>
      <c r="E456" s="492"/>
      <c r="F456" s="254"/>
      <c r="G456" s="492"/>
      <c r="H456" s="254"/>
      <c r="I456" s="492"/>
      <c r="J456" s="254"/>
      <c r="K456" s="492"/>
      <c r="L456" s="254"/>
      <c r="M456" s="492"/>
      <c r="N456" s="254"/>
      <c r="O456" s="492"/>
      <c r="P456" s="254"/>
      <c r="Q456" s="492"/>
      <c r="R456" s="254"/>
      <c r="S456" s="513"/>
      <c r="T456" s="46"/>
      <c r="U456" s="492"/>
      <c r="V456" s="254"/>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row>
    <row r="457">
      <c r="A457" s="492"/>
      <c r="B457" s="254"/>
      <c r="C457" s="492"/>
      <c r="D457" s="254"/>
      <c r="E457" s="492"/>
      <c r="F457" s="254"/>
      <c r="G457" s="492"/>
      <c r="H457" s="254"/>
      <c r="I457" s="492"/>
      <c r="J457" s="254"/>
      <c r="K457" s="492"/>
      <c r="L457" s="254"/>
      <c r="M457" s="492"/>
      <c r="N457" s="254"/>
      <c r="O457" s="492"/>
      <c r="P457" s="254"/>
      <c r="Q457" s="492"/>
      <c r="R457" s="254"/>
      <c r="S457" s="513"/>
      <c r="T457" s="46"/>
      <c r="U457" s="492"/>
      <c r="V457" s="254"/>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row>
    <row r="458">
      <c r="A458" s="492"/>
      <c r="B458" s="254"/>
      <c r="C458" s="492"/>
      <c r="D458" s="254"/>
      <c r="E458" s="492"/>
      <c r="F458" s="254"/>
      <c r="G458" s="492"/>
      <c r="H458" s="254"/>
      <c r="I458" s="492"/>
      <c r="J458" s="254"/>
      <c r="K458" s="492"/>
      <c r="L458" s="254"/>
      <c r="M458" s="492"/>
      <c r="N458" s="254"/>
      <c r="O458" s="492"/>
      <c r="P458" s="254"/>
      <c r="Q458" s="492"/>
      <c r="R458" s="254"/>
      <c r="S458" s="513"/>
      <c r="T458" s="46"/>
      <c r="U458" s="492"/>
      <c r="V458" s="254"/>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row>
    <row r="459">
      <c r="A459" s="492"/>
      <c r="B459" s="254"/>
      <c r="C459" s="492"/>
      <c r="D459" s="254"/>
      <c r="E459" s="492"/>
      <c r="F459" s="254"/>
      <c r="G459" s="492"/>
      <c r="H459" s="254"/>
      <c r="I459" s="492"/>
      <c r="J459" s="254"/>
      <c r="K459" s="492"/>
      <c r="L459" s="254"/>
      <c r="M459" s="492"/>
      <c r="N459" s="254"/>
      <c r="O459" s="492"/>
      <c r="P459" s="254"/>
      <c r="Q459" s="492"/>
      <c r="R459" s="254"/>
      <c r="S459" s="513"/>
      <c r="T459" s="46"/>
      <c r="U459" s="492"/>
      <c r="V459" s="254"/>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row>
    <row r="460">
      <c r="A460" s="492"/>
      <c r="B460" s="254"/>
      <c r="C460" s="492"/>
      <c r="D460" s="254"/>
      <c r="E460" s="492"/>
      <c r="F460" s="254"/>
      <c r="G460" s="492"/>
      <c r="H460" s="254"/>
      <c r="I460" s="492"/>
      <c r="J460" s="254"/>
      <c r="K460" s="492"/>
      <c r="L460" s="254"/>
      <c r="M460" s="492"/>
      <c r="N460" s="254"/>
      <c r="O460" s="492"/>
      <c r="P460" s="254"/>
      <c r="Q460" s="492"/>
      <c r="R460" s="254"/>
      <c r="S460" s="513"/>
      <c r="T460" s="46"/>
      <c r="U460" s="492"/>
      <c r="V460" s="254"/>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row>
    <row r="461">
      <c r="A461" s="492"/>
      <c r="B461" s="254"/>
      <c r="C461" s="492"/>
      <c r="D461" s="254"/>
      <c r="E461" s="492"/>
      <c r="F461" s="254"/>
      <c r="G461" s="492"/>
      <c r="H461" s="254"/>
      <c r="I461" s="492"/>
      <c r="J461" s="254"/>
      <c r="K461" s="492"/>
      <c r="L461" s="254"/>
      <c r="M461" s="492"/>
      <c r="N461" s="254"/>
      <c r="O461" s="492"/>
      <c r="P461" s="254"/>
      <c r="Q461" s="492"/>
      <c r="R461" s="254"/>
      <c r="S461" s="513"/>
      <c r="T461" s="46"/>
      <c r="U461" s="492"/>
      <c r="V461" s="254"/>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row>
    <row r="462">
      <c r="A462" s="492"/>
      <c r="B462" s="254"/>
      <c r="C462" s="492"/>
      <c r="D462" s="254"/>
      <c r="E462" s="492"/>
      <c r="F462" s="254"/>
      <c r="G462" s="492"/>
      <c r="H462" s="254"/>
      <c r="I462" s="492"/>
      <c r="J462" s="254"/>
      <c r="K462" s="492"/>
      <c r="L462" s="254"/>
      <c r="M462" s="492"/>
      <c r="N462" s="254"/>
      <c r="O462" s="492"/>
      <c r="P462" s="254"/>
      <c r="Q462" s="492"/>
      <c r="R462" s="254"/>
      <c r="S462" s="513"/>
      <c r="T462" s="46"/>
      <c r="U462" s="492"/>
      <c r="V462" s="254"/>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row>
    <row r="463">
      <c r="A463" s="492"/>
      <c r="B463" s="254"/>
      <c r="C463" s="492"/>
      <c r="D463" s="254"/>
      <c r="E463" s="492"/>
      <c r="F463" s="254"/>
      <c r="G463" s="492"/>
      <c r="H463" s="254"/>
      <c r="I463" s="492"/>
      <c r="J463" s="254"/>
      <c r="K463" s="492"/>
      <c r="L463" s="254"/>
      <c r="M463" s="492"/>
      <c r="N463" s="254"/>
      <c r="O463" s="492"/>
      <c r="P463" s="254"/>
      <c r="Q463" s="492"/>
      <c r="R463" s="254"/>
      <c r="S463" s="513"/>
      <c r="T463" s="46"/>
      <c r="U463" s="492"/>
      <c r="V463" s="254"/>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row>
    <row r="464">
      <c r="A464" s="492"/>
      <c r="B464" s="254"/>
      <c r="C464" s="492"/>
      <c r="D464" s="254"/>
      <c r="E464" s="492"/>
      <c r="F464" s="254"/>
      <c r="G464" s="492"/>
      <c r="H464" s="254"/>
      <c r="I464" s="492"/>
      <c r="J464" s="254"/>
      <c r="K464" s="492"/>
      <c r="L464" s="254"/>
      <c r="M464" s="492"/>
      <c r="N464" s="254"/>
      <c r="O464" s="492"/>
      <c r="P464" s="254"/>
      <c r="Q464" s="492"/>
      <c r="R464" s="254"/>
      <c r="S464" s="513"/>
      <c r="T464" s="46"/>
      <c r="U464" s="492"/>
      <c r="V464" s="254"/>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row>
    <row r="465">
      <c r="A465" s="492"/>
      <c r="B465" s="254"/>
      <c r="C465" s="492"/>
      <c r="D465" s="254"/>
      <c r="E465" s="492"/>
      <c r="F465" s="254"/>
      <c r="G465" s="492"/>
      <c r="H465" s="254"/>
      <c r="I465" s="492"/>
      <c r="J465" s="254"/>
      <c r="K465" s="492"/>
      <c r="L465" s="254"/>
      <c r="M465" s="492"/>
      <c r="N465" s="254"/>
      <c r="O465" s="492"/>
      <c r="P465" s="254"/>
      <c r="Q465" s="492"/>
      <c r="R465" s="254"/>
      <c r="S465" s="513"/>
      <c r="T465" s="46"/>
      <c r="U465" s="492"/>
      <c r="V465" s="254"/>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row>
    <row r="466">
      <c r="A466" s="492"/>
      <c r="B466" s="254"/>
      <c r="C466" s="492"/>
      <c r="D466" s="254"/>
      <c r="E466" s="492"/>
      <c r="F466" s="254"/>
      <c r="G466" s="492"/>
      <c r="H466" s="254"/>
      <c r="I466" s="492"/>
      <c r="J466" s="254"/>
      <c r="K466" s="492"/>
      <c r="L466" s="254"/>
      <c r="M466" s="492"/>
      <c r="N466" s="254"/>
      <c r="O466" s="492"/>
      <c r="P466" s="254"/>
      <c r="Q466" s="492"/>
      <c r="R466" s="254"/>
      <c r="S466" s="513"/>
      <c r="T466" s="46"/>
      <c r="U466" s="492"/>
      <c r="V466" s="254"/>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row>
    <row r="467">
      <c r="A467" s="492"/>
      <c r="B467" s="254"/>
      <c r="C467" s="492"/>
      <c r="D467" s="254"/>
      <c r="E467" s="492"/>
      <c r="F467" s="254"/>
      <c r="G467" s="492"/>
      <c r="H467" s="254"/>
      <c r="I467" s="492"/>
      <c r="J467" s="254"/>
      <c r="K467" s="492"/>
      <c r="L467" s="254"/>
      <c r="M467" s="492"/>
      <c r="N467" s="254"/>
      <c r="O467" s="492"/>
      <c r="P467" s="254"/>
      <c r="Q467" s="492"/>
      <c r="R467" s="254"/>
      <c r="S467" s="513"/>
      <c r="T467" s="46"/>
      <c r="U467" s="492"/>
      <c r="V467" s="254"/>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row>
    <row r="468">
      <c r="A468" s="492"/>
      <c r="B468" s="254"/>
      <c r="C468" s="492"/>
      <c r="D468" s="254"/>
      <c r="E468" s="492"/>
      <c r="F468" s="254"/>
      <c r="G468" s="492"/>
      <c r="H468" s="254"/>
      <c r="I468" s="492"/>
      <c r="J468" s="254"/>
      <c r="K468" s="492"/>
      <c r="L468" s="254"/>
      <c r="M468" s="492"/>
      <c r="N468" s="254"/>
      <c r="O468" s="492"/>
      <c r="P468" s="254"/>
      <c r="Q468" s="492"/>
      <c r="R468" s="254"/>
      <c r="S468" s="513"/>
      <c r="T468" s="46"/>
      <c r="U468" s="492"/>
      <c r="V468" s="254"/>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row>
    <row r="469">
      <c r="A469" s="492"/>
      <c r="B469" s="254"/>
      <c r="C469" s="492"/>
      <c r="D469" s="254"/>
      <c r="E469" s="492"/>
      <c r="F469" s="254"/>
      <c r="G469" s="492"/>
      <c r="H469" s="254"/>
      <c r="I469" s="492"/>
      <c r="J469" s="254"/>
      <c r="K469" s="492"/>
      <c r="L469" s="254"/>
      <c r="M469" s="492"/>
      <c r="N469" s="254"/>
      <c r="O469" s="492"/>
      <c r="P469" s="254"/>
      <c r="Q469" s="492"/>
      <c r="R469" s="254"/>
      <c r="S469" s="513"/>
      <c r="T469" s="46"/>
      <c r="U469" s="492"/>
      <c r="V469" s="254"/>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row>
    <row r="470">
      <c r="A470" s="492"/>
      <c r="B470" s="254"/>
      <c r="C470" s="492"/>
      <c r="D470" s="254"/>
      <c r="E470" s="492"/>
      <c r="F470" s="254"/>
      <c r="G470" s="492"/>
      <c r="H470" s="254"/>
      <c r="I470" s="492"/>
      <c r="J470" s="254"/>
      <c r="K470" s="492"/>
      <c r="L470" s="254"/>
      <c r="M470" s="492"/>
      <c r="N470" s="254"/>
      <c r="O470" s="492"/>
      <c r="P470" s="254"/>
      <c r="Q470" s="492"/>
      <c r="R470" s="254"/>
      <c r="S470" s="513"/>
      <c r="T470" s="46"/>
      <c r="U470" s="492"/>
      <c r="V470" s="254"/>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row>
    <row r="471">
      <c r="A471" s="492"/>
      <c r="B471" s="254"/>
      <c r="C471" s="492"/>
      <c r="D471" s="254"/>
      <c r="E471" s="492"/>
      <c r="F471" s="254"/>
      <c r="G471" s="492"/>
      <c r="H471" s="254"/>
      <c r="I471" s="492"/>
      <c r="J471" s="254"/>
      <c r="K471" s="492"/>
      <c r="L471" s="254"/>
      <c r="M471" s="492"/>
      <c r="N471" s="254"/>
      <c r="O471" s="492"/>
      <c r="P471" s="254"/>
      <c r="Q471" s="492"/>
      <c r="R471" s="254"/>
      <c r="S471" s="513"/>
      <c r="T471" s="46"/>
      <c r="U471" s="492"/>
      <c r="V471" s="254"/>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row>
    <row r="472">
      <c r="A472" s="492"/>
      <c r="B472" s="254"/>
      <c r="C472" s="492"/>
      <c r="D472" s="254"/>
      <c r="E472" s="492"/>
      <c r="F472" s="254"/>
      <c r="G472" s="492"/>
      <c r="H472" s="254"/>
      <c r="I472" s="492"/>
      <c r="J472" s="254"/>
      <c r="K472" s="492"/>
      <c r="L472" s="254"/>
      <c r="M472" s="492"/>
      <c r="N472" s="254"/>
      <c r="O472" s="492"/>
      <c r="P472" s="254"/>
      <c r="Q472" s="492"/>
      <c r="R472" s="254"/>
      <c r="S472" s="513"/>
      <c r="T472" s="46"/>
      <c r="U472" s="492"/>
      <c r="V472" s="254"/>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row>
    <row r="473">
      <c r="A473" s="492"/>
      <c r="B473" s="254"/>
      <c r="C473" s="492"/>
      <c r="D473" s="254"/>
      <c r="E473" s="492"/>
      <c r="F473" s="254"/>
      <c r="G473" s="492"/>
      <c r="H473" s="254"/>
      <c r="I473" s="492"/>
      <c r="J473" s="254"/>
      <c r="K473" s="492"/>
      <c r="L473" s="254"/>
      <c r="M473" s="492"/>
      <c r="N473" s="254"/>
      <c r="O473" s="492"/>
      <c r="P473" s="254"/>
      <c r="Q473" s="492"/>
      <c r="R473" s="254"/>
      <c r="S473" s="513"/>
      <c r="T473" s="46"/>
      <c r="U473" s="492"/>
      <c r="V473" s="254"/>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row>
    <row r="474">
      <c r="A474" s="492"/>
      <c r="B474" s="254"/>
      <c r="C474" s="492"/>
      <c r="D474" s="254"/>
      <c r="E474" s="492"/>
      <c r="F474" s="254"/>
      <c r="G474" s="492"/>
      <c r="H474" s="254"/>
      <c r="I474" s="492"/>
      <c r="J474" s="254"/>
      <c r="K474" s="492"/>
      <c r="L474" s="254"/>
      <c r="M474" s="492"/>
      <c r="N474" s="254"/>
      <c r="O474" s="492"/>
      <c r="P474" s="254"/>
      <c r="Q474" s="492"/>
      <c r="R474" s="254"/>
      <c r="S474" s="513"/>
      <c r="T474" s="46"/>
      <c r="U474" s="492"/>
      <c r="V474" s="254"/>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row>
    <row r="475">
      <c r="A475" s="492"/>
      <c r="B475" s="254"/>
      <c r="C475" s="492"/>
      <c r="D475" s="254"/>
      <c r="E475" s="492"/>
      <c r="F475" s="254"/>
      <c r="G475" s="492"/>
      <c r="H475" s="254"/>
      <c r="I475" s="492"/>
      <c r="J475" s="254"/>
      <c r="K475" s="492"/>
      <c r="L475" s="254"/>
      <c r="M475" s="492"/>
      <c r="N475" s="254"/>
      <c r="O475" s="492"/>
      <c r="P475" s="254"/>
      <c r="Q475" s="492"/>
      <c r="R475" s="254"/>
      <c r="S475" s="513"/>
      <c r="T475" s="46"/>
      <c r="U475" s="492"/>
      <c r="V475" s="254"/>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row>
    <row r="476">
      <c r="A476" s="492"/>
      <c r="B476" s="254"/>
      <c r="C476" s="492"/>
      <c r="D476" s="254"/>
      <c r="E476" s="492"/>
      <c r="F476" s="254"/>
      <c r="G476" s="492"/>
      <c r="H476" s="254"/>
      <c r="I476" s="492"/>
      <c r="J476" s="254"/>
      <c r="K476" s="492"/>
      <c r="L476" s="254"/>
      <c r="M476" s="492"/>
      <c r="N476" s="254"/>
      <c r="O476" s="492"/>
      <c r="P476" s="254"/>
      <c r="Q476" s="492"/>
      <c r="R476" s="254"/>
      <c r="S476" s="513"/>
      <c r="T476" s="46"/>
      <c r="U476" s="492"/>
      <c r="V476" s="254"/>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row>
    <row r="477">
      <c r="A477" s="492"/>
      <c r="B477" s="254"/>
      <c r="C477" s="492"/>
      <c r="D477" s="254"/>
      <c r="E477" s="492"/>
      <c r="F477" s="254"/>
      <c r="G477" s="492"/>
      <c r="H477" s="254"/>
      <c r="I477" s="492"/>
      <c r="J477" s="254"/>
      <c r="K477" s="492"/>
      <c r="L477" s="254"/>
      <c r="M477" s="492"/>
      <c r="N477" s="254"/>
      <c r="O477" s="492"/>
      <c r="P477" s="254"/>
      <c r="Q477" s="492"/>
      <c r="R477" s="254"/>
      <c r="S477" s="513"/>
      <c r="T477" s="46"/>
      <c r="U477" s="492"/>
      <c r="V477" s="254"/>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row>
    <row r="478">
      <c r="A478" s="492"/>
      <c r="B478" s="254"/>
      <c r="C478" s="492"/>
      <c r="D478" s="254"/>
      <c r="E478" s="492"/>
      <c r="F478" s="254"/>
      <c r="G478" s="492"/>
      <c r="H478" s="254"/>
      <c r="I478" s="492"/>
      <c r="J478" s="254"/>
      <c r="K478" s="492"/>
      <c r="L478" s="254"/>
      <c r="M478" s="492"/>
      <c r="N478" s="254"/>
      <c r="O478" s="492"/>
      <c r="P478" s="254"/>
      <c r="Q478" s="492"/>
      <c r="R478" s="254"/>
      <c r="S478" s="513"/>
      <c r="T478" s="46"/>
      <c r="U478" s="492"/>
      <c r="V478" s="254"/>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row>
    <row r="479">
      <c r="A479" s="492"/>
      <c r="B479" s="254"/>
      <c r="C479" s="492"/>
      <c r="D479" s="254"/>
      <c r="E479" s="492"/>
      <c r="F479" s="254"/>
      <c r="G479" s="492"/>
      <c r="H479" s="254"/>
      <c r="I479" s="492"/>
      <c r="J479" s="254"/>
      <c r="K479" s="492"/>
      <c r="L479" s="254"/>
      <c r="M479" s="492"/>
      <c r="N479" s="254"/>
      <c r="O479" s="492"/>
      <c r="P479" s="254"/>
      <c r="Q479" s="492"/>
      <c r="R479" s="254"/>
      <c r="S479" s="513"/>
      <c r="T479" s="46"/>
      <c r="U479" s="492"/>
      <c r="V479" s="254"/>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row>
    <row r="480">
      <c r="A480" s="492"/>
      <c r="B480" s="254"/>
      <c r="C480" s="492"/>
      <c r="D480" s="254"/>
      <c r="E480" s="492"/>
      <c r="F480" s="254"/>
      <c r="G480" s="492"/>
      <c r="H480" s="254"/>
      <c r="I480" s="492"/>
      <c r="J480" s="254"/>
      <c r="K480" s="492"/>
      <c r="L480" s="254"/>
      <c r="M480" s="492"/>
      <c r="N480" s="254"/>
      <c r="O480" s="492"/>
      <c r="P480" s="254"/>
      <c r="Q480" s="492"/>
      <c r="R480" s="254"/>
      <c r="S480" s="513"/>
      <c r="T480" s="46"/>
      <c r="U480" s="492"/>
      <c r="V480" s="254"/>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row>
    <row r="481">
      <c r="A481" s="492"/>
      <c r="B481" s="254"/>
      <c r="C481" s="492"/>
      <c r="D481" s="254"/>
      <c r="E481" s="492"/>
      <c r="F481" s="254"/>
      <c r="G481" s="492"/>
      <c r="H481" s="254"/>
      <c r="I481" s="492"/>
      <c r="J481" s="254"/>
      <c r="K481" s="492"/>
      <c r="L481" s="254"/>
      <c r="M481" s="492"/>
      <c r="N481" s="254"/>
      <c r="O481" s="492"/>
      <c r="P481" s="254"/>
      <c r="Q481" s="492"/>
      <c r="R481" s="254"/>
      <c r="S481" s="513"/>
      <c r="T481" s="46"/>
      <c r="U481" s="492"/>
      <c r="V481" s="254"/>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row>
    <row r="482">
      <c r="A482" s="492"/>
      <c r="B482" s="254"/>
      <c r="C482" s="492"/>
      <c r="D482" s="254"/>
      <c r="E482" s="492"/>
      <c r="F482" s="254"/>
      <c r="G482" s="492"/>
      <c r="H482" s="254"/>
      <c r="I482" s="492"/>
      <c r="J482" s="254"/>
      <c r="K482" s="492"/>
      <c r="L482" s="254"/>
      <c r="M482" s="492"/>
      <c r="N482" s="254"/>
      <c r="O482" s="492"/>
      <c r="P482" s="254"/>
      <c r="Q482" s="492"/>
      <c r="R482" s="254"/>
      <c r="S482" s="513"/>
      <c r="T482" s="46"/>
      <c r="U482" s="492"/>
      <c r="V482" s="254"/>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row>
    <row r="483">
      <c r="A483" s="492"/>
      <c r="B483" s="254"/>
      <c r="C483" s="492"/>
      <c r="D483" s="254"/>
      <c r="E483" s="492"/>
      <c r="F483" s="254"/>
      <c r="G483" s="492"/>
      <c r="H483" s="254"/>
      <c r="I483" s="492"/>
      <c r="J483" s="254"/>
      <c r="K483" s="492"/>
      <c r="L483" s="254"/>
      <c r="M483" s="492"/>
      <c r="N483" s="254"/>
      <c r="O483" s="492"/>
      <c r="P483" s="254"/>
      <c r="Q483" s="492"/>
      <c r="R483" s="254"/>
      <c r="S483" s="513"/>
      <c r="T483" s="46"/>
      <c r="U483" s="492"/>
      <c r="V483" s="254"/>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row>
    <row r="484">
      <c r="A484" s="492"/>
      <c r="B484" s="254"/>
      <c r="C484" s="492"/>
      <c r="D484" s="254"/>
      <c r="E484" s="492"/>
      <c r="F484" s="254"/>
      <c r="G484" s="492"/>
      <c r="H484" s="254"/>
      <c r="I484" s="492"/>
      <c r="J484" s="254"/>
      <c r="K484" s="492"/>
      <c r="L484" s="254"/>
      <c r="M484" s="492"/>
      <c r="N484" s="254"/>
      <c r="O484" s="492"/>
      <c r="P484" s="254"/>
      <c r="Q484" s="492"/>
      <c r="R484" s="254"/>
      <c r="S484" s="513"/>
      <c r="T484" s="46"/>
      <c r="U484" s="492"/>
      <c r="V484" s="254"/>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row>
    <row r="485">
      <c r="A485" s="492"/>
      <c r="B485" s="254"/>
      <c r="C485" s="492"/>
      <c r="D485" s="254"/>
      <c r="E485" s="492"/>
      <c r="F485" s="254"/>
      <c r="G485" s="492"/>
      <c r="H485" s="254"/>
      <c r="I485" s="492"/>
      <c r="J485" s="254"/>
      <c r="K485" s="492"/>
      <c r="L485" s="254"/>
      <c r="M485" s="492"/>
      <c r="N485" s="254"/>
      <c r="O485" s="492"/>
      <c r="P485" s="254"/>
      <c r="Q485" s="492"/>
      <c r="R485" s="254"/>
      <c r="S485" s="513"/>
      <c r="T485" s="46"/>
      <c r="U485" s="492"/>
      <c r="V485" s="254"/>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row>
    <row r="486">
      <c r="A486" s="492"/>
      <c r="B486" s="254"/>
      <c r="C486" s="492"/>
      <c r="D486" s="254"/>
      <c r="E486" s="492"/>
      <c r="F486" s="254"/>
      <c r="G486" s="492"/>
      <c r="H486" s="254"/>
      <c r="I486" s="492"/>
      <c r="J486" s="254"/>
      <c r="K486" s="492"/>
      <c r="L486" s="254"/>
      <c r="M486" s="492"/>
      <c r="N486" s="254"/>
      <c r="O486" s="492"/>
      <c r="P486" s="254"/>
      <c r="Q486" s="492"/>
      <c r="R486" s="254"/>
      <c r="S486" s="513"/>
      <c r="T486" s="46"/>
      <c r="U486" s="492"/>
      <c r="V486" s="254"/>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row>
    <row r="487">
      <c r="A487" s="492"/>
      <c r="B487" s="254"/>
      <c r="C487" s="492"/>
      <c r="D487" s="254"/>
      <c r="E487" s="492"/>
      <c r="F487" s="254"/>
      <c r="G487" s="492"/>
      <c r="H487" s="254"/>
      <c r="I487" s="492"/>
      <c r="J487" s="254"/>
      <c r="K487" s="492"/>
      <c r="L487" s="254"/>
      <c r="M487" s="492"/>
      <c r="N487" s="254"/>
      <c r="O487" s="492"/>
      <c r="P487" s="254"/>
      <c r="Q487" s="492"/>
      <c r="R487" s="254"/>
      <c r="S487" s="513"/>
      <c r="T487" s="46"/>
      <c r="U487" s="492"/>
      <c r="V487" s="254"/>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row>
    <row r="488">
      <c r="A488" s="492"/>
      <c r="B488" s="254"/>
      <c r="C488" s="492"/>
      <c r="D488" s="254"/>
      <c r="E488" s="492"/>
      <c r="F488" s="254"/>
      <c r="G488" s="492"/>
      <c r="H488" s="254"/>
      <c r="I488" s="492"/>
      <c r="J488" s="254"/>
      <c r="K488" s="492"/>
      <c r="L488" s="254"/>
      <c r="M488" s="492"/>
      <c r="N488" s="254"/>
      <c r="O488" s="492"/>
      <c r="P488" s="254"/>
      <c r="Q488" s="492"/>
      <c r="R488" s="254"/>
      <c r="S488" s="513"/>
      <c r="T488" s="46"/>
      <c r="U488" s="492"/>
      <c r="V488" s="254"/>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row>
    <row r="489">
      <c r="A489" s="492"/>
      <c r="B489" s="254"/>
      <c r="C489" s="492"/>
      <c r="D489" s="254"/>
      <c r="E489" s="492"/>
      <c r="F489" s="254"/>
      <c r="G489" s="492"/>
      <c r="H489" s="254"/>
      <c r="I489" s="492"/>
      <c r="J489" s="254"/>
      <c r="K489" s="492"/>
      <c r="L489" s="254"/>
      <c r="M489" s="492"/>
      <c r="N489" s="254"/>
      <c r="O489" s="492"/>
      <c r="P489" s="254"/>
      <c r="Q489" s="492"/>
      <c r="R489" s="254"/>
      <c r="S489" s="513"/>
      <c r="T489" s="46"/>
      <c r="U489" s="492"/>
      <c r="V489" s="254"/>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row>
    <row r="490">
      <c r="A490" s="492"/>
      <c r="B490" s="254"/>
      <c r="C490" s="492"/>
      <c r="D490" s="254"/>
      <c r="E490" s="492"/>
      <c r="F490" s="254"/>
      <c r="G490" s="492"/>
      <c r="H490" s="254"/>
      <c r="I490" s="492"/>
      <c r="J490" s="254"/>
      <c r="K490" s="492"/>
      <c r="L490" s="254"/>
      <c r="M490" s="492"/>
      <c r="N490" s="254"/>
      <c r="O490" s="492"/>
      <c r="P490" s="254"/>
      <c r="Q490" s="492"/>
      <c r="R490" s="254"/>
      <c r="S490" s="513"/>
      <c r="T490" s="46"/>
      <c r="U490" s="492"/>
      <c r="V490" s="254"/>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row>
    <row r="491">
      <c r="A491" s="492"/>
      <c r="B491" s="254"/>
      <c r="C491" s="492"/>
      <c r="D491" s="254"/>
      <c r="E491" s="492"/>
      <c r="F491" s="254"/>
      <c r="G491" s="492"/>
      <c r="H491" s="254"/>
      <c r="I491" s="492"/>
      <c r="J491" s="254"/>
      <c r="K491" s="492"/>
      <c r="L491" s="254"/>
      <c r="M491" s="492"/>
      <c r="N491" s="254"/>
      <c r="O491" s="492"/>
      <c r="P491" s="254"/>
      <c r="Q491" s="492"/>
      <c r="R491" s="254"/>
      <c r="S491" s="513"/>
      <c r="T491" s="46"/>
      <c r="U491" s="492"/>
      <c r="V491" s="254"/>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row>
    <row r="492">
      <c r="A492" s="492"/>
      <c r="B492" s="254"/>
      <c r="C492" s="492"/>
      <c r="D492" s="254"/>
      <c r="E492" s="492"/>
      <c r="F492" s="254"/>
      <c r="G492" s="492"/>
      <c r="H492" s="254"/>
      <c r="I492" s="492"/>
      <c r="J492" s="254"/>
      <c r="K492" s="492"/>
      <c r="L492" s="254"/>
      <c r="M492" s="492"/>
      <c r="N492" s="254"/>
      <c r="O492" s="492"/>
      <c r="P492" s="254"/>
      <c r="Q492" s="492"/>
      <c r="R492" s="254"/>
      <c r="S492" s="513"/>
      <c r="T492" s="46"/>
      <c r="U492" s="492"/>
      <c r="V492" s="254"/>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row>
    <row r="493">
      <c r="A493" s="492"/>
      <c r="B493" s="254"/>
      <c r="C493" s="492"/>
      <c r="D493" s="254"/>
      <c r="E493" s="492"/>
      <c r="F493" s="254"/>
      <c r="G493" s="492"/>
      <c r="H493" s="254"/>
      <c r="I493" s="492"/>
      <c r="J493" s="254"/>
      <c r="K493" s="492"/>
      <c r="L493" s="254"/>
      <c r="M493" s="492"/>
      <c r="N493" s="254"/>
      <c r="O493" s="492"/>
      <c r="P493" s="254"/>
      <c r="Q493" s="492"/>
      <c r="R493" s="254"/>
      <c r="S493" s="513"/>
      <c r="T493" s="46"/>
      <c r="U493" s="492"/>
      <c r="V493" s="254"/>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row>
    <row r="494">
      <c r="A494" s="492"/>
      <c r="B494" s="254"/>
      <c r="C494" s="492"/>
      <c r="D494" s="254"/>
      <c r="E494" s="492"/>
      <c r="F494" s="254"/>
      <c r="G494" s="492"/>
      <c r="H494" s="254"/>
      <c r="I494" s="492"/>
      <c r="J494" s="254"/>
      <c r="K494" s="492"/>
      <c r="L494" s="254"/>
      <c r="M494" s="492"/>
      <c r="N494" s="254"/>
      <c r="O494" s="492"/>
      <c r="P494" s="254"/>
      <c r="Q494" s="492"/>
      <c r="R494" s="254"/>
      <c r="S494" s="513"/>
      <c r="T494" s="46"/>
      <c r="U494" s="492"/>
      <c r="V494" s="254"/>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row>
    <row r="495">
      <c r="A495" s="492"/>
      <c r="B495" s="254"/>
      <c r="C495" s="492"/>
      <c r="D495" s="254"/>
      <c r="E495" s="492"/>
      <c r="F495" s="254"/>
      <c r="G495" s="492"/>
      <c r="H495" s="254"/>
      <c r="I495" s="492"/>
      <c r="J495" s="254"/>
      <c r="K495" s="492"/>
      <c r="L495" s="254"/>
      <c r="M495" s="492"/>
      <c r="N495" s="254"/>
      <c r="O495" s="492"/>
      <c r="P495" s="254"/>
      <c r="Q495" s="492"/>
      <c r="R495" s="254"/>
      <c r="S495" s="513"/>
      <c r="T495" s="46"/>
      <c r="U495" s="492"/>
      <c r="V495" s="254"/>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row>
    <row r="496">
      <c r="A496" s="492"/>
      <c r="B496" s="254"/>
      <c r="C496" s="492"/>
      <c r="D496" s="254"/>
      <c r="E496" s="492"/>
      <c r="F496" s="254"/>
      <c r="G496" s="492"/>
      <c r="H496" s="254"/>
      <c r="I496" s="492"/>
      <c r="J496" s="254"/>
      <c r="K496" s="492"/>
      <c r="L496" s="254"/>
      <c r="M496" s="492"/>
      <c r="N496" s="254"/>
      <c r="O496" s="492"/>
      <c r="P496" s="254"/>
      <c r="Q496" s="492"/>
      <c r="R496" s="254"/>
      <c r="S496" s="513"/>
      <c r="T496" s="46"/>
      <c r="U496" s="492"/>
      <c r="V496" s="254"/>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row>
    <row r="497">
      <c r="A497" s="492"/>
      <c r="B497" s="254"/>
      <c r="C497" s="492"/>
      <c r="D497" s="254"/>
      <c r="E497" s="492"/>
      <c r="F497" s="254"/>
      <c r="G497" s="492"/>
      <c r="H497" s="254"/>
      <c r="I497" s="492"/>
      <c r="J497" s="254"/>
      <c r="K497" s="492"/>
      <c r="L497" s="254"/>
      <c r="M497" s="492"/>
      <c r="N497" s="254"/>
      <c r="O497" s="492"/>
      <c r="P497" s="254"/>
      <c r="Q497" s="492"/>
      <c r="R497" s="254"/>
      <c r="S497" s="513"/>
      <c r="T497" s="46"/>
      <c r="U497" s="492"/>
      <c r="V497" s="254"/>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row>
    <row r="498">
      <c r="A498" s="492"/>
      <c r="B498" s="254"/>
      <c r="C498" s="492"/>
      <c r="D498" s="254"/>
      <c r="E498" s="492"/>
      <c r="F498" s="254"/>
      <c r="G498" s="492"/>
      <c r="H498" s="254"/>
      <c r="I498" s="492"/>
      <c r="J498" s="254"/>
      <c r="K498" s="492"/>
      <c r="L498" s="254"/>
      <c r="M498" s="492"/>
      <c r="N498" s="254"/>
      <c r="O498" s="492"/>
      <c r="P498" s="254"/>
      <c r="Q498" s="492"/>
      <c r="R498" s="254"/>
      <c r="S498" s="513"/>
      <c r="T498" s="46"/>
      <c r="U498" s="492"/>
      <c r="V498" s="254"/>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row>
    <row r="499">
      <c r="A499" s="492"/>
      <c r="B499" s="254"/>
      <c r="C499" s="492"/>
      <c r="D499" s="254"/>
      <c r="E499" s="492"/>
      <c r="F499" s="254"/>
      <c r="G499" s="492"/>
      <c r="H499" s="254"/>
      <c r="I499" s="492"/>
      <c r="J499" s="254"/>
      <c r="K499" s="492"/>
      <c r="L499" s="254"/>
      <c r="M499" s="492"/>
      <c r="N499" s="254"/>
      <c r="O499" s="492"/>
      <c r="P499" s="254"/>
      <c r="Q499" s="492"/>
      <c r="R499" s="254"/>
      <c r="S499" s="513"/>
      <c r="T499" s="46"/>
      <c r="U499" s="492"/>
      <c r="V499" s="254"/>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row>
    <row r="500">
      <c r="A500" s="492"/>
      <c r="B500" s="254"/>
      <c r="C500" s="492"/>
      <c r="D500" s="254"/>
      <c r="E500" s="492"/>
      <c r="F500" s="254"/>
      <c r="G500" s="492"/>
      <c r="H500" s="254"/>
      <c r="I500" s="492"/>
      <c r="J500" s="254"/>
      <c r="K500" s="492"/>
      <c r="L500" s="254"/>
      <c r="M500" s="492"/>
      <c r="N500" s="254"/>
      <c r="O500" s="492"/>
      <c r="P500" s="254"/>
      <c r="Q500" s="492"/>
      <c r="R500" s="254"/>
      <c r="S500" s="513"/>
      <c r="T500" s="46"/>
      <c r="U500" s="492"/>
      <c r="V500" s="254"/>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row>
    <row r="501">
      <c r="A501" s="492"/>
      <c r="B501" s="254"/>
      <c r="C501" s="492"/>
      <c r="D501" s="254"/>
      <c r="E501" s="492"/>
      <c r="F501" s="254"/>
      <c r="G501" s="492"/>
      <c r="H501" s="254"/>
      <c r="I501" s="492"/>
      <c r="J501" s="254"/>
      <c r="K501" s="492"/>
      <c r="L501" s="254"/>
      <c r="M501" s="492"/>
      <c r="N501" s="254"/>
      <c r="O501" s="492"/>
      <c r="P501" s="254"/>
      <c r="Q501" s="492"/>
      <c r="R501" s="254"/>
      <c r="S501" s="513"/>
      <c r="T501" s="46"/>
      <c r="U501" s="492"/>
      <c r="V501" s="254"/>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row>
    <row r="502">
      <c r="A502" s="492"/>
      <c r="B502" s="254"/>
      <c r="C502" s="492"/>
      <c r="D502" s="254"/>
      <c r="E502" s="492"/>
      <c r="F502" s="254"/>
      <c r="G502" s="492"/>
      <c r="H502" s="254"/>
      <c r="I502" s="492"/>
      <c r="J502" s="254"/>
      <c r="K502" s="492"/>
      <c r="L502" s="254"/>
      <c r="M502" s="492"/>
      <c r="N502" s="254"/>
      <c r="O502" s="492"/>
      <c r="P502" s="254"/>
      <c r="Q502" s="492"/>
      <c r="R502" s="254"/>
      <c r="S502" s="513"/>
      <c r="T502" s="46"/>
      <c r="U502" s="492"/>
      <c r="V502" s="254"/>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row>
    <row r="503">
      <c r="A503" s="492"/>
      <c r="B503" s="254"/>
      <c r="C503" s="492"/>
      <c r="D503" s="254"/>
      <c r="E503" s="492"/>
      <c r="F503" s="254"/>
      <c r="G503" s="492"/>
      <c r="H503" s="254"/>
      <c r="I503" s="492"/>
      <c r="J503" s="254"/>
      <c r="K503" s="492"/>
      <c r="L503" s="254"/>
      <c r="M503" s="492"/>
      <c r="N503" s="254"/>
      <c r="O503" s="492"/>
      <c r="P503" s="254"/>
      <c r="Q503" s="492"/>
      <c r="R503" s="254"/>
      <c r="S503" s="513"/>
      <c r="T503" s="46"/>
      <c r="U503" s="492"/>
      <c r="V503" s="254"/>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row>
    <row r="504">
      <c r="A504" s="492"/>
      <c r="B504" s="254"/>
      <c r="C504" s="492"/>
      <c r="D504" s="254"/>
      <c r="E504" s="492"/>
      <c r="F504" s="254"/>
      <c r="G504" s="492"/>
      <c r="H504" s="254"/>
      <c r="I504" s="492"/>
      <c r="J504" s="254"/>
      <c r="K504" s="492"/>
      <c r="L504" s="254"/>
      <c r="M504" s="492"/>
      <c r="N504" s="254"/>
      <c r="O504" s="492"/>
      <c r="P504" s="254"/>
      <c r="Q504" s="492"/>
      <c r="R504" s="254"/>
      <c r="S504" s="513"/>
      <c r="T504" s="46"/>
      <c r="U504" s="492"/>
      <c r="V504" s="254"/>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row>
    <row r="505">
      <c r="A505" s="492"/>
      <c r="B505" s="254"/>
      <c r="C505" s="492"/>
      <c r="D505" s="254"/>
      <c r="E505" s="492"/>
      <c r="F505" s="254"/>
      <c r="G505" s="492"/>
      <c r="H505" s="254"/>
      <c r="I505" s="492"/>
      <c r="J505" s="254"/>
      <c r="K505" s="492"/>
      <c r="L505" s="254"/>
      <c r="M505" s="492"/>
      <c r="N505" s="254"/>
      <c r="O505" s="492"/>
      <c r="P505" s="254"/>
      <c r="Q505" s="492"/>
      <c r="R505" s="254"/>
      <c r="S505" s="513"/>
      <c r="T505" s="46"/>
      <c r="U505" s="492"/>
      <c r="V505" s="254"/>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row>
    <row r="506">
      <c r="A506" s="492"/>
      <c r="B506" s="254"/>
      <c r="C506" s="492"/>
      <c r="D506" s="254"/>
      <c r="E506" s="492"/>
      <c r="F506" s="254"/>
      <c r="G506" s="492"/>
      <c r="H506" s="254"/>
      <c r="I506" s="492"/>
      <c r="J506" s="254"/>
      <c r="K506" s="492"/>
      <c r="L506" s="254"/>
      <c r="M506" s="492"/>
      <c r="N506" s="254"/>
      <c r="O506" s="492"/>
      <c r="P506" s="254"/>
      <c r="Q506" s="492"/>
      <c r="R506" s="254"/>
      <c r="S506" s="513"/>
      <c r="T506" s="46"/>
      <c r="U506" s="492"/>
      <c r="V506" s="254"/>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row>
    <row r="507">
      <c r="A507" s="492"/>
      <c r="B507" s="254"/>
      <c r="C507" s="492"/>
      <c r="D507" s="254"/>
      <c r="E507" s="492"/>
      <c r="F507" s="254"/>
      <c r="G507" s="492"/>
      <c r="H507" s="254"/>
      <c r="I507" s="492"/>
      <c r="J507" s="254"/>
      <c r="K507" s="492"/>
      <c r="L507" s="254"/>
      <c r="M507" s="492"/>
      <c r="N507" s="254"/>
      <c r="O507" s="492"/>
      <c r="P507" s="254"/>
      <c r="Q507" s="492"/>
      <c r="R507" s="254"/>
      <c r="S507" s="513"/>
      <c r="T507" s="46"/>
      <c r="U507" s="492"/>
      <c r="V507" s="254"/>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row>
    <row r="508">
      <c r="A508" s="492"/>
      <c r="B508" s="254"/>
      <c r="C508" s="492"/>
      <c r="D508" s="254"/>
      <c r="E508" s="492"/>
      <c r="F508" s="254"/>
      <c r="G508" s="492"/>
      <c r="H508" s="254"/>
      <c r="I508" s="492"/>
      <c r="J508" s="254"/>
      <c r="K508" s="492"/>
      <c r="L508" s="254"/>
      <c r="M508" s="492"/>
      <c r="N508" s="254"/>
      <c r="O508" s="492"/>
      <c r="P508" s="254"/>
      <c r="Q508" s="492"/>
      <c r="R508" s="254"/>
      <c r="S508" s="513"/>
      <c r="T508" s="46"/>
      <c r="U508" s="492"/>
      <c r="V508" s="254"/>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row>
    <row r="509">
      <c r="A509" s="492"/>
      <c r="B509" s="254"/>
      <c r="C509" s="492"/>
      <c r="D509" s="254"/>
      <c r="E509" s="492"/>
      <c r="F509" s="254"/>
      <c r="G509" s="492"/>
      <c r="H509" s="254"/>
      <c r="I509" s="492"/>
      <c r="J509" s="254"/>
      <c r="K509" s="492"/>
      <c r="L509" s="254"/>
      <c r="M509" s="492"/>
      <c r="N509" s="254"/>
      <c r="O509" s="492"/>
      <c r="P509" s="254"/>
      <c r="Q509" s="492"/>
      <c r="R509" s="254"/>
      <c r="S509" s="513"/>
      <c r="T509" s="46"/>
      <c r="U509" s="492"/>
      <c r="V509" s="254"/>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row>
    <row r="510">
      <c r="A510" s="492"/>
      <c r="B510" s="254"/>
      <c r="C510" s="492"/>
      <c r="D510" s="254"/>
      <c r="E510" s="492"/>
      <c r="F510" s="254"/>
      <c r="G510" s="492"/>
      <c r="H510" s="254"/>
      <c r="I510" s="492"/>
      <c r="J510" s="254"/>
      <c r="K510" s="492"/>
      <c r="L510" s="254"/>
      <c r="M510" s="492"/>
      <c r="N510" s="254"/>
      <c r="O510" s="492"/>
      <c r="P510" s="254"/>
      <c r="Q510" s="492"/>
      <c r="R510" s="254"/>
      <c r="S510" s="513"/>
      <c r="T510" s="46"/>
      <c r="U510" s="492"/>
      <c r="V510" s="254"/>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row>
    <row r="511">
      <c r="A511" s="492"/>
      <c r="B511" s="254"/>
      <c r="C511" s="492"/>
      <c r="D511" s="254"/>
      <c r="E511" s="492"/>
      <c r="F511" s="254"/>
      <c r="G511" s="492"/>
      <c r="H511" s="254"/>
      <c r="I511" s="492"/>
      <c r="J511" s="254"/>
      <c r="K511" s="492"/>
      <c r="L511" s="254"/>
      <c r="M511" s="492"/>
      <c r="N511" s="254"/>
      <c r="O511" s="492"/>
      <c r="P511" s="254"/>
      <c r="Q511" s="492"/>
      <c r="R511" s="254"/>
      <c r="S511" s="513"/>
      <c r="T511" s="46"/>
      <c r="U511" s="492"/>
      <c r="V511" s="254"/>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row>
    <row r="512">
      <c r="A512" s="492"/>
      <c r="B512" s="254"/>
      <c r="C512" s="492"/>
      <c r="D512" s="254"/>
      <c r="E512" s="492"/>
      <c r="F512" s="254"/>
      <c r="G512" s="492"/>
      <c r="H512" s="254"/>
      <c r="I512" s="492"/>
      <c r="J512" s="254"/>
      <c r="K512" s="492"/>
      <c r="L512" s="254"/>
      <c r="M512" s="492"/>
      <c r="N512" s="254"/>
      <c r="O512" s="492"/>
      <c r="P512" s="254"/>
      <c r="Q512" s="492"/>
      <c r="R512" s="254"/>
      <c r="S512" s="513"/>
      <c r="T512" s="46"/>
      <c r="U512" s="492"/>
      <c r="V512" s="254"/>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row>
    <row r="513">
      <c r="A513" s="492"/>
      <c r="B513" s="254"/>
      <c r="C513" s="492"/>
      <c r="D513" s="254"/>
      <c r="E513" s="492"/>
      <c r="F513" s="254"/>
      <c r="G513" s="492"/>
      <c r="H513" s="254"/>
      <c r="I513" s="492"/>
      <c r="J513" s="254"/>
      <c r="K513" s="492"/>
      <c r="L513" s="254"/>
      <c r="M513" s="492"/>
      <c r="N513" s="254"/>
      <c r="O513" s="492"/>
      <c r="P513" s="254"/>
      <c r="Q513" s="492"/>
      <c r="R513" s="254"/>
      <c r="S513" s="513"/>
      <c r="T513" s="46"/>
      <c r="U513" s="492"/>
      <c r="V513" s="254"/>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row>
    <row r="514">
      <c r="A514" s="492"/>
      <c r="B514" s="254"/>
      <c r="C514" s="492"/>
      <c r="D514" s="254"/>
      <c r="E514" s="492"/>
      <c r="F514" s="254"/>
      <c r="G514" s="492"/>
      <c r="H514" s="254"/>
      <c r="I514" s="492"/>
      <c r="J514" s="254"/>
      <c r="K514" s="492"/>
      <c r="L514" s="254"/>
      <c r="M514" s="492"/>
      <c r="N514" s="254"/>
      <c r="O514" s="492"/>
      <c r="P514" s="254"/>
      <c r="Q514" s="492"/>
      <c r="R514" s="254"/>
      <c r="S514" s="513"/>
      <c r="T514" s="46"/>
      <c r="U514" s="492"/>
      <c r="V514" s="254"/>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row>
    <row r="515">
      <c r="A515" s="492"/>
      <c r="B515" s="254"/>
      <c r="C515" s="492"/>
      <c r="D515" s="254"/>
      <c r="E515" s="492"/>
      <c r="F515" s="254"/>
      <c r="G515" s="492"/>
      <c r="H515" s="254"/>
      <c r="I515" s="492"/>
      <c r="J515" s="254"/>
      <c r="K515" s="492"/>
      <c r="L515" s="254"/>
      <c r="M515" s="492"/>
      <c r="N515" s="254"/>
      <c r="O515" s="492"/>
      <c r="P515" s="254"/>
      <c r="Q515" s="492"/>
      <c r="R515" s="254"/>
      <c r="S515" s="513"/>
      <c r="T515" s="46"/>
      <c r="U515" s="492"/>
      <c r="V515" s="254"/>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row>
    <row r="516">
      <c r="A516" s="492"/>
      <c r="B516" s="254"/>
      <c r="C516" s="492"/>
      <c r="D516" s="254"/>
      <c r="E516" s="492"/>
      <c r="F516" s="254"/>
      <c r="G516" s="492"/>
      <c r="H516" s="254"/>
      <c r="I516" s="492"/>
      <c r="J516" s="254"/>
      <c r="K516" s="492"/>
      <c r="L516" s="254"/>
      <c r="M516" s="492"/>
      <c r="N516" s="254"/>
      <c r="O516" s="492"/>
      <c r="P516" s="254"/>
      <c r="Q516" s="492"/>
      <c r="R516" s="254"/>
      <c r="S516" s="513"/>
      <c r="T516" s="46"/>
      <c r="U516" s="492"/>
      <c r="V516" s="254"/>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row>
    <row r="517">
      <c r="A517" s="492"/>
      <c r="B517" s="254"/>
      <c r="C517" s="492"/>
      <c r="D517" s="254"/>
      <c r="E517" s="492"/>
      <c r="F517" s="254"/>
      <c r="G517" s="492"/>
      <c r="H517" s="254"/>
      <c r="I517" s="492"/>
      <c r="J517" s="254"/>
      <c r="K517" s="492"/>
      <c r="L517" s="254"/>
      <c r="M517" s="492"/>
      <c r="N517" s="254"/>
      <c r="O517" s="492"/>
      <c r="P517" s="254"/>
      <c r="Q517" s="492"/>
      <c r="R517" s="254"/>
      <c r="S517" s="513"/>
      <c r="T517" s="46"/>
      <c r="U517" s="492"/>
      <c r="V517" s="254"/>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row>
    <row r="518">
      <c r="A518" s="492"/>
      <c r="B518" s="254"/>
      <c r="C518" s="492"/>
      <c r="D518" s="254"/>
      <c r="E518" s="492"/>
      <c r="F518" s="254"/>
      <c r="G518" s="492"/>
      <c r="H518" s="254"/>
      <c r="I518" s="492"/>
      <c r="J518" s="254"/>
      <c r="K518" s="492"/>
      <c r="L518" s="254"/>
      <c r="M518" s="492"/>
      <c r="N518" s="254"/>
      <c r="O518" s="492"/>
      <c r="P518" s="254"/>
      <c r="Q518" s="492"/>
      <c r="R518" s="254"/>
      <c r="S518" s="513"/>
      <c r="T518" s="46"/>
      <c r="U518" s="492"/>
      <c r="V518" s="254"/>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row>
    <row r="519">
      <c r="A519" s="492"/>
      <c r="B519" s="254"/>
      <c r="C519" s="492"/>
      <c r="D519" s="254"/>
      <c r="E519" s="492"/>
      <c r="F519" s="254"/>
      <c r="G519" s="492"/>
      <c r="H519" s="254"/>
      <c r="I519" s="492"/>
      <c r="J519" s="254"/>
      <c r="K519" s="492"/>
      <c r="L519" s="254"/>
      <c r="M519" s="492"/>
      <c r="N519" s="254"/>
      <c r="O519" s="492"/>
      <c r="P519" s="254"/>
      <c r="Q519" s="492"/>
      <c r="R519" s="254"/>
      <c r="S519" s="514"/>
      <c r="T519" s="46"/>
      <c r="U519" s="492"/>
      <c r="V519" s="254"/>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row>
    <row r="520">
      <c r="A520" s="492"/>
      <c r="B520" s="254"/>
      <c r="C520" s="492"/>
      <c r="D520" s="254"/>
      <c r="E520" s="492"/>
      <c r="F520" s="254"/>
      <c r="G520" s="492"/>
      <c r="H520" s="254"/>
      <c r="I520" s="492"/>
      <c r="J520" s="254"/>
      <c r="K520" s="492"/>
      <c r="L520" s="254"/>
      <c r="M520" s="492"/>
      <c r="N520" s="254"/>
      <c r="O520" s="492"/>
      <c r="P520" s="254"/>
      <c r="Q520" s="492"/>
      <c r="R520" s="254"/>
      <c r="S520" s="514"/>
      <c r="T520" s="46"/>
      <c r="U520" s="492"/>
      <c r="V520" s="254"/>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row>
    <row r="521">
      <c r="A521" s="492"/>
      <c r="B521" s="254"/>
      <c r="C521" s="492"/>
      <c r="D521" s="254"/>
      <c r="E521" s="492"/>
      <c r="F521" s="254"/>
      <c r="G521" s="492"/>
      <c r="H521" s="254"/>
      <c r="I521" s="492"/>
      <c r="J521" s="254"/>
      <c r="K521" s="492"/>
      <c r="L521" s="254"/>
      <c r="M521" s="492"/>
      <c r="N521" s="254"/>
      <c r="O521" s="492"/>
      <c r="P521" s="254"/>
      <c r="Q521" s="492"/>
      <c r="R521" s="254"/>
      <c r="S521" s="514"/>
      <c r="T521" s="46"/>
      <c r="U521" s="492"/>
      <c r="V521" s="254"/>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row>
    <row r="522">
      <c r="A522" s="492"/>
      <c r="B522" s="254"/>
      <c r="C522" s="492"/>
      <c r="D522" s="254"/>
      <c r="E522" s="492"/>
      <c r="F522" s="254"/>
      <c r="G522" s="492"/>
      <c r="H522" s="254"/>
      <c r="I522" s="492"/>
      <c r="J522" s="254"/>
      <c r="K522" s="492"/>
      <c r="L522" s="254"/>
      <c r="M522" s="492"/>
      <c r="N522" s="254"/>
      <c r="O522" s="492"/>
      <c r="P522" s="254"/>
      <c r="Q522" s="492"/>
      <c r="R522" s="254"/>
      <c r="S522" s="514"/>
      <c r="T522" s="46"/>
      <c r="U522" s="492"/>
      <c r="V522" s="254"/>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row>
    <row r="523">
      <c r="A523" s="492"/>
      <c r="B523" s="254"/>
      <c r="C523" s="492"/>
      <c r="D523" s="254"/>
      <c r="E523" s="492"/>
      <c r="F523" s="254"/>
      <c r="G523" s="492"/>
      <c r="H523" s="254"/>
      <c r="I523" s="492"/>
      <c r="J523" s="254"/>
      <c r="K523" s="492"/>
      <c r="L523" s="254"/>
      <c r="M523" s="492"/>
      <c r="N523" s="254"/>
      <c r="O523" s="492"/>
      <c r="P523" s="254"/>
      <c r="Q523" s="492"/>
      <c r="R523" s="254"/>
      <c r="S523" s="514"/>
      <c r="T523" s="46"/>
      <c r="U523" s="492"/>
      <c r="V523" s="254"/>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row>
    <row r="524">
      <c r="A524" s="492"/>
      <c r="B524" s="254"/>
      <c r="C524" s="492"/>
      <c r="D524" s="254"/>
      <c r="E524" s="492"/>
      <c r="F524" s="254"/>
      <c r="G524" s="492"/>
      <c r="H524" s="254"/>
      <c r="I524" s="492"/>
      <c r="J524" s="254"/>
      <c r="K524" s="492"/>
      <c r="L524" s="254"/>
      <c r="M524" s="492"/>
      <c r="N524" s="254"/>
      <c r="O524" s="492"/>
      <c r="P524" s="254"/>
      <c r="Q524" s="492"/>
      <c r="R524" s="254"/>
      <c r="S524" s="514"/>
      <c r="T524" s="46"/>
      <c r="U524" s="492"/>
      <c r="V524" s="254"/>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row>
    <row r="525">
      <c r="A525" s="492"/>
      <c r="B525" s="254"/>
      <c r="C525" s="492"/>
      <c r="D525" s="254"/>
      <c r="E525" s="492"/>
      <c r="F525" s="254"/>
      <c r="G525" s="492"/>
      <c r="H525" s="254"/>
      <c r="I525" s="492"/>
      <c r="J525" s="254"/>
      <c r="K525" s="492"/>
      <c r="L525" s="254"/>
      <c r="M525" s="492"/>
      <c r="N525" s="254"/>
      <c r="O525" s="492"/>
      <c r="P525" s="254"/>
      <c r="Q525" s="492"/>
      <c r="R525" s="254"/>
      <c r="S525" s="514"/>
      <c r="T525" s="46"/>
      <c r="U525" s="492"/>
      <c r="V525" s="254"/>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row>
    <row r="526">
      <c r="A526" s="492"/>
      <c r="B526" s="254"/>
      <c r="C526" s="492"/>
      <c r="D526" s="254"/>
      <c r="E526" s="492"/>
      <c r="F526" s="254"/>
      <c r="G526" s="492"/>
      <c r="H526" s="254"/>
      <c r="I526" s="492"/>
      <c r="J526" s="254"/>
      <c r="K526" s="492"/>
      <c r="L526" s="254"/>
      <c r="M526" s="492"/>
      <c r="N526" s="254"/>
      <c r="O526" s="492"/>
      <c r="P526" s="254"/>
      <c r="Q526" s="492"/>
      <c r="R526" s="254"/>
      <c r="S526" s="514"/>
      <c r="T526" s="46"/>
      <c r="U526" s="492"/>
      <c r="V526" s="254"/>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row>
    <row r="527">
      <c r="A527" s="492"/>
      <c r="B527" s="254"/>
      <c r="C527" s="492"/>
      <c r="D527" s="254"/>
      <c r="E527" s="492"/>
      <c r="F527" s="254"/>
      <c r="G527" s="492"/>
      <c r="H527" s="254"/>
      <c r="I527" s="492"/>
      <c r="J527" s="254"/>
      <c r="K527" s="492"/>
      <c r="L527" s="254"/>
      <c r="M527" s="492"/>
      <c r="N527" s="254"/>
      <c r="O527" s="492"/>
      <c r="P527" s="254"/>
      <c r="Q527" s="492"/>
      <c r="R527" s="254"/>
      <c r="S527" s="514"/>
      <c r="T527" s="46"/>
      <c r="U527" s="492"/>
      <c r="V527" s="254"/>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row>
    <row r="528">
      <c r="A528" s="492"/>
      <c r="B528" s="254"/>
      <c r="C528" s="492"/>
      <c r="D528" s="254"/>
      <c r="E528" s="492"/>
      <c r="F528" s="254"/>
      <c r="G528" s="492"/>
      <c r="H528" s="254"/>
      <c r="I528" s="492"/>
      <c r="J528" s="254"/>
      <c r="K528" s="492"/>
      <c r="L528" s="254"/>
      <c r="M528" s="492"/>
      <c r="N528" s="254"/>
      <c r="O528" s="492"/>
      <c r="P528" s="254"/>
      <c r="Q528" s="492"/>
      <c r="R528" s="254"/>
      <c r="S528" s="514"/>
      <c r="T528" s="46"/>
      <c r="U528" s="492"/>
      <c r="V528" s="254"/>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row>
    <row r="529">
      <c r="A529" s="492"/>
      <c r="B529" s="254"/>
      <c r="C529" s="492"/>
      <c r="D529" s="254"/>
      <c r="E529" s="492"/>
      <c r="F529" s="254"/>
      <c r="G529" s="492"/>
      <c r="H529" s="254"/>
      <c r="I529" s="492"/>
      <c r="J529" s="254"/>
      <c r="K529" s="492"/>
      <c r="L529" s="254"/>
      <c r="M529" s="492"/>
      <c r="N529" s="254"/>
      <c r="O529" s="492"/>
      <c r="P529" s="254"/>
      <c r="Q529" s="492"/>
      <c r="R529" s="254"/>
      <c r="S529" s="514"/>
      <c r="T529" s="46"/>
      <c r="U529" s="492"/>
      <c r="V529" s="254"/>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row>
    <row r="530">
      <c r="A530" s="492"/>
      <c r="B530" s="254"/>
      <c r="C530" s="492"/>
      <c r="D530" s="254"/>
      <c r="E530" s="492"/>
      <c r="F530" s="254"/>
      <c r="G530" s="492"/>
      <c r="H530" s="254"/>
      <c r="I530" s="492"/>
      <c r="J530" s="254"/>
      <c r="K530" s="492"/>
      <c r="L530" s="254"/>
      <c r="M530" s="492"/>
      <c r="N530" s="254"/>
      <c r="O530" s="492"/>
      <c r="P530" s="254"/>
      <c r="Q530" s="492"/>
      <c r="R530" s="254"/>
      <c r="S530" s="514"/>
      <c r="T530" s="46"/>
      <c r="U530" s="492"/>
      <c r="V530" s="254"/>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row>
    <row r="531">
      <c r="A531" s="492"/>
      <c r="B531" s="254"/>
      <c r="C531" s="492"/>
      <c r="D531" s="254"/>
      <c r="E531" s="492"/>
      <c r="F531" s="254"/>
      <c r="G531" s="492"/>
      <c r="H531" s="254"/>
      <c r="I531" s="492"/>
      <c r="J531" s="254"/>
      <c r="K531" s="492"/>
      <c r="L531" s="254"/>
      <c r="M531" s="492"/>
      <c r="N531" s="254"/>
      <c r="O531" s="492"/>
      <c r="P531" s="254"/>
      <c r="Q531" s="492"/>
      <c r="R531" s="254"/>
      <c r="S531" s="514"/>
      <c r="T531" s="46"/>
      <c r="U531" s="492"/>
      <c r="V531" s="254"/>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row>
    <row r="532">
      <c r="A532" s="492"/>
      <c r="B532" s="254"/>
      <c r="C532" s="492"/>
      <c r="D532" s="254"/>
      <c r="E532" s="492"/>
      <c r="F532" s="254"/>
      <c r="G532" s="492"/>
      <c r="H532" s="254"/>
      <c r="I532" s="492"/>
      <c r="J532" s="254"/>
      <c r="K532" s="492"/>
      <c r="L532" s="254"/>
      <c r="M532" s="492"/>
      <c r="N532" s="254"/>
      <c r="O532" s="492"/>
      <c r="P532" s="254"/>
      <c r="Q532" s="492"/>
      <c r="R532" s="254"/>
      <c r="S532" s="514"/>
      <c r="T532" s="46"/>
      <c r="U532" s="492"/>
      <c r="V532" s="254"/>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row>
    <row r="533">
      <c r="A533" s="492"/>
      <c r="B533" s="254"/>
      <c r="C533" s="492"/>
      <c r="D533" s="254"/>
      <c r="E533" s="492"/>
      <c r="F533" s="254"/>
      <c r="G533" s="492"/>
      <c r="H533" s="254"/>
      <c r="I533" s="492"/>
      <c r="J533" s="254"/>
      <c r="K533" s="492"/>
      <c r="L533" s="254"/>
      <c r="M533" s="492"/>
      <c r="N533" s="254"/>
      <c r="O533" s="492"/>
      <c r="P533" s="254"/>
      <c r="Q533" s="492"/>
      <c r="R533" s="254"/>
      <c r="S533" s="514"/>
      <c r="T533" s="46"/>
      <c r="U533" s="492"/>
      <c r="V533" s="254"/>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row>
    <row r="534">
      <c r="A534" s="492"/>
      <c r="B534" s="254"/>
      <c r="C534" s="492"/>
      <c r="D534" s="254"/>
      <c r="E534" s="492"/>
      <c r="F534" s="254"/>
      <c r="G534" s="492"/>
      <c r="H534" s="254"/>
      <c r="I534" s="492"/>
      <c r="J534" s="254"/>
      <c r="K534" s="492"/>
      <c r="L534" s="254"/>
      <c r="M534" s="492"/>
      <c r="N534" s="254"/>
      <c r="O534" s="492"/>
      <c r="P534" s="254"/>
      <c r="Q534" s="492"/>
      <c r="R534" s="254"/>
      <c r="S534" s="514"/>
      <c r="T534" s="46"/>
      <c r="U534" s="492"/>
      <c r="V534" s="254"/>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row>
    <row r="535">
      <c r="A535" s="492"/>
      <c r="B535" s="254"/>
      <c r="C535" s="492"/>
      <c r="D535" s="254"/>
      <c r="E535" s="492"/>
      <c r="F535" s="254"/>
      <c r="G535" s="492"/>
      <c r="H535" s="254"/>
      <c r="I535" s="492"/>
      <c r="J535" s="254"/>
      <c r="K535" s="492"/>
      <c r="L535" s="254"/>
      <c r="M535" s="492"/>
      <c r="N535" s="254"/>
      <c r="O535" s="492"/>
      <c r="P535" s="254"/>
      <c r="Q535" s="492"/>
      <c r="R535" s="254"/>
      <c r="S535" s="514"/>
      <c r="T535" s="46"/>
      <c r="U535" s="492"/>
      <c r="V535" s="254"/>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row>
    <row r="536">
      <c r="A536" s="492"/>
      <c r="B536" s="254"/>
      <c r="C536" s="492"/>
      <c r="D536" s="254"/>
      <c r="E536" s="492"/>
      <c r="F536" s="254"/>
      <c r="G536" s="492"/>
      <c r="H536" s="254"/>
      <c r="I536" s="492"/>
      <c r="J536" s="254"/>
      <c r="K536" s="492"/>
      <c r="L536" s="254"/>
      <c r="M536" s="492"/>
      <c r="N536" s="254"/>
      <c r="O536" s="492"/>
      <c r="P536" s="254"/>
      <c r="Q536" s="492"/>
      <c r="R536" s="254"/>
      <c r="S536" s="514"/>
      <c r="T536" s="46"/>
      <c r="U536" s="492"/>
      <c r="V536" s="254"/>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row>
    <row r="537">
      <c r="A537" s="492"/>
      <c r="B537" s="254"/>
      <c r="C537" s="492"/>
      <c r="D537" s="254"/>
      <c r="E537" s="492"/>
      <c r="F537" s="254"/>
      <c r="G537" s="492"/>
      <c r="H537" s="254"/>
      <c r="I537" s="492"/>
      <c r="J537" s="254"/>
      <c r="K537" s="492"/>
      <c r="L537" s="254"/>
      <c r="M537" s="492"/>
      <c r="N537" s="254"/>
      <c r="O537" s="492"/>
      <c r="P537" s="254"/>
      <c r="Q537" s="492"/>
      <c r="R537" s="254"/>
      <c r="S537" s="514"/>
      <c r="T537" s="514"/>
      <c r="U537" s="492"/>
      <c r="V537" s="254"/>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row>
    <row r="538">
      <c r="A538" s="492"/>
      <c r="B538" s="254"/>
      <c r="C538" s="492"/>
      <c r="D538" s="254"/>
      <c r="E538" s="492"/>
      <c r="F538" s="254"/>
      <c r="G538" s="492"/>
      <c r="H538" s="254"/>
      <c r="I538" s="492"/>
      <c r="J538" s="254"/>
      <c r="K538" s="492"/>
      <c r="L538" s="254"/>
      <c r="M538" s="492"/>
      <c r="N538" s="254"/>
      <c r="O538" s="492"/>
      <c r="P538" s="254"/>
      <c r="Q538" s="492"/>
      <c r="R538" s="254"/>
      <c r="S538" s="514"/>
      <c r="T538" s="514"/>
      <c r="U538" s="492"/>
      <c r="V538" s="254"/>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row>
    <row r="539">
      <c r="A539" s="492"/>
      <c r="B539" s="254"/>
      <c r="C539" s="492"/>
      <c r="D539" s="254"/>
      <c r="E539" s="492"/>
      <c r="F539" s="254"/>
      <c r="G539" s="492"/>
      <c r="H539" s="254"/>
      <c r="I539" s="492"/>
      <c r="J539" s="254"/>
      <c r="K539" s="492"/>
      <c r="L539" s="254"/>
      <c r="M539" s="492"/>
      <c r="N539" s="254"/>
      <c r="O539" s="492"/>
      <c r="P539" s="254"/>
      <c r="Q539" s="492"/>
      <c r="R539" s="254"/>
      <c r="S539" s="514"/>
      <c r="T539" s="514"/>
      <c r="U539" s="492"/>
      <c r="V539" s="254"/>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row>
    <row r="540">
      <c r="A540" s="492"/>
      <c r="B540" s="254"/>
      <c r="C540" s="492"/>
      <c r="D540" s="254"/>
      <c r="E540" s="492"/>
      <c r="F540" s="254"/>
      <c r="G540" s="492"/>
      <c r="H540" s="254"/>
      <c r="I540" s="492"/>
      <c r="J540" s="254"/>
      <c r="K540" s="492"/>
      <c r="L540" s="254"/>
      <c r="M540" s="492"/>
      <c r="N540" s="254"/>
      <c r="O540" s="492"/>
      <c r="P540" s="254"/>
      <c r="Q540" s="492"/>
      <c r="R540" s="254"/>
      <c r="S540" s="514"/>
      <c r="T540" s="514"/>
      <c r="U540" s="492"/>
      <c r="V540" s="254"/>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row>
    <row r="541">
      <c r="A541" s="492"/>
      <c r="B541" s="254"/>
      <c r="C541" s="492"/>
      <c r="D541" s="254"/>
      <c r="E541" s="492"/>
      <c r="F541" s="254"/>
      <c r="G541" s="492"/>
      <c r="H541" s="254"/>
      <c r="I541" s="492"/>
      <c r="J541" s="254"/>
      <c r="K541" s="492"/>
      <c r="L541" s="254"/>
      <c r="M541" s="492"/>
      <c r="N541" s="254"/>
      <c r="O541" s="492"/>
      <c r="P541" s="254"/>
      <c r="Q541" s="492"/>
      <c r="R541" s="254"/>
      <c r="S541" s="514"/>
      <c r="T541" s="514"/>
      <c r="U541" s="492"/>
      <c r="V541" s="254"/>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row>
    <row r="542">
      <c r="A542" s="492"/>
      <c r="B542" s="254"/>
      <c r="C542" s="492"/>
      <c r="D542" s="254"/>
      <c r="E542" s="492"/>
      <c r="F542" s="254"/>
      <c r="G542" s="492"/>
      <c r="H542" s="254"/>
      <c r="I542" s="492"/>
      <c r="J542" s="254"/>
      <c r="K542" s="492"/>
      <c r="L542" s="254"/>
      <c r="M542" s="492"/>
      <c r="N542" s="254"/>
      <c r="O542" s="492"/>
      <c r="P542" s="254"/>
      <c r="Q542" s="492"/>
      <c r="R542" s="254"/>
      <c r="S542" s="514"/>
      <c r="T542" s="514"/>
      <c r="U542" s="492"/>
      <c r="V542" s="254"/>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row>
    <row r="543">
      <c r="A543" s="492"/>
      <c r="B543" s="254"/>
      <c r="C543" s="492"/>
      <c r="D543" s="254"/>
      <c r="E543" s="492"/>
      <c r="F543" s="254"/>
      <c r="G543" s="492"/>
      <c r="H543" s="254"/>
      <c r="I543" s="492"/>
      <c r="J543" s="254"/>
      <c r="K543" s="492"/>
      <c r="L543" s="254"/>
      <c r="M543" s="492"/>
      <c r="N543" s="254"/>
      <c r="O543" s="492"/>
      <c r="P543" s="254"/>
      <c r="Q543" s="492"/>
      <c r="R543" s="254"/>
      <c r="S543" s="514"/>
      <c r="T543" s="514"/>
      <c r="U543" s="492"/>
      <c r="V543" s="254"/>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row>
    <row r="544">
      <c r="A544" s="492"/>
      <c r="B544" s="254"/>
      <c r="C544" s="492"/>
      <c r="D544" s="254"/>
      <c r="E544" s="492"/>
      <c r="F544" s="254"/>
      <c r="G544" s="492"/>
      <c r="H544" s="254"/>
      <c r="I544" s="492"/>
      <c r="J544" s="254"/>
      <c r="K544" s="492"/>
      <c r="L544" s="254"/>
      <c r="M544" s="492"/>
      <c r="N544" s="254"/>
      <c r="O544" s="492"/>
      <c r="P544" s="254"/>
      <c r="Q544" s="492"/>
      <c r="R544" s="254"/>
      <c r="S544" s="514"/>
      <c r="T544" s="514"/>
      <c r="U544" s="492"/>
      <c r="V544" s="254"/>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row>
    <row r="545">
      <c r="A545" s="492"/>
      <c r="B545" s="254"/>
      <c r="C545" s="492"/>
      <c r="D545" s="254"/>
      <c r="E545" s="492"/>
      <c r="F545" s="254"/>
      <c r="G545" s="492"/>
      <c r="H545" s="254"/>
      <c r="I545" s="492"/>
      <c r="J545" s="254"/>
      <c r="K545" s="492"/>
      <c r="L545" s="254"/>
      <c r="M545" s="492"/>
      <c r="N545" s="254"/>
      <c r="O545" s="492"/>
      <c r="P545" s="254"/>
      <c r="Q545" s="492"/>
      <c r="R545" s="254"/>
      <c r="S545" s="514"/>
      <c r="T545" s="514"/>
      <c r="U545" s="492"/>
      <c r="V545" s="254"/>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row>
    <row r="546">
      <c r="A546" s="492"/>
      <c r="B546" s="254"/>
      <c r="C546" s="492"/>
      <c r="D546" s="254"/>
      <c r="E546" s="492"/>
      <c r="F546" s="254"/>
      <c r="G546" s="492"/>
      <c r="H546" s="254"/>
      <c r="I546" s="492"/>
      <c r="J546" s="254"/>
      <c r="K546" s="492"/>
      <c r="L546" s="254"/>
      <c r="M546" s="492"/>
      <c r="N546" s="254"/>
      <c r="O546" s="492"/>
      <c r="P546" s="254"/>
      <c r="Q546" s="492"/>
      <c r="R546" s="254"/>
      <c r="S546" s="514"/>
      <c r="T546" s="514"/>
      <c r="U546" s="492"/>
      <c r="V546" s="254"/>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row>
    <row r="547">
      <c r="A547" s="492"/>
      <c r="B547" s="254"/>
      <c r="C547" s="492"/>
      <c r="D547" s="254"/>
      <c r="E547" s="492"/>
      <c r="F547" s="254"/>
      <c r="G547" s="492"/>
      <c r="H547" s="254"/>
      <c r="I547" s="492"/>
      <c r="J547" s="254"/>
      <c r="K547" s="492"/>
      <c r="L547" s="254"/>
      <c r="M547" s="492"/>
      <c r="N547" s="254"/>
      <c r="O547" s="492"/>
      <c r="P547" s="254"/>
      <c r="Q547" s="492"/>
      <c r="R547" s="254"/>
      <c r="S547" s="514"/>
      <c r="T547" s="514"/>
      <c r="U547" s="492"/>
      <c r="V547" s="254"/>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row>
    <row r="548">
      <c r="A548" s="492"/>
      <c r="B548" s="254"/>
      <c r="C548" s="492"/>
      <c r="D548" s="254"/>
      <c r="E548" s="492"/>
      <c r="F548" s="254"/>
      <c r="G548" s="492"/>
      <c r="H548" s="254"/>
      <c r="I548" s="492"/>
      <c r="J548" s="254"/>
      <c r="K548" s="492"/>
      <c r="L548" s="254"/>
      <c r="M548" s="492"/>
      <c r="N548" s="254"/>
      <c r="O548" s="492"/>
      <c r="P548" s="254"/>
      <c r="Q548" s="492"/>
      <c r="R548" s="254"/>
      <c r="S548" s="514"/>
      <c r="T548" s="514"/>
      <c r="U548" s="492"/>
      <c r="V548" s="254"/>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row>
    <row r="549">
      <c r="A549" s="492"/>
      <c r="B549" s="254"/>
      <c r="C549" s="492"/>
      <c r="D549" s="254"/>
      <c r="E549" s="492"/>
      <c r="F549" s="254"/>
      <c r="G549" s="492"/>
      <c r="H549" s="254"/>
      <c r="I549" s="492"/>
      <c r="J549" s="254"/>
      <c r="K549" s="492"/>
      <c r="L549" s="254"/>
      <c r="M549" s="492"/>
      <c r="N549" s="254"/>
      <c r="O549" s="492"/>
      <c r="P549" s="254"/>
      <c r="Q549" s="492"/>
      <c r="R549" s="254"/>
      <c r="S549" s="514"/>
      <c r="T549" s="514"/>
      <c r="U549" s="492"/>
      <c r="V549" s="254"/>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row>
    <row r="550">
      <c r="A550" s="492"/>
      <c r="B550" s="254"/>
      <c r="C550" s="492"/>
      <c r="D550" s="254"/>
      <c r="E550" s="492"/>
      <c r="F550" s="254"/>
      <c r="G550" s="492"/>
      <c r="H550" s="254"/>
      <c r="I550" s="492"/>
      <c r="J550" s="254"/>
      <c r="K550" s="492"/>
      <c r="L550" s="254"/>
      <c r="M550" s="492"/>
      <c r="N550" s="254"/>
      <c r="O550" s="492"/>
      <c r="P550" s="254"/>
      <c r="Q550" s="492"/>
      <c r="R550" s="254"/>
      <c r="S550" s="514"/>
      <c r="T550" s="514"/>
      <c r="U550" s="492"/>
      <c r="V550" s="254"/>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row>
    <row r="551">
      <c r="A551" s="492"/>
      <c r="B551" s="254"/>
      <c r="C551" s="492"/>
      <c r="D551" s="254"/>
      <c r="E551" s="492"/>
      <c r="F551" s="254"/>
      <c r="G551" s="492"/>
      <c r="H551" s="254"/>
      <c r="I551" s="492"/>
      <c r="J551" s="254"/>
      <c r="K551" s="492"/>
      <c r="L551" s="254"/>
      <c r="M551" s="492"/>
      <c r="N551" s="254"/>
      <c r="O551" s="492"/>
      <c r="P551" s="254"/>
      <c r="Q551" s="492"/>
      <c r="R551" s="254"/>
      <c r="S551" s="514"/>
      <c r="T551" s="514"/>
      <c r="U551" s="492"/>
      <c r="V551" s="254"/>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row>
    <row r="552">
      <c r="A552" s="492"/>
      <c r="B552" s="254"/>
      <c r="C552" s="492"/>
      <c r="D552" s="254"/>
      <c r="E552" s="492"/>
      <c r="F552" s="254"/>
      <c r="G552" s="492"/>
      <c r="H552" s="254"/>
      <c r="I552" s="492"/>
      <c r="J552" s="254"/>
      <c r="K552" s="492"/>
      <c r="L552" s="254"/>
      <c r="M552" s="492"/>
      <c r="N552" s="254"/>
      <c r="O552" s="492"/>
      <c r="P552" s="254"/>
      <c r="Q552" s="492"/>
      <c r="R552" s="254"/>
      <c r="S552" s="514"/>
      <c r="T552" s="514"/>
      <c r="U552" s="492"/>
      <c r="V552" s="254"/>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row>
    <row r="553">
      <c r="A553" s="492"/>
      <c r="B553" s="254"/>
      <c r="C553" s="492"/>
      <c r="D553" s="254"/>
      <c r="E553" s="492"/>
      <c r="F553" s="254"/>
      <c r="G553" s="492"/>
      <c r="H553" s="254"/>
      <c r="I553" s="492"/>
      <c r="J553" s="254"/>
      <c r="K553" s="492"/>
      <c r="L553" s="254"/>
      <c r="M553" s="492"/>
      <c r="N553" s="254"/>
      <c r="O553" s="492"/>
      <c r="P553" s="254"/>
      <c r="Q553" s="492"/>
      <c r="R553" s="254"/>
      <c r="S553" s="514"/>
      <c r="T553" s="514"/>
      <c r="U553" s="492"/>
      <c r="V553" s="254"/>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row>
    <row r="554">
      <c r="A554" s="492"/>
      <c r="B554" s="254"/>
      <c r="C554" s="492"/>
      <c r="D554" s="254"/>
      <c r="E554" s="492"/>
      <c r="F554" s="254"/>
      <c r="G554" s="492"/>
      <c r="H554" s="254"/>
      <c r="I554" s="492"/>
      <c r="J554" s="254"/>
      <c r="K554" s="492"/>
      <c r="L554" s="254"/>
      <c r="M554" s="492"/>
      <c r="N554" s="254"/>
      <c r="O554" s="492"/>
      <c r="P554" s="254"/>
      <c r="Q554" s="492"/>
      <c r="R554" s="254"/>
      <c r="S554" s="514"/>
      <c r="T554" s="514"/>
      <c r="U554" s="492"/>
      <c r="V554" s="254"/>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row>
    <row r="555">
      <c r="A555" s="492"/>
      <c r="B555" s="254"/>
      <c r="C555" s="492"/>
      <c r="D555" s="254"/>
      <c r="E555" s="492"/>
      <c r="F555" s="254"/>
      <c r="G555" s="492"/>
      <c r="H555" s="254"/>
      <c r="I555" s="492"/>
      <c r="J555" s="254"/>
      <c r="K555" s="492"/>
      <c r="L555" s="254"/>
      <c r="M555" s="492"/>
      <c r="N555" s="254"/>
      <c r="O555" s="492"/>
      <c r="P555" s="254"/>
      <c r="Q555" s="492"/>
      <c r="R555" s="254"/>
      <c r="S555" s="514"/>
      <c r="T555" s="514"/>
      <c r="U555" s="492"/>
      <c r="V555" s="254"/>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row>
    <row r="556">
      <c r="A556" s="492"/>
      <c r="B556" s="254"/>
      <c r="C556" s="492"/>
      <c r="D556" s="254"/>
      <c r="E556" s="492"/>
      <c r="F556" s="254"/>
      <c r="G556" s="492"/>
      <c r="H556" s="254"/>
      <c r="I556" s="492"/>
      <c r="J556" s="254"/>
      <c r="K556" s="492"/>
      <c r="L556" s="254"/>
      <c r="M556" s="492"/>
      <c r="N556" s="254"/>
      <c r="O556" s="492"/>
      <c r="P556" s="254"/>
      <c r="Q556" s="492"/>
      <c r="R556" s="254"/>
      <c r="S556" s="514"/>
      <c r="T556" s="514"/>
      <c r="U556" s="492"/>
      <c r="V556" s="254"/>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row>
    <row r="557">
      <c r="A557" s="492"/>
      <c r="B557" s="254"/>
      <c r="C557" s="492"/>
      <c r="D557" s="254"/>
      <c r="E557" s="492"/>
      <c r="F557" s="254"/>
      <c r="G557" s="492"/>
      <c r="H557" s="254"/>
      <c r="I557" s="492"/>
      <c r="J557" s="254"/>
      <c r="K557" s="492"/>
      <c r="L557" s="254"/>
      <c r="M557" s="492"/>
      <c r="N557" s="254"/>
      <c r="O557" s="492"/>
      <c r="P557" s="254"/>
      <c r="Q557" s="492"/>
      <c r="R557" s="254"/>
      <c r="S557" s="514"/>
      <c r="T557" s="514"/>
      <c r="U557" s="492"/>
      <c r="V557" s="254"/>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row>
    <row r="558">
      <c r="A558" s="492"/>
      <c r="B558" s="254"/>
      <c r="C558" s="492"/>
      <c r="D558" s="254"/>
      <c r="E558" s="492"/>
      <c r="F558" s="254"/>
      <c r="G558" s="492"/>
      <c r="H558" s="254"/>
      <c r="I558" s="492"/>
      <c r="J558" s="254"/>
      <c r="K558" s="492"/>
      <c r="L558" s="254"/>
      <c r="M558" s="492"/>
      <c r="N558" s="254"/>
      <c r="O558" s="492"/>
      <c r="P558" s="254"/>
      <c r="Q558" s="492"/>
      <c r="R558" s="254"/>
      <c r="S558" s="514"/>
      <c r="T558" s="514"/>
      <c r="U558" s="492"/>
      <c r="V558" s="254"/>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row>
    <row r="559">
      <c r="A559" s="492"/>
      <c r="B559" s="254"/>
      <c r="C559" s="492"/>
      <c r="D559" s="254"/>
      <c r="E559" s="492"/>
      <c r="F559" s="254"/>
      <c r="G559" s="492"/>
      <c r="H559" s="254"/>
      <c r="I559" s="492"/>
      <c r="J559" s="254"/>
      <c r="K559" s="492"/>
      <c r="L559" s="254"/>
      <c r="M559" s="492"/>
      <c r="N559" s="254"/>
      <c r="O559" s="492"/>
      <c r="P559" s="254"/>
      <c r="Q559" s="492"/>
      <c r="R559" s="254"/>
      <c r="S559" s="514"/>
      <c r="T559" s="514"/>
      <c r="U559" s="492"/>
      <c r="V559" s="254"/>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row>
    <row r="560">
      <c r="A560" s="492"/>
      <c r="B560" s="254"/>
      <c r="C560" s="492"/>
      <c r="D560" s="254"/>
      <c r="E560" s="492"/>
      <c r="F560" s="254"/>
      <c r="G560" s="492"/>
      <c r="H560" s="254"/>
      <c r="I560" s="492"/>
      <c r="J560" s="254"/>
      <c r="K560" s="492"/>
      <c r="L560" s="254"/>
      <c r="M560" s="492"/>
      <c r="N560" s="254"/>
      <c r="O560" s="492"/>
      <c r="P560" s="254"/>
      <c r="Q560" s="492"/>
      <c r="R560" s="254"/>
      <c r="S560" s="514"/>
      <c r="T560" s="514"/>
      <c r="U560" s="492"/>
      <c r="V560" s="254"/>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row>
    <row r="561">
      <c r="A561" s="492"/>
      <c r="B561" s="254"/>
      <c r="C561" s="492"/>
      <c r="D561" s="254"/>
      <c r="E561" s="492"/>
      <c r="F561" s="254"/>
      <c r="G561" s="492"/>
      <c r="H561" s="254"/>
      <c r="I561" s="492"/>
      <c r="J561" s="254"/>
      <c r="K561" s="492"/>
      <c r="L561" s="254"/>
      <c r="M561" s="492"/>
      <c r="N561" s="254"/>
      <c r="O561" s="492"/>
      <c r="P561" s="254"/>
      <c r="Q561" s="492"/>
      <c r="R561" s="254"/>
      <c r="S561" s="514"/>
      <c r="T561" s="514"/>
      <c r="U561" s="492"/>
      <c r="V561" s="254"/>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row>
    <row r="562">
      <c r="A562" s="492"/>
      <c r="B562" s="254"/>
      <c r="C562" s="492"/>
      <c r="D562" s="254"/>
      <c r="E562" s="492"/>
      <c r="F562" s="254"/>
      <c r="G562" s="492"/>
      <c r="H562" s="254"/>
      <c r="I562" s="492"/>
      <c r="J562" s="254"/>
      <c r="K562" s="492"/>
      <c r="L562" s="254"/>
      <c r="M562" s="492"/>
      <c r="N562" s="254"/>
      <c r="O562" s="492"/>
      <c r="P562" s="254"/>
      <c r="Q562" s="492"/>
      <c r="R562" s="254"/>
      <c r="S562" s="514"/>
      <c r="T562" s="514"/>
      <c r="U562" s="492"/>
      <c r="V562" s="254"/>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row>
    <row r="563">
      <c r="A563" s="492"/>
      <c r="B563" s="254"/>
      <c r="C563" s="492"/>
      <c r="D563" s="254"/>
      <c r="E563" s="492"/>
      <c r="F563" s="254"/>
      <c r="G563" s="492"/>
      <c r="H563" s="254"/>
      <c r="I563" s="492"/>
      <c r="J563" s="254"/>
      <c r="K563" s="492"/>
      <c r="L563" s="254"/>
      <c r="M563" s="492"/>
      <c r="N563" s="254"/>
      <c r="O563" s="492"/>
      <c r="P563" s="254"/>
      <c r="Q563" s="492"/>
      <c r="R563" s="254"/>
      <c r="S563" s="514"/>
      <c r="T563" s="514"/>
      <c r="U563" s="492"/>
      <c r="V563" s="254"/>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row>
    <row r="564">
      <c r="A564" s="492"/>
      <c r="B564" s="254"/>
      <c r="C564" s="492"/>
      <c r="D564" s="254"/>
      <c r="E564" s="492"/>
      <c r="F564" s="254"/>
      <c r="G564" s="492"/>
      <c r="H564" s="254"/>
      <c r="I564" s="492"/>
      <c r="J564" s="254"/>
      <c r="K564" s="492"/>
      <c r="L564" s="254"/>
      <c r="M564" s="492"/>
      <c r="N564" s="254"/>
      <c r="O564" s="492"/>
      <c r="P564" s="254"/>
      <c r="Q564" s="492"/>
      <c r="R564" s="254"/>
      <c r="S564" s="514"/>
      <c r="T564" s="514"/>
      <c r="U564" s="492"/>
      <c r="V564" s="254"/>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row>
    <row r="565">
      <c r="A565" s="492"/>
      <c r="B565" s="254"/>
      <c r="C565" s="492"/>
      <c r="D565" s="254"/>
      <c r="E565" s="492"/>
      <c r="F565" s="254"/>
      <c r="G565" s="492"/>
      <c r="H565" s="254"/>
      <c r="I565" s="492"/>
      <c r="J565" s="254"/>
      <c r="K565" s="492"/>
      <c r="L565" s="254"/>
      <c r="M565" s="492"/>
      <c r="N565" s="254"/>
      <c r="O565" s="492"/>
      <c r="P565" s="254"/>
      <c r="Q565" s="492"/>
      <c r="R565" s="254"/>
      <c r="S565" s="514"/>
      <c r="T565" s="514"/>
      <c r="U565" s="492"/>
      <c r="V565" s="254"/>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row>
    <row r="566">
      <c r="A566" s="492"/>
      <c r="B566" s="254"/>
      <c r="C566" s="492"/>
      <c r="D566" s="254"/>
      <c r="E566" s="492"/>
      <c r="F566" s="254"/>
      <c r="G566" s="492"/>
      <c r="H566" s="254"/>
      <c r="I566" s="492"/>
      <c r="J566" s="254"/>
      <c r="K566" s="492"/>
      <c r="L566" s="254"/>
      <c r="M566" s="492"/>
      <c r="N566" s="254"/>
      <c r="O566" s="492"/>
      <c r="P566" s="254"/>
      <c r="Q566" s="492"/>
      <c r="R566" s="254"/>
      <c r="S566" s="514"/>
      <c r="T566" s="514"/>
      <c r="U566" s="492"/>
      <c r="V566" s="254"/>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row>
    <row r="567">
      <c r="A567" s="492"/>
      <c r="B567" s="254"/>
      <c r="C567" s="492"/>
      <c r="D567" s="254"/>
      <c r="E567" s="492"/>
      <c r="F567" s="254"/>
      <c r="G567" s="492"/>
      <c r="H567" s="254"/>
      <c r="I567" s="492"/>
      <c r="J567" s="254"/>
      <c r="K567" s="492"/>
      <c r="L567" s="254"/>
      <c r="M567" s="492"/>
      <c r="N567" s="254"/>
      <c r="O567" s="492"/>
      <c r="P567" s="254"/>
      <c r="Q567" s="492"/>
      <c r="R567" s="254"/>
      <c r="S567" s="514"/>
      <c r="T567" s="514"/>
      <c r="U567" s="492"/>
      <c r="V567" s="254"/>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row>
    <row r="568">
      <c r="A568" s="492"/>
      <c r="B568" s="254"/>
      <c r="C568" s="492"/>
      <c r="D568" s="254"/>
      <c r="E568" s="492"/>
      <c r="F568" s="254"/>
      <c r="G568" s="492"/>
      <c r="H568" s="254"/>
      <c r="I568" s="492"/>
      <c r="J568" s="254"/>
      <c r="K568" s="492"/>
      <c r="L568" s="254"/>
      <c r="M568" s="492"/>
      <c r="N568" s="254"/>
      <c r="O568" s="492"/>
      <c r="P568" s="254"/>
      <c r="Q568" s="492"/>
      <c r="R568" s="254"/>
      <c r="S568" s="514"/>
      <c r="T568" s="514"/>
      <c r="U568" s="492"/>
      <c r="V568" s="254"/>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row>
    <row r="569">
      <c r="A569" s="492"/>
      <c r="B569" s="254"/>
      <c r="C569" s="492"/>
      <c r="D569" s="254"/>
      <c r="E569" s="492"/>
      <c r="F569" s="254"/>
      <c r="G569" s="492"/>
      <c r="H569" s="254"/>
      <c r="I569" s="492"/>
      <c r="J569" s="254"/>
      <c r="K569" s="492"/>
      <c r="L569" s="254"/>
      <c r="M569" s="492"/>
      <c r="N569" s="254"/>
      <c r="O569" s="492"/>
      <c r="P569" s="254"/>
      <c r="Q569" s="492"/>
      <c r="R569" s="254"/>
      <c r="S569" s="514"/>
      <c r="T569" s="514"/>
      <c r="U569" s="492"/>
      <c r="V569" s="254"/>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row>
    <row r="570">
      <c r="A570" s="492"/>
      <c r="B570" s="254"/>
      <c r="C570" s="492"/>
      <c r="D570" s="254"/>
      <c r="E570" s="492"/>
      <c r="F570" s="254"/>
      <c r="G570" s="492"/>
      <c r="H570" s="254"/>
      <c r="I570" s="492"/>
      <c r="J570" s="254"/>
      <c r="K570" s="492"/>
      <c r="L570" s="254"/>
      <c r="M570" s="492"/>
      <c r="N570" s="254"/>
      <c r="O570" s="492"/>
      <c r="P570" s="254"/>
      <c r="Q570" s="492"/>
      <c r="R570" s="254"/>
      <c r="S570" s="514"/>
      <c r="T570" s="514"/>
      <c r="U570" s="492"/>
      <c r="V570" s="254"/>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row>
    <row r="571">
      <c r="A571" s="492"/>
      <c r="B571" s="254"/>
      <c r="C571" s="492"/>
      <c r="D571" s="254"/>
      <c r="E571" s="492"/>
      <c r="F571" s="254"/>
      <c r="G571" s="492"/>
      <c r="H571" s="254"/>
      <c r="I571" s="492"/>
      <c r="J571" s="254"/>
      <c r="K571" s="492"/>
      <c r="L571" s="254"/>
      <c r="M571" s="492"/>
      <c r="N571" s="254"/>
      <c r="O571" s="492"/>
      <c r="P571" s="254"/>
      <c r="Q571" s="492"/>
      <c r="R571" s="254"/>
      <c r="S571" s="514"/>
      <c r="T571" s="514"/>
      <c r="U571" s="492"/>
      <c r="V571" s="254"/>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row>
    <row r="572">
      <c r="A572" s="492"/>
      <c r="B572" s="254"/>
      <c r="C572" s="492"/>
      <c r="D572" s="254"/>
      <c r="E572" s="492"/>
      <c r="F572" s="254"/>
      <c r="G572" s="492"/>
      <c r="H572" s="254"/>
      <c r="I572" s="492"/>
      <c r="J572" s="254"/>
      <c r="K572" s="492"/>
      <c r="L572" s="254"/>
      <c r="M572" s="492"/>
      <c r="N572" s="254"/>
      <c r="O572" s="492"/>
      <c r="P572" s="254"/>
      <c r="Q572" s="492"/>
      <c r="R572" s="254"/>
      <c r="S572" s="514"/>
      <c r="T572" s="514"/>
      <c r="U572" s="492"/>
      <c r="V572" s="254"/>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row>
    <row r="573">
      <c r="A573" s="492"/>
      <c r="B573" s="254"/>
      <c r="C573" s="492"/>
      <c r="D573" s="254"/>
      <c r="E573" s="492"/>
      <c r="F573" s="254"/>
      <c r="G573" s="492"/>
      <c r="H573" s="254"/>
      <c r="I573" s="492"/>
      <c r="J573" s="254"/>
      <c r="K573" s="492"/>
      <c r="L573" s="254"/>
      <c r="M573" s="492"/>
      <c r="N573" s="254"/>
      <c r="O573" s="492"/>
      <c r="P573" s="254"/>
      <c r="Q573" s="492"/>
      <c r="R573" s="254"/>
      <c r="S573" s="514"/>
      <c r="T573" s="514"/>
      <c r="U573" s="492"/>
      <c r="V573" s="254"/>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row>
    <row r="574">
      <c r="A574" s="492"/>
      <c r="B574" s="254"/>
      <c r="C574" s="492"/>
      <c r="D574" s="254"/>
      <c r="E574" s="492"/>
      <c r="F574" s="254"/>
      <c r="G574" s="492"/>
      <c r="H574" s="254"/>
      <c r="I574" s="492"/>
      <c r="J574" s="254"/>
      <c r="K574" s="492"/>
      <c r="L574" s="254"/>
      <c r="M574" s="492"/>
      <c r="N574" s="254"/>
      <c r="O574" s="492"/>
      <c r="P574" s="254"/>
      <c r="Q574" s="492"/>
      <c r="R574" s="254"/>
      <c r="S574" s="514"/>
      <c r="T574" s="514"/>
      <c r="U574" s="492"/>
      <c r="V574" s="254"/>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row>
    <row r="575">
      <c r="A575" s="492"/>
      <c r="B575" s="254"/>
      <c r="C575" s="492"/>
      <c r="D575" s="254"/>
      <c r="E575" s="492"/>
      <c r="F575" s="254"/>
      <c r="G575" s="492"/>
      <c r="H575" s="254"/>
      <c r="I575" s="492"/>
      <c r="J575" s="254"/>
      <c r="K575" s="492"/>
      <c r="L575" s="254"/>
      <c r="M575" s="492"/>
      <c r="N575" s="254"/>
      <c r="O575" s="492"/>
      <c r="P575" s="254"/>
      <c r="Q575" s="492"/>
      <c r="R575" s="254"/>
      <c r="S575" s="514"/>
      <c r="T575" s="514"/>
      <c r="U575" s="492"/>
      <c r="V575" s="254"/>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row>
    <row r="576">
      <c r="A576" s="492"/>
      <c r="B576" s="254"/>
      <c r="C576" s="492"/>
      <c r="D576" s="254"/>
      <c r="E576" s="492"/>
      <c r="F576" s="254"/>
      <c r="G576" s="492"/>
      <c r="H576" s="254"/>
      <c r="I576" s="492"/>
      <c r="J576" s="254"/>
      <c r="K576" s="492"/>
      <c r="L576" s="254"/>
      <c r="M576" s="492"/>
      <c r="N576" s="254"/>
      <c r="O576" s="492"/>
      <c r="P576" s="254"/>
      <c r="Q576" s="492"/>
      <c r="R576" s="254"/>
      <c r="S576" s="514"/>
      <c r="T576" s="514"/>
      <c r="U576" s="492"/>
      <c r="V576" s="254"/>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row>
    <row r="577">
      <c r="A577" s="492"/>
      <c r="B577" s="254"/>
      <c r="C577" s="492"/>
      <c r="D577" s="254"/>
      <c r="E577" s="492"/>
      <c r="F577" s="254"/>
      <c r="G577" s="492"/>
      <c r="H577" s="254"/>
      <c r="I577" s="492"/>
      <c r="J577" s="254"/>
      <c r="K577" s="492"/>
      <c r="L577" s="254"/>
      <c r="M577" s="492"/>
      <c r="N577" s="254"/>
      <c r="O577" s="492"/>
      <c r="P577" s="254"/>
      <c r="Q577" s="492"/>
      <c r="R577" s="254"/>
      <c r="S577" s="514"/>
      <c r="T577" s="514"/>
      <c r="U577" s="492"/>
      <c r="V577" s="254"/>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row>
    <row r="578">
      <c r="A578" s="492"/>
      <c r="B578" s="254"/>
      <c r="C578" s="492"/>
      <c r="D578" s="254"/>
      <c r="E578" s="492"/>
      <c r="F578" s="254"/>
      <c r="G578" s="492"/>
      <c r="H578" s="254"/>
      <c r="I578" s="492"/>
      <c r="J578" s="254"/>
      <c r="K578" s="492"/>
      <c r="L578" s="254"/>
      <c r="M578" s="492"/>
      <c r="N578" s="254"/>
      <c r="O578" s="492"/>
      <c r="P578" s="254"/>
      <c r="Q578" s="492"/>
      <c r="R578" s="254"/>
      <c r="S578" s="514"/>
      <c r="T578" s="514"/>
      <c r="U578" s="492"/>
      <c r="V578" s="254"/>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row>
    <row r="579">
      <c r="A579" s="492"/>
      <c r="B579" s="254"/>
      <c r="C579" s="492"/>
      <c r="D579" s="254"/>
      <c r="E579" s="492"/>
      <c r="F579" s="254"/>
      <c r="G579" s="492"/>
      <c r="H579" s="254"/>
      <c r="I579" s="492"/>
      <c r="J579" s="254"/>
      <c r="K579" s="492"/>
      <c r="L579" s="254"/>
      <c r="M579" s="492"/>
      <c r="N579" s="254"/>
      <c r="O579" s="492"/>
      <c r="P579" s="254"/>
      <c r="Q579" s="492"/>
      <c r="R579" s="254"/>
      <c r="S579" s="514"/>
      <c r="T579" s="514"/>
      <c r="U579" s="492"/>
      <c r="V579" s="254"/>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row>
    <row r="580">
      <c r="A580" s="492"/>
      <c r="B580" s="254"/>
      <c r="C580" s="492"/>
      <c r="D580" s="254"/>
      <c r="E580" s="492"/>
      <c r="F580" s="254"/>
      <c r="G580" s="492"/>
      <c r="H580" s="254"/>
      <c r="I580" s="492"/>
      <c r="J580" s="254"/>
      <c r="K580" s="492"/>
      <c r="L580" s="254"/>
      <c r="M580" s="492"/>
      <c r="N580" s="254"/>
      <c r="O580" s="492"/>
      <c r="P580" s="254"/>
      <c r="Q580" s="492"/>
      <c r="R580" s="254"/>
      <c r="S580" s="514"/>
      <c r="T580" s="514"/>
      <c r="U580" s="492"/>
      <c r="V580" s="254"/>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row>
    <row r="581">
      <c r="A581" s="492"/>
      <c r="B581" s="254"/>
      <c r="C581" s="492"/>
      <c r="D581" s="254"/>
      <c r="E581" s="492"/>
      <c r="F581" s="254"/>
      <c r="G581" s="492"/>
      <c r="H581" s="254"/>
      <c r="I581" s="492"/>
      <c r="J581" s="254"/>
      <c r="K581" s="492"/>
      <c r="L581" s="254"/>
      <c r="M581" s="492"/>
      <c r="N581" s="254"/>
      <c r="O581" s="492"/>
      <c r="P581" s="254"/>
      <c r="Q581" s="492"/>
      <c r="R581" s="254"/>
      <c r="S581" s="514"/>
      <c r="T581" s="514"/>
      <c r="U581" s="492"/>
      <c r="V581" s="254"/>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row>
    <row r="582">
      <c r="A582" s="492"/>
      <c r="B582" s="254"/>
      <c r="C582" s="492"/>
      <c r="D582" s="254"/>
      <c r="E582" s="492"/>
      <c r="F582" s="254"/>
      <c r="G582" s="492"/>
      <c r="H582" s="254"/>
      <c r="I582" s="492"/>
      <c r="J582" s="254"/>
      <c r="K582" s="492"/>
      <c r="L582" s="254"/>
      <c r="M582" s="492"/>
      <c r="N582" s="254"/>
      <c r="O582" s="492"/>
      <c r="P582" s="254"/>
      <c r="Q582" s="492"/>
      <c r="R582" s="254"/>
      <c r="S582" s="514"/>
      <c r="T582" s="514"/>
      <c r="U582" s="492"/>
      <c r="V582" s="254"/>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row>
    <row r="583">
      <c r="A583" s="492"/>
      <c r="B583" s="254"/>
      <c r="C583" s="492"/>
      <c r="D583" s="254"/>
      <c r="E583" s="492"/>
      <c r="F583" s="254"/>
      <c r="G583" s="492"/>
      <c r="H583" s="254"/>
      <c r="I583" s="492"/>
      <c r="J583" s="254"/>
      <c r="K583" s="492"/>
      <c r="L583" s="254"/>
      <c r="M583" s="492"/>
      <c r="N583" s="254"/>
      <c r="O583" s="492"/>
      <c r="P583" s="254"/>
      <c r="Q583" s="492"/>
      <c r="R583" s="254"/>
      <c r="S583" s="514"/>
      <c r="T583" s="514"/>
      <c r="U583" s="492"/>
      <c r="V583" s="254"/>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row>
    <row r="584">
      <c r="A584" s="492"/>
      <c r="B584" s="254"/>
      <c r="C584" s="492"/>
      <c r="D584" s="254"/>
      <c r="E584" s="492"/>
      <c r="F584" s="254"/>
      <c r="G584" s="492"/>
      <c r="H584" s="254"/>
      <c r="I584" s="492"/>
      <c r="J584" s="254"/>
      <c r="K584" s="492"/>
      <c r="L584" s="254"/>
      <c r="M584" s="492"/>
      <c r="N584" s="254"/>
      <c r="O584" s="492"/>
      <c r="P584" s="254"/>
      <c r="Q584" s="492"/>
      <c r="R584" s="254"/>
      <c r="S584" s="514"/>
      <c r="T584" s="514"/>
      <c r="U584" s="492"/>
      <c r="V584" s="254"/>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row>
    <row r="585">
      <c r="A585" s="492"/>
      <c r="B585" s="254"/>
      <c r="C585" s="492"/>
      <c r="D585" s="254"/>
      <c r="E585" s="492"/>
      <c r="F585" s="254"/>
      <c r="G585" s="492"/>
      <c r="H585" s="254"/>
      <c r="I585" s="492"/>
      <c r="J585" s="254"/>
      <c r="K585" s="492"/>
      <c r="L585" s="254"/>
      <c r="M585" s="492"/>
      <c r="N585" s="254"/>
      <c r="O585" s="492"/>
      <c r="P585" s="254"/>
      <c r="Q585" s="492"/>
      <c r="R585" s="254"/>
      <c r="S585" s="514"/>
      <c r="T585" s="514"/>
      <c r="U585" s="492"/>
      <c r="V585" s="254"/>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row>
    <row r="586">
      <c r="A586" s="492"/>
      <c r="B586" s="254"/>
      <c r="C586" s="492"/>
      <c r="D586" s="254"/>
      <c r="E586" s="492"/>
      <c r="F586" s="254"/>
      <c r="G586" s="492"/>
      <c r="H586" s="254"/>
      <c r="I586" s="492"/>
      <c r="J586" s="254"/>
      <c r="K586" s="492"/>
      <c r="L586" s="254"/>
      <c r="M586" s="492"/>
      <c r="N586" s="254"/>
      <c r="O586" s="492"/>
      <c r="P586" s="254"/>
      <c r="Q586" s="492"/>
      <c r="R586" s="254"/>
      <c r="S586" s="514"/>
      <c r="T586" s="514"/>
      <c r="U586" s="492"/>
      <c r="V586" s="254"/>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row>
    <row r="587">
      <c r="A587" s="492"/>
      <c r="B587" s="254"/>
      <c r="C587" s="492"/>
      <c r="D587" s="254"/>
      <c r="E587" s="492"/>
      <c r="F587" s="254"/>
      <c r="G587" s="492"/>
      <c r="H587" s="254"/>
      <c r="I587" s="492"/>
      <c r="J587" s="254"/>
      <c r="K587" s="492"/>
      <c r="L587" s="254"/>
      <c r="M587" s="492"/>
      <c r="N587" s="254"/>
      <c r="O587" s="492"/>
      <c r="P587" s="254"/>
      <c r="Q587" s="492"/>
      <c r="R587" s="254"/>
      <c r="S587" s="514"/>
      <c r="T587" s="514"/>
      <c r="U587" s="492"/>
      <c r="V587" s="254"/>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row>
    <row r="588">
      <c r="A588" s="492"/>
      <c r="B588" s="254"/>
      <c r="C588" s="492"/>
      <c r="D588" s="254"/>
      <c r="E588" s="492"/>
      <c r="F588" s="254"/>
      <c r="G588" s="492"/>
      <c r="H588" s="254"/>
      <c r="I588" s="492"/>
      <c r="J588" s="254"/>
      <c r="K588" s="492"/>
      <c r="L588" s="254"/>
      <c r="M588" s="492"/>
      <c r="N588" s="254"/>
      <c r="O588" s="492"/>
      <c r="P588" s="254"/>
      <c r="Q588" s="492"/>
      <c r="R588" s="254"/>
      <c r="S588" s="514"/>
      <c r="T588" s="514"/>
      <c r="U588" s="492"/>
      <c r="V588" s="254"/>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row>
    <row r="589">
      <c r="A589" s="492"/>
      <c r="B589" s="254"/>
      <c r="C589" s="492"/>
      <c r="D589" s="254"/>
      <c r="E589" s="492"/>
      <c r="F589" s="254"/>
      <c r="G589" s="492"/>
      <c r="H589" s="254"/>
      <c r="I589" s="492"/>
      <c r="J589" s="254"/>
      <c r="K589" s="492"/>
      <c r="L589" s="254"/>
      <c r="M589" s="492"/>
      <c r="N589" s="254"/>
      <c r="O589" s="492"/>
      <c r="P589" s="254"/>
      <c r="Q589" s="492"/>
      <c r="R589" s="254"/>
      <c r="S589" s="514"/>
      <c r="T589" s="514"/>
      <c r="U589" s="492"/>
      <c r="V589" s="254"/>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row>
    <row r="590">
      <c r="A590" s="492"/>
      <c r="B590" s="254"/>
      <c r="C590" s="492"/>
      <c r="D590" s="254"/>
      <c r="E590" s="492"/>
      <c r="F590" s="254"/>
      <c r="G590" s="492"/>
      <c r="H590" s="254"/>
      <c r="I590" s="492"/>
      <c r="J590" s="254"/>
      <c r="K590" s="492"/>
      <c r="L590" s="254"/>
      <c r="M590" s="492"/>
      <c r="N590" s="254"/>
      <c r="O590" s="492"/>
      <c r="P590" s="254"/>
      <c r="Q590" s="492"/>
      <c r="R590" s="254"/>
      <c r="S590" s="514"/>
      <c r="T590" s="514"/>
      <c r="U590" s="492"/>
      <c r="V590" s="254"/>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row>
    <row r="591">
      <c r="A591" s="492"/>
      <c r="B591" s="254"/>
      <c r="C591" s="492"/>
      <c r="D591" s="254"/>
      <c r="E591" s="492"/>
      <c r="F591" s="254"/>
      <c r="G591" s="492"/>
      <c r="H591" s="254"/>
      <c r="I591" s="492"/>
      <c r="J591" s="254"/>
      <c r="K591" s="492"/>
      <c r="L591" s="254"/>
      <c r="M591" s="492"/>
      <c r="N591" s="254"/>
      <c r="O591" s="492"/>
      <c r="P591" s="254"/>
      <c r="Q591" s="492"/>
      <c r="R591" s="254"/>
      <c r="S591" s="514"/>
      <c r="T591" s="514"/>
      <c r="U591" s="492"/>
      <c r="V591" s="254"/>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row>
    <row r="592">
      <c r="A592" s="492"/>
      <c r="B592" s="254"/>
      <c r="C592" s="492"/>
      <c r="D592" s="254"/>
      <c r="E592" s="492"/>
      <c r="F592" s="254"/>
      <c r="G592" s="492"/>
      <c r="H592" s="254"/>
      <c r="I592" s="492"/>
      <c r="J592" s="254"/>
      <c r="K592" s="492"/>
      <c r="L592" s="254"/>
      <c r="M592" s="492"/>
      <c r="N592" s="254"/>
      <c r="O592" s="492"/>
      <c r="P592" s="254"/>
      <c r="Q592" s="492"/>
      <c r="R592" s="254"/>
      <c r="S592" s="514"/>
      <c r="T592" s="514"/>
      <c r="U592" s="492"/>
      <c r="V592" s="254"/>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row>
    <row r="593">
      <c r="A593" s="492"/>
      <c r="B593" s="254"/>
      <c r="C593" s="492"/>
      <c r="D593" s="254"/>
      <c r="E593" s="492"/>
      <c r="F593" s="254"/>
      <c r="G593" s="492"/>
      <c r="H593" s="254"/>
      <c r="I593" s="492"/>
      <c r="J593" s="254"/>
      <c r="K593" s="492"/>
      <c r="L593" s="254"/>
      <c r="M593" s="492"/>
      <c r="N593" s="254"/>
      <c r="O593" s="492"/>
      <c r="P593" s="254"/>
      <c r="Q593" s="492"/>
      <c r="R593" s="254"/>
      <c r="S593" s="514"/>
      <c r="T593" s="514"/>
      <c r="U593" s="492"/>
      <c r="V593" s="254"/>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row>
    <row r="594">
      <c r="A594" s="492"/>
      <c r="B594" s="254"/>
      <c r="C594" s="492"/>
      <c r="D594" s="254"/>
      <c r="E594" s="492"/>
      <c r="F594" s="254"/>
      <c r="G594" s="492"/>
      <c r="H594" s="254"/>
      <c r="I594" s="492"/>
      <c r="J594" s="254"/>
      <c r="K594" s="492"/>
      <c r="L594" s="254"/>
      <c r="M594" s="492"/>
      <c r="N594" s="254"/>
      <c r="O594" s="492"/>
      <c r="P594" s="254"/>
      <c r="Q594" s="492"/>
      <c r="R594" s="254"/>
      <c r="S594" s="514"/>
      <c r="T594" s="514"/>
      <c r="U594" s="492"/>
      <c r="V594" s="254"/>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row>
    <row r="595">
      <c r="A595" s="492"/>
      <c r="B595" s="254"/>
      <c r="C595" s="492"/>
      <c r="D595" s="254"/>
      <c r="E595" s="492"/>
      <c r="F595" s="254"/>
      <c r="G595" s="492"/>
      <c r="H595" s="254"/>
      <c r="I595" s="492"/>
      <c r="J595" s="254"/>
      <c r="K595" s="492"/>
      <c r="L595" s="254"/>
      <c r="M595" s="492"/>
      <c r="N595" s="254"/>
      <c r="O595" s="492"/>
      <c r="P595" s="254"/>
      <c r="Q595" s="492"/>
      <c r="R595" s="254"/>
      <c r="S595" s="514"/>
      <c r="T595" s="514"/>
      <c r="U595" s="492"/>
      <c r="V595" s="254"/>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row>
    <row r="596">
      <c r="A596" s="492"/>
      <c r="B596" s="254"/>
      <c r="C596" s="492"/>
      <c r="D596" s="254"/>
      <c r="E596" s="492"/>
      <c r="F596" s="254"/>
      <c r="G596" s="492"/>
      <c r="H596" s="254"/>
      <c r="I596" s="492"/>
      <c r="J596" s="254"/>
      <c r="K596" s="492"/>
      <c r="L596" s="254"/>
      <c r="M596" s="492"/>
      <c r="N596" s="254"/>
      <c r="O596" s="492"/>
      <c r="P596" s="254"/>
      <c r="Q596" s="492"/>
      <c r="R596" s="254"/>
      <c r="S596" s="514"/>
      <c r="T596" s="514"/>
      <c r="U596" s="492"/>
      <c r="V596" s="254"/>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row>
    <row r="597">
      <c r="A597" s="492"/>
      <c r="B597" s="254"/>
      <c r="C597" s="492"/>
      <c r="D597" s="254"/>
      <c r="E597" s="492"/>
      <c r="F597" s="254"/>
      <c r="G597" s="492"/>
      <c r="H597" s="254"/>
      <c r="I597" s="492"/>
      <c r="J597" s="254"/>
      <c r="K597" s="492"/>
      <c r="L597" s="254"/>
      <c r="M597" s="492"/>
      <c r="N597" s="254"/>
      <c r="O597" s="492"/>
      <c r="P597" s="254"/>
      <c r="Q597" s="492"/>
      <c r="R597" s="254"/>
      <c r="S597" s="514"/>
      <c r="T597" s="514"/>
      <c r="U597" s="492"/>
      <c r="V597" s="254"/>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row>
    <row r="598">
      <c r="A598" s="492"/>
      <c r="B598" s="254"/>
      <c r="C598" s="492"/>
      <c r="D598" s="254"/>
      <c r="E598" s="492"/>
      <c r="F598" s="254"/>
      <c r="G598" s="492"/>
      <c r="H598" s="254"/>
      <c r="I598" s="492"/>
      <c r="J598" s="254"/>
      <c r="K598" s="492"/>
      <c r="L598" s="254"/>
      <c r="M598" s="492"/>
      <c r="N598" s="254"/>
      <c r="O598" s="492"/>
      <c r="P598" s="254"/>
      <c r="Q598" s="492"/>
      <c r="R598" s="254"/>
      <c r="S598" s="514"/>
      <c r="T598" s="514"/>
      <c r="U598" s="492"/>
      <c r="V598" s="254"/>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row>
    <row r="599">
      <c r="A599" s="492"/>
      <c r="B599" s="254"/>
      <c r="C599" s="492"/>
      <c r="D599" s="254"/>
      <c r="E599" s="492"/>
      <c r="F599" s="254"/>
      <c r="G599" s="492"/>
      <c r="H599" s="254"/>
      <c r="I599" s="492"/>
      <c r="J599" s="254"/>
      <c r="K599" s="492"/>
      <c r="L599" s="254"/>
      <c r="M599" s="492"/>
      <c r="N599" s="254"/>
      <c r="O599" s="492"/>
      <c r="P599" s="254"/>
      <c r="Q599" s="492"/>
      <c r="R599" s="254"/>
      <c r="S599" s="514"/>
      <c r="T599" s="514"/>
      <c r="U599" s="492"/>
      <c r="V599" s="254"/>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row>
    <row r="600">
      <c r="A600" s="492"/>
      <c r="B600" s="254"/>
      <c r="C600" s="492"/>
      <c r="D600" s="254"/>
      <c r="E600" s="492"/>
      <c r="F600" s="254"/>
      <c r="G600" s="492"/>
      <c r="H600" s="254"/>
      <c r="I600" s="492"/>
      <c r="J600" s="254"/>
      <c r="K600" s="492"/>
      <c r="L600" s="254"/>
      <c r="M600" s="492"/>
      <c r="N600" s="254"/>
      <c r="O600" s="492"/>
      <c r="P600" s="254"/>
      <c r="Q600" s="492"/>
      <c r="R600" s="254"/>
      <c r="S600" s="514"/>
      <c r="T600" s="514"/>
      <c r="U600" s="492"/>
      <c r="V600" s="254"/>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row>
    <row r="601">
      <c r="A601" s="492"/>
      <c r="B601" s="254"/>
      <c r="C601" s="492"/>
      <c r="D601" s="254"/>
      <c r="E601" s="492"/>
      <c r="F601" s="254"/>
      <c r="G601" s="492"/>
      <c r="H601" s="254"/>
      <c r="I601" s="492"/>
      <c r="J601" s="254"/>
      <c r="K601" s="492"/>
      <c r="L601" s="254"/>
      <c r="M601" s="492"/>
      <c r="N601" s="254"/>
      <c r="O601" s="492"/>
      <c r="P601" s="254"/>
      <c r="Q601" s="492"/>
      <c r="R601" s="254"/>
      <c r="S601" s="514"/>
      <c r="T601" s="514"/>
      <c r="U601" s="492"/>
      <c r="V601" s="254"/>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row>
    <row r="602">
      <c r="A602" s="492"/>
      <c r="B602" s="254"/>
      <c r="C602" s="492"/>
      <c r="D602" s="254"/>
      <c r="E602" s="492"/>
      <c r="F602" s="254"/>
      <c r="G602" s="492"/>
      <c r="H602" s="254"/>
      <c r="I602" s="492"/>
      <c r="J602" s="254"/>
      <c r="K602" s="492"/>
      <c r="L602" s="254"/>
      <c r="M602" s="492"/>
      <c r="N602" s="254"/>
      <c r="O602" s="492"/>
      <c r="P602" s="254"/>
      <c r="Q602" s="492"/>
      <c r="R602" s="254"/>
      <c r="S602" s="514"/>
      <c r="T602" s="514"/>
      <c r="U602" s="492"/>
      <c r="V602" s="254"/>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row>
    <row r="603">
      <c r="A603" s="492"/>
      <c r="B603" s="254"/>
      <c r="C603" s="492"/>
      <c r="D603" s="254"/>
      <c r="E603" s="492"/>
      <c r="F603" s="254"/>
      <c r="G603" s="492"/>
      <c r="H603" s="254"/>
      <c r="I603" s="492"/>
      <c r="J603" s="254"/>
      <c r="K603" s="492"/>
      <c r="L603" s="254"/>
      <c r="M603" s="492"/>
      <c r="N603" s="254"/>
      <c r="O603" s="492"/>
      <c r="P603" s="254"/>
      <c r="Q603" s="492"/>
      <c r="R603" s="254"/>
      <c r="S603" s="514"/>
      <c r="T603" s="514"/>
      <c r="U603" s="492"/>
      <c r="V603" s="254"/>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row>
    <row r="604">
      <c r="A604" s="492"/>
      <c r="B604" s="254"/>
      <c r="C604" s="492"/>
      <c r="D604" s="254"/>
      <c r="E604" s="492"/>
      <c r="F604" s="254"/>
      <c r="G604" s="492"/>
      <c r="H604" s="254"/>
      <c r="I604" s="492"/>
      <c r="J604" s="254"/>
      <c r="K604" s="492"/>
      <c r="L604" s="254"/>
      <c r="M604" s="492"/>
      <c r="N604" s="254"/>
      <c r="O604" s="492"/>
      <c r="P604" s="254"/>
      <c r="Q604" s="492"/>
      <c r="R604" s="254"/>
      <c r="S604" s="514"/>
      <c r="T604" s="514"/>
      <c r="U604" s="492"/>
      <c r="V604" s="254"/>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row>
    <row r="605">
      <c r="A605" s="492"/>
      <c r="B605" s="254"/>
      <c r="C605" s="492"/>
      <c r="D605" s="254"/>
      <c r="E605" s="492"/>
      <c r="F605" s="254"/>
      <c r="G605" s="492"/>
      <c r="H605" s="254"/>
      <c r="I605" s="492"/>
      <c r="J605" s="254"/>
      <c r="K605" s="492"/>
      <c r="L605" s="254"/>
      <c r="M605" s="492"/>
      <c r="N605" s="254"/>
      <c r="O605" s="492"/>
      <c r="P605" s="254"/>
      <c r="Q605" s="492"/>
      <c r="R605" s="254"/>
      <c r="S605" s="514"/>
      <c r="T605" s="514"/>
      <c r="U605" s="492"/>
      <c r="V605" s="254"/>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row>
    <row r="606">
      <c r="A606" s="492"/>
      <c r="B606" s="254"/>
      <c r="C606" s="492"/>
      <c r="D606" s="254"/>
      <c r="E606" s="492"/>
      <c r="F606" s="254"/>
      <c r="G606" s="492"/>
      <c r="H606" s="254"/>
      <c r="I606" s="492"/>
      <c r="J606" s="254"/>
      <c r="K606" s="492"/>
      <c r="L606" s="254"/>
      <c r="M606" s="492"/>
      <c r="N606" s="254"/>
      <c r="O606" s="492"/>
      <c r="P606" s="254"/>
      <c r="Q606" s="492"/>
      <c r="R606" s="254"/>
      <c r="S606" s="514"/>
      <c r="T606" s="514"/>
      <c r="U606" s="492"/>
      <c r="V606" s="254"/>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row>
    <row r="607">
      <c r="A607" s="492"/>
      <c r="B607" s="254"/>
      <c r="C607" s="492"/>
      <c r="D607" s="254"/>
      <c r="E607" s="492"/>
      <c r="F607" s="254"/>
      <c r="G607" s="492"/>
      <c r="H607" s="254"/>
      <c r="I607" s="492"/>
      <c r="J607" s="254"/>
      <c r="K607" s="492"/>
      <c r="L607" s="254"/>
      <c r="M607" s="492"/>
      <c r="N607" s="254"/>
      <c r="O607" s="492"/>
      <c r="P607" s="254"/>
      <c r="Q607" s="492"/>
      <c r="R607" s="254"/>
      <c r="S607" s="514"/>
      <c r="T607" s="514"/>
      <c r="U607" s="492"/>
      <c r="V607" s="254"/>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row>
    <row r="608">
      <c r="A608" s="492"/>
      <c r="B608" s="254"/>
      <c r="C608" s="492"/>
      <c r="D608" s="254"/>
      <c r="E608" s="492"/>
      <c r="F608" s="254"/>
      <c r="G608" s="492"/>
      <c r="H608" s="254"/>
      <c r="I608" s="492"/>
      <c r="J608" s="254"/>
      <c r="K608" s="492"/>
      <c r="L608" s="254"/>
      <c r="M608" s="492"/>
      <c r="N608" s="254"/>
      <c r="O608" s="492"/>
      <c r="P608" s="254"/>
      <c r="Q608" s="492"/>
      <c r="R608" s="254"/>
      <c r="S608" s="514"/>
      <c r="T608" s="514"/>
      <c r="U608" s="492"/>
      <c r="V608" s="254"/>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row>
    <row r="609">
      <c r="A609" s="492"/>
      <c r="B609" s="254"/>
      <c r="C609" s="492"/>
      <c r="D609" s="254"/>
      <c r="E609" s="492"/>
      <c r="F609" s="254"/>
      <c r="G609" s="492"/>
      <c r="H609" s="254"/>
      <c r="I609" s="492"/>
      <c r="J609" s="254"/>
      <c r="K609" s="492"/>
      <c r="L609" s="254"/>
      <c r="M609" s="492"/>
      <c r="N609" s="254"/>
      <c r="O609" s="492"/>
      <c r="P609" s="254"/>
      <c r="Q609" s="492"/>
      <c r="R609" s="254"/>
      <c r="S609" s="514"/>
      <c r="T609" s="514"/>
      <c r="U609" s="492"/>
      <c r="V609" s="254"/>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row>
    <row r="610">
      <c r="A610" s="492"/>
      <c r="B610" s="254"/>
      <c r="C610" s="492"/>
      <c r="D610" s="254"/>
      <c r="E610" s="492"/>
      <c r="F610" s="254"/>
      <c r="G610" s="492"/>
      <c r="H610" s="254"/>
      <c r="I610" s="492"/>
      <c r="J610" s="254"/>
      <c r="K610" s="492"/>
      <c r="L610" s="254"/>
      <c r="M610" s="492"/>
      <c r="N610" s="254"/>
      <c r="O610" s="492"/>
      <c r="P610" s="254"/>
      <c r="Q610" s="492"/>
      <c r="R610" s="254"/>
      <c r="S610" s="514"/>
      <c r="T610" s="514"/>
      <c r="U610" s="492"/>
      <c r="V610" s="254"/>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row>
    <row r="611">
      <c r="A611" s="492"/>
      <c r="B611" s="254"/>
      <c r="C611" s="492"/>
      <c r="D611" s="254"/>
      <c r="E611" s="492"/>
      <c r="F611" s="254"/>
      <c r="G611" s="492"/>
      <c r="H611" s="254"/>
      <c r="I611" s="492"/>
      <c r="J611" s="254"/>
      <c r="K611" s="492"/>
      <c r="L611" s="254"/>
      <c r="M611" s="492"/>
      <c r="N611" s="254"/>
      <c r="O611" s="492"/>
      <c r="P611" s="254"/>
      <c r="Q611" s="492"/>
      <c r="R611" s="254"/>
      <c r="S611" s="514"/>
      <c r="T611" s="514"/>
      <c r="U611" s="492"/>
      <c r="V611" s="254"/>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row>
    <row r="612">
      <c r="A612" s="492"/>
      <c r="B612" s="254"/>
      <c r="C612" s="492"/>
      <c r="D612" s="254"/>
      <c r="E612" s="492"/>
      <c r="F612" s="254"/>
      <c r="G612" s="492"/>
      <c r="H612" s="254"/>
      <c r="I612" s="492"/>
      <c r="J612" s="254"/>
      <c r="K612" s="492"/>
      <c r="L612" s="254"/>
      <c r="M612" s="492"/>
      <c r="N612" s="254"/>
      <c r="O612" s="492"/>
      <c r="P612" s="254"/>
      <c r="Q612" s="492"/>
      <c r="R612" s="254"/>
      <c r="S612" s="514"/>
      <c r="T612" s="514"/>
      <c r="U612" s="492"/>
      <c r="V612" s="254"/>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row>
    <row r="613">
      <c r="A613" s="492"/>
      <c r="B613" s="254"/>
      <c r="C613" s="492"/>
      <c r="D613" s="254"/>
      <c r="E613" s="492"/>
      <c r="F613" s="254"/>
      <c r="G613" s="492"/>
      <c r="H613" s="254"/>
      <c r="I613" s="492"/>
      <c r="J613" s="254"/>
      <c r="K613" s="492"/>
      <c r="L613" s="254"/>
      <c r="M613" s="492"/>
      <c r="N613" s="254"/>
      <c r="O613" s="492"/>
      <c r="P613" s="254"/>
      <c r="Q613" s="492"/>
      <c r="R613" s="254"/>
      <c r="S613" s="514"/>
      <c r="T613" s="514"/>
      <c r="U613" s="492"/>
      <c r="V613" s="254"/>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row>
    <row r="614">
      <c r="A614" s="492"/>
      <c r="B614" s="254"/>
      <c r="C614" s="492"/>
      <c r="D614" s="254"/>
      <c r="E614" s="492"/>
      <c r="F614" s="254"/>
      <c r="G614" s="492"/>
      <c r="H614" s="254"/>
      <c r="I614" s="492"/>
      <c r="J614" s="254"/>
      <c r="K614" s="492"/>
      <c r="L614" s="254"/>
      <c r="M614" s="492"/>
      <c r="N614" s="254"/>
      <c r="O614" s="492"/>
      <c r="P614" s="254"/>
      <c r="Q614" s="492"/>
      <c r="R614" s="254"/>
      <c r="S614" s="514"/>
      <c r="T614" s="514"/>
      <c r="U614" s="492"/>
      <c r="V614" s="254"/>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row>
    <row r="615">
      <c r="A615" s="492"/>
      <c r="B615" s="254"/>
      <c r="C615" s="492"/>
      <c r="D615" s="254"/>
      <c r="E615" s="492"/>
      <c r="F615" s="254"/>
      <c r="G615" s="492"/>
      <c r="H615" s="254"/>
      <c r="I615" s="492"/>
      <c r="J615" s="254"/>
      <c r="K615" s="492"/>
      <c r="L615" s="254"/>
      <c r="M615" s="492"/>
      <c r="N615" s="254"/>
      <c r="O615" s="492"/>
      <c r="P615" s="254"/>
      <c r="Q615" s="492"/>
      <c r="R615" s="254"/>
      <c r="S615" s="514"/>
      <c r="T615" s="514"/>
      <c r="U615" s="492"/>
      <c r="V615" s="254"/>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row>
    <row r="616">
      <c r="A616" s="492"/>
      <c r="B616" s="254"/>
      <c r="C616" s="492"/>
      <c r="D616" s="254"/>
      <c r="E616" s="492"/>
      <c r="F616" s="254"/>
      <c r="G616" s="492"/>
      <c r="H616" s="254"/>
      <c r="I616" s="492"/>
      <c r="J616" s="254"/>
      <c r="K616" s="492"/>
      <c r="L616" s="254"/>
      <c r="M616" s="492"/>
      <c r="N616" s="254"/>
      <c r="O616" s="492"/>
      <c r="P616" s="254"/>
      <c r="Q616" s="492"/>
      <c r="R616" s="254"/>
      <c r="S616" s="514"/>
      <c r="T616" s="514"/>
      <c r="U616" s="492"/>
      <c r="V616" s="254"/>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row>
    <row r="617">
      <c r="A617" s="492"/>
      <c r="B617" s="254"/>
      <c r="C617" s="492"/>
      <c r="D617" s="254"/>
      <c r="E617" s="492"/>
      <c r="F617" s="254"/>
      <c r="G617" s="492"/>
      <c r="H617" s="254"/>
      <c r="I617" s="492"/>
      <c r="J617" s="254"/>
      <c r="K617" s="492"/>
      <c r="L617" s="254"/>
      <c r="M617" s="492"/>
      <c r="N617" s="254"/>
      <c r="O617" s="492"/>
      <c r="P617" s="254"/>
      <c r="Q617" s="492"/>
      <c r="R617" s="254"/>
      <c r="S617" s="514"/>
      <c r="T617" s="514"/>
      <c r="U617" s="492"/>
      <c r="V617" s="254"/>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row>
    <row r="618">
      <c r="A618" s="492"/>
      <c r="B618" s="254"/>
      <c r="C618" s="492"/>
      <c r="D618" s="254"/>
      <c r="E618" s="492"/>
      <c r="F618" s="254"/>
      <c r="G618" s="492"/>
      <c r="H618" s="254"/>
      <c r="I618" s="492"/>
      <c r="J618" s="254"/>
      <c r="K618" s="492"/>
      <c r="L618" s="254"/>
      <c r="M618" s="492"/>
      <c r="N618" s="254"/>
      <c r="O618" s="492"/>
      <c r="P618" s="254"/>
      <c r="Q618" s="492"/>
      <c r="R618" s="254"/>
      <c r="S618" s="514"/>
      <c r="T618" s="514"/>
      <c r="U618" s="492"/>
      <c r="V618" s="254"/>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row>
    <row r="619">
      <c r="A619" s="492"/>
      <c r="B619" s="254"/>
      <c r="C619" s="492"/>
      <c r="D619" s="254"/>
      <c r="E619" s="492"/>
      <c r="F619" s="254"/>
      <c r="G619" s="492"/>
      <c r="H619" s="254"/>
      <c r="I619" s="492"/>
      <c r="J619" s="254"/>
      <c r="K619" s="492"/>
      <c r="L619" s="254"/>
      <c r="M619" s="492"/>
      <c r="N619" s="254"/>
      <c r="O619" s="492"/>
      <c r="P619" s="254"/>
      <c r="Q619" s="492"/>
      <c r="R619" s="254"/>
      <c r="S619" s="514"/>
      <c r="T619" s="514"/>
      <c r="U619" s="492"/>
      <c r="V619" s="254"/>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row>
    <row r="620">
      <c r="A620" s="492"/>
      <c r="B620" s="254"/>
      <c r="C620" s="492"/>
      <c r="D620" s="254"/>
      <c r="E620" s="492"/>
      <c r="F620" s="254"/>
      <c r="G620" s="492"/>
      <c r="H620" s="254"/>
      <c r="I620" s="492"/>
      <c r="J620" s="254"/>
      <c r="K620" s="492"/>
      <c r="L620" s="254"/>
      <c r="M620" s="492"/>
      <c r="N620" s="254"/>
      <c r="O620" s="492"/>
      <c r="P620" s="254"/>
      <c r="Q620" s="492"/>
      <c r="R620" s="254"/>
      <c r="S620" s="514"/>
      <c r="T620" s="514"/>
      <c r="U620" s="492"/>
      <c r="V620" s="254"/>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row>
    <row r="621">
      <c r="A621" s="492"/>
      <c r="B621" s="254"/>
      <c r="C621" s="492"/>
      <c r="D621" s="254"/>
      <c r="E621" s="492"/>
      <c r="F621" s="254"/>
      <c r="G621" s="492"/>
      <c r="H621" s="254"/>
      <c r="I621" s="492"/>
      <c r="J621" s="254"/>
      <c r="K621" s="492"/>
      <c r="L621" s="254"/>
      <c r="M621" s="492"/>
      <c r="N621" s="254"/>
      <c r="O621" s="492"/>
      <c r="P621" s="254"/>
      <c r="Q621" s="492"/>
      <c r="R621" s="254"/>
      <c r="S621" s="514"/>
      <c r="T621" s="514"/>
      <c r="U621" s="492"/>
      <c r="V621" s="254"/>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row>
    <row r="622">
      <c r="A622" s="492"/>
      <c r="B622" s="254"/>
      <c r="C622" s="492"/>
      <c r="D622" s="254"/>
      <c r="E622" s="492"/>
      <c r="F622" s="254"/>
      <c r="G622" s="492"/>
      <c r="H622" s="254"/>
      <c r="I622" s="492"/>
      <c r="J622" s="254"/>
      <c r="K622" s="492"/>
      <c r="L622" s="254"/>
      <c r="M622" s="492"/>
      <c r="N622" s="254"/>
      <c r="O622" s="492"/>
      <c r="P622" s="254"/>
      <c r="Q622" s="492"/>
      <c r="R622" s="254"/>
      <c r="S622" s="514"/>
      <c r="T622" s="514"/>
      <c r="U622" s="492"/>
      <c r="V622" s="254"/>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row>
    <row r="623">
      <c r="A623" s="492"/>
      <c r="B623" s="254"/>
      <c r="C623" s="492"/>
      <c r="D623" s="254"/>
      <c r="E623" s="492"/>
      <c r="F623" s="254"/>
      <c r="G623" s="492"/>
      <c r="H623" s="254"/>
      <c r="I623" s="492"/>
      <c r="J623" s="254"/>
      <c r="K623" s="492"/>
      <c r="L623" s="254"/>
      <c r="M623" s="492"/>
      <c r="N623" s="254"/>
      <c r="O623" s="492"/>
      <c r="P623" s="254"/>
      <c r="Q623" s="492"/>
      <c r="R623" s="254"/>
      <c r="S623" s="514"/>
      <c r="T623" s="514"/>
      <c r="U623" s="492"/>
      <c r="V623" s="254"/>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row>
    <row r="624">
      <c r="A624" s="492"/>
      <c r="B624" s="254"/>
      <c r="C624" s="492"/>
      <c r="D624" s="254"/>
      <c r="E624" s="492"/>
      <c r="F624" s="254"/>
      <c r="G624" s="492"/>
      <c r="H624" s="254"/>
      <c r="I624" s="492"/>
      <c r="J624" s="254"/>
      <c r="K624" s="492"/>
      <c r="L624" s="254"/>
      <c r="M624" s="492"/>
      <c r="N624" s="254"/>
      <c r="O624" s="492"/>
      <c r="P624" s="254"/>
      <c r="Q624" s="492"/>
      <c r="R624" s="254"/>
      <c r="S624" s="514"/>
      <c r="T624" s="514"/>
      <c r="U624" s="492"/>
      <c r="V624" s="254"/>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row>
    <row r="625">
      <c r="A625" s="492"/>
      <c r="B625" s="254"/>
      <c r="C625" s="492"/>
      <c r="D625" s="254"/>
      <c r="E625" s="492"/>
      <c r="F625" s="254"/>
      <c r="G625" s="492"/>
      <c r="H625" s="254"/>
      <c r="I625" s="492"/>
      <c r="J625" s="254"/>
      <c r="K625" s="492"/>
      <c r="L625" s="254"/>
      <c r="M625" s="492"/>
      <c r="N625" s="254"/>
      <c r="O625" s="492"/>
      <c r="P625" s="254"/>
      <c r="Q625" s="492"/>
      <c r="R625" s="254"/>
      <c r="S625" s="514"/>
      <c r="T625" s="514"/>
      <c r="U625" s="492"/>
      <c r="V625" s="254"/>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row>
    <row r="626">
      <c r="A626" s="492"/>
      <c r="B626" s="254"/>
      <c r="C626" s="492"/>
      <c r="D626" s="254"/>
      <c r="E626" s="492"/>
      <c r="F626" s="254"/>
      <c r="G626" s="492"/>
      <c r="H626" s="254"/>
      <c r="I626" s="492"/>
      <c r="J626" s="254"/>
      <c r="K626" s="492"/>
      <c r="L626" s="254"/>
      <c r="M626" s="492"/>
      <c r="N626" s="254"/>
      <c r="O626" s="492"/>
      <c r="P626" s="254"/>
      <c r="Q626" s="492"/>
      <c r="R626" s="254"/>
      <c r="S626" s="514"/>
      <c r="T626" s="514"/>
      <c r="U626" s="492"/>
      <c r="V626" s="254"/>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row>
    <row r="627">
      <c r="A627" s="492"/>
      <c r="B627" s="254"/>
      <c r="C627" s="492"/>
      <c r="D627" s="254"/>
      <c r="E627" s="492"/>
      <c r="F627" s="254"/>
      <c r="G627" s="492"/>
      <c r="H627" s="254"/>
      <c r="I627" s="492"/>
      <c r="J627" s="254"/>
      <c r="K627" s="492"/>
      <c r="L627" s="254"/>
      <c r="M627" s="492"/>
      <c r="N627" s="254"/>
      <c r="O627" s="492"/>
      <c r="P627" s="254"/>
      <c r="Q627" s="492"/>
      <c r="R627" s="254"/>
      <c r="S627" s="514"/>
      <c r="T627" s="514"/>
      <c r="U627" s="492"/>
      <c r="V627" s="254"/>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row>
    <row r="628">
      <c r="A628" s="492"/>
      <c r="B628" s="254"/>
      <c r="C628" s="492"/>
      <c r="D628" s="254"/>
      <c r="E628" s="492"/>
      <c r="F628" s="254"/>
      <c r="G628" s="492"/>
      <c r="H628" s="254"/>
      <c r="I628" s="492"/>
      <c r="J628" s="254"/>
      <c r="K628" s="492"/>
      <c r="L628" s="254"/>
      <c r="M628" s="492"/>
      <c r="N628" s="254"/>
      <c r="O628" s="492"/>
      <c r="P628" s="254"/>
      <c r="Q628" s="492"/>
      <c r="R628" s="254"/>
      <c r="S628" s="514"/>
      <c r="T628" s="514"/>
      <c r="U628" s="492"/>
      <c r="V628" s="254"/>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row>
    <row r="629">
      <c r="A629" s="492"/>
      <c r="B629" s="254"/>
      <c r="C629" s="492"/>
      <c r="D629" s="254"/>
      <c r="E629" s="492"/>
      <c r="F629" s="254"/>
      <c r="G629" s="492"/>
      <c r="H629" s="254"/>
      <c r="I629" s="492"/>
      <c r="J629" s="254"/>
      <c r="K629" s="492"/>
      <c r="L629" s="254"/>
      <c r="M629" s="492"/>
      <c r="N629" s="254"/>
      <c r="O629" s="492"/>
      <c r="P629" s="254"/>
      <c r="Q629" s="492"/>
      <c r="R629" s="254"/>
      <c r="S629" s="514"/>
      <c r="T629" s="514"/>
      <c r="U629" s="492"/>
      <c r="V629" s="254"/>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row>
    <row r="630">
      <c r="A630" s="492"/>
      <c r="B630" s="254"/>
      <c r="C630" s="492"/>
      <c r="D630" s="254"/>
      <c r="E630" s="492"/>
      <c r="F630" s="254"/>
      <c r="G630" s="492"/>
      <c r="H630" s="254"/>
      <c r="I630" s="492"/>
      <c r="J630" s="254"/>
      <c r="K630" s="492"/>
      <c r="L630" s="254"/>
      <c r="M630" s="492"/>
      <c r="N630" s="254"/>
      <c r="O630" s="492"/>
      <c r="P630" s="254"/>
      <c r="Q630" s="492"/>
      <c r="R630" s="254"/>
      <c r="S630" s="514"/>
      <c r="T630" s="514"/>
      <c r="U630" s="492"/>
      <c r="V630" s="254"/>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row>
    <row r="631">
      <c r="A631" s="492"/>
      <c r="B631" s="254"/>
      <c r="C631" s="492"/>
      <c r="D631" s="254"/>
      <c r="E631" s="492"/>
      <c r="F631" s="254"/>
      <c r="G631" s="492"/>
      <c r="H631" s="254"/>
      <c r="I631" s="492"/>
      <c r="J631" s="254"/>
      <c r="K631" s="492"/>
      <c r="L631" s="254"/>
      <c r="M631" s="492"/>
      <c r="N631" s="254"/>
      <c r="O631" s="492"/>
      <c r="P631" s="254"/>
      <c r="Q631" s="492"/>
      <c r="R631" s="254"/>
      <c r="S631" s="514"/>
      <c r="T631" s="514"/>
      <c r="U631" s="492"/>
      <c r="V631" s="254"/>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row>
    <row r="632">
      <c r="A632" s="492"/>
      <c r="B632" s="254"/>
      <c r="C632" s="492"/>
      <c r="D632" s="254"/>
      <c r="E632" s="492"/>
      <c r="F632" s="254"/>
      <c r="G632" s="492"/>
      <c r="H632" s="254"/>
      <c r="I632" s="492"/>
      <c r="J632" s="254"/>
      <c r="K632" s="492"/>
      <c r="L632" s="254"/>
      <c r="M632" s="492"/>
      <c r="N632" s="254"/>
      <c r="O632" s="492"/>
      <c r="P632" s="254"/>
      <c r="Q632" s="492"/>
      <c r="R632" s="254"/>
      <c r="S632" s="514"/>
      <c r="T632" s="514"/>
      <c r="U632" s="492"/>
      <c r="V632" s="254"/>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row>
    <row r="633">
      <c r="A633" s="492"/>
      <c r="B633" s="254"/>
      <c r="C633" s="492"/>
      <c r="D633" s="254"/>
      <c r="E633" s="492"/>
      <c r="F633" s="254"/>
      <c r="G633" s="492"/>
      <c r="H633" s="254"/>
      <c r="I633" s="492"/>
      <c r="J633" s="254"/>
      <c r="K633" s="492"/>
      <c r="L633" s="254"/>
      <c r="M633" s="492"/>
      <c r="N633" s="254"/>
      <c r="O633" s="492"/>
      <c r="P633" s="254"/>
      <c r="Q633" s="492"/>
      <c r="R633" s="254"/>
      <c r="S633" s="514"/>
      <c r="T633" s="514"/>
      <c r="U633" s="492"/>
      <c r="V633" s="254"/>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row>
    <row r="634">
      <c r="A634" s="492"/>
      <c r="B634" s="254"/>
      <c r="C634" s="492"/>
      <c r="D634" s="254"/>
      <c r="E634" s="492"/>
      <c r="F634" s="254"/>
      <c r="G634" s="492"/>
      <c r="H634" s="254"/>
      <c r="I634" s="492"/>
      <c r="J634" s="254"/>
      <c r="K634" s="492"/>
      <c r="L634" s="254"/>
      <c r="M634" s="492"/>
      <c r="N634" s="254"/>
      <c r="O634" s="492"/>
      <c r="P634" s="254"/>
      <c r="Q634" s="492"/>
      <c r="R634" s="254"/>
      <c r="S634" s="514"/>
      <c r="T634" s="514"/>
      <c r="U634" s="492"/>
      <c r="V634" s="254"/>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row>
    <row r="635">
      <c r="A635" s="492"/>
      <c r="B635" s="254"/>
      <c r="C635" s="492"/>
      <c r="D635" s="254"/>
      <c r="E635" s="492"/>
      <c r="F635" s="254"/>
      <c r="G635" s="492"/>
      <c r="H635" s="254"/>
      <c r="I635" s="492"/>
      <c r="J635" s="254"/>
      <c r="K635" s="492"/>
      <c r="L635" s="254"/>
      <c r="M635" s="492"/>
      <c r="N635" s="254"/>
      <c r="O635" s="492"/>
      <c r="P635" s="254"/>
      <c r="Q635" s="492"/>
      <c r="R635" s="254"/>
      <c r="S635" s="514"/>
      <c r="T635" s="514"/>
      <c r="U635" s="492"/>
      <c r="V635" s="254"/>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row>
    <row r="636">
      <c r="A636" s="492"/>
      <c r="B636" s="254"/>
      <c r="C636" s="492"/>
      <c r="D636" s="254"/>
      <c r="E636" s="492"/>
      <c r="F636" s="254"/>
      <c r="G636" s="492"/>
      <c r="H636" s="254"/>
      <c r="I636" s="492"/>
      <c r="J636" s="254"/>
      <c r="K636" s="492"/>
      <c r="L636" s="254"/>
      <c r="M636" s="492"/>
      <c r="N636" s="254"/>
      <c r="O636" s="492"/>
      <c r="P636" s="254"/>
      <c r="Q636" s="492"/>
      <c r="R636" s="254"/>
      <c r="S636" s="514"/>
      <c r="T636" s="514"/>
      <c r="U636" s="492"/>
      <c r="V636" s="254"/>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row>
    <row r="637">
      <c r="A637" s="492"/>
      <c r="B637" s="254"/>
      <c r="C637" s="492"/>
      <c r="D637" s="254"/>
      <c r="E637" s="492"/>
      <c r="F637" s="254"/>
      <c r="G637" s="492"/>
      <c r="H637" s="254"/>
      <c r="I637" s="492"/>
      <c r="J637" s="254"/>
      <c r="K637" s="492"/>
      <c r="L637" s="254"/>
      <c r="M637" s="492"/>
      <c r="N637" s="254"/>
      <c r="O637" s="492"/>
      <c r="P637" s="254"/>
      <c r="Q637" s="492"/>
      <c r="R637" s="254"/>
      <c r="S637" s="514"/>
      <c r="T637" s="514"/>
      <c r="U637" s="492"/>
      <c r="V637" s="254"/>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row>
    <row r="638">
      <c r="A638" s="492"/>
      <c r="B638" s="254"/>
      <c r="C638" s="492"/>
      <c r="D638" s="254"/>
      <c r="E638" s="492"/>
      <c r="F638" s="254"/>
      <c r="G638" s="492"/>
      <c r="H638" s="254"/>
      <c r="I638" s="492"/>
      <c r="J638" s="254"/>
      <c r="K638" s="492"/>
      <c r="L638" s="254"/>
      <c r="M638" s="492"/>
      <c r="N638" s="254"/>
      <c r="O638" s="492"/>
      <c r="P638" s="254"/>
      <c r="Q638" s="492"/>
      <c r="R638" s="254"/>
      <c r="S638" s="514"/>
      <c r="T638" s="514"/>
      <c r="U638" s="492"/>
      <c r="V638" s="254"/>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row>
    <row r="639">
      <c r="A639" s="492"/>
      <c r="B639" s="254"/>
      <c r="C639" s="492"/>
      <c r="D639" s="254"/>
      <c r="E639" s="492"/>
      <c r="F639" s="254"/>
      <c r="G639" s="492"/>
      <c r="H639" s="254"/>
      <c r="I639" s="492"/>
      <c r="J639" s="254"/>
      <c r="K639" s="492"/>
      <c r="L639" s="254"/>
      <c r="M639" s="492"/>
      <c r="N639" s="254"/>
      <c r="O639" s="492"/>
      <c r="P639" s="254"/>
      <c r="Q639" s="492"/>
      <c r="R639" s="254"/>
      <c r="S639" s="514"/>
      <c r="T639" s="514"/>
      <c r="U639" s="492"/>
      <c r="V639" s="254"/>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row>
    <row r="640">
      <c r="A640" s="492"/>
      <c r="B640" s="254"/>
      <c r="C640" s="492"/>
      <c r="D640" s="254"/>
      <c r="E640" s="492"/>
      <c r="F640" s="254"/>
      <c r="G640" s="492"/>
      <c r="H640" s="254"/>
      <c r="I640" s="492"/>
      <c r="J640" s="254"/>
      <c r="K640" s="492"/>
      <c r="L640" s="254"/>
      <c r="M640" s="492"/>
      <c r="N640" s="254"/>
      <c r="O640" s="492"/>
      <c r="P640" s="254"/>
      <c r="Q640" s="492"/>
      <c r="R640" s="254"/>
      <c r="S640" s="514"/>
      <c r="T640" s="514"/>
      <c r="U640" s="492"/>
      <c r="V640" s="254"/>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row>
    <row r="641">
      <c r="A641" s="492"/>
      <c r="B641" s="254"/>
      <c r="C641" s="492"/>
      <c r="D641" s="254"/>
      <c r="E641" s="492"/>
      <c r="F641" s="254"/>
      <c r="G641" s="492"/>
      <c r="H641" s="254"/>
      <c r="I641" s="492"/>
      <c r="J641" s="254"/>
      <c r="K641" s="492"/>
      <c r="L641" s="254"/>
      <c r="M641" s="492"/>
      <c r="N641" s="254"/>
      <c r="O641" s="492"/>
      <c r="P641" s="254"/>
      <c r="Q641" s="492"/>
      <c r="R641" s="254"/>
      <c r="S641" s="514"/>
      <c r="T641" s="514"/>
      <c r="U641" s="492"/>
      <c r="V641" s="254"/>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row>
    <row r="642">
      <c r="A642" s="492"/>
      <c r="B642" s="254"/>
      <c r="C642" s="492"/>
      <c r="D642" s="254"/>
      <c r="E642" s="492"/>
      <c r="F642" s="254"/>
      <c r="G642" s="492"/>
      <c r="H642" s="254"/>
      <c r="I642" s="492"/>
      <c r="J642" s="254"/>
      <c r="K642" s="492"/>
      <c r="L642" s="254"/>
      <c r="M642" s="492"/>
      <c r="N642" s="254"/>
      <c r="O642" s="492"/>
      <c r="P642" s="254"/>
      <c r="Q642" s="492"/>
      <c r="R642" s="254"/>
      <c r="S642" s="514"/>
      <c r="T642" s="514"/>
      <c r="U642" s="492"/>
      <c r="V642" s="254"/>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row>
    <row r="643">
      <c r="A643" s="492"/>
      <c r="B643" s="254"/>
      <c r="C643" s="492"/>
      <c r="D643" s="254"/>
      <c r="E643" s="492"/>
      <c r="F643" s="254"/>
      <c r="G643" s="492"/>
      <c r="H643" s="254"/>
      <c r="I643" s="492"/>
      <c r="J643" s="254"/>
      <c r="K643" s="492"/>
      <c r="L643" s="254"/>
      <c r="M643" s="492"/>
      <c r="N643" s="254"/>
      <c r="O643" s="492"/>
      <c r="P643" s="254"/>
      <c r="Q643" s="492"/>
      <c r="R643" s="254"/>
      <c r="S643" s="514"/>
      <c r="T643" s="514"/>
      <c r="U643" s="492"/>
      <c r="V643" s="254"/>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row>
    <row r="644">
      <c r="A644" s="492"/>
      <c r="B644" s="254"/>
      <c r="C644" s="492"/>
      <c r="D644" s="254"/>
      <c r="E644" s="492"/>
      <c r="F644" s="254"/>
      <c r="G644" s="492"/>
      <c r="H644" s="254"/>
      <c r="I644" s="492"/>
      <c r="J644" s="254"/>
      <c r="K644" s="492"/>
      <c r="L644" s="254"/>
      <c r="M644" s="492"/>
      <c r="N644" s="254"/>
      <c r="O644" s="492"/>
      <c r="P644" s="254"/>
      <c r="Q644" s="492"/>
      <c r="R644" s="254"/>
      <c r="S644" s="514"/>
      <c r="T644" s="514"/>
      <c r="U644" s="492"/>
      <c r="V644" s="254"/>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row>
    <row r="645">
      <c r="A645" s="492"/>
      <c r="B645" s="254"/>
      <c r="C645" s="492"/>
      <c r="D645" s="254"/>
      <c r="E645" s="492"/>
      <c r="F645" s="254"/>
      <c r="G645" s="492"/>
      <c r="H645" s="254"/>
      <c r="I645" s="492"/>
      <c r="J645" s="254"/>
      <c r="K645" s="492"/>
      <c r="L645" s="254"/>
      <c r="M645" s="492"/>
      <c r="N645" s="254"/>
      <c r="O645" s="492"/>
      <c r="P645" s="254"/>
      <c r="Q645" s="492"/>
      <c r="R645" s="254"/>
      <c r="S645" s="514"/>
      <c r="T645" s="514"/>
      <c r="U645" s="492"/>
      <c r="V645" s="254"/>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row>
    <row r="646">
      <c r="A646" s="492"/>
      <c r="B646" s="254"/>
      <c r="C646" s="492"/>
      <c r="D646" s="254"/>
      <c r="E646" s="492"/>
      <c r="F646" s="254"/>
      <c r="G646" s="492"/>
      <c r="H646" s="254"/>
      <c r="I646" s="492"/>
      <c r="J646" s="254"/>
      <c r="K646" s="492"/>
      <c r="L646" s="254"/>
      <c r="M646" s="492"/>
      <c r="N646" s="254"/>
      <c r="O646" s="492"/>
      <c r="P646" s="254"/>
      <c r="Q646" s="492"/>
      <c r="R646" s="254"/>
      <c r="S646" s="514"/>
      <c r="T646" s="514"/>
      <c r="U646" s="492"/>
      <c r="V646" s="254"/>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row>
    <row r="647">
      <c r="A647" s="492"/>
      <c r="B647" s="254"/>
      <c r="C647" s="492"/>
      <c r="D647" s="254"/>
      <c r="E647" s="492"/>
      <c r="F647" s="254"/>
      <c r="G647" s="492"/>
      <c r="H647" s="254"/>
      <c r="I647" s="492"/>
      <c r="J647" s="254"/>
      <c r="K647" s="492"/>
      <c r="L647" s="254"/>
      <c r="M647" s="492"/>
      <c r="N647" s="254"/>
      <c r="O647" s="492"/>
      <c r="P647" s="254"/>
      <c r="Q647" s="492"/>
      <c r="R647" s="254"/>
      <c r="S647" s="514"/>
      <c r="T647" s="514"/>
      <c r="U647" s="492"/>
      <c r="V647" s="254"/>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row>
    <row r="648">
      <c r="A648" s="492"/>
      <c r="B648" s="254"/>
      <c r="C648" s="492"/>
      <c r="D648" s="254"/>
      <c r="E648" s="492"/>
      <c r="F648" s="254"/>
      <c r="G648" s="492"/>
      <c r="H648" s="254"/>
      <c r="I648" s="492"/>
      <c r="J648" s="254"/>
      <c r="K648" s="492"/>
      <c r="L648" s="254"/>
      <c r="M648" s="492"/>
      <c r="N648" s="254"/>
      <c r="O648" s="492"/>
      <c r="P648" s="254"/>
      <c r="Q648" s="492"/>
      <c r="R648" s="254"/>
      <c r="S648" s="514"/>
      <c r="T648" s="514"/>
      <c r="U648" s="492"/>
      <c r="V648" s="254"/>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row>
    <row r="649">
      <c r="A649" s="492"/>
      <c r="B649" s="254"/>
      <c r="C649" s="492"/>
      <c r="D649" s="254"/>
      <c r="E649" s="492"/>
      <c r="F649" s="254"/>
      <c r="G649" s="492"/>
      <c r="H649" s="254"/>
      <c r="I649" s="492"/>
      <c r="J649" s="254"/>
      <c r="K649" s="492"/>
      <c r="L649" s="254"/>
      <c r="M649" s="492"/>
      <c r="N649" s="254"/>
      <c r="O649" s="492"/>
      <c r="P649" s="254"/>
      <c r="Q649" s="492"/>
      <c r="R649" s="254"/>
      <c r="S649" s="514"/>
      <c r="T649" s="514"/>
      <c r="U649" s="492"/>
      <c r="V649" s="254"/>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row>
    <row r="650">
      <c r="A650" s="492"/>
      <c r="B650" s="254"/>
      <c r="C650" s="492"/>
      <c r="D650" s="254"/>
      <c r="E650" s="492"/>
      <c r="F650" s="254"/>
      <c r="G650" s="492"/>
      <c r="H650" s="254"/>
      <c r="I650" s="492"/>
      <c r="J650" s="254"/>
      <c r="K650" s="492"/>
      <c r="L650" s="254"/>
      <c r="M650" s="492"/>
      <c r="N650" s="254"/>
      <c r="O650" s="492"/>
      <c r="P650" s="254"/>
      <c r="Q650" s="492"/>
      <c r="R650" s="254"/>
      <c r="S650" s="514"/>
      <c r="T650" s="514"/>
      <c r="U650" s="492"/>
      <c r="V650" s="254"/>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row>
    <row r="651">
      <c r="A651" s="492"/>
      <c r="B651" s="254"/>
      <c r="C651" s="492"/>
      <c r="D651" s="254"/>
      <c r="E651" s="492"/>
      <c r="F651" s="254"/>
      <c r="G651" s="492"/>
      <c r="H651" s="254"/>
      <c r="I651" s="492"/>
      <c r="J651" s="254"/>
      <c r="K651" s="492"/>
      <c r="L651" s="254"/>
      <c r="M651" s="492"/>
      <c r="N651" s="254"/>
      <c r="O651" s="492"/>
      <c r="P651" s="254"/>
      <c r="Q651" s="492"/>
      <c r="R651" s="254"/>
      <c r="S651" s="514"/>
      <c r="T651" s="514"/>
      <c r="U651" s="492"/>
      <c r="V651" s="254"/>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row>
    <row r="652">
      <c r="A652" s="492"/>
      <c r="B652" s="254"/>
      <c r="C652" s="492"/>
      <c r="D652" s="254"/>
      <c r="E652" s="492"/>
      <c r="F652" s="254"/>
      <c r="G652" s="492"/>
      <c r="H652" s="254"/>
      <c r="I652" s="492"/>
      <c r="J652" s="254"/>
      <c r="K652" s="492"/>
      <c r="L652" s="254"/>
      <c r="M652" s="492"/>
      <c r="N652" s="254"/>
      <c r="O652" s="492"/>
      <c r="P652" s="254"/>
      <c r="Q652" s="492"/>
      <c r="R652" s="254"/>
      <c r="S652" s="514"/>
      <c r="T652" s="514"/>
      <c r="U652" s="492"/>
      <c r="V652" s="254"/>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row>
    <row r="653">
      <c r="A653" s="492"/>
      <c r="B653" s="254"/>
      <c r="C653" s="492"/>
      <c r="D653" s="254"/>
      <c r="E653" s="492"/>
      <c r="F653" s="254"/>
      <c r="G653" s="492"/>
      <c r="H653" s="254"/>
      <c r="I653" s="492"/>
      <c r="J653" s="254"/>
      <c r="K653" s="492"/>
      <c r="L653" s="254"/>
      <c r="M653" s="492"/>
      <c r="N653" s="254"/>
      <c r="O653" s="492"/>
      <c r="P653" s="254"/>
      <c r="Q653" s="492"/>
      <c r="R653" s="254"/>
      <c r="S653" s="514"/>
      <c r="T653" s="514"/>
      <c r="U653" s="492"/>
      <c r="V653" s="254"/>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row>
    <row r="654">
      <c r="A654" s="492"/>
      <c r="B654" s="254"/>
      <c r="C654" s="492"/>
      <c r="D654" s="254"/>
      <c r="E654" s="492"/>
      <c r="F654" s="254"/>
      <c r="G654" s="492"/>
      <c r="H654" s="254"/>
      <c r="I654" s="492"/>
      <c r="J654" s="254"/>
      <c r="K654" s="492"/>
      <c r="L654" s="254"/>
      <c r="M654" s="492"/>
      <c r="N654" s="254"/>
      <c r="O654" s="492"/>
      <c r="P654" s="254"/>
      <c r="Q654" s="492"/>
      <c r="R654" s="254"/>
      <c r="S654" s="514"/>
      <c r="T654" s="514"/>
      <c r="U654" s="492"/>
      <c r="V654" s="254"/>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row>
    <row r="655">
      <c r="A655" s="492"/>
      <c r="B655" s="254"/>
      <c r="C655" s="492"/>
      <c r="D655" s="254"/>
      <c r="E655" s="492"/>
      <c r="F655" s="254"/>
      <c r="G655" s="492"/>
      <c r="H655" s="254"/>
      <c r="I655" s="492"/>
      <c r="J655" s="254"/>
      <c r="K655" s="492"/>
      <c r="L655" s="254"/>
      <c r="M655" s="492"/>
      <c r="N655" s="254"/>
      <c r="O655" s="492"/>
      <c r="P655" s="254"/>
      <c r="Q655" s="492"/>
      <c r="R655" s="254"/>
      <c r="S655" s="514"/>
      <c r="T655" s="514"/>
      <c r="U655" s="492"/>
      <c r="V655" s="254"/>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row>
    <row r="656">
      <c r="A656" s="492"/>
      <c r="B656" s="254"/>
      <c r="C656" s="492"/>
      <c r="D656" s="254"/>
      <c r="E656" s="492"/>
      <c r="F656" s="254"/>
      <c r="G656" s="492"/>
      <c r="H656" s="254"/>
      <c r="I656" s="492"/>
      <c r="J656" s="254"/>
      <c r="K656" s="492"/>
      <c r="L656" s="254"/>
      <c r="M656" s="492"/>
      <c r="N656" s="254"/>
      <c r="O656" s="492"/>
      <c r="P656" s="254"/>
      <c r="Q656" s="492"/>
      <c r="R656" s="254"/>
      <c r="S656" s="514"/>
      <c r="T656" s="514"/>
      <c r="U656" s="492"/>
      <c r="V656" s="254"/>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row>
    <row r="657">
      <c r="A657" s="492"/>
      <c r="B657" s="254"/>
      <c r="C657" s="492"/>
      <c r="D657" s="254"/>
      <c r="E657" s="492"/>
      <c r="F657" s="254"/>
      <c r="G657" s="492"/>
      <c r="H657" s="254"/>
      <c r="I657" s="492"/>
      <c r="J657" s="254"/>
      <c r="K657" s="492"/>
      <c r="L657" s="254"/>
      <c r="M657" s="492"/>
      <c r="N657" s="254"/>
      <c r="O657" s="492"/>
      <c r="P657" s="254"/>
      <c r="Q657" s="492"/>
      <c r="R657" s="254"/>
      <c r="S657" s="514"/>
      <c r="T657" s="514"/>
      <c r="U657" s="492"/>
      <c r="V657" s="254"/>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row>
    <row r="658">
      <c r="A658" s="492"/>
      <c r="B658" s="254"/>
      <c r="C658" s="492"/>
      <c r="D658" s="254"/>
      <c r="E658" s="492"/>
      <c r="F658" s="254"/>
      <c r="G658" s="492"/>
      <c r="H658" s="254"/>
      <c r="I658" s="492"/>
      <c r="J658" s="254"/>
      <c r="K658" s="492"/>
      <c r="L658" s="254"/>
      <c r="M658" s="492"/>
      <c r="N658" s="254"/>
      <c r="O658" s="492"/>
      <c r="P658" s="254"/>
      <c r="Q658" s="492"/>
      <c r="R658" s="254"/>
      <c r="S658" s="514"/>
      <c r="T658" s="514"/>
      <c r="U658" s="492"/>
      <c r="V658" s="254"/>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row>
    <row r="659">
      <c r="A659" s="492"/>
      <c r="B659" s="254"/>
      <c r="C659" s="492"/>
      <c r="D659" s="254"/>
      <c r="E659" s="492"/>
      <c r="F659" s="254"/>
      <c r="G659" s="492"/>
      <c r="H659" s="254"/>
      <c r="I659" s="492"/>
      <c r="J659" s="254"/>
      <c r="K659" s="492"/>
      <c r="L659" s="254"/>
      <c r="M659" s="492"/>
      <c r="N659" s="254"/>
      <c r="O659" s="492"/>
      <c r="P659" s="254"/>
      <c r="Q659" s="492"/>
      <c r="R659" s="254"/>
      <c r="S659" s="514"/>
      <c r="T659" s="514"/>
      <c r="U659" s="492"/>
      <c r="V659" s="254"/>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row>
    <row r="660">
      <c r="A660" s="492"/>
      <c r="B660" s="254"/>
      <c r="C660" s="492"/>
      <c r="D660" s="254"/>
      <c r="E660" s="492"/>
      <c r="F660" s="254"/>
      <c r="G660" s="492"/>
      <c r="H660" s="254"/>
      <c r="I660" s="492"/>
      <c r="J660" s="254"/>
      <c r="K660" s="492"/>
      <c r="L660" s="254"/>
      <c r="M660" s="492"/>
      <c r="N660" s="254"/>
      <c r="O660" s="492"/>
      <c r="P660" s="254"/>
      <c r="Q660" s="492"/>
      <c r="R660" s="254"/>
      <c r="S660" s="514"/>
      <c r="T660" s="514"/>
      <c r="U660" s="492"/>
      <c r="V660" s="254"/>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row>
    <row r="661">
      <c r="A661" s="492"/>
      <c r="B661" s="254"/>
      <c r="C661" s="492"/>
      <c r="D661" s="254"/>
      <c r="E661" s="492"/>
      <c r="F661" s="254"/>
      <c r="G661" s="492"/>
      <c r="H661" s="254"/>
      <c r="I661" s="492"/>
      <c r="J661" s="254"/>
      <c r="K661" s="492"/>
      <c r="L661" s="254"/>
      <c r="M661" s="492"/>
      <c r="N661" s="254"/>
      <c r="O661" s="492"/>
      <c r="P661" s="254"/>
      <c r="Q661" s="492"/>
      <c r="R661" s="254"/>
      <c r="S661" s="514"/>
      <c r="T661" s="514"/>
      <c r="U661" s="492"/>
      <c r="V661" s="254"/>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row>
    <row r="662">
      <c r="A662" s="492"/>
      <c r="B662" s="254"/>
      <c r="C662" s="492"/>
      <c r="D662" s="254"/>
      <c r="E662" s="492"/>
      <c r="F662" s="254"/>
      <c r="G662" s="492"/>
      <c r="H662" s="254"/>
      <c r="I662" s="492"/>
      <c r="J662" s="254"/>
      <c r="K662" s="492"/>
      <c r="L662" s="254"/>
      <c r="M662" s="492"/>
      <c r="N662" s="254"/>
      <c r="O662" s="492"/>
      <c r="P662" s="254"/>
      <c r="Q662" s="492"/>
      <c r="R662" s="254"/>
      <c r="S662" s="514"/>
      <c r="T662" s="514"/>
      <c r="U662" s="492"/>
      <c r="V662" s="254"/>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row>
    <row r="663">
      <c r="A663" s="492"/>
      <c r="B663" s="254"/>
      <c r="C663" s="492"/>
      <c r="D663" s="254"/>
      <c r="E663" s="492"/>
      <c r="F663" s="254"/>
      <c r="G663" s="492"/>
      <c r="H663" s="254"/>
      <c r="I663" s="492"/>
      <c r="J663" s="254"/>
      <c r="K663" s="492"/>
      <c r="L663" s="254"/>
      <c r="M663" s="492"/>
      <c r="N663" s="254"/>
      <c r="O663" s="492"/>
      <c r="P663" s="254"/>
      <c r="Q663" s="492"/>
      <c r="R663" s="254"/>
      <c r="S663" s="514"/>
      <c r="T663" s="514"/>
      <c r="U663" s="492"/>
      <c r="V663" s="254"/>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row>
    <row r="664">
      <c r="A664" s="492"/>
      <c r="B664" s="254"/>
      <c r="C664" s="492"/>
      <c r="D664" s="254"/>
      <c r="E664" s="492"/>
      <c r="F664" s="254"/>
      <c r="G664" s="492"/>
      <c r="H664" s="254"/>
      <c r="I664" s="492"/>
      <c r="J664" s="254"/>
      <c r="K664" s="492"/>
      <c r="L664" s="254"/>
      <c r="M664" s="492"/>
      <c r="N664" s="254"/>
      <c r="O664" s="492"/>
      <c r="P664" s="254"/>
      <c r="Q664" s="492"/>
      <c r="R664" s="254"/>
      <c r="S664" s="514"/>
      <c r="T664" s="514"/>
      <c r="U664" s="492"/>
      <c r="V664" s="254"/>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row>
    <row r="665">
      <c r="A665" s="492"/>
      <c r="B665" s="254"/>
      <c r="C665" s="492"/>
      <c r="D665" s="254"/>
      <c r="E665" s="492"/>
      <c r="F665" s="254"/>
      <c r="G665" s="492"/>
      <c r="H665" s="254"/>
      <c r="I665" s="492"/>
      <c r="J665" s="254"/>
      <c r="K665" s="492"/>
      <c r="L665" s="254"/>
      <c r="M665" s="492"/>
      <c r="N665" s="254"/>
      <c r="O665" s="492"/>
      <c r="P665" s="254"/>
      <c r="Q665" s="492"/>
      <c r="R665" s="254"/>
      <c r="S665" s="514"/>
      <c r="T665" s="514"/>
      <c r="U665" s="492"/>
      <c r="V665" s="254"/>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row>
    <row r="666">
      <c r="A666" s="492"/>
      <c r="B666" s="254"/>
      <c r="C666" s="492"/>
      <c r="D666" s="254"/>
      <c r="E666" s="492"/>
      <c r="F666" s="254"/>
      <c r="G666" s="492"/>
      <c r="H666" s="254"/>
      <c r="I666" s="492"/>
      <c r="J666" s="254"/>
      <c r="K666" s="492"/>
      <c r="L666" s="254"/>
      <c r="M666" s="492"/>
      <c r="N666" s="254"/>
      <c r="O666" s="492"/>
      <c r="P666" s="254"/>
      <c r="Q666" s="492"/>
      <c r="R666" s="254"/>
      <c r="S666" s="514"/>
      <c r="T666" s="514"/>
      <c r="U666" s="492"/>
      <c r="V666" s="254"/>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row>
    <row r="667">
      <c r="A667" s="492"/>
      <c r="B667" s="254"/>
      <c r="C667" s="492"/>
      <c r="D667" s="254"/>
      <c r="E667" s="492"/>
      <c r="F667" s="254"/>
      <c r="G667" s="492"/>
      <c r="H667" s="254"/>
      <c r="I667" s="492"/>
      <c r="J667" s="254"/>
      <c r="K667" s="492"/>
      <c r="L667" s="254"/>
      <c r="M667" s="492"/>
      <c r="N667" s="254"/>
      <c r="O667" s="492"/>
      <c r="P667" s="254"/>
      <c r="Q667" s="492"/>
      <c r="R667" s="254"/>
      <c r="S667" s="514"/>
      <c r="T667" s="514"/>
      <c r="U667" s="492"/>
      <c r="V667" s="254"/>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row>
    <row r="668">
      <c r="A668" s="492"/>
      <c r="B668" s="254"/>
      <c r="C668" s="492"/>
      <c r="D668" s="254"/>
      <c r="E668" s="492"/>
      <c r="F668" s="254"/>
      <c r="G668" s="492"/>
      <c r="H668" s="254"/>
      <c r="I668" s="492"/>
      <c r="J668" s="254"/>
      <c r="K668" s="492"/>
      <c r="L668" s="254"/>
      <c r="M668" s="492"/>
      <c r="N668" s="254"/>
      <c r="O668" s="492"/>
      <c r="P668" s="254"/>
      <c r="Q668" s="492"/>
      <c r="R668" s="254"/>
      <c r="S668" s="514"/>
      <c r="T668" s="514"/>
      <c r="U668" s="492"/>
      <c r="V668" s="254"/>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row>
    <row r="669">
      <c r="A669" s="492"/>
      <c r="B669" s="254"/>
      <c r="C669" s="492"/>
      <c r="D669" s="254"/>
      <c r="E669" s="492"/>
      <c r="F669" s="254"/>
      <c r="G669" s="492"/>
      <c r="H669" s="254"/>
      <c r="I669" s="492"/>
      <c r="J669" s="254"/>
      <c r="K669" s="492"/>
      <c r="L669" s="254"/>
      <c r="M669" s="492"/>
      <c r="N669" s="254"/>
      <c r="O669" s="492"/>
      <c r="P669" s="254"/>
      <c r="Q669" s="492"/>
      <c r="R669" s="254"/>
      <c r="S669" s="514"/>
      <c r="T669" s="514"/>
      <c r="U669" s="492"/>
      <c r="V669" s="254"/>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row>
    <row r="670">
      <c r="A670" s="492"/>
      <c r="B670" s="254"/>
      <c r="C670" s="492"/>
      <c r="D670" s="254"/>
      <c r="E670" s="492"/>
      <c r="F670" s="254"/>
      <c r="G670" s="492"/>
      <c r="H670" s="254"/>
      <c r="I670" s="492"/>
      <c r="J670" s="254"/>
      <c r="K670" s="492"/>
      <c r="L670" s="254"/>
      <c r="M670" s="492"/>
      <c r="N670" s="254"/>
      <c r="O670" s="492"/>
      <c r="P670" s="254"/>
      <c r="Q670" s="492"/>
      <c r="R670" s="254"/>
      <c r="S670" s="514"/>
      <c r="T670" s="514"/>
      <c r="U670" s="492"/>
      <c r="V670" s="254"/>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row>
    <row r="671">
      <c r="A671" s="492"/>
      <c r="B671" s="254"/>
      <c r="C671" s="492"/>
      <c r="D671" s="254"/>
      <c r="E671" s="492"/>
      <c r="F671" s="254"/>
      <c r="G671" s="492"/>
      <c r="H671" s="254"/>
      <c r="I671" s="492"/>
      <c r="J671" s="254"/>
      <c r="K671" s="492"/>
      <c r="L671" s="254"/>
      <c r="M671" s="492"/>
      <c r="N671" s="254"/>
      <c r="O671" s="492"/>
      <c r="P671" s="254"/>
      <c r="Q671" s="492"/>
      <c r="R671" s="254"/>
      <c r="S671" s="514"/>
      <c r="T671" s="514"/>
      <c r="U671" s="492"/>
      <c r="V671" s="254"/>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row>
    <row r="672">
      <c r="A672" s="492"/>
      <c r="B672" s="254"/>
      <c r="C672" s="492"/>
      <c r="D672" s="254"/>
      <c r="E672" s="492"/>
      <c r="F672" s="254"/>
      <c r="G672" s="492"/>
      <c r="H672" s="254"/>
      <c r="I672" s="492"/>
      <c r="J672" s="254"/>
      <c r="K672" s="492"/>
      <c r="L672" s="254"/>
      <c r="M672" s="492"/>
      <c r="N672" s="254"/>
      <c r="O672" s="492"/>
      <c r="P672" s="254"/>
      <c r="Q672" s="492"/>
      <c r="R672" s="254"/>
      <c r="S672" s="514"/>
      <c r="T672" s="514"/>
      <c r="U672" s="492"/>
      <c r="V672" s="254"/>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row>
    <row r="673">
      <c r="A673" s="492"/>
      <c r="B673" s="254"/>
      <c r="C673" s="492"/>
      <c r="D673" s="254"/>
      <c r="E673" s="492"/>
      <c r="F673" s="254"/>
      <c r="G673" s="492"/>
      <c r="H673" s="254"/>
      <c r="I673" s="492"/>
      <c r="J673" s="254"/>
      <c r="K673" s="492"/>
      <c r="L673" s="254"/>
      <c r="M673" s="492"/>
      <c r="N673" s="254"/>
      <c r="O673" s="492"/>
      <c r="P673" s="254"/>
      <c r="Q673" s="492"/>
      <c r="R673" s="254"/>
      <c r="S673" s="514"/>
      <c r="T673" s="514"/>
      <c r="U673" s="492"/>
      <c r="V673" s="254"/>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row>
    <row r="674">
      <c r="A674" s="492"/>
      <c r="B674" s="254"/>
      <c r="C674" s="492"/>
      <c r="D674" s="254"/>
      <c r="E674" s="492"/>
      <c r="F674" s="254"/>
      <c r="G674" s="492"/>
      <c r="H674" s="254"/>
      <c r="I674" s="492"/>
      <c r="J674" s="254"/>
      <c r="K674" s="492"/>
      <c r="L674" s="254"/>
      <c r="M674" s="492"/>
      <c r="N674" s="254"/>
      <c r="O674" s="492"/>
      <c r="P674" s="254"/>
      <c r="Q674" s="492"/>
      <c r="R674" s="254"/>
      <c r="S674" s="514"/>
      <c r="T674" s="514"/>
      <c r="U674" s="492"/>
      <c r="V674" s="254"/>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row>
    <row r="675">
      <c r="A675" s="492"/>
      <c r="B675" s="254"/>
      <c r="C675" s="492"/>
      <c r="D675" s="254"/>
      <c r="E675" s="492"/>
      <c r="F675" s="254"/>
      <c r="G675" s="492"/>
      <c r="H675" s="254"/>
      <c r="I675" s="492"/>
      <c r="J675" s="254"/>
      <c r="K675" s="492"/>
      <c r="L675" s="254"/>
      <c r="M675" s="492"/>
      <c r="N675" s="254"/>
      <c r="O675" s="492"/>
      <c r="P675" s="254"/>
      <c r="Q675" s="492"/>
      <c r="R675" s="254"/>
      <c r="S675" s="514"/>
      <c r="T675" s="514"/>
      <c r="U675" s="492"/>
      <c r="V675" s="254"/>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row>
    <row r="676">
      <c r="A676" s="492"/>
      <c r="B676" s="254"/>
      <c r="C676" s="492"/>
      <c r="D676" s="254"/>
      <c r="E676" s="492"/>
      <c r="F676" s="254"/>
      <c r="G676" s="492"/>
      <c r="H676" s="254"/>
      <c r="I676" s="492"/>
      <c r="J676" s="254"/>
      <c r="K676" s="492"/>
      <c r="L676" s="254"/>
      <c r="M676" s="492"/>
      <c r="N676" s="254"/>
      <c r="O676" s="492"/>
      <c r="P676" s="254"/>
      <c r="Q676" s="492"/>
      <c r="R676" s="254"/>
      <c r="S676" s="514"/>
      <c r="T676" s="514"/>
      <c r="U676" s="492"/>
      <c r="V676" s="254"/>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row>
    <row r="677">
      <c r="A677" s="492"/>
      <c r="B677" s="254"/>
      <c r="C677" s="492"/>
      <c r="D677" s="254"/>
      <c r="E677" s="492"/>
      <c r="F677" s="254"/>
      <c r="G677" s="492"/>
      <c r="H677" s="254"/>
      <c r="I677" s="492"/>
      <c r="J677" s="254"/>
      <c r="K677" s="492"/>
      <c r="L677" s="254"/>
      <c r="M677" s="492"/>
      <c r="N677" s="254"/>
      <c r="O677" s="492"/>
      <c r="P677" s="254"/>
      <c r="Q677" s="492"/>
      <c r="R677" s="254"/>
      <c r="S677" s="514"/>
      <c r="T677" s="514"/>
      <c r="U677" s="492"/>
      <c r="V677" s="254"/>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row>
    <row r="678">
      <c r="A678" s="492"/>
      <c r="B678" s="254"/>
      <c r="C678" s="492"/>
      <c r="D678" s="254"/>
      <c r="E678" s="492"/>
      <c r="F678" s="254"/>
      <c r="G678" s="492"/>
      <c r="H678" s="254"/>
      <c r="I678" s="492"/>
      <c r="J678" s="254"/>
      <c r="K678" s="492"/>
      <c r="L678" s="254"/>
      <c r="M678" s="492"/>
      <c r="N678" s="254"/>
      <c r="O678" s="492"/>
      <c r="P678" s="254"/>
      <c r="Q678" s="492"/>
      <c r="R678" s="254"/>
      <c r="S678" s="514"/>
      <c r="T678" s="514"/>
      <c r="U678" s="492"/>
      <c r="V678" s="254"/>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row>
    <row r="679">
      <c r="A679" s="492"/>
      <c r="B679" s="254"/>
      <c r="C679" s="492"/>
      <c r="D679" s="254"/>
      <c r="E679" s="492"/>
      <c r="F679" s="254"/>
      <c r="G679" s="492"/>
      <c r="H679" s="254"/>
      <c r="I679" s="492"/>
      <c r="J679" s="254"/>
      <c r="K679" s="492"/>
      <c r="L679" s="254"/>
      <c r="M679" s="492"/>
      <c r="N679" s="254"/>
      <c r="O679" s="492"/>
      <c r="P679" s="254"/>
      <c r="Q679" s="492"/>
      <c r="R679" s="254"/>
      <c r="S679" s="514"/>
      <c r="T679" s="514"/>
      <c r="U679" s="492"/>
      <c r="V679" s="254"/>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row>
    <row r="680">
      <c r="A680" s="492"/>
      <c r="B680" s="254"/>
      <c r="C680" s="492"/>
      <c r="D680" s="254"/>
      <c r="E680" s="492"/>
      <c r="F680" s="254"/>
      <c r="G680" s="492"/>
      <c r="H680" s="254"/>
      <c r="I680" s="492"/>
      <c r="J680" s="254"/>
      <c r="K680" s="492"/>
      <c r="L680" s="254"/>
      <c r="M680" s="492"/>
      <c r="N680" s="254"/>
      <c r="O680" s="492"/>
      <c r="P680" s="254"/>
      <c r="Q680" s="492"/>
      <c r="R680" s="254"/>
      <c r="S680" s="514"/>
      <c r="T680" s="514"/>
      <c r="U680" s="492"/>
      <c r="V680" s="254"/>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row>
    <row r="681">
      <c r="A681" s="492"/>
      <c r="B681" s="254"/>
      <c r="C681" s="492"/>
      <c r="D681" s="254"/>
      <c r="E681" s="492"/>
      <c r="F681" s="254"/>
      <c r="G681" s="492"/>
      <c r="H681" s="254"/>
      <c r="I681" s="492"/>
      <c r="J681" s="254"/>
      <c r="K681" s="492"/>
      <c r="L681" s="254"/>
      <c r="M681" s="492"/>
      <c r="N681" s="254"/>
      <c r="O681" s="492"/>
      <c r="P681" s="254"/>
      <c r="Q681" s="492"/>
      <c r="R681" s="254"/>
      <c r="S681" s="514"/>
      <c r="T681" s="514"/>
      <c r="U681" s="492"/>
      <c r="V681" s="254"/>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row>
    <row r="682">
      <c r="A682" s="492"/>
      <c r="B682" s="254"/>
      <c r="C682" s="492"/>
      <c r="D682" s="254"/>
      <c r="E682" s="492"/>
      <c r="F682" s="254"/>
      <c r="G682" s="492"/>
      <c r="H682" s="254"/>
      <c r="I682" s="492"/>
      <c r="J682" s="254"/>
      <c r="K682" s="492"/>
      <c r="L682" s="254"/>
      <c r="M682" s="492"/>
      <c r="N682" s="254"/>
      <c r="O682" s="492"/>
      <c r="P682" s="254"/>
      <c r="Q682" s="492"/>
      <c r="R682" s="254"/>
      <c r="S682" s="514"/>
      <c r="T682" s="514"/>
      <c r="U682" s="492"/>
      <c r="V682" s="254"/>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row>
    <row r="683">
      <c r="A683" s="492"/>
      <c r="B683" s="254"/>
      <c r="C683" s="492"/>
      <c r="D683" s="254"/>
      <c r="E683" s="492"/>
      <c r="F683" s="254"/>
      <c r="G683" s="492"/>
      <c r="H683" s="254"/>
      <c r="I683" s="492"/>
      <c r="J683" s="254"/>
      <c r="K683" s="492"/>
      <c r="L683" s="254"/>
      <c r="M683" s="492"/>
      <c r="N683" s="254"/>
      <c r="O683" s="492"/>
      <c r="P683" s="254"/>
      <c r="Q683" s="492"/>
      <c r="R683" s="254"/>
      <c r="S683" s="514"/>
      <c r="T683" s="514"/>
      <c r="U683" s="492"/>
      <c r="V683" s="254"/>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row>
    <row r="684">
      <c r="A684" s="492"/>
      <c r="B684" s="254"/>
      <c r="C684" s="492"/>
      <c r="D684" s="254"/>
      <c r="E684" s="492"/>
      <c r="F684" s="254"/>
      <c r="G684" s="492"/>
      <c r="H684" s="254"/>
      <c r="I684" s="492"/>
      <c r="J684" s="254"/>
      <c r="K684" s="492"/>
      <c r="L684" s="254"/>
      <c r="M684" s="492"/>
      <c r="N684" s="254"/>
      <c r="O684" s="492"/>
      <c r="P684" s="254"/>
      <c r="Q684" s="492"/>
      <c r="R684" s="254"/>
      <c r="S684" s="514"/>
      <c r="T684" s="514"/>
      <c r="U684" s="492"/>
      <c r="V684" s="254"/>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row>
    <row r="685">
      <c r="A685" s="492"/>
      <c r="B685" s="254"/>
      <c r="C685" s="492"/>
      <c r="D685" s="254"/>
      <c r="E685" s="492"/>
      <c r="F685" s="254"/>
      <c r="G685" s="492"/>
      <c r="H685" s="254"/>
      <c r="I685" s="492"/>
      <c r="J685" s="254"/>
      <c r="K685" s="492"/>
      <c r="L685" s="254"/>
      <c r="M685" s="492"/>
      <c r="N685" s="254"/>
      <c r="O685" s="492"/>
      <c r="P685" s="254"/>
      <c r="Q685" s="492"/>
      <c r="R685" s="254"/>
      <c r="S685" s="514"/>
      <c r="T685" s="514"/>
      <c r="U685" s="492"/>
      <c r="V685" s="254"/>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row>
    <row r="686">
      <c r="A686" s="492"/>
      <c r="B686" s="254"/>
      <c r="C686" s="492"/>
      <c r="D686" s="254"/>
      <c r="E686" s="492"/>
      <c r="F686" s="254"/>
      <c r="G686" s="492"/>
      <c r="H686" s="254"/>
      <c r="I686" s="492"/>
      <c r="J686" s="254"/>
      <c r="K686" s="492"/>
      <c r="L686" s="254"/>
      <c r="M686" s="492"/>
      <c r="N686" s="254"/>
      <c r="O686" s="492"/>
      <c r="P686" s="254"/>
      <c r="Q686" s="492"/>
      <c r="R686" s="254"/>
      <c r="S686" s="514"/>
      <c r="T686" s="514"/>
      <c r="U686" s="492"/>
      <c r="V686" s="254"/>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row>
    <row r="687">
      <c r="A687" s="492"/>
      <c r="B687" s="254"/>
      <c r="C687" s="492"/>
      <c r="D687" s="254"/>
      <c r="E687" s="492"/>
      <c r="F687" s="254"/>
      <c r="G687" s="492"/>
      <c r="H687" s="254"/>
      <c r="I687" s="492"/>
      <c r="J687" s="254"/>
      <c r="K687" s="492"/>
      <c r="L687" s="254"/>
      <c r="M687" s="492"/>
      <c r="N687" s="254"/>
      <c r="O687" s="492"/>
      <c r="P687" s="254"/>
      <c r="Q687" s="492"/>
      <c r="R687" s="254"/>
      <c r="S687" s="514"/>
      <c r="T687" s="514"/>
      <c r="U687" s="492"/>
      <c r="V687" s="254"/>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row>
    <row r="688">
      <c r="A688" s="492"/>
      <c r="B688" s="254"/>
      <c r="C688" s="492"/>
      <c r="D688" s="254"/>
      <c r="E688" s="492"/>
      <c r="F688" s="254"/>
      <c r="G688" s="492"/>
      <c r="H688" s="254"/>
      <c r="I688" s="492"/>
      <c r="J688" s="254"/>
      <c r="K688" s="492"/>
      <c r="L688" s="254"/>
      <c r="M688" s="492"/>
      <c r="N688" s="254"/>
      <c r="O688" s="492"/>
      <c r="P688" s="254"/>
      <c r="Q688" s="492"/>
      <c r="R688" s="254"/>
      <c r="S688" s="514"/>
      <c r="T688" s="514"/>
      <c r="U688" s="492"/>
      <c r="V688" s="254"/>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row>
    <row r="689">
      <c r="A689" s="492"/>
      <c r="B689" s="254"/>
      <c r="C689" s="492"/>
      <c r="D689" s="254"/>
      <c r="E689" s="492"/>
      <c r="F689" s="254"/>
      <c r="G689" s="492"/>
      <c r="H689" s="254"/>
      <c r="I689" s="492"/>
      <c r="J689" s="254"/>
      <c r="K689" s="492"/>
      <c r="L689" s="254"/>
      <c r="M689" s="492"/>
      <c r="N689" s="254"/>
      <c r="O689" s="492"/>
      <c r="P689" s="254"/>
      <c r="Q689" s="492"/>
      <c r="R689" s="254"/>
      <c r="S689" s="514"/>
      <c r="T689" s="514"/>
      <c r="U689" s="492"/>
      <c r="V689" s="254"/>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row>
    <row r="690">
      <c r="A690" s="492"/>
      <c r="B690" s="254"/>
      <c r="C690" s="492"/>
      <c r="D690" s="254"/>
      <c r="E690" s="492"/>
      <c r="F690" s="254"/>
      <c r="G690" s="492"/>
      <c r="H690" s="254"/>
      <c r="I690" s="492"/>
      <c r="J690" s="254"/>
      <c r="K690" s="492"/>
      <c r="L690" s="254"/>
      <c r="M690" s="492"/>
      <c r="N690" s="254"/>
      <c r="O690" s="492"/>
      <c r="P690" s="254"/>
      <c r="Q690" s="492"/>
      <c r="R690" s="254"/>
      <c r="S690" s="514"/>
      <c r="T690" s="514"/>
      <c r="U690" s="492"/>
      <c r="V690" s="254"/>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row>
    <row r="691">
      <c r="A691" s="492"/>
      <c r="B691" s="254"/>
      <c r="C691" s="492"/>
      <c r="D691" s="254"/>
      <c r="E691" s="492"/>
      <c r="F691" s="254"/>
      <c r="G691" s="492"/>
      <c r="H691" s="254"/>
      <c r="I691" s="492"/>
      <c r="J691" s="254"/>
      <c r="K691" s="492"/>
      <c r="L691" s="254"/>
      <c r="M691" s="492"/>
      <c r="N691" s="254"/>
      <c r="O691" s="492"/>
      <c r="P691" s="254"/>
      <c r="Q691" s="492"/>
      <c r="R691" s="254"/>
      <c r="S691" s="514"/>
      <c r="T691" s="514"/>
      <c r="U691" s="492"/>
      <c r="V691" s="254"/>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row>
    <row r="692">
      <c r="A692" s="492"/>
      <c r="B692" s="254"/>
      <c r="C692" s="492"/>
      <c r="D692" s="254"/>
      <c r="E692" s="492"/>
      <c r="F692" s="254"/>
      <c r="G692" s="492"/>
      <c r="H692" s="254"/>
      <c r="I692" s="492"/>
      <c r="J692" s="254"/>
      <c r="K692" s="492"/>
      <c r="L692" s="254"/>
      <c r="M692" s="492"/>
      <c r="N692" s="254"/>
      <c r="O692" s="492"/>
      <c r="P692" s="254"/>
      <c r="Q692" s="492"/>
      <c r="R692" s="254"/>
      <c r="S692" s="514"/>
      <c r="T692" s="514"/>
      <c r="U692" s="492"/>
      <c r="V692" s="254"/>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row>
    <row r="693">
      <c r="A693" s="492"/>
      <c r="B693" s="254"/>
      <c r="C693" s="492"/>
      <c r="D693" s="254"/>
      <c r="E693" s="492"/>
      <c r="F693" s="254"/>
      <c r="G693" s="492"/>
      <c r="H693" s="254"/>
      <c r="I693" s="492"/>
      <c r="J693" s="254"/>
      <c r="K693" s="492"/>
      <c r="L693" s="254"/>
      <c r="M693" s="492"/>
      <c r="N693" s="254"/>
      <c r="O693" s="492"/>
      <c r="P693" s="254"/>
      <c r="Q693" s="492"/>
      <c r="R693" s="254"/>
      <c r="S693" s="514"/>
      <c r="T693" s="514"/>
      <c r="U693" s="492"/>
      <c r="V693" s="254"/>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row>
    <row r="694">
      <c r="A694" s="492"/>
      <c r="B694" s="254"/>
      <c r="C694" s="492"/>
      <c r="D694" s="254"/>
      <c r="E694" s="492"/>
      <c r="F694" s="254"/>
      <c r="G694" s="492"/>
      <c r="H694" s="254"/>
      <c r="I694" s="492"/>
      <c r="J694" s="254"/>
      <c r="K694" s="492"/>
      <c r="L694" s="254"/>
      <c r="M694" s="492"/>
      <c r="N694" s="254"/>
      <c r="O694" s="492"/>
      <c r="P694" s="254"/>
      <c r="Q694" s="492"/>
      <c r="R694" s="254"/>
      <c r="S694" s="514"/>
      <c r="T694" s="514"/>
      <c r="U694" s="492"/>
      <c r="V694" s="254"/>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row>
    <row r="695">
      <c r="A695" s="492"/>
      <c r="B695" s="254"/>
      <c r="C695" s="492"/>
      <c r="D695" s="254"/>
      <c r="E695" s="492"/>
      <c r="F695" s="254"/>
      <c r="G695" s="492"/>
      <c r="H695" s="254"/>
      <c r="I695" s="492"/>
      <c r="J695" s="254"/>
      <c r="K695" s="492"/>
      <c r="L695" s="254"/>
      <c r="M695" s="492"/>
      <c r="N695" s="254"/>
      <c r="O695" s="492"/>
      <c r="P695" s="254"/>
      <c r="Q695" s="492"/>
      <c r="R695" s="254"/>
      <c r="S695" s="514"/>
      <c r="T695" s="514"/>
      <c r="U695" s="492"/>
      <c r="V695" s="254"/>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row>
    <row r="696">
      <c r="A696" s="492"/>
      <c r="B696" s="254"/>
      <c r="C696" s="492"/>
      <c r="D696" s="254"/>
      <c r="E696" s="492"/>
      <c r="F696" s="254"/>
      <c r="G696" s="492"/>
      <c r="H696" s="254"/>
      <c r="I696" s="492"/>
      <c r="J696" s="254"/>
      <c r="K696" s="492"/>
      <c r="L696" s="254"/>
      <c r="M696" s="492"/>
      <c r="N696" s="254"/>
      <c r="O696" s="492"/>
      <c r="P696" s="254"/>
      <c r="Q696" s="492"/>
      <c r="R696" s="254"/>
      <c r="S696" s="514"/>
      <c r="T696" s="514"/>
      <c r="U696" s="492"/>
      <c r="V696" s="254"/>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row>
    <row r="697">
      <c r="A697" s="492"/>
      <c r="B697" s="254"/>
      <c r="C697" s="492"/>
      <c r="D697" s="254"/>
      <c r="E697" s="492"/>
      <c r="F697" s="254"/>
      <c r="G697" s="492"/>
      <c r="H697" s="254"/>
      <c r="I697" s="492"/>
      <c r="J697" s="254"/>
      <c r="K697" s="492"/>
      <c r="L697" s="254"/>
      <c r="M697" s="492"/>
      <c r="N697" s="254"/>
      <c r="O697" s="492"/>
      <c r="P697" s="254"/>
      <c r="Q697" s="492"/>
      <c r="R697" s="254"/>
      <c r="S697" s="514"/>
      <c r="T697" s="514"/>
      <c r="U697" s="492"/>
      <c r="V697" s="254"/>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row>
    <row r="698">
      <c r="A698" s="492"/>
      <c r="B698" s="254"/>
      <c r="C698" s="492"/>
      <c r="D698" s="254"/>
      <c r="E698" s="492"/>
      <c r="F698" s="254"/>
      <c r="G698" s="492"/>
      <c r="H698" s="254"/>
      <c r="I698" s="492"/>
      <c r="J698" s="254"/>
      <c r="K698" s="492"/>
      <c r="L698" s="254"/>
      <c r="M698" s="492"/>
      <c r="N698" s="254"/>
      <c r="O698" s="492"/>
      <c r="P698" s="254"/>
      <c r="Q698" s="492"/>
      <c r="R698" s="254"/>
      <c r="S698" s="514"/>
      <c r="T698" s="514"/>
      <c r="U698" s="492"/>
      <c r="V698" s="254"/>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row>
    <row r="699">
      <c r="A699" s="492"/>
      <c r="B699" s="254"/>
      <c r="C699" s="492"/>
      <c r="D699" s="254"/>
      <c r="E699" s="492"/>
      <c r="F699" s="254"/>
      <c r="G699" s="492"/>
      <c r="H699" s="254"/>
      <c r="I699" s="492"/>
      <c r="J699" s="254"/>
      <c r="K699" s="492"/>
      <c r="L699" s="254"/>
      <c r="M699" s="492"/>
      <c r="N699" s="254"/>
      <c r="O699" s="492"/>
      <c r="P699" s="254"/>
      <c r="Q699" s="492"/>
      <c r="R699" s="254"/>
      <c r="S699" s="514"/>
      <c r="T699" s="514"/>
      <c r="U699" s="492"/>
      <c r="V699" s="254"/>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row>
    <row r="700">
      <c r="A700" s="492"/>
      <c r="B700" s="254"/>
      <c r="C700" s="492"/>
      <c r="D700" s="254"/>
      <c r="E700" s="492"/>
      <c r="F700" s="254"/>
      <c r="G700" s="492"/>
      <c r="H700" s="254"/>
      <c r="I700" s="492"/>
      <c r="J700" s="254"/>
      <c r="K700" s="492"/>
      <c r="L700" s="254"/>
      <c r="M700" s="492"/>
      <c r="N700" s="254"/>
      <c r="O700" s="492"/>
      <c r="P700" s="254"/>
      <c r="Q700" s="492"/>
      <c r="R700" s="254"/>
      <c r="S700" s="514"/>
      <c r="T700" s="514"/>
      <c r="U700" s="492"/>
      <c r="V700" s="254"/>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row>
    <row r="701">
      <c r="A701" s="492"/>
      <c r="B701" s="254"/>
      <c r="C701" s="492"/>
      <c r="D701" s="254"/>
      <c r="E701" s="492"/>
      <c r="F701" s="254"/>
      <c r="G701" s="492"/>
      <c r="H701" s="254"/>
      <c r="I701" s="492"/>
      <c r="J701" s="254"/>
      <c r="K701" s="492"/>
      <c r="L701" s="254"/>
      <c r="M701" s="492"/>
      <c r="N701" s="254"/>
      <c r="O701" s="492"/>
      <c r="P701" s="254"/>
      <c r="Q701" s="492"/>
      <c r="R701" s="254"/>
      <c r="S701" s="514"/>
      <c r="T701" s="514"/>
      <c r="U701" s="492"/>
      <c r="V701" s="254"/>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row>
    <row r="702">
      <c r="A702" s="492"/>
      <c r="B702" s="254"/>
      <c r="C702" s="492"/>
      <c r="D702" s="254"/>
      <c r="E702" s="492"/>
      <c r="F702" s="254"/>
      <c r="G702" s="492"/>
      <c r="H702" s="254"/>
      <c r="I702" s="492"/>
      <c r="J702" s="254"/>
      <c r="K702" s="492"/>
      <c r="L702" s="254"/>
      <c r="M702" s="492"/>
      <c r="N702" s="254"/>
      <c r="O702" s="492"/>
      <c r="P702" s="254"/>
      <c r="Q702" s="492"/>
      <c r="R702" s="254"/>
      <c r="S702" s="514"/>
      <c r="T702" s="514"/>
      <c r="U702" s="492"/>
      <c r="V702" s="254"/>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row>
    <row r="703">
      <c r="A703" s="492"/>
      <c r="B703" s="254"/>
      <c r="C703" s="492"/>
      <c r="D703" s="254"/>
      <c r="E703" s="492"/>
      <c r="F703" s="254"/>
      <c r="G703" s="492"/>
      <c r="H703" s="254"/>
      <c r="I703" s="492"/>
      <c r="J703" s="254"/>
      <c r="K703" s="492"/>
      <c r="L703" s="254"/>
      <c r="M703" s="492"/>
      <c r="N703" s="254"/>
      <c r="O703" s="492"/>
      <c r="P703" s="254"/>
      <c r="Q703" s="492"/>
      <c r="R703" s="254"/>
      <c r="S703" s="514"/>
      <c r="T703" s="514"/>
      <c r="U703" s="492"/>
      <c r="V703" s="254"/>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row>
    <row r="704">
      <c r="A704" s="492"/>
      <c r="B704" s="254"/>
      <c r="C704" s="492"/>
      <c r="D704" s="254"/>
      <c r="E704" s="492"/>
      <c r="F704" s="254"/>
      <c r="G704" s="492"/>
      <c r="H704" s="254"/>
      <c r="I704" s="492"/>
      <c r="J704" s="254"/>
      <c r="K704" s="492"/>
      <c r="L704" s="254"/>
      <c r="M704" s="492"/>
      <c r="N704" s="254"/>
      <c r="O704" s="492"/>
      <c r="P704" s="254"/>
      <c r="Q704" s="492"/>
      <c r="R704" s="254"/>
      <c r="S704" s="514"/>
      <c r="T704" s="514"/>
      <c r="U704" s="492"/>
      <c r="V704" s="254"/>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row>
    <row r="705">
      <c r="A705" s="492"/>
      <c r="B705" s="254"/>
      <c r="C705" s="492"/>
      <c r="D705" s="254"/>
      <c r="E705" s="492"/>
      <c r="F705" s="254"/>
      <c r="G705" s="492"/>
      <c r="H705" s="254"/>
      <c r="I705" s="492"/>
      <c r="J705" s="254"/>
      <c r="K705" s="492"/>
      <c r="L705" s="254"/>
      <c r="M705" s="492"/>
      <c r="N705" s="254"/>
      <c r="O705" s="492"/>
      <c r="P705" s="254"/>
      <c r="Q705" s="492"/>
      <c r="R705" s="254"/>
      <c r="S705" s="514"/>
      <c r="T705" s="514"/>
      <c r="U705" s="492"/>
      <c r="V705" s="254"/>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row>
    <row r="706">
      <c r="A706" s="492"/>
      <c r="B706" s="254"/>
      <c r="C706" s="492"/>
      <c r="D706" s="254"/>
      <c r="E706" s="492"/>
      <c r="F706" s="254"/>
      <c r="G706" s="492"/>
      <c r="H706" s="254"/>
      <c r="I706" s="492"/>
      <c r="J706" s="254"/>
      <c r="K706" s="492"/>
      <c r="L706" s="254"/>
      <c r="M706" s="492"/>
      <c r="N706" s="254"/>
      <c r="O706" s="492"/>
      <c r="P706" s="254"/>
      <c r="Q706" s="492"/>
      <c r="R706" s="254"/>
      <c r="S706" s="514"/>
      <c r="T706" s="514"/>
      <c r="U706" s="492"/>
      <c r="V706" s="254"/>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row>
    <row r="707">
      <c r="A707" s="492"/>
      <c r="B707" s="254"/>
      <c r="C707" s="492"/>
      <c r="D707" s="254"/>
      <c r="E707" s="492"/>
      <c r="F707" s="254"/>
      <c r="G707" s="492"/>
      <c r="H707" s="254"/>
      <c r="I707" s="492"/>
      <c r="J707" s="254"/>
      <c r="K707" s="492"/>
      <c r="L707" s="254"/>
      <c r="M707" s="492"/>
      <c r="N707" s="254"/>
      <c r="O707" s="492"/>
      <c r="P707" s="254"/>
      <c r="Q707" s="492"/>
      <c r="R707" s="254"/>
      <c r="S707" s="514"/>
      <c r="T707" s="514"/>
      <c r="U707" s="492"/>
      <c r="V707" s="254"/>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row>
    <row r="708">
      <c r="A708" s="492"/>
      <c r="B708" s="254"/>
      <c r="C708" s="492"/>
      <c r="D708" s="254"/>
      <c r="E708" s="492"/>
      <c r="F708" s="254"/>
      <c r="G708" s="492"/>
      <c r="H708" s="254"/>
      <c r="I708" s="492"/>
      <c r="J708" s="254"/>
      <c r="K708" s="492"/>
      <c r="L708" s="254"/>
      <c r="M708" s="492"/>
      <c r="N708" s="254"/>
      <c r="O708" s="492"/>
      <c r="P708" s="254"/>
      <c r="Q708" s="492"/>
      <c r="R708" s="254"/>
      <c r="S708" s="514"/>
      <c r="T708" s="514"/>
      <c r="U708" s="492"/>
      <c r="V708" s="254"/>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row>
    <row r="709">
      <c r="A709" s="492"/>
      <c r="B709" s="254"/>
      <c r="C709" s="492"/>
      <c r="D709" s="254"/>
      <c r="E709" s="492"/>
      <c r="F709" s="254"/>
      <c r="G709" s="492"/>
      <c r="H709" s="254"/>
      <c r="I709" s="492"/>
      <c r="J709" s="254"/>
      <c r="K709" s="492"/>
      <c r="L709" s="254"/>
      <c r="M709" s="492"/>
      <c r="N709" s="254"/>
      <c r="O709" s="492"/>
      <c r="P709" s="254"/>
      <c r="Q709" s="492"/>
      <c r="R709" s="254"/>
      <c r="S709" s="514"/>
      <c r="T709" s="514"/>
      <c r="U709" s="492"/>
      <c r="V709" s="254"/>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row>
    <row r="710">
      <c r="A710" s="492"/>
      <c r="B710" s="254"/>
      <c r="C710" s="492"/>
      <c r="D710" s="254"/>
      <c r="E710" s="492"/>
      <c r="F710" s="254"/>
      <c r="G710" s="492"/>
      <c r="H710" s="254"/>
      <c r="I710" s="492"/>
      <c r="J710" s="254"/>
      <c r="K710" s="492"/>
      <c r="L710" s="254"/>
      <c r="M710" s="492"/>
      <c r="N710" s="254"/>
      <c r="O710" s="492"/>
      <c r="P710" s="254"/>
      <c r="Q710" s="492"/>
      <c r="R710" s="254"/>
      <c r="S710" s="514"/>
      <c r="T710" s="514"/>
      <c r="U710" s="492"/>
      <c r="V710" s="254"/>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row>
    <row r="711">
      <c r="A711" s="492"/>
      <c r="B711" s="254"/>
      <c r="C711" s="492"/>
      <c r="D711" s="254"/>
      <c r="E711" s="492"/>
      <c r="F711" s="254"/>
      <c r="G711" s="492"/>
      <c r="H711" s="254"/>
      <c r="I711" s="492"/>
      <c r="J711" s="254"/>
      <c r="K711" s="492"/>
      <c r="L711" s="254"/>
      <c r="M711" s="492"/>
      <c r="N711" s="254"/>
      <c r="O711" s="492"/>
      <c r="P711" s="254"/>
      <c r="Q711" s="492"/>
      <c r="R711" s="254"/>
      <c r="S711" s="514"/>
      <c r="T711" s="514"/>
      <c r="U711" s="492"/>
      <c r="V711" s="254"/>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row>
    <row r="712">
      <c r="A712" s="492"/>
      <c r="B712" s="254"/>
      <c r="C712" s="492"/>
      <c r="D712" s="254"/>
      <c r="E712" s="492"/>
      <c r="F712" s="254"/>
      <c r="G712" s="492"/>
      <c r="H712" s="254"/>
      <c r="I712" s="492"/>
      <c r="J712" s="254"/>
      <c r="K712" s="492"/>
      <c r="L712" s="254"/>
      <c r="M712" s="492"/>
      <c r="N712" s="254"/>
      <c r="O712" s="492"/>
      <c r="P712" s="254"/>
      <c r="Q712" s="492"/>
      <c r="R712" s="254"/>
      <c r="S712" s="514"/>
      <c r="T712" s="514"/>
      <c r="U712" s="492"/>
      <c r="V712" s="254"/>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row>
    <row r="713">
      <c r="A713" s="492"/>
      <c r="B713" s="254"/>
      <c r="C713" s="492"/>
      <c r="D713" s="254"/>
      <c r="E713" s="492"/>
      <c r="F713" s="254"/>
      <c r="G713" s="492"/>
      <c r="H713" s="254"/>
      <c r="I713" s="492"/>
      <c r="J713" s="254"/>
      <c r="K713" s="492"/>
      <c r="L713" s="254"/>
      <c r="M713" s="492"/>
      <c r="N713" s="254"/>
      <c r="O713" s="492"/>
      <c r="P713" s="254"/>
      <c r="Q713" s="492"/>
      <c r="R713" s="254"/>
      <c r="S713" s="514"/>
      <c r="T713" s="514"/>
      <c r="U713" s="492"/>
      <c r="V713" s="254"/>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row>
    <row r="714">
      <c r="A714" s="492"/>
      <c r="B714" s="254"/>
      <c r="C714" s="492"/>
      <c r="D714" s="254"/>
      <c r="E714" s="492"/>
      <c r="F714" s="254"/>
      <c r="G714" s="492"/>
      <c r="H714" s="254"/>
      <c r="I714" s="492"/>
      <c r="J714" s="254"/>
      <c r="K714" s="492"/>
      <c r="L714" s="254"/>
      <c r="M714" s="492"/>
      <c r="N714" s="254"/>
      <c r="O714" s="492"/>
      <c r="P714" s="254"/>
      <c r="Q714" s="492"/>
      <c r="R714" s="254"/>
      <c r="S714" s="514"/>
      <c r="T714" s="514"/>
      <c r="U714" s="492"/>
      <c r="V714" s="254"/>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row>
    <row r="715">
      <c r="A715" s="492"/>
      <c r="B715" s="254"/>
      <c r="C715" s="492"/>
      <c r="D715" s="254"/>
      <c r="E715" s="492"/>
      <c r="F715" s="254"/>
      <c r="G715" s="492"/>
      <c r="H715" s="254"/>
      <c r="I715" s="492"/>
      <c r="J715" s="254"/>
      <c r="K715" s="492"/>
      <c r="L715" s="254"/>
      <c r="M715" s="492"/>
      <c r="N715" s="254"/>
      <c r="O715" s="492"/>
      <c r="P715" s="254"/>
      <c r="Q715" s="492"/>
      <c r="R715" s="254"/>
      <c r="S715" s="514"/>
      <c r="T715" s="514"/>
      <c r="U715" s="492"/>
      <c r="V715" s="254"/>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row>
    <row r="716">
      <c r="A716" s="492"/>
      <c r="B716" s="254"/>
      <c r="C716" s="492"/>
      <c r="D716" s="254"/>
      <c r="E716" s="492"/>
      <c r="F716" s="254"/>
      <c r="G716" s="492"/>
      <c r="H716" s="254"/>
      <c r="I716" s="492"/>
      <c r="J716" s="254"/>
      <c r="K716" s="492"/>
      <c r="L716" s="254"/>
      <c r="M716" s="492"/>
      <c r="N716" s="254"/>
      <c r="O716" s="492"/>
      <c r="P716" s="254"/>
      <c r="Q716" s="492"/>
      <c r="R716" s="254"/>
      <c r="S716" s="514"/>
      <c r="T716" s="514"/>
      <c r="U716" s="492"/>
      <c r="V716" s="254"/>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row>
    <row r="717">
      <c r="A717" s="492"/>
      <c r="B717" s="254"/>
      <c r="C717" s="492"/>
      <c r="D717" s="254"/>
      <c r="E717" s="492"/>
      <c r="F717" s="254"/>
      <c r="G717" s="492"/>
      <c r="H717" s="254"/>
      <c r="I717" s="492"/>
      <c r="J717" s="254"/>
      <c r="K717" s="492"/>
      <c r="L717" s="254"/>
      <c r="M717" s="492"/>
      <c r="N717" s="254"/>
      <c r="O717" s="492"/>
      <c r="P717" s="254"/>
      <c r="Q717" s="492"/>
      <c r="R717" s="254"/>
      <c r="S717" s="514"/>
      <c r="T717" s="514"/>
      <c r="U717" s="492"/>
      <c r="V717" s="254"/>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row>
    <row r="718">
      <c r="A718" s="492"/>
      <c r="B718" s="254"/>
      <c r="C718" s="492"/>
      <c r="D718" s="254"/>
      <c r="E718" s="492"/>
      <c r="F718" s="254"/>
      <c r="G718" s="492"/>
      <c r="H718" s="254"/>
      <c r="I718" s="492"/>
      <c r="J718" s="254"/>
      <c r="K718" s="492"/>
      <c r="L718" s="254"/>
      <c r="M718" s="492"/>
      <c r="N718" s="254"/>
      <c r="O718" s="492"/>
      <c r="P718" s="254"/>
      <c r="Q718" s="492"/>
      <c r="R718" s="254"/>
      <c r="S718" s="514"/>
      <c r="T718" s="514"/>
      <c r="U718" s="492"/>
      <c r="V718" s="254"/>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row>
    <row r="719">
      <c r="A719" s="492"/>
      <c r="B719" s="254"/>
      <c r="C719" s="492"/>
      <c r="D719" s="254"/>
      <c r="E719" s="492"/>
      <c r="F719" s="254"/>
      <c r="G719" s="492"/>
      <c r="H719" s="254"/>
      <c r="I719" s="492"/>
      <c r="J719" s="254"/>
      <c r="K719" s="492"/>
      <c r="L719" s="254"/>
      <c r="M719" s="492"/>
      <c r="N719" s="254"/>
      <c r="O719" s="492"/>
      <c r="P719" s="254"/>
      <c r="Q719" s="492"/>
      <c r="R719" s="254"/>
      <c r="S719" s="514"/>
      <c r="T719" s="514"/>
      <c r="U719" s="492"/>
      <c r="V719" s="254"/>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row>
    <row r="720">
      <c r="A720" s="492"/>
      <c r="B720" s="254"/>
      <c r="C720" s="492"/>
      <c r="D720" s="254"/>
      <c r="E720" s="492"/>
      <c r="F720" s="254"/>
      <c r="G720" s="492"/>
      <c r="H720" s="254"/>
      <c r="I720" s="492"/>
      <c r="J720" s="254"/>
      <c r="K720" s="492"/>
      <c r="L720" s="254"/>
      <c r="M720" s="492"/>
      <c r="N720" s="254"/>
      <c r="O720" s="492"/>
      <c r="P720" s="254"/>
      <c r="Q720" s="492"/>
      <c r="R720" s="254"/>
      <c r="S720" s="514"/>
      <c r="T720" s="514"/>
      <c r="U720" s="492"/>
      <c r="V720" s="254"/>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row>
    <row r="721">
      <c r="A721" s="492"/>
      <c r="B721" s="254"/>
      <c r="C721" s="492"/>
      <c r="D721" s="254"/>
      <c r="E721" s="492"/>
      <c r="F721" s="254"/>
      <c r="G721" s="492"/>
      <c r="H721" s="254"/>
      <c r="I721" s="492"/>
      <c r="J721" s="254"/>
      <c r="K721" s="492"/>
      <c r="L721" s="254"/>
      <c r="M721" s="492"/>
      <c r="N721" s="254"/>
      <c r="O721" s="492"/>
      <c r="P721" s="254"/>
      <c r="Q721" s="492"/>
      <c r="R721" s="254"/>
      <c r="S721" s="514"/>
      <c r="T721" s="514"/>
      <c r="U721" s="492"/>
      <c r="V721" s="254"/>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row>
    <row r="722">
      <c r="A722" s="492"/>
      <c r="B722" s="254"/>
      <c r="C722" s="492"/>
      <c r="D722" s="254"/>
      <c r="E722" s="492"/>
      <c r="F722" s="254"/>
      <c r="G722" s="492"/>
      <c r="H722" s="254"/>
      <c r="I722" s="492"/>
      <c r="J722" s="254"/>
      <c r="K722" s="492"/>
      <c r="L722" s="254"/>
      <c r="M722" s="492"/>
      <c r="N722" s="254"/>
      <c r="O722" s="492"/>
      <c r="P722" s="254"/>
      <c r="Q722" s="492"/>
      <c r="R722" s="254"/>
      <c r="S722" s="514"/>
      <c r="T722" s="514"/>
      <c r="U722" s="492"/>
      <c r="V722" s="254"/>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row>
    <row r="723">
      <c r="A723" s="492"/>
      <c r="B723" s="254"/>
      <c r="C723" s="492"/>
      <c r="D723" s="254"/>
      <c r="E723" s="492"/>
      <c r="F723" s="254"/>
      <c r="G723" s="492"/>
      <c r="H723" s="254"/>
      <c r="I723" s="492"/>
      <c r="J723" s="254"/>
      <c r="K723" s="492"/>
      <c r="L723" s="254"/>
      <c r="M723" s="492"/>
      <c r="N723" s="254"/>
      <c r="O723" s="492"/>
      <c r="P723" s="254"/>
      <c r="Q723" s="492"/>
      <c r="R723" s="254"/>
      <c r="S723" s="514"/>
      <c r="T723" s="514"/>
      <c r="U723" s="492"/>
      <c r="V723" s="254"/>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row>
    <row r="724">
      <c r="A724" s="492"/>
      <c r="B724" s="254"/>
      <c r="C724" s="492"/>
      <c r="D724" s="254"/>
      <c r="E724" s="492"/>
      <c r="F724" s="254"/>
      <c r="G724" s="492"/>
      <c r="H724" s="254"/>
      <c r="I724" s="492"/>
      <c r="J724" s="254"/>
      <c r="K724" s="492"/>
      <c r="L724" s="254"/>
      <c r="M724" s="492"/>
      <c r="N724" s="254"/>
      <c r="O724" s="492"/>
      <c r="P724" s="254"/>
      <c r="Q724" s="492"/>
      <c r="R724" s="254"/>
      <c r="S724" s="514"/>
      <c r="T724" s="514"/>
      <c r="U724" s="492"/>
      <c r="V724" s="254"/>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row>
    <row r="725">
      <c r="A725" s="492"/>
      <c r="B725" s="254"/>
      <c r="C725" s="492"/>
      <c r="D725" s="254"/>
      <c r="E725" s="492"/>
      <c r="F725" s="254"/>
      <c r="G725" s="492"/>
      <c r="H725" s="254"/>
      <c r="I725" s="492"/>
      <c r="J725" s="254"/>
      <c r="K725" s="492"/>
      <c r="L725" s="254"/>
      <c r="M725" s="492"/>
      <c r="N725" s="254"/>
      <c r="O725" s="492"/>
      <c r="P725" s="254"/>
      <c r="Q725" s="492"/>
      <c r="R725" s="254"/>
      <c r="S725" s="514"/>
      <c r="T725" s="514"/>
      <c r="U725" s="492"/>
      <c r="V725" s="254"/>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row>
    <row r="726">
      <c r="A726" s="492"/>
      <c r="B726" s="254"/>
      <c r="C726" s="492"/>
      <c r="D726" s="254"/>
      <c r="E726" s="492"/>
      <c r="F726" s="254"/>
      <c r="G726" s="492"/>
      <c r="H726" s="254"/>
      <c r="I726" s="492"/>
      <c r="J726" s="254"/>
      <c r="K726" s="492"/>
      <c r="L726" s="254"/>
      <c r="M726" s="492"/>
      <c r="N726" s="254"/>
      <c r="O726" s="492"/>
      <c r="P726" s="254"/>
      <c r="Q726" s="492"/>
      <c r="R726" s="254"/>
      <c r="S726" s="514"/>
      <c r="T726" s="514"/>
      <c r="U726" s="492"/>
      <c r="V726" s="254"/>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row>
    <row r="727">
      <c r="A727" s="492"/>
      <c r="B727" s="254"/>
      <c r="C727" s="492"/>
      <c r="D727" s="254"/>
      <c r="E727" s="492"/>
      <c r="F727" s="254"/>
      <c r="G727" s="492"/>
      <c r="H727" s="254"/>
      <c r="I727" s="492"/>
      <c r="J727" s="254"/>
      <c r="K727" s="492"/>
      <c r="L727" s="254"/>
      <c r="M727" s="492"/>
      <c r="N727" s="254"/>
      <c r="O727" s="492"/>
      <c r="P727" s="254"/>
      <c r="Q727" s="492"/>
      <c r="R727" s="254"/>
      <c r="S727" s="514"/>
      <c r="T727" s="514"/>
      <c r="U727" s="492"/>
      <c r="V727" s="254"/>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row>
    <row r="728">
      <c r="A728" s="492"/>
      <c r="B728" s="254"/>
      <c r="C728" s="492"/>
      <c r="D728" s="254"/>
      <c r="E728" s="492"/>
      <c r="F728" s="254"/>
      <c r="G728" s="492"/>
      <c r="H728" s="254"/>
      <c r="I728" s="492"/>
      <c r="J728" s="254"/>
      <c r="K728" s="492"/>
      <c r="L728" s="254"/>
      <c r="M728" s="492"/>
      <c r="N728" s="254"/>
      <c r="O728" s="492"/>
      <c r="P728" s="254"/>
      <c r="Q728" s="492"/>
      <c r="R728" s="254"/>
      <c r="S728" s="514"/>
      <c r="T728" s="514"/>
      <c r="U728" s="492"/>
      <c r="V728" s="254"/>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row>
    <row r="729">
      <c r="A729" s="492"/>
      <c r="B729" s="254"/>
      <c r="C729" s="492"/>
      <c r="D729" s="254"/>
      <c r="E729" s="492"/>
      <c r="F729" s="254"/>
      <c r="G729" s="492"/>
      <c r="H729" s="254"/>
      <c r="I729" s="492"/>
      <c r="J729" s="254"/>
      <c r="K729" s="492"/>
      <c r="L729" s="254"/>
      <c r="M729" s="492"/>
      <c r="N729" s="254"/>
      <c r="O729" s="492"/>
      <c r="P729" s="254"/>
      <c r="Q729" s="492"/>
      <c r="R729" s="254"/>
      <c r="S729" s="514"/>
      <c r="T729" s="514"/>
      <c r="U729" s="492"/>
      <c r="V729" s="254"/>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row>
    <row r="730">
      <c r="A730" s="492"/>
      <c r="B730" s="254"/>
      <c r="C730" s="492"/>
      <c r="D730" s="254"/>
      <c r="E730" s="492"/>
      <c r="F730" s="254"/>
      <c r="G730" s="492"/>
      <c r="H730" s="254"/>
      <c r="I730" s="492"/>
      <c r="J730" s="254"/>
      <c r="K730" s="492"/>
      <c r="L730" s="254"/>
      <c r="M730" s="492"/>
      <c r="N730" s="254"/>
      <c r="O730" s="492"/>
      <c r="P730" s="254"/>
      <c r="Q730" s="492"/>
      <c r="R730" s="254"/>
      <c r="S730" s="514"/>
      <c r="T730" s="514"/>
      <c r="U730" s="492"/>
      <c r="V730" s="254"/>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row>
    <row r="731">
      <c r="A731" s="492"/>
      <c r="B731" s="254"/>
      <c r="C731" s="492"/>
      <c r="D731" s="254"/>
      <c r="E731" s="492"/>
      <c r="F731" s="254"/>
      <c r="G731" s="492"/>
      <c r="H731" s="254"/>
      <c r="I731" s="492"/>
      <c r="J731" s="254"/>
      <c r="K731" s="492"/>
      <c r="L731" s="254"/>
      <c r="M731" s="492"/>
      <c r="N731" s="254"/>
      <c r="O731" s="492"/>
      <c r="P731" s="254"/>
      <c r="Q731" s="492"/>
      <c r="R731" s="254"/>
      <c r="S731" s="514"/>
      <c r="T731" s="514"/>
      <c r="U731" s="492"/>
      <c r="V731" s="254"/>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row>
    <row r="732">
      <c r="A732" s="492"/>
      <c r="B732" s="254"/>
      <c r="C732" s="492"/>
      <c r="D732" s="254"/>
      <c r="E732" s="492"/>
      <c r="F732" s="254"/>
      <c r="G732" s="492"/>
      <c r="H732" s="254"/>
      <c r="I732" s="492"/>
      <c r="J732" s="254"/>
      <c r="K732" s="492"/>
      <c r="L732" s="254"/>
      <c r="M732" s="492"/>
      <c r="N732" s="254"/>
      <c r="O732" s="492"/>
      <c r="P732" s="254"/>
      <c r="Q732" s="492"/>
      <c r="R732" s="254"/>
      <c r="S732" s="514"/>
      <c r="T732" s="514"/>
      <c r="U732" s="492"/>
      <c r="V732" s="254"/>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row>
    <row r="733">
      <c r="A733" s="492"/>
      <c r="B733" s="254"/>
      <c r="C733" s="492"/>
      <c r="D733" s="254"/>
      <c r="E733" s="492"/>
      <c r="F733" s="254"/>
      <c r="G733" s="492"/>
      <c r="H733" s="254"/>
      <c r="I733" s="492"/>
      <c r="J733" s="254"/>
      <c r="K733" s="492"/>
      <c r="L733" s="254"/>
      <c r="M733" s="492"/>
      <c r="N733" s="254"/>
      <c r="O733" s="492"/>
      <c r="P733" s="254"/>
      <c r="Q733" s="492"/>
      <c r="R733" s="254"/>
      <c r="S733" s="514"/>
      <c r="T733" s="514"/>
      <c r="U733" s="492"/>
      <c r="V733" s="254"/>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row>
    <row r="734">
      <c r="A734" s="492"/>
      <c r="B734" s="254"/>
      <c r="C734" s="492"/>
      <c r="D734" s="254"/>
      <c r="E734" s="492"/>
      <c r="F734" s="254"/>
      <c r="G734" s="492"/>
      <c r="H734" s="254"/>
      <c r="I734" s="492"/>
      <c r="J734" s="254"/>
      <c r="K734" s="492"/>
      <c r="L734" s="254"/>
      <c r="M734" s="492"/>
      <c r="N734" s="254"/>
      <c r="O734" s="492"/>
      <c r="P734" s="254"/>
      <c r="Q734" s="492"/>
      <c r="R734" s="254"/>
      <c r="S734" s="514"/>
      <c r="T734" s="514"/>
      <c r="U734" s="492"/>
      <c r="V734" s="254"/>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row>
    <row r="735">
      <c r="A735" s="492"/>
      <c r="B735" s="254"/>
      <c r="C735" s="492"/>
      <c r="D735" s="254"/>
      <c r="E735" s="492"/>
      <c r="F735" s="254"/>
      <c r="G735" s="492"/>
      <c r="H735" s="254"/>
      <c r="I735" s="492"/>
      <c r="J735" s="254"/>
      <c r="K735" s="492"/>
      <c r="L735" s="254"/>
      <c r="M735" s="492"/>
      <c r="N735" s="254"/>
      <c r="O735" s="492"/>
      <c r="P735" s="254"/>
      <c r="Q735" s="492"/>
      <c r="R735" s="254"/>
      <c r="S735" s="514"/>
      <c r="T735" s="514"/>
      <c r="U735" s="492"/>
      <c r="V735" s="254"/>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row>
    <row r="736">
      <c r="A736" s="492"/>
      <c r="B736" s="254"/>
      <c r="C736" s="492"/>
      <c r="D736" s="254"/>
      <c r="E736" s="492"/>
      <c r="F736" s="254"/>
      <c r="G736" s="492"/>
      <c r="H736" s="254"/>
      <c r="I736" s="492"/>
      <c r="J736" s="254"/>
      <c r="K736" s="492"/>
      <c r="L736" s="254"/>
      <c r="M736" s="492"/>
      <c r="N736" s="254"/>
      <c r="O736" s="492"/>
      <c r="P736" s="254"/>
      <c r="Q736" s="492"/>
      <c r="R736" s="254"/>
      <c r="S736" s="514"/>
      <c r="T736" s="514"/>
      <c r="U736" s="492"/>
      <c r="V736" s="254"/>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row>
    <row r="737">
      <c r="A737" s="492"/>
      <c r="B737" s="254"/>
      <c r="C737" s="492"/>
      <c r="D737" s="254"/>
      <c r="E737" s="492"/>
      <c r="F737" s="254"/>
      <c r="G737" s="492"/>
      <c r="H737" s="254"/>
      <c r="I737" s="492"/>
      <c r="J737" s="254"/>
      <c r="K737" s="492"/>
      <c r="L737" s="254"/>
      <c r="M737" s="492"/>
      <c r="N737" s="254"/>
      <c r="O737" s="492"/>
      <c r="P737" s="254"/>
      <c r="Q737" s="492"/>
      <c r="R737" s="254"/>
      <c r="S737" s="514"/>
      <c r="T737" s="514"/>
      <c r="U737" s="492"/>
      <c r="V737" s="254"/>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row>
    <row r="738">
      <c r="A738" s="492"/>
      <c r="B738" s="254"/>
      <c r="C738" s="492"/>
      <c r="D738" s="254"/>
      <c r="E738" s="492"/>
      <c r="F738" s="254"/>
      <c r="G738" s="492"/>
      <c r="H738" s="254"/>
      <c r="I738" s="492"/>
      <c r="J738" s="254"/>
      <c r="K738" s="492"/>
      <c r="L738" s="254"/>
      <c r="M738" s="492"/>
      <c r="N738" s="254"/>
      <c r="O738" s="492"/>
      <c r="P738" s="254"/>
      <c r="Q738" s="492"/>
      <c r="R738" s="254"/>
      <c r="S738" s="514"/>
      <c r="T738" s="514"/>
      <c r="U738" s="492"/>
      <c r="V738" s="254"/>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row>
    <row r="739">
      <c r="A739" s="492"/>
      <c r="B739" s="254"/>
      <c r="C739" s="492"/>
      <c r="D739" s="254"/>
      <c r="E739" s="492"/>
      <c r="F739" s="254"/>
      <c r="G739" s="492"/>
      <c r="H739" s="254"/>
      <c r="I739" s="492"/>
      <c r="J739" s="254"/>
      <c r="K739" s="492"/>
      <c r="L739" s="254"/>
      <c r="M739" s="492"/>
      <c r="N739" s="254"/>
      <c r="O739" s="492"/>
      <c r="P739" s="254"/>
      <c r="Q739" s="492"/>
      <c r="R739" s="254"/>
      <c r="S739" s="514"/>
      <c r="T739" s="514"/>
      <c r="U739" s="492"/>
      <c r="V739" s="254"/>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row>
    <row r="740">
      <c r="A740" s="492"/>
      <c r="B740" s="254"/>
      <c r="C740" s="492"/>
      <c r="D740" s="254"/>
      <c r="E740" s="492"/>
      <c r="F740" s="254"/>
      <c r="G740" s="492"/>
      <c r="H740" s="254"/>
      <c r="I740" s="492"/>
      <c r="J740" s="254"/>
      <c r="K740" s="492"/>
      <c r="L740" s="254"/>
      <c r="M740" s="492"/>
      <c r="N740" s="254"/>
      <c r="O740" s="492"/>
      <c r="P740" s="254"/>
      <c r="Q740" s="492"/>
      <c r="R740" s="254"/>
      <c r="S740" s="514"/>
      <c r="T740" s="514"/>
      <c r="U740" s="492"/>
      <c r="V740" s="254"/>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row>
    <row r="741">
      <c r="A741" s="492"/>
      <c r="B741" s="254"/>
      <c r="C741" s="492"/>
      <c r="D741" s="254"/>
      <c r="E741" s="492"/>
      <c r="F741" s="254"/>
      <c r="G741" s="492"/>
      <c r="H741" s="254"/>
      <c r="I741" s="492"/>
      <c r="J741" s="254"/>
      <c r="K741" s="492"/>
      <c r="L741" s="254"/>
      <c r="M741" s="492"/>
      <c r="N741" s="254"/>
      <c r="O741" s="492"/>
      <c r="P741" s="254"/>
      <c r="Q741" s="492"/>
      <c r="R741" s="254"/>
      <c r="S741" s="514"/>
      <c r="T741" s="514"/>
      <c r="U741" s="492"/>
      <c r="V741" s="254"/>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row>
    <row r="742">
      <c r="A742" s="492"/>
      <c r="B742" s="254"/>
      <c r="C742" s="492"/>
      <c r="D742" s="254"/>
      <c r="E742" s="492"/>
      <c r="F742" s="254"/>
      <c r="G742" s="492"/>
      <c r="H742" s="254"/>
      <c r="I742" s="492"/>
      <c r="J742" s="254"/>
      <c r="K742" s="492"/>
      <c r="L742" s="254"/>
      <c r="M742" s="492"/>
      <c r="N742" s="254"/>
      <c r="O742" s="492"/>
      <c r="P742" s="254"/>
      <c r="Q742" s="492"/>
      <c r="R742" s="254"/>
      <c r="S742" s="514"/>
      <c r="T742" s="514"/>
      <c r="U742" s="492"/>
      <c r="V742" s="254"/>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row>
    <row r="743">
      <c r="A743" s="492"/>
      <c r="B743" s="254"/>
      <c r="C743" s="492"/>
      <c r="D743" s="254"/>
      <c r="E743" s="492"/>
      <c r="F743" s="254"/>
      <c r="G743" s="492"/>
      <c r="H743" s="254"/>
      <c r="I743" s="492"/>
      <c r="J743" s="254"/>
      <c r="K743" s="492"/>
      <c r="L743" s="254"/>
      <c r="M743" s="492"/>
      <c r="N743" s="254"/>
      <c r="O743" s="492"/>
      <c r="P743" s="254"/>
      <c r="Q743" s="492"/>
      <c r="R743" s="254"/>
      <c r="S743" s="514"/>
      <c r="T743" s="514"/>
      <c r="U743" s="492"/>
      <c r="V743" s="254"/>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row>
    <row r="744">
      <c r="A744" s="492"/>
      <c r="B744" s="254"/>
      <c r="C744" s="492"/>
      <c r="D744" s="254"/>
      <c r="E744" s="492"/>
      <c r="F744" s="254"/>
      <c r="G744" s="492"/>
      <c r="H744" s="254"/>
      <c r="I744" s="492"/>
      <c r="J744" s="254"/>
      <c r="K744" s="492"/>
      <c r="L744" s="254"/>
      <c r="M744" s="492"/>
      <c r="N744" s="254"/>
      <c r="O744" s="492"/>
      <c r="P744" s="254"/>
      <c r="Q744" s="492"/>
      <c r="R744" s="254"/>
      <c r="S744" s="514"/>
      <c r="T744" s="514"/>
      <c r="U744" s="492"/>
      <c r="V744" s="254"/>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row>
    <row r="745">
      <c r="A745" s="492"/>
      <c r="B745" s="254"/>
      <c r="C745" s="492"/>
      <c r="D745" s="254"/>
      <c r="E745" s="492"/>
      <c r="F745" s="254"/>
      <c r="G745" s="492"/>
      <c r="H745" s="254"/>
      <c r="I745" s="492"/>
      <c r="J745" s="254"/>
      <c r="K745" s="492"/>
      <c r="L745" s="254"/>
      <c r="M745" s="492"/>
      <c r="N745" s="254"/>
      <c r="O745" s="492"/>
      <c r="P745" s="254"/>
      <c r="Q745" s="492"/>
      <c r="R745" s="254"/>
      <c r="S745" s="514"/>
      <c r="T745" s="514"/>
      <c r="U745" s="492"/>
      <c r="V745" s="254"/>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row>
    <row r="746">
      <c r="A746" s="492"/>
      <c r="B746" s="254"/>
      <c r="C746" s="492"/>
      <c r="D746" s="254"/>
      <c r="E746" s="492"/>
      <c r="F746" s="254"/>
      <c r="G746" s="492"/>
      <c r="H746" s="254"/>
      <c r="I746" s="492"/>
      <c r="J746" s="254"/>
      <c r="K746" s="492"/>
      <c r="L746" s="254"/>
      <c r="M746" s="492"/>
      <c r="N746" s="254"/>
      <c r="O746" s="492"/>
      <c r="P746" s="254"/>
      <c r="Q746" s="492"/>
      <c r="R746" s="254"/>
      <c r="S746" s="514"/>
      <c r="T746" s="514"/>
      <c r="U746" s="492"/>
      <c r="V746" s="254"/>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row>
    <row r="747">
      <c r="A747" s="492"/>
      <c r="B747" s="254"/>
      <c r="C747" s="492"/>
      <c r="D747" s="254"/>
      <c r="E747" s="492"/>
      <c r="F747" s="254"/>
      <c r="G747" s="492"/>
      <c r="H747" s="254"/>
      <c r="I747" s="492"/>
      <c r="J747" s="254"/>
      <c r="K747" s="492"/>
      <c r="L747" s="254"/>
      <c r="M747" s="492"/>
      <c r="N747" s="254"/>
      <c r="O747" s="492"/>
      <c r="P747" s="254"/>
      <c r="Q747" s="492"/>
      <c r="R747" s="254"/>
      <c r="S747" s="514"/>
      <c r="T747" s="514"/>
      <c r="U747" s="492"/>
      <c r="V747" s="254"/>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row>
    <row r="748">
      <c r="A748" s="492"/>
      <c r="B748" s="254"/>
      <c r="C748" s="492"/>
      <c r="D748" s="254"/>
      <c r="E748" s="492"/>
      <c r="F748" s="254"/>
      <c r="G748" s="492"/>
      <c r="H748" s="254"/>
      <c r="I748" s="492"/>
      <c r="J748" s="254"/>
      <c r="K748" s="492"/>
      <c r="L748" s="254"/>
      <c r="M748" s="492"/>
      <c r="N748" s="254"/>
      <c r="O748" s="492"/>
      <c r="P748" s="254"/>
      <c r="Q748" s="492"/>
      <c r="R748" s="254"/>
      <c r="S748" s="514"/>
      <c r="T748" s="514"/>
      <c r="U748" s="492"/>
      <c r="V748" s="254"/>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row>
    <row r="749">
      <c r="A749" s="492"/>
      <c r="B749" s="254"/>
      <c r="C749" s="492"/>
      <c r="D749" s="254"/>
      <c r="E749" s="492"/>
      <c r="F749" s="254"/>
      <c r="G749" s="492"/>
      <c r="H749" s="254"/>
      <c r="I749" s="492"/>
      <c r="J749" s="254"/>
      <c r="K749" s="492"/>
      <c r="L749" s="254"/>
      <c r="M749" s="492"/>
      <c r="N749" s="254"/>
      <c r="O749" s="492"/>
      <c r="P749" s="254"/>
      <c r="Q749" s="492"/>
      <c r="R749" s="254"/>
      <c r="S749" s="514"/>
      <c r="T749" s="514"/>
      <c r="U749" s="492"/>
      <c r="V749" s="254"/>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row>
    <row r="750">
      <c r="A750" s="492"/>
      <c r="B750" s="254"/>
      <c r="C750" s="492"/>
      <c r="D750" s="254"/>
      <c r="E750" s="492"/>
      <c r="F750" s="254"/>
      <c r="G750" s="492"/>
      <c r="H750" s="254"/>
      <c r="I750" s="492"/>
      <c r="J750" s="254"/>
      <c r="K750" s="492"/>
      <c r="L750" s="254"/>
      <c r="M750" s="492"/>
      <c r="N750" s="254"/>
      <c r="O750" s="492"/>
      <c r="P750" s="254"/>
      <c r="Q750" s="492"/>
      <c r="R750" s="254"/>
      <c r="S750" s="514"/>
      <c r="T750" s="514"/>
      <c r="U750" s="492"/>
      <c r="V750" s="254"/>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row>
    <row r="751">
      <c r="A751" s="492"/>
      <c r="B751" s="254"/>
      <c r="C751" s="492"/>
      <c r="D751" s="254"/>
      <c r="E751" s="492"/>
      <c r="F751" s="254"/>
      <c r="G751" s="492"/>
      <c r="H751" s="254"/>
      <c r="I751" s="492"/>
      <c r="J751" s="254"/>
      <c r="K751" s="492"/>
      <c r="L751" s="254"/>
      <c r="M751" s="492"/>
      <c r="N751" s="254"/>
      <c r="O751" s="492"/>
      <c r="P751" s="254"/>
      <c r="Q751" s="492"/>
      <c r="R751" s="254"/>
      <c r="S751" s="514"/>
      <c r="T751" s="514"/>
      <c r="U751" s="492"/>
      <c r="V751" s="254"/>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row>
    <row r="752">
      <c r="A752" s="492"/>
      <c r="B752" s="254"/>
      <c r="C752" s="492"/>
      <c r="D752" s="254"/>
      <c r="E752" s="492"/>
      <c r="F752" s="254"/>
      <c r="G752" s="492"/>
      <c r="H752" s="254"/>
      <c r="I752" s="492"/>
      <c r="J752" s="254"/>
      <c r="K752" s="492"/>
      <c r="L752" s="254"/>
      <c r="M752" s="492"/>
      <c r="N752" s="254"/>
      <c r="O752" s="492"/>
      <c r="P752" s="254"/>
      <c r="Q752" s="492"/>
      <c r="R752" s="254"/>
      <c r="S752" s="514"/>
      <c r="T752" s="514"/>
      <c r="U752" s="492"/>
      <c r="V752" s="254"/>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row>
    <row r="753">
      <c r="A753" s="492"/>
      <c r="B753" s="254"/>
      <c r="C753" s="492"/>
      <c r="D753" s="254"/>
      <c r="E753" s="492"/>
      <c r="F753" s="254"/>
      <c r="G753" s="492"/>
      <c r="H753" s="254"/>
      <c r="I753" s="492"/>
      <c r="J753" s="254"/>
      <c r="K753" s="492"/>
      <c r="L753" s="254"/>
      <c r="M753" s="492"/>
      <c r="N753" s="254"/>
      <c r="O753" s="492"/>
      <c r="P753" s="254"/>
      <c r="Q753" s="492"/>
      <c r="R753" s="254"/>
      <c r="S753" s="514"/>
      <c r="T753" s="514"/>
      <c r="U753" s="492"/>
      <c r="V753" s="254"/>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row>
    <row r="754">
      <c r="A754" s="492"/>
      <c r="B754" s="254"/>
      <c r="C754" s="492"/>
      <c r="D754" s="254"/>
      <c r="E754" s="492"/>
      <c r="F754" s="254"/>
      <c r="G754" s="492"/>
      <c r="H754" s="254"/>
      <c r="I754" s="492"/>
      <c r="J754" s="254"/>
      <c r="K754" s="492"/>
      <c r="L754" s="254"/>
      <c r="M754" s="492"/>
      <c r="N754" s="254"/>
      <c r="O754" s="492"/>
      <c r="P754" s="254"/>
      <c r="Q754" s="492"/>
      <c r="R754" s="254"/>
      <c r="S754" s="514"/>
      <c r="T754" s="514"/>
      <c r="U754" s="492"/>
      <c r="V754" s="254"/>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row>
    <row r="755">
      <c r="A755" s="492"/>
      <c r="B755" s="254"/>
      <c r="C755" s="492"/>
      <c r="D755" s="254"/>
      <c r="E755" s="492"/>
      <c r="F755" s="254"/>
      <c r="G755" s="492"/>
      <c r="H755" s="254"/>
      <c r="I755" s="492"/>
      <c r="J755" s="254"/>
      <c r="K755" s="492"/>
      <c r="L755" s="254"/>
      <c r="M755" s="492"/>
      <c r="N755" s="254"/>
      <c r="O755" s="492"/>
      <c r="P755" s="254"/>
      <c r="Q755" s="492"/>
      <c r="R755" s="254"/>
      <c r="S755" s="514"/>
      <c r="T755" s="514"/>
      <c r="U755" s="492"/>
      <c r="V755" s="254"/>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row>
    <row r="756">
      <c r="A756" s="492"/>
      <c r="B756" s="254"/>
      <c r="C756" s="492"/>
      <c r="D756" s="254"/>
      <c r="E756" s="492"/>
      <c r="F756" s="254"/>
      <c r="G756" s="492"/>
      <c r="H756" s="254"/>
      <c r="I756" s="492"/>
      <c r="J756" s="254"/>
      <c r="K756" s="492"/>
      <c r="L756" s="254"/>
      <c r="M756" s="492"/>
      <c r="N756" s="254"/>
      <c r="O756" s="492"/>
      <c r="P756" s="254"/>
      <c r="Q756" s="492"/>
      <c r="R756" s="254"/>
      <c r="S756" s="514"/>
      <c r="T756" s="514"/>
      <c r="U756" s="492"/>
      <c r="V756" s="254"/>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row>
    <row r="757">
      <c r="A757" s="492"/>
      <c r="B757" s="254"/>
      <c r="C757" s="492"/>
      <c r="D757" s="254"/>
      <c r="E757" s="492"/>
      <c r="F757" s="254"/>
      <c r="G757" s="492"/>
      <c r="H757" s="254"/>
      <c r="I757" s="492"/>
      <c r="J757" s="254"/>
      <c r="K757" s="492"/>
      <c r="L757" s="254"/>
      <c r="M757" s="492"/>
      <c r="N757" s="254"/>
      <c r="O757" s="492"/>
      <c r="P757" s="254"/>
      <c r="Q757" s="492"/>
      <c r="R757" s="254"/>
      <c r="S757" s="514"/>
      <c r="T757" s="514"/>
      <c r="U757" s="492"/>
      <c r="V757" s="254"/>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row>
    <row r="758">
      <c r="A758" s="492"/>
      <c r="B758" s="254"/>
      <c r="C758" s="492"/>
      <c r="D758" s="254"/>
      <c r="E758" s="492"/>
      <c r="F758" s="254"/>
      <c r="G758" s="492"/>
      <c r="H758" s="254"/>
      <c r="I758" s="492"/>
      <c r="J758" s="254"/>
      <c r="K758" s="492"/>
      <c r="L758" s="254"/>
      <c r="M758" s="492"/>
      <c r="N758" s="254"/>
      <c r="O758" s="492"/>
      <c r="P758" s="254"/>
      <c r="Q758" s="492"/>
      <c r="R758" s="254"/>
      <c r="S758" s="514"/>
      <c r="T758" s="514"/>
      <c r="U758" s="492"/>
      <c r="V758" s="254"/>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row>
    <row r="759">
      <c r="A759" s="492"/>
      <c r="B759" s="254"/>
      <c r="C759" s="492"/>
      <c r="D759" s="254"/>
      <c r="E759" s="492"/>
      <c r="F759" s="254"/>
      <c r="G759" s="492"/>
      <c r="H759" s="254"/>
      <c r="I759" s="492"/>
      <c r="J759" s="254"/>
      <c r="K759" s="492"/>
      <c r="L759" s="254"/>
      <c r="M759" s="492"/>
      <c r="N759" s="254"/>
      <c r="O759" s="492"/>
      <c r="P759" s="254"/>
      <c r="Q759" s="492"/>
      <c r="R759" s="254"/>
      <c r="S759" s="514"/>
      <c r="T759" s="514"/>
      <c r="U759" s="492"/>
      <c r="V759" s="254"/>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row>
    <row r="760">
      <c r="A760" s="492"/>
      <c r="B760" s="254"/>
      <c r="C760" s="492"/>
      <c r="D760" s="254"/>
      <c r="E760" s="492"/>
      <c r="F760" s="254"/>
      <c r="G760" s="492"/>
      <c r="H760" s="254"/>
      <c r="I760" s="492"/>
      <c r="J760" s="254"/>
      <c r="K760" s="492"/>
      <c r="L760" s="254"/>
      <c r="M760" s="492"/>
      <c r="N760" s="254"/>
      <c r="O760" s="492"/>
      <c r="P760" s="254"/>
      <c r="Q760" s="492"/>
      <c r="R760" s="254"/>
      <c r="S760" s="514"/>
      <c r="T760" s="514"/>
      <c r="U760" s="492"/>
      <c r="V760" s="254"/>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row>
    <row r="761">
      <c r="A761" s="492"/>
      <c r="B761" s="254"/>
      <c r="C761" s="492"/>
      <c r="D761" s="254"/>
      <c r="E761" s="492"/>
      <c r="F761" s="254"/>
      <c r="G761" s="492"/>
      <c r="H761" s="254"/>
      <c r="I761" s="492"/>
      <c r="J761" s="254"/>
      <c r="K761" s="492"/>
      <c r="L761" s="254"/>
      <c r="M761" s="492"/>
      <c r="N761" s="254"/>
      <c r="O761" s="492"/>
      <c r="P761" s="254"/>
      <c r="Q761" s="492"/>
      <c r="R761" s="254"/>
      <c r="S761" s="514"/>
      <c r="T761" s="514"/>
      <c r="U761" s="492"/>
      <c r="V761" s="254"/>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row>
    <row r="762">
      <c r="A762" s="492"/>
      <c r="B762" s="254"/>
      <c r="C762" s="492"/>
      <c r="D762" s="254"/>
      <c r="E762" s="492"/>
      <c r="F762" s="254"/>
      <c r="G762" s="492"/>
      <c r="H762" s="254"/>
      <c r="I762" s="492"/>
      <c r="J762" s="254"/>
      <c r="K762" s="492"/>
      <c r="L762" s="254"/>
      <c r="M762" s="492"/>
      <c r="N762" s="254"/>
      <c r="O762" s="492"/>
      <c r="P762" s="254"/>
      <c r="Q762" s="492"/>
      <c r="R762" s="254"/>
      <c r="S762" s="514"/>
      <c r="T762" s="514"/>
      <c r="U762" s="492"/>
      <c r="V762" s="254"/>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row>
    <row r="763">
      <c r="A763" s="492"/>
      <c r="B763" s="254"/>
      <c r="C763" s="492"/>
      <c r="D763" s="254"/>
      <c r="E763" s="492"/>
      <c r="F763" s="254"/>
      <c r="G763" s="492"/>
      <c r="H763" s="254"/>
      <c r="I763" s="492"/>
      <c r="J763" s="254"/>
      <c r="K763" s="492"/>
      <c r="L763" s="254"/>
      <c r="M763" s="492"/>
      <c r="N763" s="254"/>
      <c r="O763" s="492"/>
      <c r="P763" s="254"/>
      <c r="Q763" s="492"/>
      <c r="R763" s="254"/>
      <c r="S763" s="514"/>
      <c r="T763" s="514"/>
      <c r="U763" s="492"/>
      <c r="V763" s="254"/>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row>
    <row r="764">
      <c r="A764" s="492"/>
      <c r="B764" s="254"/>
      <c r="C764" s="492"/>
      <c r="D764" s="254"/>
      <c r="E764" s="492"/>
      <c r="F764" s="254"/>
      <c r="G764" s="492"/>
      <c r="H764" s="254"/>
      <c r="I764" s="492"/>
      <c r="J764" s="254"/>
      <c r="K764" s="492"/>
      <c r="L764" s="254"/>
      <c r="M764" s="492"/>
      <c r="N764" s="254"/>
      <c r="O764" s="492"/>
      <c r="P764" s="254"/>
      <c r="Q764" s="492"/>
      <c r="R764" s="254"/>
      <c r="S764" s="514"/>
      <c r="T764" s="514"/>
      <c r="U764" s="492"/>
      <c r="V764" s="254"/>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row>
    <row r="765">
      <c r="A765" s="492"/>
      <c r="B765" s="254"/>
      <c r="C765" s="492"/>
      <c r="D765" s="254"/>
      <c r="E765" s="492"/>
      <c r="F765" s="254"/>
      <c r="G765" s="492"/>
      <c r="H765" s="254"/>
      <c r="I765" s="492"/>
      <c r="J765" s="254"/>
      <c r="K765" s="492"/>
      <c r="L765" s="254"/>
      <c r="M765" s="492"/>
      <c r="N765" s="254"/>
      <c r="O765" s="492"/>
      <c r="P765" s="254"/>
      <c r="Q765" s="492"/>
      <c r="R765" s="254"/>
      <c r="S765" s="514"/>
      <c r="T765" s="514"/>
      <c r="U765" s="492"/>
      <c r="V765" s="254"/>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row>
    <row r="766">
      <c r="A766" s="492"/>
      <c r="B766" s="254"/>
      <c r="C766" s="492"/>
      <c r="D766" s="254"/>
      <c r="E766" s="492"/>
      <c r="F766" s="254"/>
      <c r="G766" s="492"/>
      <c r="H766" s="254"/>
      <c r="I766" s="492"/>
      <c r="J766" s="254"/>
      <c r="K766" s="492"/>
      <c r="L766" s="254"/>
      <c r="M766" s="492"/>
      <c r="N766" s="254"/>
      <c r="O766" s="492"/>
      <c r="P766" s="254"/>
      <c r="Q766" s="492"/>
      <c r="R766" s="254"/>
      <c r="S766" s="514"/>
      <c r="T766" s="514"/>
      <c r="U766" s="492"/>
      <c r="V766" s="254"/>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row>
    <row r="767">
      <c r="A767" s="492"/>
      <c r="B767" s="254"/>
      <c r="C767" s="492"/>
      <c r="D767" s="254"/>
      <c r="E767" s="492"/>
      <c r="F767" s="254"/>
      <c r="G767" s="492"/>
      <c r="H767" s="254"/>
      <c r="I767" s="492"/>
      <c r="J767" s="254"/>
      <c r="K767" s="492"/>
      <c r="L767" s="254"/>
      <c r="M767" s="492"/>
      <c r="N767" s="254"/>
      <c r="O767" s="492"/>
      <c r="P767" s="254"/>
      <c r="Q767" s="492"/>
      <c r="R767" s="254"/>
      <c r="S767" s="514"/>
      <c r="T767" s="514"/>
      <c r="U767" s="492"/>
      <c r="V767" s="254"/>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row>
    <row r="768">
      <c r="A768" s="492"/>
      <c r="B768" s="254"/>
      <c r="C768" s="492"/>
      <c r="D768" s="254"/>
      <c r="E768" s="492"/>
      <c r="F768" s="254"/>
      <c r="G768" s="492"/>
      <c r="H768" s="254"/>
      <c r="I768" s="492"/>
      <c r="J768" s="254"/>
      <c r="K768" s="492"/>
      <c r="L768" s="254"/>
      <c r="M768" s="492"/>
      <c r="N768" s="254"/>
      <c r="O768" s="492"/>
      <c r="P768" s="254"/>
      <c r="Q768" s="492"/>
      <c r="R768" s="254"/>
      <c r="S768" s="514"/>
      <c r="T768" s="514"/>
      <c r="U768" s="492"/>
      <c r="V768" s="254"/>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row>
    <row r="769">
      <c r="A769" s="492"/>
      <c r="B769" s="254"/>
      <c r="C769" s="492"/>
      <c r="D769" s="254"/>
      <c r="E769" s="492"/>
      <c r="F769" s="254"/>
      <c r="G769" s="492"/>
      <c r="H769" s="254"/>
      <c r="I769" s="492"/>
      <c r="J769" s="254"/>
      <c r="K769" s="492"/>
      <c r="L769" s="254"/>
      <c r="M769" s="492"/>
      <c r="N769" s="254"/>
      <c r="O769" s="492"/>
      <c r="P769" s="254"/>
      <c r="Q769" s="492"/>
      <c r="R769" s="254"/>
      <c r="S769" s="514"/>
      <c r="T769" s="514"/>
      <c r="U769" s="492"/>
      <c r="V769" s="254"/>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row>
    <row r="770">
      <c r="A770" s="492"/>
      <c r="B770" s="254"/>
      <c r="C770" s="492"/>
      <c r="D770" s="254"/>
      <c r="E770" s="492"/>
      <c r="F770" s="254"/>
      <c r="G770" s="492"/>
      <c r="H770" s="254"/>
      <c r="I770" s="492"/>
      <c r="J770" s="254"/>
      <c r="K770" s="492"/>
      <c r="L770" s="254"/>
      <c r="M770" s="492"/>
      <c r="N770" s="254"/>
      <c r="O770" s="492"/>
      <c r="P770" s="254"/>
      <c r="Q770" s="492"/>
      <c r="R770" s="254"/>
      <c r="S770" s="514"/>
      <c r="T770" s="514"/>
      <c r="U770" s="492"/>
      <c r="V770" s="254"/>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row>
    <row r="771">
      <c r="A771" s="492"/>
      <c r="B771" s="254"/>
      <c r="C771" s="492"/>
      <c r="D771" s="254"/>
      <c r="E771" s="492"/>
      <c r="F771" s="254"/>
      <c r="G771" s="492"/>
      <c r="H771" s="254"/>
      <c r="I771" s="492"/>
      <c r="J771" s="254"/>
      <c r="K771" s="492"/>
      <c r="L771" s="254"/>
      <c r="M771" s="492"/>
      <c r="N771" s="254"/>
      <c r="O771" s="492"/>
      <c r="P771" s="254"/>
      <c r="Q771" s="492"/>
      <c r="R771" s="254"/>
      <c r="S771" s="514"/>
      <c r="T771" s="514"/>
      <c r="U771" s="492"/>
      <c r="V771" s="254"/>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row>
    <row r="772">
      <c r="A772" s="492"/>
      <c r="B772" s="254"/>
      <c r="C772" s="492"/>
      <c r="D772" s="254"/>
      <c r="E772" s="492"/>
      <c r="F772" s="254"/>
      <c r="G772" s="492"/>
      <c r="H772" s="254"/>
      <c r="I772" s="492"/>
      <c r="J772" s="254"/>
      <c r="K772" s="492"/>
      <c r="L772" s="254"/>
      <c r="M772" s="492"/>
      <c r="N772" s="254"/>
      <c r="O772" s="492"/>
      <c r="P772" s="254"/>
      <c r="Q772" s="492"/>
      <c r="R772" s="254"/>
      <c r="S772" s="514"/>
      <c r="T772" s="514"/>
      <c r="U772" s="492"/>
      <c r="V772" s="254"/>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row>
    <row r="773">
      <c r="A773" s="492"/>
      <c r="B773" s="254"/>
      <c r="C773" s="492"/>
      <c r="D773" s="254"/>
      <c r="E773" s="492"/>
      <c r="F773" s="254"/>
      <c r="G773" s="492"/>
      <c r="H773" s="254"/>
      <c r="I773" s="492"/>
      <c r="J773" s="254"/>
      <c r="K773" s="492"/>
      <c r="L773" s="254"/>
      <c r="M773" s="492"/>
      <c r="N773" s="254"/>
      <c r="O773" s="492"/>
      <c r="P773" s="254"/>
      <c r="Q773" s="492"/>
      <c r="R773" s="254"/>
      <c r="S773" s="514"/>
      <c r="T773" s="514"/>
      <c r="U773" s="492"/>
      <c r="V773" s="254"/>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row>
    <row r="774">
      <c r="A774" s="492"/>
      <c r="B774" s="254"/>
      <c r="C774" s="492"/>
      <c r="D774" s="254"/>
      <c r="E774" s="492"/>
      <c r="F774" s="254"/>
      <c r="G774" s="492"/>
      <c r="H774" s="254"/>
      <c r="I774" s="492"/>
      <c r="J774" s="254"/>
      <c r="K774" s="492"/>
      <c r="L774" s="254"/>
      <c r="M774" s="492"/>
      <c r="N774" s="254"/>
      <c r="O774" s="492"/>
      <c r="P774" s="254"/>
      <c r="Q774" s="492"/>
      <c r="R774" s="254"/>
      <c r="S774" s="514"/>
      <c r="T774" s="514"/>
      <c r="U774" s="492"/>
      <c r="V774" s="254"/>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row>
    <row r="775">
      <c r="A775" s="492"/>
      <c r="B775" s="254"/>
      <c r="C775" s="492"/>
      <c r="D775" s="254"/>
      <c r="E775" s="492"/>
      <c r="F775" s="254"/>
      <c r="G775" s="492"/>
      <c r="H775" s="254"/>
      <c r="I775" s="492"/>
      <c r="J775" s="254"/>
      <c r="K775" s="492"/>
      <c r="L775" s="254"/>
      <c r="M775" s="492"/>
      <c r="N775" s="254"/>
      <c r="O775" s="492"/>
      <c r="P775" s="254"/>
      <c r="Q775" s="492"/>
      <c r="R775" s="254"/>
      <c r="S775" s="514"/>
      <c r="T775" s="514"/>
      <c r="U775" s="492"/>
      <c r="V775" s="254"/>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row>
    <row r="776">
      <c r="A776" s="492"/>
      <c r="B776" s="254"/>
      <c r="C776" s="492"/>
      <c r="D776" s="254"/>
      <c r="E776" s="492"/>
      <c r="F776" s="254"/>
      <c r="G776" s="492"/>
      <c r="H776" s="254"/>
      <c r="I776" s="492"/>
      <c r="J776" s="254"/>
      <c r="K776" s="492"/>
      <c r="L776" s="254"/>
      <c r="M776" s="492"/>
      <c r="N776" s="254"/>
      <c r="O776" s="492"/>
      <c r="P776" s="254"/>
      <c r="Q776" s="492"/>
      <c r="R776" s="254"/>
      <c r="S776" s="514"/>
      <c r="T776" s="514"/>
      <c r="U776" s="492"/>
      <c r="V776" s="254"/>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row>
    <row r="777">
      <c r="A777" s="492"/>
      <c r="B777" s="254"/>
      <c r="C777" s="492"/>
      <c r="D777" s="254"/>
      <c r="E777" s="492"/>
      <c r="F777" s="254"/>
      <c r="G777" s="492"/>
      <c r="H777" s="254"/>
      <c r="I777" s="492"/>
      <c r="J777" s="254"/>
      <c r="K777" s="492"/>
      <c r="L777" s="254"/>
      <c r="M777" s="492"/>
      <c r="N777" s="254"/>
      <c r="O777" s="492"/>
      <c r="P777" s="254"/>
      <c r="Q777" s="492"/>
      <c r="R777" s="254"/>
      <c r="S777" s="514"/>
      <c r="T777" s="514"/>
      <c r="U777" s="492"/>
      <c r="V777" s="254"/>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row>
    <row r="778">
      <c r="A778" s="492"/>
      <c r="B778" s="254"/>
      <c r="C778" s="492"/>
      <c r="D778" s="254"/>
      <c r="E778" s="492"/>
      <c r="F778" s="254"/>
      <c r="G778" s="492"/>
      <c r="H778" s="254"/>
      <c r="I778" s="492"/>
      <c r="J778" s="254"/>
      <c r="K778" s="492"/>
      <c r="L778" s="254"/>
      <c r="M778" s="492"/>
      <c r="N778" s="254"/>
      <c r="O778" s="492"/>
      <c r="P778" s="254"/>
      <c r="Q778" s="492"/>
      <c r="R778" s="254"/>
      <c r="S778" s="514"/>
      <c r="T778" s="514"/>
      <c r="U778" s="492"/>
      <c r="V778" s="254"/>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row>
    <row r="779">
      <c r="A779" s="492"/>
      <c r="B779" s="254"/>
      <c r="C779" s="492"/>
      <c r="D779" s="254"/>
      <c r="E779" s="492"/>
      <c r="F779" s="254"/>
      <c r="G779" s="492"/>
      <c r="H779" s="254"/>
      <c r="I779" s="492"/>
      <c r="J779" s="254"/>
      <c r="K779" s="492"/>
      <c r="L779" s="254"/>
      <c r="M779" s="492"/>
      <c r="N779" s="254"/>
      <c r="O779" s="492"/>
      <c r="P779" s="254"/>
      <c r="Q779" s="492"/>
      <c r="R779" s="254"/>
      <c r="S779" s="514"/>
      <c r="T779" s="514"/>
      <c r="U779" s="492"/>
      <c r="V779" s="254"/>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row>
    <row r="780">
      <c r="A780" s="492"/>
      <c r="B780" s="254"/>
      <c r="C780" s="492"/>
      <c r="D780" s="254"/>
      <c r="E780" s="492"/>
      <c r="F780" s="254"/>
      <c r="G780" s="492"/>
      <c r="H780" s="254"/>
      <c r="I780" s="492"/>
      <c r="J780" s="254"/>
      <c r="K780" s="492"/>
      <c r="L780" s="254"/>
      <c r="M780" s="492"/>
      <c r="N780" s="254"/>
      <c r="O780" s="492"/>
      <c r="P780" s="254"/>
      <c r="Q780" s="492"/>
      <c r="R780" s="254"/>
      <c r="S780" s="514"/>
      <c r="T780" s="514"/>
      <c r="U780" s="492"/>
      <c r="V780" s="254"/>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row>
    <row r="781">
      <c r="A781" s="492"/>
      <c r="B781" s="254"/>
      <c r="C781" s="492"/>
      <c r="D781" s="254"/>
      <c r="E781" s="492"/>
      <c r="F781" s="254"/>
      <c r="G781" s="492"/>
      <c r="H781" s="254"/>
      <c r="I781" s="492"/>
      <c r="J781" s="254"/>
      <c r="K781" s="492"/>
      <c r="L781" s="254"/>
      <c r="M781" s="492"/>
      <c r="N781" s="254"/>
      <c r="O781" s="492"/>
      <c r="P781" s="254"/>
      <c r="Q781" s="492"/>
      <c r="R781" s="254"/>
      <c r="S781" s="514"/>
      <c r="T781" s="514"/>
      <c r="U781" s="492"/>
      <c r="V781" s="254"/>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row>
    <row r="782">
      <c r="A782" s="492"/>
      <c r="B782" s="254"/>
      <c r="C782" s="492"/>
      <c r="D782" s="254"/>
      <c r="E782" s="492"/>
      <c r="F782" s="254"/>
      <c r="G782" s="492"/>
      <c r="H782" s="254"/>
      <c r="I782" s="492"/>
      <c r="J782" s="254"/>
      <c r="K782" s="492"/>
      <c r="L782" s="254"/>
      <c r="M782" s="492"/>
      <c r="N782" s="254"/>
      <c r="O782" s="492"/>
      <c r="P782" s="254"/>
      <c r="Q782" s="492"/>
      <c r="R782" s="254"/>
      <c r="S782" s="514"/>
      <c r="T782" s="514"/>
      <c r="U782" s="492"/>
      <c r="V782" s="254"/>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row>
    <row r="783">
      <c r="A783" s="492"/>
      <c r="B783" s="254"/>
      <c r="C783" s="492"/>
      <c r="D783" s="254"/>
      <c r="E783" s="492"/>
      <c r="F783" s="254"/>
      <c r="G783" s="492"/>
      <c r="H783" s="254"/>
      <c r="I783" s="492"/>
      <c r="J783" s="254"/>
      <c r="K783" s="492"/>
      <c r="L783" s="254"/>
      <c r="M783" s="492"/>
      <c r="N783" s="254"/>
      <c r="O783" s="492"/>
      <c r="P783" s="254"/>
      <c r="Q783" s="492"/>
      <c r="R783" s="254"/>
      <c r="S783" s="514"/>
      <c r="T783" s="514"/>
      <c r="U783" s="492"/>
      <c r="V783" s="254"/>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row>
    <row r="784">
      <c r="A784" s="492"/>
      <c r="B784" s="254"/>
      <c r="C784" s="492"/>
      <c r="D784" s="254"/>
      <c r="E784" s="492"/>
      <c r="F784" s="254"/>
      <c r="G784" s="492"/>
      <c r="H784" s="254"/>
      <c r="I784" s="492"/>
      <c r="J784" s="254"/>
      <c r="K784" s="492"/>
      <c r="L784" s="254"/>
      <c r="M784" s="492"/>
      <c r="N784" s="254"/>
      <c r="O784" s="492"/>
      <c r="P784" s="254"/>
      <c r="Q784" s="492"/>
      <c r="R784" s="254"/>
      <c r="S784" s="514"/>
      <c r="T784" s="514"/>
      <c r="U784" s="492"/>
      <c r="V784" s="254"/>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row>
    <row r="785">
      <c r="A785" s="492"/>
      <c r="B785" s="254"/>
      <c r="C785" s="492"/>
      <c r="D785" s="254"/>
      <c r="E785" s="492"/>
      <c r="F785" s="254"/>
      <c r="G785" s="492"/>
      <c r="H785" s="254"/>
      <c r="I785" s="492"/>
      <c r="J785" s="254"/>
      <c r="K785" s="492"/>
      <c r="L785" s="254"/>
      <c r="M785" s="492"/>
      <c r="N785" s="254"/>
      <c r="O785" s="492"/>
      <c r="P785" s="254"/>
      <c r="Q785" s="492"/>
      <c r="R785" s="254"/>
      <c r="S785" s="514"/>
      <c r="T785" s="514"/>
      <c r="U785" s="492"/>
      <c r="V785" s="254"/>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row>
    <row r="786">
      <c r="A786" s="492"/>
      <c r="B786" s="254"/>
      <c r="C786" s="492"/>
      <c r="D786" s="254"/>
      <c r="E786" s="492"/>
      <c r="F786" s="254"/>
      <c r="G786" s="492"/>
      <c r="H786" s="254"/>
      <c r="I786" s="492"/>
      <c r="J786" s="254"/>
      <c r="K786" s="492"/>
      <c r="L786" s="254"/>
      <c r="M786" s="492"/>
      <c r="N786" s="254"/>
      <c r="O786" s="492"/>
      <c r="P786" s="254"/>
      <c r="Q786" s="492"/>
      <c r="R786" s="254"/>
      <c r="S786" s="514"/>
      <c r="T786" s="514"/>
      <c r="U786" s="492"/>
      <c r="V786" s="254"/>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row>
    <row r="787">
      <c r="A787" s="492"/>
      <c r="B787" s="254"/>
      <c r="C787" s="492"/>
      <c r="D787" s="254"/>
      <c r="E787" s="492"/>
      <c r="F787" s="254"/>
      <c r="G787" s="492"/>
      <c r="H787" s="254"/>
      <c r="I787" s="492"/>
      <c r="J787" s="254"/>
      <c r="K787" s="492"/>
      <c r="L787" s="254"/>
      <c r="M787" s="492"/>
      <c r="N787" s="254"/>
      <c r="O787" s="492"/>
      <c r="P787" s="254"/>
      <c r="Q787" s="492"/>
      <c r="R787" s="254"/>
      <c r="S787" s="514"/>
      <c r="T787" s="514"/>
      <c r="U787" s="492"/>
      <c r="V787" s="254"/>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row>
    <row r="788">
      <c r="A788" s="492"/>
      <c r="B788" s="254"/>
      <c r="C788" s="492"/>
      <c r="D788" s="254"/>
      <c r="E788" s="492"/>
      <c r="F788" s="254"/>
      <c r="G788" s="492"/>
      <c r="H788" s="254"/>
      <c r="I788" s="492"/>
      <c r="J788" s="254"/>
      <c r="K788" s="492"/>
      <c r="L788" s="254"/>
      <c r="M788" s="492"/>
      <c r="N788" s="254"/>
      <c r="O788" s="492"/>
      <c r="P788" s="254"/>
      <c r="Q788" s="492"/>
      <c r="R788" s="254"/>
      <c r="S788" s="514"/>
      <c r="T788" s="514"/>
      <c r="U788" s="492"/>
      <c r="V788" s="254"/>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row>
    <row r="789">
      <c r="A789" s="492"/>
      <c r="B789" s="254"/>
      <c r="C789" s="492"/>
      <c r="D789" s="254"/>
      <c r="E789" s="492"/>
      <c r="F789" s="254"/>
      <c r="G789" s="492"/>
      <c r="H789" s="254"/>
      <c r="I789" s="492"/>
      <c r="J789" s="254"/>
      <c r="K789" s="492"/>
      <c r="L789" s="254"/>
      <c r="M789" s="492"/>
      <c r="N789" s="254"/>
      <c r="O789" s="492"/>
      <c r="P789" s="254"/>
      <c r="Q789" s="492"/>
      <c r="R789" s="254"/>
      <c r="S789" s="514"/>
      <c r="T789" s="514"/>
      <c r="U789" s="492"/>
      <c r="V789" s="254"/>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row>
    <row r="790">
      <c r="A790" s="492"/>
      <c r="B790" s="254"/>
      <c r="C790" s="492"/>
      <c r="D790" s="254"/>
      <c r="E790" s="492"/>
      <c r="F790" s="254"/>
      <c r="G790" s="492"/>
      <c r="H790" s="254"/>
      <c r="I790" s="492"/>
      <c r="J790" s="254"/>
      <c r="K790" s="492"/>
      <c r="L790" s="254"/>
      <c r="M790" s="492"/>
      <c r="N790" s="254"/>
      <c r="O790" s="492"/>
      <c r="P790" s="254"/>
      <c r="Q790" s="492"/>
      <c r="R790" s="254"/>
      <c r="S790" s="514"/>
      <c r="T790" s="514"/>
      <c r="U790" s="492"/>
      <c r="V790" s="254"/>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row>
    <row r="791">
      <c r="A791" s="492"/>
      <c r="B791" s="254"/>
      <c r="C791" s="492"/>
      <c r="D791" s="254"/>
      <c r="E791" s="492"/>
      <c r="F791" s="254"/>
      <c r="G791" s="492"/>
      <c r="H791" s="254"/>
      <c r="I791" s="492"/>
      <c r="J791" s="254"/>
      <c r="K791" s="492"/>
      <c r="L791" s="254"/>
      <c r="M791" s="492"/>
      <c r="N791" s="254"/>
      <c r="O791" s="492"/>
      <c r="P791" s="254"/>
      <c r="Q791" s="492"/>
      <c r="R791" s="254"/>
      <c r="S791" s="514"/>
      <c r="T791" s="514"/>
      <c r="U791" s="492"/>
      <c r="V791" s="254"/>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row>
    <row r="792">
      <c r="A792" s="492"/>
      <c r="B792" s="254"/>
      <c r="C792" s="492"/>
      <c r="D792" s="254"/>
      <c r="E792" s="492"/>
      <c r="F792" s="254"/>
      <c r="G792" s="492"/>
      <c r="H792" s="254"/>
      <c r="I792" s="492"/>
      <c r="J792" s="254"/>
      <c r="K792" s="492"/>
      <c r="L792" s="254"/>
      <c r="M792" s="492"/>
      <c r="N792" s="254"/>
      <c r="O792" s="492"/>
      <c r="P792" s="254"/>
      <c r="Q792" s="492"/>
      <c r="R792" s="254"/>
      <c r="S792" s="514"/>
      <c r="T792" s="514"/>
      <c r="U792" s="492"/>
      <c r="V792" s="254"/>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row>
    <row r="793">
      <c r="A793" s="492"/>
      <c r="B793" s="254"/>
      <c r="C793" s="492"/>
      <c r="D793" s="254"/>
      <c r="E793" s="492"/>
      <c r="F793" s="254"/>
      <c r="G793" s="492"/>
      <c r="H793" s="254"/>
      <c r="I793" s="492"/>
      <c r="J793" s="254"/>
      <c r="K793" s="492"/>
      <c r="L793" s="254"/>
      <c r="M793" s="492"/>
      <c r="N793" s="254"/>
      <c r="O793" s="492"/>
      <c r="P793" s="254"/>
      <c r="Q793" s="492"/>
      <c r="R793" s="254"/>
      <c r="S793" s="514"/>
      <c r="T793" s="514"/>
      <c r="U793" s="492"/>
      <c r="V793" s="254"/>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row>
    <row r="794">
      <c r="A794" s="492"/>
      <c r="B794" s="254"/>
      <c r="C794" s="492"/>
      <c r="D794" s="254"/>
      <c r="E794" s="492"/>
      <c r="F794" s="254"/>
      <c r="G794" s="492"/>
      <c r="H794" s="254"/>
      <c r="I794" s="492"/>
      <c r="J794" s="254"/>
      <c r="K794" s="492"/>
      <c r="L794" s="254"/>
      <c r="M794" s="492"/>
      <c r="N794" s="254"/>
      <c r="O794" s="492"/>
      <c r="P794" s="254"/>
      <c r="Q794" s="492"/>
      <c r="R794" s="254"/>
      <c r="S794" s="514"/>
      <c r="T794" s="514"/>
      <c r="U794" s="492"/>
      <c r="V794" s="254"/>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row>
    <row r="795">
      <c r="A795" s="492"/>
      <c r="B795" s="254"/>
      <c r="C795" s="492"/>
      <c r="D795" s="254"/>
      <c r="E795" s="492"/>
      <c r="F795" s="254"/>
      <c r="G795" s="492"/>
      <c r="H795" s="254"/>
      <c r="I795" s="492"/>
      <c r="J795" s="254"/>
      <c r="K795" s="492"/>
      <c r="L795" s="254"/>
      <c r="M795" s="492"/>
      <c r="N795" s="254"/>
      <c r="O795" s="492"/>
      <c r="P795" s="254"/>
      <c r="Q795" s="492"/>
      <c r="R795" s="254"/>
      <c r="S795" s="514"/>
      <c r="T795" s="514"/>
      <c r="U795" s="492"/>
      <c r="V795" s="254"/>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row>
    <row r="796">
      <c r="A796" s="492"/>
      <c r="B796" s="254"/>
      <c r="C796" s="492"/>
      <c r="D796" s="254"/>
      <c r="E796" s="492"/>
      <c r="F796" s="254"/>
      <c r="G796" s="492"/>
      <c r="H796" s="254"/>
      <c r="I796" s="492"/>
      <c r="J796" s="254"/>
      <c r="K796" s="492"/>
      <c r="L796" s="254"/>
      <c r="M796" s="492"/>
      <c r="N796" s="254"/>
      <c r="O796" s="492"/>
      <c r="P796" s="254"/>
      <c r="Q796" s="492"/>
      <c r="R796" s="254"/>
      <c r="S796" s="514"/>
      <c r="T796" s="514"/>
      <c r="U796" s="492"/>
      <c r="V796" s="254"/>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row>
    <row r="797">
      <c r="A797" s="492"/>
      <c r="B797" s="254"/>
      <c r="C797" s="492"/>
      <c r="D797" s="254"/>
      <c r="E797" s="492"/>
      <c r="F797" s="254"/>
      <c r="G797" s="492"/>
      <c r="H797" s="254"/>
      <c r="I797" s="492"/>
      <c r="J797" s="254"/>
      <c r="K797" s="492"/>
      <c r="L797" s="254"/>
      <c r="M797" s="492"/>
      <c r="N797" s="254"/>
      <c r="O797" s="492"/>
      <c r="P797" s="254"/>
      <c r="Q797" s="492"/>
      <c r="R797" s="254"/>
      <c r="S797" s="514"/>
      <c r="T797" s="514"/>
      <c r="U797" s="492"/>
      <c r="V797" s="254"/>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row>
    <row r="798">
      <c r="A798" s="492"/>
      <c r="B798" s="254"/>
      <c r="C798" s="492"/>
      <c r="D798" s="254"/>
      <c r="E798" s="492"/>
      <c r="F798" s="254"/>
      <c r="G798" s="492"/>
      <c r="H798" s="254"/>
      <c r="I798" s="492"/>
      <c r="J798" s="254"/>
      <c r="K798" s="492"/>
      <c r="L798" s="254"/>
      <c r="M798" s="492"/>
      <c r="N798" s="254"/>
      <c r="O798" s="492"/>
      <c r="P798" s="254"/>
      <c r="Q798" s="492"/>
      <c r="R798" s="254"/>
      <c r="S798" s="514"/>
      <c r="T798" s="514"/>
      <c r="U798" s="492"/>
      <c r="V798" s="254"/>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row>
    <row r="799">
      <c r="A799" s="492"/>
      <c r="B799" s="254"/>
      <c r="C799" s="492"/>
      <c r="D799" s="254"/>
      <c r="E799" s="492"/>
      <c r="F799" s="254"/>
      <c r="G799" s="492"/>
      <c r="H799" s="254"/>
      <c r="I799" s="492"/>
      <c r="J799" s="254"/>
      <c r="K799" s="492"/>
      <c r="L799" s="254"/>
      <c r="M799" s="492"/>
      <c r="N799" s="254"/>
      <c r="O799" s="492"/>
      <c r="P799" s="254"/>
      <c r="Q799" s="492"/>
      <c r="R799" s="254"/>
      <c r="S799" s="514"/>
      <c r="T799" s="514"/>
      <c r="U799" s="492"/>
      <c r="V799" s="254"/>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row>
    <row r="800">
      <c r="A800" s="492"/>
      <c r="B800" s="254"/>
      <c r="C800" s="492"/>
      <c r="D800" s="254"/>
      <c r="E800" s="492"/>
      <c r="F800" s="254"/>
      <c r="G800" s="492"/>
      <c r="H800" s="254"/>
      <c r="I800" s="492"/>
      <c r="J800" s="254"/>
      <c r="K800" s="492"/>
      <c r="L800" s="254"/>
      <c r="M800" s="492"/>
      <c r="N800" s="254"/>
      <c r="O800" s="492"/>
      <c r="P800" s="254"/>
      <c r="Q800" s="492"/>
      <c r="R800" s="254"/>
      <c r="S800" s="514"/>
      <c r="T800" s="514"/>
      <c r="U800" s="492"/>
      <c r="V800" s="254"/>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row>
    <row r="801">
      <c r="A801" s="492"/>
      <c r="B801" s="254"/>
      <c r="C801" s="492"/>
      <c r="D801" s="254"/>
      <c r="E801" s="492"/>
      <c r="F801" s="254"/>
      <c r="G801" s="492"/>
      <c r="H801" s="254"/>
      <c r="I801" s="492"/>
      <c r="J801" s="254"/>
      <c r="K801" s="492"/>
      <c r="L801" s="254"/>
      <c r="M801" s="492"/>
      <c r="N801" s="254"/>
      <c r="O801" s="492"/>
      <c r="P801" s="254"/>
      <c r="Q801" s="492"/>
      <c r="R801" s="254"/>
      <c r="S801" s="514"/>
      <c r="T801" s="514"/>
      <c r="U801" s="492"/>
      <c r="V801" s="254"/>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row>
    <row r="802">
      <c r="A802" s="492"/>
      <c r="B802" s="254"/>
      <c r="C802" s="492"/>
      <c r="D802" s="254"/>
      <c r="E802" s="492"/>
      <c r="F802" s="254"/>
      <c r="G802" s="492"/>
      <c r="H802" s="254"/>
      <c r="I802" s="492"/>
      <c r="J802" s="254"/>
      <c r="K802" s="492"/>
      <c r="L802" s="254"/>
      <c r="M802" s="492"/>
      <c r="N802" s="254"/>
      <c r="O802" s="492"/>
      <c r="P802" s="254"/>
      <c r="Q802" s="492"/>
      <c r="R802" s="254"/>
      <c r="S802" s="514"/>
      <c r="T802" s="514"/>
      <c r="U802" s="492"/>
      <c r="V802" s="254"/>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row>
    <row r="803">
      <c r="A803" s="492"/>
      <c r="B803" s="254"/>
      <c r="C803" s="492"/>
      <c r="D803" s="254"/>
      <c r="E803" s="492"/>
      <c r="F803" s="254"/>
      <c r="G803" s="492"/>
      <c r="H803" s="254"/>
      <c r="I803" s="492"/>
      <c r="J803" s="254"/>
      <c r="K803" s="492"/>
      <c r="L803" s="254"/>
      <c r="M803" s="492"/>
      <c r="N803" s="254"/>
      <c r="O803" s="492"/>
      <c r="P803" s="254"/>
      <c r="Q803" s="492"/>
      <c r="R803" s="254"/>
      <c r="S803" s="514"/>
      <c r="T803" s="514"/>
      <c r="U803" s="492"/>
      <c r="V803" s="254"/>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row>
    <row r="804">
      <c r="A804" s="492"/>
      <c r="B804" s="254"/>
      <c r="C804" s="492"/>
      <c r="D804" s="254"/>
      <c r="E804" s="492"/>
      <c r="F804" s="254"/>
      <c r="G804" s="492"/>
      <c r="H804" s="254"/>
      <c r="I804" s="492"/>
      <c r="J804" s="254"/>
      <c r="K804" s="492"/>
      <c r="L804" s="254"/>
      <c r="M804" s="492"/>
      <c r="N804" s="254"/>
      <c r="O804" s="492"/>
      <c r="P804" s="254"/>
      <c r="Q804" s="492"/>
      <c r="R804" s="254"/>
      <c r="S804" s="514"/>
      <c r="T804" s="514"/>
      <c r="U804" s="492"/>
      <c r="V804" s="254"/>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row>
    <row r="805">
      <c r="A805" s="492"/>
      <c r="B805" s="254"/>
      <c r="C805" s="492"/>
      <c r="D805" s="254"/>
      <c r="E805" s="492"/>
      <c r="F805" s="254"/>
      <c r="G805" s="492"/>
      <c r="H805" s="254"/>
      <c r="I805" s="492"/>
      <c r="J805" s="254"/>
      <c r="K805" s="492"/>
      <c r="L805" s="254"/>
      <c r="M805" s="492"/>
      <c r="N805" s="254"/>
      <c r="O805" s="492"/>
      <c r="P805" s="254"/>
      <c r="Q805" s="492"/>
      <c r="R805" s="254"/>
      <c r="S805" s="514"/>
      <c r="T805" s="514"/>
      <c r="U805" s="492"/>
      <c r="V805" s="254"/>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row>
    <row r="806">
      <c r="A806" s="492"/>
      <c r="B806" s="254"/>
      <c r="C806" s="492"/>
      <c r="D806" s="254"/>
      <c r="E806" s="492"/>
      <c r="F806" s="254"/>
      <c r="G806" s="492"/>
      <c r="H806" s="254"/>
      <c r="I806" s="492"/>
      <c r="J806" s="254"/>
      <c r="K806" s="492"/>
      <c r="L806" s="254"/>
      <c r="M806" s="492"/>
      <c r="N806" s="254"/>
      <c r="O806" s="492"/>
      <c r="P806" s="254"/>
      <c r="Q806" s="492"/>
      <c r="R806" s="254"/>
      <c r="S806" s="514"/>
      <c r="T806" s="514"/>
      <c r="U806" s="492"/>
      <c r="V806" s="254"/>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row>
    <row r="807">
      <c r="A807" s="492"/>
      <c r="B807" s="254"/>
      <c r="C807" s="492"/>
      <c r="D807" s="254"/>
      <c r="E807" s="492"/>
      <c r="F807" s="254"/>
      <c r="G807" s="492"/>
      <c r="H807" s="254"/>
      <c r="I807" s="492"/>
      <c r="J807" s="254"/>
      <c r="K807" s="492"/>
      <c r="L807" s="254"/>
      <c r="M807" s="492"/>
      <c r="N807" s="254"/>
      <c r="O807" s="492"/>
      <c r="P807" s="254"/>
      <c r="Q807" s="492"/>
      <c r="R807" s="254"/>
      <c r="S807" s="514"/>
      <c r="T807" s="514"/>
      <c r="U807" s="492"/>
      <c r="V807" s="254"/>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row>
    <row r="808">
      <c r="A808" s="492"/>
      <c r="B808" s="254"/>
      <c r="C808" s="492"/>
      <c r="D808" s="254"/>
      <c r="E808" s="492"/>
      <c r="F808" s="254"/>
      <c r="G808" s="492"/>
      <c r="H808" s="254"/>
      <c r="I808" s="492"/>
      <c r="J808" s="254"/>
      <c r="K808" s="492"/>
      <c r="L808" s="254"/>
      <c r="M808" s="492"/>
      <c r="N808" s="254"/>
      <c r="O808" s="492"/>
      <c r="P808" s="254"/>
      <c r="Q808" s="492"/>
      <c r="R808" s="254"/>
      <c r="S808" s="514"/>
      <c r="T808" s="514"/>
      <c r="U808" s="492"/>
      <c r="V808" s="254"/>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row>
    <row r="809">
      <c r="A809" s="492"/>
      <c r="B809" s="254"/>
      <c r="C809" s="492"/>
      <c r="D809" s="254"/>
      <c r="E809" s="492"/>
      <c r="F809" s="254"/>
      <c r="G809" s="492"/>
      <c r="H809" s="254"/>
      <c r="I809" s="492"/>
      <c r="J809" s="254"/>
      <c r="K809" s="492"/>
      <c r="L809" s="254"/>
      <c r="M809" s="492"/>
      <c r="N809" s="254"/>
      <c r="O809" s="492"/>
      <c r="P809" s="254"/>
      <c r="Q809" s="492"/>
      <c r="R809" s="254"/>
      <c r="S809" s="514"/>
      <c r="T809" s="514"/>
      <c r="U809" s="492"/>
      <c r="V809" s="254"/>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row>
    <row r="810">
      <c r="A810" s="492"/>
      <c r="B810" s="254"/>
      <c r="C810" s="492"/>
      <c r="D810" s="254"/>
      <c r="E810" s="492"/>
      <c r="F810" s="254"/>
      <c r="G810" s="492"/>
      <c r="H810" s="254"/>
      <c r="I810" s="492"/>
      <c r="J810" s="254"/>
      <c r="K810" s="492"/>
      <c r="L810" s="254"/>
      <c r="M810" s="492"/>
      <c r="N810" s="254"/>
      <c r="O810" s="492"/>
      <c r="P810" s="254"/>
      <c r="Q810" s="492"/>
      <c r="R810" s="254"/>
      <c r="S810" s="514"/>
      <c r="T810" s="514"/>
      <c r="U810" s="492"/>
      <c r="V810" s="254"/>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row>
    <row r="811">
      <c r="A811" s="492"/>
      <c r="B811" s="254"/>
      <c r="C811" s="492"/>
      <c r="D811" s="254"/>
      <c r="E811" s="492"/>
      <c r="F811" s="254"/>
      <c r="G811" s="492"/>
      <c r="H811" s="254"/>
      <c r="I811" s="492"/>
      <c r="J811" s="254"/>
      <c r="K811" s="492"/>
      <c r="L811" s="254"/>
      <c r="M811" s="492"/>
      <c r="N811" s="254"/>
      <c r="O811" s="492"/>
      <c r="P811" s="254"/>
      <c r="Q811" s="492"/>
      <c r="R811" s="254"/>
      <c r="S811" s="514"/>
      <c r="T811" s="514"/>
      <c r="U811" s="492"/>
      <c r="V811" s="254"/>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row>
    <row r="812">
      <c r="A812" s="492"/>
      <c r="B812" s="254"/>
      <c r="C812" s="492"/>
      <c r="D812" s="254"/>
      <c r="E812" s="492"/>
      <c r="F812" s="254"/>
      <c r="G812" s="492"/>
      <c r="H812" s="254"/>
      <c r="I812" s="492"/>
      <c r="J812" s="254"/>
      <c r="K812" s="492"/>
      <c r="L812" s="254"/>
      <c r="M812" s="492"/>
      <c r="N812" s="254"/>
      <c r="O812" s="492"/>
      <c r="P812" s="254"/>
      <c r="Q812" s="492"/>
      <c r="R812" s="254"/>
      <c r="S812" s="514"/>
      <c r="T812" s="514"/>
      <c r="U812" s="492"/>
      <c r="V812" s="254"/>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row>
    <row r="813">
      <c r="A813" s="492"/>
      <c r="B813" s="254"/>
      <c r="C813" s="492"/>
      <c r="D813" s="254"/>
      <c r="E813" s="492"/>
      <c r="F813" s="254"/>
      <c r="G813" s="492"/>
      <c r="H813" s="254"/>
      <c r="I813" s="492"/>
      <c r="J813" s="254"/>
      <c r="K813" s="492"/>
      <c r="L813" s="254"/>
      <c r="M813" s="492"/>
      <c r="N813" s="254"/>
      <c r="O813" s="492"/>
      <c r="P813" s="254"/>
      <c r="Q813" s="492"/>
      <c r="R813" s="254"/>
      <c r="S813" s="514"/>
      <c r="T813" s="514"/>
      <c r="U813" s="492"/>
      <c r="V813" s="254"/>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row>
    <row r="814">
      <c r="A814" s="492"/>
      <c r="B814" s="254"/>
      <c r="C814" s="492"/>
      <c r="D814" s="254"/>
      <c r="E814" s="492"/>
      <c r="F814" s="254"/>
      <c r="G814" s="492"/>
      <c r="H814" s="254"/>
      <c r="I814" s="492"/>
      <c r="J814" s="254"/>
      <c r="K814" s="492"/>
      <c r="L814" s="254"/>
      <c r="M814" s="492"/>
      <c r="N814" s="254"/>
      <c r="O814" s="492"/>
      <c r="P814" s="254"/>
      <c r="Q814" s="492"/>
      <c r="R814" s="254"/>
      <c r="S814" s="514"/>
      <c r="T814" s="514"/>
      <c r="U814" s="492"/>
      <c r="V814" s="254"/>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row>
    <row r="815">
      <c r="A815" s="492"/>
      <c r="B815" s="254"/>
      <c r="C815" s="492"/>
      <c r="D815" s="254"/>
      <c r="E815" s="492"/>
      <c r="F815" s="254"/>
      <c r="G815" s="492"/>
      <c r="H815" s="254"/>
      <c r="I815" s="492"/>
      <c r="J815" s="254"/>
      <c r="K815" s="492"/>
      <c r="L815" s="254"/>
      <c r="M815" s="492"/>
      <c r="N815" s="254"/>
      <c r="O815" s="492"/>
      <c r="P815" s="254"/>
      <c r="Q815" s="492"/>
      <c r="R815" s="254"/>
      <c r="S815" s="514"/>
      <c r="T815" s="514"/>
      <c r="U815" s="492"/>
      <c r="V815" s="254"/>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row>
    <row r="816">
      <c r="A816" s="492"/>
      <c r="B816" s="254"/>
      <c r="C816" s="492"/>
      <c r="D816" s="254"/>
      <c r="E816" s="492"/>
      <c r="F816" s="254"/>
      <c r="G816" s="492"/>
      <c r="H816" s="254"/>
      <c r="I816" s="492"/>
      <c r="J816" s="254"/>
      <c r="K816" s="492"/>
      <c r="L816" s="254"/>
      <c r="M816" s="492"/>
      <c r="N816" s="254"/>
      <c r="O816" s="492"/>
      <c r="P816" s="254"/>
      <c r="Q816" s="492"/>
      <c r="R816" s="254"/>
      <c r="S816" s="514"/>
      <c r="T816" s="514"/>
      <c r="U816" s="492"/>
      <c r="V816" s="254"/>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row>
    <row r="817">
      <c r="A817" s="492"/>
      <c r="B817" s="254"/>
      <c r="C817" s="492"/>
      <c r="D817" s="254"/>
      <c r="E817" s="492"/>
      <c r="F817" s="254"/>
      <c r="G817" s="492"/>
      <c r="H817" s="254"/>
      <c r="I817" s="492"/>
      <c r="J817" s="254"/>
      <c r="K817" s="492"/>
      <c r="L817" s="254"/>
      <c r="M817" s="492"/>
      <c r="N817" s="254"/>
      <c r="O817" s="492"/>
      <c r="P817" s="254"/>
      <c r="Q817" s="492"/>
      <c r="R817" s="254"/>
      <c r="S817" s="514"/>
      <c r="T817" s="514"/>
      <c r="U817" s="492"/>
      <c r="V817" s="254"/>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row>
    <row r="818">
      <c r="A818" s="492"/>
      <c r="B818" s="254"/>
      <c r="C818" s="492"/>
      <c r="D818" s="254"/>
      <c r="E818" s="492"/>
      <c r="F818" s="254"/>
      <c r="G818" s="492"/>
      <c r="H818" s="254"/>
      <c r="I818" s="492"/>
      <c r="J818" s="254"/>
      <c r="K818" s="492"/>
      <c r="L818" s="254"/>
      <c r="M818" s="492"/>
      <c r="N818" s="254"/>
      <c r="O818" s="492"/>
      <c r="P818" s="254"/>
      <c r="Q818" s="492"/>
      <c r="R818" s="254"/>
      <c r="S818" s="514"/>
      <c r="T818" s="514"/>
      <c r="U818" s="492"/>
      <c r="V818" s="254"/>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row>
    <row r="819">
      <c r="A819" s="492"/>
      <c r="B819" s="254"/>
      <c r="C819" s="492"/>
      <c r="D819" s="254"/>
      <c r="E819" s="492"/>
      <c r="F819" s="254"/>
      <c r="G819" s="492"/>
      <c r="H819" s="254"/>
      <c r="I819" s="492"/>
      <c r="J819" s="254"/>
      <c r="K819" s="492"/>
      <c r="L819" s="254"/>
      <c r="M819" s="492"/>
      <c r="N819" s="254"/>
      <c r="O819" s="492"/>
      <c r="P819" s="254"/>
      <c r="Q819" s="492"/>
      <c r="R819" s="254"/>
      <c r="S819" s="514"/>
      <c r="T819" s="514"/>
      <c r="U819" s="492"/>
      <c r="V819" s="254"/>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row>
    <row r="820">
      <c r="A820" s="492"/>
      <c r="B820" s="254"/>
      <c r="C820" s="492"/>
      <c r="D820" s="254"/>
      <c r="E820" s="492"/>
      <c r="F820" s="254"/>
      <c r="G820" s="492"/>
      <c r="H820" s="254"/>
      <c r="I820" s="492"/>
      <c r="J820" s="254"/>
      <c r="K820" s="492"/>
      <c r="L820" s="254"/>
      <c r="M820" s="492"/>
      <c r="N820" s="254"/>
      <c r="O820" s="492"/>
      <c r="P820" s="254"/>
      <c r="Q820" s="492"/>
      <c r="R820" s="254"/>
      <c r="S820" s="514"/>
      <c r="T820" s="514"/>
      <c r="U820" s="492"/>
      <c r="V820" s="254"/>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row>
    <row r="821">
      <c r="A821" s="492"/>
      <c r="B821" s="254"/>
      <c r="C821" s="492"/>
      <c r="D821" s="254"/>
      <c r="E821" s="492"/>
      <c r="F821" s="254"/>
      <c r="G821" s="492"/>
      <c r="H821" s="254"/>
      <c r="I821" s="492"/>
      <c r="J821" s="254"/>
      <c r="K821" s="492"/>
      <c r="L821" s="254"/>
      <c r="M821" s="492"/>
      <c r="N821" s="254"/>
      <c r="O821" s="492"/>
      <c r="P821" s="254"/>
      <c r="Q821" s="492"/>
      <c r="R821" s="254"/>
      <c r="S821" s="514"/>
      <c r="T821" s="514"/>
      <c r="U821" s="492"/>
      <c r="V821" s="254"/>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row>
    <row r="822">
      <c r="A822" s="492"/>
      <c r="B822" s="254"/>
      <c r="C822" s="492"/>
      <c r="D822" s="254"/>
      <c r="E822" s="492"/>
      <c r="F822" s="254"/>
      <c r="G822" s="492"/>
      <c r="H822" s="254"/>
      <c r="I822" s="492"/>
      <c r="J822" s="254"/>
      <c r="K822" s="492"/>
      <c r="L822" s="254"/>
      <c r="M822" s="492"/>
      <c r="N822" s="254"/>
      <c r="O822" s="492"/>
      <c r="P822" s="254"/>
      <c r="Q822" s="492"/>
      <c r="R822" s="254"/>
      <c r="S822" s="514"/>
      <c r="T822" s="514"/>
      <c r="U822" s="492"/>
      <c r="V822" s="254"/>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row>
    <row r="823">
      <c r="A823" s="492"/>
      <c r="B823" s="254"/>
      <c r="C823" s="492"/>
      <c r="D823" s="254"/>
      <c r="E823" s="492"/>
      <c r="F823" s="254"/>
      <c r="G823" s="492"/>
      <c r="H823" s="254"/>
      <c r="I823" s="492"/>
      <c r="J823" s="254"/>
      <c r="K823" s="492"/>
      <c r="L823" s="254"/>
      <c r="M823" s="492"/>
      <c r="N823" s="254"/>
      <c r="O823" s="492"/>
      <c r="P823" s="254"/>
      <c r="Q823" s="492"/>
      <c r="R823" s="254"/>
      <c r="S823" s="514"/>
      <c r="T823" s="514"/>
      <c r="U823" s="492"/>
      <c r="V823" s="254"/>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row>
    <row r="824">
      <c r="A824" s="492"/>
      <c r="B824" s="254"/>
      <c r="C824" s="492"/>
      <c r="D824" s="254"/>
      <c r="E824" s="492"/>
      <c r="F824" s="254"/>
      <c r="G824" s="492"/>
      <c r="H824" s="254"/>
      <c r="I824" s="492"/>
      <c r="J824" s="254"/>
      <c r="K824" s="492"/>
      <c r="L824" s="254"/>
      <c r="M824" s="492"/>
      <c r="N824" s="254"/>
      <c r="O824" s="492"/>
      <c r="P824" s="254"/>
      <c r="Q824" s="492"/>
      <c r="R824" s="254"/>
      <c r="S824" s="514"/>
      <c r="T824" s="514"/>
      <c r="U824" s="492"/>
      <c r="V824" s="254"/>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row>
    <row r="825">
      <c r="A825" s="492"/>
      <c r="B825" s="254"/>
      <c r="C825" s="492"/>
      <c r="D825" s="254"/>
      <c r="E825" s="492"/>
      <c r="F825" s="254"/>
      <c r="G825" s="492"/>
      <c r="H825" s="254"/>
      <c r="I825" s="492"/>
      <c r="J825" s="254"/>
      <c r="K825" s="492"/>
      <c r="L825" s="254"/>
      <c r="M825" s="492"/>
      <c r="N825" s="254"/>
      <c r="O825" s="492"/>
      <c r="P825" s="254"/>
      <c r="Q825" s="492"/>
      <c r="R825" s="254"/>
      <c r="S825" s="514"/>
      <c r="T825" s="514"/>
      <c r="U825" s="492"/>
      <c r="V825" s="254"/>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row>
    <row r="826">
      <c r="A826" s="492"/>
      <c r="B826" s="254"/>
      <c r="C826" s="492"/>
      <c r="D826" s="254"/>
      <c r="E826" s="492"/>
      <c r="F826" s="254"/>
      <c r="G826" s="492"/>
      <c r="H826" s="254"/>
      <c r="I826" s="492"/>
      <c r="J826" s="254"/>
      <c r="K826" s="492"/>
      <c r="L826" s="254"/>
      <c r="M826" s="492"/>
      <c r="N826" s="254"/>
      <c r="O826" s="492"/>
      <c r="P826" s="254"/>
      <c r="Q826" s="492"/>
      <c r="R826" s="254"/>
      <c r="S826" s="514"/>
      <c r="T826" s="514"/>
      <c r="U826" s="492"/>
      <c r="V826" s="254"/>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row>
    <row r="827">
      <c r="A827" s="492"/>
      <c r="B827" s="254"/>
      <c r="C827" s="492"/>
      <c r="D827" s="254"/>
      <c r="E827" s="492"/>
      <c r="F827" s="254"/>
      <c r="G827" s="492"/>
      <c r="H827" s="254"/>
      <c r="I827" s="492"/>
      <c r="J827" s="254"/>
      <c r="K827" s="492"/>
      <c r="L827" s="254"/>
      <c r="M827" s="492"/>
      <c r="N827" s="254"/>
      <c r="O827" s="492"/>
      <c r="P827" s="254"/>
      <c r="Q827" s="492"/>
      <c r="R827" s="254"/>
      <c r="S827" s="514"/>
      <c r="T827" s="514"/>
      <c r="U827" s="492"/>
      <c r="V827" s="254"/>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row>
    <row r="828">
      <c r="A828" s="492"/>
      <c r="B828" s="254"/>
      <c r="C828" s="492"/>
      <c r="D828" s="254"/>
      <c r="E828" s="492"/>
      <c r="F828" s="254"/>
      <c r="G828" s="492"/>
      <c r="H828" s="254"/>
      <c r="I828" s="492"/>
      <c r="J828" s="254"/>
      <c r="K828" s="492"/>
      <c r="L828" s="254"/>
      <c r="M828" s="492"/>
      <c r="N828" s="254"/>
      <c r="O828" s="492"/>
      <c r="P828" s="254"/>
      <c r="Q828" s="492"/>
      <c r="R828" s="254"/>
      <c r="S828" s="514"/>
      <c r="T828" s="514"/>
      <c r="U828" s="492"/>
      <c r="V828" s="254"/>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row>
    <row r="829">
      <c r="A829" s="492"/>
      <c r="B829" s="254"/>
      <c r="C829" s="492"/>
      <c r="D829" s="254"/>
      <c r="E829" s="492"/>
      <c r="F829" s="254"/>
      <c r="G829" s="492"/>
      <c r="H829" s="254"/>
      <c r="I829" s="492"/>
      <c r="J829" s="254"/>
      <c r="K829" s="492"/>
      <c r="L829" s="254"/>
      <c r="M829" s="492"/>
      <c r="N829" s="254"/>
      <c r="O829" s="492"/>
      <c r="P829" s="254"/>
      <c r="Q829" s="492"/>
      <c r="R829" s="254"/>
      <c r="S829" s="514"/>
      <c r="T829" s="514"/>
      <c r="U829" s="492"/>
      <c r="V829" s="254"/>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row>
    <row r="830">
      <c r="A830" s="492"/>
      <c r="B830" s="254"/>
      <c r="C830" s="492"/>
      <c r="D830" s="254"/>
      <c r="E830" s="492"/>
      <c r="F830" s="254"/>
      <c r="G830" s="492"/>
      <c r="H830" s="254"/>
      <c r="I830" s="492"/>
      <c r="J830" s="254"/>
      <c r="K830" s="492"/>
      <c r="L830" s="254"/>
      <c r="M830" s="492"/>
      <c r="N830" s="254"/>
      <c r="O830" s="492"/>
      <c r="P830" s="254"/>
      <c r="Q830" s="492"/>
      <c r="R830" s="254"/>
      <c r="S830" s="514"/>
      <c r="T830" s="514"/>
      <c r="U830" s="492"/>
      <c r="V830" s="254"/>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row>
    <row r="831">
      <c r="A831" s="492"/>
      <c r="B831" s="254"/>
      <c r="C831" s="492"/>
      <c r="D831" s="254"/>
      <c r="E831" s="492"/>
      <c r="F831" s="254"/>
      <c r="G831" s="492"/>
      <c r="H831" s="254"/>
      <c r="I831" s="492"/>
      <c r="J831" s="254"/>
      <c r="K831" s="492"/>
      <c r="L831" s="254"/>
      <c r="M831" s="492"/>
      <c r="N831" s="254"/>
      <c r="O831" s="492"/>
      <c r="P831" s="254"/>
      <c r="Q831" s="492"/>
      <c r="R831" s="254"/>
      <c r="S831" s="514"/>
      <c r="T831" s="514"/>
      <c r="U831" s="492"/>
      <c r="V831" s="254"/>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row>
    <row r="832">
      <c r="A832" s="492"/>
      <c r="B832" s="254"/>
      <c r="C832" s="492"/>
      <c r="D832" s="254"/>
      <c r="E832" s="492"/>
      <c r="F832" s="254"/>
      <c r="G832" s="492"/>
      <c r="H832" s="254"/>
      <c r="I832" s="492"/>
      <c r="J832" s="254"/>
      <c r="K832" s="492"/>
      <c r="L832" s="254"/>
      <c r="M832" s="492"/>
      <c r="N832" s="254"/>
      <c r="O832" s="492"/>
      <c r="P832" s="254"/>
      <c r="Q832" s="492"/>
      <c r="R832" s="254"/>
      <c r="S832" s="514"/>
      <c r="T832" s="514"/>
      <c r="U832" s="492"/>
      <c r="V832" s="254"/>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row>
    <row r="833">
      <c r="A833" s="492"/>
      <c r="B833" s="254"/>
      <c r="C833" s="492"/>
      <c r="D833" s="254"/>
      <c r="E833" s="492"/>
      <c r="F833" s="254"/>
      <c r="G833" s="492"/>
      <c r="H833" s="254"/>
      <c r="I833" s="492"/>
      <c r="J833" s="254"/>
      <c r="K833" s="492"/>
      <c r="L833" s="254"/>
      <c r="M833" s="492"/>
      <c r="N833" s="254"/>
      <c r="O833" s="492"/>
      <c r="P833" s="254"/>
      <c r="Q833" s="492"/>
      <c r="R833" s="254"/>
      <c r="S833" s="514"/>
      <c r="T833" s="514"/>
      <c r="U833" s="492"/>
      <c r="V833" s="254"/>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row>
    <row r="834">
      <c r="A834" s="492"/>
      <c r="B834" s="254"/>
      <c r="C834" s="492"/>
      <c r="D834" s="254"/>
      <c r="E834" s="492"/>
      <c r="F834" s="254"/>
      <c r="G834" s="492"/>
      <c r="H834" s="254"/>
      <c r="I834" s="492"/>
      <c r="J834" s="254"/>
      <c r="K834" s="492"/>
      <c r="L834" s="254"/>
      <c r="M834" s="492"/>
      <c r="N834" s="254"/>
      <c r="O834" s="492"/>
      <c r="P834" s="254"/>
      <c r="Q834" s="492"/>
      <c r="R834" s="254"/>
      <c r="S834" s="514"/>
      <c r="T834" s="514"/>
      <c r="U834" s="492"/>
      <c r="V834" s="254"/>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row>
    <row r="835">
      <c r="A835" s="492"/>
      <c r="B835" s="254"/>
      <c r="C835" s="492"/>
      <c r="D835" s="254"/>
      <c r="E835" s="492"/>
      <c r="F835" s="254"/>
      <c r="G835" s="492"/>
      <c r="H835" s="254"/>
      <c r="I835" s="492"/>
      <c r="J835" s="254"/>
      <c r="K835" s="492"/>
      <c r="L835" s="254"/>
      <c r="M835" s="492"/>
      <c r="N835" s="254"/>
      <c r="O835" s="492"/>
      <c r="P835" s="254"/>
      <c r="Q835" s="492"/>
      <c r="R835" s="254"/>
      <c r="S835" s="514"/>
      <c r="T835" s="514"/>
      <c r="U835" s="492"/>
      <c r="V835" s="254"/>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row>
    <row r="836">
      <c r="A836" s="492"/>
      <c r="B836" s="254"/>
      <c r="C836" s="492"/>
      <c r="D836" s="254"/>
      <c r="E836" s="492"/>
      <c r="F836" s="254"/>
      <c r="G836" s="492"/>
      <c r="H836" s="254"/>
      <c r="I836" s="492"/>
      <c r="J836" s="254"/>
      <c r="K836" s="492"/>
      <c r="L836" s="254"/>
      <c r="M836" s="492"/>
      <c r="N836" s="254"/>
      <c r="O836" s="492"/>
      <c r="P836" s="254"/>
      <c r="Q836" s="492"/>
      <c r="R836" s="254"/>
      <c r="S836" s="514"/>
      <c r="T836" s="514"/>
      <c r="U836" s="492"/>
      <c r="V836" s="254"/>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row>
    <row r="837">
      <c r="A837" s="492"/>
      <c r="B837" s="254"/>
      <c r="C837" s="492"/>
      <c r="D837" s="254"/>
      <c r="E837" s="492"/>
      <c r="F837" s="254"/>
      <c r="G837" s="492"/>
      <c r="H837" s="254"/>
      <c r="I837" s="492"/>
      <c r="J837" s="254"/>
      <c r="K837" s="492"/>
      <c r="L837" s="254"/>
      <c r="M837" s="492"/>
      <c r="N837" s="254"/>
      <c r="O837" s="492"/>
      <c r="P837" s="254"/>
      <c r="Q837" s="492"/>
      <c r="R837" s="254"/>
      <c r="S837" s="514"/>
      <c r="T837" s="514"/>
      <c r="U837" s="492"/>
      <c r="V837" s="254"/>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row>
    <row r="838">
      <c r="A838" s="492"/>
      <c r="B838" s="254"/>
      <c r="C838" s="492"/>
      <c r="D838" s="254"/>
      <c r="E838" s="492"/>
      <c r="F838" s="254"/>
      <c r="G838" s="492"/>
      <c r="H838" s="254"/>
      <c r="I838" s="492"/>
      <c r="J838" s="254"/>
      <c r="K838" s="492"/>
      <c r="L838" s="254"/>
      <c r="M838" s="492"/>
      <c r="N838" s="254"/>
      <c r="O838" s="492"/>
      <c r="P838" s="254"/>
      <c r="Q838" s="492"/>
      <c r="R838" s="254"/>
      <c r="S838" s="514"/>
      <c r="T838" s="514"/>
      <c r="U838" s="492"/>
      <c r="V838" s="254"/>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row>
    <row r="839">
      <c r="A839" s="492"/>
      <c r="B839" s="254"/>
      <c r="C839" s="492"/>
      <c r="D839" s="254"/>
      <c r="E839" s="492"/>
      <c r="F839" s="254"/>
      <c r="G839" s="492"/>
      <c r="H839" s="254"/>
      <c r="I839" s="492"/>
      <c r="J839" s="254"/>
      <c r="K839" s="492"/>
      <c r="L839" s="254"/>
      <c r="M839" s="492"/>
      <c r="N839" s="254"/>
      <c r="O839" s="492"/>
      <c r="P839" s="254"/>
      <c r="Q839" s="492"/>
      <c r="R839" s="254"/>
      <c r="S839" s="514"/>
      <c r="T839" s="514"/>
      <c r="U839" s="492"/>
      <c r="V839" s="254"/>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row>
    <row r="840">
      <c r="A840" s="492"/>
      <c r="B840" s="254"/>
      <c r="C840" s="492"/>
      <c r="D840" s="254"/>
      <c r="E840" s="492"/>
      <c r="F840" s="254"/>
      <c r="G840" s="492"/>
      <c r="H840" s="254"/>
      <c r="I840" s="492"/>
      <c r="J840" s="254"/>
      <c r="K840" s="492"/>
      <c r="L840" s="254"/>
      <c r="M840" s="492"/>
      <c r="N840" s="254"/>
      <c r="O840" s="492"/>
      <c r="P840" s="254"/>
      <c r="Q840" s="492"/>
      <c r="R840" s="254"/>
      <c r="S840" s="514"/>
      <c r="T840" s="514"/>
      <c r="U840" s="492"/>
      <c r="V840" s="254"/>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row>
    <row r="841">
      <c r="A841" s="492"/>
      <c r="B841" s="254"/>
      <c r="C841" s="492"/>
      <c r="D841" s="254"/>
      <c r="E841" s="492"/>
      <c r="F841" s="254"/>
      <c r="G841" s="492"/>
      <c r="H841" s="254"/>
      <c r="I841" s="492"/>
      <c r="J841" s="254"/>
      <c r="K841" s="492"/>
      <c r="L841" s="254"/>
      <c r="M841" s="492"/>
      <c r="N841" s="254"/>
      <c r="O841" s="492"/>
      <c r="P841" s="254"/>
      <c r="Q841" s="492"/>
      <c r="R841" s="254"/>
      <c r="S841" s="514"/>
      <c r="T841" s="514"/>
      <c r="U841" s="492"/>
      <c r="V841" s="254"/>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row>
    <row r="842">
      <c r="A842" s="492"/>
      <c r="B842" s="254"/>
      <c r="C842" s="492"/>
      <c r="D842" s="254"/>
      <c r="E842" s="492"/>
      <c r="F842" s="254"/>
      <c r="G842" s="492"/>
      <c r="H842" s="254"/>
      <c r="I842" s="492"/>
      <c r="J842" s="254"/>
      <c r="K842" s="492"/>
      <c r="L842" s="254"/>
      <c r="M842" s="492"/>
      <c r="N842" s="254"/>
      <c r="O842" s="492"/>
      <c r="P842" s="254"/>
      <c r="Q842" s="492"/>
      <c r="R842" s="254"/>
      <c r="S842" s="514"/>
      <c r="T842" s="514"/>
      <c r="U842" s="492"/>
      <c r="V842" s="254"/>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row>
    <row r="843">
      <c r="A843" s="492"/>
      <c r="B843" s="254"/>
      <c r="C843" s="492"/>
      <c r="D843" s="254"/>
      <c r="E843" s="492"/>
      <c r="F843" s="254"/>
      <c r="G843" s="492"/>
      <c r="H843" s="254"/>
      <c r="I843" s="492"/>
      <c r="J843" s="254"/>
      <c r="K843" s="492"/>
      <c r="L843" s="254"/>
      <c r="M843" s="492"/>
      <c r="N843" s="254"/>
      <c r="O843" s="492"/>
      <c r="P843" s="254"/>
      <c r="Q843" s="492"/>
      <c r="R843" s="254"/>
      <c r="S843" s="514"/>
      <c r="T843" s="514"/>
      <c r="U843" s="492"/>
      <c r="V843" s="254"/>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row>
    <row r="844">
      <c r="A844" s="492"/>
      <c r="B844" s="254"/>
      <c r="C844" s="492"/>
      <c r="D844" s="254"/>
      <c r="E844" s="492"/>
      <c r="F844" s="254"/>
      <c r="G844" s="492"/>
      <c r="H844" s="254"/>
      <c r="I844" s="492"/>
      <c r="J844" s="254"/>
      <c r="K844" s="492"/>
      <c r="L844" s="254"/>
      <c r="M844" s="492"/>
      <c r="N844" s="254"/>
      <c r="O844" s="492"/>
      <c r="P844" s="254"/>
      <c r="Q844" s="492"/>
      <c r="R844" s="254"/>
      <c r="S844" s="514"/>
      <c r="T844" s="514"/>
      <c r="U844" s="492"/>
      <c r="V844" s="254"/>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row>
    <row r="845">
      <c r="A845" s="492"/>
      <c r="B845" s="254"/>
      <c r="C845" s="492"/>
      <c r="D845" s="254"/>
      <c r="E845" s="492"/>
      <c r="F845" s="254"/>
      <c r="G845" s="492"/>
      <c r="H845" s="254"/>
      <c r="I845" s="492"/>
      <c r="J845" s="254"/>
      <c r="K845" s="492"/>
      <c r="L845" s="254"/>
      <c r="M845" s="492"/>
      <c r="N845" s="254"/>
      <c r="O845" s="492"/>
      <c r="P845" s="254"/>
      <c r="Q845" s="492"/>
      <c r="R845" s="254"/>
      <c r="S845" s="514"/>
      <c r="T845" s="514"/>
      <c r="U845" s="492"/>
      <c r="V845" s="254"/>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row>
    <row r="846">
      <c r="A846" s="492"/>
      <c r="B846" s="254"/>
      <c r="C846" s="492"/>
      <c r="D846" s="254"/>
      <c r="E846" s="492"/>
      <c r="F846" s="254"/>
      <c r="G846" s="492"/>
      <c r="H846" s="254"/>
      <c r="I846" s="492"/>
      <c r="J846" s="254"/>
      <c r="K846" s="492"/>
      <c r="L846" s="254"/>
      <c r="M846" s="492"/>
      <c r="N846" s="254"/>
      <c r="O846" s="492"/>
      <c r="P846" s="254"/>
      <c r="Q846" s="492"/>
      <c r="R846" s="254"/>
      <c r="S846" s="514"/>
      <c r="T846" s="514"/>
      <c r="U846" s="492"/>
      <c r="V846" s="254"/>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row>
    <row r="847">
      <c r="A847" s="492"/>
      <c r="B847" s="254"/>
      <c r="C847" s="492"/>
      <c r="D847" s="254"/>
      <c r="E847" s="492"/>
      <c r="F847" s="254"/>
      <c r="G847" s="492"/>
      <c r="H847" s="254"/>
      <c r="I847" s="492"/>
      <c r="J847" s="254"/>
      <c r="K847" s="492"/>
      <c r="L847" s="254"/>
      <c r="M847" s="492"/>
      <c r="N847" s="254"/>
      <c r="O847" s="492"/>
      <c r="P847" s="254"/>
      <c r="Q847" s="492"/>
      <c r="R847" s="254"/>
      <c r="S847" s="514"/>
      <c r="T847" s="514"/>
      <c r="U847" s="492"/>
      <c r="V847" s="254"/>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row>
    <row r="848">
      <c r="A848" s="492"/>
      <c r="B848" s="254"/>
      <c r="C848" s="492"/>
      <c r="D848" s="254"/>
      <c r="E848" s="492"/>
      <c r="F848" s="254"/>
      <c r="G848" s="492"/>
      <c r="H848" s="254"/>
      <c r="I848" s="492"/>
      <c r="J848" s="254"/>
      <c r="K848" s="492"/>
      <c r="L848" s="254"/>
      <c r="M848" s="492"/>
      <c r="N848" s="254"/>
      <c r="O848" s="492"/>
      <c r="P848" s="254"/>
      <c r="Q848" s="492"/>
      <c r="R848" s="254"/>
      <c r="S848" s="514"/>
      <c r="T848" s="514"/>
      <c r="U848" s="492"/>
      <c r="V848" s="254"/>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row>
    <row r="849">
      <c r="A849" s="492"/>
      <c r="B849" s="254"/>
      <c r="C849" s="492"/>
      <c r="D849" s="254"/>
      <c r="E849" s="492"/>
      <c r="F849" s="254"/>
      <c r="G849" s="492"/>
      <c r="H849" s="254"/>
      <c r="I849" s="492"/>
      <c r="J849" s="254"/>
      <c r="K849" s="492"/>
      <c r="L849" s="254"/>
      <c r="M849" s="492"/>
      <c r="N849" s="254"/>
      <c r="O849" s="492"/>
      <c r="P849" s="254"/>
      <c r="Q849" s="492"/>
      <c r="R849" s="254"/>
      <c r="S849" s="514"/>
      <c r="T849" s="514"/>
      <c r="U849" s="492"/>
      <c r="V849" s="254"/>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row>
    <row r="850">
      <c r="A850" s="492"/>
      <c r="B850" s="254"/>
      <c r="C850" s="492"/>
      <c r="D850" s="254"/>
      <c r="E850" s="492"/>
      <c r="F850" s="254"/>
      <c r="G850" s="492"/>
      <c r="H850" s="254"/>
      <c r="I850" s="492"/>
      <c r="J850" s="254"/>
      <c r="K850" s="492"/>
      <c r="L850" s="254"/>
      <c r="M850" s="492"/>
      <c r="N850" s="254"/>
      <c r="O850" s="492"/>
      <c r="P850" s="254"/>
      <c r="Q850" s="492"/>
      <c r="R850" s="254"/>
      <c r="S850" s="514"/>
      <c r="T850" s="514"/>
      <c r="U850" s="492"/>
      <c r="V850" s="254"/>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row>
    <row r="851">
      <c r="A851" s="492"/>
      <c r="B851" s="254"/>
      <c r="C851" s="492"/>
      <c r="D851" s="254"/>
      <c r="E851" s="492"/>
      <c r="F851" s="254"/>
      <c r="G851" s="492"/>
      <c r="H851" s="254"/>
      <c r="I851" s="492"/>
      <c r="J851" s="254"/>
      <c r="K851" s="492"/>
      <c r="L851" s="254"/>
      <c r="M851" s="492"/>
      <c r="N851" s="254"/>
      <c r="O851" s="492"/>
      <c r="P851" s="254"/>
      <c r="Q851" s="492"/>
      <c r="R851" s="254"/>
      <c r="S851" s="514"/>
      <c r="T851" s="514"/>
      <c r="U851" s="492"/>
      <c r="V851" s="254"/>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row>
    <row r="852">
      <c r="A852" s="492"/>
      <c r="B852" s="254"/>
      <c r="C852" s="492"/>
      <c r="D852" s="254"/>
      <c r="E852" s="492"/>
      <c r="F852" s="254"/>
      <c r="G852" s="492"/>
      <c r="H852" s="254"/>
      <c r="I852" s="492"/>
      <c r="J852" s="254"/>
      <c r="K852" s="492"/>
      <c r="L852" s="254"/>
      <c r="M852" s="492"/>
      <c r="N852" s="254"/>
      <c r="O852" s="492"/>
      <c r="P852" s="254"/>
      <c r="Q852" s="492"/>
      <c r="R852" s="254"/>
      <c r="S852" s="514"/>
      <c r="T852" s="514"/>
      <c r="U852" s="492"/>
      <c r="V852" s="254"/>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row>
    <row r="853">
      <c r="A853" s="492"/>
      <c r="B853" s="254"/>
      <c r="C853" s="492"/>
      <c r="D853" s="254"/>
      <c r="E853" s="492"/>
      <c r="F853" s="254"/>
      <c r="G853" s="492"/>
      <c r="H853" s="254"/>
      <c r="I853" s="492"/>
      <c r="J853" s="254"/>
      <c r="K853" s="492"/>
      <c r="L853" s="254"/>
      <c r="M853" s="492"/>
      <c r="N853" s="254"/>
      <c r="O853" s="492"/>
      <c r="P853" s="254"/>
      <c r="Q853" s="492"/>
      <c r="R853" s="254"/>
      <c r="S853" s="514"/>
      <c r="T853" s="514"/>
      <c r="U853" s="492"/>
      <c r="V853" s="254"/>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row>
    <row r="854">
      <c r="A854" s="492"/>
      <c r="B854" s="254"/>
      <c r="C854" s="492"/>
      <c r="D854" s="254"/>
      <c r="E854" s="492"/>
      <c r="F854" s="254"/>
      <c r="G854" s="492"/>
      <c r="H854" s="254"/>
      <c r="I854" s="492"/>
      <c r="J854" s="254"/>
      <c r="K854" s="492"/>
      <c r="L854" s="254"/>
      <c r="M854" s="492"/>
      <c r="N854" s="254"/>
      <c r="O854" s="492"/>
      <c r="P854" s="254"/>
      <c r="Q854" s="492"/>
      <c r="R854" s="254"/>
      <c r="S854" s="514"/>
      <c r="T854" s="514"/>
      <c r="U854" s="492"/>
      <c r="V854" s="254"/>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row>
    <row r="855">
      <c r="A855" s="492"/>
      <c r="B855" s="254"/>
      <c r="C855" s="492"/>
      <c r="D855" s="254"/>
      <c r="E855" s="492"/>
      <c r="F855" s="254"/>
      <c r="G855" s="492"/>
      <c r="H855" s="254"/>
      <c r="I855" s="492"/>
      <c r="J855" s="254"/>
      <c r="K855" s="492"/>
      <c r="L855" s="254"/>
      <c r="M855" s="492"/>
      <c r="N855" s="254"/>
      <c r="O855" s="492"/>
      <c r="P855" s="254"/>
      <c r="Q855" s="492"/>
      <c r="R855" s="254"/>
      <c r="S855" s="514"/>
      <c r="T855" s="514"/>
      <c r="U855" s="492"/>
      <c r="V855" s="254"/>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row>
    <row r="856">
      <c r="A856" s="492"/>
      <c r="B856" s="254"/>
      <c r="C856" s="492"/>
      <c r="D856" s="254"/>
      <c r="E856" s="492"/>
      <c r="F856" s="254"/>
      <c r="G856" s="492"/>
      <c r="H856" s="254"/>
      <c r="I856" s="492"/>
      <c r="J856" s="254"/>
      <c r="K856" s="492"/>
      <c r="L856" s="254"/>
      <c r="M856" s="492"/>
      <c r="N856" s="254"/>
      <c r="O856" s="492"/>
      <c r="P856" s="254"/>
      <c r="Q856" s="492"/>
      <c r="R856" s="254"/>
      <c r="S856" s="514"/>
      <c r="T856" s="514"/>
      <c r="U856" s="492"/>
      <c r="V856" s="254"/>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row>
    <row r="857">
      <c r="A857" s="492"/>
      <c r="B857" s="254"/>
      <c r="C857" s="492"/>
      <c r="D857" s="254"/>
      <c r="E857" s="492"/>
      <c r="F857" s="254"/>
      <c r="G857" s="492"/>
      <c r="H857" s="254"/>
      <c r="I857" s="492"/>
      <c r="J857" s="254"/>
      <c r="K857" s="492"/>
      <c r="L857" s="254"/>
      <c r="M857" s="492"/>
      <c r="N857" s="254"/>
      <c r="O857" s="492"/>
      <c r="P857" s="254"/>
      <c r="Q857" s="492"/>
      <c r="R857" s="254"/>
      <c r="S857" s="514"/>
      <c r="T857" s="514"/>
      <c r="U857" s="492"/>
      <c r="V857" s="254"/>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row>
    <row r="858">
      <c r="A858" s="492"/>
      <c r="B858" s="254"/>
      <c r="C858" s="492"/>
      <c r="D858" s="254"/>
      <c r="E858" s="492"/>
      <c r="F858" s="254"/>
      <c r="G858" s="492"/>
      <c r="H858" s="254"/>
      <c r="I858" s="492"/>
      <c r="J858" s="254"/>
      <c r="K858" s="492"/>
      <c r="L858" s="254"/>
      <c r="M858" s="492"/>
      <c r="N858" s="254"/>
      <c r="O858" s="492"/>
      <c r="P858" s="254"/>
      <c r="Q858" s="492"/>
      <c r="R858" s="254"/>
      <c r="S858" s="514"/>
      <c r="T858" s="514"/>
      <c r="U858" s="492"/>
      <c r="V858" s="254"/>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row>
    <row r="859">
      <c r="A859" s="492"/>
      <c r="B859" s="254"/>
      <c r="C859" s="492"/>
      <c r="D859" s="254"/>
      <c r="E859" s="492"/>
      <c r="F859" s="254"/>
      <c r="G859" s="492"/>
      <c r="H859" s="254"/>
      <c r="I859" s="492"/>
      <c r="J859" s="254"/>
      <c r="K859" s="492"/>
      <c r="L859" s="254"/>
      <c r="M859" s="492"/>
      <c r="N859" s="254"/>
      <c r="O859" s="492"/>
      <c r="P859" s="254"/>
      <c r="Q859" s="492"/>
      <c r="R859" s="254"/>
      <c r="S859" s="514"/>
      <c r="T859" s="514"/>
      <c r="U859" s="492"/>
      <c r="V859" s="254"/>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row>
    <row r="860">
      <c r="A860" s="492"/>
      <c r="B860" s="254"/>
      <c r="C860" s="492"/>
      <c r="D860" s="254"/>
      <c r="E860" s="492"/>
      <c r="F860" s="254"/>
      <c r="G860" s="492"/>
      <c r="H860" s="254"/>
      <c r="I860" s="492"/>
      <c r="J860" s="254"/>
      <c r="K860" s="492"/>
      <c r="L860" s="254"/>
      <c r="M860" s="492"/>
      <c r="N860" s="254"/>
      <c r="O860" s="492"/>
      <c r="P860" s="254"/>
      <c r="Q860" s="492"/>
      <c r="R860" s="254"/>
      <c r="S860" s="514"/>
      <c r="T860" s="514"/>
      <c r="U860" s="492"/>
      <c r="V860" s="254"/>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row>
    <row r="861">
      <c r="A861" s="492"/>
      <c r="B861" s="254"/>
      <c r="C861" s="492"/>
      <c r="D861" s="254"/>
      <c r="E861" s="492"/>
      <c r="F861" s="254"/>
      <c r="G861" s="492"/>
      <c r="H861" s="254"/>
      <c r="I861" s="492"/>
      <c r="J861" s="254"/>
      <c r="K861" s="492"/>
      <c r="L861" s="254"/>
      <c r="M861" s="492"/>
      <c r="N861" s="254"/>
      <c r="O861" s="492"/>
      <c r="P861" s="254"/>
      <c r="Q861" s="492"/>
      <c r="R861" s="254"/>
      <c r="S861" s="514"/>
      <c r="T861" s="514"/>
      <c r="U861" s="492"/>
      <c r="V861" s="254"/>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row>
    <row r="862">
      <c r="A862" s="492"/>
      <c r="B862" s="254"/>
      <c r="C862" s="492"/>
      <c r="D862" s="254"/>
      <c r="E862" s="492"/>
      <c r="F862" s="254"/>
      <c r="G862" s="492"/>
      <c r="H862" s="254"/>
      <c r="I862" s="492"/>
      <c r="J862" s="254"/>
      <c r="K862" s="492"/>
      <c r="L862" s="254"/>
      <c r="M862" s="492"/>
      <c r="N862" s="254"/>
      <c r="O862" s="492"/>
      <c r="P862" s="254"/>
      <c r="Q862" s="492"/>
      <c r="R862" s="254"/>
      <c r="S862" s="514"/>
      <c r="T862" s="514"/>
      <c r="U862" s="492"/>
      <c r="V862" s="254"/>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row>
    <row r="863">
      <c r="A863" s="492"/>
      <c r="B863" s="254"/>
      <c r="C863" s="492"/>
      <c r="D863" s="254"/>
      <c r="E863" s="492"/>
      <c r="F863" s="254"/>
      <c r="G863" s="492"/>
      <c r="H863" s="254"/>
      <c r="I863" s="492"/>
      <c r="J863" s="254"/>
      <c r="K863" s="492"/>
      <c r="L863" s="254"/>
      <c r="M863" s="492"/>
      <c r="N863" s="254"/>
      <c r="O863" s="492"/>
      <c r="P863" s="254"/>
      <c r="Q863" s="492"/>
      <c r="R863" s="254"/>
      <c r="S863" s="514"/>
      <c r="T863" s="514"/>
      <c r="U863" s="492"/>
      <c r="V863" s="254"/>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row>
    <row r="864">
      <c r="A864" s="492"/>
      <c r="B864" s="254"/>
      <c r="C864" s="492"/>
      <c r="D864" s="254"/>
      <c r="E864" s="492"/>
      <c r="F864" s="254"/>
      <c r="G864" s="492"/>
      <c r="H864" s="254"/>
      <c r="I864" s="492"/>
      <c r="J864" s="254"/>
      <c r="K864" s="492"/>
      <c r="L864" s="254"/>
      <c r="M864" s="492"/>
      <c r="N864" s="254"/>
      <c r="O864" s="492"/>
      <c r="P864" s="254"/>
      <c r="Q864" s="492"/>
      <c r="R864" s="254"/>
      <c r="S864" s="514"/>
      <c r="T864" s="514"/>
      <c r="U864" s="492"/>
      <c r="V864" s="254"/>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row>
    <row r="865">
      <c r="A865" s="492"/>
      <c r="B865" s="254"/>
      <c r="C865" s="492"/>
      <c r="D865" s="254"/>
      <c r="E865" s="492"/>
      <c r="F865" s="254"/>
      <c r="G865" s="492"/>
      <c r="H865" s="254"/>
      <c r="I865" s="492"/>
      <c r="J865" s="254"/>
      <c r="K865" s="492"/>
      <c r="L865" s="254"/>
      <c r="M865" s="492"/>
      <c r="N865" s="254"/>
      <c r="O865" s="492"/>
      <c r="P865" s="254"/>
      <c r="Q865" s="492"/>
      <c r="R865" s="254"/>
      <c r="S865" s="514"/>
      <c r="T865" s="514"/>
      <c r="U865" s="492"/>
      <c r="V865" s="254"/>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row>
    <row r="866">
      <c r="A866" s="492"/>
      <c r="B866" s="254"/>
      <c r="C866" s="492"/>
      <c r="D866" s="254"/>
      <c r="E866" s="492"/>
      <c r="F866" s="254"/>
      <c r="G866" s="492"/>
      <c r="H866" s="254"/>
      <c r="I866" s="492"/>
      <c r="J866" s="254"/>
      <c r="K866" s="492"/>
      <c r="L866" s="254"/>
      <c r="M866" s="492"/>
      <c r="N866" s="254"/>
      <c r="O866" s="492"/>
      <c r="P866" s="254"/>
      <c r="Q866" s="492"/>
      <c r="R866" s="254"/>
      <c r="S866" s="514"/>
      <c r="T866" s="514"/>
      <c r="U866" s="492"/>
      <c r="V866" s="254"/>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row>
    <row r="867">
      <c r="A867" s="492"/>
      <c r="B867" s="254"/>
      <c r="C867" s="492"/>
      <c r="D867" s="254"/>
      <c r="E867" s="492"/>
      <c r="F867" s="254"/>
      <c r="G867" s="492"/>
      <c r="H867" s="254"/>
      <c r="I867" s="492"/>
      <c r="J867" s="254"/>
      <c r="K867" s="492"/>
      <c r="L867" s="254"/>
      <c r="M867" s="492"/>
      <c r="N867" s="254"/>
      <c r="O867" s="492"/>
      <c r="P867" s="254"/>
      <c r="Q867" s="492"/>
      <c r="R867" s="254"/>
      <c r="S867" s="514"/>
      <c r="T867" s="514"/>
      <c r="U867" s="492"/>
      <c r="V867" s="254"/>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row>
    <row r="868">
      <c r="A868" s="492"/>
      <c r="B868" s="254"/>
      <c r="C868" s="492"/>
      <c r="D868" s="254"/>
      <c r="E868" s="492"/>
      <c r="F868" s="254"/>
      <c r="G868" s="492"/>
      <c r="H868" s="254"/>
      <c r="I868" s="492"/>
      <c r="J868" s="254"/>
      <c r="K868" s="492"/>
      <c r="L868" s="254"/>
      <c r="M868" s="492"/>
      <c r="N868" s="254"/>
      <c r="O868" s="492"/>
      <c r="P868" s="254"/>
      <c r="Q868" s="492"/>
      <c r="R868" s="254"/>
      <c r="S868" s="514"/>
      <c r="T868" s="514"/>
      <c r="U868" s="492"/>
      <c r="V868" s="254"/>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row>
    <row r="869">
      <c r="A869" s="492"/>
      <c r="B869" s="254"/>
      <c r="C869" s="492"/>
      <c r="D869" s="254"/>
      <c r="E869" s="492"/>
      <c r="F869" s="254"/>
      <c r="G869" s="492"/>
      <c r="H869" s="254"/>
      <c r="I869" s="492"/>
      <c r="J869" s="254"/>
      <c r="K869" s="492"/>
      <c r="L869" s="254"/>
      <c r="M869" s="492"/>
      <c r="N869" s="254"/>
      <c r="O869" s="492"/>
      <c r="P869" s="254"/>
      <c r="Q869" s="492"/>
      <c r="R869" s="254"/>
      <c r="S869" s="514"/>
      <c r="T869" s="514"/>
      <c r="U869" s="492"/>
      <c r="V869" s="254"/>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row>
    <row r="870">
      <c r="A870" s="492"/>
      <c r="B870" s="254"/>
      <c r="C870" s="492"/>
      <c r="D870" s="254"/>
      <c r="E870" s="492"/>
      <c r="F870" s="254"/>
      <c r="G870" s="492"/>
      <c r="H870" s="254"/>
      <c r="I870" s="492"/>
      <c r="J870" s="254"/>
      <c r="K870" s="492"/>
      <c r="L870" s="254"/>
      <c r="M870" s="492"/>
      <c r="N870" s="254"/>
      <c r="O870" s="492"/>
      <c r="P870" s="254"/>
      <c r="Q870" s="492"/>
      <c r="R870" s="254"/>
      <c r="S870" s="514"/>
      <c r="T870" s="514"/>
      <c r="U870" s="492"/>
      <c r="V870" s="254"/>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row>
    <row r="871">
      <c r="A871" s="492"/>
      <c r="B871" s="254"/>
      <c r="C871" s="492"/>
      <c r="D871" s="254"/>
      <c r="E871" s="492"/>
      <c r="F871" s="254"/>
      <c r="G871" s="492"/>
      <c r="H871" s="254"/>
      <c r="I871" s="492"/>
      <c r="J871" s="254"/>
      <c r="K871" s="492"/>
      <c r="L871" s="254"/>
      <c r="M871" s="492"/>
      <c r="N871" s="254"/>
      <c r="O871" s="492"/>
      <c r="P871" s="254"/>
      <c r="Q871" s="492"/>
      <c r="R871" s="254"/>
      <c r="S871" s="514"/>
      <c r="T871" s="514"/>
      <c r="U871" s="492"/>
      <c r="V871" s="254"/>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row>
    <row r="872">
      <c r="A872" s="492"/>
      <c r="B872" s="254"/>
      <c r="C872" s="492"/>
      <c r="D872" s="254"/>
      <c r="E872" s="492"/>
      <c r="F872" s="254"/>
      <c r="G872" s="492"/>
      <c r="H872" s="254"/>
      <c r="I872" s="492"/>
      <c r="J872" s="254"/>
      <c r="K872" s="492"/>
      <c r="L872" s="254"/>
      <c r="M872" s="492"/>
      <c r="N872" s="254"/>
      <c r="O872" s="492"/>
      <c r="P872" s="254"/>
      <c r="Q872" s="492"/>
      <c r="R872" s="254"/>
      <c r="S872" s="514"/>
      <c r="T872" s="514"/>
      <c r="U872" s="492"/>
      <c r="V872" s="254"/>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row>
    <row r="873">
      <c r="A873" s="492"/>
      <c r="B873" s="254"/>
      <c r="C873" s="492"/>
      <c r="D873" s="254"/>
      <c r="E873" s="492"/>
      <c r="F873" s="254"/>
      <c r="G873" s="492"/>
      <c r="H873" s="254"/>
      <c r="I873" s="492"/>
      <c r="J873" s="254"/>
      <c r="K873" s="492"/>
      <c r="L873" s="254"/>
      <c r="M873" s="492"/>
      <c r="N873" s="254"/>
      <c r="O873" s="492"/>
      <c r="P873" s="254"/>
      <c r="Q873" s="492"/>
      <c r="R873" s="254"/>
      <c r="S873" s="514"/>
      <c r="T873" s="514"/>
      <c r="U873" s="492"/>
      <c r="V873" s="254"/>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row>
    <row r="874">
      <c r="A874" s="492"/>
      <c r="B874" s="254"/>
      <c r="C874" s="492"/>
      <c r="D874" s="254"/>
      <c r="E874" s="492"/>
      <c r="F874" s="254"/>
      <c r="G874" s="492"/>
      <c r="H874" s="254"/>
      <c r="I874" s="492"/>
      <c r="J874" s="254"/>
      <c r="K874" s="492"/>
      <c r="L874" s="254"/>
      <c r="M874" s="492"/>
      <c r="N874" s="254"/>
      <c r="O874" s="492"/>
      <c r="P874" s="254"/>
      <c r="Q874" s="492"/>
      <c r="R874" s="254"/>
      <c r="S874" s="514"/>
      <c r="T874" s="514"/>
      <c r="U874" s="492"/>
      <c r="V874" s="254"/>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row>
    <row r="875">
      <c r="A875" s="492"/>
      <c r="B875" s="254"/>
      <c r="C875" s="492"/>
      <c r="D875" s="254"/>
      <c r="E875" s="492"/>
      <c r="F875" s="254"/>
      <c r="G875" s="492"/>
      <c r="H875" s="254"/>
      <c r="I875" s="492"/>
      <c r="J875" s="254"/>
      <c r="K875" s="492"/>
      <c r="L875" s="254"/>
      <c r="M875" s="492"/>
      <c r="N875" s="254"/>
      <c r="O875" s="492"/>
      <c r="P875" s="254"/>
      <c r="Q875" s="492"/>
      <c r="R875" s="254"/>
      <c r="S875" s="514"/>
      <c r="T875" s="514"/>
      <c r="U875" s="492"/>
      <c r="V875" s="254"/>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row>
    <row r="876">
      <c r="A876" s="492"/>
      <c r="B876" s="254"/>
      <c r="C876" s="492"/>
      <c r="D876" s="254"/>
      <c r="E876" s="492"/>
      <c r="F876" s="254"/>
      <c r="G876" s="492"/>
      <c r="H876" s="254"/>
      <c r="I876" s="492"/>
      <c r="J876" s="254"/>
      <c r="K876" s="492"/>
      <c r="L876" s="254"/>
      <c r="M876" s="492"/>
      <c r="N876" s="254"/>
      <c r="O876" s="492"/>
      <c r="P876" s="254"/>
      <c r="Q876" s="492"/>
      <c r="R876" s="254"/>
      <c r="S876" s="514"/>
      <c r="T876" s="514"/>
      <c r="U876" s="492"/>
      <c r="V876" s="254"/>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row>
    <row r="877">
      <c r="A877" s="492"/>
      <c r="B877" s="254"/>
      <c r="C877" s="492"/>
      <c r="D877" s="254"/>
      <c r="E877" s="492"/>
      <c r="F877" s="254"/>
      <c r="G877" s="492"/>
      <c r="H877" s="254"/>
      <c r="I877" s="492"/>
      <c r="J877" s="254"/>
      <c r="K877" s="492"/>
      <c r="L877" s="254"/>
      <c r="M877" s="492"/>
      <c r="N877" s="254"/>
      <c r="O877" s="492"/>
      <c r="P877" s="254"/>
      <c r="Q877" s="492"/>
      <c r="R877" s="254"/>
      <c r="S877" s="514"/>
      <c r="T877" s="514"/>
      <c r="U877" s="492"/>
      <c r="V877" s="254"/>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row>
    <row r="878">
      <c r="A878" s="492"/>
      <c r="B878" s="254"/>
      <c r="C878" s="492"/>
      <c r="D878" s="254"/>
      <c r="E878" s="492"/>
      <c r="F878" s="254"/>
      <c r="G878" s="492"/>
      <c r="H878" s="254"/>
      <c r="I878" s="492"/>
      <c r="J878" s="254"/>
      <c r="K878" s="492"/>
      <c r="L878" s="254"/>
      <c r="M878" s="492"/>
      <c r="N878" s="254"/>
      <c r="O878" s="492"/>
      <c r="P878" s="254"/>
      <c r="Q878" s="492"/>
      <c r="R878" s="254"/>
      <c r="S878" s="514"/>
      <c r="T878" s="514"/>
      <c r="U878" s="492"/>
      <c r="V878" s="254"/>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row>
    <row r="879">
      <c r="A879" s="492"/>
      <c r="B879" s="254"/>
      <c r="C879" s="492"/>
      <c r="D879" s="254"/>
      <c r="E879" s="492"/>
      <c r="F879" s="254"/>
      <c r="G879" s="492"/>
      <c r="H879" s="254"/>
      <c r="I879" s="492"/>
      <c r="J879" s="254"/>
      <c r="K879" s="492"/>
      <c r="L879" s="254"/>
      <c r="M879" s="492"/>
      <c r="N879" s="254"/>
      <c r="O879" s="492"/>
      <c r="P879" s="254"/>
      <c r="Q879" s="492"/>
      <c r="R879" s="254"/>
      <c r="S879" s="514"/>
      <c r="T879" s="514"/>
      <c r="U879" s="492"/>
      <c r="V879" s="254"/>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row>
    <row r="880">
      <c r="A880" s="492"/>
      <c r="B880" s="254"/>
      <c r="C880" s="492"/>
      <c r="D880" s="254"/>
      <c r="E880" s="492"/>
      <c r="F880" s="254"/>
      <c r="G880" s="492"/>
      <c r="H880" s="254"/>
      <c r="I880" s="492"/>
      <c r="J880" s="254"/>
      <c r="K880" s="492"/>
      <c r="L880" s="254"/>
      <c r="M880" s="492"/>
      <c r="N880" s="254"/>
      <c r="O880" s="492"/>
      <c r="P880" s="254"/>
      <c r="Q880" s="492"/>
      <c r="R880" s="254"/>
      <c r="S880" s="514"/>
      <c r="T880" s="514"/>
      <c r="U880" s="492"/>
      <c r="V880" s="254"/>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row>
    <row r="881">
      <c r="A881" s="492"/>
      <c r="B881" s="254"/>
      <c r="C881" s="492"/>
      <c r="D881" s="254"/>
      <c r="E881" s="492"/>
      <c r="F881" s="254"/>
      <c r="G881" s="492"/>
      <c r="H881" s="254"/>
      <c r="I881" s="492"/>
      <c r="J881" s="254"/>
      <c r="K881" s="492"/>
      <c r="L881" s="254"/>
      <c r="M881" s="492"/>
      <c r="N881" s="254"/>
      <c r="O881" s="492"/>
      <c r="P881" s="254"/>
      <c r="Q881" s="492"/>
      <c r="R881" s="254"/>
      <c r="S881" s="514"/>
      <c r="T881" s="514"/>
      <c r="U881" s="492"/>
      <c r="V881" s="254"/>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row>
    <row r="882">
      <c r="A882" s="492"/>
      <c r="B882" s="254"/>
      <c r="C882" s="492"/>
      <c r="D882" s="254"/>
      <c r="E882" s="492"/>
      <c r="F882" s="254"/>
      <c r="G882" s="492"/>
      <c r="H882" s="254"/>
      <c r="I882" s="492"/>
      <c r="J882" s="254"/>
      <c r="K882" s="492"/>
      <c r="L882" s="254"/>
      <c r="M882" s="492"/>
      <c r="N882" s="254"/>
      <c r="O882" s="492"/>
      <c r="P882" s="254"/>
      <c r="Q882" s="492"/>
      <c r="R882" s="254"/>
      <c r="S882" s="514"/>
      <c r="T882" s="514"/>
      <c r="U882" s="492"/>
      <c r="V882" s="254"/>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row>
    <row r="883">
      <c r="A883" s="492"/>
      <c r="B883" s="254"/>
      <c r="C883" s="492"/>
      <c r="D883" s="254"/>
      <c r="E883" s="492"/>
      <c r="F883" s="254"/>
      <c r="G883" s="492"/>
      <c r="H883" s="254"/>
      <c r="I883" s="492"/>
      <c r="J883" s="254"/>
      <c r="K883" s="492"/>
      <c r="L883" s="254"/>
      <c r="M883" s="492"/>
      <c r="N883" s="254"/>
      <c r="O883" s="492"/>
      <c r="P883" s="254"/>
      <c r="Q883" s="492"/>
      <c r="R883" s="254"/>
      <c r="S883" s="514"/>
      <c r="T883" s="514"/>
      <c r="U883" s="492"/>
      <c r="V883" s="254"/>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row>
    <row r="884">
      <c r="A884" s="492"/>
      <c r="B884" s="254"/>
      <c r="C884" s="492"/>
      <c r="D884" s="254"/>
      <c r="E884" s="492"/>
      <c r="F884" s="254"/>
      <c r="G884" s="492"/>
      <c r="H884" s="254"/>
      <c r="I884" s="492"/>
      <c r="J884" s="254"/>
      <c r="K884" s="492"/>
      <c r="L884" s="254"/>
      <c r="M884" s="492"/>
      <c r="N884" s="254"/>
      <c r="O884" s="492"/>
      <c r="P884" s="254"/>
      <c r="Q884" s="492"/>
      <c r="R884" s="254"/>
      <c r="S884" s="514"/>
      <c r="T884" s="514"/>
      <c r="U884" s="492"/>
      <c r="V884" s="254"/>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row>
    <row r="885">
      <c r="A885" s="492"/>
      <c r="B885" s="254"/>
      <c r="C885" s="492"/>
      <c r="D885" s="254"/>
      <c r="E885" s="492"/>
      <c r="F885" s="254"/>
      <c r="G885" s="492"/>
      <c r="H885" s="254"/>
      <c r="I885" s="492"/>
      <c r="J885" s="254"/>
      <c r="K885" s="492"/>
      <c r="L885" s="254"/>
      <c r="M885" s="492"/>
      <c r="N885" s="254"/>
      <c r="O885" s="492"/>
      <c r="P885" s="254"/>
      <c r="Q885" s="492"/>
      <c r="R885" s="254"/>
      <c r="S885" s="514"/>
      <c r="T885" s="514"/>
      <c r="U885" s="492"/>
      <c r="V885" s="254"/>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row>
    <row r="886">
      <c r="A886" s="492"/>
      <c r="B886" s="254"/>
      <c r="C886" s="492"/>
      <c r="D886" s="254"/>
      <c r="E886" s="492"/>
      <c r="F886" s="254"/>
      <c r="G886" s="492"/>
      <c r="H886" s="254"/>
      <c r="I886" s="492"/>
      <c r="J886" s="254"/>
      <c r="K886" s="492"/>
      <c r="L886" s="254"/>
      <c r="M886" s="492"/>
      <c r="N886" s="254"/>
      <c r="O886" s="492"/>
      <c r="P886" s="254"/>
      <c r="Q886" s="492"/>
      <c r="R886" s="254"/>
      <c r="S886" s="514"/>
      <c r="T886" s="514"/>
      <c r="U886" s="492"/>
      <c r="V886" s="254"/>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row>
    <row r="887">
      <c r="A887" s="492"/>
      <c r="B887" s="254"/>
      <c r="C887" s="492"/>
      <c r="D887" s="254"/>
      <c r="E887" s="492"/>
      <c r="F887" s="254"/>
      <c r="G887" s="492"/>
      <c r="H887" s="254"/>
      <c r="I887" s="492"/>
      <c r="J887" s="254"/>
      <c r="K887" s="492"/>
      <c r="L887" s="254"/>
      <c r="M887" s="492"/>
      <c r="N887" s="254"/>
      <c r="O887" s="492"/>
      <c r="P887" s="254"/>
      <c r="Q887" s="492"/>
      <c r="R887" s="254"/>
      <c r="S887" s="514"/>
      <c r="T887" s="514"/>
      <c r="U887" s="492"/>
      <c r="V887" s="254"/>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row>
    <row r="888">
      <c r="A888" s="492"/>
      <c r="B888" s="254"/>
      <c r="C888" s="492"/>
      <c r="D888" s="254"/>
      <c r="E888" s="492"/>
      <c r="F888" s="254"/>
      <c r="G888" s="492"/>
      <c r="H888" s="254"/>
      <c r="I888" s="492"/>
      <c r="J888" s="254"/>
      <c r="K888" s="492"/>
      <c r="L888" s="254"/>
      <c r="M888" s="492"/>
      <c r="N888" s="254"/>
      <c r="O888" s="492"/>
      <c r="P888" s="254"/>
      <c r="Q888" s="492"/>
      <c r="R888" s="254"/>
      <c r="S888" s="514"/>
      <c r="T888" s="514"/>
      <c r="U888" s="492"/>
      <c r="V888" s="254"/>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row>
    <row r="889">
      <c r="A889" s="492"/>
      <c r="B889" s="254"/>
      <c r="C889" s="492"/>
      <c r="D889" s="254"/>
      <c r="E889" s="492"/>
      <c r="F889" s="254"/>
      <c r="G889" s="492"/>
      <c r="H889" s="254"/>
      <c r="I889" s="492"/>
      <c r="J889" s="254"/>
      <c r="K889" s="492"/>
      <c r="L889" s="254"/>
      <c r="M889" s="492"/>
      <c r="N889" s="254"/>
      <c r="O889" s="492"/>
      <c r="P889" s="254"/>
      <c r="Q889" s="492"/>
      <c r="R889" s="254"/>
      <c r="S889" s="514"/>
      <c r="T889" s="514"/>
      <c r="U889" s="492"/>
      <c r="V889" s="254"/>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row>
    <row r="890">
      <c r="A890" s="492"/>
      <c r="B890" s="254"/>
      <c r="C890" s="492"/>
      <c r="D890" s="254"/>
      <c r="E890" s="492"/>
      <c r="F890" s="254"/>
      <c r="G890" s="492"/>
      <c r="H890" s="254"/>
      <c r="I890" s="492"/>
      <c r="J890" s="254"/>
      <c r="K890" s="492"/>
      <c r="L890" s="254"/>
      <c r="M890" s="492"/>
      <c r="N890" s="254"/>
      <c r="O890" s="492"/>
      <c r="P890" s="254"/>
      <c r="Q890" s="492"/>
      <c r="R890" s="254"/>
      <c r="S890" s="514"/>
      <c r="T890" s="514"/>
      <c r="U890" s="492"/>
      <c r="V890" s="254"/>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row>
    <row r="891">
      <c r="A891" s="492"/>
      <c r="B891" s="254"/>
      <c r="C891" s="492"/>
      <c r="D891" s="254"/>
      <c r="E891" s="492"/>
      <c r="F891" s="254"/>
      <c r="G891" s="492"/>
      <c r="H891" s="254"/>
      <c r="I891" s="492"/>
      <c r="J891" s="254"/>
      <c r="K891" s="492"/>
      <c r="L891" s="254"/>
      <c r="M891" s="492"/>
      <c r="N891" s="254"/>
      <c r="O891" s="492"/>
      <c r="P891" s="254"/>
      <c r="Q891" s="492"/>
      <c r="R891" s="254"/>
      <c r="S891" s="514"/>
      <c r="T891" s="514"/>
      <c r="U891" s="492"/>
      <c r="V891" s="254"/>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row>
    <row r="892">
      <c r="A892" s="492"/>
      <c r="B892" s="254"/>
      <c r="C892" s="492"/>
      <c r="D892" s="254"/>
      <c r="E892" s="492"/>
      <c r="F892" s="254"/>
      <c r="G892" s="492"/>
      <c r="H892" s="254"/>
      <c r="I892" s="492"/>
      <c r="J892" s="254"/>
      <c r="K892" s="492"/>
      <c r="L892" s="254"/>
      <c r="M892" s="492"/>
      <c r="N892" s="254"/>
      <c r="O892" s="492"/>
      <c r="P892" s="254"/>
      <c r="Q892" s="492"/>
      <c r="R892" s="254"/>
      <c r="S892" s="514"/>
      <c r="T892" s="514"/>
      <c r="U892" s="492"/>
      <c r="V892" s="254"/>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row>
    <row r="893">
      <c r="A893" s="492"/>
      <c r="B893" s="254"/>
      <c r="C893" s="492"/>
      <c r="D893" s="254"/>
      <c r="E893" s="492"/>
      <c r="F893" s="254"/>
      <c r="G893" s="492"/>
      <c r="H893" s="254"/>
      <c r="I893" s="492"/>
      <c r="J893" s="254"/>
      <c r="K893" s="492"/>
      <c r="L893" s="254"/>
      <c r="M893" s="492"/>
      <c r="N893" s="254"/>
      <c r="O893" s="492"/>
      <c r="P893" s="254"/>
      <c r="Q893" s="492"/>
      <c r="R893" s="254"/>
      <c r="S893" s="514"/>
      <c r="T893" s="514"/>
      <c r="U893" s="492"/>
      <c r="V893" s="254"/>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row>
    <row r="894">
      <c r="A894" s="492"/>
      <c r="B894" s="254"/>
      <c r="C894" s="492"/>
      <c r="D894" s="254"/>
      <c r="E894" s="492"/>
      <c r="F894" s="254"/>
      <c r="G894" s="492"/>
      <c r="H894" s="254"/>
      <c r="I894" s="492"/>
      <c r="J894" s="254"/>
      <c r="K894" s="492"/>
      <c r="L894" s="254"/>
      <c r="M894" s="492"/>
      <c r="N894" s="254"/>
      <c r="O894" s="492"/>
      <c r="P894" s="254"/>
      <c r="Q894" s="492"/>
      <c r="R894" s="254"/>
      <c r="S894" s="514"/>
      <c r="T894" s="514"/>
      <c r="U894" s="492"/>
      <c r="V894" s="254"/>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row>
    <row r="895">
      <c r="A895" s="492"/>
      <c r="B895" s="254"/>
      <c r="C895" s="492"/>
      <c r="D895" s="254"/>
      <c r="E895" s="492"/>
      <c r="F895" s="254"/>
      <c r="G895" s="492"/>
      <c r="H895" s="254"/>
      <c r="I895" s="492"/>
      <c r="J895" s="254"/>
      <c r="K895" s="492"/>
      <c r="L895" s="254"/>
      <c r="M895" s="492"/>
      <c r="N895" s="254"/>
      <c r="O895" s="492"/>
      <c r="P895" s="254"/>
      <c r="Q895" s="492"/>
      <c r="R895" s="254"/>
      <c r="S895" s="514"/>
      <c r="T895" s="514"/>
      <c r="U895" s="492"/>
      <c r="V895" s="254"/>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row>
    <row r="896">
      <c r="A896" s="492"/>
      <c r="B896" s="254"/>
      <c r="C896" s="492"/>
      <c r="D896" s="254"/>
      <c r="E896" s="492"/>
      <c r="F896" s="254"/>
      <c r="G896" s="492"/>
      <c r="H896" s="254"/>
      <c r="I896" s="492"/>
      <c r="J896" s="254"/>
      <c r="K896" s="492"/>
      <c r="L896" s="254"/>
      <c r="M896" s="492"/>
      <c r="N896" s="254"/>
      <c r="O896" s="492"/>
      <c r="P896" s="254"/>
      <c r="Q896" s="492"/>
      <c r="R896" s="254"/>
      <c r="S896" s="514"/>
      <c r="T896" s="514"/>
      <c r="U896" s="492"/>
      <c r="V896" s="254"/>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row>
    <row r="897">
      <c r="A897" s="492"/>
      <c r="B897" s="254"/>
      <c r="C897" s="492"/>
      <c r="D897" s="254"/>
      <c r="E897" s="492"/>
      <c r="F897" s="254"/>
      <c r="G897" s="492"/>
      <c r="H897" s="254"/>
      <c r="I897" s="492"/>
      <c r="J897" s="254"/>
      <c r="K897" s="492"/>
      <c r="L897" s="254"/>
      <c r="M897" s="492"/>
      <c r="N897" s="254"/>
      <c r="O897" s="492"/>
      <c r="P897" s="254"/>
      <c r="Q897" s="492"/>
      <c r="R897" s="254"/>
      <c r="S897" s="514"/>
      <c r="T897" s="514"/>
      <c r="U897" s="492"/>
      <c r="V897" s="254"/>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row>
    <row r="898">
      <c r="A898" s="492"/>
      <c r="B898" s="254"/>
      <c r="C898" s="492"/>
      <c r="D898" s="254"/>
      <c r="E898" s="492"/>
      <c r="F898" s="254"/>
      <c r="G898" s="492"/>
      <c r="H898" s="254"/>
      <c r="I898" s="492"/>
      <c r="J898" s="254"/>
      <c r="K898" s="492"/>
      <c r="L898" s="254"/>
      <c r="M898" s="492"/>
      <c r="N898" s="254"/>
      <c r="O898" s="492"/>
      <c r="P898" s="254"/>
      <c r="Q898" s="492"/>
      <c r="R898" s="254"/>
      <c r="S898" s="514"/>
      <c r="T898" s="514"/>
      <c r="U898" s="492"/>
      <c r="V898" s="254"/>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row>
    <row r="899">
      <c r="A899" s="492"/>
      <c r="B899" s="254"/>
      <c r="C899" s="492"/>
      <c r="D899" s="254"/>
      <c r="E899" s="492"/>
      <c r="F899" s="254"/>
      <c r="G899" s="492"/>
      <c r="H899" s="254"/>
      <c r="I899" s="492"/>
      <c r="J899" s="254"/>
      <c r="K899" s="492"/>
      <c r="L899" s="254"/>
      <c r="M899" s="492"/>
      <c r="N899" s="254"/>
      <c r="O899" s="492"/>
      <c r="P899" s="254"/>
      <c r="Q899" s="492"/>
      <c r="R899" s="254"/>
      <c r="S899" s="514"/>
      <c r="T899" s="514"/>
      <c r="U899" s="492"/>
      <c r="V899" s="254"/>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row>
    <row r="900">
      <c r="A900" s="492"/>
      <c r="B900" s="254"/>
      <c r="C900" s="492"/>
      <c r="D900" s="254"/>
      <c r="E900" s="492"/>
      <c r="F900" s="254"/>
      <c r="G900" s="492"/>
      <c r="H900" s="254"/>
      <c r="I900" s="492"/>
      <c r="J900" s="254"/>
      <c r="K900" s="492"/>
      <c r="L900" s="254"/>
      <c r="M900" s="492"/>
      <c r="N900" s="254"/>
      <c r="O900" s="492"/>
      <c r="P900" s="254"/>
      <c r="Q900" s="492"/>
      <c r="R900" s="254"/>
      <c r="S900" s="514"/>
      <c r="T900" s="514"/>
      <c r="U900" s="492"/>
      <c r="V900" s="254"/>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row>
    <row r="901">
      <c r="A901" s="492"/>
      <c r="B901" s="254"/>
      <c r="C901" s="492"/>
      <c r="D901" s="254"/>
      <c r="E901" s="492"/>
      <c r="F901" s="254"/>
      <c r="G901" s="492"/>
      <c r="H901" s="254"/>
      <c r="I901" s="492"/>
      <c r="J901" s="254"/>
      <c r="K901" s="492"/>
      <c r="L901" s="254"/>
      <c r="M901" s="492"/>
      <c r="N901" s="254"/>
      <c r="O901" s="492"/>
      <c r="P901" s="254"/>
      <c r="Q901" s="492"/>
      <c r="R901" s="254"/>
      <c r="S901" s="514"/>
      <c r="T901" s="514"/>
      <c r="U901" s="492"/>
      <c r="V901" s="254"/>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row>
    <row r="902">
      <c r="A902" s="492"/>
      <c r="B902" s="254"/>
      <c r="C902" s="492"/>
      <c r="D902" s="254"/>
      <c r="E902" s="492"/>
      <c r="F902" s="254"/>
      <c r="G902" s="492"/>
      <c r="H902" s="254"/>
      <c r="I902" s="492"/>
      <c r="J902" s="254"/>
      <c r="K902" s="492"/>
      <c r="L902" s="254"/>
      <c r="M902" s="492"/>
      <c r="N902" s="254"/>
      <c r="O902" s="492"/>
      <c r="P902" s="254"/>
      <c r="Q902" s="492"/>
      <c r="R902" s="254"/>
      <c r="S902" s="514"/>
      <c r="T902" s="514"/>
      <c r="U902" s="492"/>
      <c r="V902" s="254"/>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row>
    <row r="903">
      <c r="A903" s="492"/>
      <c r="B903" s="254"/>
      <c r="C903" s="492"/>
      <c r="D903" s="254"/>
      <c r="E903" s="492"/>
      <c r="F903" s="254"/>
      <c r="G903" s="492"/>
      <c r="H903" s="254"/>
      <c r="I903" s="492"/>
      <c r="J903" s="254"/>
      <c r="K903" s="492"/>
      <c r="L903" s="254"/>
      <c r="M903" s="492"/>
      <c r="N903" s="254"/>
      <c r="O903" s="492"/>
      <c r="P903" s="254"/>
      <c r="Q903" s="492"/>
      <c r="R903" s="254"/>
      <c r="S903" s="514"/>
      <c r="T903" s="514"/>
      <c r="U903" s="492"/>
      <c r="V903" s="254"/>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row>
    <row r="904">
      <c r="A904" s="492"/>
      <c r="B904" s="254"/>
      <c r="C904" s="492"/>
      <c r="D904" s="254"/>
      <c r="E904" s="492"/>
      <c r="F904" s="254"/>
      <c r="G904" s="492"/>
      <c r="H904" s="254"/>
      <c r="I904" s="492"/>
      <c r="J904" s="254"/>
      <c r="K904" s="492"/>
      <c r="L904" s="254"/>
      <c r="M904" s="492"/>
      <c r="N904" s="254"/>
      <c r="O904" s="492"/>
      <c r="P904" s="254"/>
      <c r="Q904" s="492"/>
      <c r="R904" s="254"/>
      <c r="S904" s="514"/>
      <c r="T904" s="514"/>
      <c r="U904" s="492"/>
      <c r="V904" s="254"/>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row>
    <row r="905">
      <c r="A905" s="492"/>
      <c r="B905" s="254"/>
      <c r="C905" s="492"/>
      <c r="D905" s="254"/>
      <c r="E905" s="492"/>
      <c r="F905" s="254"/>
      <c r="G905" s="492"/>
      <c r="H905" s="254"/>
      <c r="I905" s="492"/>
      <c r="J905" s="254"/>
      <c r="K905" s="492"/>
      <c r="L905" s="254"/>
      <c r="M905" s="492"/>
      <c r="N905" s="254"/>
      <c r="O905" s="492"/>
      <c r="P905" s="254"/>
      <c r="Q905" s="492"/>
      <c r="R905" s="254"/>
      <c r="S905" s="514"/>
      <c r="T905" s="514"/>
      <c r="U905" s="492"/>
      <c r="V905" s="254"/>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row>
    <row r="906">
      <c r="A906" s="492"/>
      <c r="B906" s="254"/>
      <c r="C906" s="492"/>
      <c r="D906" s="254"/>
      <c r="E906" s="492"/>
      <c r="F906" s="254"/>
      <c r="G906" s="492"/>
      <c r="H906" s="254"/>
      <c r="I906" s="492"/>
      <c r="J906" s="254"/>
      <c r="K906" s="492"/>
      <c r="L906" s="254"/>
      <c r="M906" s="492"/>
      <c r="N906" s="254"/>
      <c r="O906" s="492"/>
      <c r="P906" s="254"/>
      <c r="Q906" s="492"/>
      <c r="R906" s="254"/>
      <c r="S906" s="514"/>
      <c r="T906" s="514"/>
      <c r="U906" s="492"/>
      <c r="V906" s="254"/>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row>
    <row r="907">
      <c r="A907" s="492"/>
      <c r="B907" s="254"/>
      <c r="C907" s="492"/>
      <c r="D907" s="254"/>
      <c r="E907" s="492"/>
      <c r="F907" s="254"/>
      <c r="G907" s="492"/>
      <c r="H907" s="254"/>
      <c r="I907" s="492"/>
      <c r="J907" s="254"/>
      <c r="K907" s="492"/>
      <c r="L907" s="254"/>
      <c r="M907" s="492"/>
      <c r="N907" s="254"/>
      <c r="O907" s="492"/>
      <c r="P907" s="254"/>
      <c r="Q907" s="492"/>
      <c r="R907" s="254"/>
      <c r="S907" s="514"/>
      <c r="T907" s="514"/>
      <c r="U907" s="492"/>
      <c r="V907" s="254"/>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row>
    <row r="908">
      <c r="A908" s="492"/>
      <c r="B908" s="254"/>
      <c r="C908" s="492"/>
      <c r="D908" s="254"/>
      <c r="E908" s="492"/>
      <c r="F908" s="254"/>
      <c r="G908" s="492"/>
      <c r="H908" s="254"/>
      <c r="I908" s="492"/>
      <c r="J908" s="254"/>
      <c r="K908" s="492"/>
      <c r="L908" s="254"/>
      <c r="M908" s="492"/>
      <c r="N908" s="254"/>
      <c r="O908" s="492"/>
      <c r="P908" s="254"/>
      <c r="Q908" s="492"/>
      <c r="R908" s="254"/>
      <c r="S908" s="514"/>
      <c r="T908" s="514"/>
      <c r="U908" s="492"/>
      <c r="V908" s="254"/>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row>
    <row r="909">
      <c r="A909" s="492"/>
      <c r="B909" s="254"/>
      <c r="C909" s="492"/>
      <c r="D909" s="254"/>
      <c r="E909" s="492"/>
      <c r="F909" s="254"/>
      <c r="G909" s="492"/>
      <c r="H909" s="254"/>
      <c r="I909" s="492"/>
      <c r="J909" s="254"/>
      <c r="K909" s="492"/>
      <c r="L909" s="254"/>
      <c r="M909" s="492"/>
      <c r="N909" s="254"/>
      <c r="O909" s="492"/>
      <c r="P909" s="254"/>
      <c r="Q909" s="492"/>
      <c r="R909" s="254"/>
      <c r="S909" s="514"/>
      <c r="T909" s="514"/>
      <c r="U909" s="492"/>
      <c r="V909" s="254"/>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row>
    <row r="910">
      <c r="A910" s="492"/>
      <c r="B910" s="254"/>
      <c r="C910" s="492"/>
      <c r="D910" s="254"/>
      <c r="E910" s="492"/>
      <c r="F910" s="254"/>
      <c r="G910" s="492"/>
      <c r="H910" s="254"/>
      <c r="I910" s="492"/>
      <c r="J910" s="254"/>
      <c r="K910" s="492"/>
      <c r="L910" s="254"/>
      <c r="M910" s="492"/>
      <c r="N910" s="254"/>
      <c r="O910" s="492"/>
      <c r="P910" s="254"/>
      <c r="Q910" s="492"/>
      <c r="R910" s="254"/>
      <c r="S910" s="514"/>
      <c r="T910" s="514"/>
      <c r="U910" s="492"/>
      <c r="V910" s="254"/>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row>
    <row r="911">
      <c r="A911" s="492"/>
      <c r="B911" s="254"/>
      <c r="C911" s="492"/>
      <c r="D911" s="254"/>
      <c r="E911" s="492"/>
      <c r="F911" s="254"/>
      <c r="G911" s="492"/>
      <c r="H911" s="254"/>
      <c r="I911" s="492"/>
      <c r="J911" s="254"/>
      <c r="K911" s="492"/>
      <c r="L911" s="254"/>
      <c r="M911" s="492"/>
      <c r="N911" s="254"/>
      <c r="O911" s="492"/>
      <c r="P911" s="254"/>
      <c r="Q911" s="492"/>
      <c r="R911" s="254"/>
      <c r="S911" s="514"/>
      <c r="T911" s="514"/>
      <c r="U911" s="492"/>
      <c r="V911" s="254"/>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row>
    <row r="912">
      <c r="A912" s="492"/>
      <c r="B912" s="254"/>
      <c r="C912" s="492"/>
      <c r="D912" s="254"/>
      <c r="E912" s="492"/>
      <c r="F912" s="254"/>
      <c r="G912" s="492"/>
      <c r="H912" s="254"/>
      <c r="I912" s="492"/>
      <c r="J912" s="254"/>
      <c r="K912" s="492"/>
      <c r="L912" s="254"/>
      <c r="M912" s="492"/>
      <c r="N912" s="254"/>
      <c r="O912" s="492"/>
      <c r="P912" s="254"/>
      <c r="Q912" s="492"/>
      <c r="R912" s="254"/>
      <c r="S912" s="514"/>
      <c r="T912" s="514"/>
      <c r="U912" s="492"/>
      <c r="V912" s="254"/>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row>
    <row r="913">
      <c r="A913" s="492"/>
      <c r="B913" s="254"/>
      <c r="C913" s="492"/>
      <c r="D913" s="254"/>
      <c r="E913" s="492"/>
      <c r="F913" s="254"/>
      <c r="G913" s="492"/>
      <c r="H913" s="254"/>
      <c r="I913" s="492"/>
      <c r="J913" s="254"/>
      <c r="K913" s="492"/>
      <c r="L913" s="254"/>
      <c r="M913" s="492"/>
      <c r="N913" s="254"/>
      <c r="O913" s="492"/>
      <c r="P913" s="254"/>
      <c r="Q913" s="492"/>
      <c r="R913" s="254"/>
      <c r="S913" s="514"/>
      <c r="T913" s="514"/>
      <c r="U913" s="492"/>
      <c r="V913" s="254"/>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row>
    <row r="914">
      <c r="A914" s="492"/>
      <c r="B914" s="254"/>
      <c r="C914" s="492"/>
      <c r="D914" s="254"/>
      <c r="E914" s="492"/>
      <c r="F914" s="254"/>
      <c r="G914" s="492"/>
      <c r="H914" s="254"/>
      <c r="I914" s="492"/>
      <c r="J914" s="254"/>
      <c r="K914" s="492"/>
      <c r="L914" s="254"/>
      <c r="M914" s="492"/>
      <c r="N914" s="254"/>
      <c r="O914" s="492"/>
      <c r="P914" s="254"/>
      <c r="Q914" s="492"/>
      <c r="R914" s="254"/>
      <c r="S914" s="514"/>
      <c r="T914" s="514"/>
      <c r="U914" s="492"/>
      <c r="V914" s="254"/>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row>
    <row r="915">
      <c r="A915" s="492"/>
      <c r="B915" s="254"/>
      <c r="C915" s="492"/>
      <c r="D915" s="254"/>
      <c r="E915" s="492"/>
      <c r="F915" s="254"/>
      <c r="G915" s="492"/>
      <c r="H915" s="254"/>
      <c r="I915" s="492"/>
      <c r="J915" s="254"/>
      <c r="K915" s="492"/>
      <c r="L915" s="254"/>
      <c r="M915" s="492"/>
      <c r="N915" s="254"/>
      <c r="O915" s="492"/>
      <c r="P915" s="254"/>
      <c r="Q915" s="492"/>
      <c r="R915" s="254"/>
      <c r="S915" s="514"/>
      <c r="T915" s="514"/>
      <c r="U915" s="492"/>
      <c r="V915" s="254"/>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row>
    <row r="916">
      <c r="A916" s="492"/>
      <c r="B916" s="254"/>
      <c r="C916" s="492"/>
      <c r="D916" s="254"/>
      <c r="E916" s="492"/>
      <c r="F916" s="254"/>
      <c r="G916" s="492"/>
      <c r="H916" s="254"/>
      <c r="I916" s="492"/>
      <c r="J916" s="254"/>
      <c r="K916" s="492"/>
      <c r="L916" s="254"/>
      <c r="M916" s="492"/>
      <c r="N916" s="254"/>
      <c r="O916" s="492"/>
      <c r="P916" s="254"/>
      <c r="Q916" s="492"/>
      <c r="R916" s="254"/>
      <c r="S916" s="514"/>
      <c r="T916" s="514"/>
      <c r="U916" s="492"/>
      <c r="V916" s="254"/>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row>
    <row r="917">
      <c r="A917" s="492"/>
      <c r="B917" s="254"/>
      <c r="C917" s="492"/>
      <c r="D917" s="254"/>
      <c r="E917" s="492"/>
      <c r="F917" s="254"/>
      <c r="G917" s="492"/>
      <c r="H917" s="254"/>
      <c r="I917" s="492"/>
      <c r="J917" s="254"/>
      <c r="K917" s="492"/>
      <c r="L917" s="254"/>
      <c r="M917" s="492"/>
      <c r="N917" s="254"/>
      <c r="O917" s="492"/>
      <c r="P917" s="254"/>
      <c r="Q917" s="492"/>
      <c r="R917" s="254"/>
      <c r="S917" s="514"/>
      <c r="T917" s="514"/>
      <c r="U917" s="492"/>
      <c r="V917" s="254"/>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row>
    <row r="918">
      <c r="A918" s="492"/>
      <c r="B918" s="254"/>
      <c r="C918" s="492"/>
      <c r="D918" s="254"/>
      <c r="E918" s="492"/>
      <c r="F918" s="254"/>
      <c r="G918" s="492"/>
      <c r="H918" s="254"/>
      <c r="I918" s="492"/>
      <c r="J918" s="254"/>
      <c r="K918" s="492"/>
      <c r="L918" s="254"/>
      <c r="M918" s="492"/>
      <c r="N918" s="254"/>
      <c r="O918" s="492"/>
      <c r="P918" s="254"/>
      <c r="Q918" s="492"/>
      <c r="R918" s="254"/>
      <c r="S918" s="514"/>
      <c r="T918" s="514"/>
      <c r="U918" s="492"/>
      <c r="V918" s="254"/>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row>
    <row r="919">
      <c r="A919" s="492"/>
      <c r="B919" s="254"/>
      <c r="C919" s="492"/>
      <c r="D919" s="254"/>
      <c r="E919" s="492"/>
      <c r="F919" s="254"/>
      <c r="G919" s="492"/>
      <c r="H919" s="254"/>
      <c r="I919" s="492"/>
      <c r="J919" s="254"/>
      <c r="K919" s="492"/>
      <c r="L919" s="254"/>
      <c r="M919" s="492"/>
      <c r="N919" s="254"/>
      <c r="O919" s="492"/>
      <c r="P919" s="254"/>
      <c r="Q919" s="492"/>
      <c r="R919" s="254"/>
      <c r="S919" s="514"/>
      <c r="T919" s="514"/>
      <c r="U919" s="492"/>
      <c r="V919" s="254"/>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row>
    <row r="920">
      <c r="A920" s="492"/>
      <c r="B920" s="254"/>
      <c r="C920" s="492"/>
      <c r="D920" s="254"/>
      <c r="E920" s="492"/>
      <c r="F920" s="254"/>
      <c r="G920" s="492"/>
      <c r="H920" s="254"/>
      <c r="I920" s="492"/>
      <c r="J920" s="254"/>
      <c r="K920" s="492"/>
      <c r="L920" s="254"/>
      <c r="M920" s="492"/>
      <c r="N920" s="254"/>
      <c r="O920" s="492"/>
      <c r="P920" s="254"/>
      <c r="Q920" s="492"/>
      <c r="R920" s="254"/>
      <c r="S920" s="514"/>
      <c r="T920" s="514"/>
      <c r="U920" s="492"/>
      <c r="V920" s="254"/>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row>
    <row r="921">
      <c r="A921" s="492"/>
      <c r="B921" s="254"/>
      <c r="C921" s="492"/>
      <c r="D921" s="254"/>
      <c r="E921" s="492"/>
      <c r="F921" s="254"/>
      <c r="G921" s="492"/>
      <c r="H921" s="254"/>
      <c r="I921" s="492"/>
      <c r="J921" s="254"/>
      <c r="K921" s="492"/>
      <c r="L921" s="254"/>
      <c r="M921" s="492"/>
      <c r="N921" s="254"/>
      <c r="O921" s="492"/>
      <c r="P921" s="254"/>
      <c r="Q921" s="492"/>
      <c r="R921" s="254"/>
      <c r="S921" s="514"/>
      <c r="T921" s="514"/>
      <c r="U921" s="492"/>
      <c r="V921" s="254"/>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row>
    <row r="922">
      <c r="A922" s="492"/>
      <c r="B922" s="254"/>
      <c r="C922" s="492"/>
      <c r="D922" s="254"/>
      <c r="E922" s="492"/>
      <c r="F922" s="254"/>
      <c r="G922" s="492"/>
      <c r="H922" s="254"/>
      <c r="I922" s="492"/>
      <c r="J922" s="254"/>
      <c r="K922" s="492"/>
      <c r="L922" s="254"/>
      <c r="M922" s="492"/>
      <c r="N922" s="254"/>
      <c r="O922" s="492"/>
      <c r="P922" s="254"/>
      <c r="Q922" s="492"/>
      <c r="R922" s="254"/>
      <c r="S922" s="514"/>
      <c r="T922" s="514"/>
      <c r="U922" s="492"/>
      <c r="V922" s="254"/>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row>
    <row r="923">
      <c r="A923" s="492"/>
      <c r="B923" s="254"/>
      <c r="C923" s="492"/>
      <c r="D923" s="254"/>
      <c r="E923" s="492"/>
      <c r="F923" s="254"/>
      <c r="G923" s="492"/>
      <c r="H923" s="254"/>
      <c r="I923" s="492"/>
      <c r="J923" s="254"/>
      <c r="K923" s="492"/>
      <c r="L923" s="254"/>
      <c r="M923" s="492"/>
      <c r="N923" s="254"/>
      <c r="O923" s="492"/>
      <c r="P923" s="254"/>
      <c r="Q923" s="492"/>
      <c r="R923" s="254"/>
      <c r="S923" s="514"/>
      <c r="T923" s="514"/>
      <c r="U923" s="492"/>
      <c r="V923" s="254"/>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row>
    <row r="924">
      <c r="A924" s="492"/>
      <c r="B924" s="254"/>
      <c r="C924" s="492"/>
      <c r="D924" s="254"/>
      <c r="E924" s="492"/>
      <c r="F924" s="254"/>
      <c r="G924" s="492"/>
      <c r="H924" s="254"/>
      <c r="I924" s="492"/>
      <c r="J924" s="254"/>
      <c r="K924" s="492"/>
      <c r="L924" s="254"/>
      <c r="M924" s="492"/>
      <c r="N924" s="254"/>
      <c r="O924" s="492"/>
      <c r="P924" s="254"/>
      <c r="Q924" s="492"/>
      <c r="R924" s="254"/>
      <c r="S924" s="514"/>
      <c r="T924" s="514"/>
      <c r="U924" s="492"/>
      <c r="V924" s="254"/>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row>
    <row r="925">
      <c r="A925" s="492"/>
      <c r="B925" s="254"/>
      <c r="C925" s="492"/>
      <c r="D925" s="254"/>
      <c r="E925" s="492"/>
      <c r="F925" s="254"/>
      <c r="G925" s="492"/>
      <c r="H925" s="254"/>
      <c r="I925" s="492"/>
      <c r="J925" s="254"/>
      <c r="K925" s="492"/>
      <c r="L925" s="254"/>
      <c r="M925" s="492"/>
      <c r="N925" s="254"/>
      <c r="O925" s="492"/>
      <c r="P925" s="254"/>
      <c r="Q925" s="492"/>
      <c r="R925" s="254"/>
      <c r="S925" s="514"/>
      <c r="T925" s="514"/>
      <c r="U925" s="492"/>
      <c r="V925" s="254"/>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row>
    <row r="926">
      <c r="A926" s="492"/>
      <c r="B926" s="254"/>
      <c r="C926" s="492"/>
      <c r="D926" s="254"/>
      <c r="E926" s="492"/>
      <c r="F926" s="254"/>
      <c r="G926" s="492"/>
      <c r="H926" s="254"/>
      <c r="I926" s="492"/>
      <c r="J926" s="254"/>
      <c r="K926" s="492"/>
      <c r="L926" s="254"/>
      <c r="M926" s="492"/>
      <c r="N926" s="254"/>
      <c r="O926" s="492"/>
      <c r="P926" s="254"/>
      <c r="Q926" s="492"/>
      <c r="R926" s="254"/>
      <c r="S926" s="514"/>
      <c r="T926" s="514"/>
      <c r="U926" s="492"/>
      <c r="V926" s="254"/>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row>
    <row r="927">
      <c r="A927" s="492"/>
      <c r="B927" s="254"/>
      <c r="C927" s="492"/>
      <c r="D927" s="254"/>
      <c r="E927" s="492"/>
      <c r="F927" s="254"/>
      <c r="G927" s="492"/>
      <c r="H927" s="254"/>
      <c r="I927" s="492"/>
      <c r="J927" s="254"/>
      <c r="K927" s="492"/>
      <c r="L927" s="254"/>
      <c r="M927" s="492"/>
      <c r="N927" s="254"/>
      <c r="O927" s="492"/>
      <c r="P927" s="254"/>
      <c r="Q927" s="492"/>
      <c r="R927" s="254"/>
      <c r="S927" s="514"/>
      <c r="T927" s="514"/>
      <c r="U927" s="492"/>
      <c r="V927" s="254"/>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row>
    <row r="928">
      <c r="A928" s="492"/>
      <c r="B928" s="254"/>
      <c r="C928" s="492"/>
      <c r="D928" s="254"/>
      <c r="E928" s="492"/>
      <c r="F928" s="254"/>
      <c r="G928" s="492"/>
      <c r="H928" s="254"/>
      <c r="I928" s="492"/>
      <c r="J928" s="254"/>
      <c r="K928" s="492"/>
      <c r="L928" s="254"/>
      <c r="M928" s="492"/>
      <c r="N928" s="254"/>
      <c r="O928" s="492"/>
      <c r="P928" s="254"/>
      <c r="Q928" s="492"/>
      <c r="R928" s="254"/>
      <c r="S928" s="514"/>
      <c r="T928" s="514"/>
      <c r="U928" s="492"/>
      <c r="V928" s="254"/>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row>
    <row r="929">
      <c r="A929" s="492"/>
      <c r="B929" s="254"/>
      <c r="C929" s="492"/>
      <c r="D929" s="254"/>
      <c r="E929" s="492"/>
      <c r="F929" s="254"/>
      <c r="G929" s="492"/>
      <c r="H929" s="254"/>
      <c r="I929" s="492"/>
      <c r="J929" s="254"/>
      <c r="K929" s="492"/>
      <c r="L929" s="254"/>
      <c r="M929" s="492"/>
      <c r="N929" s="254"/>
      <c r="O929" s="492"/>
      <c r="P929" s="254"/>
      <c r="Q929" s="492"/>
      <c r="R929" s="254"/>
      <c r="S929" s="514"/>
      <c r="T929" s="514"/>
      <c r="U929" s="492"/>
      <c r="V929" s="254"/>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row>
    <row r="930">
      <c r="A930" s="492"/>
      <c r="B930" s="254"/>
      <c r="C930" s="492"/>
      <c r="D930" s="254"/>
      <c r="E930" s="492"/>
      <c r="F930" s="254"/>
      <c r="G930" s="492"/>
      <c r="H930" s="254"/>
      <c r="I930" s="492"/>
      <c r="J930" s="254"/>
      <c r="K930" s="492"/>
      <c r="L930" s="254"/>
      <c r="M930" s="492"/>
      <c r="N930" s="254"/>
      <c r="O930" s="492"/>
      <c r="P930" s="254"/>
      <c r="Q930" s="492"/>
      <c r="R930" s="254"/>
      <c r="S930" s="514"/>
      <c r="T930" s="514"/>
      <c r="U930" s="492"/>
      <c r="V930" s="254"/>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row>
    <row r="931">
      <c r="A931" s="492"/>
      <c r="B931" s="254"/>
      <c r="C931" s="492"/>
      <c r="D931" s="254"/>
      <c r="E931" s="492"/>
      <c r="F931" s="254"/>
      <c r="G931" s="492"/>
      <c r="H931" s="254"/>
      <c r="I931" s="492"/>
      <c r="J931" s="254"/>
      <c r="K931" s="492"/>
      <c r="L931" s="254"/>
      <c r="M931" s="492"/>
      <c r="N931" s="254"/>
      <c r="O931" s="492"/>
      <c r="P931" s="254"/>
      <c r="Q931" s="492"/>
      <c r="R931" s="254"/>
      <c r="S931" s="514"/>
      <c r="T931" s="514"/>
      <c r="U931" s="492"/>
      <c r="V931" s="254"/>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row>
    <row r="932">
      <c r="A932" s="492"/>
      <c r="B932" s="254"/>
      <c r="C932" s="492"/>
      <c r="D932" s="254"/>
      <c r="E932" s="492"/>
      <c r="F932" s="254"/>
      <c r="G932" s="492"/>
      <c r="H932" s="254"/>
      <c r="I932" s="492"/>
      <c r="J932" s="254"/>
      <c r="K932" s="492"/>
      <c r="L932" s="254"/>
      <c r="M932" s="492"/>
      <c r="N932" s="254"/>
      <c r="O932" s="492"/>
      <c r="P932" s="254"/>
      <c r="Q932" s="492"/>
      <c r="R932" s="254"/>
      <c r="S932" s="514"/>
      <c r="T932" s="514"/>
      <c r="U932" s="492"/>
      <c r="V932" s="254"/>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row>
    <row r="933">
      <c r="A933" s="492"/>
      <c r="B933" s="254"/>
      <c r="C933" s="492"/>
      <c r="D933" s="254"/>
      <c r="E933" s="492"/>
      <c r="F933" s="254"/>
      <c r="G933" s="492"/>
      <c r="H933" s="254"/>
      <c r="I933" s="492"/>
      <c r="J933" s="254"/>
      <c r="K933" s="492"/>
      <c r="L933" s="254"/>
      <c r="M933" s="492"/>
      <c r="N933" s="254"/>
      <c r="O933" s="492"/>
      <c r="P933" s="254"/>
      <c r="Q933" s="492"/>
      <c r="R933" s="254"/>
      <c r="S933" s="514"/>
      <c r="T933" s="514"/>
      <c r="U933" s="492"/>
      <c r="V933" s="254"/>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row>
    <row r="934">
      <c r="A934" s="492"/>
      <c r="B934" s="254"/>
      <c r="C934" s="492"/>
      <c r="D934" s="254"/>
      <c r="E934" s="492"/>
      <c r="F934" s="254"/>
      <c r="G934" s="492"/>
      <c r="H934" s="254"/>
      <c r="I934" s="492"/>
      <c r="J934" s="254"/>
      <c r="K934" s="492"/>
      <c r="L934" s="254"/>
      <c r="M934" s="492"/>
      <c r="N934" s="254"/>
      <c r="O934" s="492"/>
      <c r="P934" s="254"/>
      <c r="Q934" s="492"/>
      <c r="R934" s="254"/>
      <c r="S934" s="514"/>
      <c r="T934" s="514"/>
      <c r="U934" s="492"/>
      <c r="V934" s="254"/>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row>
    <row r="935">
      <c r="A935" s="492"/>
      <c r="B935" s="254"/>
      <c r="C935" s="492"/>
      <c r="D935" s="254"/>
      <c r="E935" s="492"/>
      <c r="F935" s="254"/>
      <c r="G935" s="492"/>
      <c r="H935" s="254"/>
      <c r="I935" s="492"/>
      <c r="J935" s="254"/>
      <c r="K935" s="492"/>
      <c r="L935" s="254"/>
      <c r="M935" s="492"/>
      <c r="N935" s="254"/>
      <c r="O935" s="492"/>
      <c r="P935" s="254"/>
      <c r="Q935" s="492"/>
      <c r="R935" s="254"/>
      <c r="S935" s="514"/>
      <c r="T935" s="514"/>
      <c r="U935" s="492"/>
      <c r="V935" s="254"/>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row>
    <row r="936">
      <c r="A936" s="492"/>
      <c r="B936" s="254"/>
      <c r="C936" s="492"/>
      <c r="D936" s="254"/>
      <c r="E936" s="492"/>
      <c r="F936" s="254"/>
      <c r="G936" s="492"/>
      <c r="H936" s="254"/>
      <c r="I936" s="492"/>
      <c r="J936" s="254"/>
      <c r="K936" s="492"/>
      <c r="L936" s="254"/>
      <c r="M936" s="492"/>
      <c r="N936" s="254"/>
      <c r="O936" s="492"/>
      <c r="P936" s="254"/>
      <c r="Q936" s="492"/>
      <c r="R936" s="254"/>
      <c r="S936" s="514"/>
      <c r="T936" s="514"/>
      <c r="U936" s="492"/>
      <c r="V936" s="254"/>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row>
    <row r="937">
      <c r="A937" s="492"/>
      <c r="B937" s="254"/>
      <c r="C937" s="492"/>
      <c r="D937" s="254"/>
      <c r="E937" s="492"/>
      <c r="F937" s="254"/>
      <c r="G937" s="492"/>
      <c r="H937" s="254"/>
      <c r="I937" s="492"/>
      <c r="J937" s="254"/>
      <c r="K937" s="492"/>
      <c r="L937" s="254"/>
      <c r="M937" s="492"/>
      <c r="N937" s="254"/>
      <c r="O937" s="492"/>
      <c r="P937" s="254"/>
      <c r="Q937" s="492"/>
      <c r="R937" s="254"/>
      <c r="S937" s="514"/>
      <c r="T937" s="514"/>
      <c r="U937" s="492"/>
      <c r="V937" s="254"/>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row>
    <row r="938">
      <c r="A938" s="492"/>
      <c r="B938" s="254"/>
      <c r="C938" s="492"/>
      <c r="D938" s="254"/>
      <c r="E938" s="492"/>
      <c r="F938" s="254"/>
      <c r="G938" s="492"/>
      <c r="H938" s="254"/>
      <c r="I938" s="492"/>
      <c r="J938" s="254"/>
      <c r="K938" s="492"/>
      <c r="L938" s="254"/>
      <c r="M938" s="492"/>
      <c r="N938" s="254"/>
      <c r="O938" s="492"/>
      <c r="P938" s="254"/>
      <c r="Q938" s="492"/>
      <c r="R938" s="254"/>
      <c r="S938" s="514"/>
      <c r="T938" s="514"/>
      <c r="U938" s="492"/>
      <c r="V938" s="254"/>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row>
    <row r="939">
      <c r="A939" s="492"/>
      <c r="B939" s="254"/>
      <c r="C939" s="492"/>
      <c r="D939" s="254"/>
      <c r="E939" s="492"/>
      <c r="F939" s="254"/>
      <c r="G939" s="492"/>
      <c r="H939" s="254"/>
      <c r="I939" s="492"/>
      <c r="J939" s="254"/>
      <c r="K939" s="492"/>
      <c r="L939" s="254"/>
      <c r="M939" s="492"/>
      <c r="N939" s="254"/>
      <c r="O939" s="492"/>
      <c r="P939" s="254"/>
      <c r="Q939" s="492"/>
      <c r="R939" s="254"/>
      <c r="S939" s="514"/>
      <c r="T939" s="514"/>
      <c r="U939" s="492"/>
      <c r="V939" s="254"/>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row>
    <row r="940">
      <c r="A940" s="492"/>
      <c r="B940" s="254"/>
      <c r="C940" s="492"/>
      <c r="D940" s="254"/>
      <c r="E940" s="492"/>
      <c r="F940" s="254"/>
      <c r="G940" s="492"/>
      <c r="H940" s="254"/>
      <c r="I940" s="492"/>
      <c r="J940" s="254"/>
      <c r="K940" s="492"/>
      <c r="L940" s="254"/>
      <c r="M940" s="492"/>
      <c r="N940" s="254"/>
      <c r="O940" s="492"/>
      <c r="P940" s="254"/>
      <c r="Q940" s="492"/>
      <c r="R940" s="254"/>
      <c r="S940" s="514"/>
      <c r="T940" s="514"/>
      <c r="U940" s="492"/>
      <c r="V940" s="254"/>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row>
    <row r="941">
      <c r="A941" s="492"/>
      <c r="B941" s="254"/>
      <c r="C941" s="492"/>
      <c r="D941" s="254"/>
      <c r="E941" s="492"/>
      <c r="F941" s="254"/>
      <c r="G941" s="492"/>
      <c r="H941" s="254"/>
      <c r="I941" s="492"/>
      <c r="J941" s="254"/>
      <c r="K941" s="492"/>
      <c r="L941" s="254"/>
      <c r="M941" s="492"/>
      <c r="N941" s="254"/>
      <c r="O941" s="492"/>
      <c r="P941" s="254"/>
      <c r="Q941" s="492"/>
      <c r="R941" s="254"/>
      <c r="S941" s="514"/>
      <c r="T941" s="514"/>
      <c r="U941" s="492"/>
      <c r="V941" s="254"/>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row>
    <row r="942">
      <c r="A942" s="492"/>
      <c r="B942" s="254"/>
      <c r="C942" s="492"/>
      <c r="D942" s="254"/>
      <c r="E942" s="492"/>
      <c r="F942" s="254"/>
      <c r="G942" s="492"/>
      <c r="H942" s="254"/>
      <c r="I942" s="492"/>
      <c r="J942" s="254"/>
      <c r="K942" s="492"/>
      <c r="L942" s="254"/>
      <c r="M942" s="492"/>
      <c r="N942" s="254"/>
      <c r="O942" s="492"/>
      <c r="P942" s="254"/>
      <c r="Q942" s="492"/>
      <c r="R942" s="254"/>
      <c r="S942" s="514"/>
      <c r="T942" s="514"/>
      <c r="U942" s="492"/>
      <c r="V942" s="254"/>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row>
    <row r="943">
      <c r="A943" s="492"/>
      <c r="B943" s="254"/>
      <c r="C943" s="492"/>
      <c r="D943" s="254"/>
      <c r="E943" s="492"/>
      <c r="F943" s="254"/>
      <c r="G943" s="492"/>
      <c r="H943" s="254"/>
      <c r="I943" s="492"/>
      <c r="J943" s="254"/>
      <c r="K943" s="492"/>
      <c r="L943" s="254"/>
      <c r="M943" s="492"/>
      <c r="N943" s="254"/>
      <c r="O943" s="492"/>
      <c r="P943" s="254"/>
      <c r="Q943" s="492"/>
      <c r="R943" s="254"/>
      <c r="S943" s="514"/>
      <c r="T943" s="514"/>
      <c r="U943" s="492"/>
      <c r="V943" s="254"/>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row>
    <row r="944">
      <c r="A944" s="492"/>
      <c r="B944" s="254"/>
      <c r="C944" s="492"/>
      <c r="D944" s="254"/>
      <c r="E944" s="492"/>
      <c r="F944" s="254"/>
      <c r="G944" s="492"/>
      <c r="H944" s="254"/>
      <c r="I944" s="492"/>
      <c r="J944" s="254"/>
      <c r="K944" s="492"/>
      <c r="L944" s="254"/>
      <c r="M944" s="492"/>
      <c r="N944" s="254"/>
      <c r="O944" s="492"/>
      <c r="P944" s="254"/>
      <c r="Q944" s="492"/>
      <c r="R944" s="254"/>
      <c r="S944" s="514"/>
      <c r="T944" s="514"/>
      <c r="U944" s="492"/>
      <c r="V944" s="254"/>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row>
    <row r="945">
      <c r="A945" s="492"/>
      <c r="B945" s="254"/>
      <c r="C945" s="492"/>
      <c r="D945" s="254"/>
      <c r="E945" s="492"/>
      <c r="F945" s="254"/>
      <c r="G945" s="492"/>
      <c r="H945" s="254"/>
      <c r="I945" s="492"/>
      <c r="J945" s="254"/>
      <c r="K945" s="492"/>
      <c r="L945" s="254"/>
      <c r="M945" s="492"/>
      <c r="N945" s="254"/>
      <c r="O945" s="492"/>
      <c r="P945" s="254"/>
      <c r="Q945" s="492"/>
      <c r="R945" s="254"/>
      <c r="S945" s="514"/>
      <c r="T945" s="514"/>
      <c r="U945" s="492"/>
      <c r="V945" s="254"/>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row>
    <row r="946">
      <c r="A946" s="492"/>
      <c r="B946" s="254"/>
      <c r="C946" s="492"/>
      <c r="D946" s="254"/>
      <c r="E946" s="492"/>
      <c r="F946" s="254"/>
      <c r="G946" s="492"/>
      <c r="H946" s="254"/>
      <c r="I946" s="492"/>
      <c r="J946" s="254"/>
      <c r="K946" s="492"/>
      <c r="L946" s="254"/>
      <c r="M946" s="492"/>
      <c r="N946" s="254"/>
      <c r="O946" s="492"/>
      <c r="P946" s="254"/>
      <c r="Q946" s="492"/>
      <c r="R946" s="254"/>
      <c r="S946" s="514"/>
      <c r="T946" s="514"/>
      <c r="U946" s="492"/>
      <c r="V946" s="254"/>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row>
    <row r="947">
      <c r="A947" s="492"/>
      <c r="B947" s="254"/>
      <c r="C947" s="492"/>
      <c r="D947" s="254"/>
      <c r="E947" s="492"/>
      <c r="F947" s="254"/>
      <c r="G947" s="492"/>
      <c r="H947" s="254"/>
      <c r="I947" s="492"/>
      <c r="J947" s="254"/>
      <c r="K947" s="492"/>
      <c r="L947" s="254"/>
      <c r="M947" s="492"/>
      <c r="N947" s="254"/>
      <c r="O947" s="492"/>
      <c r="P947" s="254"/>
      <c r="Q947" s="492"/>
      <c r="R947" s="254"/>
      <c r="S947" s="514"/>
      <c r="T947" s="514"/>
      <c r="U947" s="492"/>
      <c r="V947" s="254"/>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row>
    <row r="948">
      <c r="A948" s="492"/>
      <c r="B948" s="254"/>
      <c r="C948" s="492"/>
      <c r="D948" s="254"/>
      <c r="E948" s="492"/>
      <c r="F948" s="254"/>
      <c r="G948" s="492"/>
      <c r="H948" s="254"/>
      <c r="I948" s="492"/>
      <c r="J948" s="254"/>
      <c r="K948" s="492"/>
      <c r="L948" s="254"/>
      <c r="M948" s="492"/>
      <c r="N948" s="254"/>
      <c r="O948" s="492"/>
      <c r="P948" s="254"/>
      <c r="Q948" s="492"/>
      <c r="R948" s="254"/>
      <c r="S948" s="514"/>
      <c r="T948" s="514"/>
      <c r="U948" s="492"/>
      <c r="V948" s="254"/>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row>
    <row r="949">
      <c r="A949" s="492"/>
      <c r="B949" s="254"/>
      <c r="C949" s="492"/>
      <c r="D949" s="254"/>
      <c r="E949" s="492"/>
      <c r="F949" s="254"/>
      <c r="G949" s="492"/>
      <c r="H949" s="254"/>
      <c r="I949" s="492"/>
      <c r="J949" s="254"/>
      <c r="K949" s="492"/>
      <c r="L949" s="254"/>
      <c r="M949" s="492"/>
      <c r="N949" s="254"/>
      <c r="O949" s="492"/>
      <c r="P949" s="254"/>
      <c r="Q949" s="492"/>
      <c r="R949" s="254"/>
      <c r="S949" s="514"/>
      <c r="T949" s="514"/>
      <c r="U949" s="492"/>
      <c r="V949" s="254"/>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row>
    <row r="950">
      <c r="A950" s="492"/>
      <c r="B950" s="254"/>
      <c r="C950" s="492"/>
      <c r="D950" s="254"/>
      <c r="E950" s="492"/>
      <c r="F950" s="254"/>
      <c r="G950" s="492"/>
      <c r="H950" s="254"/>
      <c r="I950" s="492"/>
      <c r="J950" s="254"/>
      <c r="K950" s="492"/>
      <c r="L950" s="254"/>
      <c r="M950" s="492"/>
      <c r="N950" s="254"/>
      <c r="O950" s="492"/>
      <c r="P950" s="254"/>
      <c r="Q950" s="492"/>
      <c r="R950" s="254"/>
      <c r="S950" s="514"/>
      <c r="T950" s="514"/>
      <c r="U950" s="492"/>
      <c r="V950" s="254"/>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row>
    <row r="951">
      <c r="A951" s="492"/>
      <c r="B951" s="254"/>
      <c r="C951" s="492"/>
      <c r="D951" s="254"/>
      <c r="E951" s="492"/>
      <c r="F951" s="254"/>
      <c r="G951" s="492"/>
      <c r="H951" s="254"/>
      <c r="I951" s="492"/>
      <c r="J951" s="254"/>
      <c r="K951" s="492"/>
      <c r="L951" s="254"/>
      <c r="M951" s="492"/>
      <c r="N951" s="254"/>
      <c r="O951" s="492"/>
      <c r="P951" s="254"/>
      <c r="Q951" s="492"/>
      <c r="R951" s="254"/>
      <c r="S951" s="514"/>
      <c r="T951" s="514"/>
      <c r="U951" s="492"/>
      <c r="V951" s="254"/>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row>
    <row r="952">
      <c r="A952" s="492"/>
      <c r="B952" s="254"/>
      <c r="C952" s="492"/>
      <c r="D952" s="254"/>
      <c r="E952" s="492"/>
      <c r="F952" s="254"/>
      <c r="G952" s="492"/>
      <c r="H952" s="254"/>
      <c r="I952" s="492"/>
      <c r="J952" s="254"/>
      <c r="K952" s="492"/>
      <c r="L952" s="254"/>
      <c r="M952" s="492"/>
      <c r="N952" s="254"/>
      <c r="O952" s="492"/>
      <c r="P952" s="254"/>
      <c r="Q952" s="492"/>
      <c r="R952" s="254"/>
      <c r="S952" s="514"/>
      <c r="T952" s="514"/>
      <c r="U952" s="492"/>
      <c r="V952" s="254"/>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row>
    <row r="953">
      <c r="A953" s="492"/>
      <c r="B953" s="254"/>
      <c r="C953" s="492"/>
      <c r="D953" s="254"/>
      <c r="E953" s="492"/>
      <c r="F953" s="254"/>
      <c r="G953" s="492"/>
      <c r="H953" s="254"/>
      <c r="I953" s="492"/>
      <c r="J953" s="254"/>
      <c r="K953" s="492"/>
      <c r="L953" s="254"/>
      <c r="M953" s="492"/>
      <c r="N953" s="254"/>
      <c r="O953" s="492"/>
      <c r="P953" s="254"/>
      <c r="Q953" s="492"/>
      <c r="R953" s="254"/>
      <c r="S953" s="514"/>
      <c r="T953" s="514"/>
      <c r="U953" s="492"/>
      <c r="V953" s="254"/>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row>
    <row r="954">
      <c r="A954" s="492"/>
      <c r="B954" s="254"/>
      <c r="C954" s="492"/>
      <c r="D954" s="254"/>
      <c r="E954" s="492"/>
      <c r="F954" s="254"/>
      <c r="G954" s="492"/>
      <c r="H954" s="254"/>
      <c r="I954" s="492"/>
      <c r="J954" s="254"/>
      <c r="K954" s="492"/>
      <c r="L954" s="254"/>
      <c r="M954" s="492"/>
      <c r="N954" s="254"/>
      <c r="O954" s="492"/>
      <c r="P954" s="254"/>
      <c r="Q954" s="492"/>
      <c r="R954" s="254"/>
      <c r="S954" s="514"/>
      <c r="T954" s="514"/>
      <c r="U954" s="492"/>
      <c r="V954" s="254"/>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row>
    <row r="955">
      <c r="A955" s="492"/>
      <c r="B955" s="254"/>
      <c r="C955" s="492"/>
      <c r="D955" s="254"/>
      <c r="E955" s="492"/>
      <c r="F955" s="254"/>
      <c r="G955" s="492"/>
      <c r="H955" s="254"/>
      <c r="I955" s="492"/>
      <c r="J955" s="254"/>
      <c r="K955" s="492"/>
      <c r="L955" s="254"/>
      <c r="M955" s="492"/>
      <c r="N955" s="254"/>
      <c r="O955" s="492"/>
      <c r="P955" s="254"/>
      <c r="Q955" s="492"/>
      <c r="R955" s="254"/>
      <c r="S955" s="514"/>
      <c r="T955" s="514"/>
      <c r="U955" s="492"/>
      <c r="V955" s="254"/>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row>
    <row r="956">
      <c r="A956" s="492"/>
      <c r="B956" s="254"/>
      <c r="C956" s="492"/>
      <c r="D956" s="254"/>
      <c r="E956" s="492"/>
      <c r="F956" s="254"/>
      <c r="G956" s="492"/>
      <c r="H956" s="254"/>
      <c r="I956" s="492"/>
      <c r="J956" s="254"/>
      <c r="K956" s="492"/>
      <c r="L956" s="254"/>
      <c r="M956" s="492"/>
      <c r="N956" s="254"/>
      <c r="O956" s="492"/>
      <c r="P956" s="254"/>
      <c r="Q956" s="492"/>
      <c r="R956" s="254"/>
      <c r="S956" s="514"/>
      <c r="T956" s="514"/>
      <c r="U956" s="492"/>
      <c r="V956" s="254"/>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row>
    <row r="957">
      <c r="A957" s="492"/>
      <c r="B957" s="254"/>
      <c r="C957" s="492"/>
      <c r="D957" s="254"/>
      <c r="E957" s="492"/>
      <c r="F957" s="254"/>
      <c r="G957" s="492"/>
      <c r="H957" s="254"/>
      <c r="I957" s="492"/>
      <c r="J957" s="254"/>
      <c r="K957" s="492"/>
      <c r="L957" s="254"/>
      <c r="M957" s="492"/>
      <c r="N957" s="254"/>
      <c r="O957" s="492"/>
      <c r="P957" s="254"/>
      <c r="Q957" s="492"/>
      <c r="R957" s="254"/>
      <c r="S957" s="514"/>
      <c r="T957" s="514"/>
      <c r="U957" s="492"/>
      <c r="V957" s="254"/>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row>
    <row r="958">
      <c r="A958" s="492"/>
      <c r="B958" s="254"/>
      <c r="C958" s="492"/>
      <c r="D958" s="254"/>
      <c r="E958" s="492"/>
      <c r="F958" s="254"/>
      <c r="G958" s="492"/>
      <c r="H958" s="254"/>
      <c r="I958" s="492"/>
      <c r="J958" s="254"/>
      <c r="K958" s="492"/>
      <c r="L958" s="254"/>
      <c r="M958" s="492"/>
      <c r="N958" s="254"/>
      <c r="O958" s="492"/>
      <c r="P958" s="254"/>
      <c r="Q958" s="492"/>
      <c r="R958" s="254"/>
      <c r="S958" s="514"/>
      <c r="T958" s="514"/>
      <c r="U958" s="492"/>
      <c r="V958" s="254"/>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row>
    <row r="959">
      <c r="A959" s="492"/>
      <c r="B959" s="254"/>
      <c r="C959" s="492"/>
      <c r="D959" s="254"/>
      <c r="E959" s="492"/>
      <c r="F959" s="254"/>
      <c r="G959" s="492"/>
      <c r="H959" s="254"/>
      <c r="I959" s="492"/>
      <c r="J959" s="254"/>
      <c r="K959" s="492"/>
      <c r="L959" s="254"/>
      <c r="M959" s="492"/>
      <c r="N959" s="254"/>
      <c r="O959" s="492"/>
      <c r="P959" s="254"/>
      <c r="Q959" s="492"/>
      <c r="R959" s="254"/>
      <c r="S959" s="514"/>
      <c r="T959" s="514"/>
      <c r="U959" s="492"/>
      <c r="V959" s="254"/>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row>
    <row r="960">
      <c r="A960" s="492"/>
      <c r="B960" s="254"/>
      <c r="C960" s="492"/>
      <c r="D960" s="254"/>
      <c r="E960" s="492"/>
      <c r="F960" s="254"/>
      <c r="G960" s="492"/>
      <c r="H960" s="254"/>
      <c r="I960" s="492"/>
      <c r="J960" s="254"/>
      <c r="K960" s="492"/>
      <c r="L960" s="254"/>
      <c r="M960" s="492"/>
      <c r="N960" s="254"/>
      <c r="O960" s="492"/>
      <c r="P960" s="254"/>
      <c r="Q960" s="492"/>
      <c r="R960" s="254"/>
      <c r="S960" s="514"/>
      <c r="T960" s="514"/>
      <c r="U960" s="492"/>
      <c r="V960" s="254"/>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row>
    <row r="961">
      <c r="A961" s="492"/>
      <c r="B961" s="254"/>
      <c r="C961" s="492"/>
      <c r="D961" s="254"/>
      <c r="E961" s="492"/>
      <c r="F961" s="254"/>
      <c r="G961" s="492"/>
      <c r="H961" s="254"/>
      <c r="I961" s="492"/>
      <c r="J961" s="254"/>
      <c r="K961" s="492"/>
      <c r="L961" s="254"/>
      <c r="M961" s="492"/>
      <c r="N961" s="254"/>
      <c r="O961" s="492"/>
      <c r="P961" s="254"/>
      <c r="Q961" s="492"/>
      <c r="R961" s="254"/>
      <c r="S961" s="514"/>
      <c r="T961" s="514"/>
      <c r="U961" s="492"/>
      <c r="V961" s="254"/>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row>
    <row r="962">
      <c r="A962" s="492"/>
      <c r="B962" s="254"/>
      <c r="C962" s="492"/>
      <c r="D962" s="254"/>
      <c r="E962" s="492"/>
      <c r="F962" s="254"/>
      <c r="G962" s="492"/>
      <c r="H962" s="254"/>
      <c r="I962" s="492"/>
      <c r="J962" s="254"/>
      <c r="K962" s="492"/>
      <c r="L962" s="254"/>
      <c r="M962" s="492"/>
      <c r="N962" s="254"/>
      <c r="O962" s="492"/>
      <c r="P962" s="254"/>
      <c r="Q962" s="492"/>
      <c r="R962" s="254"/>
      <c r="S962" s="514"/>
      <c r="T962" s="514"/>
      <c r="U962" s="492"/>
      <c r="V962" s="254"/>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row>
    <row r="963">
      <c r="A963" s="492"/>
      <c r="B963" s="254"/>
      <c r="C963" s="492"/>
      <c r="D963" s="254"/>
      <c r="E963" s="492"/>
      <c r="F963" s="254"/>
      <c r="G963" s="492"/>
      <c r="H963" s="254"/>
      <c r="I963" s="492"/>
      <c r="J963" s="254"/>
      <c r="K963" s="492"/>
      <c r="L963" s="254"/>
      <c r="M963" s="492"/>
      <c r="N963" s="254"/>
      <c r="O963" s="492"/>
      <c r="P963" s="254"/>
      <c r="Q963" s="492"/>
      <c r="R963" s="254"/>
      <c r="S963" s="514"/>
      <c r="T963" s="514"/>
      <c r="U963" s="492"/>
      <c r="V963" s="254"/>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row>
    <row r="964">
      <c r="A964" s="492"/>
      <c r="B964" s="254"/>
      <c r="C964" s="492"/>
      <c r="D964" s="254"/>
      <c r="E964" s="492"/>
      <c r="F964" s="254"/>
      <c r="G964" s="492"/>
      <c r="H964" s="254"/>
      <c r="I964" s="492"/>
      <c r="J964" s="254"/>
      <c r="K964" s="492"/>
      <c r="L964" s="254"/>
      <c r="M964" s="492"/>
      <c r="N964" s="254"/>
      <c r="O964" s="492"/>
      <c r="P964" s="254"/>
      <c r="Q964" s="492"/>
      <c r="R964" s="254"/>
      <c r="S964" s="514"/>
      <c r="T964" s="514"/>
      <c r="U964" s="492"/>
      <c r="V964" s="254"/>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row>
    <row r="965">
      <c r="A965" s="492"/>
      <c r="B965" s="254"/>
      <c r="C965" s="492"/>
      <c r="D965" s="254"/>
      <c r="E965" s="492"/>
      <c r="F965" s="254"/>
      <c r="G965" s="492"/>
      <c r="H965" s="254"/>
      <c r="I965" s="492"/>
      <c r="J965" s="254"/>
      <c r="K965" s="492"/>
      <c r="L965" s="254"/>
      <c r="M965" s="492"/>
      <c r="N965" s="254"/>
      <c r="O965" s="492"/>
      <c r="P965" s="254"/>
      <c r="Q965" s="492"/>
      <c r="R965" s="254"/>
      <c r="S965" s="514"/>
      <c r="T965" s="514"/>
      <c r="U965" s="492"/>
      <c r="V965" s="254"/>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row>
    <row r="966">
      <c r="A966" s="492"/>
      <c r="B966" s="254"/>
      <c r="C966" s="492"/>
      <c r="D966" s="254"/>
      <c r="E966" s="492"/>
      <c r="F966" s="254"/>
      <c r="G966" s="492"/>
      <c r="H966" s="254"/>
      <c r="I966" s="492"/>
      <c r="J966" s="254"/>
      <c r="K966" s="492"/>
      <c r="L966" s="254"/>
      <c r="M966" s="492"/>
      <c r="N966" s="254"/>
      <c r="O966" s="492"/>
      <c r="P966" s="254"/>
      <c r="Q966" s="492"/>
      <c r="R966" s="254"/>
      <c r="S966" s="514"/>
      <c r="T966" s="514"/>
      <c r="U966" s="492"/>
      <c r="V966" s="254"/>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row>
    <row r="967">
      <c r="A967" s="492"/>
      <c r="B967" s="254"/>
      <c r="C967" s="492"/>
      <c r="D967" s="254"/>
      <c r="E967" s="492"/>
      <c r="F967" s="254"/>
      <c r="G967" s="492"/>
      <c r="H967" s="254"/>
      <c r="I967" s="492"/>
      <c r="J967" s="254"/>
      <c r="K967" s="492"/>
      <c r="L967" s="254"/>
      <c r="M967" s="492"/>
      <c r="N967" s="254"/>
      <c r="O967" s="492"/>
      <c r="P967" s="254"/>
      <c r="Q967" s="492"/>
      <c r="R967" s="254"/>
      <c r="S967" s="514"/>
      <c r="T967" s="514"/>
      <c r="U967" s="492"/>
      <c r="V967" s="254"/>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row>
    <row r="968">
      <c r="A968" s="492"/>
      <c r="B968" s="254"/>
      <c r="C968" s="492"/>
      <c r="D968" s="254"/>
      <c r="E968" s="492"/>
      <c r="F968" s="254"/>
      <c r="G968" s="492"/>
      <c r="H968" s="254"/>
      <c r="I968" s="492"/>
      <c r="J968" s="254"/>
      <c r="K968" s="492"/>
      <c r="L968" s="254"/>
      <c r="M968" s="492"/>
      <c r="N968" s="254"/>
      <c r="O968" s="492"/>
      <c r="P968" s="254"/>
      <c r="Q968" s="492"/>
      <c r="R968" s="254"/>
      <c r="S968" s="514"/>
      <c r="T968" s="514"/>
      <c r="U968" s="492"/>
      <c r="V968" s="254"/>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row>
    <row r="969">
      <c r="A969" s="492"/>
      <c r="B969" s="254"/>
      <c r="C969" s="492"/>
      <c r="D969" s="254"/>
      <c r="E969" s="492"/>
      <c r="F969" s="254"/>
      <c r="G969" s="492"/>
      <c r="H969" s="254"/>
      <c r="I969" s="492"/>
      <c r="J969" s="254"/>
      <c r="K969" s="492"/>
      <c r="L969" s="254"/>
      <c r="M969" s="492"/>
      <c r="N969" s="254"/>
      <c r="O969" s="492"/>
      <c r="P969" s="254"/>
      <c r="Q969" s="492"/>
      <c r="R969" s="254"/>
      <c r="S969" s="514"/>
      <c r="T969" s="514"/>
      <c r="U969" s="492"/>
      <c r="V969" s="254"/>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row>
    <row r="970">
      <c r="A970" s="492"/>
      <c r="B970" s="254"/>
      <c r="C970" s="492"/>
      <c r="D970" s="254"/>
      <c r="E970" s="492"/>
      <c r="F970" s="254"/>
      <c r="G970" s="492"/>
      <c r="H970" s="254"/>
      <c r="I970" s="492"/>
      <c r="J970" s="254"/>
      <c r="K970" s="492"/>
      <c r="L970" s="254"/>
      <c r="M970" s="492"/>
      <c r="N970" s="254"/>
      <c r="O970" s="492"/>
      <c r="P970" s="254"/>
      <c r="Q970" s="492"/>
      <c r="R970" s="254"/>
      <c r="S970" s="514"/>
      <c r="T970" s="514"/>
      <c r="U970" s="492"/>
      <c r="V970" s="254"/>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row>
    <row r="971">
      <c r="A971" s="492"/>
      <c r="B971" s="254"/>
      <c r="C971" s="492"/>
      <c r="D971" s="254"/>
      <c r="E971" s="492"/>
      <c r="F971" s="254"/>
      <c r="G971" s="492"/>
      <c r="H971" s="254"/>
      <c r="I971" s="492"/>
      <c r="J971" s="254"/>
      <c r="K971" s="492"/>
      <c r="L971" s="254"/>
      <c r="M971" s="492"/>
      <c r="N971" s="254"/>
      <c r="O971" s="492"/>
      <c r="P971" s="254"/>
      <c r="Q971" s="492"/>
      <c r="R971" s="254"/>
      <c r="S971" s="514"/>
      <c r="T971" s="514"/>
      <c r="U971" s="492"/>
      <c r="V971" s="254"/>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row>
    <row r="972">
      <c r="A972" s="492"/>
      <c r="B972" s="254"/>
      <c r="C972" s="492"/>
      <c r="D972" s="254"/>
      <c r="E972" s="492"/>
      <c r="F972" s="254"/>
      <c r="G972" s="492"/>
      <c r="H972" s="254"/>
      <c r="I972" s="492"/>
      <c r="J972" s="254"/>
      <c r="K972" s="492"/>
      <c r="L972" s="254"/>
      <c r="M972" s="492"/>
      <c r="N972" s="254"/>
      <c r="O972" s="492"/>
      <c r="P972" s="254"/>
      <c r="Q972" s="492"/>
      <c r="R972" s="254"/>
      <c r="S972" s="514"/>
      <c r="T972" s="514"/>
      <c r="U972" s="492"/>
      <c r="V972" s="254"/>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row>
    <row r="973">
      <c r="A973" s="492"/>
      <c r="B973" s="254"/>
      <c r="C973" s="492"/>
      <c r="D973" s="254"/>
      <c r="E973" s="492"/>
      <c r="F973" s="254"/>
      <c r="G973" s="492"/>
      <c r="H973" s="254"/>
      <c r="I973" s="492"/>
      <c r="J973" s="254"/>
      <c r="K973" s="492"/>
      <c r="L973" s="254"/>
      <c r="M973" s="492"/>
      <c r="N973" s="254"/>
      <c r="O973" s="492"/>
      <c r="P973" s="254"/>
      <c r="Q973" s="492"/>
      <c r="R973" s="254"/>
      <c r="S973" s="514"/>
      <c r="T973" s="514"/>
      <c r="U973" s="492"/>
      <c r="V973" s="254"/>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row>
    <row r="974">
      <c r="A974" s="492"/>
      <c r="B974" s="254"/>
      <c r="C974" s="492"/>
      <c r="D974" s="254"/>
      <c r="E974" s="492"/>
      <c r="F974" s="254"/>
      <c r="G974" s="492"/>
      <c r="H974" s="254"/>
      <c r="I974" s="492"/>
      <c r="J974" s="254"/>
      <c r="K974" s="492"/>
      <c r="L974" s="254"/>
      <c r="M974" s="492"/>
      <c r="N974" s="254"/>
      <c r="O974" s="492"/>
      <c r="P974" s="254"/>
      <c r="Q974" s="492"/>
      <c r="R974" s="254"/>
      <c r="S974" s="514"/>
      <c r="T974" s="514"/>
      <c r="U974" s="492"/>
      <c r="V974" s="254"/>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row>
    <row r="975">
      <c r="A975" s="492"/>
      <c r="B975" s="254"/>
      <c r="C975" s="492"/>
      <c r="D975" s="254"/>
      <c r="E975" s="492"/>
      <c r="F975" s="254"/>
      <c r="G975" s="492"/>
      <c r="H975" s="254"/>
      <c r="I975" s="492"/>
      <c r="J975" s="254"/>
      <c r="K975" s="492"/>
      <c r="L975" s="254"/>
      <c r="M975" s="492"/>
      <c r="N975" s="254"/>
      <c r="O975" s="492"/>
      <c r="P975" s="254"/>
      <c r="Q975" s="492"/>
      <c r="R975" s="254"/>
      <c r="S975" s="514"/>
      <c r="T975" s="514"/>
      <c r="U975" s="492"/>
      <c r="V975" s="254"/>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row>
    <row r="976">
      <c r="A976" s="492"/>
      <c r="B976" s="254"/>
      <c r="C976" s="492"/>
      <c r="D976" s="254"/>
      <c r="E976" s="492"/>
      <c r="F976" s="254"/>
      <c r="G976" s="492"/>
      <c r="H976" s="254"/>
      <c r="I976" s="492"/>
      <c r="J976" s="254"/>
      <c r="K976" s="492"/>
      <c r="L976" s="254"/>
      <c r="M976" s="492"/>
      <c r="N976" s="254"/>
      <c r="O976" s="492"/>
      <c r="P976" s="254"/>
      <c r="Q976" s="492"/>
      <c r="R976" s="254"/>
      <c r="S976" s="514"/>
      <c r="T976" s="514"/>
      <c r="U976" s="492"/>
      <c r="V976" s="254"/>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row>
    <row r="977">
      <c r="A977" s="492"/>
      <c r="B977" s="254"/>
      <c r="C977" s="492"/>
      <c r="D977" s="254"/>
      <c r="E977" s="492"/>
      <c r="F977" s="254"/>
      <c r="G977" s="492"/>
      <c r="H977" s="254"/>
      <c r="I977" s="492"/>
      <c r="J977" s="254"/>
      <c r="K977" s="492"/>
      <c r="L977" s="254"/>
      <c r="M977" s="492"/>
      <c r="N977" s="254"/>
      <c r="O977" s="492"/>
      <c r="P977" s="254"/>
      <c r="Q977" s="492"/>
      <c r="R977" s="254"/>
      <c r="S977" s="514"/>
      <c r="T977" s="514"/>
      <c r="U977" s="492"/>
      <c r="V977" s="254"/>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row>
    <row r="978">
      <c r="A978" s="492"/>
      <c r="B978" s="254"/>
      <c r="C978" s="492"/>
      <c r="D978" s="254"/>
      <c r="E978" s="492"/>
      <c r="F978" s="254"/>
      <c r="G978" s="492"/>
      <c r="H978" s="254"/>
      <c r="I978" s="492"/>
      <c r="J978" s="254"/>
      <c r="K978" s="492"/>
      <c r="L978" s="254"/>
      <c r="M978" s="492"/>
      <c r="N978" s="254"/>
      <c r="O978" s="492"/>
      <c r="P978" s="254"/>
      <c r="Q978" s="492"/>
      <c r="R978" s="254"/>
      <c r="S978" s="514"/>
      <c r="T978" s="514"/>
      <c r="U978" s="492"/>
      <c r="V978" s="254"/>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row>
    <row r="979">
      <c r="A979" s="492"/>
      <c r="B979" s="254"/>
      <c r="C979" s="492"/>
      <c r="D979" s="254"/>
      <c r="E979" s="492"/>
      <c r="F979" s="254"/>
      <c r="G979" s="492"/>
      <c r="H979" s="254"/>
      <c r="I979" s="492"/>
      <c r="J979" s="254"/>
      <c r="K979" s="492"/>
      <c r="L979" s="254"/>
      <c r="M979" s="492"/>
      <c r="N979" s="254"/>
      <c r="O979" s="492"/>
      <c r="P979" s="254"/>
      <c r="Q979" s="492"/>
      <c r="R979" s="254"/>
      <c r="S979" s="514"/>
      <c r="T979" s="514"/>
      <c r="U979" s="492"/>
      <c r="V979" s="254"/>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row>
    <row r="980">
      <c r="A980" s="492"/>
      <c r="B980" s="254"/>
      <c r="C980" s="492"/>
      <c r="D980" s="254"/>
      <c r="E980" s="492"/>
      <c r="F980" s="254"/>
      <c r="G980" s="492"/>
      <c r="H980" s="254"/>
      <c r="I980" s="492"/>
      <c r="J980" s="254"/>
      <c r="K980" s="492"/>
      <c r="L980" s="254"/>
      <c r="M980" s="492"/>
      <c r="N980" s="254"/>
      <c r="O980" s="492"/>
      <c r="P980" s="254"/>
      <c r="Q980" s="492"/>
      <c r="R980" s="254"/>
      <c r="S980" s="514"/>
      <c r="T980" s="514"/>
      <c r="U980" s="492"/>
      <c r="V980" s="254"/>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row>
    <row r="981">
      <c r="A981" s="492"/>
      <c r="B981" s="254"/>
      <c r="C981" s="492"/>
      <c r="D981" s="254"/>
      <c r="E981" s="492"/>
      <c r="F981" s="254"/>
      <c r="G981" s="492"/>
      <c r="H981" s="254"/>
      <c r="I981" s="492"/>
      <c r="J981" s="254"/>
      <c r="K981" s="492"/>
      <c r="L981" s="254"/>
      <c r="M981" s="492"/>
      <c r="N981" s="254"/>
      <c r="O981" s="492"/>
      <c r="P981" s="254"/>
      <c r="Q981" s="492"/>
      <c r="R981" s="254"/>
      <c r="S981" s="514"/>
      <c r="T981" s="514"/>
      <c r="U981" s="492"/>
      <c r="V981" s="254"/>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row>
    <row r="982">
      <c r="A982" s="492"/>
      <c r="B982" s="254"/>
      <c r="C982" s="492"/>
      <c r="D982" s="254"/>
      <c r="E982" s="492"/>
      <c r="F982" s="254"/>
      <c r="G982" s="492"/>
      <c r="H982" s="254"/>
      <c r="I982" s="492"/>
      <c r="J982" s="254"/>
      <c r="K982" s="492"/>
      <c r="L982" s="254"/>
      <c r="M982" s="492"/>
      <c r="N982" s="254"/>
      <c r="O982" s="492"/>
      <c r="P982" s="254"/>
      <c r="Q982" s="492"/>
      <c r="R982" s="254"/>
      <c r="S982" s="514"/>
      <c r="T982" s="514"/>
      <c r="U982" s="492"/>
      <c r="V982" s="254"/>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row>
    <row r="983">
      <c r="A983" s="492"/>
      <c r="B983" s="254"/>
      <c r="C983" s="492"/>
      <c r="D983" s="254"/>
      <c r="E983" s="492"/>
      <c r="F983" s="254"/>
      <c r="G983" s="492"/>
      <c r="H983" s="254"/>
      <c r="I983" s="492"/>
      <c r="J983" s="254"/>
      <c r="K983" s="492"/>
      <c r="L983" s="254"/>
      <c r="M983" s="492"/>
      <c r="N983" s="254"/>
      <c r="O983" s="492"/>
      <c r="P983" s="254"/>
      <c r="Q983" s="492"/>
      <c r="R983" s="254"/>
      <c r="S983" s="514"/>
      <c r="T983" s="514"/>
      <c r="U983" s="492"/>
      <c r="V983" s="254"/>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row>
    <row r="984">
      <c r="A984" s="492"/>
      <c r="B984" s="254"/>
      <c r="C984" s="492"/>
      <c r="D984" s="254"/>
      <c r="E984" s="492"/>
      <c r="F984" s="254"/>
      <c r="G984" s="492"/>
      <c r="H984" s="254"/>
      <c r="I984" s="492"/>
      <c r="J984" s="254"/>
      <c r="K984" s="492"/>
      <c r="L984" s="254"/>
      <c r="M984" s="492"/>
      <c r="N984" s="254"/>
      <c r="O984" s="492"/>
      <c r="P984" s="254"/>
      <c r="Q984" s="492"/>
      <c r="R984" s="254"/>
      <c r="S984" s="514"/>
      <c r="T984" s="514"/>
      <c r="U984" s="492"/>
      <c r="V984" s="254"/>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row>
    <row r="985">
      <c r="A985" s="492"/>
      <c r="B985" s="254"/>
      <c r="C985" s="492"/>
      <c r="D985" s="254"/>
      <c r="E985" s="492"/>
      <c r="F985" s="254"/>
      <c r="G985" s="492"/>
      <c r="H985" s="254"/>
      <c r="I985" s="492"/>
      <c r="J985" s="254"/>
      <c r="K985" s="492"/>
      <c r="L985" s="254"/>
      <c r="M985" s="492"/>
      <c r="N985" s="254"/>
      <c r="O985" s="492"/>
      <c r="P985" s="254"/>
      <c r="Q985" s="492"/>
      <c r="R985" s="254"/>
      <c r="S985" s="514"/>
      <c r="T985" s="514"/>
      <c r="U985" s="492"/>
      <c r="V985" s="254"/>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row>
    <row r="986">
      <c r="A986" s="492"/>
      <c r="B986" s="254"/>
      <c r="C986" s="492"/>
      <c r="D986" s="254"/>
      <c r="E986" s="492"/>
      <c r="F986" s="254"/>
      <c r="G986" s="492"/>
      <c r="H986" s="254"/>
      <c r="I986" s="492"/>
      <c r="J986" s="254"/>
      <c r="K986" s="492"/>
      <c r="L986" s="254"/>
      <c r="M986" s="492"/>
      <c r="N986" s="254"/>
      <c r="O986" s="492"/>
      <c r="P986" s="254"/>
      <c r="Q986" s="492"/>
      <c r="R986" s="254"/>
      <c r="S986" s="514"/>
      <c r="T986" s="514"/>
      <c r="U986" s="492"/>
      <c r="V986" s="254"/>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row>
    <row r="987">
      <c r="A987" s="492"/>
      <c r="B987" s="254"/>
      <c r="C987" s="492"/>
      <c r="D987" s="254"/>
      <c r="E987" s="492"/>
      <c r="F987" s="254"/>
      <c r="G987" s="492"/>
      <c r="H987" s="254"/>
      <c r="I987" s="492"/>
      <c r="J987" s="254"/>
      <c r="K987" s="492"/>
      <c r="L987" s="254"/>
      <c r="M987" s="492"/>
      <c r="N987" s="254"/>
      <c r="O987" s="492"/>
      <c r="P987" s="254"/>
      <c r="Q987" s="492"/>
      <c r="R987" s="254"/>
      <c r="S987" s="514"/>
      <c r="T987" s="514"/>
      <c r="U987" s="492"/>
      <c r="V987" s="254"/>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row>
    <row r="988">
      <c r="A988" s="492"/>
      <c r="B988" s="254"/>
      <c r="C988" s="492"/>
      <c r="D988" s="254"/>
      <c r="E988" s="492"/>
      <c r="F988" s="254"/>
      <c r="G988" s="492"/>
      <c r="H988" s="254"/>
      <c r="I988" s="492"/>
      <c r="J988" s="254"/>
      <c r="K988" s="492"/>
      <c r="L988" s="254"/>
      <c r="M988" s="492"/>
      <c r="N988" s="254"/>
      <c r="O988" s="492"/>
      <c r="P988" s="254"/>
      <c r="Q988" s="492"/>
      <c r="R988" s="254"/>
      <c r="S988" s="514"/>
      <c r="T988" s="514"/>
      <c r="U988" s="492"/>
      <c r="V988" s="254"/>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row>
    <row r="989">
      <c r="A989" s="492"/>
      <c r="B989" s="254"/>
      <c r="C989" s="492"/>
      <c r="D989" s="254"/>
      <c r="E989" s="492"/>
      <c r="F989" s="254"/>
      <c r="G989" s="492"/>
      <c r="H989" s="254"/>
      <c r="I989" s="492"/>
      <c r="J989" s="254"/>
      <c r="K989" s="492"/>
      <c r="L989" s="254"/>
      <c r="M989" s="492"/>
      <c r="N989" s="254"/>
      <c r="O989" s="492"/>
      <c r="P989" s="254"/>
      <c r="Q989" s="492"/>
      <c r="R989" s="254"/>
      <c r="S989" s="514"/>
      <c r="T989" s="514"/>
      <c r="U989" s="492"/>
      <c r="V989" s="254"/>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row>
    <row r="990">
      <c r="A990" s="492"/>
      <c r="B990" s="254"/>
      <c r="C990" s="492"/>
      <c r="D990" s="254"/>
      <c r="E990" s="492"/>
      <c r="F990" s="254"/>
      <c r="G990" s="492"/>
      <c r="H990" s="254"/>
      <c r="I990" s="492"/>
      <c r="J990" s="254"/>
      <c r="K990" s="492"/>
      <c r="L990" s="254"/>
      <c r="M990" s="492"/>
      <c r="N990" s="254"/>
      <c r="O990" s="492"/>
      <c r="P990" s="254"/>
      <c r="Q990" s="492"/>
      <c r="R990" s="254"/>
      <c r="S990" s="514"/>
      <c r="T990" s="514"/>
      <c r="U990" s="492"/>
      <c r="V990" s="254"/>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row>
    <row r="991">
      <c r="A991" s="492"/>
      <c r="B991" s="254"/>
      <c r="C991" s="492"/>
      <c r="D991" s="254"/>
      <c r="E991" s="492"/>
      <c r="F991" s="254"/>
      <c r="G991" s="492"/>
      <c r="H991" s="254"/>
      <c r="I991" s="492"/>
      <c r="J991" s="254"/>
      <c r="K991" s="492"/>
      <c r="L991" s="254"/>
      <c r="M991" s="492"/>
      <c r="N991" s="254"/>
      <c r="O991" s="492"/>
      <c r="P991" s="254"/>
      <c r="Q991" s="492"/>
      <c r="R991" s="254"/>
      <c r="S991" s="514"/>
      <c r="T991" s="514"/>
      <c r="U991" s="492"/>
      <c r="V991" s="254"/>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row>
    <row r="992">
      <c r="A992" s="492"/>
      <c r="B992" s="254"/>
      <c r="C992" s="492"/>
      <c r="D992" s="254"/>
      <c r="E992" s="492"/>
      <c r="F992" s="254"/>
      <c r="G992" s="492"/>
      <c r="H992" s="254"/>
      <c r="I992" s="492"/>
      <c r="J992" s="254"/>
      <c r="K992" s="492"/>
      <c r="L992" s="254"/>
      <c r="M992" s="492"/>
      <c r="N992" s="254"/>
      <c r="O992" s="492"/>
      <c r="P992" s="254"/>
      <c r="Q992" s="492"/>
      <c r="R992" s="254"/>
      <c r="S992" s="514"/>
      <c r="T992" s="514"/>
      <c r="U992" s="492"/>
      <c r="V992" s="254"/>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row>
    <row r="993">
      <c r="A993" s="492"/>
      <c r="B993" s="254"/>
      <c r="C993" s="492"/>
      <c r="D993" s="254"/>
      <c r="E993" s="492"/>
      <c r="F993" s="254"/>
      <c r="G993" s="492"/>
      <c r="H993" s="254"/>
      <c r="I993" s="492"/>
      <c r="J993" s="254"/>
      <c r="K993" s="492"/>
      <c r="L993" s="254"/>
      <c r="M993" s="492"/>
      <c r="N993" s="254"/>
      <c r="O993" s="492"/>
      <c r="P993" s="254"/>
      <c r="Q993" s="492"/>
      <c r="R993" s="254"/>
      <c r="S993" s="514"/>
      <c r="T993" s="514"/>
      <c r="U993" s="492"/>
      <c r="V993" s="254"/>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row>
    <row r="994">
      <c r="A994" s="492"/>
      <c r="B994" s="254"/>
      <c r="C994" s="492"/>
      <c r="D994" s="254"/>
      <c r="E994" s="492"/>
      <c r="F994" s="254"/>
      <c r="G994" s="492"/>
      <c r="H994" s="254"/>
      <c r="I994" s="492"/>
      <c r="J994" s="254"/>
      <c r="K994" s="492"/>
      <c r="L994" s="254"/>
      <c r="M994" s="492"/>
      <c r="N994" s="254"/>
      <c r="O994" s="492"/>
      <c r="P994" s="254"/>
      <c r="Q994" s="492"/>
      <c r="R994" s="254"/>
      <c r="S994" s="514"/>
      <c r="T994" s="514"/>
      <c r="U994" s="492"/>
      <c r="V994" s="254"/>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row>
    <row r="995">
      <c r="A995" s="492"/>
      <c r="B995" s="254"/>
      <c r="C995" s="492"/>
      <c r="D995" s="254"/>
      <c r="E995" s="492"/>
      <c r="F995" s="254"/>
      <c r="G995" s="492"/>
      <c r="H995" s="254"/>
      <c r="I995" s="492"/>
      <c r="J995" s="254"/>
      <c r="K995" s="492"/>
      <c r="L995" s="254"/>
      <c r="M995" s="492"/>
      <c r="N995" s="254"/>
      <c r="O995" s="492"/>
      <c r="P995" s="254"/>
      <c r="Q995" s="492"/>
      <c r="R995" s="254"/>
      <c r="S995" s="514"/>
      <c r="T995" s="514"/>
      <c r="U995" s="492"/>
      <c r="V995" s="254"/>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row>
    <row r="996">
      <c r="A996" s="492"/>
      <c r="B996" s="254"/>
      <c r="C996" s="492"/>
      <c r="D996" s="254"/>
      <c r="E996" s="492"/>
      <c r="F996" s="254"/>
      <c r="G996" s="492"/>
      <c r="H996" s="254"/>
      <c r="I996" s="492"/>
      <c r="J996" s="254"/>
      <c r="K996" s="492"/>
      <c r="L996" s="254"/>
      <c r="M996" s="492"/>
      <c r="N996" s="254"/>
      <c r="O996" s="492"/>
      <c r="P996" s="254"/>
      <c r="Q996" s="492"/>
      <c r="R996" s="254"/>
      <c r="S996" s="514"/>
      <c r="T996" s="514"/>
      <c r="U996" s="492"/>
      <c r="V996" s="254"/>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row>
    <row r="997">
      <c r="A997" s="492"/>
      <c r="B997" s="254"/>
      <c r="C997" s="492"/>
      <c r="D997" s="254"/>
      <c r="E997" s="492"/>
      <c r="F997" s="254"/>
      <c r="G997" s="492"/>
      <c r="H997" s="254"/>
      <c r="I997" s="492"/>
      <c r="J997" s="254"/>
      <c r="K997" s="492"/>
      <c r="L997" s="254"/>
      <c r="M997" s="492"/>
      <c r="N997" s="254"/>
      <c r="O997" s="492"/>
      <c r="P997" s="254"/>
      <c r="Q997" s="492"/>
      <c r="R997" s="254"/>
      <c r="S997" s="514"/>
      <c r="T997" s="514"/>
      <c r="U997" s="492"/>
      <c r="V997" s="254"/>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row>
    <row r="998">
      <c r="A998" s="492"/>
      <c r="B998" s="254"/>
      <c r="C998" s="492"/>
      <c r="D998" s="254"/>
      <c r="E998" s="492"/>
      <c r="F998" s="254"/>
      <c r="G998" s="492"/>
      <c r="H998" s="254"/>
      <c r="I998" s="492"/>
      <c r="J998" s="254"/>
      <c r="K998" s="492"/>
      <c r="L998" s="254"/>
      <c r="M998" s="492"/>
      <c r="N998" s="254"/>
      <c r="O998" s="492"/>
      <c r="P998" s="254"/>
      <c r="Q998" s="492"/>
      <c r="R998" s="254"/>
      <c r="S998" s="514"/>
      <c r="T998" s="514"/>
      <c r="U998" s="492"/>
      <c r="V998" s="254"/>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row>
    <row r="999">
      <c r="A999" s="492"/>
      <c r="B999" s="254"/>
      <c r="C999" s="492"/>
      <c r="D999" s="254"/>
      <c r="E999" s="492"/>
      <c r="F999" s="254"/>
      <c r="G999" s="492"/>
      <c r="H999" s="254"/>
      <c r="I999" s="492"/>
      <c r="J999" s="254"/>
      <c r="K999" s="492"/>
      <c r="L999" s="254"/>
      <c r="M999" s="492"/>
      <c r="N999" s="254"/>
      <c r="O999" s="492"/>
      <c r="P999" s="254"/>
      <c r="Q999" s="492"/>
      <c r="R999" s="254"/>
      <c r="S999" s="514"/>
      <c r="T999" s="514"/>
      <c r="U999" s="492"/>
      <c r="V999" s="254"/>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row>
    <row r="1000">
      <c r="A1000" s="492"/>
      <c r="B1000" s="254"/>
      <c r="C1000" s="492"/>
      <c r="D1000" s="254"/>
      <c r="E1000" s="492"/>
      <c r="F1000" s="254"/>
      <c r="G1000" s="492"/>
      <c r="H1000" s="254"/>
      <c r="I1000" s="492"/>
      <c r="J1000" s="254"/>
      <c r="K1000" s="492"/>
      <c r="L1000" s="254"/>
      <c r="M1000" s="492"/>
      <c r="N1000" s="254"/>
      <c r="O1000" s="492"/>
      <c r="P1000" s="254"/>
      <c r="Q1000" s="492"/>
      <c r="R1000" s="254"/>
      <c r="S1000" s="514"/>
      <c r="T1000" s="514"/>
      <c r="U1000" s="492"/>
      <c r="V1000" s="254"/>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row>
    <row r="1001">
      <c r="A1001" s="492"/>
      <c r="B1001" s="254"/>
      <c r="C1001" s="492"/>
      <c r="D1001" s="254"/>
      <c r="E1001" s="492"/>
      <c r="F1001" s="254"/>
      <c r="G1001" s="492"/>
      <c r="H1001" s="254"/>
      <c r="I1001" s="492"/>
      <c r="J1001" s="254"/>
      <c r="K1001" s="492"/>
      <c r="L1001" s="254"/>
      <c r="M1001" s="492"/>
      <c r="N1001" s="254"/>
      <c r="O1001" s="492"/>
      <c r="P1001" s="254"/>
      <c r="Q1001" s="492"/>
      <c r="R1001" s="254"/>
      <c r="S1001" s="514"/>
      <c r="T1001" s="514"/>
      <c r="U1001" s="492"/>
      <c r="V1001" s="254"/>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row>
    <row r="1002">
      <c r="A1002" s="492"/>
      <c r="B1002" s="254"/>
      <c r="C1002" s="492"/>
      <c r="D1002" s="254"/>
      <c r="E1002" s="492"/>
      <c r="F1002" s="254"/>
      <c r="G1002" s="492"/>
      <c r="H1002" s="254"/>
      <c r="I1002" s="492"/>
      <c r="J1002" s="254"/>
      <c r="K1002" s="492"/>
      <c r="L1002" s="254"/>
      <c r="M1002" s="492"/>
      <c r="N1002" s="254"/>
      <c r="O1002" s="492"/>
      <c r="P1002" s="254"/>
      <c r="Q1002" s="492"/>
      <c r="R1002" s="254"/>
      <c r="S1002" s="514"/>
      <c r="T1002" s="514"/>
      <c r="U1002" s="492"/>
      <c r="V1002" s="254"/>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row>
    <row r="1003">
      <c r="A1003" s="492"/>
      <c r="B1003" s="254"/>
      <c r="C1003" s="492"/>
      <c r="D1003" s="254"/>
      <c r="E1003" s="492"/>
      <c r="F1003" s="254"/>
      <c r="G1003" s="492"/>
      <c r="H1003" s="254"/>
      <c r="I1003" s="492"/>
      <c r="J1003" s="254"/>
      <c r="K1003" s="492"/>
      <c r="L1003" s="254"/>
      <c r="M1003" s="492"/>
      <c r="N1003" s="254"/>
      <c r="O1003" s="492"/>
      <c r="P1003" s="254"/>
      <c r="Q1003" s="492"/>
      <c r="R1003" s="254"/>
      <c r="S1003" s="514"/>
      <c r="T1003" s="514"/>
      <c r="U1003" s="492"/>
      <c r="V1003" s="254"/>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row>
    <row r="1004">
      <c r="A1004" s="492"/>
      <c r="B1004" s="254"/>
      <c r="C1004" s="492"/>
      <c r="D1004" s="254"/>
      <c r="E1004" s="492"/>
      <c r="F1004" s="254"/>
      <c r="G1004" s="492"/>
      <c r="H1004" s="254"/>
      <c r="I1004" s="492"/>
      <c r="J1004" s="254"/>
      <c r="K1004" s="492"/>
      <c r="L1004" s="254"/>
      <c r="M1004" s="492"/>
      <c r="N1004" s="254"/>
      <c r="O1004" s="492"/>
      <c r="P1004" s="254"/>
      <c r="Q1004" s="492"/>
      <c r="R1004" s="254"/>
      <c r="S1004" s="514"/>
      <c r="T1004" s="514"/>
      <c r="U1004" s="492"/>
      <c r="V1004" s="254"/>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row>
    <row r="1005">
      <c r="A1005" s="492"/>
      <c r="B1005" s="254"/>
      <c r="C1005" s="492"/>
      <c r="D1005" s="254"/>
      <c r="E1005" s="492"/>
      <c r="F1005" s="254"/>
      <c r="G1005" s="492"/>
      <c r="H1005" s="254"/>
      <c r="I1005" s="492"/>
      <c r="J1005" s="254"/>
      <c r="K1005" s="492"/>
      <c r="L1005" s="254"/>
      <c r="M1005" s="492"/>
      <c r="N1005" s="254"/>
      <c r="O1005" s="492"/>
      <c r="P1005" s="254"/>
      <c r="Q1005" s="492"/>
      <c r="R1005" s="254"/>
      <c r="S1005" s="514"/>
      <c r="T1005" s="514"/>
      <c r="U1005" s="492"/>
      <c r="V1005" s="254"/>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row>
    <row r="1006">
      <c r="A1006" s="492"/>
      <c r="B1006" s="254"/>
      <c r="C1006" s="492"/>
      <c r="D1006" s="254"/>
      <c r="E1006" s="492"/>
      <c r="F1006" s="254"/>
      <c r="G1006" s="492"/>
      <c r="H1006" s="254"/>
      <c r="I1006" s="492"/>
      <c r="J1006" s="254"/>
      <c r="K1006" s="492"/>
      <c r="L1006" s="254"/>
      <c r="M1006" s="492"/>
      <c r="N1006" s="254"/>
      <c r="O1006" s="492"/>
      <c r="P1006" s="254"/>
      <c r="Q1006" s="492"/>
      <c r="R1006" s="254"/>
      <c r="S1006" s="514"/>
      <c r="T1006" s="514"/>
      <c r="U1006" s="492"/>
      <c r="V1006" s="254"/>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row>
    <row r="1007">
      <c r="A1007" s="492"/>
      <c r="B1007" s="254"/>
      <c r="C1007" s="492"/>
      <c r="D1007" s="254"/>
      <c r="E1007" s="492"/>
      <c r="F1007" s="254"/>
      <c r="G1007" s="492"/>
      <c r="H1007" s="254"/>
      <c r="I1007" s="492"/>
      <c r="J1007" s="254"/>
      <c r="K1007" s="492"/>
      <c r="L1007" s="254"/>
      <c r="M1007" s="492"/>
      <c r="N1007" s="254"/>
      <c r="O1007" s="492"/>
      <c r="P1007" s="254"/>
      <c r="Q1007" s="492"/>
      <c r="R1007" s="254"/>
      <c r="S1007" s="515"/>
      <c r="T1007" s="465"/>
      <c r="U1007" s="492"/>
      <c r="V1007" s="254"/>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row>
    <row r="1008">
      <c r="A1008" s="492"/>
      <c r="B1008" s="254"/>
      <c r="C1008" s="492"/>
      <c r="D1008" s="254"/>
      <c r="E1008" s="492"/>
      <c r="F1008" s="254"/>
      <c r="G1008" s="492"/>
      <c r="H1008" s="254"/>
      <c r="I1008" s="492"/>
      <c r="J1008" s="254"/>
      <c r="K1008" s="492"/>
      <c r="L1008" s="254"/>
      <c r="M1008" s="492"/>
      <c r="N1008" s="254"/>
      <c r="O1008" s="492"/>
      <c r="P1008" s="254"/>
      <c r="Q1008" s="492"/>
      <c r="R1008" s="254"/>
      <c r="S1008" s="515"/>
      <c r="T1008" s="465"/>
      <c r="U1008" s="492"/>
      <c r="V1008" s="254"/>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row>
    <row r="1009">
      <c r="A1009" s="492"/>
      <c r="B1009" s="254"/>
      <c r="C1009" s="492"/>
      <c r="D1009" s="254"/>
      <c r="E1009" s="492"/>
      <c r="F1009" s="254"/>
      <c r="G1009" s="492"/>
      <c r="H1009" s="254"/>
      <c r="I1009" s="492"/>
      <c r="J1009" s="254"/>
      <c r="K1009" s="492"/>
      <c r="L1009" s="254"/>
      <c r="M1009" s="492"/>
      <c r="N1009" s="254"/>
      <c r="O1009" s="492"/>
      <c r="P1009" s="254"/>
      <c r="Q1009" s="492"/>
      <c r="R1009" s="254"/>
      <c r="S1009" s="515"/>
      <c r="T1009" s="465"/>
      <c r="U1009" s="492"/>
      <c r="V1009" s="254"/>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row>
    <row r="1010">
      <c r="A1010" s="492"/>
      <c r="B1010" s="254"/>
      <c r="C1010" s="492"/>
      <c r="D1010" s="254"/>
      <c r="E1010" s="492"/>
      <c r="F1010" s="254"/>
      <c r="G1010" s="492"/>
      <c r="H1010" s="254"/>
      <c r="I1010" s="492"/>
      <c r="J1010" s="254"/>
      <c r="K1010" s="492"/>
      <c r="L1010" s="254"/>
      <c r="M1010" s="492"/>
      <c r="N1010" s="254"/>
      <c r="O1010" s="492"/>
      <c r="P1010" s="254"/>
      <c r="Q1010" s="492"/>
      <c r="R1010" s="254"/>
      <c r="S1010" s="515"/>
      <c r="T1010" s="465"/>
      <c r="U1010" s="492"/>
      <c r="V1010" s="254"/>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row>
    <row r="1011">
      <c r="A1011" s="492"/>
      <c r="B1011" s="254"/>
      <c r="C1011" s="492"/>
      <c r="D1011" s="254"/>
      <c r="E1011" s="492"/>
      <c r="F1011" s="254"/>
      <c r="G1011" s="492"/>
      <c r="H1011" s="254"/>
      <c r="I1011" s="492"/>
      <c r="J1011" s="254"/>
      <c r="K1011" s="492"/>
      <c r="L1011" s="254"/>
      <c r="M1011" s="492"/>
      <c r="N1011" s="254"/>
      <c r="O1011" s="492"/>
      <c r="P1011" s="254"/>
      <c r="Q1011" s="492"/>
      <c r="R1011" s="254"/>
      <c r="S1011" s="515"/>
      <c r="T1011" s="465"/>
      <c r="U1011" s="492"/>
      <c r="V1011" s="254"/>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row>
    <row r="1012">
      <c r="A1012" s="492"/>
      <c r="B1012" s="254"/>
      <c r="C1012" s="492"/>
      <c r="D1012" s="254"/>
      <c r="E1012" s="492"/>
      <c r="F1012" s="254"/>
      <c r="G1012" s="492"/>
      <c r="H1012" s="254"/>
      <c r="I1012" s="492"/>
      <c r="J1012" s="254"/>
      <c r="K1012" s="492"/>
      <c r="L1012" s="254"/>
      <c r="M1012" s="492"/>
      <c r="N1012" s="254"/>
      <c r="O1012" s="492"/>
      <c r="P1012" s="254"/>
      <c r="Q1012" s="492"/>
      <c r="R1012" s="254"/>
      <c r="S1012" s="515"/>
      <c r="T1012" s="465"/>
      <c r="U1012" s="492"/>
      <c r="V1012" s="254"/>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row>
    <row r="1013">
      <c r="A1013" s="492"/>
      <c r="B1013" s="254"/>
      <c r="C1013" s="492"/>
      <c r="D1013" s="254"/>
      <c r="E1013" s="492"/>
      <c r="F1013" s="254"/>
      <c r="G1013" s="492"/>
      <c r="H1013" s="254"/>
      <c r="I1013" s="492"/>
      <c r="J1013" s="254"/>
      <c r="K1013" s="492"/>
      <c r="L1013" s="254"/>
      <c r="M1013" s="492"/>
      <c r="N1013" s="254"/>
      <c r="O1013" s="492"/>
      <c r="P1013" s="254"/>
      <c r="Q1013" s="492"/>
      <c r="R1013" s="254"/>
      <c r="S1013" s="515"/>
      <c r="T1013" s="465"/>
      <c r="U1013" s="492"/>
      <c r="V1013" s="254"/>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row>
    <row r="1014">
      <c r="A1014" s="492"/>
      <c r="B1014" s="254"/>
      <c r="C1014" s="492"/>
      <c r="D1014" s="254"/>
      <c r="E1014" s="492"/>
      <c r="F1014" s="254"/>
      <c r="G1014" s="492"/>
      <c r="H1014" s="254"/>
      <c r="I1014" s="492"/>
      <c r="J1014" s="254"/>
      <c r="K1014" s="492"/>
      <c r="L1014" s="254"/>
      <c r="M1014" s="492"/>
      <c r="N1014" s="254"/>
      <c r="O1014" s="492"/>
      <c r="P1014" s="254"/>
      <c r="Q1014" s="492"/>
      <c r="R1014" s="254"/>
      <c r="S1014" s="515"/>
      <c r="T1014" s="465"/>
      <c r="U1014" s="492"/>
      <c r="V1014" s="254"/>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row>
  </sheetData>
  <mergeCells count="55">
    <mergeCell ref="O70:P70"/>
    <mergeCell ref="Q70:R70"/>
    <mergeCell ref="S70:T70"/>
    <mergeCell ref="U70:V70"/>
    <mergeCell ref="A70:B70"/>
    <mergeCell ref="C70:D70"/>
    <mergeCell ref="E70:F70"/>
    <mergeCell ref="G70:H70"/>
    <mergeCell ref="I70:J70"/>
    <mergeCell ref="K70:L70"/>
    <mergeCell ref="M70:N70"/>
    <mergeCell ref="O2:P2"/>
    <mergeCell ref="Q2:R2"/>
    <mergeCell ref="S2:T2"/>
    <mergeCell ref="U2:V2"/>
    <mergeCell ref="A2:B2"/>
    <mergeCell ref="C2:D2"/>
    <mergeCell ref="E2:F2"/>
    <mergeCell ref="G2:H2"/>
    <mergeCell ref="I2:J2"/>
    <mergeCell ref="K2:L2"/>
    <mergeCell ref="M2:N2"/>
    <mergeCell ref="O21:P21"/>
    <mergeCell ref="Q21:R21"/>
    <mergeCell ref="S21:T21"/>
    <mergeCell ref="U21:V21"/>
    <mergeCell ref="A21:B21"/>
    <mergeCell ref="C21:D21"/>
    <mergeCell ref="E21:F21"/>
    <mergeCell ref="G21:H21"/>
    <mergeCell ref="I21:J21"/>
    <mergeCell ref="K21:L21"/>
    <mergeCell ref="M21:N21"/>
    <mergeCell ref="O52:P52"/>
    <mergeCell ref="Q52:R52"/>
    <mergeCell ref="S52:T52"/>
    <mergeCell ref="U52:V52"/>
    <mergeCell ref="A52:B52"/>
    <mergeCell ref="C52:D52"/>
    <mergeCell ref="E52:F52"/>
    <mergeCell ref="G52:H52"/>
    <mergeCell ref="I52:J52"/>
    <mergeCell ref="K52:L52"/>
    <mergeCell ref="M52:N52"/>
    <mergeCell ref="O84:P84"/>
    <mergeCell ref="Q84:R84"/>
    <mergeCell ref="S84:T84"/>
    <mergeCell ref="U84:V84"/>
    <mergeCell ref="A84:B84"/>
    <mergeCell ref="C84:D84"/>
    <mergeCell ref="E84:F84"/>
    <mergeCell ref="G84:H84"/>
    <mergeCell ref="I84:J84"/>
    <mergeCell ref="K84:L84"/>
    <mergeCell ref="M84:N8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75"/>
    <col customWidth="1" min="14" max="14" width="31.5"/>
    <col customWidth="1" min="15" max="15" width="14.0"/>
    <col customWidth="1" min="16" max="16" width="37.13"/>
    <col customWidth="1" min="17" max="17" width="14.0"/>
    <col customWidth="1" min="18" max="18" width="37.13"/>
    <col customWidth="1" min="19" max="19" width="22.0"/>
    <col customWidth="1" min="20" max="20" width="36.88"/>
    <col customWidth="1" min="21" max="21" width="14.75"/>
    <col customWidth="1" min="22" max="22" width="31.5"/>
    <col customWidth="1" min="23" max="23" width="14.75"/>
    <col customWidth="1" min="24" max="24" width="31.5"/>
  </cols>
  <sheetData>
    <row r="1">
      <c r="A1" s="482" t="s">
        <v>10613</v>
      </c>
      <c r="B1" s="109" t="s">
        <v>10614</v>
      </c>
      <c r="C1" s="482" t="str">
        <f>IFERROR(__xludf.DUMMYFUNCTION("GOOGLETRANSLATE(A1,""zh-tw"",""ja"")"),"小道具名")</f>
        <v>小道具名</v>
      </c>
      <c r="D1" s="109" t="str">
        <f>IFERROR(__xludf.DUMMYFUNCTION("GOOGLETRANSLATE(B1,""zh-tw"",""ja"")"),"効果")</f>
        <v>効果</v>
      </c>
      <c r="E1" s="484" t="str">
        <f>IFERROR(__xludf.DUMMYFUNCTION("GOOGLETRANSLATE(A1,""zh-tw"",""en"")"),"Prop name")</f>
        <v>Prop name</v>
      </c>
      <c r="F1" s="113" t="str">
        <f>IFERROR(__xludf.DUMMYFUNCTION("GOOGLETRANSLATE(B1,""zh-tw"",""en"")"),"Effect")</f>
        <v>Effect</v>
      </c>
      <c r="G1" s="482" t="str">
        <f>IFERROR(__xludf.DUMMYFUNCTION("GOOGLETRANSLATE(A1,""zh-tw"",""zh"")"),"道具名称")</f>
        <v>道具名称</v>
      </c>
      <c r="H1" s="109" t="str">
        <f>IFERROR(__xludf.DUMMYFUNCTION("GOOGLETRANSLATE(B1,""zh-tw"",""zh"")"),"效果")</f>
        <v>效果</v>
      </c>
      <c r="I1" s="483" t="str">
        <f>IFERROR(__xludf.DUMMYFUNCTION("GOOGLETRANSLATE(A1,""zh-tw"",""es-MX"")"),"Nombre de la propiedad")</f>
        <v>Nombre de la propiedad</v>
      </c>
      <c r="J1" s="44" t="s">
        <v>10615</v>
      </c>
      <c r="K1" s="483" t="str">
        <f>IFERROR(__xludf.DUMMYFUNCTION("GOOGLETRANSLATE(A1,""zh-tw"",""KO"")"),"소품 이름")</f>
        <v>소품 이름</v>
      </c>
      <c r="L1" s="71" t="str">
        <f>IFERROR(__xludf.DUMMYFUNCTION("GOOGLETRANSLATE(B1,""zh-tw"",""KO"")"),"효과")</f>
        <v>효과</v>
      </c>
      <c r="M1" s="516" t="s">
        <v>10616</v>
      </c>
      <c r="N1" s="106" t="s">
        <v>10617</v>
      </c>
      <c r="O1" s="516" t="s">
        <v>10616</v>
      </c>
      <c r="P1" s="106" t="s">
        <v>10618</v>
      </c>
      <c r="Q1" s="482" t="s">
        <v>10619</v>
      </c>
      <c r="R1" s="109" t="s">
        <v>10620</v>
      </c>
      <c r="S1" s="517" t="s">
        <v>10621</v>
      </c>
      <c r="T1" s="518" t="s">
        <v>10622</v>
      </c>
      <c r="U1" s="484" t="s">
        <v>10623</v>
      </c>
      <c r="V1" s="113" t="s">
        <v>10624</v>
      </c>
      <c r="W1" s="482" t="s">
        <v>10625</v>
      </c>
      <c r="X1" s="109" t="s">
        <v>10626</v>
      </c>
      <c r="Y1" s="519"/>
      <c r="Z1" s="519"/>
      <c r="AA1" s="519"/>
      <c r="AB1" s="519"/>
      <c r="AC1" s="519"/>
      <c r="AD1" s="519"/>
      <c r="AE1" s="519"/>
      <c r="AF1" s="519"/>
      <c r="AG1" s="519"/>
      <c r="AH1" s="519"/>
      <c r="AI1" s="519"/>
      <c r="AJ1" s="519"/>
      <c r="AK1" s="519"/>
      <c r="AL1" s="519"/>
      <c r="AM1" s="519"/>
      <c r="AN1" s="519"/>
      <c r="AO1" s="519"/>
      <c r="AP1" s="519"/>
      <c r="AQ1" s="519"/>
      <c r="AR1" s="519"/>
      <c r="AS1" s="519"/>
      <c r="AT1" s="519"/>
    </row>
    <row r="2">
      <c r="A2" s="200" t="s">
        <v>8351</v>
      </c>
      <c r="C2" s="200" t="s">
        <v>8352</v>
      </c>
      <c r="E2" s="200" t="s">
        <v>8353</v>
      </c>
      <c r="G2" s="200" t="s">
        <v>8354</v>
      </c>
      <c r="I2" s="200"/>
      <c r="K2" s="200"/>
      <c r="M2" s="193" t="s">
        <v>8355</v>
      </c>
      <c r="O2" s="200" t="s">
        <v>8356</v>
      </c>
      <c r="Q2" s="200"/>
      <c r="S2" s="273"/>
      <c r="U2" s="200" t="s">
        <v>8358</v>
      </c>
      <c r="W2" s="200"/>
      <c r="Y2" s="9"/>
      <c r="Z2" s="9"/>
      <c r="AA2" s="9"/>
      <c r="AB2" s="9"/>
      <c r="AC2" s="9"/>
      <c r="AD2" s="9"/>
      <c r="AE2" s="9"/>
      <c r="AF2" s="9"/>
      <c r="AG2" s="9"/>
      <c r="AH2" s="9"/>
      <c r="AI2" s="9"/>
      <c r="AJ2" s="9"/>
      <c r="AK2" s="9"/>
      <c r="AL2" s="9"/>
      <c r="AM2" s="9"/>
      <c r="AN2" s="9"/>
      <c r="AO2" s="9"/>
      <c r="AP2" s="9"/>
      <c r="AQ2" s="9"/>
      <c r="AR2" s="9"/>
      <c r="AS2" s="9"/>
      <c r="AT2" s="9"/>
    </row>
    <row r="3">
      <c r="A3" s="488" t="s">
        <v>10627</v>
      </c>
      <c r="B3" s="205" t="s">
        <v>10628</v>
      </c>
      <c r="C3" s="488" t="s">
        <v>10629</v>
      </c>
      <c r="D3" s="205" t="s">
        <v>10630</v>
      </c>
      <c r="E3" s="488" t="s">
        <v>10631</v>
      </c>
      <c r="F3" s="205" t="s">
        <v>10632</v>
      </c>
      <c r="G3" s="488" t="str">
        <f>IFERROR(__xludf.DUMMYFUNCTION("GOOGLETRANSLATE(A3,""zh-tw"",""zh"")"),"好喝的牛奶")</f>
        <v>好喝的牛奶</v>
      </c>
      <c r="H3" s="205" t="str">
        <f>IFERROR(__xludf.DUMMYFUNCTION("GOOGLETRANSLATE(B3,""zh-tw"",""zh"")"),"回复体力120，自动回复效果")</f>
        <v>回复体力120，自动回复效果</v>
      </c>
      <c r="I3" s="492" t="str">
        <f>IFERROR(__xludf.DUMMYFUNCTION("GOOGLETRANSLATE(A3,""zh-tw"",""es-MX"")"),"Leche deliciosa")</f>
        <v>Leche deliciosa</v>
      </c>
      <c r="J3" s="205" t="s">
        <v>10633</v>
      </c>
      <c r="K3" s="492" t="str">
        <f>IFERROR(__xludf.DUMMYFUNCTION("GOOGLETRANSLATE(A3,""zh-tw"",""KO"")"),"맛있는 우유")</f>
        <v>맛있는 우유</v>
      </c>
      <c r="L3" s="205" t="s">
        <v>10634</v>
      </c>
      <c r="M3" s="493" t="s">
        <v>10635</v>
      </c>
      <c r="N3" s="194" t="s">
        <v>10636</v>
      </c>
      <c r="O3" s="492" t="s">
        <v>10637</v>
      </c>
      <c r="P3" s="254" t="s">
        <v>10638</v>
      </c>
      <c r="Q3" s="488" t="s">
        <v>10639</v>
      </c>
      <c r="R3" s="205" t="s">
        <v>10640</v>
      </c>
      <c r="S3" s="520" t="s">
        <v>10641</v>
      </c>
      <c r="T3" s="521" t="s">
        <v>10642</v>
      </c>
      <c r="U3" s="492" t="s">
        <v>10643</v>
      </c>
      <c r="V3" s="205" t="s">
        <v>10644</v>
      </c>
      <c r="W3" s="488" t="s">
        <v>10645</v>
      </c>
      <c r="X3" s="205" t="s">
        <v>10646</v>
      </c>
      <c r="Y3" s="9"/>
      <c r="Z3" s="9"/>
      <c r="AA3" s="9"/>
      <c r="AB3" s="9"/>
      <c r="AC3" s="9"/>
      <c r="AD3" s="9"/>
      <c r="AE3" s="9"/>
      <c r="AF3" s="9"/>
      <c r="AG3" s="9"/>
      <c r="AH3" s="9"/>
      <c r="AI3" s="9"/>
      <c r="AJ3" s="9"/>
      <c r="AK3" s="9"/>
      <c r="AL3" s="9"/>
      <c r="AM3" s="9"/>
      <c r="AN3" s="9"/>
      <c r="AO3" s="9"/>
      <c r="AP3" s="9"/>
      <c r="AQ3" s="9"/>
      <c r="AR3" s="9"/>
      <c r="AS3" s="9"/>
      <c r="AT3" s="9"/>
    </row>
    <row r="4">
      <c r="A4" s="488" t="s">
        <v>10647</v>
      </c>
      <c r="B4" s="205" t="s">
        <v>10648</v>
      </c>
      <c r="C4" s="488" t="s">
        <v>10649</v>
      </c>
      <c r="D4" s="205" t="s">
        <v>10650</v>
      </c>
      <c r="E4" s="488" t="s">
        <v>10651</v>
      </c>
      <c r="F4" s="205" t="s">
        <v>10652</v>
      </c>
      <c r="G4" s="488" t="str">
        <f>IFERROR(__xludf.DUMMYFUNCTION("GOOGLETRANSLATE(A4,""zh-tw"",""zh"")"),"胡萝卜牛奶")</f>
        <v>胡萝卜牛奶</v>
      </c>
      <c r="H4" s="205" t="str">
        <f>IFERROR(__xludf.DUMMYFUNCTION("GOOGLETRANSLATE(B4,""zh-tw"",""zh"")"),"回复体力75，消除异常")</f>
        <v>回复体力75，消除异常</v>
      </c>
      <c r="I4" s="492" t="str">
        <f>IFERROR(__xludf.DUMMYFUNCTION("GOOGLETRANSLATE(A4,""zh-tw"",""es-MX"")"),"Leche de zanahoria")</f>
        <v>Leche de zanahoria</v>
      </c>
      <c r="J4" s="205" t="s">
        <v>10653</v>
      </c>
      <c r="K4" s="492" t="str">
        <f>IFERROR(__xludf.DUMMYFUNCTION("GOOGLETRANSLATE(A4,""zh-tw"",""KO"")"),"당근 우유")</f>
        <v>당근 우유</v>
      </c>
      <c r="L4" s="205" t="s">
        <v>10654</v>
      </c>
      <c r="M4" s="493" t="s">
        <v>10655</v>
      </c>
      <c r="N4" s="194" t="s">
        <v>10656</v>
      </c>
      <c r="O4" s="492" t="s">
        <v>10657</v>
      </c>
      <c r="P4" s="254" t="s">
        <v>10658</v>
      </c>
      <c r="Q4" s="488" t="s">
        <v>10659</v>
      </c>
      <c r="R4" s="205" t="s">
        <v>10660</v>
      </c>
      <c r="S4" s="520" t="s">
        <v>10661</v>
      </c>
      <c r="T4" s="521" t="s">
        <v>10662</v>
      </c>
      <c r="U4" s="492" t="s">
        <v>10663</v>
      </c>
      <c r="V4" s="254" t="s">
        <v>10664</v>
      </c>
      <c r="W4" s="488" t="s">
        <v>10665</v>
      </c>
      <c r="X4" s="205" t="s">
        <v>10666</v>
      </c>
      <c r="Y4" s="9"/>
      <c r="Z4" s="9"/>
      <c r="AA4" s="9"/>
      <c r="AB4" s="9"/>
      <c r="AC4" s="9"/>
      <c r="AD4" s="9"/>
      <c r="AE4" s="9"/>
      <c r="AF4" s="9"/>
      <c r="AG4" s="9"/>
      <c r="AH4" s="9"/>
      <c r="AI4" s="9"/>
      <c r="AJ4" s="9"/>
      <c r="AK4" s="9"/>
      <c r="AL4" s="9"/>
      <c r="AM4" s="9"/>
      <c r="AN4" s="9"/>
      <c r="AO4" s="9"/>
      <c r="AP4" s="9"/>
      <c r="AQ4" s="9"/>
      <c r="AR4" s="9"/>
      <c r="AS4" s="9"/>
      <c r="AT4" s="9"/>
    </row>
    <row r="5">
      <c r="A5" s="488" t="s">
        <v>10667</v>
      </c>
      <c r="B5" s="205" t="s">
        <v>10668</v>
      </c>
      <c r="C5" s="488" t="s">
        <v>10669</v>
      </c>
      <c r="D5" s="205" t="s">
        <v>10670</v>
      </c>
      <c r="E5" s="488" t="s">
        <v>10671</v>
      </c>
      <c r="F5" s="205" t="s">
        <v>10672</v>
      </c>
      <c r="G5" s="488" t="str">
        <f>IFERROR(__xludf.DUMMYFUNCTION("GOOGLETRANSLATE(A5,""zh-tw"",""zh"")"),"草莓味牛奶")</f>
        <v>草莓味牛奶</v>
      </c>
      <c r="H5" s="205" t="str">
        <f>IFERROR(__xludf.DUMMYFUNCTION("GOOGLETRANSLATE(B5,""zh-tw"",""zh"")"),"回复体力75，提高50%攻击")</f>
        <v>回复体力75，提高50%攻击</v>
      </c>
      <c r="I5" s="492" t="str">
        <f>IFERROR(__xludf.DUMMYFUNCTION("GOOGLETRANSLATE(A5,""zh-tw"",""es-MX"")"),"leche de fresa")</f>
        <v>leche de fresa</v>
      </c>
      <c r="J5" s="205" t="s">
        <v>10673</v>
      </c>
      <c r="K5" s="488" t="s">
        <v>10674</v>
      </c>
      <c r="L5" s="254" t="str">
        <f>IFERROR(__xludf.DUMMYFUNCTION("GOOGLETRANSLATE(B5,""zh-tw"",""KO"")"),"스태미나를 75 회복하고 공격력을 50% 증가시킵니다.")</f>
        <v>스태미나를 75 회복하고 공격력을 50% 증가시킵니다.</v>
      </c>
      <c r="M5" s="493" t="s">
        <v>10675</v>
      </c>
      <c r="N5" s="194" t="s">
        <v>10676</v>
      </c>
      <c r="O5" s="492" t="s">
        <v>10677</v>
      </c>
      <c r="P5" s="254" t="s">
        <v>10678</v>
      </c>
      <c r="Q5" s="488" t="s">
        <v>10679</v>
      </c>
      <c r="R5" s="205" t="s">
        <v>10680</v>
      </c>
      <c r="S5" s="520" t="s">
        <v>10681</v>
      </c>
      <c r="T5" s="521" t="s">
        <v>10682</v>
      </c>
      <c r="U5" s="492" t="s">
        <v>10683</v>
      </c>
      <c r="V5" s="254" t="s">
        <v>10684</v>
      </c>
      <c r="W5" s="488" t="s">
        <v>10685</v>
      </c>
      <c r="X5" s="205" t="s">
        <v>10686</v>
      </c>
      <c r="Y5" s="9"/>
      <c r="Z5" s="9"/>
      <c r="AA5" s="9"/>
      <c r="AB5" s="9"/>
      <c r="AC5" s="9"/>
      <c r="AD5" s="9"/>
      <c r="AE5" s="9"/>
      <c r="AF5" s="9"/>
      <c r="AG5" s="9"/>
      <c r="AH5" s="9"/>
      <c r="AI5" s="9"/>
      <c r="AJ5" s="9"/>
      <c r="AK5" s="9"/>
      <c r="AL5" s="9"/>
      <c r="AM5" s="9"/>
      <c r="AN5" s="9"/>
      <c r="AO5" s="9"/>
      <c r="AP5" s="9"/>
      <c r="AQ5" s="9"/>
      <c r="AR5" s="9"/>
      <c r="AS5" s="9"/>
      <c r="AT5" s="9"/>
    </row>
    <row r="6">
      <c r="A6" s="488" t="s">
        <v>10687</v>
      </c>
      <c r="B6" s="205" t="s">
        <v>10688</v>
      </c>
      <c r="C6" s="488" t="s">
        <v>10689</v>
      </c>
      <c r="D6" s="205" t="s">
        <v>10690</v>
      </c>
      <c r="E6" s="488" t="s">
        <v>10691</v>
      </c>
      <c r="F6" s="205" t="s">
        <v>10692</v>
      </c>
      <c r="G6" s="488" t="str">
        <f>IFERROR(__xludf.DUMMYFUNCTION("GOOGLETRANSLATE(A6,""zh-tw"",""zh"")"),"蜜瓜味牛奶")</f>
        <v>蜜瓜味牛奶</v>
      </c>
      <c r="H6" s="205" t="str">
        <f>IFERROR(__xludf.DUMMYFUNCTION("GOOGLETRANSLATE(B6,""zh-tw"",""zh"")"),"回复体力75，提高50%魔力")</f>
        <v>回复体力75，提高50%魔力</v>
      </c>
      <c r="I6" s="488" t="s">
        <v>10693</v>
      </c>
      <c r="J6" s="205" t="s">
        <v>10694</v>
      </c>
      <c r="K6" s="488" t="s">
        <v>10695</v>
      </c>
      <c r="L6" s="254" t="str">
        <f>IFERROR(__xludf.DUMMYFUNCTION("GOOGLETRANSLATE(B6,""zh-tw"",""KO"")"),"체력을 75 회복하고 마법 공격력을 50% 증가시킵니다.")</f>
        <v>체력을 75 회복하고 마법 공격력을 50% 증가시킵니다.</v>
      </c>
      <c r="M6" s="493" t="s">
        <v>10696</v>
      </c>
      <c r="N6" s="194" t="s">
        <v>10697</v>
      </c>
      <c r="O6" s="492" t="s">
        <v>10698</v>
      </c>
      <c r="P6" s="254" t="s">
        <v>10699</v>
      </c>
      <c r="Q6" s="488" t="s">
        <v>10700</v>
      </c>
      <c r="R6" s="205" t="s">
        <v>10701</v>
      </c>
      <c r="S6" s="520" t="s">
        <v>10702</v>
      </c>
      <c r="T6" s="521" t="s">
        <v>10703</v>
      </c>
      <c r="U6" s="492" t="s">
        <v>10704</v>
      </c>
      <c r="V6" s="254" t="s">
        <v>10705</v>
      </c>
      <c r="W6" s="488" t="s">
        <v>10706</v>
      </c>
      <c r="X6" s="205" t="s">
        <v>10707</v>
      </c>
      <c r="Y6" s="9"/>
      <c r="Z6" s="9"/>
      <c r="AA6" s="9"/>
      <c r="AB6" s="9"/>
      <c r="AC6" s="9"/>
      <c r="AD6" s="9"/>
      <c r="AE6" s="9"/>
      <c r="AF6" s="9"/>
      <c r="AG6" s="9"/>
      <c r="AH6" s="9"/>
      <c r="AI6" s="9"/>
      <c r="AJ6" s="9"/>
      <c r="AK6" s="9"/>
      <c r="AL6" s="9"/>
      <c r="AM6" s="9"/>
      <c r="AN6" s="9"/>
      <c r="AO6" s="9"/>
      <c r="AP6" s="9"/>
      <c r="AQ6" s="9"/>
      <c r="AR6" s="9"/>
      <c r="AS6" s="9"/>
      <c r="AT6" s="9"/>
    </row>
    <row r="7">
      <c r="A7" s="488" t="s">
        <v>10708</v>
      </c>
      <c r="B7" s="205" t="s">
        <v>10709</v>
      </c>
      <c r="C7" s="488" t="s">
        <v>10710</v>
      </c>
      <c r="D7" s="205" t="s">
        <v>10711</v>
      </c>
      <c r="E7" s="488" t="s">
        <v>10712</v>
      </c>
      <c r="F7" s="205" t="s">
        <v>10713</v>
      </c>
      <c r="G7" s="488" t="str">
        <f>IFERROR(__xludf.DUMMYFUNCTION("GOOGLETRANSLATE(A7,""zh-tw"",""zh"")"),"香蕉味牛奶")</f>
        <v>香蕉味牛奶</v>
      </c>
      <c r="H7" s="205" t="str">
        <f>IFERROR(__xludf.DUMMYFUNCTION("GOOGLETRANSLATE(B7,""zh-tw"",""zh"")"),"回复体力75，移速增强")</f>
        <v>回复体力75，移速增强</v>
      </c>
      <c r="I7" s="492" t="str">
        <f>IFERROR(__xludf.DUMMYFUNCTION("GOOGLETRANSLATE(A7,""zh-tw"",""es-MX"")"),"Leche con sabor a plátano")</f>
        <v>Leche con sabor a plátano</v>
      </c>
      <c r="J7" s="205" t="s">
        <v>10714</v>
      </c>
      <c r="K7" s="492" t="str">
        <f>IFERROR(__xludf.DUMMYFUNCTION("GOOGLETRANSLATE(A7,""zh-tw"",""KO"")"),"바나나맛 우유")</f>
        <v>바나나맛 우유</v>
      </c>
      <c r="L7" s="205" t="s">
        <v>10715</v>
      </c>
      <c r="M7" s="493" t="s">
        <v>10716</v>
      </c>
      <c r="N7" s="194" t="s">
        <v>10717</v>
      </c>
      <c r="O7" s="492" t="s">
        <v>10718</v>
      </c>
      <c r="P7" s="254" t="s">
        <v>10719</v>
      </c>
      <c r="Q7" s="488" t="s">
        <v>10720</v>
      </c>
      <c r="R7" s="205" t="s">
        <v>10721</v>
      </c>
      <c r="S7" s="520" t="s">
        <v>10722</v>
      </c>
      <c r="T7" s="521" t="s">
        <v>10723</v>
      </c>
      <c r="U7" s="492" t="s">
        <v>10724</v>
      </c>
      <c r="V7" s="254" t="s">
        <v>10725</v>
      </c>
      <c r="W7" s="488" t="s">
        <v>10726</v>
      </c>
      <c r="X7" s="205" t="s">
        <v>10727</v>
      </c>
      <c r="Y7" s="9"/>
      <c r="Z7" s="9"/>
      <c r="AA7" s="9"/>
      <c r="AB7" s="9"/>
      <c r="AC7" s="9"/>
      <c r="AD7" s="9"/>
      <c r="AE7" s="9"/>
      <c r="AF7" s="9"/>
      <c r="AG7" s="9"/>
      <c r="AH7" s="9"/>
      <c r="AI7" s="9"/>
      <c r="AJ7" s="9"/>
      <c r="AK7" s="9"/>
      <c r="AL7" s="9"/>
      <c r="AM7" s="9"/>
      <c r="AN7" s="9"/>
      <c r="AO7" s="9"/>
      <c r="AP7" s="9"/>
      <c r="AQ7" s="9"/>
      <c r="AR7" s="9"/>
      <c r="AS7" s="9"/>
      <c r="AT7" s="9"/>
    </row>
    <row r="8">
      <c r="A8" s="488" t="s">
        <v>10728</v>
      </c>
      <c r="B8" s="205" t="s">
        <v>10729</v>
      </c>
      <c r="C8" s="488" t="s">
        <v>10730</v>
      </c>
      <c r="D8" s="205" t="s">
        <v>10731</v>
      </c>
      <c r="E8" s="488" t="s">
        <v>10732</v>
      </c>
      <c r="F8" s="205" t="s">
        <v>10733</v>
      </c>
      <c r="G8" s="488" t="str">
        <f>IFERROR(__xludf.DUMMYFUNCTION("GOOGLETRANSLATE(A8,""zh-tw"",""zh"")"),"巧克力牛奶")</f>
        <v>巧克力牛奶</v>
      </c>
      <c r="H8" s="205" t="str">
        <f>IFERROR(__xludf.DUMMYFUNCTION("GOOGLETRANSLATE(B8,""zh-tw"",""zh"")"),"回复体力78，霸体效果
(未实装)")</f>
        <v>回复体力78，霸体效果
(未实装)</v>
      </c>
      <c r="I8" s="492" t="str">
        <f>IFERROR(__xludf.DUMMYFUNCTION("GOOGLETRANSLATE(A8,""zh-tw"",""es-MX"")"),"leche con chocolate")</f>
        <v>leche con chocolate</v>
      </c>
      <c r="J8" s="205" t="s">
        <v>10734</v>
      </c>
      <c r="K8" s="488" t="s">
        <v>10735</v>
      </c>
      <c r="L8" s="254" t="str">
        <f>IFERROR(__xludf.DUMMYFUNCTION("GOOGLETRANSLATE(B8,""zh-tw"",""KO"")"),"스태미나 78을 회복하고 무적 효과를 부여합니다.
(아직 구현되지 않음)")</f>
        <v>스태미나 78을 회복하고 무적 효과를 부여합니다.
(아직 구현되지 않음)</v>
      </c>
      <c r="M8" s="493" t="s">
        <v>10736</v>
      </c>
      <c r="N8" s="194" t="s">
        <v>10737</v>
      </c>
      <c r="O8" s="492" t="s">
        <v>10738</v>
      </c>
      <c r="P8" s="205" t="s">
        <v>10739</v>
      </c>
      <c r="Q8" s="488" t="s">
        <v>10740</v>
      </c>
      <c r="R8" s="205" t="s">
        <v>10741</v>
      </c>
      <c r="S8" s="520" t="s">
        <v>10742</v>
      </c>
      <c r="T8" s="521" t="s">
        <v>10743</v>
      </c>
      <c r="U8" s="511" t="s">
        <v>10732</v>
      </c>
      <c r="V8" s="254" t="s">
        <v>10744</v>
      </c>
      <c r="W8" s="488" t="s">
        <v>10745</v>
      </c>
      <c r="X8" s="205" t="s">
        <v>10746</v>
      </c>
      <c r="Y8" s="9"/>
      <c r="Z8" s="9"/>
      <c r="AA8" s="9"/>
      <c r="AB8" s="9"/>
      <c r="AC8" s="9"/>
      <c r="AD8" s="9"/>
      <c r="AE8" s="9"/>
      <c r="AF8" s="9"/>
      <c r="AG8" s="9"/>
      <c r="AH8" s="9"/>
      <c r="AI8" s="9"/>
      <c r="AJ8" s="9"/>
      <c r="AK8" s="9"/>
      <c r="AL8" s="9"/>
      <c r="AM8" s="9"/>
      <c r="AN8" s="9"/>
      <c r="AO8" s="9"/>
      <c r="AP8" s="9"/>
      <c r="AQ8" s="9"/>
      <c r="AR8" s="9"/>
      <c r="AS8" s="9"/>
      <c r="AT8" s="9"/>
    </row>
    <row r="9">
      <c r="A9" s="488" t="s">
        <v>10747</v>
      </c>
      <c r="B9" s="205" t="s">
        <v>10748</v>
      </c>
      <c r="C9" s="488" t="str">
        <f>IFERROR(__xludf.DUMMYFUNCTION("GOOGLETRANSLATE(A9,""zh-tw"",""ja"")"),"ジャック・ボム")</f>
        <v>ジャック・ボム</v>
      </c>
      <c r="D9" s="205" t="s">
        <v>10749</v>
      </c>
      <c r="E9" s="488" t="s">
        <v>10750</v>
      </c>
      <c r="F9" s="205" t="s">
        <v>10751</v>
      </c>
      <c r="G9" s="488" t="str">
        <f>IFERROR(__xludf.DUMMYFUNCTION("GOOGLETRANSLATE(A9,""zh-tw"",""zh"")"),"杰克爆弹")</f>
        <v>杰克爆弹</v>
      </c>
      <c r="H9" s="205" t="str">
        <f>IFERROR(__xludf.DUMMYFUNCTION("GOOGLETRANSLATE(B9,""zh-tw"",""zh"")"),"炸弹(无视防御)")</f>
        <v>炸弹(无视防御)</v>
      </c>
      <c r="I9" s="492" t="str">
        <f>IFERROR(__xludf.DUMMYFUNCTION("GOOGLETRANSLATE(A9,""zh-tw"",""es-MX"")"),"Bomba Jack")</f>
        <v>Bomba Jack</v>
      </c>
      <c r="J9" s="205" t="s">
        <v>10752</v>
      </c>
      <c r="K9" s="488" t="s">
        <v>10753</v>
      </c>
      <c r="L9" s="254" t="str">
        <f>IFERROR(__xludf.DUMMYFUNCTION("GOOGLETRANSLATE(B9,""zh-tw"",""KO"")"),"폭탄 (방어 무시)")</f>
        <v>폭탄 (방어 무시)</v>
      </c>
      <c r="M9" s="493" t="s">
        <v>10754</v>
      </c>
      <c r="N9" s="194" t="s">
        <v>10755</v>
      </c>
      <c r="O9" s="492" t="s">
        <v>10754</v>
      </c>
      <c r="P9" s="205" t="s">
        <v>10756</v>
      </c>
      <c r="Q9" s="488" t="s">
        <v>10757</v>
      </c>
      <c r="R9" s="205" t="s">
        <v>10758</v>
      </c>
      <c r="S9" s="520" t="s">
        <v>10750</v>
      </c>
      <c r="T9" s="521" t="s">
        <v>10759</v>
      </c>
      <c r="U9" s="492" t="s">
        <v>10760</v>
      </c>
      <c r="V9" s="254" t="s">
        <v>10761</v>
      </c>
      <c r="W9" s="488" t="s">
        <v>10762</v>
      </c>
      <c r="X9" s="205" t="s">
        <v>10763</v>
      </c>
      <c r="Y9" s="9"/>
      <c r="Z9" s="9"/>
      <c r="AA9" s="9"/>
      <c r="AB9" s="9"/>
      <c r="AC9" s="9"/>
      <c r="AD9" s="9"/>
      <c r="AE9" s="9"/>
      <c r="AF9" s="9"/>
      <c r="AG9" s="9"/>
      <c r="AH9" s="9"/>
      <c r="AI9" s="9"/>
      <c r="AJ9" s="9"/>
      <c r="AK9" s="9"/>
      <c r="AL9" s="9"/>
      <c r="AM9" s="9"/>
      <c r="AN9" s="9"/>
      <c r="AO9" s="9"/>
      <c r="AP9" s="9"/>
      <c r="AQ9" s="9"/>
      <c r="AR9" s="9"/>
      <c r="AS9" s="9"/>
      <c r="AT9" s="9"/>
    </row>
    <row r="10" ht="36.0" customHeight="1">
      <c r="A10" s="488" t="s">
        <v>10764</v>
      </c>
      <c r="B10" s="205" t="s">
        <v>10765</v>
      </c>
      <c r="C10" s="488" t="s">
        <v>10766</v>
      </c>
      <c r="D10" s="205" t="s">
        <v>10767</v>
      </c>
      <c r="E10" s="488" t="s">
        <v>10768</v>
      </c>
      <c r="F10" s="205" t="s">
        <v>10769</v>
      </c>
      <c r="G10" s="488" t="s">
        <v>10770</v>
      </c>
      <c r="H10" s="205" t="s">
        <v>10771</v>
      </c>
      <c r="I10" s="492" t="str">
        <f>IFERROR(__xludf.DUMMYFUNCTION("GOOGLETRANSLATE(A10,""zh-tw"",""es-MX"")"),"Pato de goma")</f>
        <v>Pato de goma</v>
      </c>
      <c r="J10" s="205" t="s">
        <v>10772</v>
      </c>
      <c r="K10" s="488" t="s">
        <v>10753</v>
      </c>
      <c r="L10" s="254" t="str">
        <f>IFERROR(__xludf.DUMMYFUNCTION("GOOGLETRANSLATE(B10,""zh-tw"",""KO"")"),"집에서 샤워할 때 사용하시면 됩니다.")</f>
        <v>집에서 샤워할 때 사용하시면 됩니다.</v>
      </c>
      <c r="M10" s="493" t="s">
        <v>10773</v>
      </c>
      <c r="N10" s="194" t="s">
        <v>10774</v>
      </c>
      <c r="O10" s="488" t="s">
        <v>10775</v>
      </c>
      <c r="P10" s="205" t="s">
        <v>10776</v>
      </c>
      <c r="Q10" s="488"/>
      <c r="R10" s="205" t="s">
        <v>10777</v>
      </c>
      <c r="S10" s="522" t="s">
        <v>10778</v>
      </c>
      <c r="T10" s="268" t="s">
        <v>10779</v>
      </c>
      <c r="U10" s="488" t="s">
        <v>10780</v>
      </c>
      <c r="V10" s="205" t="s">
        <v>10781</v>
      </c>
      <c r="W10" s="488" t="s">
        <v>10782</v>
      </c>
      <c r="X10" s="205" t="s">
        <v>10783</v>
      </c>
      <c r="Y10" s="9"/>
      <c r="Z10" s="9"/>
      <c r="AA10" s="9"/>
      <c r="AB10" s="9"/>
      <c r="AC10" s="9"/>
      <c r="AD10" s="9"/>
      <c r="AE10" s="9"/>
      <c r="AF10" s="9"/>
      <c r="AG10" s="9"/>
      <c r="AH10" s="9"/>
      <c r="AI10" s="9"/>
      <c r="AJ10" s="9"/>
      <c r="AK10" s="9"/>
      <c r="AL10" s="9"/>
      <c r="AM10" s="9"/>
      <c r="AN10" s="9"/>
      <c r="AO10" s="9"/>
      <c r="AP10" s="9"/>
      <c r="AQ10" s="9"/>
      <c r="AR10" s="9"/>
      <c r="AS10" s="9"/>
      <c r="AT10" s="9"/>
    </row>
    <row r="11">
      <c r="A11" s="488" t="s">
        <v>10784</v>
      </c>
      <c r="B11" s="205" t="s">
        <v>10785</v>
      </c>
      <c r="C11" s="488" t="str">
        <f>IFERROR(__xludf.DUMMYFUNCTION("GOOGLETRANSLATE(A11,""zh-tw"",""ja"")"),"ポラロイド 1-8")</f>
        <v>ポラロイド 1-8</v>
      </c>
      <c r="D11" s="205" t="s">
        <v>10786</v>
      </c>
      <c r="E11" s="488" t="s">
        <v>10787</v>
      </c>
      <c r="F11" s="205" t="s">
        <v>10788</v>
      </c>
      <c r="G11" s="488" t="str">
        <f>IFERROR(__xludf.DUMMYFUNCTION("GOOGLETRANSLATE(A11,""zh-tw"",""zh"")"),"拍立得1~8")</f>
        <v>拍立得1~8</v>
      </c>
      <c r="H11" s="205" t="str">
        <f>IFERROR(__xludf.DUMMYFUNCTION("GOOGLETRANSLATE(B11,""zh-tw"",""zh"")"),"查看优质照片")</f>
        <v>查看优质照片</v>
      </c>
      <c r="I11" s="492" t="str">
        <f>IFERROR(__xludf.DUMMYFUNCTION("GOOGLETRANSLATE(A11,""zh-tw"",""es-MX"")"),"Polaroid 1-8")</f>
        <v>Polaroid 1-8</v>
      </c>
      <c r="J11" s="205" t="s">
        <v>10789</v>
      </c>
      <c r="K11" s="492" t="str">
        <f>IFERROR(__xludf.DUMMYFUNCTION("GOOGLETRANSLATE(A11,""zh-tw"",""KO"")"),"폴라로이드 1-8")</f>
        <v>폴라로이드 1-8</v>
      </c>
      <c r="L11" s="254" t="str">
        <f>IFERROR(__xludf.DUMMYFUNCTION("GOOGLETRANSLATE(B11,""zh-tw"",""KO"")"),"고화질 사진을 보세요")</f>
        <v>고화질 사진을 보세요</v>
      </c>
      <c r="M11" s="493" t="s">
        <v>10790</v>
      </c>
      <c r="N11" s="194" t="s">
        <v>10791</v>
      </c>
      <c r="O11" s="488" t="s">
        <v>10792</v>
      </c>
      <c r="P11" s="205" t="s">
        <v>10793</v>
      </c>
      <c r="Q11" s="488" t="s">
        <v>10794</v>
      </c>
      <c r="R11" s="205" t="s">
        <v>10795</v>
      </c>
      <c r="S11" s="522" t="s">
        <v>10787</v>
      </c>
      <c r="T11" s="521" t="s">
        <v>10796</v>
      </c>
      <c r="U11" s="488" t="s">
        <v>10787</v>
      </c>
      <c r="V11" s="254" t="s">
        <v>10797</v>
      </c>
      <c r="W11" s="488" t="s">
        <v>10787</v>
      </c>
      <c r="X11" s="205" t="s">
        <v>10798</v>
      </c>
      <c r="Y11" s="9"/>
      <c r="Z11" s="9"/>
      <c r="AA11" s="9"/>
      <c r="AB11" s="9"/>
      <c r="AC11" s="9"/>
      <c r="AD11" s="9"/>
      <c r="AE11" s="9"/>
      <c r="AF11" s="9"/>
      <c r="AG11" s="9"/>
      <c r="AH11" s="9"/>
      <c r="AI11" s="9"/>
      <c r="AJ11" s="9"/>
      <c r="AK11" s="9"/>
      <c r="AL11" s="9"/>
      <c r="AM11" s="9"/>
      <c r="AN11" s="9"/>
      <c r="AO11" s="9"/>
      <c r="AP11" s="9"/>
      <c r="AQ11" s="9"/>
      <c r="AR11" s="9"/>
      <c r="AS11" s="9"/>
      <c r="AT11" s="9"/>
    </row>
    <row r="12">
      <c r="A12" s="493" t="s">
        <v>10799</v>
      </c>
      <c r="B12" s="254" t="s">
        <v>10800</v>
      </c>
      <c r="C12" s="488" t="s">
        <v>10801</v>
      </c>
      <c r="D12" s="205" t="s">
        <v>10802</v>
      </c>
      <c r="E12" s="488" t="s">
        <v>10803</v>
      </c>
      <c r="F12" s="205" t="s">
        <v>10804</v>
      </c>
      <c r="G12" s="488" t="str">
        <f>IFERROR(__xludf.DUMMYFUNCTION("GOOGLETRANSLATE(A12,""zh-tw"",""zh"")"),"茶会拍立得收藏集")</f>
        <v>茶会拍立得收藏集</v>
      </c>
      <c r="H12" s="205" t="str">
        <f>IFERROR(__xludf.DUMMYFUNCTION("GOOGLETRANSLATE(B12,""zh-tw"",""zh"")"),"完成后提升幸运值")</f>
        <v>完成后提升幸运值</v>
      </c>
      <c r="I12" s="488" t="s">
        <v>10803</v>
      </c>
      <c r="J12" s="205" t="s">
        <v>10805</v>
      </c>
      <c r="K12" s="492" t="str">
        <f>IFERROR(__xludf.DUMMYFUNCTION("GOOGLETRANSLATE(A12,""zh-tw"",""KO"")"),"티 파티 폴라로이드 사진 모음")</f>
        <v>티 파티 폴라로이드 사진 모음</v>
      </c>
      <c r="L12" s="254" t="str">
        <f>IFERROR(__xludf.DUMMYFUNCTION("GOOGLETRANSLATE(B12,""zh-tw"",""KO"")"),"완료 시 행운 수치 증가")</f>
        <v>완료 시 행운 수치 증가</v>
      </c>
      <c r="M12" s="493" t="s">
        <v>10806</v>
      </c>
      <c r="N12" s="194" t="s">
        <v>10807</v>
      </c>
      <c r="O12" s="492" t="s">
        <v>10808</v>
      </c>
      <c r="P12" s="254" t="s">
        <v>10809</v>
      </c>
      <c r="Q12" s="488" t="s">
        <v>10810</v>
      </c>
      <c r="R12" s="205" t="s">
        <v>10811</v>
      </c>
      <c r="S12" s="522" t="s">
        <v>10812</v>
      </c>
      <c r="T12" s="268" t="s">
        <v>10813</v>
      </c>
      <c r="U12" s="511" t="s">
        <v>10814</v>
      </c>
      <c r="V12" s="254" t="s">
        <v>10815</v>
      </c>
      <c r="W12" s="488" t="s">
        <v>10816</v>
      </c>
      <c r="X12" s="205" t="s">
        <v>10817</v>
      </c>
      <c r="Y12" s="9"/>
      <c r="Z12" s="9"/>
      <c r="AA12" s="9"/>
      <c r="AB12" s="9"/>
      <c r="AC12" s="9"/>
      <c r="AD12" s="9"/>
      <c r="AE12" s="9"/>
      <c r="AF12" s="9"/>
      <c r="AG12" s="9"/>
      <c r="AH12" s="9"/>
      <c r="AI12" s="9"/>
      <c r="AJ12" s="9"/>
      <c r="AK12" s="9"/>
      <c r="AL12" s="9"/>
      <c r="AM12" s="9"/>
      <c r="AN12" s="9"/>
      <c r="AO12" s="9"/>
      <c r="AP12" s="9"/>
      <c r="AQ12" s="9"/>
      <c r="AR12" s="9"/>
      <c r="AS12" s="9"/>
      <c r="AT12" s="9"/>
    </row>
    <row r="13">
      <c r="A13" s="492" t="s">
        <v>10818</v>
      </c>
      <c r="B13" s="254" t="s">
        <v>10819</v>
      </c>
      <c r="C13" s="492" t="s">
        <v>10820</v>
      </c>
      <c r="D13" s="254" t="s">
        <v>10821</v>
      </c>
      <c r="E13" s="488" t="s">
        <v>10822</v>
      </c>
      <c r="F13" s="254" t="s">
        <v>10823</v>
      </c>
      <c r="G13" s="492" t="s">
        <v>10824</v>
      </c>
      <c r="H13" s="254" t="s">
        <v>10825</v>
      </c>
      <c r="I13" s="492" t="str">
        <f>IFERROR(__xludf.DUMMYFUNCTION("GOOGLETRANSLATE(A13,""zh-tw"",""es-MX"")"),"Boleto para gatos")</f>
        <v>Boleto para gatos</v>
      </c>
      <c r="J13" s="205" t="s">
        <v>10826</v>
      </c>
      <c r="K13" s="492" t="str">
        <f>IFERROR(__xludf.DUMMYFUNCTION("GOOGLETRANSLATE(A13,""zh-tw"",""KO"")"),"고양이 티켓")</f>
        <v>고양이 티켓</v>
      </c>
      <c r="L13" s="254" t="str">
        <f>IFERROR(__xludf.DUMMYFUNCTION("GOOGLETRANSLATE(B13,""zh-tw"",""KO"")"),"금화 압수 및 죄악 점수 누적")</f>
        <v>금화 압수 및 죄악 점수 누적</v>
      </c>
      <c r="M13" s="492" t="s">
        <v>10827</v>
      </c>
      <c r="N13" s="254" t="s">
        <v>10828</v>
      </c>
      <c r="O13" s="492" t="s">
        <v>10829</v>
      </c>
      <c r="P13" s="205" t="s">
        <v>10830</v>
      </c>
      <c r="Q13" s="492" t="s">
        <v>10831</v>
      </c>
      <c r="R13" s="254" t="s">
        <v>10832</v>
      </c>
      <c r="S13" s="522" t="s">
        <v>10833</v>
      </c>
      <c r="T13" s="521" t="s">
        <v>10834</v>
      </c>
      <c r="U13" s="492" t="s">
        <v>10835</v>
      </c>
      <c r="V13" s="254" t="s">
        <v>10836</v>
      </c>
      <c r="W13" s="492" t="s">
        <v>10837</v>
      </c>
      <c r="X13" s="254" t="s">
        <v>10838</v>
      </c>
      <c r="Y13" s="9"/>
      <c r="Z13" s="9"/>
      <c r="AA13" s="9"/>
      <c r="AB13" s="9"/>
      <c r="AC13" s="9"/>
      <c r="AD13" s="9"/>
      <c r="AE13" s="9"/>
      <c r="AF13" s="9"/>
      <c r="AG13" s="9"/>
      <c r="AH13" s="9"/>
      <c r="AI13" s="9"/>
      <c r="AJ13" s="9"/>
      <c r="AK13" s="9"/>
      <c r="AL13" s="9"/>
      <c r="AM13" s="9"/>
      <c r="AN13" s="9"/>
      <c r="AO13" s="9"/>
      <c r="AP13" s="9"/>
      <c r="AQ13" s="9"/>
      <c r="AR13" s="9"/>
      <c r="AS13" s="9"/>
      <c r="AT13" s="9"/>
    </row>
    <row r="14">
      <c r="A14" s="200" t="s">
        <v>8596</v>
      </c>
      <c r="C14" s="200" t="s">
        <v>8597</v>
      </c>
      <c r="E14" s="200" t="s">
        <v>8598</v>
      </c>
      <c r="G14" s="200" t="s">
        <v>8599</v>
      </c>
      <c r="I14" s="200"/>
      <c r="K14" s="200"/>
      <c r="M14" s="193" t="s">
        <v>8600</v>
      </c>
      <c r="O14" s="200" t="s">
        <v>8601</v>
      </c>
      <c r="Q14" s="200"/>
      <c r="S14" s="273"/>
      <c r="U14" s="200" t="s">
        <v>8603</v>
      </c>
      <c r="W14" s="200"/>
      <c r="Y14" s="9"/>
      <c r="Z14" s="9"/>
      <c r="AA14" s="9"/>
      <c r="AB14" s="9"/>
      <c r="AC14" s="9"/>
      <c r="AD14" s="9"/>
      <c r="AE14" s="9"/>
      <c r="AF14" s="9"/>
      <c r="AG14" s="9"/>
      <c r="AH14" s="9"/>
      <c r="AI14" s="9"/>
      <c r="AJ14" s="9"/>
      <c r="AK14" s="9"/>
      <c r="AL14" s="9"/>
      <c r="AM14" s="9"/>
      <c r="AN14" s="9"/>
      <c r="AO14" s="9"/>
      <c r="AP14" s="9"/>
      <c r="AQ14" s="9"/>
      <c r="AR14" s="9"/>
      <c r="AS14" s="9"/>
      <c r="AT14" s="9"/>
    </row>
    <row r="15">
      <c r="A15" s="488" t="s">
        <v>10839</v>
      </c>
      <c r="B15" s="205" t="s">
        <v>10840</v>
      </c>
      <c r="C15" s="488" t="s">
        <v>10841</v>
      </c>
      <c r="D15" s="205" t="s">
        <v>10842</v>
      </c>
      <c r="E15" s="488" t="s">
        <v>10843</v>
      </c>
      <c r="F15" s="205" t="s">
        <v>10844</v>
      </c>
      <c r="G15" s="488" t="str">
        <f>IFERROR(__xludf.DUMMYFUNCTION("GOOGLETRANSLATE(A15,""zh-tw"",""zh"")"),"逆流可乐")</f>
        <v>逆流可乐</v>
      </c>
      <c r="H15" s="205" t="str">
        <f>IFERROR(__xludf.DUMMYFUNCTION("GOOGLETRANSLATE(B15,""zh-tw"",""zh"")"),"(战斗效果未实装)")</f>
        <v>(战斗效果未实装)</v>
      </c>
      <c r="I15" s="488" t="s">
        <v>10845</v>
      </c>
      <c r="J15" s="205" t="s">
        <v>10846</v>
      </c>
      <c r="K15" s="488" t="s">
        <v>10847</v>
      </c>
      <c r="L15" s="254" t="str">
        <f>IFERROR(__xludf.DUMMYFUNCTION("GOOGLETRANSLATE(B15,""zh-tw"",""KO"")"),"(전투 효과는 아직 구현되지 않았습니다)")</f>
        <v>(전투 효과는 아직 구현되지 않았습니다)</v>
      </c>
      <c r="M15" s="493" t="s">
        <v>10848</v>
      </c>
      <c r="N15" s="194" t="s">
        <v>10849</v>
      </c>
      <c r="O15" s="492" t="s">
        <v>10848</v>
      </c>
      <c r="P15" s="205" t="s">
        <v>10850</v>
      </c>
      <c r="Q15" s="488" t="s">
        <v>10845</v>
      </c>
      <c r="R15" s="205" t="s">
        <v>10851</v>
      </c>
      <c r="S15" s="522" t="s">
        <v>10852</v>
      </c>
      <c r="T15" s="521" t="s">
        <v>10853</v>
      </c>
      <c r="U15" s="492" t="s">
        <v>10854</v>
      </c>
      <c r="V15" s="254" t="s">
        <v>10855</v>
      </c>
      <c r="W15" s="488" t="s">
        <v>10856</v>
      </c>
      <c r="X15" s="205" t="s">
        <v>10857</v>
      </c>
      <c r="Y15" s="9"/>
      <c r="Z15" s="9"/>
      <c r="AA15" s="9"/>
      <c r="AB15" s="9"/>
      <c r="AC15" s="9"/>
      <c r="AD15" s="9"/>
      <c r="AE15" s="9"/>
      <c r="AF15" s="9"/>
      <c r="AG15" s="9"/>
      <c r="AH15" s="9"/>
      <c r="AI15" s="9"/>
      <c r="AJ15" s="9"/>
      <c r="AK15" s="9"/>
      <c r="AL15" s="9"/>
      <c r="AM15" s="9"/>
      <c r="AN15" s="9"/>
      <c r="AO15" s="9"/>
      <c r="AP15" s="9"/>
      <c r="AQ15" s="9"/>
      <c r="AR15" s="9"/>
      <c r="AS15" s="9"/>
      <c r="AT15" s="9"/>
    </row>
    <row r="16">
      <c r="A16" s="488" t="s">
        <v>10858</v>
      </c>
      <c r="B16" s="205" t="s">
        <v>10859</v>
      </c>
      <c r="C16" s="488" t="s">
        <v>10860</v>
      </c>
      <c r="D16" s="205" t="s">
        <v>10861</v>
      </c>
      <c r="E16" s="488" t="s">
        <v>10862</v>
      </c>
      <c r="F16" s="205" t="s">
        <v>10863</v>
      </c>
      <c r="G16" s="488" t="str">
        <f>IFERROR(__xludf.DUMMYFUNCTION("GOOGLETRANSLATE(A16,""zh-tw"",""zh"")"),"冰霜杰克爆弹")</f>
        <v>冰霜杰克爆弹</v>
      </c>
      <c r="H16" s="205" t="str">
        <f>IFERROR(__xludf.DUMMYFUNCTION("GOOGLETRANSLATE(B16,""zh-tw"",""zh"")"),"冰属性炸弹")</f>
        <v>冰属性炸弹</v>
      </c>
      <c r="I16" s="492" t="str">
        <f>IFERROR(__xludf.DUMMYFUNCTION("GOOGLETRANSLATE(A16,""zh-tw"",""es-MX"")"),"Bomba de Frost Jack")</f>
        <v>Bomba de Frost Jack</v>
      </c>
      <c r="J16" s="205" t="s">
        <v>10864</v>
      </c>
      <c r="K16" s="492" t="str">
        <f>IFERROR(__xludf.DUMMYFUNCTION("GOOGLETRANSLATE(A16,""zh-tw"",""KO"")"),"프로스트 잭 밤")</f>
        <v>프로스트 잭 밤</v>
      </c>
      <c r="L16" s="205" t="s">
        <v>10865</v>
      </c>
      <c r="M16" s="493" t="s">
        <v>10866</v>
      </c>
      <c r="N16" s="194" t="s">
        <v>10867</v>
      </c>
      <c r="O16" s="492" t="s">
        <v>10868</v>
      </c>
      <c r="P16" s="205" t="s">
        <v>10869</v>
      </c>
      <c r="Q16" s="488" t="s">
        <v>10870</v>
      </c>
      <c r="R16" s="205" t="s">
        <v>10871</v>
      </c>
      <c r="S16" s="520" t="s">
        <v>10862</v>
      </c>
      <c r="T16" s="521" t="s">
        <v>10872</v>
      </c>
      <c r="U16" s="492" t="s">
        <v>10873</v>
      </c>
      <c r="V16" s="254" t="s">
        <v>10874</v>
      </c>
      <c r="W16" s="488" t="s">
        <v>10875</v>
      </c>
      <c r="X16" s="205" t="s">
        <v>10876</v>
      </c>
      <c r="Y16" s="9"/>
      <c r="Z16" s="9"/>
      <c r="AA16" s="9"/>
      <c r="AB16" s="9"/>
      <c r="AC16" s="9"/>
      <c r="AD16" s="9"/>
      <c r="AE16" s="9"/>
      <c r="AF16" s="9"/>
      <c r="AG16" s="9"/>
      <c r="AH16" s="9"/>
      <c r="AI16" s="9"/>
      <c r="AJ16" s="9"/>
      <c r="AK16" s="9"/>
      <c r="AL16" s="9"/>
      <c r="AM16" s="9"/>
      <c r="AN16" s="9"/>
      <c r="AO16" s="9"/>
      <c r="AP16" s="9"/>
      <c r="AQ16" s="9"/>
      <c r="AR16" s="9"/>
      <c r="AS16" s="9"/>
      <c r="AT16" s="9"/>
    </row>
    <row r="17">
      <c r="A17" s="488" t="s">
        <v>10877</v>
      </c>
      <c r="B17" s="205" t="s">
        <v>10878</v>
      </c>
      <c r="C17" s="488" t="s">
        <v>10879</v>
      </c>
      <c r="D17" s="205" t="s">
        <v>10880</v>
      </c>
      <c r="E17" s="488" t="s">
        <v>10881</v>
      </c>
      <c r="F17" s="205" t="s">
        <v>10882</v>
      </c>
      <c r="G17" s="488" t="str">
        <f>IFERROR(__xludf.DUMMYFUNCTION("GOOGLETRANSLATE(A17,""zh-tw"",""zh"")"),"猛毒杰克爆弹")</f>
        <v>猛毒杰克爆弹</v>
      </c>
      <c r="H17" s="205" t="str">
        <f>IFERROR(__xludf.DUMMYFUNCTION("GOOGLETRANSLATE(B17,""zh-tw"",""zh"")"),"毒属性炸弹")</f>
        <v>毒属性炸弹</v>
      </c>
      <c r="I17" s="488" t="s">
        <v>10881</v>
      </c>
      <c r="J17" s="205" t="s">
        <v>10883</v>
      </c>
      <c r="K17" s="488" t="s">
        <v>10884</v>
      </c>
      <c r="L17" s="205" t="s">
        <v>10885</v>
      </c>
      <c r="M17" s="493" t="s">
        <v>10886</v>
      </c>
      <c r="N17" s="194" t="s">
        <v>10887</v>
      </c>
      <c r="O17" s="492" t="s">
        <v>10888</v>
      </c>
      <c r="P17" s="205" t="s">
        <v>10889</v>
      </c>
      <c r="Q17" s="488" t="s">
        <v>10890</v>
      </c>
      <c r="R17" s="205" t="s">
        <v>10891</v>
      </c>
      <c r="S17" s="520" t="s">
        <v>10881</v>
      </c>
      <c r="T17" s="521" t="s">
        <v>10892</v>
      </c>
      <c r="U17" s="492" t="s">
        <v>10893</v>
      </c>
      <c r="V17" s="254" t="s">
        <v>10894</v>
      </c>
      <c r="W17" s="488" t="s">
        <v>10881</v>
      </c>
      <c r="X17" s="205" t="s">
        <v>10895</v>
      </c>
      <c r="Y17" s="9"/>
      <c r="Z17" s="9"/>
      <c r="AA17" s="9"/>
      <c r="AB17" s="9"/>
      <c r="AC17" s="9"/>
      <c r="AD17" s="9"/>
      <c r="AE17" s="9"/>
      <c r="AF17" s="9"/>
      <c r="AG17" s="9"/>
      <c r="AH17" s="9"/>
      <c r="AI17" s="9"/>
      <c r="AJ17" s="9"/>
      <c r="AK17" s="9"/>
      <c r="AL17" s="9"/>
      <c r="AM17" s="9"/>
      <c r="AN17" s="9"/>
      <c r="AO17" s="9"/>
      <c r="AP17" s="9"/>
      <c r="AQ17" s="9"/>
      <c r="AR17" s="9"/>
      <c r="AS17" s="9"/>
      <c r="AT17" s="9"/>
    </row>
    <row r="18">
      <c r="A18" s="488" t="s">
        <v>10896</v>
      </c>
      <c r="B18" s="205" t="s">
        <v>10897</v>
      </c>
      <c r="C18" s="488" t="s">
        <v>10898</v>
      </c>
      <c r="D18" s="254" t="str">
        <f>IFERROR(__xludf.DUMMYFUNCTION("GOOGLETRANSLATE(B18,""zh-tw"",""ja"")"),"現在、（ジェムを）引き換える方法はありません。")</f>
        <v>現在、（ジェムを）引き換える方法はありません。</v>
      </c>
      <c r="E18" s="488" t="s">
        <v>10899</v>
      </c>
      <c r="F18" s="205" t="s">
        <v>10900</v>
      </c>
      <c r="G18" s="488" t="str">
        <f>IFERROR(__xludf.DUMMYFUNCTION("GOOGLETRANSLATE(A18,""zh-tw"",""zh"")"),"蓝辉石")</f>
        <v>蓝辉石</v>
      </c>
      <c r="H18" s="205" t="str">
        <f>IFERROR(__xludf.DUMMYFUNCTION("GOOGLETRANSLATE(B18,""zh-tw"",""zh"")"),"目前没有兑换方式
(宝石)")</f>
        <v>目前没有兑换方式
(宝石)</v>
      </c>
      <c r="I18" s="488" t="s">
        <v>10901</v>
      </c>
      <c r="J18" s="205" t="s">
        <v>10902</v>
      </c>
      <c r="K18" s="492" t="str">
        <f>IFERROR(__xludf.DUMMYFUNCTION("GOOGLETRANSLATE(A18,""zh-tw"",""KO"")"),"블루 사파이어")</f>
        <v>블루 사파이어</v>
      </c>
      <c r="L18" s="254" t="str">
        <f>IFERROR(__xludf.DUMMYFUNCTION("GOOGLETRANSLATE(B18,""zh-tw"",""KO"")"),"현재로서는 (보석을) 사용할 수 있는 방법이 없습니다.")</f>
        <v>현재로서는 (보석을) 사용할 수 있는 방법이 없습니다.</v>
      </c>
      <c r="M18" s="493" t="s">
        <v>10903</v>
      </c>
      <c r="N18" s="194" t="s">
        <v>10904</v>
      </c>
      <c r="O18" s="492" t="s">
        <v>10905</v>
      </c>
      <c r="P18" s="254" t="s">
        <v>10906</v>
      </c>
      <c r="Q18" s="489" t="s">
        <v>10907</v>
      </c>
      <c r="R18" s="260" t="s">
        <v>10908</v>
      </c>
      <c r="S18" s="522" t="s">
        <v>10909</v>
      </c>
      <c r="T18" s="521" t="s">
        <v>10910</v>
      </c>
      <c r="U18" s="511" t="s">
        <v>10899</v>
      </c>
      <c r="V18" s="254" t="s">
        <v>10911</v>
      </c>
      <c r="W18" s="488" t="s">
        <v>10912</v>
      </c>
      <c r="X18" s="205" t="s">
        <v>10913</v>
      </c>
      <c r="Y18" s="9"/>
      <c r="Z18" s="9"/>
      <c r="AA18" s="9"/>
      <c r="AB18" s="9"/>
      <c r="AC18" s="9"/>
      <c r="AD18" s="9"/>
      <c r="AE18" s="9"/>
      <c r="AF18" s="9"/>
      <c r="AG18" s="9"/>
      <c r="AH18" s="9"/>
      <c r="AI18" s="9"/>
      <c r="AJ18" s="9"/>
      <c r="AK18" s="9"/>
      <c r="AL18" s="9"/>
      <c r="AM18" s="9"/>
      <c r="AN18" s="9"/>
      <c r="AO18" s="9"/>
      <c r="AP18" s="9"/>
      <c r="AQ18" s="9"/>
      <c r="AR18" s="9"/>
      <c r="AS18" s="9"/>
      <c r="AT18" s="9"/>
    </row>
    <row r="19">
      <c r="A19" s="488" t="s">
        <v>10914</v>
      </c>
      <c r="B19" s="205" t="s">
        <v>10915</v>
      </c>
      <c r="C19" s="488" t="s">
        <v>10916</v>
      </c>
      <c r="D19" s="205" t="s">
        <v>10917</v>
      </c>
      <c r="E19" s="488" t="s">
        <v>10918</v>
      </c>
      <c r="F19" s="205" t="s">
        <v>10919</v>
      </c>
      <c r="G19" s="488" t="str">
        <f>IFERROR(__xludf.DUMMYFUNCTION("GOOGLETRANSLATE(A19,""zh-tw"",""zh"")"),"银坷拉")</f>
        <v>银坷拉</v>
      </c>
      <c r="H19" s="205" t="str">
        <f>IFERROR(__xludf.DUMMYFUNCTION("GOOGLETRANSLATE(B19,""zh-tw"",""zh"")"),"诱饵/粉尘爆炸")</f>
        <v>诱饵/粉尘爆炸</v>
      </c>
      <c r="I19" s="488" t="s">
        <v>10918</v>
      </c>
      <c r="J19" s="205" t="s">
        <v>10920</v>
      </c>
      <c r="K19" s="492" t="str">
        <f>IFERROR(__xludf.DUMMYFUNCTION("GOOGLETRANSLATE(A19,""zh-tw"",""KO"")"),"인 켈라")</f>
        <v>인 켈라</v>
      </c>
      <c r="L19" s="254" t="str">
        <f>IFERROR(__xludf.DUMMYFUNCTION("GOOGLETRANSLATE(B19,""zh-tw"",""KO"")"),"미끼/먼지 폭발")</f>
        <v>미끼/먼지 폭발</v>
      </c>
      <c r="M19" s="493" t="s">
        <v>10921</v>
      </c>
      <c r="N19" s="194" t="s">
        <v>10922</v>
      </c>
      <c r="O19" s="492" t="s">
        <v>10923</v>
      </c>
      <c r="P19" s="205" t="s">
        <v>10924</v>
      </c>
      <c r="Q19" s="488" t="s">
        <v>10918</v>
      </c>
      <c r="R19" s="205" t="s">
        <v>10925</v>
      </c>
      <c r="S19" s="522" t="s">
        <v>10926</v>
      </c>
      <c r="T19" s="268" t="s">
        <v>10927</v>
      </c>
      <c r="U19" s="492" t="s">
        <v>10918</v>
      </c>
      <c r="V19" s="254" t="s">
        <v>10928</v>
      </c>
      <c r="W19" s="488" t="s">
        <v>10918</v>
      </c>
      <c r="X19" s="205" t="s">
        <v>10929</v>
      </c>
      <c r="Y19" s="9"/>
      <c r="Z19" s="9"/>
      <c r="AA19" s="9"/>
      <c r="AB19" s="9"/>
      <c r="AC19" s="9"/>
      <c r="AD19" s="9"/>
      <c r="AE19" s="9"/>
      <c r="AF19" s="9"/>
      <c r="AG19" s="9"/>
      <c r="AH19" s="9"/>
      <c r="AI19" s="9"/>
      <c r="AJ19" s="9"/>
      <c r="AK19" s="9"/>
      <c r="AL19" s="9"/>
      <c r="AM19" s="9"/>
      <c r="AN19" s="9"/>
      <c r="AO19" s="9"/>
      <c r="AP19" s="9"/>
      <c r="AQ19" s="9"/>
      <c r="AR19" s="9"/>
      <c r="AS19" s="9"/>
      <c r="AT19" s="9"/>
    </row>
    <row r="20">
      <c r="A20" s="488" t="s">
        <v>10930</v>
      </c>
      <c r="B20" s="205" t="s">
        <v>10785</v>
      </c>
      <c r="C20" s="488" t="str">
        <f>IFERROR(__xludf.DUMMYFUNCTION("GOOGLETRANSLATE(A20,""zh-tw"",""ja"")"),"ポラロイド 9〜15")</f>
        <v>ポラロイド 9〜15</v>
      </c>
      <c r="D20" s="205" t="s">
        <v>10786</v>
      </c>
      <c r="E20" s="488" t="s">
        <v>10931</v>
      </c>
      <c r="F20" s="205" t="s">
        <v>10788</v>
      </c>
      <c r="G20" s="488" t="str">
        <f>IFERROR(__xludf.DUMMYFUNCTION("GOOGLETRANSLATE(A20,""zh-tw"",""zh"")"),"拍立得9~15")</f>
        <v>拍立得9~15</v>
      </c>
      <c r="H20" s="205" t="str">
        <f>IFERROR(__xludf.DUMMYFUNCTION("GOOGLETRANSLATE(B20,""zh-tw"",""zh"")"),"查看优质照片")</f>
        <v>查看优质照片</v>
      </c>
      <c r="I20" s="492" t="str">
        <f>IFERROR(__xludf.DUMMYFUNCTION("GOOGLETRANSLATE(A20,""zh-tw"",""es-MX"")"),"Polaroid 9~15")</f>
        <v>Polaroid 9~15</v>
      </c>
      <c r="J20" s="205" t="s">
        <v>10789</v>
      </c>
      <c r="K20" s="492" t="str">
        <f>IFERROR(__xludf.DUMMYFUNCTION("GOOGLETRANSLATE(A20,""zh-tw"",""KO"")"),"폴라로이드 9~15")</f>
        <v>폴라로이드 9~15</v>
      </c>
      <c r="L20" s="254" t="str">
        <f>IFERROR(__xludf.DUMMYFUNCTION("GOOGLETRANSLATE(B20,""zh-tw"",""KO"")"),"고화질 사진을 보세요")</f>
        <v>고화질 사진을 보세요</v>
      </c>
      <c r="M20" s="493" t="s">
        <v>10932</v>
      </c>
      <c r="N20" s="194" t="s">
        <v>10791</v>
      </c>
      <c r="O20" s="488" t="s">
        <v>10933</v>
      </c>
      <c r="P20" s="205" t="s">
        <v>10793</v>
      </c>
      <c r="Q20" s="488" t="s">
        <v>10934</v>
      </c>
      <c r="R20" s="205" t="s">
        <v>10795</v>
      </c>
      <c r="S20" s="522" t="s">
        <v>10931</v>
      </c>
      <c r="T20" s="521" t="s">
        <v>10796</v>
      </c>
      <c r="U20" s="488" t="s">
        <v>10931</v>
      </c>
      <c r="V20" s="254" t="s">
        <v>10797</v>
      </c>
      <c r="W20" s="488" t="s">
        <v>10931</v>
      </c>
      <c r="X20" s="205" t="s">
        <v>10798</v>
      </c>
      <c r="Y20" s="9"/>
      <c r="Z20" s="9"/>
      <c r="AA20" s="9"/>
      <c r="AB20" s="9"/>
      <c r="AC20" s="9"/>
      <c r="AD20" s="9"/>
      <c r="AE20" s="9"/>
      <c r="AF20" s="9"/>
      <c r="AG20" s="9"/>
      <c r="AH20" s="9"/>
      <c r="AI20" s="9"/>
      <c r="AJ20" s="9"/>
      <c r="AK20" s="9"/>
      <c r="AL20" s="9"/>
      <c r="AM20" s="9"/>
      <c r="AN20" s="9"/>
      <c r="AO20" s="9"/>
      <c r="AP20" s="9"/>
      <c r="AQ20" s="9"/>
      <c r="AR20" s="9"/>
      <c r="AS20" s="9"/>
      <c r="AT20" s="9"/>
    </row>
    <row r="21">
      <c r="A21" s="488" t="s">
        <v>10935</v>
      </c>
      <c r="B21" s="205" t="s">
        <v>10936</v>
      </c>
      <c r="C21" s="488" t="s">
        <v>10937</v>
      </c>
      <c r="D21" s="205" t="s">
        <v>10938</v>
      </c>
      <c r="E21" s="488" t="s">
        <v>10814</v>
      </c>
      <c r="F21" s="205" t="s">
        <v>10939</v>
      </c>
      <c r="G21" s="488" t="str">
        <f>IFERROR(__xludf.DUMMYFUNCTION("GOOGLETRANSLATE(A21,""zh-tw"",""zh"")"),"魔力小凝胶")</f>
        <v>魔力小凝胶</v>
      </c>
      <c r="H21" s="205" t="str">
        <f>IFERROR(__xludf.DUMMYFUNCTION("GOOGLETRANSLATE(B21,""zh-tw"",""zh"")"),"扩充格子")</f>
        <v>扩充格子</v>
      </c>
      <c r="I21" s="488" t="s">
        <v>10940</v>
      </c>
      <c r="J21" s="205" t="s">
        <v>10941</v>
      </c>
      <c r="K21" s="489" t="s">
        <v>10942</v>
      </c>
      <c r="L21" s="254" t="str">
        <f>IFERROR(__xludf.DUMMYFUNCTION("GOOGLETRANSLATE(B21,""zh-tw"",""KO"")"),"그리드를 확장하세요")</f>
        <v>그리드를 확장하세요</v>
      </c>
      <c r="M21" s="493" t="s">
        <v>10943</v>
      </c>
      <c r="N21" s="194" t="s">
        <v>10944</v>
      </c>
      <c r="O21" s="492" t="s">
        <v>10943</v>
      </c>
      <c r="P21" s="205" t="s">
        <v>10945</v>
      </c>
      <c r="Q21" s="488" t="s">
        <v>10946</v>
      </c>
      <c r="R21" s="205" t="s">
        <v>10947</v>
      </c>
      <c r="S21" s="520" t="s">
        <v>10948</v>
      </c>
      <c r="T21" s="521" t="s">
        <v>10949</v>
      </c>
      <c r="U21" s="492" t="s">
        <v>10950</v>
      </c>
      <c r="V21" s="254" t="s">
        <v>10951</v>
      </c>
      <c r="W21" s="488" t="s">
        <v>10952</v>
      </c>
      <c r="X21" s="205" t="s">
        <v>10953</v>
      </c>
      <c r="Y21" s="9"/>
      <c r="Z21" s="9"/>
      <c r="AA21" s="9"/>
      <c r="AB21" s="9"/>
      <c r="AC21" s="9"/>
      <c r="AD21" s="9"/>
      <c r="AE21" s="9"/>
      <c r="AF21" s="9"/>
      <c r="AG21" s="9"/>
      <c r="AH21" s="9"/>
      <c r="AI21" s="9"/>
      <c r="AJ21" s="9"/>
      <c r="AK21" s="9"/>
      <c r="AL21" s="9"/>
      <c r="AM21" s="9"/>
      <c r="AN21" s="9"/>
      <c r="AO21" s="9"/>
      <c r="AP21" s="9"/>
      <c r="AQ21" s="9"/>
      <c r="AR21" s="9"/>
      <c r="AS21" s="9"/>
      <c r="AT21" s="9"/>
    </row>
    <row r="22">
      <c r="A22" s="488" t="s">
        <v>10954</v>
      </c>
      <c r="B22" s="205" t="s">
        <v>10955</v>
      </c>
      <c r="C22" s="488" t="str">
        <f>IFERROR(__xludf.DUMMYFUNCTION("GOOGLETRANSLATE(A22,""zh-tw"",""ja"")"),"寿司プリン")</f>
        <v>寿司プリン</v>
      </c>
      <c r="D22" s="205" t="s">
        <v>10956</v>
      </c>
      <c r="E22" s="488" t="s">
        <v>10957</v>
      </c>
      <c r="F22" s="205" t="s">
        <v>10958</v>
      </c>
      <c r="G22" s="488" t="str">
        <f>IFERROR(__xludf.DUMMYFUNCTION("GOOGLETRANSLATE(A22,""zh-tw"",""zh"")"),"寿司布丁")</f>
        <v>寿司布丁</v>
      </c>
      <c r="H22" s="205" t="str">
        <f>IFERROR(__xludf.DUMMYFUNCTION("GOOGLETRANSLATE(B22,""zh-tw"",""zh"")"),"飞向恶魔商店的位置")</f>
        <v>飞向恶魔商店的位置</v>
      </c>
      <c r="I22" s="492" t="str">
        <f>IFERROR(__xludf.DUMMYFUNCTION("GOOGLETRANSLATE(A22,""zh-tw"",""es-MX"")"),"Pudín de sushi")</f>
        <v>Pudín de sushi</v>
      </c>
      <c r="J22" s="205" t="s">
        <v>10959</v>
      </c>
      <c r="K22" s="492" t="str">
        <f>IFERROR(__xludf.DUMMYFUNCTION("GOOGLETRANSLATE(A22,""zh-tw"",""KO"")"),"스시 푸딩")</f>
        <v>스시 푸딩</v>
      </c>
      <c r="L22" s="254" t="str">
        <f>IFERROR(__xludf.DUMMYFUNCTION("GOOGLETRANSLATE(B22,""zh-tw"",""KO"")"),"악마 상점이 있는 곳으로 날아가세요")</f>
        <v>악마 상점이 있는 곳으로 날아가세요</v>
      </c>
      <c r="M22" s="493" t="s">
        <v>10960</v>
      </c>
      <c r="N22" s="194" t="s">
        <v>10961</v>
      </c>
      <c r="O22" s="492" t="s">
        <v>10962</v>
      </c>
      <c r="P22" s="205" t="s">
        <v>10963</v>
      </c>
      <c r="Q22" s="488" t="s">
        <v>10957</v>
      </c>
      <c r="R22" s="205" t="s">
        <v>10964</v>
      </c>
      <c r="S22" s="520" t="s">
        <v>10957</v>
      </c>
      <c r="T22" s="521" t="s">
        <v>10965</v>
      </c>
      <c r="U22" s="492" t="s">
        <v>10966</v>
      </c>
      <c r="V22" s="254" t="s">
        <v>10967</v>
      </c>
      <c r="W22" s="488" t="s">
        <v>10968</v>
      </c>
      <c r="X22" s="205" t="s">
        <v>10969</v>
      </c>
      <c r="Y22" s="9"/>
      <c r="Z22" s="9"/>
      <c r="AA22" s="9"/>
      <c r="AB22" s="9"/>
      <c r="AC22" s="9"/>
      <c r="AD22" s="9"/>
      <c r="AE22" s="9"/>
      <c r="AF22" s="9"/>
      <c r="AG22" s="9"/>
      <c r="AH22" s="9"/>
      <c r="AI22" s="9"/>
      <c r="AJ22" s="9"/>
      <c r="AK22" s="9"/>
      <c r="AL22" s="9"/>
      <c r="AM22" s="9"/>
      <c r="AN22" s="9"/>
      <c r="AO22" s="9"/>
      <c r="AP22" s="9"/>
      <c r="AQ22" s="9"/>
      <c r="AR22" s="9"/>
      <c r="AS22" s="9"/>
      <c r="AT22" s="9"/>
    </row>
    <row r="23">
      <c r="A23" s="488" t="s">
        <v>10970</v>
      </c>
      <c r="B23" s="205" t="s">
        <v>10971</v>
      </c>
      <c r="C23" s="488" t="s">
        <v>10972</v>
      </c>
      <c r="D23" s="205" t="s">
        <v>10973</v>
      </c>
      <c r="E23" s="488" t="s">
        <v>10974</v>
      </c>
      <c r="F23" s="205" t="s">
        <v>10975</v>
      </c>
      <c r="G23" s="488" t="str">
        <f>IFERROR(__xludf.DUMMYFUNCTION("GOOGLETRANSLATE(A23,""zh-tw"",""zh"")"),"电风扇")</f>
        <v>电风扇</v>
      </c>
      <c r="H23" s="205" t="str">
        <f>IFERROR(__xludf.DUMMYFUNCTION("GOOGLETRANSLATE(B23,""zh-tw"",""zh"")"),"炎热剧情道具
(战车商店贩售)")</f>
        <v>炎热剧情道具
(战车商店贩售)</v>
      </c>
      <c r="I23" s="488" t="s">
        <v>10976</v>
      </c>
      <c r="J23" s="205" t="s">
        <v>10977</v>
      </c>
      <c r="K23" s="492" t="str">
        <f>IFERROR(__xludf.DUMMYFUNCTION("GOOGLETRANSLATE(A23,""zh-tw"",""KO"")"),"선풍기")</f>
        <v>선풍기</v>
      </c>
      <c r="L23" s="205" t="s">
        <v>10978</v>
      </c>
      <c r="M23" s="493" t="s">
        <v>10979</v>
      </c>
      <c r="N23" s="194" t="s">
        <v>10980</v>
      </c>
      <c r="O23" s="492" t="s">
        <v>10979</v>
      </c>
      <c r="P23" s="205" t="s">
        <v>10981</v>
      </c>
      <c r="Q23" s="488" t="s">
        <v>10982</v>
      </c>
      <c r="R23" s="205" t="s">
        <v>10983</v>
      </c>
      <c r="S23" s="520" t="s">
        <v>10984</v>
      </c>
      <c r="T23" s="521" t="s">
        <v>10985</v>
      </c>
      <c r="U23" s="492" t="s">
        <v>10986</v>
      </c>
      <c r="V23" s="254" t="s">
        <v>10987</v>
      </c>
      <c r="W23" s="488" t="s">
        <v>10988</v>
      </c>
      <c r="X23" s="205" t="s">
        <v>10989</v>
      </c>
      <c r="Y23" s="9"/>
      <c r="Z23" s="9"/>
      <c r="AA23" s="9"/>
      <c r="AB23" s="9"/>
      <c r="AC23" s="9"/>
      <c r="AD23" s="9"/>
      <c r="AE23" s="9"/>
      <c r="AF23" s="9"/>
      <c r="AG23" s="9"/>
      <c r="AH23" s="9"/>
      <c r="AI23" s="9"/>
      <c r="AJ23" s="9"/>
      <c r="AK23" s="9"/>
      <c r="AL23" s="9"/>
      <c r="AM23" s="9"/>
      <c r="AN23" s="9"/>
      <c r="AO23" s="9"/>
      <c r="AP23" s="9"/>
      <c r="AQ23" s="9"/>
      <c r="AR23" s="9"/>
      <c r="AS23" s="9"/>
      <c r="AT23" s="9"/>
    </row>
    <row r="24">
      <c r="A24" s="200" t="s">
        <v>8878</v>
      </c>
      <c r="C24" s="200" t="s">
        <v>8879</v>
      </c>
      <c r="E24" s="200" t="s">
        <v>8880</v>
      </c>
      <c r="G24" s="200" t="s">
        <v>8881</v>
      </c>
      <c r="I24" s="200"/>
      <c r="K24" s="200"/>
      <c r="M24" s="193" t="s">
        <v>8882</v>
      </c>
      <c r="O24" s="200" t="s">
        <v>8883</v>
      </c>
      <c r="Q24" s="200"/>
      <c r="S24" s="273"/>
      <c r="U24" s="200" t="s">
        <v>8885</v>
      </c>
      <c r="W24" s="200"/>
      <c r="Y24" s="9"/>
      <c r="Z24" s="9"/>
      <c r="AA24" s="9"/>
      <c r="AB24" s="9"/>
      <c r="AC24" s="9"/>
      <c r="AD24" s="9"/>
      <c r="AE24" s="9"/>
      <c r="AF24" s="9"/>
      <c r="AG24" s="9"/>
      <c r="AH24" s="9"/>
      <c r="AI24" s="9"/>
      <c r="AJ24" s="9"/>
      <c r="AK24" s="9"/>
      <c r="AL24" s="9"/>
      <c r="AM24" s="9"/>
      <c r="AN24" s="9"/>
      <c r="AO24" s="9"/>
      <c r="AP24" s="9"/>
      <c r="AQ24" s="9"/>
      <c r="AR24" s="9"/>
      <c r="AS24" s="9"/>
      <c r="AT24" s="9"/>
    </row>
    <row r="25">
      <c r="A25" s="488" t="s">
        <v>10990</v>
      </c>
      <c r="B25" s="205" t="s">
        <v>10991</v>
      </c>
      <c r="C25" s="488" t="s">
        <v>10992</v>
      </c>
      <c r="D25" s="205" t="s">
        <v>10993</v>
      </c>
      <c r="E25" s="488" t="s">
        <v>10994</v>
      </c>
      <c r="F25" s="205" t="s">
        <v>10995</v>
      </c>
      <c r="G25" s="488" t="str">
        <f>IFERROR(__xludf.DUMMYFUNCTION("GOOGLETRANSLATE(A25,""zh-tw"",""zh"")"),"粉色金平糖")</f>
        <v>粉色金平糖</v>
      </c>
      <c r="H25" s="205" t="str">
        <f>IFERROR(__xludf.DUMMYFUNCTION("GOOGLETRANSLATE(B25,""zh-tw"",""zh"")"),"使妹妹处于发情状态
哥哥会处于兴奋状态
(哥哥未实装)")</f>
        <v>使妹妹处于发情状态
哥哥会处于兴奋状态
(哥哥未实装)</v>
      </c>
      <c r="I25" s="492" t="str">
        <f>IFERROR(__xludf.DUMMYFUNCTION("GOOGLETRANSLATE(A25,""zh-tw"",""es-MX"")"),"Konpeito rosa")</f>
        <v>Konpeito rosa</v>
      </c>
      <c r="J25" s="205" t="s">
        <v>10996</v>
      </c>
      <c r="K25" s="488" t="s">
        <v>10997</v>
      </c>
      <c r="L25" s="205" t="s">
        <v>10998</v>
      </c>
      <c r="M25" s="493" t="s">
        <v>10999</v>
      </c>
      <c r="N25" s="194" t="s">
        <v>11000</v>
      </c>
      <c r="O25" s="492" t="s">
        <v>11001</v>
      </c>
      <c r="P25" s="205" t="s">
        <v>11002</v>
      </c>
      <c r="Q25" s="488" t="s">
        <v>11003</v>
      </c>
      <c r="R25" s="205" t="s">
        <v>11004</v>
      </c>
      <c r="S25" s="520" t="s">
        <v>11005</v>
      </c>
      <c r="T25" s="521" t="s">
        <v>11006</v>
      </c>
      <c r="U25" s="488" t="s">
        <v>11007</v>
      </c>
      <c r="V25" s="254" t="s">
        <v>11008</v>
      </c>
      <c r="W25" s="488" t="s">
        <v>11009</v>
      </c>
      <c r="X25" s="205" t="s">
        <v>11010</v>
      </c>
      <c r="Y25" s="9"/>
      <c r="Z25" s="9"/>
      <c r="AA25" s="9"/>
      <c r="AB25" s="9"/>
      <c r="AC25" s="9"/>
      <c r="AD25" s="9"/>
      <c r="AE25" s="9"/>
      <c r="AF25" s="9"/>
      <c r="AG25" s="9"/>
      <c r="AH25" s="9"/>
      <c r="AI25" s="9"/>
      <c r="AJ25" s="9"/>
      <c r="AK25" s="9"/>
      <c r="AL25" s="9"/>
      <c r="AM25" s="9"/>
      <c r="AN25" s="9"/>
      <c r="AO25" s="9"/>
      <c r="AP25" s="9"/>
      <c r="AQ25" s="9"/>
      <c r="AR25" s="9"/>
      <c r="AS25" s="9"/>
      <c r="AT25" s="9"/>
    </row>
    <row r="26">
      <c r="A26" s="488" t="s">
        <v>11011</v>
      </c>
      <c r="B26" s="205" t="s">
        <v>11012</v>
      </c>
      <c r="C26" s="488" t="s">
        <v>11013</v>
      </c>
      <c r="D26" s="205" t="s">
        <v>11014</v>
      </c>
      <c r="E26" s="488" t="s">
        <v>11015</v>
      </c>
      <c r="F26" s="205" t="s">
        <v>11016</v>
      </c>
      <c r="G26" s="488" t="str">
        <f>IFERROR(__xludf.DUMMYFUNCTION("GOOGLETRANSLATE(A26,""zh-tw"",""zh"")"),"蓝色金平糖")</f>
        <v>蓝色金平糖</v>
      </c>
      <c r="H26" s="205" t="str">
        <f>IFERROR(__xludf.DUMMYFUNCTION("GOOGLETRANSLATE(B26,""zh-tw"",""zh"")"),"使妹妹嗜睡(和肉料理可叠加)
哥哥会降低兴奋度
喂食两颗妹妹立即犯困，当晚睡眠品质会非常好。  ")</f>
        <v>使妹妹嗜睡(和肉料理可叠加)
哥哥会降低兴奋度
喂食两颗妹妹立即犯困，当晚睡眠品质会非常好。  </v>
      </c>
      <c r="I26" s="492" t="str">
        <f>IFERROR(__xludf.DUMMYFUNCTION("GOOGLETRANSLATE(A26,""zh-tw"",""es-MX"")"),"Konpeito azul")</f>
        <v>Konpeito azul</v>
      </c>
      <c r="J26" s="205" t="s">
        <v>11017</v>
      </c>
      <c r="K26" s="488" t="s">
        <v>11018</v>
      </c>
      <c r="L26" s="205" t="s">
        <v>11019</v>
      </c>
      <c r="M26" s="493" t="s">
        <v>11020</v>
      </c>
      <c r="N26" s="194" t="s">
        <v>11021</v>
      </c>
      <c r="O26" s="492" t="s">
        <v>11022</v>
      </c>
      <c r="P26" s="254" t="s">
        <v>11023</v>
      </c>
      <c r="Q26" s="488" t="s">
        <v>11024</v>
      </c>
      <c r="R26" s="205" t="s">
        <v>11025</v>
      </c>
      <c r="S26" s="520" t="s">
        <v>11026</v>
      </c>
      <c r="T26" s="521" t="s">
        <v>11027</v>
      </c>
      <c r="U26" s="488" t="s">
        <v>11028</v>
      </c>
      <c r="V26" s="254" t="s">
        <v>11029</v>
      </c>
      <c r="W26" s="488" t="s">
        <v>11030</v>
      </c>
      <c r="X26" s="205" t="s">
        <v>11031</v>
      </c>
      <c r="Y26" s="9"/>
      <c r="Z26" s="9"/>
      <c r="AA26" s="9"/>
      <c r="AB26" s="9"/>
      <c r="AC26" s="9"/>
      <c r="AD26" s="9"/>
      <c r="AE26" s="9"/>
      <c r="AF26" s="9"/>
      <c r="AG26" s="9"/>
      <c r="AH26" s="9"/>
      <c r="AI26" s="9"/>
      <c r="AJ26" s="9"/>
      <c r="AK26" s="9"/>
      <c r="AL26" s="9"/>
      <c r="AM26" s="9"/>
      <c r="AN26" s="9"/>
      <c r="AO26" s="9"/>
      <c r="AP26" s="9"/>
      <c r="AQ26" s="9"/>
      <c r="AR26" s="9"/>
      <c r="AS26" s="9"/>
      <c r="AT26" s="9"/>
    </row>
    <row r="27">
      <c r="A27" s="488" t="s">
        <v>11032</v>
      </c>
      <c r="B27" s="205" t="s">
        <v>11033</v>
      </c>
      <c r="C27" s="488" t="s">
        <v>11034</v>
      </c>
      <c r="D27" s="205" t="s">
        <v>1292</v>
      </c>
      <c r="E27" s="488" t="s">
        <v>11035</v>
      </c>
      <c r="F27" s="205" t="s">
        <v>11036</v>
      </c>
      <c r="G27" s="488" t="str">
        <f>IFERROR(__xludf.DUMMYFUNCTION("GOOGLETRANSLATE(A27,""zh-tw"",""zh"")"),"绿色金平糖")</f>
        <v>绿色金平糖</v>
      </c>
      <c r="H27" s="205" t="str">
        <f>IFERROR(__xludf.DUMMYFUNCTION("GOOGLETRANSLATE(B27,""zh-tw"",""zh"")"),"效果未实装")</f>
        <v>效果未实装</v>
      </c>
      <c r="I27" s="492" t="str">
        <f>IFERROR(__xludf.DUMMYFUNCTION("GOOGLETRANSLATE(A27,""zh-tw"",""es-MX"")"),"Kinpeito verde")</f>
        <v>Kinpeito verde</v>
      </c>
      <c r="J27" s="205" t="s">
        <v>11037</v>
      </c>
      <c r="K27" s="488" t="s">
        <v>11038</v>
      </c>
      <c r="L27" s="254" t="str">
        <f>IFERROR(__xludf.DUMMYFUNCTION("GOOGLETRANSLATE(B27,""zh-tw"",""KO"")"),"해당 효과는 아직 적용되지 않았습니다.")</f>
        <v>해당 효과는 아직 적용되지 않았습니다.</v>
      </c>
      <c r="M27" s="493" t="s">
        <v>11039</v>
      </c>
      <c r="N27" s="194" t="s">
        <v>11040</v>
      </c>
      <c r="O27" s="492" t="s">
        <v>11041</v>
      </c>
      <c r="P27" s="254" t="s">
        <v>11042</v>
      </c>
      <c r="Q27" s="488" t="s">
        <v>11043</v>
      </c>
      <c r="R27" s="205" t="s">
        <v>6435</v>
      </c>
      <c r="S27" s="520" t="s">
        <v>11044</v>
      </c>
      <c r="T27" s="521" t="s">
        <v>11045</v>
      </c>
      <c r="U27" s="492" t="s">
        <v>11046</v>
      </c>
      <c r="V27" s="254" t="s">
        <v>11047</v>
      </c>
      <c r="W27" s="488" t="s">
        <v>11048</v>
      </c>
      <c r="X27" s="205" t="s">
        <v>1965</v>
      </c>
      <c r="Y27" s="9"/>
      <c r="Z27" s="9"/>
      <c r="AA27" s="9"/>
      <c r="AB27" s="9"/>
      <c r="AC27" s="9"/>
      <c r="AD27" s="9"/>
      <c r="AE27" s="9"/>
      <c r="AF27" s="9"/>
      <c r="AG27" s="9"/>
      <c r="AH27" s="9"/>
      <c r="AI27" s="9"/>
      <c r="AJ27" s="9"/>
      <c r="AK27" s="9"/>
      <c r="AL27" s="9"/>
      <c r="AM27" s="9"/>
      <c r="AN27" s="9"/>
      <c r="AO27" s="9"/>
      <c r="AP27" s="9"/>
      <c r="AQ27" s="9"/>
      <c r="AR27" s="9"/>
      <c r="AS27" s="9"/>
      <c r="AT27" s="9"/>
    </row>
    <row r="28">
      <c r="A28" s="488" t="s">
        <v>11049</v>
      </c>
      <c r="B28" s="205" t="s">
        <v>11050</v>
      </c>
      <c r="C28" s="488" t="s">
        <v>11051</v>
      </c>
      <c r="D28" s="205" t="s">
        <v>11052</v>
      </c>
      <c r="E28" s="488" t="s">
        <v>11053</v>
      </c>
      <c r="F28" s="205" t="s">
        <v>11054</v>
      </c>
      <c r="G28" s="488" t="str">
        <f>IFERROR(__xludf.DUMMYFUNCTION("GOOGLETRANSLATE(A28,""zh-tw"",""zh"")"),"超敏软Q水馒头")</f>
        <v>超敏软Q水馒头</v>
      </c>
      <c r="H28" s="205" t="str">
        <f>IFERROR(__xludf.DUMMYFUNCTION("GOOGLETRANSLATE(B28,""zh-tw"",""zh"")"),"于AKI商店购买
提升敏感度(效果未实装)")</f>
        <v>于AKI商店购买
提升敏感度(效果未实装)</v>
      </c>
      <c r="I28" s="488" t="s">
        <v>11055</v>
      </c>
      <c r="J28" s="205" t="s">
        <v>11056</v>
      </c>
      <c r="K28" s="492" t="str">
        <f>IFERROR(__xludf.DUMMYFUNCTION("GOOGLETRANSLATE(A28,""zh-tw"",""KO"")"),"아주 부드럽고 쫄깃한 찐빵")</f>
        <v>아주 부드럽고 쫄깃한 찐빵</v>
      </c>
      <c r="L28" s="254" t="str">
        <f>IFERROR(__xludf.DUMMYFUNCTION("GOOGLETRANSLATE(B28,""zh-tw"",""KO"")"),"AKI 스토어에서 구매 가능. 감도 증가 (효과는 아직 구현되지 않음)")</f>
        <v>AKI 스토어에서 구매 가능. 감도 증가 (효과는 아직 구현되지 않음)</v>
      </c>
      <c r="M28" s="493" t="s">
        <v>11057</v>
      </c>
      <c r="N28" s="523" t="s">
        <v>11058</v>
      </c>
      <c r="O28" s="492" t="s">
        <v>11059</v>
      </c>
      <c r="P28" s="254" t="s">
        <v>11060</v>
      </c>
      <c r="Q28" s="488" t="s">
        <v>11061</v>
      </c>
      <c r="R28" s="205" t="s">
        <v>11062</v>
      </c>
      <c r="S28" s="520" t="s">
        <v>11063</v>
      </c>
      <c r="T28" s="521" t="s">
        <v>11064</v>
      </c>
      <c r="U28" s="492" t="s">
        <v>11065</v>
      </c>
      <c r="V28" s="254" t="s">
        <v>11066</v>
      </c>
      <c r="W28" s="488" t="s">
        <v>11067</v>
      </c>
      <c r="X28" s="205" t="s">
        <v>11068</v>
      </c>
      <c r="Y28" s="9"/>
      <c r="Z28" s="9"/>
      <c r="AA28" s="9"/>
      <c r="AB28" s="9"/>
      <c r="AC28" s="9"/>
      <c r="AD28" s="9"/>
      <c r="AE28" s="9"/>
      <c r="AF28" s="9"/>
      <c r="AG28" s="9"/>
      <c r="AH28" s="9"/>
      <c r="AI28" s="9"/>
      <c r="AJ28" s="9"/>
      <c r="AK28" s="9"/>
      <c r="AL28" s="9"/>
      <c r="AM28" s="9"/>
      <c r="AN28" s="9"/>
      <c r="AO28" s="9"/>
      <c r="AP28" s="9"/>
      <c r="AQ28" s="9"/>
      <c r="AR28" s="9"/>
      <c r="AS28" s="9"/>
      <c r="AT28" s="9"/>
    </row>
    <row r="29">
      <c r="A29" s="488" t="s">
        <v>11069</v>
      </c>
      <c r="B29" s="205" t="s">
        <v>10897</v>
      </c>
      <c r="C29" s="488" t="s">
        <v>11070</v>
      </c>
      <c r="D29" s="205" t="s">
        <v>11071</v>
      </c>
      <c r="E29" s="488" t="s">
        <v>11072</v>
      </c>
      <c r="F29" s="205" t="s">
        <v>1660</v>
      </c>
      <c r="G29" s="488" t="str">
        <f>IFERROR(__xludf.DUMMYFUNCTION("GOOGLETRANSLATE(A29,""zh-tw"",""zh"")"),"火菱石")</f>
        <v>火菱石</v>
      </c>
      <c r="H29" s="205" t="str">
        <f>IFERROR(__xludf.DUMMYFUNCTION("GOOGLETRANSLATE(B29,""zh-tw"",""zh"")"),"目前没有兑换方式
(宝石)")</f>
        <v>目前没有兑换方式
(宝石)</v>
      </c>
      <c r="I29" s="488" t="s">
        <v>11073</v>
      </c>
      <c r="J29" s="205" t="s">
        <v>11074</v>
      </c>
      <c r="K29" s="492" t="str">
        <f>IFERROR(__xludf.DUMMYFUNCTION("GOOGLETRANSLATE(A29,""zh-tw"",""KO"")"),"파이어스톤")</f>
        <v>파이어스톤</v>
      </c>
      <c r="L29" s="254" t="str">
        <f>IFERROR(__xludf.DUMMYFUNCTION("GOOGLETRANSLATE(B29,""zh-tw"",""KO"")"),"현재로서는 (보석을) 사용할 수 있는 방법이 없습니다.")</f>
        <v>현재로서는 (보석을) 사용할 수 있는 방법이 없습니다.</v>
      </c>
      <c r="M29" s="493" t="s">
        <v>11075</v>
      </c>
      <c r="N29" s="194" t="s">
        <v>11076</v>
      </c>
      <c r="O29" s="492" t="s">
        <v>11077</v>
      </c>
      <c r="P29" s="254" t="s">
        <v>10906</v>
      </c>
      <c r="Q29" s="488" t="s">
        <v>11078</v>
      </c>
      <c r="R29" s="205" t="s">
        <v>11079</v>
      </c>
      <c r="S29" s="522" t="s">
        <v>11080</v>
      </c>
      <c r="T29" s="521" t="s">
        <v>1498</v>
      </c>
      <c r="U29" s="511" t="s">
        <v>11072</v>
      </c>
      <c r="V29" s="254" t="s">
        <v>11081</v>
      </c>
      <c r="W29" s="488" t="s">
        <v>11082</v>
      </c>
      <c r="X29" s="205" t="s">
        <v>1965</v>
      </c>
      <c r="Y29" s="9"/>
      <c r="Z29" s="9"/>
      <c r="AA29" s="9"/>
      <c r="AB29" s="9"/>
      <c r="AC29" s="9"/>
      <c r="AD29" s="9"/>
      <c r="AE29" s="9"/>
      <c r="AF29" s="9"/>
      <c r="AG29" s="9"/>
      <c r="AH29" s="9"/>
      <c r="AI29" s="9"/>
      <c r="AJ29" s="9"/>
      <c r="AK29" s="9"/>
      <c r="AL29" s="9"/>
      <c r="AM29" s="9"/>
      <c r="AN29" s="9"/>
      <c r="AO29" s="9"/>
      <c r="AP29" s="9"/>
      <c r="AQ29" s="9"/>
      <c r="AR29" s="9"/>
      <c r="AS29" s="9"/>
      <c r="AT29" s="9"/>
    </row>
    <row r="30">
      <c r="A30" s="488" t="s">
        <v>11083</v>
      </c>
      <c r="B30" s="205" t="s">
        <v>10785</v>
      </c>
      <c r="C30" s="488" t="str">
        <f>IFERROR(__xludf.DUMMYFUNCTION("GOOGLETRANSLATE(A30,""zh-tw"",""ja"")"),"ポラロイド 16～23")</f>
        <v>ポラロイド 16～23</v>
      </c>
      <c r="D30" s="205" t="s">
        <v>10786</v>
      </c>
      <c r="E30" s="488" t="s">
        <v>11084</v>
      </c>
      <c r="F30" s="205" t="s">
        <v>10788</v>
      </c>
      <c r="G30" s="488" t="str">
        <f>IFERROR(__xludf.DUMMYFUNCTION("GOOGLETRANSLATE(A30,""zh-tw"",""zh"")"),"拍立得16~23")</f>
        <v>拍立得16~23</v>
      </c>
      <c r="H30" s="205" t="str">
        <f>IFERROR(__xludf.DUMMYFUNCTION("GOOGLETRANSLATE(B30,""zh-tw"",""zh"")"),"查看优质照片")</f>
        <v>查看优质照片</v>
      </c>
      <c r="I30" s="492" t="str">
        <f>IFERROR(__xludf.DUMMYFUNCTION("GOOGLETRANSLATE(A30,""zh-tw"",""es-MX"")"),"Polaroid 16~23")</f>
        <v>Polaroid 16~23</v>
      </c>
      <c r="J30" s="205" t="s">
        <v>10789</v>
      </c>
      <c r="K30" s="492" t="str">
        <f>IFERROR(__xludf.DUMMYFUNCTION("GOOGLETRANSLATE(A30,""zh-tw"",""KO"")"),"폴라로이드 16~23")</f>
        <v>폴라로이드 16~23</v>
      </c>
      <c r="L30" s="254" t="str">
        <f>IFERROR(__xludf.DUMMYFUNCTION("GOOGLETRANSLATE(B30,""zh-tw"",""KO"")"),"고화질 사진을 보세요")</f>
        <v>고화질 사진을 보세요</v>
      </c>
      <c r="M30" s="493" t="s">
        <v>11085</v>
      </c>
      <c r="N30" s="194" t="s">
        <v>10791</v>
      </c>
      <c r="O30" s="488" t="s">
        <v>11086</v>
      </c>
      <c r="P30" s="205" t="s">
        <v>10793</v>
      </c>
      <c r="Q30" s="488" t="s">
        <v>11087</v>
      </c>
      <c r="R30" s="205" t="s">
        <v>10795</v>
      </c>
      <c r="S30" s="522" t="s">
        <v>11088</v>
      </c>
      <c r="T30" s="521" t="s">
        <v>10796</v>
      </c>
      <c r="U30" s="488" t="s">
        <v>11088</v>
      </c>
      <c r="V30" s="254" t="s">
        <v>10797</v>
      </c>
      <c r="W30" s="488" t="s">
        <v>11088</v>
      </c>
      <c r="X30" s="205" t="s">
        <v>10798</v>
      </c>
      <c r="Y30" s="9"/>
      <c r="Z30" s="9"/>
      <c r="AA30" s="9"/>
      <c r="AB30" s="9"/>
      <c r="AC30" s="9"/>
      <c r="AD30" s="9"/>
      <c r="AE30" s="9"/>
      <c r="AF30" s="9"/>
      <c r="AG30" s="9"/>
      <c r="AH30" s="9"/>
      <c r="AI30" s="9"/>
      <c r="AJ30" s="9"/>
      <c r="AK30" s="9"/>
      <c r="AL30" s="9"/>
      <c r="AM30" s="9"/>
      <c r="AN30" s="9"/>
      <c r="AO30" s="9"/>
      <c r="AP30" s="9"/>
      <c r="AQ30" s="9"/>
      <c r="AR30" s="9"/>
      <c r="AS30" s="9"/>
      <c r="AT30" s="9"/>
    </row>
    <row r="31">
      <c r="A31" s="492" t="s">
        <v>11089</v>
      </c>
      <c r="B31" s="254" t="s">
        <v>11090</v>
      </c>
      <c r="C31" s="492" t="s">
        <v>11091</v>
      </c>
      <c r="D31" s="254" t="s">
        <v>11092</v>
      </c>
      <c r="E31" s="492" t="s">
        <v>11093</v>
      </c>
      <c r="F31" s="254" t="s">
        <v>11094</v>
      </c>
      <c r="G31" s="492" t="s">
        <v>11095</v>
      </c>
      <c r="H31" s="254" t="s">
        <v>11096</v>
      </c>
      <c r="I31" s="492" t="str">
        <f>IFERROR(__xludf.DUMMYFUNCTION("GOOGLETRANSLATE(A31,""zh-tw"",""es-MX"")"),"Cinta de vídeo de terror")</f>
        <v>Cinta de vídeo de terror</v>
      </c>
      <c r="J31" s="205" t="s">
        <v>11097</v>
      </c>
      <c r="K31" s="492" t="str">
        <f>IFERROR(__xludf.DUMMYFUNCTION("GOOGLETRANSLATE(A31,""zh-tw"",""KO"")"),"공포 비디오테이프")</f>
        <v>공포 비디오테이프</v>
      </c>
      <c r="L31" s="254" t="str">
        <f>IFERROR(__xludf.DUMMYFUNCTION("GOOGLETRANSLATE(B31,""zh-tw"",""KO"")"),"심야 텔레비전 방송에 사용됨")</f>
        <v>심야 텔레비전 방송에 사용됨</v>
      </c>
      <c r="M31" s="493" t="s">
        <v>11098</v>
      </c>
      <c r="N31" s="194" t="s">
        <v>11099</v>
      </c>
      <c r="O31" s="492" t="s">
        <v>11100</v>
      </c>
      <c r="P31" s="205" t="s">
        <v>11101</v>
      </c>
      <c r="Q31" s="488" t="s">
        <v>11102</v>
      </c>
      <c r="R31" s="205" t="s">
        <v>11103</v>
      </c>
      <c r="S31" s="524" t="s">
        <v>11104</v>
      </c>
      <c r="T31" s="525" t="s">
        <v>11105</v>
      </c>
      <c r="U31" s="492" t="s">
        <v>11106</v>
      </c>
      <c r="V31" s="254" t="s">
        <v>11107</v>
      </c>
      <c r="W31" s="488" t="s">
        <v>11108</v>
      </c>
      <c r="X31" s="205" t="s">
        <v>11109</v>
      </c>
      <c r="Y31" s="9"/>
      <c r="Z31" s="9"/>
      <c r="AA31" s="9"/>
      <c r="AB31" s="9"/>
      <c r="AC31" s="9"/>
      <c r="AD31" s="9"/>
      <c r="AE31" s="9"/>
      <c r="AF31" s="9"/>
      <c r="AG31" s="9"/>
      <c r="AH31" s="9"/>
      <c r="AI31" s="9"/>
      <c r="AJ31" s="9"/>
      <c r="AK31" s="9"/>
      <c r="AL31" s="9"/>
      <c r="AM31" s="9"/>
      <c r="AN31" s="9"/>
      <c r="AO31" s="9"/>
      <c r="AP31" s="9"/>
      <c r="AQ31" s="9"/>
      <c r="AR31" s="9"/>
      <c r="AS31" s="9"/>
      <c r="AT31" s="9"/>
    </row>
    <row r="32">
      <c r="A32" s="492" t="s">
        <v>11110</v>
      </c>
      <c r="B32" s="254" t="s">
        <v>11090</v>
      </c>
      <c r="C32" s="492" t="s">
        <v>11111</v>
      </c>
      <c r="D32" s="254" t="s">
        <v>11092</v>
      </c>
      <c r="E32" s="492" t="s">
        <v>11112</v>
      </c>
      <c r="F32" s="254" t="s">
        <v>11094</v>
      </c>
      <c r="G32" s="492" t="s">
        <v>11113</v>
      </c>
      <c r="H32" s="254" t="s">
        <v>11096</v>
      </c>
      <c r="I32" s="488" t="s">
        <v>11114</v>
      </c>
      <c r="J32" s="205" t="s">
        <v>11097</v>
      </c>
      <c r="K32" s="492" t="str">
        <f>IFERROR(__xludf.DUMMYFUNCTION("GOOGLETRANSLATE(A32,""zh-tw"",""KO"")"),"성인 비디오테이프")</f>
        <v>성인 비디오테이프</v>
      </c>
      <c r="L32" s="254" t="str">
        <f>IFERROR(__xludf.DUMMYFUNCTION("GOOGLETRANSLATE(B32,""zh-tw"",""KO"")"),"심야 텔레비전 방송에 사용됨")</f>
        <v>심야 텔레비전 방송에 사용됨</v>
      </c>
      <c r="M32" s="493" t="s">
        <v>11115</v>
      </c>
      <c r="N32" s="194" t="s">
        <v>11099</v>
      </c>
      <c r="O32" s="492" t="s">
        <v>11116</v>
      </c>
      <c r="P32" s="205" t="s">
        <v>11101</v>
      </c>
      <c r="Q32" s="488" t="s">
        <v>11117</v>
      </c>
      <c r="R32" s="205" t="s">
        <v>11103</v>
      </c>
      <c r="S32" s="524" t="s">
        <v>11118</v>
      </c>
      <c r="T32" s="525" t="s">
        <v>11105</v>
      </c>
      <c r="U32" s="492" t="s">
        <v>11119</v>
      </c>
      <c r="V32" s="254" t="s">
        <v>11107</v>
      </c>
      <c r="W32" s="488" t="s">
        <v>11120</v>
      </c>
      <c r="X32" s="205" t="s">
        <v>11109</v>
      </c>
      <c r="Y32" s="9"/>
      <c r="Z32" s="9"/>
      <c r="AA32" s="9"/>
      <c r="AB32" s="9"/>
      <c r="AC32" s="9"/>
      <c r="AD32" s="9"/>
      <c r="AE32" s="9"/>
      <c r="AF32" s="9"/>
      <c r="AG32" s="9"/>
      <c r="AH32" s="9"/>
      <c r="AI32" s="9"/>
      <c r="AJ32" s="9"/>
      <c r="AK32" s="9"/>
      <c r="AL32" s="9"/>
      <c r="AM32" s="9"/>
      <c r="AN32" s="9"/>
      <c r="AO32" s="9"/>
      <c r="AP32" s="9"/>
      <c r="AQ32" s="9"/>
      <c r="AR32" s="9"/>
      <c r="AS32" s="9"/>
      <c r="AT32" s="9"/>
    </row>
    <row r="33" ht="42.75" customHeight="1">
      <c r="A33" s="488" t="s">
        <v>11121</v>
      </c>
      <c r="B33" s="205" t="s">
        <v>11122</v>
      </c>
      <c r="C33" s="488" t="s">
        <v>11123</v>
      </c>
      <c r="D33" s="205"/>
      <c r="E33" s="488" t="s">
        <v>4381</v>
      </c>
      <c r="F33" s="205"/>
      <c r="G33" s="488" t="s">
        <v>11121</v>
      </c>
      <c r="H33" s="205" t="s">
        <v>11124</v>
      </c>
      <c r="I33" s="488" t="s">
        <v>4381</v>
      </c>
      <c r="J33" s="205"/>
      <c r="K33" s="488"/>
      <c r="L33" s="205"/>
      <c r="M33" s="493" t="s">
        <v>11125</v>
      </c>
      <c r="N33" s="335"/>
      <c r="O33" s="493" t="s">
        <v>11126</v>
      </c>
      <c r="P33" s="205" t="s">
        <v>11127</v>
      </c>
      <c r="Q33" s="488" t="s">
        <v>4381</v>
      </c>
      <c r="R33" s="205"/>
      <c r="S33" s="520"/>
      <c r="T33" s="521"/>
      <c r="U33" s="488" t="s">
        <v>4381</v>
      </c>
      <c r="V33" s="205" t="s">
        <v>11128</v>
      </c>
      <c r="W33" s="488"/>
      <c r="X33" s="205"/>
      <c r="Y33" s="9"/>
      <c r="Z33" s="9"/>
      <c r="AA33" s="9"/>
      <c r="AB33" s="9"/>
      <c r="AC33" s="9"/>
      <c r="AD33" s="9"/>
      <c r="AE33" s="9"/>
      <c r="AF33" s="9"/>
      <c r="AG33" s="9"/>
      <c r="AH33" s="9"/>
      <c r="AI33" s="9"/>
      <c r="AJ33" s="9"/>
      <c r="AK33" s="9"/>
      <c r="AL33" s="9"/>
      <c r="AM33" s="9"/>
      <c r="AN33" s="9"/>
      <c r="AO33" s="9"/>
      <c r="AP33" s="9"/>
      <c r="AQ33" s="9"/>
      <c r="AR33" s="9"/>
      <c r="AS33" s="9"/>
      <c r="AT33" s="9"/>
    </row>
    <row r="34">
      <c r="A34" s="488" t="s">
        <v>11129</v>
      </c>
      <c r="B34" s="205" t="s">
        <v>11130</v>
      </c>
      <c r="C34" s="488" t="s">
        <v>11131</v>
      </c>
      <c r="D34" s="205" t="s">
        <v>11132</v>
      </c>
      <c r="E34" s="488" t="s">
        <v>11133</v>
      </c>
      <c r="F34" s="205" t="s">
        <v>11134</v>
      </c>
      <c r="G34" s="488" t="str">
        <f>IFERROR(__xludf.DUMMYFUNCTION("GOOGLETRANSLATE(A34,""zh-tw"",""zh"")"),"封存的时计")</f>
        <v>封存的时计</v>
      </c>
      <c r="H34" s="205" t="str">
        <f>IFERROR(__xludf.DUMMYFUNCTION("GOOGLETRANSLATE(B34,""zh-tw"",""zh"")"),"范围暂停")</f>
        <v>范围暂停</v>
      </c>
      <c r="I34" s="488" t="s">
        <v>11135</v>
      </c>
      <c r="J34" s="205" t="s">
        <v>11136</v>
      </c>
      <c r="K34" s="488" t="s">
        <v>11137</v>
      </c>
      <c r="L34" s="205" t="s">
        <v>11138</v>
      </c>
      <c r="M34" s="493" t="s">
        <v>11139</v>
      </c>
      <c r="N34" s="194" t="s">
        <v>11140</v>
      </c>
      <c r="O34" s="492" t="s">
        <v>11141</v>
      </c>
      <c r="P34" s="205" t="s">
        <v>11142</v>
      </c>
      <c r="Q34" s="488" t="s">
        <v>11143</v>
      </c>
      <c r="R34" s="205" t="s">
        <v>11144</v>
      </c>
      <c r="S34" s="520" t="s">
        <v>11145</v>
      </c>
      <c r="T34" s="521" t="s">
        <v>11146</v>
      </c>
      <c r="U34" s="492" t="s">
        <v>11147</v>
      </c>
      <c r="V34" s="254" t="s">
        <v>11148</v>
      </c>
      <c r="W34" s="488" t="s">
        <v>11149</v>
      </c>
      <c r="X34" s="205" t="s">
        <v>11150</v>
      </c>
      <c r="Y34" s="9"/>
      <c r="Z34" s="9"/>
      <c r="AA34" s="9"/>
      <c r="AB34" s="9"/>
      <c r="AC34" s="9"/>
      <c r="AD34" s="9"/>
      <c r="AE34" s="9"/>
      <c r="AF34" s="9"/>
      <c r="AG34" s="9"/>
      <c r="AH34" s="9"/>
      <c r="AI34" s="9"/>
      <c r="AJ34" s="9"/>
      <c r="AK34" s="9"/>
      <c r="AL34" s="9"/>
      <c r="AM34" s="9"/>
      <c r="AN34" s="9"/>
      <c r="AO34" s="9"/>
      <c r="AP34" s="9"/>
      <c r="AQ34" s="9"/>
      <c r="AR34" s="9"/>
      <c r="AS34" s="9"/>
      <c r="AT34" s="9"/>
    </row>
    <row r="35" ht="29.25" customHeight="1">
      <c r="A35" s="488" t="s">
        <v>11151</v>
      </c>
      <c r="B35" s="205" t="s">
        <v>11152</v>
      </c>
      <c r="C35" s="488" t="s">
        <v>11153</v>
      </c>
      <c r="D35" s="205" t="s">
        <v>11154</v>
      </c>
      <c r="E35" s="488" t="s">
        <v>11155</v>
      </c>
      <c r="F35" s="205" t="s">
        <v>11156</v>
      </c>
      <c r="G35" s="488" t="s">
        <v>11157</v>
      </c>
      <c r="H35" s="205" t="s">
        <v>11158</v>
      </c>
      <c r="I35" s="488" t="s">
        <v>11159</v>
      </c>
      <c r="J35" s="205" t="s">
        <v>11160</v>
      </c>
      <c r="K35" s="500"/>
      <c r="L35" s="181"/>
      <c r="M35" s="492" t="s">
        <v>11161</v>
      </c>
      <c r="N35" s="194" t="s">
        <v>11162</v>
      </c>
      <c r="O35" s="488" t="s">
        <v>11163</v>
      </c>
      <c r="P35" s="205" t="s">
        <v>11164</v>
      </c>
      <c r="Q35" s="488" t="s">
        <v>11165</v>
      </c>
      <c r="R35" s="205" t="s">
        <v>11166</v>
      </c>
      <c r="S35" s="522" t="s">
        <v>11167</v>
      </c>
      <c r="T35" s="268" t="s">
        <v>11168</v>
      </c>
      <c r="U35" s="488" t="s">
        <v>11169</v>
      </c>
      <c r="V35" s="205" t="s">
        <v>11170</v>
      </c>
      <c r="W35" s="492"/>
      <c r="X35" s="205" t="s">
        <v>11171</v>
      </c>
      <c r="Y35" s="9"/>
      <c r="Z35" s="9"/>
      <c r="AA35" s="9"/>
      <c r="AB35" s="9"/>
      <c r="AC35" s="9"/>
      <c r="AD35" s="9"/>
      <c r="AE35" s="9"/>
      <c r="AF35" s="9"/>
      <c r="AG35" s="9"/>
      <c r="AH35" s="9"/>
      <c r="AI35" s="9"/>
      <c r="AJ35" s="9"/>
      <c r="AK35" s="9"/>
      <c r="AL35" s="9"/>
      <c r="AM35" s="9"/>
      <c r="AN35" s="9"/>
      <c r="AO35" s="9"/>
      <c r="AP35" s="9"/>
      <c r="AQ35" s="9"/>
      <c r="AR35" s="9"/>
      <c r="AS35" s="9"/>
      <c r="AT35" s="9"/>
    </row>
    <row r="36">
      <c r="A36" s="488" t="s">
        <v>11172</v>
      </c>
      <c r="B36" s="205" t="s">
        <v>11173</v>
      </c>
      <c r="C36" s="488" t="s">
        <v>11174</v>
      </c>
      <c r="D36" s="205" t="s">
        <v>11175</v>
      </c>
      <c r="E36" s="488" t="s">
        <v>11176</v>
      </c>
      <c r="F36" s="205" t="s">
        <v>11177</v>
      </c>
      <c r="G36" s="488" t="s">
        <v>11178</v>
      </c>
      <c r="H36" s="205" t="s">
        <v>11179</v>
      </c>
      <c r="I36" s="488" t="s">
        <v>11180</v>
      </c>
      <c r="J36" s="205" t="s">
        <v>11181</v>
      </c>
      <c r="K36" s="500"/>
      <c r="L36" s="181"/>
      <c r="M36" s="492" t="s">
        <v>11182</v>
      </c>
      <c r="N36" s="254" t="s">
        <v>11183</v>
      </c>
      <c r="O36" s="488" t="s">
        <v>11184</v>
      </c>
      <c r="P36" s="205" t="s">
        <v>11185</v>
      </c>
      <c r="Q36" s="488" t="s">
        <v>11186</v>
      </c>
      <c r="R36" s="205" t="s">
        <v>11187</v>
      </c>
      <c r="S36" s="522" t="s">
        <v>11188</v>
      </c>
      <c r="T36" s="268" t="s">
        <v>11189</v>
      </c>
      <c r="U36" s="492" t="s">
        <v>11190</v>
      </c>
      <c r="V36" s="205" t="s">
        <v>11191</v>
      </c>
      <c r="W36" s="492"/>
      <c r="X36" s="254"/>
      <c r="Y36" s="9"/>
      <c r="Z36" s="9"/>
      <c r="AA36" s="9"/>
      <c r="AB36" s="9"/>
      <c r="AC36" s="9"/>
      <c r="AD36" s="9"/>
      <c r="AE36" s="9"/>
      <c r="AF36" s="9"/>
      <c r="AG36" s="9"/>
      <c r="AH36" s="9"/>
      <c r="AI36" s="9"/>
      <c r="AJ36" s="9"/>
      <c r="AK36" s="9"/>
      <c r="AL36" s="9"/>
      <c r="AM36" s="9"/>
      <c r="AN36" s="9"/>
      <c r="AO36" s="9"/>
      <c r="AP36" s="9"/>
      <c r="AQ36" s="9"/>
      <c r="AR36" s="9"/>
      <c r="AS36" s="9"/>
      <c r="AT36" s="9"/>
    </row>
    <row r="37">
      <c r="A37" s="200" t="s">
        <v>9068</v>
      </c>
      <c r="C37" s="200" t="s">
        <v>9069</v>
      </c>
      <c r="E37" s="200" t="s">
        <v>9070</v>
      </c>
      <c r="G37" s="200" t="s">
        <v>9071</v>
      </c>
      <c r="I37" s="200"/>
      <c r="K37" s="200"/>
      <c r="M37" s="193" t="s">
        <v>9072</v>
      </c>
      <c r="O37" s="200" t="s">
        <v>9073</v>
      </c>
      <c r="Q37" s="200"/>
      <c r="S37" s="273"/>
      <c r="U37" s="200" t="s">
        <v>9075</v>
      </c>
      <c r="W37" s="200"/>
      <c r="Y37" s="9"/>
      <c r="Z37" s="9"/>
      <c r="AA37" s="9"/>
      <c r="AB37" s="9"/>
      <c r="AC37" s="9"/>
      <c r="AD37" s="9"/>
      <c r="AE37" s="9"/>
      <c r="AF37" s="9"/>
      <c r="AG37" s="9"/>
      <c r="AH37" s="9"/>
      <c r="AI37" s="9"/>
      <c r="AJ37" s="9"/>
      <c r="AK37" s="9"/>
      <c r="AL37" s="9"/>
      <c r="AM37" s="9"/>
      <c r="AN37" s="9"/>
      <c r="AO37" s="9"/>
      <c r="AP37" s="9"/>
      <c r="AQ37" s="9"/>
      <c r="AR37" s="9"/>
      <c r="AS37" s="9"/>
      <c r="AT37" s="9"/>
    </row>
    <row r="38" ht="35.25" customHeight="1">
      <c r="A38" s="488" t="s">
        <v>11192</v>
      </c>
      <c r="B38" s="205" t="s">
        <v>11193</v>
      </c>
      <c r="C38" s="488" t="s">
        <v>11194</v>
      </c>
      <c r="D38" s="205" t="s">
        <v>11195</v>
      </c>
      <c r="E38" s="488" t="s">
        <v>11196</v>
      </c>
      <c r="F38" s="205" t="s">
        <v>11197</v>
      </c>
      <c r="G38" s="488" t="str">
        <f>IFERROR(__xludf.DUMMYFUNCTION("GOOGLETRANSLATE(A38,""zh-tw"",""zh"")"),"塔罗牌-愚者")</f>
        <v>塔罗牌-愚者</v>
      </c>
      <c r="H38" s="205" t="str">
        <f>IFERROR(__xludf.DUMMYFUNCTION("GOOGLETRANSLATE(B38,""zh-tw"",""zh"")"),"传送至随机地图
")</f>
        <v>传送至随机地图
</v>
      </c>
      <c r="I38" s="488" t="s">
        <v>11198</v>
      </c>
      <c r="J38" s="205" t="s">
        <v>11199</v>
      </c>
      <c r="K38" s="488"/>
      <c r="L38" s="205"/>
      <c r="M38" s="493" t="s">
        <v>11200</v>
      </c>
      <c r="N38" s="194" t="s">
        <v>11201</v>
      </c>
      <c r="O38" s="488" t="s">
        <v>11202</v>
      </c>
      <c r="P38" s="205" t="s">
        <v>11203</v>
      </c>
      <c r="Q38" s="488" t="s">
        <v>11204</v>
      </c>
      <c r="R38" s="205" t="s">
        <v>11205</v>
      </c>
      <c r="S38" s="522" t="s">
        <v>11206</v>
      </c>
      <c r="T38" s="268" t="s">
        <v>11207</v>
      </c>
      <c r="U38" s="488" t="s">
        <v>11208</v>
      </c>
      <c r="V38" s="205" t="s">
        <v>11209</v>
      </c>
      <c r="W38" s="488"/>
      <c r="X38" s="205"/>
      <c r="Y38" s="9"/>
      <c r="Z38" s="9"/>
      <c r="AA38" s="9"/>
      <c r="AB38" s="9"/>
      <c r="AC38" s="9"/>
      <c r="AD38" s="9"/>
      <c r="AE38" s="9"/>
      <c r="AF38" s="9"/>
      <c r="AG38" s="9"/>
      <c r="AH38" s="9"/>
      <c r="AI38" s="9"/>
      <c r="AJ38" s="9"/>
      <c r="AK38" s="9"/>
      <c r="AL38" s="9"/>
      <c r="AM38" s="9"/>
      <c r="AN38" s="9"/>
      <c r="AO38" s="9"/>
      <c r="AP38" s="9"/>
      <c r="AQ38" s="9"/>
      <c r="AR38" s="9"/>
      <c r="AS38" s="9"/>
      <c r="AT38" s="9"/>
    </row>
    <row r="39">
      <c r="A39" s="488" t="s">
        <v>11210</v>
      </c>
      <c r="B39" s="205" t="s">
        <v>11211</v>
      </c>
      <c r="C39" s="488" t="s">
        <v>11212</v>
      </c>
      <c r="D39" s="205" t="s">
        <v>11213</v>
      </c>
      <c r="E39" s="488" t="s">
        <v>11214</v>
      </c>
      <c r="F39" s="205" t="s">
        <v>11215</v>
      </c>
      <c r="G39" s="488" t="str">
        <f>IFERROR(__xludf.DUMMYFUNCTION("GOOGLETRANSLATE(A39,""zh-tw"",""zh"")"),"塔罗牌-女祭司")</f>
        <v>塔罗牌-女祭司</v>
      </c>
      <c r="H39" s="205" t="str">
        <f>IFERROR(__xludf.DUMMYFUNCTION("GOOGLETRANSLATE(B39,""zh-tw"",""zh"")"),"召唤教堂")</f>
        <v>召唤教堂</v>
      </c>
      <c r="I39" s="492" t="str">
        <f>IFERROR(__xludf.DUMMYFUNCTION("GOOGLETRANSLATE(A39,""zh-tw"",""es-MX"")"),"Tarot - La Suma Sacerdotisa")</f>
        <v>Tarot - La Suma Sacerdotisa</v>
      </c>
      <c r="J39" s="205" t="s">
        <v>11216</v>
      </c>
      <c r="K39" s="488" t="s">
        <v>11217</v>
      </c>
      <c r="L39" s="205" t="s">
        <v>11218</v>
      </c>
      <c r="M39" s="493" t="s">
        <v>11219</v>
      </c>
      <c r="N39" s="194" t="s">
        <v>11220</v>
      </c>
      <c r="O39" s="492" t="s">
        <v>11221</v>
      </c>
      <c r="P39" s="205" t="s">
        <v>11222</v>
      </c>
      <c r="Q39" s="488" t="s">
        <v>11223</v>
      </c>
      <c r="R39" s="205" t="s">
        <v>11224</v>
      </c>
      <c r="S39" s="522" t="s">
        <v>11225</v>
      </c>
      <c r="T39" s="521" t="s">
        <v>11226</v>
      </c>
      <c r="U39" s="492" t="s">
        <v>11227</v>
      </c>
      <c r="V39" s="254" t="s">
        <v>11228</v>
      </c>
      <c r="W39" s="488" t="s">
        <v>11229</v>
      </c>
      <c r="X39" s="205" t="s">
        <v>11230</v>
      </c>
      <c r="Y39" s="9"/>
      <c r="Z39" s="9"/>
      <c r="AA39" s="9"/>
      <c r="AB39" s="9"/>
      <c r="AC39" s="9"/>
      <c r="AD39" s="9"/>
      <c r="AE39" s="9"/>
      <c r="AF39" s="9"/>
      <c r="AG39" s="9"/>
      <c r="AH39" s="9"/>
      <c r="AI39" s="9"/>
      <c r="AJ39" s="9"/>
      <c r="AK39" s="9"/>
      <c r="AL39" s="9"/>
      <c r="AM39" s="9"/>
      <c r="AN39" s="9"/>
      <c r="AO39" s="9"/>
      <c r="AP39" s="9"/>
      <c r="AQ39" s="9"/>
      <c r="AR39" s="9"/>
      <c r="AS39" s="9"/>
      <c r="AT39" s="9"/>
    </row>
    <row r="40">
      <c r="A40" s="488" t="s">
        <v>11231</v>
      </c>
      <c r="B40" s="205" t="s">
        <v>11232</v>
      </c>
      <c r="C40" s="488" t="s">
        <v>11233</v>
      </c>
      <c r="D40" s="205" t="s">
        <v>11234</v>
      </c>
      <c r="E40" s="488" t="s">
        <v>11235</v>
      </c>
      <c r="F40" s="205" t="s">
        <v>11236</v>
      </c>
      <c r="G40" s="488" t="str">
        <f>IFERROR(__xludf.DUMMYFUNCTION("GOOGLETRANSLATE(A40,""zh-tw"",""zh"")"),"塔罗牌-皇帝")</f>
        <v>塔罗牌-皇帝</v>
      </c>
      <c r="H40" s="205" t="str">
        <f>IFERROR(__xludf.DUMMYFUNCTION("GOOGLETRANSLATE(B40,""zh-tw"",""zh"")"),"巨龙咆啸")</f>
        <v>巨龙咆啸</v>
      </c>
      <c r="I40" s="492" t="str">
        <f>IFERROR(__xludf.DUMMYFUNCTION("GOOGLETRANSLATE(A40,""zh-tw"",""es-MX"")"),"Tarot - El Emperador")</f>
        <v>Tarot - El Emperador</v>
      </c>
      <c r="J40" s="205" t="s">
        <v>11237</v>
      </c>
      <c r="K40" s="492" t="str">
        <f>IFERROR(__xludf.DUMMYFUNCTION("GOOGLETRANSLATE(A40,""zh-tw"",""KO"")"),"타로 - 황제 카드")</f>
        <v>타로 - 황제 카드</v>
      </c>
      <c r="L40" s="205" t="s">
        <v>11238</v>
      </c>
      <c r="M40" s="493" t="s">
        <v>11239</v>
      </c>
      <c r="N40" s="194" t="s">
        <v>11240</v>
      </c>
      <c r="O40" s="492" t="s">
        <v>11241</v>
      </c>
      <c r="P40" s="205" t="s">
        <v>11242</v>
      </c>
      <c r="Q40" s="488" t="s">
        <v>11243</v>
      </c>
      <c r="R40" s="205" t="s">
        <v>11244</v>
      </c>
      <c r="S40" s="522" t="s">
        <v>11245</v>
      </c>
      <c r="T40" s="521" t="s">
        <v>11246</v>
      </c>
      <c r="U40" s="492" t="s">
        <v>11247</v>
      </c>
      <c r="V40" s="254" t="s">
        <v>11248</v>
      </c>
      <c r="W40" s="488" t="s">
        <v>11249</v>
      </c>
      <c r="X40" s="205" t="s">
        <v>11250</v>
      </c>
      <c r="Y40" s="9"/>
      <c r="Z40" s="9"/>
      <c r="AA40" s="9"/>
      <c r="AB40" s="9"/>
      <c r="AC40" s="9"/>
      <c r="AD40" s="9"/>
      <c r="AE40" s="9"/>
      <c r="AF40" s="9"/>
      <c r="AG40" s="9"/>
      <c r="AH40" s="9"/>
      <c r="AI40" s="9"/>
      <c r="AJ40" s="9"/>
      <c r="AK40" s="9"/>
      <c r="AL40" s="9"/>
      <c r="AM40" s="9"/>
      <c r="AN40" s="9"/>
      <c r="AO40" s="9"/>
      <c r="AP40" s="9"/>
      <c r="AQ40" s="9"/>
      <c r="AR40" s="9"/>
      <c r="AS40" s="9"/>
      <c r="AT40" s="9"/>
    </row>
    <row r="41">
      <c r="A41" s="488" t="s">
        <v>11251</v>
      </c>
      <c r="B41" s="205" t="s">
        <v>11252</v>
      </c>
      <c r="C41" s="488" t="s">
        <v>11253</v>
      </c>
      <c r="D41" s="205" t="s">
        <v>11254</v>
      </c>
      <c r="E41" s="488" t="s">
        <v>11255</v>
      </c>
      <c r="F41" s="205" t="s">
        <v>11256</v>
      </c>
      <c r="G41" s="488" t="str">
        <f>IFERROR(__xludf.DUMMYFUNCTION("GOOGLETRANSLATE(A41,""zh-tw"",""zh"")"),"塔罗牌-战车")</f>
        <v>塔罗牌-战车</v>
      </c>
      <c r="H41" s="205" t="str">
        <f>IFERROR(__xludf.DUMMYFUNCTION("GOOGLETRANSLATE(B41,""zh-tw"",""zh"")"),"召唤猫娘商店车")</f>
        <v>召唤猫娘商店车</v>
      </c>
      <c r="I41" s="492" t="str">
        <f>IFERROR(__xludf.DUMMYFUNCTION("GOOGLETRANSLATE(A41,""zh-tw"",""es-MX"")"),"Tarot - El Carro")</f>
        <v>Tarot - El Carro</v>
      </c>
      <c r="J41" s="205" t="s">
        <v>11257</v>
      </c>
      <c r="K41" s="488" t="s">
        <v>11258</v>
      </c>
      <c r="L41" s="254" t="str">
        <f>IFERROR(__xludf.DUMMYFUNCTION("GOOGLETRANSLATE(B41,""zh-tw"",""KO"")"),"고양이 소녀 상점 카트를 소환하세요")</f>
        <v>고양이 소녀 상점 카트를 소환하세요</v>
      </c>
      <c r="M41" s="493" t="s">
        <v>11259</v>
      </c>
      <c r="N41" s="194" t="s">
        <v>11260</v>
      </c>
      <c r="O41" s="492" t="s">
        <v>11261</v>
      </c>
      <c r="P41" s="205" t="s">
        <v>11262</v>
      </c>
      <c r="Q41" s="488" t="s">
        <v>11263</v>
      </c>
      <c r="R41" s="205" t="s">
        <v>11264</v>
      </c>
      <c r="S41" s="522" t="s">
        <v>11265</v>
      </c>
      <c r="T41" s="521" t="s">
        <v>11266</v>
      </c>
      <c r="U41" s="492" t="s">
        <v>11267</v>
      </c>
      <c r="V41" s="254" t="s">
        <v>11268</v>
      </c>
      <c r="W41" s="488" t="s">
        <v>11269</v>
      </c>
      <c r="X41" s="205" t="s">
        <v>11270</v>
      </c>
      <c r="Y41" s="9"/>
      <c r="Z41" s="9"/>
      <c r="AA41" s="9"/>
      <c r="AB41" s="9"/>
      <c r="AC41" s="9"/>
      <c r="AD41" s="9"/>
      <c r="AE41" s="9"/>
      <c r="AF41" s="9"/>
      <c r="AG41" s="9"/>
      <c r="AH41" s="9"/>
      <c r="AI41" s="9"/>
      <c r="AJ41" s="9"/>
      <c r="AK41" s="9"/>
      <c r="AL41" s="9"/>
      <c r="AM41" s="9"/>
      <c r="AN41" s="9"/>
      <c r="AO41" s="9"/>
      <c r="AP41" s="9"/>
      <c r="AQ41" s="9"/>
      <c r="AR41" s="9"/>
      <c r="AS41" s="9"/>
      <c r="AT41" s="9"/>
    </row>
    <row r="42">
      <c r="A42" s="488" t="s">
        <v>11271</v>
      </c>
      <c r="B42" s="205" t="s">
        <v>11272</v>
      </c>
      <c r="C42" s="488" t="s">
        <v>11273</v>
      </c>
      <c r="D42" s="205" t="s">
        <v>11274</v>
      </c>
      <c r="E42" s="488" t="s">
        <v>11275</v>
      </c>
      <c r="F42" s="205" t="s">
        <v>11276</v>
      </c>
      <c r="G42" s="488" t="str">
        <f>IFERROR(__xludf.DUMMYFUNCTION("GOOGLETRANSLATE(A42,""zh-tw"",""zh"")"),"塔罗牌-力")</f>
        <v>塔罗牌-力</v>
      </c>
      <c r="H42" s="205" t="str">
        <f>IFERROR(__xludf.DUMMYFUNCTION("GOOGLETRANSLATE(B42,""zh-tw"",""zh"")"),"武器巨大化增强")</f>
        <v>武器巨大化增强</v>
      </c>
      <c r="I42" s="492" t="str">
        <f>IFERROR(__xludf.DUMMYFUNCTION("GOOGLETRANSLATE(A42,""zh-tw"",""es-MX"")"),"Carta del Tarot - Fuerza")</f>
        <v>Carta del Tarot - Fuerza</v>
      </c>
      <c r="J42" s="205" t="s">
        <v>11277</v>
      </c>
      <c r="K42" s="492" t="str">
        <f>IFERROR(__xludf.DUMMYFUNCTION("GOOGLETRANSLATE(A42,""zh-tw"",""KO"")"),"타로 카드 - 힘")</f>
        <v>타로 카드 - 힘</v>
      </c>
      <c r="L42" s="205" t="s">
        <v>11278</v>
      </c>
      <c r="M42" s="493" t="s">
        <v>11279</v>
      </c>
      <c r="N42" s="194" t="s">
        <v>11280</v>
      </c>
      <c r="O42" s="492" t="s">
        <v>11279</v>
      </c>
      <c r="P42" s="205" t="s">
        <v>11281</v>
      </c>
      <c r="Q42" s="488" t="s">
        <v>11282</v>
      </c>
      <c r="R42" s="205" t="s">
        <v>11283</v>
      </c>
      <c r="S42" s="522" t="s">
        <v>11284</v>
      </c>
      <c r="T42" s="521" t="s">
        <v>11285</v>
      </c>
      <c r="U42" s="492" t="s">
        <v>11286</v>
      </c>
      <c r="V42" s="254" t="s">
        <v>11287</v>
      </c>
      <c r="W42" s="488" t="s">
        <v>11288</v>
      </c>
      <c r="X42" s="205" t="s">
        <v>11289</v>
      </c>
      <c r="Y42" s="9"/>
      <c r="Z42" s="9"/>
      <c r="AA42" s="9"/>
      <c r="AB42" s="9"/>
      <c r="AC42" s="9"/>
      <c r="AD42" s="9"/>
      <c r="AE42" s="9"/>
      <c r="AF42" s="9"/>
      <c r="AG42" s="9"/>
      <c r="AH42" s="9"/>
      <c r="AI42" s="9"/>
      <c r="AJ42" s="9"/>
      <c r="AK42" s="9"/>
      <c r="AL42" s="9"/>
      <c r="AM42" s="9"/>
      <c r="AN42" s="9"/>
      <c r="AO42" s="9"/>
      <c r="AP42" s="9"/>
      <c r="AQ42" s="9"/>
      <c r="AR42" s="9"/>
      <c r="AS42" s="9"/>
      <c r="AT42" s="9"/>
    </row>
    <row r="43">
      <c r="A43" s="488" t="s">
        <v>11290</v>
      </c>
      <c r="B43" s="205" t="s">
        <v>11291</v>
      </c>
      <c r="C43" s="488" t="s">
        <v>11292</v>
      </c>
      <c r="D43" s="205" t="s">
        <v>11293</v>
      </c>
      <c r="E43" s="488" t="s">
        <v>11294</v>
      </c>
      <c r="F43" s="205" t="s">
        <v>11295</v>
      </c>
      <c r="G43" s="488" t="str">
        <f>IFERROR(__xludf.DUMMYFUNCTION("GOOGLETRANSLATE(A43,""zh-tw"",""zh"")"),"塔罗牌-命运之轮")</f>
        <v>塔罗牌-命运之轮</v>
      </c>
      <c r="H43" s="205" t="str">
        <f>IFERROR(__xludf.DUMMYFUNCTION("GOOGLETRANSLATE(B43,""zh-tw"",""zh"")"),"随机BUFF效果")</f>
        <v>随机BUFF效果</v>
      </c>
      <c r="I43" s="492" t="str">
        <f>IFERROR(__xludf.DUMMYFUNCTION("GOOGLETRANSLATE(A43,""zh-tw"",""es-MX"")"),"Tarot - La Rueda de la Fortuna")</f>
        <v>Tarot - La Rueda de la Fortuna</v>
      </c>
      <c r="J43" s="205" t="s">
        <v>11296</v>
      </c>
      <c r="K43" s="488" t="s">
        <v>11297</v>
      </c>
      <c r="L43" s="205" t="s">
        <v>11298</v>
      </c>
      <c r="M43" s="493" t="s">
        <v>11299</v>
      </c>
      <c r="N43" s="194" t="s">
        <v>11300</v>
      </c>
      <c r="O43" s="492" t="s">
        <v>11299</v>
      </c>
      <c r="P43" s="205" t="s">
        <v>11301</v>
      </c>
      <c r="Q43" s="488" t="s">
        <v>11302</v>
      </c>
      <c r="R43" s="205" t="s">
        <v>11303</v>
      </c>
      <c r="S43" s="522" t="s">
        <v>11304</v>
      </c>
      <c r="T43" s="521" t="s">
        <v>11305</v>
      </c>
      <c r="U43" s="492" t="s">
        <v>11306</v>
      </c>
      <c r="V43" s="254" t="s">
        <v>11307</v>
      </c>
      <c r="W43" s="488" t="s">
        <v>11308</v>
      </c>
      <c r="X43" s="205" t="s">
        <v>11309</v>
      </c>
      <c r="Y43" s="9"/>
      <c r="Z43" s="9"/>
      <c r="AA43" s="9"/>
      <c r="AB43" s="9"/>
      <c r="AC43" s="9"/>
      <c r="AD43" s="9"/>
      <c r="AE43" s="9"/>
      <c r="AF43" s="9"/>
      <c r="AG43" s="9"/>
      <c r="AH43" s="9"/>
      <c r="AI43" s="9"/>
      <c r="AJ43" s="9"/>
      <c r="AK43" s="9"/>
      <c r="AL43" s="9"/>
      <c r="AM43" s="9"/>
      <c r="AN43" s="9"/>
      <c r="AO43" s="9"/>
      <c r="AP43" s="9"/>
      <c r="AQ43" s="9"/>
      <c r="AR43" s="9"/>
      <c r="AS43" s="9"/>
      <c r="AT43" s="9"/>
    </row>
    <row r="44">
      <c r="A44" s="488" t="s">
        <v>11310</v>
      </c>
      <c r="B44" s="205" t="s">
        <v>11311</v>
      </c>
      <c r="C44" s="488" t="s">
        <v>11312</v>
      </c>
      <c r="D44" s="205" t="s">
        <v>11313</v>
      </c>
      <c r="E44" s="488" t="s">
        <v>11314</v>
      </c>
      <c r="F44" s="205" t="s">
        <v>11315</v>
      </c>
      <c r="G44" s="488" t="str">
        <f>IFERROR(__xludf.DUMMYFUNCTION("GOOGLETRANSLATE(A44,""zh-tw"",""zh"")"),"塔罗牌-正义")</f>
        <v>塔罗牌-正义</v>
      </c>
      <c r="H44" s="205" t="str">
        <f>IFERROR(__xludf.DUMMYFUNCTION("GOOGLETRANSLATE(B44,""zh-tw"",""zh"")"),"消除状态")</f>
        <v>消除状态</v>
      </c>
      <c r="I44" s="492" t="str">
        <f>IFERROR(__xludf.DUMMYFUNCTION("GOOGLETRANSLATE(A44,""zh-tw"",""es-MX"")"),"Tarot - Justicia")</f>
        <v>Tarot - Justicia</v>
      </c>
      <c r="J44" s="205" t="s">
        <v>11316</v>
      </c>
      <c r="K44" s="488" t="s">
        <v>11317</v>
      </c>
      <c r="L44" s="260" t="s">
        <v>11318</v>
      </c>
      <c r="M44" s="493" t="s">
        <v>11319</v>
      </c>
      <c r="N44" s="194" t="s">
        <v>11320</v>
      </c>
      <c r="O44" s="492" t="s">
        <v>11321</v>
      </c>
      <c r="P44" s="205" t="s">
        <v>11322</v>
      </c>
      <c r="Q44" s="488" t="s">
        <v>11323</v>
      </c>
      <c r="R44" s="205" t="s">
        <v>11324</v>
      </c>
      <c r="S44" s="522" t="s">
        <v>11325</v>
      </c>
      <c r="T44" s="268" t="s">
        <v>11326</v>
      </c>
      <c r="U44" s="492" t="s">
        <v>11327</v>
      </c>
      <c r="V44" s="254" t="s">
        <v>11328</v>
      </c>
      <c r="W44" s="488" t="s">
        <v>11329</v>
      </c>
      <c r="X44" s="205" t="s">
        <v>11330</v>
      </c>
      <c r="Y44" s="9"/>
      <c r="Z44" s="9"/>
      <c r="AA44" s="9"/>
      <c r="AB44" s="9"/>
      <c r="AC44" s="9"/>
      <c r="AD44" s="9"/>
      <c r="AE44" s="9"/>
      <c r="AF44" s="9"/>
      <c r="AG44" s="9"/>
      <c r="AH44" s="9"/>
      <c r="AI44" s="9"/>
      <c r="AJ44" s="9"/>
      <c r="AK44" s="9"/>
      <c r="AL44" s="9"/>
      <c r="AM44" s="9"/>
      <c r="AN44" s="9"/>
      <c r="AO44" s="9"/>
      <c r="AP44" s="9"/>
      <c r="AQ44" s="9"/>
      <c r="AR44" s="9"/>
      <c r="AS44" s="9"/>
      <c r="AT44" s="9"/>
    </row>
    <row r="45">
      <c r="A45" s="493" t="s">
        <v>11331</v>
      </c>
      <c r="B45" s="205" t="s">
        <v>11332</v>
      </c>
      <c r="C45" s="493" t="s">
        <v>11333</v>
      </c>
      <c r="D45" s="205" t="s">
        <v>11334</v>
      </c>
      <c r="E45" s="493" t="s">
        <v>11335</v>
      </c>
      <c r="F45" s="194" t="s">
        <v>11336</v>
      </c>
      <c r="G45" s="488" t="str">
        <f>IFERROR(__xludf.DUMMYFUNCTION("GOOGLETRANSLATE(A45,""zh-tw"",""zh"")"),"塔罗牌-死神")</f>
        <v>塔罗牌-死神</v>
      </c>
      <c r="H45" s="205" t="str">
        <f>IFERROR(__xludf.DUMMYFUNCTION("GOOGLETRANSLATE(B45,""zh-tw"",""zh"")"),"死之恶魔现身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45" s="492" t="str">
        <f>IFERROR(__xludf.DUMMYFUNCTION("GOOGLETRANSLATE(A45,""zh-tw"",""es-MX"")"),"Carta del Tarot - Muerte")</f>
        <v>Carta del Tarot - Muerte</v>
      </c>
      <c r="J45" s="205" t="s">
        <v>11337</v>
      </c>
      <c r="K45" s="492" t="str">
        <f>IFERROR(__xludf.DUMMYFUNCTION("GOOGLETRANSLATE(A45,""zh-tw"",""KO"")"),"타로 카드 - 죽음")</f>
        <v>타로 카드 - 죽음</v>
      </c>
      <c r="L45" s="254" t="str">
        <f>IFERROR(__xludf.DUMMYFUNCTION("GOOGLETRANSLATE(B45,""zh-tw"",""KO"")"),"죽음의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45" s="493" t="s">
        <v>11338</v>
      </c>
      <c r="N45" s="194" t="s">
        <v>11339</v>
      </c>
      <c r="O45" s="492" t="s">
        <v>11338</v>
      </c>
      <c r="P45" s="254" t="s">
        <v>11340</v>
      </c>
      <c r="Q45" s="488" t="s">
        <v>11341</v>
      </c>
      <c r="R45" s="205" t="s">
        <v>11342</v>
      </c>
      <c r="S45" s="522" t="s">
        <v>11343</v>
      </c>
      <c r="T45" s="521" t="s">
        <v>11344</v>
      </c>
      <c r="U45" s="492" t="s">
        <v>11345</v>
      </c>
      <c r="V45" s="254" t="s">
        <v>11346</v>
      </c>
      <c r="W45" s="488" t="s">
        <v>11347</v>
      </c>
      <c r="X45" s="205" t="s">
        <v>11348</v>
      </c>
      <c r="Y45" s="9"/>
      <c r="Z45" s="9"/>
      <c r="AA45" s="9"/>
      <c r="AB45" s="9"/>
      <c r="AC45" s="9"/>
      <c r="AD45" s="9"/>
      <c r="AE45" s="9"/>
      <c r="AF45" s="9"/>
      <c r="AG45" s="9"/>
      <c r="AH45" s="9"/>
      <c r="AI45" s="9"/>
      <c r="AJ45" s="9"/>
      <c r="AK45" s="9"/>
      <c r="AL45" s="9"/>
      <c r="AM45" s="9"/>
      <c r="AN45" s="9"/>
      <c r="AO45" s="9"/>
      <c r="AP45" s="9"/>
      <c r="AQ45" s="9"/>
      <c r="AR45" s="9"/>
      <c r="AS45" s="9"/>
      <c r="AT45" s="9"/>
    </row>
    <row r="46">
      <c r="A46" s="488" t="s">
        <v>11349</v>
      </c>
      <c r="B46" s="205" t="s">
        <v>11350</v>
      </c>
      <c r="C46" s="488" t="s">
        <v>11351</v>
      </c>
      <c r="D46" s="205" t="s">
        <v>11352</v>
      </c>
      <c r="E46" s="488" t="s">
        <v>11353</v>
      </c>
      <c r="F46" s="205" t="s">
        <v>11354</v>
      </c>
      <c r="G46" s="488" t="str">
        <f>IFERROR(__xludf.DUMMYFUNCTION("GOOGLETRANSLATE(A46,""zh-tw"",""zh"")"),"塔罗牌-节制")</f>
        <v>塔罗牌-节制</v>
      </c>
      <c r="H46" s="205" t="str">
        <f>IFERROR(__xludf.DUMMYFUNCTION("GOOGLETRANSLATE(B46,""zh-tw"",""zh"")"),"召唤扭蛋机")</f>
        <v>召唤扭蛋机</v>
      </c>
      <c r="I46" s="492" t="str">
        <f>IFERROR(__xludf.DUMMYFUNCTION("GOOGLETRANSLATE(A46,""zh-tw"",""es-MX"")"),"Tarot - Templanza")</f>
        <v>Tarot - Templanza</v>
      </c>
      <c r="J46" s="205" t="s">
        <v>11355</v>
      </c>
      <c r="K46" s="488" t="s">
        <v>11356</v>
      </c>
      <c r="L46" s="254" t="str">
        <f>IFERROR(__xludf.DUMMYFUNCTION("GOOGLETRANSLATE(B46,""zh-tw"",""KO"")"),"가샤폰 소환기")</f>
        <v>가샤폰 소환기</v>
      </c>
      <c r="M46" s="493" t="s">
        <v>11357</v>
      </c>
      <c r="N46" s="194" t="s">
        <v>11358</v>
      </c>
      <c r="O46" s="492" t="s">
        <v>11359</v>
      </c>
      <c r="P46" s="205" t="s">
        <v>11360</v>
      </c>
      <c r="Q46" s="488" t="s">
        <v>11361</v>
      </c>
      <c r="R46" s="205" t="s">
        <v>11362</v>
      </c>
      <c r="S46" s="522" t="s">
        <v>11363</v>
      </c>
      <c r="T46" s="521" t="s">
        <v>11364</v>
      </c>
      <c r="U46" s="492" t="s">
        <v>11365</v>
      </c>
      <c r="V46" s="254" t="s">
        <v>11366</v>
      </c>
      <c r="W46" s="488" t="s">
        <v>11367</v>
      </c>
      <c r="X46" s="205" t="s">
        <v>11368</v>
      </c>
      <c r="Y46" s="9"/>
      <c r="Z46" s="9"/>
      <c r="AA46" s="9"/>
      <c r="AB46" s="9"/>
      <c r="AC46" s="9"/>
      <c r="AD46" s="9"/>
      <c r="AE46" s="9"/>
      <c r="AF46" s="9"/>
      <c r="AG46" s="9"/>
      <c r="AH46" s="9"/>
      <c r="AI46" s="9"/>
      <c r="AJ46" s="9"/>
      <c r="AK46" s="9"/>
      <c r="AL46" s="9"/>
      <c r="AM46" s="9"/>
      <c r="AN46" s="9"/>
      <c r="AO46" s="9"/>
      <c r="AP46" s="9"/>
      <c r="AQ46" s="9"/>
      <c r="AR46" s="9"/>
      <c r="AS46" s="9"/>
      <c r="AT46" s="9"/>
    </row>
    <row r="47">
      <c r="A47" s="492" t="s">
        <v>11369</v>
      </c>
      <c r="B47" s="254" t="s">
        <v>11370</v>
      </c>
      <c r="C47" s="492" t="s">
        <v>11371</v>
      </c>
      <c r="D47" s="254" t="s">
        <v>11372</v>
      </c>
      <c r="E47" s="492" t="s">
        <v>11373</v>
      </c>
      <c r="F47" s="254" t="s">
        <v>11374</v>
      </c>
      <c r="G47" s="492" t="s">
        <v>11375</v>
      </c>
      <c r="H47" s="254" t="s">
        <v>11376</v>
      </c>
      <c r="I47" s="492" t="str">
        <f>IFERROR(__xludf.DUMMYFUNCTION("GOOGLETRANSLATE(A47,""zh-tw"",""es-MX"")"),"Tarot - La Torre")</f>
        <v>Tarot - La Torre</v>
      </c>
      <c r="J47" s="164" t="s">
        <v>11377</v>
      </c>
      <c r="K47" s="492" t="str">
        <f>IFERROR(__xludf.DUMMYFUNCTION("GOOGLETRANSLATE(A47,""zh-tw"",""KO"")"),"타로 - 탑 카드")</f>
        <v>타로 - 탑 카드</v>
      </c>
      <c r="L47" s="254" t="str">
        <f>IFERROR(__xludf.DUMMYFUNCTION("GOOGLETRANSLATE(B47,""zh-tw"",""KO"")"),"심연에서 봉인의 기둥을 소환하는 데 사용합니다. 여러 개의 봉인의 기둥을 동시에 사용할 수 없습니다.")</f>
        <v>심연에서 봉인의 기둥을 소환하는 데 사용합니다. 여러 개의 봉인의 기둥을 동시에 사용할 수 없습니다.</v>
      </c>
      <c r="M47" s="492" t="s">
        <v>11378</v>
      </c>
      <c r="N47" s="254" t="s">
        <v>11379</v>
      </c>
      <c r="O47" s="492" t="s">
        <v>11380</v>
      </c>
      <c r="P47" s="254" t="s">
        <v>11381</v>
      </c>
      <c r="Q47" s="492" t="s">
        <v>11382</v>
      </c>
      <c r="R47" s="254" t="s">
        <v>11383</v>
      </c>
      <c r="S47" s="522" t="s">
        <v>11384</v>
      </c>
      <c r="T47" s="268" t="s">
        <v>11385</v>
      </c>
      <c r="U47" s="492" t="s">
        <v>11386</v>
      </c>
      <c r="V47" s="254" t="s">
        <v>11387</v>
      </c>
      <c r="W47" s="492" t="s">
        <v>11388</v>
      </c>
      <c r="X47" s="254" t="s">
        <v>11389</v>
      </c>
      <c r="Y47" s="9"/>
      <c r="Z47" s="9"/>
      <c r="AA47" s="9"/>
      <c r="AB47" s="9"/>
      <c r="AC47" s="9"/>
      <c r="AD47" s="9"/>
      <c r="AE47" s="9"/>
      <c r="AF47" s="9"/>
      <c r="AG47" s="9"/>
      <c r="AH47" s="9"/>
      <c r="AI47" s="9"/>
      <c r="AJ47" s="9"/>
      <c r="AK47" s="9"/>
      <c r="AL47" s="9"/>
      <c r="AM47" s="9"/>
      <c r="AN47" s="9"/>
      <c r="AO47" s="9"/>
      <c r="AP47" s="9"/>
      <c r="AQ47" s="9"/>
      <c r="AR47" s="9"/>
      <c r="AS47" s="9"/>
      <c r="AT47" s="9"/>
    </row>
    <row r="48">
      <c r="A48" s="488" t="s">
        <v>11390</v>
      </c>
      <c r="B48" s="205" t="s">
        <v>11391</v>
      </c>
      <c r="C48" s="488" t="str">
        <f>IFERROR(__xludf.DUMMYFUNCTION("GOOGLETRANSLATE(A48,""zh-tw"",""ja"")"),"タロット - 星")</f>
        <v>タロット - 星</v>
      </c>
      <c r="D48" s="205" t="s">
        <v>11392</v>
      </c>
      <c r="E48" s="488" t="s">
        <v>11393</v>
      </c>
      <c r="F48" s="205" t="s">
        <v>11394</v>
      </c>
      <c r="G48" s="488" t="str">
        <f>IFERROR(__xludf.DUMMYFUNCTION("GOOGLETRANSLATE(A48,""zh-tw"",""zh"")"),"塔罗牌-星")</f>
        <v>塔罗牌-星</v>
      </c>
      <c r="H48" s="205" t="str">
        <f>IFERROR(__xludf.DUMMYFUNCTION("GOOGLETRANSLATE(B48,""zh-tw"",""zh"")"),"星之门")</f>
        <v>星之门</v>
      </c>
      <c r="I48" s="492" t="str">
        <f>IFERROR(__xludf.DUMMYFUNCTION("GOOGLETRANSLATE(A48,""zh-tw"",""es-MX"")"),"Tarot - La Estrella")</f>
        <v>Tarot - La Estrella</v>
      </c>
      <c r="J48" s="205" t="s">
        <v>11395</v>
      </c>
      <c r="K48" s="492" t="str">
        <f>IFERROR(__xludf.DUMMYFUNCTION("GOOGLETRANSLATE(A48,""zh-tw"",""KO"")"),"타로 - 별")</f>
        <v>타로 - 별</v>
      </c>
      <c r="L48" s="205" t="s">
        <v>11396</v>
      </c>
      <c r="M48" s="493" t="s">
        <v>11397</v>
      </c>
      <c r="N48" s="194" t="s">
        <v>11398</v>
      </c>
      <c r="O48" s="492" t="s">
        <v>11399</v>
      </c>
      <c r="P48" s="205" t="s">
        <v>11400</v>
      </c>
      <c r="Q48" s="488" t="s">
        <v>11401</v>
      </c>
      <c r="R48" s="205" t="s">
        <v>11402</v>
      </c>
      <c r="S48" s="522" t="s">
        <v>11403</v>
      </c>
      <c r="T48" s="521" t="s">
        <v>11404</v>
      </c>
      <c r="U48" s="492" t="s">
        <v>11405</v>
      </c>
      <c r="V48" s="205" t="s">
        <v>11406</v>
      </c>
      <c r="W48" s="488" t="s">
        <v>11407</v>
      </c>
      <c r="X48" s="205" t="s">
        <v>11408</v>
      </c>
      <c r="Y48" s="9"/>
      <c r="Z48" s="9"/>
      <c r="AA48" s="9"/>
      <c r="AB48" s="9"/>
      <c r="AC48" s="9"/>
      <c r="AD48" s="9"/>
      <c r="AE48" s="9"/>
      <c r="AF48" s="9"/>
      <c r="AG48" s="9"/>
      <c r="AH48" s="9"/>
      <c r="AI48" s="9"/>
      <c r="AJ48" s="9"/>
      <c r="AK48" s="9"/>
      <c r="AL48" s="9"/>
      <c r="AM48" s="9"/>
      <c r="AN48" s="9"/>
      <c r="AO48" s="9"/>
      <c r="AP48" s="9"/>
      <c r="AQ48" s="9"/>
      <c r="AR48" s="9"/>
      <c r="AS48" s="9"/>
      <c r="AT48" s="9"/>
    </row>
    <row r="49">
      <c r="A49" s="488" t="s">
        <v>11409</v>
      </c>
      <c r="B49" s="205" t="s">
        <v>11410</v>
      </c>
      <c r="C49" s="488" t="s">
        <v>11411</v>
      </c>
      <c r="D49" s="254" t="str">
        <f>IFERROR(__xludf.DUMMYFUNCTION("GOOGLETRANSLATE(B49,""zh-tw"",""ja"")"),"一定期間内であれば、一度だけ復活できます。")</f>
        <v>一定期間内であれば、一度だけ復活できます。</v>
      </c>
      <c r="E49" s="488" t="s">
        <v>11412</v>
      </c>
      <c r="F49" s="205" t="s">
        <v>11413</v>
      </c>
      <c r="G49" s="488" t="str">
        <f>IFERROR(__xludf.DUMMYFUNCTION("GOOGLETRANSLATE(A49,""zh-tw"",""zh"")"),"塔罗牌-日")</f>
        <v>塔罗牌-日</v>
      </c>
      <c r="H49" s="205" t="str">
        <f>IFERROR(__xludf.DUMMYFUNCTION("GOOGLETRANSLATE(B49,""zh-tw"",""zh"")"),"一定时间内，可复活一次")</f>
        <v>一定时间内，可复活一次</v>
      </c>
      <c r="I49" s="492" t="str">
        <f>IFERROR(__xludf.DUMMYFUNCTION("GOOGLETRANSLATE(A49,""zh-tw"",""es-MX"")"),"Tarot - Sol")</f>
        <v>Tarot - Sol</v>
      </c>
      <c r="J49" s="205" t="s">
        <v>11414</v>
      </c>
      <c r="K49" s="526" t="s">
        <v>11415</v>
      </c>
      <c r="L49" s="205" t="s">
        <v>11416</v>
      </c>
      <c r="M49" s="493" t="s">
        <v>11417</v>
      </c>
      <c r="N49" s="194" t="s">
        <v>11418</v>
      </c>
      <c r="O49" s="492" t="s">
        <v>11419</v>
      </c>
      <c r="P49" s="205" t="s">
        <v>11420</v>
      </c>
      <c r="Q49" s="488" t="s">
        <v>11421</v>
      </c>
      <c r="R49" s="205" t="s">
        <v>11422</v>
      </c>
      <c r="S49" s="522" t="s">
        <v>11423</v>
      </c>
      <c r="T49" s="521" t="s">
        <v>11424</v>
      </c>
      <c r="U49" s="492" t="s">
        <v>11425</v>
      </c>
      <c r="V49" s="254" t="s">
        <v>11426</v>
      </c>
      <c r="W49" s="488" t="s">
        <v>11427</v>
      </c>
      <c r="X49" s="205" t="s">
        <v>11428</v>
      </c>
      <c r="Y49" s="9"/>
      <c r="Z49" s="9"/>
      <c r="AA49" s="9"/>
      <c r="AB49" s="9"/>
      <c r="AC49" s="9"/>
      <c r="AD49" s="9"/>
      <c r="AE49" s="9"/>
      <c r="AF49" s="9"/>
      <c r="AG49" s="9"/>
      <c r="AH49" s="9"/>
      <c r="AI49" s="9"/>
      <c r="AJ49" s="9"/>
      <c r="AK49" s="9"/>
      <c r="AL49" s="9"/>
      <c r="AM49" s="9"/>
      <c r="AN49" s="9"/>
      <c r="AO49" s="9"/>
      <c r="AP49" s="9"/>
      <c r="AQ49" s="9"/>
      <c r="AR49" s="9"/>
      <c r="AS49" s="9"/>
      <c r="AT49" s="9"/>
    </row>
    <row r="50">
      <c r="A50" s="488" t="s">
        <v>11429</v>
      </c>
      <c r="B50" s="205" t="s">
        <v>11430</v>
      </c>
      <c r="C50" s="488" t="s">
        <v>11431</v>
      </c>
      <c r="D50" s="205" t="s">
        <v>11432</v>
      </c>
      <c r="E50" s="488" t="s">
        <v>11433</v>
      </c>
      <c r="F50" s="205" t="s">
        <v>11434</v>
      </c>
      <c r="G50" s="488" t="str">
        <f>IFERROR(__xludf.DUMMYFUNCTION("GOOGLETRANSLATE(A50,""zh-tw"",""zh"")"),"塔罗牌-世界")</f>
        <v>塔罗牌-世界</v>
      </c>
      <c r="H50" s="205" t="str">
        <f>IFERROR(__xludf.DUMMYFUNCTION("GOOGLETRANSLATE(B50,""zh-tw"",""zh"")"),"重制场地")</f>
        <v>重制场地</v>
      </c>
      <c r="I50" s="492" t="str">
        <f>IFERROR(__xludf.DUMMYFUNCTION("GOOGLETRANSLATE(A50,""zh-tw"",""es-MX"")"),"Tarot - El Mundo")</f>
        <v>Tarot - El Mundo</v>
      </c>
      <c r="J50" s="205" t="s">
        <v>11435</v>
      </c>
      <c r="K50" s="492" t="str">
        <f>IFERROR(__xludf.DUMMYFUNCTION("GOOGLETRANSLATE(A50,""zh-tw"",""KO"")"),"타로 - 세계")</f>
        <v>타로 - 세계</v>
      </c>
      <c r="L50" s="205" t="s">
        <v>11436</v>
      </c>
      <c r="M50" s="493" t="s">
        <v>11437</v>
      </c>
      <c r="N50" s="194" t="s">
        <v>11438</v>
      </c>
      <c r="O50" s="492" t="s">
        <v>11439</v>
      </c>
      <c r="P50" s="205" t="s">
        <v>11440</v>
      </c>
      <c r="Q50" s="488" t="s">
        <v>11441</v>
      </c>
      <c r="R50" s="205" t="s">
        <v>11442</v>
      </c>
      <c r="S50" s="522" t="s">
        <v>11443</v>
      </c>
      <c r="T50" s="521" t="s">
        <v>11444</v>
      </c>
      <c r="U50" s="492" t="s">
        <v>11445</v>
      </c>
      <c r="V50" s="254" t="s">
        <v>11446</v>
      </c>
      <c r="W50" s="488" t="s">
        <v>11447</v>
      </c>
      <c r="X50" s="205" t="s">
        <v>11448</v>
      </c>
      <c r="Y50" s="9"/>
      <c r="Z50" s="9"/>
      <c r="AA50" s="9"/>
      <c r="AB50" s="9"/>
      <c r="AC50" s="9"/>
      <c r="AD50" s="9"/>
      <c r="AE50" s="9"/>
      <c r="AF50" s="9"/>
      <c r="AG50" s="9"/>
      <c r="AH50" s="9"/>
      <c r="AI50" s="9"/>
      <c r="AJ50" s="9"/>
      <c r="AK50" s="9"/>
      <c r="AL50" s="9"/>
      <c r="AM50" s="9"/>
      <c r="AN50" s="9"/>
      <c r="AO50" s="9"/>
      <c r="AP50" s="9"/>
      <c r="AQ50" s="9"/>
      <c r="AR50" s="9"/>
      <c r="AS50" s="9"/>
      <c r="AT50" s="9"/>
    </row>
    <row r="51">
      <c r="A51" s="488" t="s">
        <v>11449</v>
      </c>
      <c r="B51" s="205" t="s">
        <v>11450</v>
      </c>
      <c r="C51" s="488" t="s">
        <v>11451</v>
      </c>
      <c r="D51" s="205" t="s">
        <v>11452</v>
      </c>
      <c r="E51" s="488" t="s">
        <v>11453</v>
      </c>
      <c r="F51" s="205" t="s">
        <v>11454</v>
      </c>
      <c r="G51" s="488" t="str">
        <f>IFERROR(__xludf.DUMMYFUNCTION("GOOGLETRANSLATE(A51,""zh-tw"",""zh"")"),"卢恩符文Ansuz")</f>
        <v>卢恩符文Ansuz</v>
      </c>
      <c r="H51" s="205" t="s">
        <v>11455</v>
      </c>
      <c r="I51" s="492" t="str">
        <f>IFERROR(__xludf.DUMMYFUNCTION("GOOGLETRANSLATE(A51,""zh-tw"",""es-MX"")"),"Runa Ansuz")</f>
        <v>Runa Ansuz</v>
      </c>
      <c r="J51" s="205" t="s">
        <v>11456</v>
      </c>
      <c r="K51" s="488" t="s">
        <v>11457</v>
      </c>
      <c r="L51" s="205" t="s">
        <v>11458</v>
      </c>
      <c r="M51" s="493" t="s">
        <v>11459</v>
      </c>
      <c r="N51" s="194" t="s">
        <v>11460</v>
      </c>
      <c r="O51" s="492" t="s">
        <v>11459</v>
      </c>
      <c r="P51" s="254" t="s">
        <v>11461</v>
      </c>
      <c r="Q51" s="488" t="s">
        <v>11462</v>
      </c>
      <c r="R51" s="205" t="s">
        <v>11463</v>
      </c>
      <c r="S51" s="522" t="s">
        <v>11464</v>
      </c>
      <c r="T51" s="521" t="s">
        <v>11465</v>
      </c>
      <c r="U51" s="488" t="s">
        <v>11466</v>
      </c>
      <c r="V51" s="254" t="s">
        <v>11467</v>
      </c>
      <c r="W51" s="488" t="s">
        <v>11453</v>
      </c>
      <c r="X51" s="205" t="s">
        <v>11468</v>
      </c>
      <c r="Y51" s="9"/>
      <c r="Z51" s="9"/>
      <c r="AA51" s="9"/>
      <c r="AB51" s="9"/>
      <c r="AC51" s="9"/>
      <c r="AD51" s="9"/>
      <c r="AE51" s="9"/>
      <c r="AF51" s="9"/>
      <c r="AG51" s="9"/>
      <c r="AH51" s="9"/>
      <c r="AI51" s="9"/>
      <c r="AJ51" s="9"/>
      <c r="AK51" s="9"/>
      <c r="AL51" s="9"/>
      <c r="AM51" s="9"/>
      <c r="AN51" s="9"/>
      <c r="AO51" s="9"/>
      <c r="AP51" s="9"/>
      <c r="AQ51" s="9"/>
      <c r="AR51" s="9"/>
      <c r="AS51" s="9"/>
      <c r="AT51" s="9"/>
    </row>
    <row r="52">
      <c r="A52" s="488" t="s">
        <v>11469</v>
      </c>
      <c r="B52" s="205" t="s">
        <v>11470</v>
      </c>
      <c r="C52" s="488" t="s">
        <v>11471</v>
      </c>
      <c r="D52" s="205" t="s">
        <v>11472</v>
      </c>
      <c r="E52" s="488" t="s">
        <v>11473</v>
      </c>
      <c r="F52" s="205" t="s">
        <v>11474</v>
      </c>
      <c r="G52" s="488" t="str">
        <f>IFERROR(__xludf.DUMMYFUNCTION("GOOGLETRANSLATE(A52,""zh-tw"",""zh"")"),"卢恩符文Raido")</f>
        <v>卢恩符文Raido</v>
      </c>
      <c r="H52" s="205" t="str">
        <f>IFERROR(__xludf.DUMMYFUNCTION("GOOGLETRANSLATE(B52,""zh-tw"",""zh"")"),"投掷后，滑鼠点选R的位置进行交换")</f>
        <v>投掷后，滑鼠点选R的位置进行交换</v>
      </c>
      <c r="I52" s="492" t="str">
        <f>IFERROR(__xludf.DUMMYFUNCTION("GOOGLETRANSLATE(A52,""zh-tw"",""es-MX"")"),"Runa Raido")</f>
        <v>Runa Raido</v>
      </c>
      <c r="J52" s="205" t="s">
        <v>11475</v>
      </c>
      <c r="K52" s="488" t="s">
        <v>11476</v>
      </c>
      <c r="L52" s="205" t="s">
        <v>11477</v>
      </c>
      <c r="M52" s="493" t="s">
        <v>11478</v>
      </c>
      <c r="N52" s="194" t="s">
        <v>11479</v>
      </c>
      <c r="O52" s="492" t="s">
        <v>11478</v>
      </c>
      <c r="P52" s="254" t="s">
        <v>11480</v>
      </c>
      <c r="Q52" s="488" t="s">
        <v>11481</v>
      </c>
      <c r="R52" s="205" t="s">
        <v>11482</v>
      </c>
      <c r="S52" s="522" t="s">
        <v>11483</v>
      </c>
      <c r="T52" s="521" t="s">
        <v>11484</v>
      </c>
      <c r="U52" s="488" t="s">
        <v>11485</v>
      </c>
      <c r="V52" s="254" t="s">
        <v>11486</v>
      </c>
      <c r="W52" s="488" t="s">
        <v>11473</v>
      </c>
      <c r="X52" s="205" t="s">
        <v>11487</v>
      </c>
      <c r="Y52" s="9"/>
      <c r="Z52" s="9"/>
      <c r="AA52" s="9"/>
      <c r="AB52" s="9"/>
      <c r="AC52" s="9"/>
      <c r="AD52" s="9"/>
      <c r="AE52" s="9"/>
      <c r="AF52" s="9"/>
      <c r="AG52" s="9"/>
      <c r="AH52" s="9"/>
      <c r="AI52" s="9"/>
      <c r="AJ52" s="9"/>
      <c r="AK52" s="9"/>
      <c r="AL52" s="9"/>
      <c r="AM52" s="9"/>
      <c r="AN52" s="9"/>
      <c r="AO52" s="9"/>
      <c r="AP52" s="9"/>
      <c r="AQ52" s="9"/>
      <c r="AR52" s="9"/>
      <c r="AS52" s="9"/>
      <c r="AT52" s="9"/>
    </row>
    <row r="53">
      <c r="A53" s="493" t="s">
        <v>11488</v>
      </c>
      <c r="B53" s="254" t="s">
        <v>11489</v>
      </c>
      <c r="C53" s="492" t="s">
        <v>11490</v>
      </c>
      <c r="D53" s="254" t="s">
        <v>11491</v>
      </c>
      <c r="E53" s="492" t="s">
        <v>11492</v>
      </c>
      <c r="F53" s="254" t="s">
        <v>11493</v>
      </c>
      <c r="G53" s="488" t="str">
        <f>IFERROR(__xludf.DUMMYFUNCTION("GOOGLETRANSLATE(A53,""zh-tw"",""zh"")"),"卢恩符文Kenaz")</f>
        <v>卢恩符文Kenaz</v>
      </c>
      <c r="H53" s="205" t="str">
        <f>IFERROR(__xludf.DUMMYFUNCTION("GOOGLETRANSLATE(B53,""zh-tw"",""zh"")"),"将目标变为炸弹
依照对方体型，影响爆炸范围")</f>
        <v>将目标变为炸弹
依照对方体型，影响爆炸范围</v>
      </c>
      <c r="I53" s="492" t="str">
        <f>IFERROR(__xludf.DUMMYFUNCTION("GOOGLETRANSLATE(A53,""zh-tw"",""es-MX"")"),"Runa Kenaz")</f>
        <v>Runa Kenaz</v>
      </c>
      <c r="J53" s="205" t="s">
        <v>11494</v>
      </c>
      <c r="K53" s="492" t="str">
        <f>IFERROR(__xludf.DUMMYFUNCTION("GOOGLETRANSLATE(A53,""zh-tw"",""KO"")"),"룬 케나즈")</f>
        <v>룬 케나즈</v>
      </c>
      <c r="L53" s="254" t="str">
        <f>IFERROR(__xludf.DUMMYFUNCTION("GOOGLETRANSLATE(B53,""zh-tw"",""KO"")"),"목표물을 폭탄으로 바꾸세요. 목표물의 크기에 따라 폭발 반경을 조절하세요.")</f>
        <v>목표물을 폭탄으로 바꾸세요. 목표물의 크기에 따라 폭발 반경을 조절하세요.</v>
      </c>
      <c r="M53" s="493" t="s">
        <v>11495</v>
      </c>
      <c r="N53" s="194" t="s">
        <v>11496</v>
      </c>
      <c r="O53" s="492" t="s">
        <v>11495</v>
      </c>
      <c r="P53" s="254" t="s">
        <v>11497</v>
      </c>
      <c r="Q53" s="492" t="s">
        <v>11492</v>
      </c>
      <c r="R53" s="254" t="s">
        <v>11493</v>
      </c>
      <c r="S53" s="522" t="s">
        <v>11498</v>
      </c>
      <c r="T53" s="266" t="s">
        <v>11499</v>
      </c>
      <c r="U53" s="488" t="s">
        <v>11500</v>
      </c>
      <c r="V53" s="205" t="s">
        <v>11501</v>
      </c>
      <c r="W53" s="488" t="s">
        <v>11492</v>
      </c>
      <c r="X53" s="205" t="s">
        <v>11502</v>
      </c>
      <c r="Y53" s="9"/>
      <c r="Z53" s="9"/>
      <c r="AA53" s="9"/>
      <c r="AB53" s="9"/>
      <c r="AC53" s="9"/>
      <c r="AD53" s="9"/>
      <c r="AE53" s="9"/>
      <c r="AF53" s="9"/>
      <c r="AG53" s="9"/>
      <c r="AH53" s="9"/>
      <c r="AI53" s="9"/>
      <c r="AJ53" s="9"/>
      <c r="AK53" s="9"/>
      <c r="AL53" s="9"/>
      <c r="AM53" s="9"/>
      <c r="AN53" s="9"/>
      <c r="AO53" s="9"/>
      <c r="AP53" s="9"/>
      <c r="AQ53" s="9"/>
      <c r="AR53" s="9"/>
      <c r="AS53" s="9"/>
      <c r="AT53" s="9"/>
    </row>
    <row r="54">
      <c r="A54" s="488" t="s">
        <v>11503</v>
      </c>
      <c r="B54" s="205" t="s">
        <v>11504</v>
      </c>
      <c r="C54" s="488" t="s">
        <v>11505</v>
      </c>
      <c r="D54" s="205" t="s">
        <v>11506</v>
      </c>
      <c r="E54" s="488" t="s">
        <v>11507</v>
      </c>
      <c r="F54" s="205" t="s">
        <v>11508</v>
      </c>
      <c r="G54" s="488" t="str">
        <f>IFERROR(__xludf.DUMMYFUNCTION("GOOGLETRANSLATE(A54,""zh-tw"",""zh"")"),"卢恩符文Ehwaz")</f>
        <v>卢恩符文Ehwaz</v>
      </c>
      <c r="H54" s="205" t="str">
        <f>IFERROR(__xludf.DUMMYFUNCTION("GOOGLETRANSLATE(B54,""zh-tw"",""zh"")"),"投掷后与目标进行位置交换")</f>
        <v>投掷后与目标进行位置交换</v>
      </c>
      <c r="I54" s="492" t="str">
        <f>IFERROR(__xludf.DUMMYFUNCTION("GOOGLETRANSLATE(A54,""zh-tw"",""es-MX"")"),"Runa Ehwaz")</f>
        <v>Runa Ehwaz</v>
      </c>
      <c r="J54" s="205" t="s">
        <v>11509</v>
      </c>
      <c r="K54" s="488" t="s">
        <v>11510</v>
      </c>
      <c r="L54" s="205" t="s">
        <v>11511</v>
      </c>
      <c r="M54" s="493" t="s">
        <v>11512</v>
      </c>
      <c r="N54" s="194" t="s">
        <v>11513</v>
      </c>
      <c r="O54" s="492" t="s">
        <v>11514</v>
      </c>
      <c r="P54" s="254" t="s">
        <v>11515</v>
      </c>
      <c r="Q54" s="488" t="s">
        <v>11516</v>
      </c>
      <c r="R54" s="205" t="s">
        <v>11517</v>
      </c>
      <c r="S54" s="522" t="s">
        <v>11518</v>
      </c>
      <c r="T54" s="521" t="s">
        <v>11519</v>
      </c>
      <c r="U54" s="488" t="s">
        <v>11520</v>
      </c>
      <c r="V54" s="254" t="s">
        <v>11521</v>
      </c>
      <c r="W54" s="488" t="s">
        <v>11507</v>
      </c>
      <c r="X54" s="205" t="s">
        <v>11522</v>
      </c>
      <c r="Y54" s="9"/>
      <c r="Z54" s="9"/>
      <c r="AA54" s="9"/>
      <c r="AB54" s="9"/>
      <c r="AC54" s="9"/>
      <c r="AD54" s="9"/>
      <c r="AE54" s="9"/>
      <c r="AF54" s="9"/>
      <c r="AG54" s="9"/>
      <c r="AH54" s="9"/>
      <c r="AI54" s="9"/>
      <c r="AJ54" s="9"/>
      <c r="AK54" s="9"/>
      <c r="AL54" s="9"/>
      <c r="AM54" s="9"/>
      <c r="AN54" s="9"/>
      <c r="AO54" s="9"/>
      <c r="AP54" s="9"/>
      <c r="AQ54" s="9"/>
      <c r="AR54" s="9"/>
      <c r="AS54" s="9"/>
      <c r="AT54" s="9"/>
    </row>
    <row r="55">
      <c r="A55" s="488" t="s">
        <v>11523</v>
      </c>
      <c r="B55" s="205" t="s">
        <v>11524</v>
      </c>
      <c r="C55" s="488" t="s">
        <v>11525</v>
      </c>
      <c r="D55" s="205" t="s">
        <v>11526</v>
      </c>
      <c r="E55" s="488" t="s">
        <v>11527</v>
      </c>
      <c r="F55" s="205" t="s">
        <v>11528</v>
      </c>
      <c r="G55" s="488"/>
      <c r="H55" s="205"/>
      <c r="I55" s="488"/>
      <c r="J55" s="205"/>
      <c r="K55" s="492"/>
      <c r="L55" s="205"/>
      <c r="M55" s="493" t="s">
        <v>11529</v>
      </c>
      <c r="N55" s="205" t="s">
        <v>11530</v>
      </c>
      <c r="O55" s="492" t="s">
        <v>11529</v>
      </c>
      <c r="P55" s="194" t="s">
        <v>11531</v>
      </c>
      <c r="Q55" s="488" t="s">
        <v>11527</v>
      </c>
      <c r="R55" s="205" t="s">
        <v>11532</v>
      </c>
      <c r="S55" s="522" t="s">
        <v>11533</v>
      </c>
      <c r="T55" s="268" t="s">
        <v>11534</v>
      </c>
      <c r="U55" s="492"/>
      <c r="V55" s="205"/>
      <c r="W55" s="488"/>
      <c r="X55" s="205"/>
      <c r="Y55" s="9"/>
      <c r="Z55" s="9"/>
      <c r="AA55" s="9"/>
      <c r="AB55" s="9"/>
      <c r="AC55" s="9"/>
      <c r="AD55" s="9"/>
      <c r="AE55" s="9"/>
      <c r="AF55" s="9"/>
      <c r="AG55" s="9"/>
      <c r="AH55" s="9"/>
      <c r="AI55" s="9"/>
      <c r="AJ55" s="9"/>
      <c r="AK55" s="9"/>
      <c r="AL55" s="9"/>
      <c r="AM55" s="9"/>
      <c r="AN55" s="9"/>
      <c r="AO55" s="9"/>
      <c r="AP55" s="9"/>
      <c r="AQ55" s="9"/>
      <c r="AR55" s="9"/>
      <c r="AS55" s="9"/>
      <c r="AT55" s="9"/>
    </row>
    <row r="56">
      <c r="A56" s="488" t="s">
        <v>11535</v>
      </c>
      <c r="B56" s="205" t="s">
        <v>11536</v>
      </c>
      <c r="C56" s="488" t="s">
        <v>11537</v>
      </c>
      <c r="D56" s="205" t="s">
        <v>11538</v>
      </c>
      <c r="E56" s="488" t="s">
        <v>11539</v>
      </c>
      <c r="F56" s="205" t="s">
        <v>11540</v>
      </c>
      <c r="G56" s="488" t="str">
        <f>IFERROR(__xludf.DUMMYFUNCTION("GOOGLETRANSLATE(A56,""zh-tw"",""zh"")"),"百合同人本")</f>
        <v>百合同人本</v>
      </c>
      <c r="H56" s="205" t="str">
        <f>IFERROR(__xludf.DUMMYFUNCTION("GOOGLETRANSLATE(B56,""zh-tw"",""zh"")"),"提升性欲
(战车商店贩售)")</f>
        <v>提升性欲
(战车商店贩售)</v>
      </c>
      <c r="I56" s="488" t="s">
        <v>11541</v>
      </c>
      <c r="J56" s="205" t="s">
        <v>11542</v>
      </c>
      <c r="K56" s="492" t="str">
        <f>IFERROR(__xludf.DUMMYFUNCTION("GOOGLETRANSLATE(A56,""zh-tw"",""KO"")"),"바이헤헤헤헤헤")</f>
        <v>바이헤헤헤헤헤</v>
      </c>
      <c r="L56" s="205" t="s">
        <v>10978</v>
      </c>
      <c r="M56" s="493" t="s">
        <v>11543</v>
      </c>
      <c r="N56" s="194" t="s">
        <v>11544</v>
      </c>
      <c r="O56" s="492" t="s">
        <v>11545</v>
      </c>
      <c r="P56" s="194" t="s">
        <v>11546</v>
      </c>
      <c r="Q56" s="488" t="s">
        <v>10982</v>
      </c>
      <c r="R56" s="205" t="s">
        <v>10983</v>
      </c>
      <c r="S56" s="520" t="s">
        <v>11547</v>
      </c>
      <c r="T56" s="268" t="s">
        <v>11548</v>
      </c>
      <c r="U56" s="492" t="s">
        <v>11547</v>
      </c>
      <c r="V56" s="205" t="s">
        <v>11549</v>
      </c>
      <c r="W56" s="488" t="s">
        <v>11539</v>
      </c>
      <c r="X56" s="205" t="s">
        <v>11550</v>
      </c>
      <c r="Y56" s="9"/>
      <c r="Z56" s="9"/>
      <c r="AA56" s="9"/>
      <c r="AB56" s="9"/>
      <c r="AC56" s="9"/>
      <c r="AD56" s="9"/>
      <c r="AE56" s="9"/>
      <c r="AF56" s="9"/>
      <c r="AG56" s="9"/>
      <c r="AH56" s="9"/>
      <c r="AI56" s="9"/>
      <c r="AJ56" s="9"/>
      <c r="AK56" s="9"/>
      <c r="AL56" s="9"/>
      <c r="AM56" s="9"/>
      <c r="AN56" s="9"/>
      <c r="AO56" s="9"/>
      <c r="AP56" s="9"/>
      <c r="AQ56" s="9"/>
      <c r="AR56" s="9"/>
      <c r="AS56" s="9"/>
      <c r="AT56" s="9"/>
    </row>
    <row r="57">
      <c r="A57" s="488" t="s">
        <v>11551</v>
      </c>
      <c r="B57" s="205" t="s">
        <v>11536</v>
      </c>
      <c r="C57" s="488" t="s">
        <v>11552</v>
      </c>
      <c r="D57" s="205" t="s">
        <v>11553</v>
      </c>
      <c r="E57" s="488" t="s">
        <v>11554</v>
      </c>
      <c r="F57" s="205" t="s">
        <v>11540</v>
      </c>
      <c r="G57" s="488" t="str">
        <f>IFERROR(__xludf.DUMMYFUNCTION("GOOGLETRANSLATE(A57,""zh-tw"",""zh"")"),"萌萌同人本")</f>
        <v>萌萌同人本</v>
      </c>
      <c r="H57" s="205" t="str">
        <f>IFERROR(__xludf.DUMMYFUNCTION("GOOGLETRANSLATE(B57,""zh-tw"",""zh"")"),"提升性欲
(战车商店贩售)")</f>
        <v>提升性欲
(战车商店贩售)</v>
      </c>
      <c r="I57" s="488" t="s">
        <v>11555</v>
      </c>
      <c r="J57" s="205" t="s">
        <v>11542</v>
      </c>
      <c r="K57" s="489" t="s">
        <v>10942</v>
      </c>
      <c r="L57" s="254" t="str">
        <f>IFERROR(__xludf.DUMMYFUNCTION("GOOGLETRANSLATE(B57,""zh-tw"",""KO"")"),"성욕을 증진시켜 줍니다
(탱크샵에서 구입 가능)")</f>
        <v>성욕을 증진시켜 줍니다
(탱크샵에서 구입 가능)</v>
      </c>
      <c r="M57" s="493" t="s">
        <v>11556</v>
      </c>
      <c r="N57" s="194" t="s">
        <v>11544</v>
      </c>
      <c r="O57" s="492" t="s">
        <v>11557</v>
      </c>
      <c r="P57" s="194" t="s">
        <v>11546</v>
      </c>
      <c r="Q57" s="488" t="s">
        <v>10946</v>
      </c>
      <c r="R57" s="205" t="s">
        <v>10947</v>
      </c>
      <c r="S57" s="520" t="s">
        <v>11558</v>
      </c>
      <c r="T57" s="268" t="s">
        <v>11548</v>
      </c>
      <c r="U57" s="492" t="s">
        <v>11558</v>
      </c>
      <c r="V57" s="205" t="s">
        <v>11549</v>
      </c>
      <c r="W57" s="488" t="s">
        <v>11554</v>
      </c>
      <c r="X57" s="205" t="s">
        <v>11550</v>
      </c>
      <c r="Y57" s="9"/>
      <c r="Z57" s="9"/>
      <c r="AA57" s="9"/>
      <c r="AB57" s="9"/>
      <c r="AC57" s="9"/>
      <c r="AD57" s="9"/>
      <c r="AE57" s="9"/>
      <c r="AF57" s="9"/>
      <c r="AG57" s="9"/>
      <c r="AH57" s="9"/>
      <c r="AI57" s="9"/>
      <c r="AJ57" s="9"/>
      <c r="AK57" s="9"/>
      <c r="AL57" s="9"/>
      <c r="AM57" s="9"/>
      <c r="AN57" s="9"/>
      <c r="AO57" s="9"/>
      <c r="AP57" s="9"/>
      <c r="AQ57" s="9"/>
      <c r="AR57" s="9"/>
      <c r="AS57" s="9"/>
      <c r="AT57" s="9"/>
    </row>
    <row r="58">
      <c r="A58" s="488" t="s">
        <v>11559</v>
      </c>
      <c r="B58" s="205" t="s">
        <v>11536</v>
      </c>
      <c r="C58" s="488" t="s">
        <v>10972</v>
      </c>
      <c r="D58" s="205" t="s">
        <v>11553</v>
      </c>
      <c r="E58" s="488" t="s">
        <v>11560</v>
      </c>
      <c r="F58" s="205" t="s">
        <v>11540</v>
      </c>
      <c r="G58" s="488" t="str">
        <f>IFERROR(__xludf.DUMMYFUNCTION("GOOGLETRANSLATE(A58,""zh-tw"",""zh"")"),"猫娘同人本")</f>
        <v>猫娘同人本</v>
      </c>
      <c r="H58" s="205" t="str">
        <f>IFERROR(__xludf.DUMMYFUNCTION("GOOGLETRANSLATE(B58,""zh-tw"",""zh"")"),"提升性欲
(战车商店贩售)")</f>
        <v>提升性欲
(战车商店贩售)</v>
      </c>
      <c r="I58" s="488" t="s">
        <v>11555</v>
      </c>
      <c r="J58" s="205" t="s">
        <v>11542</v>
      </c>
      <c r="K58" s="489" t="s">
        <v>10942</v>
      </c>
      <c r="L58" s="254" t="str">
        <f>IFERROR(__xludf.DUMMYFUNCTION("GOOGLETRANSLATE(B58,""zh-tw"",""KO"")"),"성욕을 증진시켜 줍니다
(탱크샵에서 구입 가능)")</f>
        <v>성욕을 증진시켜 줍니다
(탱크샵에서 구입 가능)</v>
      </c>
      <c r="M58" s="493" t="s">
        <v>11561</v>
      </c>
      <c r="N58" s="194" t="s">
        <v>11544</v>
      </c>
      <c r="O58" s="488" t="s">
        <v>11562</v>
      </c>
      <c r="P58" s="194" t="s">
        <v>11546</v>
      </c>
      <c r="Q58" s="488" t="s">
        <v>10946</v>
      </c>
      <c r="R58" s="205" t="s">
        <v>10947</v>
      </c>
      <c r="S58" s="522" t="s">
        <v>11563</v>
      </c>
      <c r="T58" s="268" t="s">
        <v>11548</v>
      </c>
      <c r="U58" s="488" t="s">
        <v>11564</v>
      </c>
      <c r="V58" s="205" t="s">
        <v>11549</v>
      </c>
      <c r="W58" s="488" t="s">
        <v>11554</v>
      </c>
      <c r="X58" s="205" t="s">
        <v>11550</v>
      </c>
      <c r="Y58" s="9"/>
      <c r="Z58" s="9"/>
      <c r="AA58" s="9"/>
      <c r="AB58" s="9"/>
      <c r="AC58" s="9"/>
      <c r="AD58" s="9"/>
      <c r="AE58" s="9"/>
      <c r="AF58" s="9"/>
      <c r="AG58" s="9"/>
      <c r="AH58" s="9"/>
      <c r="AI58" s="9"/>
      <c r="AJ58" s="9"/>
      <c r="AK58" s="9"/>
      <c r="AL58" s="9"/>
      <c r="AM58" s="9"/>
      <c r="AN58" s="9"/>
      <c r="AO58" s="9"/>
      <c r="AP58" s="9"/>
      <c r="AQ58" s="9"/>
      <c r="AR58" s="9"/>
      <c r="AS58" s="9"/>
      <c r="AT58" s="9"/>
    </row>
    <row r="59">
      <c r="A59" s="488" t="s">
        <v>11565</v>
      </c>
      <c r="B59" s="205" t="s">
        <v>10785</v>
      </c>
      <c r="C59" s="488" t="str">
        <f>IFERROR(__xludf.DUMMYFUNCTION("GOOGLETRANSLATE(A59,""zh-tw"",""ja"")"),"ポラロイド 24～29")</f>
        <v>ポラロイド 24～29</v>
      </c>
      <c r="D59" s="205" t="s">
        <v>10786</v>
      </c>
      <c r="E59" s="488" t="s">
        <v>11566</v>
      </c>
      <c r="F59" s="205" t="s">
        <v>10788</v>
      </c>
      <c r="G59" s="488" t="str">
        <f>IFERROR(__xludf.DUMMYFUNCTION("GOOGLETRANSLATE(A59,""zh-tw"",""zh"")"),"拍立得24~29")</f>
        <v>拍立得24~29</v>
      </c>
      <c r="H59" s="205" t="str">
        <f>IFERROR(__xludf.DUMMYFUNCTION("GOOGLETRANSLATE(B59,""zh-tw"",""zh"")"),"查看优质照片")</f>
        <v>查看优质照片</v>
      </c>
      <c r="I59" s="492" t="str">
        <f>IFERROR(__xludf.DUMMYFUNCTION("GOOGLETRANSLATE(A59,""zh-tw"",""es-MX"")"),"Polaroid 24~29")</f>
        <v>Polaroid 24~29</v>
      </c>
      <c r="J59" s="205" t="s">
        <v>10789</v>
      </c>
      <c r="K59" s="492" t="str">
        <f>IFERROR(__xludf.DUMMYFUNCTION("GOOGLETRANSLATE(A59,""zh-tw"",""KO"")"),"폴라로이드 24~29")</f>
        <v>폴라로이드 24~29</v>
      </c>
      <c r="L59" s="254" t="str">
        <f>IFERROR(__xludf.DUMMYFUNCTION("GOOGLETRANSLATE(B59,""zh-tw"",""KO"")"),"고화질 사진을 보세요")</f>
        <v>고화질 사진을 보세요</v>
      </c>
      <c r="M59" s="493" t="s">
        <v>11567</v>
      </c>
      <c r="N59" s="194" t="s">
        <v>10791</v>
      </c>
      <c r="O59" s="488" t="s">
        <v>11568</v>
      </c>
      <c r="P59" s="205" t="s">
        <v>10793</v>
      </c>
      <c r="Q59" s="488" t="s">
        <v>11569</v>
      </c>
      <c r="R59" s="205" t="s">
        <v>10795</v>
      </c>
      <c r="S59" s="522" t="s">
        <v>11570</v>
      </c>
      <c r="T59" s="521" t="s">
        <v>10796</v>
      </c>
      <c r="U59" s="488" t="s">
        <v>11570</v>
      </c>
      <c r="V59" s="254" t="s">
        <v>10797</v>
      </c>
      <c r="W59" s="488" t="s">
        <v>11570</v>
      </c>
      <c r="X59" s="205" t="s">
        <v>10798</v>
      </c>
      <c r="Y59" s="9"/>
      <c r="Z59" s="9"/>
      <c r="AA59" s="9"/>
      <c r="AB59" s="9"/>
      <c r="AC59" s="9"/>
      <c r="AD59" s="9"/>
      <c r="AE59" s="9"/>
      <c r="AF59" s="9"/>
      <c r="AG59" s="9"/>
      <c r="AH59" s="9"/>
      <c r="AI59" s="9"/>
      <c r="AJ59" s="9"/>
      <c r="AK59" s="9"/>
      <c r="AL59" s="9"/>
      <c r="AM59" s="9"/>
      <c r="AN59" s="9"/>
      <c r="AO59" s="9"/>
      <c r="AP59" s="9"/>
      <c r="AQ59" s="9"/>
      <c r="AR59" s="9"/>
      <c r="AS59" s="9"/>
      <c r="AT59" s="9"/>
    </row>
    <row r="60">
      <c r="A60" s="493" t="s">
        <v>11571</v>
      </c>
      <c r="B60" s="254" t="s">
        <v>11572</v>
      </c>
      <c r="C60" s="488" t="s">
        <v>11573</v>
      </c>
      <c r="D60" s="205" t="s">
        <v>11574</v>
      </c>
      <c r="E60" s="492" t="s">
        <v>11575</v>
      </c>
      <c r="F60" s="254" t="s">
        <v>11576</v>
      </c>
      <c r="G60" s="488" t="str">
        <f>IFERROR(__xludf.DUMMYFUNCTION("GOOGLETRANSLATE(A60,""zh-tw"",""zh"")"),"茶点心券")</f>
        <v>茶点心券</v>
      </c>
      <c r="H60" s="205" t="str">
        <f>IFERROR(__xludf.DUMMYFUNCTION("GOOGLETRANSLATE(B60,""zh-tw"",""zh"")"),"于扭蛋机取得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60" s="488" t="s">
        <v>11577</v>
      </c>
      <c r="J60" s="205" t="s">
        <v>11578</v>
      </c>
      <c r="K60" s="492" t="str">
        <f>IFERROR(__xludf.DUMMYFUNCTION("GOOGLETRANSLATE(A60,""zh-tw"",""KO"")"),"차와 간식 쿠폰")</f>
        <v>차와 간식 쿠폰</v>
      </c>
      <c r="L60" s="254" t="str">
        <f>IFERROR(__xludf.DUMMYFUNCTION("GOOGLETRANSLATE(B60,""zh-tw"",""KO"")"),"가샤폰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60" s="493" t="s">
        <v>11579</v>
      </c>
      <c r="N60" s="523" t="s">
        <v>11580</v>
      </c>
      <c r="O60" s="492" t="s">
        <v>11581</v>
      </c>
      <c r="P60" s="254" t="s">
        <v>11582</v>
      </c>
      <c r="Q60" s="488" t="s">
        <v>11583</v>
      </c>
      <c r="R60" s="205" t="s">
        <v>11584</v>
      </c>
      <c r="S60" s="520" t="s">
        <v>11585</v>
      </c>
      <c r="T60" s="268" t="s">
        <v>11586</v>
      </c>
      <c r="U60" s="492" t="s">
        <v>11587</v>
      </c>
      <c r="V60" s="254" t="s">
        <v>11588</v>
      </c>
      <c r="W60" s="488" t="s">
        <v>11589</v>
      </c>
      <c r="X60" s="205" t="s">
        <v>11590</v>
      </c>
      <c r="Y60" s="9"/>
      <c r="Z60" s="9"/>
      <c r="AA60" s="9"/>
      <c r="AB60" s="9"/>
      <c r="AC60" s="9"/>
      <c r="AD60" s="9"/>
      <c r="AE60" s="9"/>
      <c r="AF60" s="9"/>
      <c r="AG60" s="9"/>
      <c r="AH60" s="9"/>
      <c r="AI60" s="9"/>
      <c r="AJ60" s="9"/>
      <c r="AK60" s="9"/>
      <c r="AL60" s="9"/>
      <c r="AM60" s="9"/>
      <c r="AN60" s="9"/>
      <c r="AO60" s="9"/>
      <c r="AP60" s="9"/>
      <c r="AQ60" s="9"/>
      <c r="AR60" s="9"/>
      <c r="AS60" s="9"/>
      <c r="AT60" s="9"/>
    </row>
    <row r="61">
      <c r="A61" s="488" t="s">
        <v>11591</v>
      </c>
      <c r="B61" s="205" t="s">
        <v>11592</v>
      </c>
      <c r="C61" s="488" t="s">
        <v>11593</v>
      </c>
      <c r="D61" s="205" t="s">
        <v>11594</v>
      </c>
      <c r="E61" s="488" t="s">
        <v>11595</v>
      </c>
      <c r="F61" s="205" t="s">
        <v>11596</v>
      </c>
      <c r="G61" s="488" t="str">
        <f>IFERROR(__xludf.DUMMYFUNCTION("GOOGLETRANSLATE(A61,""zh-tw"",""zh"")"),"兔子地图")</f>
        <v>兔子地图</v>
      </c>
      <c r="H61" s="205" t="str">
        <f>IFERROR(__xludf.DUMMYFUNCTION("GOOGLETRANSLATE(B61,""zh-tw"",""zh"")"),"游戏地图(部分地区可能需要连国外网路)")</f>
        <v>游戏地图(部分地区可能需要连国外网路)</v>
      </c>
      <c r="I61" s="492" t="str">
        <f>IFERROR(__xludf.DUMMYFUNCTION("GOOGLETRANSLATE(A61,""zh-tw"",""es-MX"")"),"Mapa del conejo")</f>
        <v>Mapa del conejo</v>
      </c>
      <c r="J61" s="205" t="s">
        <v>11597</v>
      </c>
      <c r="K61" s="492" t="str">
        <f>IFERROR(__xludf.DUMMYFUNCTION("GOOGLETRANSLATE(A61,""zh-tw"",""KO"")"),"토끼 지도")</f>
        <v>토끼 지도</v>
      </c>
      <c r="L61" s="254" t="str">
        <f>IFERROR(__xludf.DUMMYFUNCTION("GOOGLETRANSLATE(B61,""zh-tw"",""KO"")"),"게임 지도 (일부 지역에서는 국제 인터넷 연결이 필요할 수 있습니다)")</f>
        <v>게임 지도 (일부 지역에서는 국제 인터넷 연결이 필요할 수 있습니다)</v>
      </c>
      <c r="M61" s="493" t="s">
        <v>11598</v>
      </c>
      <c r="N61" s="194" t="s">
        <v>11599</v>
      </c>
      <c r="O61" s="492" t="s">
        <v>11600</v>
      </c>
      <c r="P61" s="205" t="s">
        <v>11601</v>
      </c>
      <c r="Q61" s="488" t="s">
        <v>11602</v>
      </c>
      <c r="R61" s="205" t="s">
        <v>11603</v>
      </c>
      <c r="S61" s="522" t="s">
        <v>11604</v>
      </c>
      <c r="T61" s="268" t="s">
        <v>11605</v>
      </c>
      <c r="U61" s="492" t="s">
        <v>11606</v>
      </c>
      <c r="V61" s="254" t="s">
        <v>11607</v>
      </c>
      <c r="W61" s="488" t="s">
        <v>11608</v>
      </c>
      <c r="X61" s="205" t="s">
        <v>11609</v>
      </c>
      <c r="Y61" s="9"/>
      <c r="Z61" s="9"/>
      <c r="AA61" s="9"/>
      <c r="AB61" s="9"/>
      <c r="AC61" s="9"/>
      <c r="AD61" s="9"/>
      <c r="AE61" s="9"/>
      <c r="AF61" s="9"/>
      <c r="AG61" s="9"/>
      <c r="AH61" s="9"/>
      <c r="AI61" s="9"/>
      <c r="AJ61" s="9"/>
      <c r="AK61" s="9"/>
      <c r="AL61" s="9"/>
      <c r="AM61" s="9"/>
      <c r="AN61" s="9"/>
      <c r="AO61" s="9"/>
      <c r="AP61" s="9"/>
      <c r="AQ61" s="9"/>
      <c r="AR61" s="9"/>
      <c r="AS61" s="9"/>
      <c r="AT61" s="9"/>
    </row>
    <row r="62">
      <c r="A62" s="200" t="s">
        <v>9159</v>
      </c>
      <c r="C62" s="200" t="s">
        <v>9160</v>
      </c>
      <c r="E62" s="200" t="s">
        <v>9161</v>
      </c>
      <c r="G62" s="200" t="s">
        <v>9162</v>
      </c>
      <c r="I62" s="200"/>
      <c r="K62" s="200"/>
      <c r="M62" s="193" t="s">
        <v>9163</v>
      </c>
      <c r="O62" s="200" t="s">
        <v>9164</v>
      </c>
      <c r="Q62" s="200"/>
      <c r="S62" s="273"/>
      <c r="U62" s="200" t="s">
        <v>9166</v>
      </c>
      <c r="W62" s="200"/>
      <c r="Y62" s="9"/>
      <c r="Z62" s="9"/>
      <c r="AA62" s="9"/>
      <c r="AB62" s="9"/>
      <c r="AC62" s="9"/>
      <c r="AD62" s="9"/>
      <c r="AE62" s="9"/>
      <c r="AF62" s="9"/>
      <c r="AG62" s="9"/>
      <c r="AH62" s="9"/>
      <c r="AI62" s="9"/>
      <c r="AJ62" s="9"/>
      <c r="AK62" s="9"/>
      <c r="AL62" s="9"/>
      <c r="AM62" s="9"/>
      <c r="AN62" s="9"/>
      <c r="AO62" s="9"/>
      <c r="AP62" s="9"/>
      <c r="AQ62" s="9"/>
      <c r="AR62" s="9"/>
      <c r="AS62" s="9"/>
      <c r="AT62" s="9"/>
    </row>
    <row r="63">
      <c r="A63" s="488" t="s">
        <v>11610</v>
      </c>
      <c r="B63" s="205" t="s">
        <v>11611</v>
      </c>
      <c r="C63" s="488" t="s">
        <v>11612</v>
      </c>
      <c r="D63" s="205" t="s">
        <v>11613</v>
      </c>
      <c r="E63" s="488" t="s">
        <v>11614</v>
      </c>
      <c r="F63" s="205" t="s">
        <v>11615</v>
      </c>
      <c r="G63" s="488" t="str">
        <f>IFERROR(__xludf.DUMMYFUNCTION("GOOGLETRANSLATE(A63,""zh-tw"",""zh"")"),"妹妹的任意券")</f>
        <v>妹妹的任意券</v>
      </c>
      <c r="H63" s="205" t="str">
        <f>IFERROR(__xludf.DUMMYFUNCTION("GOOGLETRANSLATE(B63,""zh-tw"",""zh"")"),"使用于SLG相关的事件")</f>
        <v>使用于SLG相关的事件</v>
      </c>
      <c r="I63" s="488" t="s">
        <v>11616</v>
      </c>
      <c r="J63" s="205" t="s">
        <v>11617</v>
      </c>
      <c r="K63" s="492" t="str">
        <f>IFERROR(__xludf.DUMMYFUNCTION("GOOGLETRANSLATE(A63,""zh-tw"",""KO"")"),"여동생 쿠폰")</f>
        <v>여동생 쿠폰</v>
      </c>
      <c r="L63" s="254" t="str">
        <f>IFERROR(__xludf.DUMMYFUNCTION("GOOGLETRANSLATE(B63,""zh-tw"",""KO"")"),"SLG 관련 이벤트")</f>
        <v>SLG 관련 이벤트</v>
      </c>
      <c r="M63" s="493" t="s">
        <v>11618</v>
      </c>
      <c r="N63" s="194" t="s">
        <v>11619</v>
      </c>
      <c r="O63" s="492" t="s">
        <v>11620</v>
      </c>
      <c r="P63" s="254" t="s">
        <v>11621</v>
      </c>
      <c r="Q63" s="488" t="s">
        <v>11622</v>
      </c>
      <c r="R63" s="205" t="s">
        <v>11623</v>
      </c>
      <c r="S63" s="522" t="s">
        <v>11624</v>
      </c>
      <c r="T63" s="268" t="s">
        <v>11625</v>
      </c>
      <c r="U63" s="492" t="s">
        <v>11626</v>
      </c>
      <c r="V63" s="254" t="s">
        <v>11627</v>
      </c>
      <c r="W63" s="488" t="s">
        <v>11628</v>
      </c>
      <c r="X63" s="205" t="s">
        <v>11629</v>
      </c>
      <c r="Y63" s="9"/>
      <c r="Z63" s="9"/>
      <c r="AA63" s="9"/>
      <c r="AB63" s="9"/>
      <c r="AC63" s="9"/>
      <c r="AD63" s="9"/>
      <c r="AE63" s="9"/>
      <c r="AF63" s="9"/>
      <c r="AG63" s="9"/>
      <c r="AH63" s="9"/>
      <c r="AI63" s="9"/>
      <c r="AJ63" s="9"/>
      <c r="AK63" s="9"/>
      <c r="AL63" s="9"/>
      <c r="AM63" s="9"/>
      <c r="AN63" s="9"/>
      <c r="AO63" s="9"/>
      <c r="AP63" s="9"/>
      <c r="AQ63" s="9"/>
      <c r="AR63" s="9"/>
      <c r="AS63" s="9"/>
      <c r="AT63" s="9"/>
    </row>
    <row r="64" ht="57.0" customHeight="1">
      <c r="A64" s="488" t="s">
        <v>11630</v>
      </c>
      <c r="B64" s="205" t="s">
        <v>11631</v>
      </c>
      <c r="C64" s="488" t="s">
        <v>4330</v>
      </c>
      <c r="D64" s="205" t="s">
        <v>11632</v>
      </c>
      <c r="E64" s="488" t="s">
        <v>11630</v>
      </c>
      <c r="F64" s="205" t="s">
        <v>11633</v>
      </c>
      <c r="G64" s="488" t="s">
        <v>11630</v>
      </c>
      <c r="H64" s="205" t="s">
        <v>11634</v>
      </c>
      <c r="I64" s="488" t="s">
        <v>11630</v>
      </c>
      <c r="J64" s="205" t="s">
        <v>11635</v>
      </c>
      <c r="K64" s="492"/>
      <c r="L64" s="254"/>
      <c r="M64" s="493" t="s">
        <v>11630</v>
      </c>
      <c r="N64" s="194" t="s">
        <v>11636</v>
      </c>
      <c r="O64" s="488" t="s">
        <v>11630</v>
      </c>
      <c r="P64" s="205" t="s">
        <v>11637</v>
      </c>
      <c r="Q64" s="488" t="s">
        <v>11630</v>
      </c>
      <c r="R64" s="205" t="s">
        <v>11638</v>
      </c>
      <c r="S64" s="522" t="s">
        <v>11630</v>
      </c>
      <c r="T64" s="268" t="s">
        <v>11639</v>
      </c>
      <c r="U64" s="527" t="s">
        <v>11630</v>
      </c>
      <c r="V64" s="205" t="s">
        <v>11640</v>
      </c>
      <c r="W64" s="488" t="s">
        <v>11630</v>
      </c>
      <c r="X64" s="205" t="s">
        <v>11641</v>
      </c>
      <c r="Y64" s="9"/>
      <c r="Z64" s="9"/>
      <c r="AA64" s="9"/>
      <c r="AB64" s="9"/>
      <c r="AC64" s="9"/>
      <c r="AD64" s="9"/>
      <c r="AE64" s="9"/>
      <c r="AF64" s="9"/>
      <c r="AG64" s="9"/>
      <c r="AH64" s="9"/>
      <c r="AI64" s="9"/>
      <c r="AJ64" s="9"/>
      <c r="AK64" s="9"/>
      <c r="AL64" s="9"/>
      <c r="AM64" s="9"/>
      <c r="AN64" s="9"/>
      <c r="AO64" s="9"/>
      <c r="AP64" s="9"/>
      <c r="AQ64" s="9"/>
      <c r="AR64" s="9"/>
      <c r="AS64" s="9"/>
      <c r="AT64" s="9"/>
    </row>
    <row r="65">
      <c r="A65" s="488" t="s">
        <v>11642</v>
      </c>
      <c r="B65" s="205" t="s">
        <v>10785</v>
      </c>
      <c r="C65" s="488" t="str">
        <f>IFERROR(__xludf.DUMMYFUNCTION("GOOGLETRANSLATE(A65,""zh-tw"",""ja"")"),"ポラロイド 30～35")</f>
        <v>ポラロイド 30～35</v>
      </c>
      <c r="D65" s="205" t="s">
        <v>10786</v>
      </c>
      <c r="E65" s="488" t="s">
        <v>11643</v>
      </c>
      <c r="F65" s="205" t="s">
        <v>10788</v>
      </c>
      <c r="G65" s="488" t="str">
        <f>IFERROR(__xludf.DUMMYFUNCTION("GOOGLETRANSLATE(A65,""zh-tw"",""zh"")"),"拍立得30~35")</f>
        <v>拍立得30~35</v>
      </c>
      <c r="H65" s="205" t="str">
        <f>IFERROR(__xludf.DUMMYFUNCTION("GOOGLETRANSLATE(B65,""zh-tw"",""zh"")"),"查看优质照片")</f>
        <v>查看优质照片</v>
      </c>
      <c r="I65" s="492" t="str">
        <f>IFERROR(__xludf.DUMMYFUNCTION("GOOGLETRANSLATE(A65,""zh-tw"",""es-MX"")"),"Polaroid 30~35")</f>
        <v>Polaroid 30~35</v>
      </c>
      <c r="J65" s="205" t="s">
        <v>10789</v>
      </c>
      <c r="K65" s="492" t="str">
        <f>IFERROR(__xludf.DUMMYFUNCTION("GOOGLETRANSLATE(A65,""zh-tw"",""KO"")"),"폴라로이드 30~35")</f>
        <v>폴라로이드 30~35</v>
      </c>
      <c r="L65" s="254" t="str">
        <f>IFERROR(__xludf.DUMMYFUNCTION("GOOGLETRANSLATE(B65,""zh-tw"",""KO"")"),"고화질 사진을 보세요")</f>
        <v>고화질 사진을 보세요</v>
      </c>
      <c r="M65" s="493" t="s">
        <v>11644</v>
      </c>
      <c r="N65" s="194" t="s">
        <v>10791</v>
      </c>
      <c r="O65" s="488" t="s">
        <v>11645</v>
      </c>
      <c r="P65" s="205" t="s">
        <v>10793</v>
      </c>
      <c r="Q65" s="488" t="s">
        <v>11646</v>
      </c>
      <c r="R65" s="205" t="s">
        <v>10795</v>
      </c>
      <c r="S65" s="522" t="s">
        <v>11643</v>
      </c>
      <c r="T65" s="521" t="s">
        <v>10796</v>
      </c>
      <c r="U65" s="488" t="s">
        <v>11643</v>
      </c>
      <c r="V65" s="254" t="s">
        <v>10797</v>
      </c>
      <c r="W65" s="488" t="s">
        <v>11643</v>
      </c>
      <c r="X65" s="205" t="s">
        <v>10798</v>
      </c>
      <c r="Y65" s="9"/>
      <c r="Z65" s="9"/>
      <c r="AA65" s="9"/>
      <c r="AB65" s="9"/>
      <c r="AC65" s="9"/>
      <c r="AD65" s="9"/>
      <c r="AE65" s="9"/>
      <c r="AF65" s="9"/>
      <c r="AG65" s="9"/>
      <c r="AH65" s="9"/>
      <c r="AI65" s="9"/>
      <c r="AJ65" s="9"/>
      <c r="AK65" s="9"/>
      <c r="AL65" s="9"/>
      <c r="AM65" s="9"/>
      <c r="AN65" s="9"/>
      <c r="AO65" s="9"/>
      <c r="AP65" s="9"/>
      <c r="AQ65" s="9"/>
      <c r="AR65" s="9"/>
      <c r="AS65" s="9"/>
      <c r="AT65" s="9"/>
    </row>
    <row r="66">
      <c r="A66" s="488" t="s">
        <v>11647</v>
      </c>
      <c r="B66" s="205" t="s">
        <v>11648</v>
      </c>
      <c r="C66" s="488" t="s">
        <v>11649</v>
      </c>
      <c r="D66" s="205" t="s">
        <v>11650</v>
      </c>
      <c r="E66" s="488" t="s">
        <v>11651</v>
      </c>
      <c r="F66" s="205" t="s">
        <v>11652</v>
      </c>
      <c r="G66" s="488" t="str">
        <f>IFERROR(__xludf.DUMMYFUNCTION("GOOGLETRANSLATE(A66,""zh-tw"",""zh"")"),"冒险者心得")</f>
        <v>冒险者心得</v>
      </c>
      <c r="H66" s="205" t="str">
        <f>IFERROR(__xludf.DUMMYFUNCTION("GOOGLETRANSLATE(B66,""zh-tw"",""zh"")"),"攻略心得(部分地区可能需要连国外网路)")</f>
        <v>攻略心得(部分地区可能需要连国外网路)</v>
      </c>
      <c r="I66" s="488" t="s">
        <v>11653</v>
      </c>
      <c r="J66" s="205" t="s">
        <v>11654</v>
      </c>
      <c r="K66" s="492" t="str">
        <f>IFERROR(__xludf.DUMMYFUNCTION("GOOGLETRANSLATE(A66,""zh-tw"",""KO"")"),"모험가를 위한 팁")</f>
        <v>모험가를 위한 팁</v>
      </c>
      <c r="L66" s="254" t="str">
        <f>IFERROR(__xludf.DUMMYFUNCTION("GOOGLETRANSLATE(B66,""zh-tw"",""KO"")"),"여행 팁 (일부 지역에서는 국제 인터넷 연결이 필요할 수 있습니다)")</f>
        <v>여행 팁 (일부 지역에서는 국제 인터넷 연결이 필요할 수 있습니다)</v>
      </c>
      <c r="M66" s="488" t="s">
        <v>11655</v>
      </c>
      <c r="N66" s="194" t="s">
        <v>11656</v>
      </c>
      <c r="O66" s="488" t="s">
        <v>11657</v>
      </c>
      <c r="P66" s="205" t="s">
        <v>11658</v>
      </c>
      <c r="Q66" s="488" t="s">
        <v>11659</v>
      </c>
      <c r="R66" s="205" t="s">
        <v>11660</v>
      </c>
      <c r="S66" s="522" t="s">
        <v>11661</v>
      </c>
      <c r="T66" s="268" t="s">
        <v>11662</v>
      </c>
      <c r="U66" s="492" t="s">
        <v>11663</v>
      </c>
      <c r="V66" s="254" t="s">
        <v>11664</v>
      </c>
      <c r="W66" s="488" t="s">
        <v>11665</v>
      </c>
      <c r="X66" s="205" t="s">
        <v>11666</v>
      </c>
      <c r="Y66" s="9"/>
      <c r="Z66" s="9"/>
      <c r="AA66" s="9"/>
      <c r="AB66" s="9"/>
      <c r="AC66" s="9"/>
      <c r="AD66" s="9"/>
      <c r="AE66" s="9"/>
      <c r="AF66" s="9"/>
      <c r="AG66" s="9"/>
      <c r="AH66" s="9"/>
      <c r="AI66" s="9"/>
      <c r="AJ66" s="9"/>
      <c r="AK66" s="9"/>
      <c r="AL66" s="9"/>
      <c r="AM66" s="9"/>
      <c r="AN66" s="9"/>
      <c r="AO66" s="9"/>
      <c r="AP66" s="9"/>
      <c r="AQ66" s="9"/>
      <c r="AR66" s="9"/>
      <c r="AS66" s="9"/>
      <c r="AT66" s="9"/>
    </row>
    <row r="67" ht="45.75" customHeight="1">
      <c r="A67" s="488"/>
      <c r="B67" s="205"/>
      <c r="C67" s="488"/>
      <c r="D67" s="205"/>
      <c r="E67" s="488" t="s">
        <v>11667</v>
      </c>
      <c r="F67" s="205" t="s">
        <v>11668</v>
      </c>
      <c r="G67" s="488"/>
      <c r="H67" s="205"/>
      <c r="I67" s="488"/>
      <c r="J67" s="205"/>
      <c r="K67" s="492"/>
      <c r="L67" s="254"/>
      <c r="M67" s="488"/>
      <c r="N67" s="194"/>
      <c r="O67" s="488"/>
      <c r="P67" s="205"/>
      <c r="Q67" s="488" t="s">
        <v>11669</v>
      </c>
      <c r="R67" s="205" t="s">
        <v>11670</v>
      </c>
      <c r="S67" s="522" t="s">
        <v>11671</v>
      </c>
      <c r="T67" s="268" t="s">
        <v>11672</v>
      </c>
      <c r="U67" s="488" t="s">
        <v>11673</v>
      </c>
      <c r="V67" s="205" t="s">
        <v>11674</v>
      </c>
      <c r="W67" s="488"/>
      <c r="X67" s="205"/>
      <c r="Y67" s="9"/>
      <c r="Z67" s="9"/>
      <c r="AA67" s="9"/>
      <c r="AB67" s="9"/>
      <c r="AC67" s="9"/>
      <c r="AD67" s="9"/>
      <c r="AE67" s="9"/>
      <c r="AF67" s="9"/>
      <c r="AG67" s="9"/>
      <c r="AH67" s="9"/>
      <c r="AI67" s="9"/>
      <c r="AJ67" s="9"/>
      <c r="AK67" s="9"/>
      <c r="AL67" s="9"/>
      <c r="AM67" s="9"/>
      <c r="AN67" s="9"/>
      <c r="AO67" s="9"/>
      <c r="AP67" s="9"/>
      <c r="AQ67" s="9"/>
      <c r="AR67" s="9"/>
      <c r="AS67" s="9"/>
      <c r="AT67" s="9"/>
    </row>
    <row r="68">
      <c r="A68" s="200" t="s">
        <v>11675</v>
      </c>
      <c r="C68" s="200"/>
      <c r="E68" s="200" t="s">
        <v>11676</v>
      </c>
      <c r="G68" s="200" t="s">
        <v>11677</v>
      </c>
      <c r="I68" s="200"/>
      <c r="K68" s="200"/>
      <c r="M68" s="193" t="s">
        <v>11678</v>
      </c>
      <c r="O68" s="200" t="s">
        <v>11679</v>
      </c>
      <c r="Q68" s="200"/>
      <c r="S68" s="273"/>
      <c r="U68" s="200"/>
      <c r="W68" s="200"/>
      <c r="Y68" s="9"/>
      <c r="Z68" s="9"/>
      <c r="AA68" s="9"/>
      <c r="AB68" s="9"/>
      <c r="AC68" s="9"/>
      <c r="AD68" s="9"/>
      <c r="AE68" s="9"/>
      <c r="AF68" s="9"/>
      <c r="AG68" s="9"/>
      <c r="AH68" s="9"/>
      <c r="AI68" s="9"/>
      <c r="AJ68" s="9"/>
      <c r="AK68" s="9"/>
      <c r="AL68" s="9"/>
      <c r="AM68" s="9"/>
      <c r="AN68" s="9"/>
      <c r="AO68" s="9"/>
      <c r="AP68" s="9"/>
      <c r="AQ68" s="9"/>
      <c r="AR68" s="9"/>
      <c r="AS68" s="9"/>
      <c r="AT68" s="9"/>
    </row>
    <row r="69">
      <c r="A69" s="488" t="s">
        <v>11680</v>
      </c>
      <c r="B69" s="205" t="s">
        <v>11681</v>
      </c>
      <c r="C69" s="488" t="s">
        <v>11682</v>
      </c>
      <c r="D69" s="205" t="s">
        <v>11683</v>
      </c>
      <c r="E69" s="488" t="s">
        <v>11684</v>
      </c>
      <c r="F69" s="205" t="s">
        <v>11685</v>
      </c>
      <c r="G69" s="488" t="str">
        <f>IFERROR(__xludf.DUMMYFUNCTION("GOOGLETRANSLATE(A69,""zh-tw"",""zh"")"),"天上之石碎片")</f>
        <v>天上之石碎片</v>
      </c>
      <c r="H69" s="205" t="str">
        <f>IFERROR(__xludf.DUMMYFUNCTION("GOOGLETRANSLATE(B69,""zh-tw"",""zh"")"),"增加哥哥的状态或者转化为""红髓液""")</f>
        <v>增加哥哥的状态或者转化为"红髓液"</v>
      </c>
      <c r="I69" s="488" t="s">
        <v>11686</v>
      </c>
      <c r="J69" s="205" t="s">
        <v>11687</v>
      </c>
      <c r="K69" s="492" t="str">
        <f>IFERROR(__xludf.DUMMYFUNCTION("GOOGLETRANSLATE(A69,""zh-tw"",""KO"")"),"천상의 돌 조각들")</f>
        <v>천상의 돌 조각들</v>
      </c>
      <c r="L69" s="205" t="s">
        <v>11688</v>
      </c>
      <c r="M69" s="493" t="s">
        <v>11689</v>
      </c>
      <c r="N69" s="523" t="s">
        <v>11690</v>
      </c>
      <c r="O69" s="492" t="s">
        <v>11691</v>
      </c>
      <c r="P69" s="205" t="s">
        <v>11692</v>
      </c>
      <c r="Q69" s="488" t="s">
        <v>11693</v>
      </c>
      <c r="R69" s="205" t="s">
        <v>11694</v>
      </c>
      <c r="S69" s="520" t="s">
        <v>11695</v>
      </c>
      <c r="T69" s="268" t="s">
        <v>11696</v>
      </c>
      <c r="U69" s="488" t="s">
        <v>11697</v>
      </c>
      <c r="V69" s="205" t="s">
        <v>11698</v>
      </c>
      <c r="W69" s="488" t="s">
        <v>11699</v>
      </c>
      <c r="X69" s="205" t="s">
        <v>11700</v>
      </c>
      <c r="Y69" s="9"/>
      <c r="Z69" s="9"/>
      <c r="AA69" s="9"/>
      <c r="AB69" s="9"/>
      <c r="AC69" s="9"/>
      <c r="AD69" s="9"/>
      <c r="AE69" s="9"/>
      <c r="AF69" s="9"/>
      <c r="AG69" s="9"/>
      <c r="AH69" s="9"/>
      <c r="AI69" s="9"/>
      <c r="AJ69" s="9"/>
      <c r="AK69" s="9"/>
      <c r="AL69" s="9"/>
      <c r="AM69" s="9"/>
      <c r="AN69" s="9"/>
      <c r="AO69" s="9"/>
      <c r="AP69" s="9"/>
      <c r="AQ69" s="9"/>
      <c r="AR69" s="9"/>
      <c r="AS69" s="9"/>
      <c r="AT69" s="9"/>
    </row>
    <row r="70">
      <c r="A70" s="488" t="s">
        <v>11701</v>
      </c>
      <c r="B70" s="205" t="s">
        <v>11702</v>
      </c>
      <c r="C70" s="488" t="s">
        <v>11703</v>
      </c>
      <c r="D70" s="205" t="s">
        <v>11704</v>
      </c>
      <c r="E70" s="488" t="s">
        <v>11705</v>
      </c>
      <c r="F70" s="205" t="s">
        <v>11706</v>
      </c>
      <c r="G70" s="488" t="str">
        <f>IFERROR(__xludf.DUMMYFUNCTION("GOOGLETRANSLATE(A70,""zh-tw"",""zh"")"),"红髓液")</f>
        <v>红髓液</v>
      </c>
      <c r="H70" s="205" t="str">
        <f>IFERROR(__xludf.DUMMYFUNCTION("GOOGLETRANSLATE(B70,""zh-tw"",""zh"")"),"使用于治疗妹妹")</f>
        <v>使用于治疗妹妹</v>
      </c>
      <c r="I70" s="488" t="s">
        <v>11707</v>
      </c>
      <c r="J70" s="205" t="s">
        <v>11708</v>
      </c>
      <c r="K70" s="492" t="str">
        <f>IFERROR(__xludf.DUMMYFUNCTION("GOOGLETRANSLATE(A70,""zh-tw"",""KO"")"),"적골수액")</f>
        <v>적골수액</v>
      </c>
      <c r="L70" s="254" t="str">
        <f>IFERROR(__xludf.DUMMYFUNCTION("GOOGLETRANSLATE(B70,""zh-tw"",""KO"")"),"제 여동생을 치료해 주곤 했어요.")</f>
        <v>제 여동생을 치료해 주곤 했어요.</v>
      </c>
      <c r="M70" s="493" t="s">
        <v>11709</v>
      </c>
      <c r="N70" s="194" t="s">
        <v>11710</v>
      </c>
      <c r="O70" s="492" t="s">
        <v>11711</v>
      </c>
      <c r="P70" s="254" t="s">
        <v>11712</v>
      </c>
      <c r="Q70" s="488" t="s">
        <v>11713</v>
      </c>
      <c r="R70" s="205" t="s">
        <v>11714</v>
      </c>
      <c r="S70" s="522" t="s">
        <v>11715</v>
      </c>
      <c r="T70" s="268" t="s">
        <v>11716</v>
      </c>
      <c r="U70" s="492" t="s">
        <v>11717</v>
      </c>
      <c r="V70" s="254" t="s">
        <v>11718</v>
      </c>
      <c r="W70" s="488" t="s">
        <v>11719</v>
      </c>
      <c r="X70" s="205" t="s">
        <v>11720</v>
      </c>
      <c r="Y70" s="9"/>
      <c r="Z70" s="9"/>
      <c r="AA70" s="9"/>
      <c r="AB70" s="9"/>
      <c r="AC70" s="9"/>
      <c r="AD70" s="9"/>
      <c r="AE70" s="9"/>
      <c r="AF70" s="9"/>
      <c r="AG70" s="9"/>
      <c r="AH70" s="9"/>
      <c r="AI70" s="9"/>
      <c r="AJ70" s="9"/>
      <c r="AK70" s="9"/>
      <c r="AL70" s="9"/>
      <c r="AM70" s="9"/>
      <c r="AN70" s="9"/>
      <c r="AO70" s="9"/>
      <c r="AP70" s="9"/>
      <c r="AQ70" s="9"/>
      <c r="AR70" s="9"/>
      <c r="AS70" s="9"/>
      <c r="AT70" s="9"/>
    </row>
    <row r="71">
      <c r="A71" s="492"/>
      <c r="B71" s="254"/>
      <c r="C71" s="492"/>
      <c r="D71" s="254"/>
      <c r="E71" s="492"/>
      <c r="F71" s="254"/>
      <c r="G71" s="492"/>
      <c r="H71" s="254"/>
      <c r="I71" s="500"/>
      <c r="J71" s="181"/>
      <c r="K71" s="500"/>
      <c r="L71" s="181"/>
      <c r="M71" s="492"/>
      <c r="N71" s="254"/>
      <c r="O71" s="492"/>
      <c r="P71" s="254"/>
      <c r="Q71" s="492"/>
      <c r="R71" s="254"/>
      <c r="S71" s="493"/>
      <c r="T71" s="194"/>
      <c r="U71" s="492"/>
      <c r="V71" s="254"/>
      <c r="W71" s="492"/>
      <c r="X71" s="254"/>
      <c r="Y71" s="9"/>
      <c r="Z71" s="9"/>
      <c r="AA71" s="9"/>
      <c r="AB71" s="9"/>
      <c r="AC71" s="9"/>
      <c r="AD71" s="9"/>
      <c r="AE71" s="9"/>
      <c r="AF71" s="9"/>
      <c r="AG71" s="9"/>
      <c r="AH71" s="9"/>
      <c r="AI71" s="9"/>
      <c r="AJ71" s="9"/>
      <c r="AK71" s="9"/>
      <c r="AL71" s="9"/>
      <c r="AM71" s="9"/>
      <c r="AN71" s="9"/>
      <c r="AO71" s="9"/>
      <c r="AP71" s="9"/>
      <c r="AQ71" s="9"/>
      <c r="AR71" s="9"/>
      <c r="AS71" s="9"/>
      <c r="AT71" s="9"/>
    </row>
    <row r="72">
      <c r="A72" s="492"/>
      <c r="B72" s="254"/>
      <c r="C72" s="492"/>
      <c r="D72" s="254"/>
      <c r="E72" s="492"/>
      <c r="F72" s="254"/>
      <c r="G72" s="492"/>
      <c r="H72" s="254"/>
      <c r="I72" s="500"/>
      <c r="J72" s="181"/>
      <c r="K72" s="500"/>
      <c r="L72" s="181"/>
      <c r="M72" s="492"/>
      <c r="N72" s="254"/>
      <c r="O72" s="492"/>
      <c r="P72" s="254"/>
      <c r="Q72" s="492"/>
      <c r="R72" s="254"/>
      <c r="S72" s="493"/>
      <c r="T72" s="194"/>
      <c r="U72" s="492"/>
      <c r="V72" s="254"/>
      <c r="W72" s="492"/>
      <c r="X72" s="254"/>
      <c r="Y72" s="9"/>
      <c r="Z72" s="9"/>
      <c r="AA72" s="9"/>
      <c r="AB72" s="9"/>
      <c r="AC72" s="9"/>
      <c r="AD72" s="9"/>
      <c r="AE72" s="9"/>
      <c r="AF72" s="9"/>
      <c r="AG72" s="9"/>
      <c r="AH72" s="9"/>
      <c r="AI72" s="9"/>
      <c r="AJ72" s="9"/>
      <c r="AK72" s="9"/>
      <c r="AL72" s="9"/>
      <c r="AM72" s="9"/>
      <c r="AN72" s="9"/>
      <c r="AO72" s="9"/>
      <c r="AP72" s="9"/>
      <c r="AQ72" s="9"/>
      <c r="AR72" s="9"/>
      <c r="AS72" s="9"/>
      <c r="AT72" s="9"/>
    </row>
    <row r="73">
      <c r="A73" s="492"/>
      <c r="B73" s="254"/>
      <c r="C73" s="492"/>
      <c r="D73" s="254"/>
      <c r="E73" s="492"/>
      <c r="F73" s="254"/>
      <c r="G73" s="492"/>
      <c r="H73" s="254"/>
      <c r="I73" s="500"/>
      <c r="J73" s="181"/>
      <c r="K73" s="500"/>
      <c r="L73" s="181"/>
      <c r="M73" s="492"/>
      <c r="N73" s="254"/>
      <c r="O73" s="492"/>
      <c r="P73" s="254"/>
      <c r="Q73" s="492"/>
      <c r="R73" s="254"/>
      <c r="S73" s="493"/>
      <c r="T73" s="194"/>
      <c r="U73" s="492"/>
      <c r="V73" s="254"/>
      <c r="W73" s="492"/>
      <c r="X73" s="254"/>
      <c r="Y73" s="9"/>
      <c r="Z73" s="9"/>
      <c r="AA73" s="9"/>
      <c r="AB73" s="9"/>
      <c r="AC73" s="9"/>
      <c r="AD73" s="9"/>
      <c r="AE73" s="9"/>
      <c r="AF73" s="9"/>
      <c r="AG73" s="9"/>
      <c r="AH73" s="9"/>
      <c r="AI73" s="9"/>
      <c r="AJ73" s="9"/>
      <c r="AK73" s="9"/>
      <c r="AL73" s="9"/>
      <c r="AM73" s="9"/>
      <c r="AN73" s="9"/>
      <c r="AO73" s="9"/>
      <c r="AP73" s="9"/>
      <c r="AQ73" s="9"/>
      <c r="AR73" s="9"/>
      <c r="AS73" s="9"/>
      <c r="AT73" s="9"/>
    </row>
    <row r="74">
      <c r="A74" s="492"/>
      <c r="B74" s="254"/>
      <c r="C74" s="492"/>
      <c r="D74" s="254"/>
      <c r="E74" s="492"/>
      <c r="F74" s="254"/>
      <c r="G74" s="492"/>
      <c r="H74" s="254"/>
      <c r="I74" s="500"/>
      <c r="J74" s="181"/>
      <c r="K74" s="500"/>
      <c r="L74" s="181"/>
      <c r="M74" s="492"/>
      <c r="N74" s="254"/>
      <c r="O74" s="492"/>
      <c r="P74" s="254"/>
      <c r="Q74" s="492"/>
      <c r="R74" s="254"/>
      <c r="S74" s="493"/>
      <c r="T74" s="194"/>
      <c r="U74" s="492"/>
      <c r="V74" s="254"/>
      <c r="W74" s="492"/>
      <c r="X74" s="254"/>
      <c r="Y74" s="9"/>
      <c r="Z74" s="9"/>
      <c r="AA74" s="9"/>
      <c r="AB74" s="9"/>
      <c r="AC74" s="9"/>
      <c r="AD74" s="9"/>
      <c r="AE74" s="9"/>
      <c r="AF74" s="9"/>
      <c r="AG74" s="9"/>
      <c r="AH74" s="9"/>
      <c r="AI74" s="9"/>
      <c r="AJ74" s="9"/>
      <c r="AK74" s="9"/>
      <c r="AL74" s="9"/>
      <c r="AM74" s="9"/>
      <c r="AN74" s="9"/>
      <c r="AO74" s="9"/>
      <c r="AP74" s="9"/>
      <c r="AQ74" s="9"/>
      <c r="AR74" s="9"/>
      <c r="AS74" s="9"/>
      <c r="AT74" s="9"/>
    </row>
    <row r="75">
      <c r="A75" s="492"/>
      <c r="B75" s="254"/>
      <c r="C75" s="492"/>
      <c r="D75" s="254"/>
      <c r="E75" s="492"/>
      <c r="F75" s="254"/>
      <c r="G75" s="492"/>
      <c r="H75" s="254"/>
      <c r="I75" s="500"/>
      <c r="J75" s="181"/>
      <c r="K75" s="500"/>
      <c r="L75" s="181"/>
      <c r="M75" s="492"/>
      <c r="N75" s="254"/>
      <c r="O75" s="492"/>
      <c r="P75" s="254"/>
      <c r="Q75" s="492"/>
      <c r="R75" s="254"/>
      <c r="S75" s="493"/>
      <c r="T75" s="194"/>
      <c r="U75" s="492"/>
      <c r="V75" s="254"/>
      <c r="W75" s="492"/>
      <c r="X75" s="254"/>
      <c r="Y75" s="9"/>
      <c r="Z75" s="9"/>
      <c r="AA75" s="9"/>
      <c r="AB75" s="9"/>
      <c r="AC75" s="9"/>
      <c r="AD75" s="9"/>
      <c r="AE75" s="9"/>
      <c r="AF75" s="9"/>
      <c r="AG75" s="9"/>
      <c r="AH75" s="9"/>
      <c r="AI75" s="9"/>
      <c r="AJ75" s="9"/>
      <c r="AK75" s="9"/>
      <c r="AL75" s="9"/>
      <c r="AM75" s="9"/>
      <c r="AN75" s="9"/>
      <c r="AO75" s="9"/>
      <c r="AP75" s="9"/>
      <c r="AQ75" s="9"/>
      <c r="AR75" s="9"/>
      <c r="AS75" s="9"/>
      <c r="AT75" s="9"/>
    </row>
    <row r="76">
      <c r="A76" s="492"/>
      <c r="B76" s="254"/>
      <c r="C76" s="492"/>
      <c r="D76" s="254"/>
      <c r="E76" s="492"/>
      <c r="F76" s="254"/>
      <c r="G76" s="492"/>
      <c r="H76" s="254"/>
      <c r="I76" s="500"/>
      <c r="J76" s="181"/>
      <c r="K76" s="500"/>
      <c r="L76" s="181"/>
      <c r="M76" s="492"/>
      <c r="N76" s="254"/>
      <c r="O76" s="492"/>
      <c r="P76" s="254"/>
      <c r="Q76" s="492"/>
      <c r="R76" s="254"/>
      <c r="S76" s="493"/>
      <c r="T76" s="194"/>
      <c r="U76" s="492"/>
      <c r="V76" s="254"/>
      <c r="W76" s="492"/>
      <c r="X76" s="254"/>
      <c r="Y76" s="9"/>
      <c r="Z76" s="9"/>
      <c r="AA76" s="9"/>
      <c r="AB76" s="9"/>
      <c r="AC76" s="9"/>
      <c r="AD76" s="9"/>
      <c r="AE76" s="9"/>
      <c r="AF76" s="9"/>
      <c r="AG76" s="9"/>
      <c r="AH76" s="9"/>
      <c r="AI76" s="9"/>
      <c r="AJ76" s="9"/>
      <c r="AK76" s="9"/>
      <c r="AL76" s="9"/>
      <c r="AM76" s="9"/>
      <c r="AN76" s="9"/>
      <c r="AO76" s="9"/>
      <c r="AP76" s="9"/>
      <c r="AQ76" s="9"/>
      <c r="AR76" s="9"/>
      <c r="AS76" s="9"/>
      <c r="AT76" s="9"/>
    </row>
    <row r="77">
      <c r="A77" s="492"/>
      <c r="B77" s="254"/>
      <c r="C77" s="492"/>
      <c r="D77" s="254"/>
      <c r="E77" s="492"/>
      <c r="F77" s="254"/>
      <c r="G77" s="492"/>
      <c r="H77" s="254"/>
      <c r="I77" s="500"/>
      <c r="J77" s="181"/>
      <c r="K77" s="500"/>
      <c r="L77" s="181"/>
      <c r="M77" s="492"/>
      <c r="N77" s="254"/>
      <c r="O77" s="492"/>
      <c r="P77" s="254"/>
      <c r="Q77" s="492"/>
      <c r="R77" s="254"/>
      <c r="S77" s="493"/>
      <c r="T77" s="194"/>
      <c r="U77" s="492"/>
      <c r="V77" s="254"/>
      <c r="W77" s="492"/>
      <c r="X77" s="254"/>
      <c r="Y77" s="9"/>
      <c r="Z77" s="9"/>
      <c r="AA77" s="9"/>
      <c r="AB77" s="9"/>
      <c r="AC77" s="9"/>
      <c r="AD77" s="9"/>
      <c r="AE77" s="9"/>
      <c r="AF77" s="9"/>
      <c r="AG77" s="9"/>
      <c r="AH77" s="9"/>
      <c r="AI77" s="9"/>
      <c r="AJ77" s="9"/>
      <c r="AK77" s="9"/>
      <c r="AL77" s="9"/>
      <c r="AM77" s="9"/>
      <c r="AN77" s="9"/>
      <c r="AO77" s="9"/>
      <c r="AP77" s="9"/>
      <c r="AQ77" s="9"/>
      <c r="AR77" s="9"/>
      <c r="AS77" s="9"/>
      <c r="AT77" s="9"/>
    </row>
    <row r="78">
      <c r="A78" s="492"/>
      <c r="B78" s="254"/>
      <c r="C78" s="492"/>
      <c r="D78" s="254"/>
      <c r="E78" s="492"/>
      <c r="F78" s="254"/>
      <c r="G78" s="492"/>
      <c r="H78" s="254"/>
      <c r="I78" s="500"/>
      <c r="J78" s="181"/>
      <c r="K78" s="500"/>
      <c r="L78" s="181"/>
      <c r="M78" s="492"/>
      <c r="N78" s="254"/>
      <c r="O78" s="492"/>
      <c r="P78" s="254"/>
      <c r="Q78" s="492"/>
      <c r="R78" s="254"/>
      <c r="S78" s="493"/>
      <c r="T78" s="194"/>
      <c r="U78" s="492"/>
      <c r="V78" s="254"/>
      <c r="W78" s="492"/>
      <c r="X78" s="254"/>
      <c r="Y78" s="9"/>
      <c r="Z78" s="9"/>
      <c r="AA78" s="9"/>
      <c r="AB78" s="9"/>
      <c r="AC78" s="9"/>
      <c r="AD78" s="9"/>
      <c r="AE78" s="9"/>
      <c r="AF78" s="9"/>
      <c r="AG78" s="9"/>
      <c r="AH78" s="9"/>
      <c r="AI78" s="9"/>
      <c r="AJ78" s="9"/>
      <c r="AK78" s="9"/>
      <c r="AL78" s="9"/>
      <c r="AM78" s="9"/>
      <c r="AN78" s="9"/>
      <c r="AO78" s="9"/>
      <c r="AP78" s="9"/>
      <c r="AQ78" s="9"/>
      <c r="AR78" s="9"/>
      <c r="AS78" s="9"/>
      <c r="AT78" s="9"/>
    </row>
    <row r="79">
      <c r="A79" s="492"/>
      <c r="B79" s="254"/>
      <c r="C79" s="492"/>
      <c r="D79" s="254"/>
      <c r="E79" s="492"/>
      <c r="F79" s="254"/>
      <c r="G79" s="492"/>
      <c r="H79" s="254"/>
      <c r="I79" s="500"/>
      <c r="J79" s="181"/>
      <c r="K79" s="500"/>
      <c r="L79" s="181"/>
      <c r="M79" s="492"/>
      <c r="N79" s="254"/>
      <c r="O79" s="492"/>
      <c r="P79" s="254"/>
      <c r="Q79" s="492"/>
      <c r="R79" s="254"/>
      <c r="S79" s="493"/>
      <c r="T79" s="194"/>
      <c r="U79" s="492"/>
      <c r="V79" s="254"/>
      <c r="W79" s="492"/>
      <c r="X79" s="254"/>
      <c r="Y79" s="9"/>
      <c r="Z79" s="9"/>
      <c r="AA79" s="9"/>
      <c r="AB79" s="9"/>
      <c r="AC79" s="9"/>
      <c r="AD79" s="9"/>
      <c r="AE79" s="9"/>
      <c r="AF79" s="9"/>
      <c r="AG79" s="9"/>
      <c r="AH79" s="9"/>
      <c r="AI79" s="9"/>
      <c r="AJ79" s="9"/>
      <c r="AK79" s="9"/>
      <c r="AL79" s="9"/>
      <c r="AM79" s="9"/>
      <c r="AN79" s="9"/>
      <c r="AO79" s="9"/>
      <c r="AP79" s="9"/>
      <c r="AQ79" s="9"/>
      <c r="AR79" s="9"/>
      <c r="AS79" s="9"/>
      <c r="AT79" s="9"/>
    </row>
    <row r="80">
      <c r="A80" s="492"/>
      <c r="B80" s="254"/>
      <c r="C80" s="492"/>
      <c r="D80" s="254"/>
      <c r="E80" s="492"/>
      <c r="F80" s="254"/>
      <c r="G80" s="492"/>
      <c r="H80" s="254"/>
      <c r="I80" s="500"/>
      <c r="J80" s="181"/>
      <c r="K80" s="500"/>
      <c r="L80" s="181"/>
      <c r="M80" s="492"/>
      <c r="N80" s="254"/>
      <c r="O80" s="492"/>
      <c r="P80" s="254"/>
      <c r="Q80" s="492"/>
      <c r="R80" s="254"/>
      <c r="S80" s="493"/>
      <c r="T80" s="194"/>
      <c r="U80" s="492"/>
      <c r="V80" s="254"/>
      <c r="W80" s="492"/>
      <c r="X80" s="254"/>
      <c r="Y80" s="9"/>
      <c r="Z80" s="9"/>
      <c r="AA80" s="9"/>
      <c r="AB80" s="9"/>
      <c r="AC80" s="9"/>
      <c r="AD80" s="9"/>
      <c r="AE80" s="9"/>
      <c r="AF80" s="9"/>
      <c r="AG80" s="9"/>
      <c r="AH80" s="9"/>
      <c r="AI80" s="9"/>
      <c r="AJ80" s="9"/>
      <c r="AK80" s="9"/>
      <c r="AL80" s="9"/>
      <c r="AM80" s="9"/>
      <c r="AN80" s="9"/>
      <c r="AO80" s="9"/>
      <c r="AP80" s="9"/>
      <c r="AQ80" s="9"/>
      <c r="AR80" s="9"/>
      <c r="AS80" s="9"/>
      <c r="AT80" s="9"/>
    </row>
    <row r="81">
      <c r="A81" s="492"/>
      <c r="B81" s="254"/>
      <c r="C81" s="492"/>
      <c r="D81" s="254"/>
      <c r="E81" s="492"/>
      <c r="F81" s="254"/>
      <c r="G81" s="492"/>
      <c r="H81" s="254"/>
      <c r="I81" s="500"/>
      <c r="J81" s="181"/>
      <c r="K81" s="500"/>
      <c r="L81" s="181"/>
      <c r="M81" s="492"/>
      <c r="N81" s="254"/>
      <c r="O81" s="492"/>
      <c r="P81" s="254"/>
      <c r="Q81" s="492"/>
      <c r="R81" s="254"/>
      <c r="S81" s="493"/>
      <c r="T81" s="194"/>
      <c r="U81" s="492"/>
      <c r="V81" s="254"/>
      <c r="W81" s="492"/>
      <c r="X81" s="254"/>
      <c r="Y81" s="9"/>
      <c r="Z81" s="9"/>
      <c r="AA81" s="9"/>
      <c r="AB81" s="9"/>
      <c r="AC81" s="9"/>
      <c r="AD81" s="9"/>
      <c r="AE81" s="9"/>
      <c r="AF81" s="9"/>
      <c r="AG81" s="9"/>
      <c r="AH81" s="9"/>
      <c r="AI81" s="9"/>
      <c r="AJ81" s="9"/>
      <c r="AK81" s="9"/>
      <c r="AL81" s="9"/>
      <c r="AM81" s="9"/>
      <c r="AN81" s="9"/>
      <c r="AO81" s="9"/>
      <c r="AP81" s="9"/>
      <c r="AQ81" s="9"/>
      <c r="AR81" s="9"/>
      <c r="AS81" s="9"/>
      <c r="AT81" s="9"/>
    </row>
    <row r="82">
      <c r="A82" s="492"/>
      <c r="B82" s="254"/>
      <c r="C82" s="492"/>
      <c r="D82" s="254"/>
      <c r="E82" s="492"/>
      <c r="F82" s="254"/>
      <c r="G82" s="492"/>
      <c r="H82" s="254"/>
      <c r="I82" s="500"/>
      <c r="J82" s="181"/>
      <c r="K82" s="500"/>
      <c r="L82" s="181"/>
      <c r="M82" s="492"/>
      <c r="N82" s="254"/>
      <c r="O82" s="492"/>
      <c r="P82" s="254"/>
      <c r="Q82" s="492"/>
      <c r="R82" s="254"/>
      <c r="S82" s="493"/>
      <c r="T82" s="194"/>
      <c r="U82" s="492"/>
      <c r="V82" s="254"/>
      <c r="W82" s="492"/>
      <c r="X82" s="254"/>
      <c r="Y82" s="9"/>
      <c r="Z82" s="9"/>
      <c r="AA82" s="9"/>
      <c r="AB82" s="9"/>
      <c r="AC82" s="9"/>
      <c r="AD82" s="9"/>
      <c r="AE82" s="9"/>
      <c r="AF82" s="9"/>
      <c r="AG82" s="9"/>
      <c r="AH82" s="9"/>
      <c r="AI82" s="9"/>
      <c r="AJ82" s="9"/>
      <c r="AK82" s="9"/>
      <c r="AL82" s="9"/>
      <c r="AM82" s="9"/>
      <c r="AN82" s="9"/>
      <c r="AO82" s="9"/>
      <c r="AP82" s="9"/>
      <c r="AQ82" s="9"/>
      <c r="AR82" s="9"/>
      <c r="AS82" s="9"/>
      <c r="AT82" s="9"/>
    </row>
    <row r="83">
      <c r="A83" s="492"/>
      <c r="B83" s="254"/>
      <c r="C83" s="492"/>
      <c r="D83" s="254"/>
      <c r="E83" s="492"/>
      <c r="F83" s="254"/>
      <c r="G83" s="492"/>
      <c r="H83" s="254"/>
      <c r="I83" s="500"/>
      <c r="J83" s="181"/>
      <c r="K83" s="500"/>
      <c r="L83" s="181"/>
      <c r="M83" s="492"/>
      <c r="N83" s="254"/>
      <c r="O83" s="492"/>
      <c r="P83" s="254"/>
      <c r="Q83" s="492"/>
      <c r="R83" s="254"/>
      <c r="S83" s="493"/>
      <c r="T83" s="194"/>
      <c r="U83" s="492"/>
      <c r="V83" s="254"/>
      <c r="W83" s="492"/>
      <c r="X83" s="254"/>
      <c r="Y83" s="9"/>
      <c r="Z83" s="9"/>
      <c r="AA83" s="9"/>
      <c r="AB83" s="9"/>
      <c r="AC83" s="9"/>
      <c r="AD83" s="9"/>
      <c r="AE83" s="9"/>
      <c r="AF83" s="9"/>
      <c r="AG83" s="9"/>
      <c r="AH83" s="9"/>
      <c r="AI83" s="9"/>
      <c r="AJ83" s="9"/>
      <c r="AK83" s="9"/>
      <c r="AL83" s="9"/>
      <c r="AM83" s="9"/>
      <c r="AN83" s="9"/>
      <c r="AO83" s="9"/>
      <c r="AP83" s="9"/>
      <c r="AQ83" s="9"/>
      <c r="AR83" s="9"/>
      <c r="AS83" s="9"/>
      <c r="AT83" s="9"/>
    </row>
    <row r="84">
      <c r="A84" s="492"/>
      <c r="B84" s="254"/>
      <c r="C84" s="492"/>
      <c r="D84" s="254"/>
      <c r="E84" s="492"/>
      <c r="F84" s="254"/>
      <c r="G84" s="492"/>
      <c r="H84" s="254"/>
      <c r="I84" s="500"/>
      <c r="J84" s="181"/>
      <c r="K84" s="500"/>
      <c r="L84" s="181"/>
      <c r="M84" s="492"/>
      <c r="N84" s="254"/>
      <c r="O84" s="492"/>
      <c r="P84" s="254"/>
      <c r="Q84" s="492"/>
      <c r="R84" s="254"/>
      <c r="S84" s="493"/>
      <c r="T84" s="194"/>
      <c r="U84" s="492"/>
      <c r="V84" s="254"/>
      <c r="W84" s="492"/>
      <c r="X84" s="254"/>
      <c r="Y84" s="9"/>
      <c r="Z84" s="9"/>
      <c r="AA84" s="9"/>
      <c r="AB84" s="9"/>
      <c r="AC84" s="9"/>
      <c r="AD84" s="9"/>
      <c r="AE84" s="9"/>
      <c r="AF84" s="9"/>
      <c r="AG84" s="9"/>
      <c r="AH84" s="9"/>
      <c r="AI84" s="9"/>
      <c r="AJ84" s="9"/>
      <c r="AK84" s="9"/>
      <c r="AL84" s="9"/>
      <c r="AM84" s="9"/>
      <c r="AN84" s="9"/>
      <c r="AO84" s="9"/>
      <c r="AP84" s="9"/>
      <c r="AQ84" s="9"/>
      <c r="AR84" s="9"/>
      <c r="AS84" s="9"/>
      <c r="AT84" s="9"/>
    </row>
    <row r="85">
      <c r="A85" s="492"/>
      <c r="B85" s="254"/>
      <c r="C85" s="492"/>
      <c r="D85" s="254"/>
      <c r="E85" s="492"/>
      <c r="F85" s="254"/>
      <c r="G85" s="492"/>
      <c r="H85" s="254"/>
      <c r="I85" s="500"/>
      <c r="J85" s="181"/>
      <c r="K85" s="500"/>
      <c r="L85" s="181"/>
      <c r="M85" s="492"/>
      <c r="N85" s="254"/>
      <c r="O85" s="492"/>
      <c r="P85" s="254"/>
      <c r="Q85" s="492"/>
      <c r="R85" s="254"/>
      <c r="S85" s="493"/>
      <c r="T85" s="194"/>
      <c r="U85" s="492"/>
      <c r="V85" s="254"/>
      <c r="W85" s="492"/>
      <c r="X85" s="254"/>
      <c r="Y85" s="9"/>
      <c r="Z85" s="9"/>
      <c r="AA85" s="9"/>
      <c r="AB85" s="9"/>
      <c r="AC85" s="9"/>
      <c r="AD85" s="9"/>
      <c r="AE85" s="9"/>
      <c r="AF85" s="9"/>
      <c r="AG85" s="9"/>
      <c r="AH85" s="9"/>
      <c r="AI85" s="9"/>
      <c r="AJ85" s="9"/>
      <c r="AK85" s="9"/>
      <c r="AL85" s="9"/>
      <c r="AM85" s="9"/>
      <c r="AN85" s="9"/>
      <c r="AO85" s="9"/>
      <c r="AP85" s="9"/>
      <c r="AQ85" s="9"/>
      <c r="AR85" s="9"/>
      <c r="AS85" s="9"/>
      <c r="AT85" s="9"/>
    </row>
    <row r="86">
      <c r="A86" s="492"/>
      <c r="B86" s="254"/>
      <c r="C86" s="492"/>
      <c r="D86" s="254"/>
      <c r="E86" s="492"/>
      <c r="F86" s="254"/>
      <c r="G86" s="492"/>
      <c r="H86" s="254"/>
      <c r="I86" s="500"/>
      <c r="J86" s="181"/>
      <c r="K86" s="500"/>
      <c r="L86" s="181"/>
      <c r="M86" s="492"/>
      <c r="N86" s="254"/>
      <c r="O86" s="492"/>
      <c r="P86" s="254"/>
      <c r="Q86" s="492"/>
      <c r="R86" s="254"/>
      <c r="S86" s="493"/>
      <c r="T86" s="194"/>
      <c r="U86" s="492"/>
      <c r="V86" s="254"/>
      <c r="W86" s="492"/>
      <c r="X86" s="254"/>
      <c r="Y86" s="9"/>
      <c r="Z86" s="9"/>
      <c r="AA86" s="9"/>
      <c r="AB86" s="9"/>
      <c r="AC86" s="9"/>
      <c r="AD86" s="9"/>
      <c r="AE86" s="9"/>
      <c r="AF86" s="9"/>
      <c r="AG86" s="9"/>
      <c r="AH86" s="9"/>
      <c r="AI86" s="9"/>
      <c r="AJ86" s="9"/>
      <c r="AK86" s="9"/>
      <c r="AL86" s="9"/>
      <c r="AM86" s="9"/>
      <c r="AN86" s="9"/>
      <c r="AO86" s="9"/>
      <c r="AP86" s="9"/>
      <c r="AQ86" s="9"/>
      <c r="AR86" s="9"/>
      <c r="AS86" s="9"/>
      <c r="AT86" s="9"/>
    </row>
    <row r="87">
      <c r="A87" s="492"/>
      <c r="B87" s="254"/>
      <c r="C87" s="492"/>
      <c r="D87" s="254"/>
      <c r="E87" s="492"/>
      <c r="F87" s="254"/>
      <c r="G87" s="492"/>
      <c r="H87" s="254"/>
      <c r="I87" s="500"/>
      <c r="J87" s="181"/>
      <c r="K87" s="500"/>
      <c r="L87" s="181"/>
      <c r="M87" s="492"/>
      <c r="N87" s="254"/>
      <c r="O87" s="492"/>
      <c r="P87" s="254"/>
      <c r="Q87" s="492"/>
      <c r="R87" s="254"/>
      <c r="S87" s="493"/>
      <c r="T87" s="194"/>
      <c r="U87" s="492"/>
      <c r="V87" s="254"/>
      <c r="W87" s="492"/>
      <c r="X87" s="254"/>
      <c r="Y87" s="9"/>
      <c r="Z87" s="9"/>
      <c r="AA87" s="9"/>
      <c r="AB87" s="9"/>
      <c r="AC87" s="9"/>
      <c r="AD87" s="9"/>
      <c r="AE87" s="9"/>
      <c r="AF87" s="9"/>
      <c r="AG87" s="9"/>
      <c r="AH87" s="9"/>
      <c r="AI87" s="9"/>
      <c r="AJ87" s="9"/>
      <c r="AK87" s="9"/>
      <c r="AL87" s="9"/>
      <c r="AM87" s="9"/>
      <c r="AN87" s="9"/>
      <c r="AO87" s="9"/>
      <c r="AP87" s="9"/>
      <c r="AQ87" s="9"/>
      <c r="AR87" s="9"/>
      <c r="AS87" s="9"/>
      <c r="AT87" s="9"/>
    </row>
    <row r="88">
      <c r="A88" s="492"/>
      <c r="B88" s="254"/>
      <c r="C88" s="492"/>
      <c r="D88" s="254"/>
      <c r="E88" s="492"/>
      <c r="F88" s="254"/>
      <c r="G88" s="492"/>
      <c r="H88" s="254"/>
      <c r="I88" s="500"/>
      <c r="J88" s="181"/>
      <c r="K88" s="500"/>
      <c r="L88" s="181"/>
      <c r="M88" s="492"/>
      <c r="N88" s="254"/>
      <c r="O88" s="492"/>
      <c r="P88" s="254"/>
      <c r="Q88" s="492"/>
      <c r="R88" s="254"/>
      <c r="S88" s="493"/>
      <c r="T88" s="194"/>
      <c r="U88" s="492"/>
      <c r="V88" s="254"/>
      <c r="W88" s="492"/>
      <c r="X88" s="254"/>
      <c r="Y88" s="9"/>
      <c r="Z88" s="9"/>
      <c r="AA88" s="9"/>
      <c r="AB88" s="9"/>
      <c r="AC88" s="9"/>
      <c r="AD88" s="9"/>
      <c r="AE88" s="9"/>
      <c r="AF88" s="9"/>
      <c r="AG88" s="9"/>
      <c r="AH88" s="9"/>
      <c r="AI88" s="9"/>
      <c r="AJ88" s="9"/>
      <c r="AK88" s="9"/>
      <c r="AL88" s="9"/>
      <c r="AM88" s="9"/>
      <c r="AN88" s="9"/>
      <c r="AO88" s="9"/>
      <c r="AP88" s="9"/>
      <c r="AQ88" s="9"/>
      <c r="AR88" s="9"/>
      <c r="AS88" s="9"/>
      <c r="AT88" s="9"/>
    </row>
    <row r="89">
      <c r="A89" s="492"/>
      <c r="B89" s="254"/>
      <c r="C89" s="492"/>
      <c r="D89" s="254"/>
      <c r="E89" s="492"/>
      <c r="F89" s="254"/>
      <c r="G89" s="492"/>
      <c r="H89" s="254"/>
      <c r="I89" s="500"/>
      <c r="J89" s="181"/>
      <c r="K89" s="500"/>
      <c r="L89" s="181"/>
      <c r="M89" s="492"/>
      <c r="N89" s="254"/>
      <c r="O89" s="492"/>
      <c r="P89" s="254"/>
      <c r="Q89" s="492"/>
      <c r="R89" s="254"/>
      <c r="S89" s="493"/>
      <c r="T89" s="194"/>
      <c r="U89" s="492"/>
      <c r="V89" s="254"/>
      <c r="W89" s="492"/>
      <c r="X89" s="254"/>
      <c r="Y89" s="9"/>
      <c r="Z89" s="9"/>
      <c r="AA89" s="9"/>
      <c r="AB89" s="9"/>
      <c r="AC89" s="9"/>
      <c r="AD89" s="9"/>
      <c r="AE89" s="9"/>
      <c r="AF89" s="9"/>
      <c r="AG89" s="9"/>
      <c r="AH89" s="9"/>
      <c r="AI89" s="9"/>
      <c r="AJ89" s="9"/>
      <c r="AK89" s="9"/>
      <c r="AL89" s="9"/>
      <c r="AM89" s="9"/>
      <c r="AN89" s="9"/>
      <c r="AO89" s="9"/>
      <c r="AP89" s="9"/>
      <c r="AQ89" s="9"/>
      <c r="AR89" s="9"/>
      <c r="AS89" s="9"/>
      <c r="AT89" s="9"/>
    </row>
    <row r="90">
      <c r="A90" s="492"/>
      <c r="B90" s="254"/>
      <c r="C90" s="492"/>
      <c r="D90" s="254"/>
      <c r="E90" s="492"/>
      <c r="F90" s="254"/>
      <c r="G90" s="492"/>
      <c r="H90" s="254"/>
      <c r="I90" s="500"/>
      <c r="J90" s="181"/>
      <c r="K90" s="500"/>
      <c r="L90" s="181"/>
      <c r="M90" s="492"/>
      <c r="N90" s="254"/>
      <c r="O90" s="492"/>
      <c r="P90" s="254"/>
      <c r="Q90" s="492"/>
      <c r="R90" s="254"/>
      <c r="S90" s="493"/>
      <c r="T90" s="194"/>
      <c r="U90" s="492"/>
      <c r="V90" s="254"/>
      <c r="W90" s="492"/>
      <c r="X90" s="254"/>
      <c r="Y90" s="9"/>
      <c r="Z90" s="9"/>
      <c r="AA90" s="9"/>
      <c r="AB90" s="9"/>
      <c r="AC90" s="9"/>
      <c r="AD90" s="9"/>
      <c r="AE90" s="9"/>
      <c r="AF90" s="9"/>
      <c r="AG90" s="9"/>
      <c r="AH90" s="9"/>
      <c r="AI90" s="9"/>
      <c r="AJ90" s="9"/>
      <c r="AK90" s="9"/>
      <c r="AL90" s="9"/>
      <c r="AM90" s="9"/>
      <c r="AN90" s="9"/>
      <c r="AO90" s="9"/>
      <c r="AP90" s="9"/>
      <c r="AQ90" s="9"/>
      <c r="AR90" s="9"/>
      <c r="AS90" s="9"/>
      <c r="AT90" s="9"/>
    </row>
    <row r="91">
      <c r="A91" s="492"/>
      <c r="B91" s="254"/>
      <c r="C91" s="492"/>
      <c r="D91" s="254"/>
      <c r="E91" s="492"/>
      <c r="F91" s="254"/>
      <c r="G91" s="492"/>
      <c r="H91" s="254"/>
      <c r="I91" s="500"/>
      <c r="J91" s="181"/>
      <c r="K91" s="500"/>
      <c r="L91" s="181"/>
      <c r="M91" s="492"/>
      <c r="N91" s="254"/>
      <c r="O91" s="492"/>
      <c r="P91" s="254"/>
      <c r="Q91" s="492"/>
      <c r="R91" s="254"/>
      <c r="S91" s="493"/>
      <c r="T91" s="194"/>
      <c r="U91" s="492"/>
      <c r="V91" s="254"/>
      <c r="W91" s="492"/>
      <c r="X91" s="254"/>
      <c r="Y91" s="9"/>
      <c r="Z91" s="9"/>
      <c r="AA91" s="9"/>
      <c r="AB91" s="9"/>
      <c r="AC91" s="9"/>
      <c r="AD91" s="9"/>
      <c r="AE91" s="9"/>
      <c r="AF91" s="9"/>
      <c r="AG91" s="9"/>
      <c r="AH91" s="9"/>
      <c r="AI91" s="9"/>
      <c r="AJ91" s="9"/>
      <c r="AK91" s="9"/>
      <c r="AL91" s="9"/>
      <c r="AM91" s="9"/>
      <c r="AN91" s="9"/>
      <c r="AO91" s="9"/>
      <c r="AP91" s="9"/>
      <c r="AQ91" s="9"/>
      <c r="AR91" s="9"/>
      <c r="AS91" s="9"/>
      <c r="AT91" s="9"/>
    </row>
    <row r="92">
      <c r="A92" s="492"/>
      <c r="B92" s="254"/>
      <c r="C92" s="492"/>
      <c r="D92" s="254"/>
      <c r="E92" s="492"/>
      <c r="F92" s="254"/>
      <c r="G92" s="492"/>
      <c r="H92" s="254"/>
      <c r="I92" s="500"/>
      <c r="J92" s="181"/>
      <c r="K92" s="500"/>
      <c r="L92" s="181"/>
      <c r="M92" s="492"/>
      <c r="N92" s="254"/>
      <c r="O92" s="492"/>
      <c r="P92" s="254"/>
      <c r="Q92" s="492"/>
      <c r="R92" s="254"/>
      <c r="S92" s="493"/>
      <c r="T92" s="194"/>
      <c r="U92" s="492"/>
      <c r="V92" s="254"/>
      <c r="W92" s="492"/>
      <c r="X92" s="254"/>
      <c r="Y92" s="9"/>
      <c r="Z92" s="9"/>
      <c r="AA92" s="9"/>
      <c r="AB92" s="9"/>
      <c r="AC92" s="9"/>
      <c r="AD92" s="9"/>
      <c r="AE92" s="9"/>
      <c r="AF92" s="9"/>
      <c r="AG92" s="9"/>
      <c r="AH92" s="9"/>
      <c r="AI92" s="9"/>
      <c r="AJ92" s="9"/>
      <c r="AK92" s="9"/>
      <c r="AL92" s="9"/>
      <c r="AM92" s="9"/>
      <c r="AN92" s="9"/>
      <c r="AO92" s="9"/>
      <c r="AP92" s="9"/>
      <c r="AQ92" s="9"/>
      <c r="AR92" s="9"/>
      <c r="AS92" s="9"/>
      <c r="AT92" s="9"/>
    </row>
    <row r="93">
      <c r="A93" s="492"/>
      <c r="B93" s="254"/>
      <c r="C93" s="492"/>
      <c r="D93" s="254"/>
      <c r="E93" s="492"/>
      <c r="F93" s="254"/>
      <c r="G93" s="492"/>
      <c r="H93" s="254"/>
      <c r="I93" s="500"/>
      <c r="J93" s="181"/>
      <c r="K93" s="500"/>
      <c r="L93" s="181"/>
      <c r="M93" s="492"/>
      <c r="N93" s="254"/>
      <c r="O93" s="492"/>
      <c r="P93" s="254"/>
      <c r="Q93" s="492"/>
      <c r="R93" s="254"/>
      <c r="S93" s="493"/>
      <c r="T93" s="194"/>
      <c r="U93" s="492"/>
      <c r="V93" s="254"/>
      <c r="W93" s="492"/>
      <c r="X93" s="254"/>
      <c r="Y93" s="9"/>
      <c r="Z93" s="9"/>
      <c r="AA93" s="9"/>
      <c r="AB93" s="9"/>
      <c r="AC93" s="9"/>
      <c r="AD93" s="9"/>
      <c r="AE93" s="9"/>
      <c r="AF93" s="9"/>
      <c r="AG93" s="9"/>
      <c r="AH93" s="9"/>
      <c r="AI93" s="9"/>
      <c r="AJ93" s="9"/>
      <c r="AK93" s="9"/>
      <c r="AL93" s="9"/>
      <c r="AM93" s="9"/>
      <c r="AN93" s="9"/>
      <c r="AO93" s="9"/>
      <c r="AP93" s="9"/>
      <c r="AQ93" s="9"/>
      <c r="AR93" s="9"/>
      <c r="AS93" s="9"/>
      <c r="AT93" s="9"/>
    </row>
    <row r="94">
      <c r="A94" s="492"/>
      <c r="B94" s="254"/>
      <c r="C94" s="492"/>
      <c r="D94" s="254"/>
      <c r="E94" s="492"/>
      <c r="F94" s="254"/>
      <c r="G94" s="492"/>
      <c r="H94" s="254"/>
      <c r="I94" s="500"/>
      <c r="J94" s="181"/>
      <c r="K94" s="500"/>
      <c r="L94" s="181"/>
      <c r="M94" s="492"/>
      <c r="N94" s="254"/>
      <c r="O94" s="492"/>
      <c r="P94" s="254"/>
      <c r="Q94" s="492"/>
      <c r="R94" s="254"/>
      <c r="S94" s="493"/>
      <c r="T94" s="194"/>
      <c r="U94" s="492"/>
      <c r="V94" s="254"/>
      <c r="W94" s="492"/>
      <c r="X94" s="254"/>
      <c r="Y94" s="9"/>
      <c r="Z94" s="9"/>
      <c r="AA94" s="9"/>
      <c r="AB94" s="9"/>
      <c r="AC94" s="9"/>
      <c r="AD94" s="9"/>
      <c r="AE94" s="9"/>
      <c r="AF94" s="9"/>
      <c r="AG94" s="9"/>
      <c r="AH94" s="9"/>
      <c r="AI94" s="9"/>
      <c r="AJ94" s="9"/>
      <c r="AK94" s="9"/>
      <c r="AL94" s="9"/>
      <c r="AM94" s="9"/>
      <c r="AN94" s="9"/>
      <c r="AO94" s="9"/>
      <c r="AP94" s="9"/>
      <c r="AQ94" s="9"/>
      <c r="AR94" s="9"/>
      <c r="AS94" s="9"/>
      <c r="AT94" s="9"/>
    </row>
    <row r="95">
      <c r="A95" s="492"/>
      <c r="B95" s="254"/>
      <c r="C95" s="492"/>
      <c r="D95" s="254"/>
      <c r="E95" s="492"/>
      <c r="F95" s="254"/>
      <c r="G95" s="492"/>
      <c r="H95" s="254"/>
      <c r="I95" s="500"/>
      <c r="J95" s="181"/>
      <c r="K95" s="500"/>
      <c r="L95" s="181"/>
      <c r="M95" s="492"/>
      <c r="N95" s="254"/>
      <c r="O95" s="492"/>
      <c r="P95" s="254"/>
      <c r="Q95" s="492"/>
      <c r="R95" s="254"/>
      <c r="S95" s="493"/>
      <c r="T95" s="194"/>
      <c r="U95" s="492"/>
      <c r="V95" s="254"/>
      <c r="W95" s="492"/>
      <c r="X95" s="254"/>
      <c r="Y95" s="9"/>
      <c r="Z95" s="9"/>
      <c r="AA95" s="9"/>
      <c r="AB95" s="9"/>
      <c r="AC95" s="9"/>
      <c r="AD95" s="9"/>
      <c r="AE95" s="9"/>
      <c r="AF95" s="9"/>
      <c r="AG95" s="9"/>
      <c r="AH95" s="9"/>
      <c r="AI95" s="9"/>
      <c r="AJ95" s="9"/>
      <c r="AK95" s="9"/>
      <c r="AL95" s="9"/>
      <c r="AM95" s="9"/>
      <c r="AN95" s="9"/>
      <c r="AO95" s="9"/>
      <c r="AP95" s="9"/>
      <c r="AQ95" s="9"/>
      <c r="AR95" s="9"/>
      <c r="AS95" s="9"/>
      <c r="AT95" s="9"/>
    </row>
    <row r="96">
      <c r="A96" s="492"/>
      <c r="B96" s="254"/>
      <c r="C96" s="492"/>
      <c r="D96" s="254"/>
      <c r="E96" s="492"/>
      <c r="F96" s="254"/>
      <c r="G96" s="492"/>
      <c r="H96" s="254"/>
      <c r="I96" s="500"/>
      <c r="J96" s="181"/>
      <c r="K96" s="500"/>
      <c r="L96" s="181"/>
      <c r="M96" s="492"/>
      <c r="N96" s="254"/>
      <c r="O96" s="492"/>
      <c r="P96" s="254"/>
      <c r="Q96" s="492"/>
      <c r="R96" s="254"/>
      <c r="S96" s="493"/>
      <c r="T96" s="194"/>
      <c r="U96" s="492"/>
      <c r="V96" s="254"/>
      <c r="W96" s="492"/>
      <c r="X96" s="254"/>
      <c r="Y96" s="9"/>
      <c r="Z96" s="9"/>
      <c r="AA96" s="9"/>
      <c r="AB96" s="9"/>
      <c r="AC96" s="9"/>
      <c r="AD96" s="9"/>
      <c r="AE96" s="9"/>
      <c r="AF96" s="9"/>
      <c r="AG96" s="9"/>
      <c r="AH96" s="9"/>
      <c r="AI96" s="9"/>
      <c r="AJ96" s="9"/>
      <c r="AK96" s="9"/>
      <c r="AL96" s="9"/>
      <c r="AM96" s="9"/>
      <c r="AN96" s="9"/>
      <c r="AO96" s="9"/>
      <c r="AP96" s="9"/>
      <c r="AQ96" s="9"/>
      <c r="AR96" s="9"/>
      <c r="AS96" s="9"/>
      <c r="AT96" s="9"/>
    </row>
    <row r="97">
      <c r="A97" s="492"/>
      <c r="B97" s="254"/>
      <c r="C97" s="492"/>
      <c r="D97" s="254"/>
      <c r="E97" s="492"/>
      <c r="F97" s="254"/>
      <c r="G97" s="492"/>
      <c r="H97" s="254"/>
      <c r="I97" s="500"/>
      <c r="J97" s="181"/>
      <c r="K97" s="500"/>
      <c r="L97" s="181"/>
      <c r="M97" s="492"/>
      <c r="N97" s="254"/>
      <c r="O97" s="492"/>
      <c r="P97" s="254"/>
      <c r="Q97" s="492"/>
      <c r="R97" s="254"/>
      <c r="S97" s="493"/>
      <c r="T97" s="194"/>
      <c r="U97" s="492"/>
      <c r="V97" s="254"/>
      <c r="W97" s="492"/>
      <c r="X97" s="254"/>
      <c r="Y97" s="9"/>
      <c r="Z97" s="9"/>
      <c r="AA97" s="9"/>
      <c r="AB97" s="9"/>
      <c r="AC97" s="9"/>
      <c r="AD97" s="9"/>
      <c r="AE97" s="9"/>
      <c r="AF97" s="9"/>
      <c r="AG97" s="9"/>
      <c r="AH97" s="9"/>
      <c r="AI97" s="9"/>
      <c r="AJ97" s="9"/>
      <c r="AK97" s="9"/>
      <c r="AL97" s="9"/>
      <c r="AM97" s="9"/>
      <c r="AN97" s="9"/>
      <c r="AO97" s="9"/>
      <c r="AP97" s="9"/>
      <c r="AQ97" s="9"/>
      <c r="AR97" s="9"/>
      <c r="AS97" s="9"/>
      <c r="AT97" s="9"/>
    </row>
    <row r="98">
      <c r="A98" s="492"/>
      <c r="B98" s="254"/>
      <c r="C98" s="492"/>
      <c r="D98" s="254"/>
      <c r="E98" s="492"/>
      <c r="F98" s="254"/>
      <c r="G98" s="492"/>
      <c r="H98" s="254"/>
      <c r="I98" s="500"/>
      <c r="J98" s="181"/>
      <c r="K98" s="500"/>
      <c r="L98" s="181"/>
      <c r="M98" s="492"/>
      <c r="N98" s="254"/>
      <c r="O98" s="492"/>
      <c r="P98" s="254"/>
      <c r="Q98" s="492"/>
      <c r="R98" s="254"/>
      <c r="S98" s="493"/>
      <c r="T98" s="194"/>
      <c r="U98" s="492"/>
      <c r="V98" s="254"/>
      <c r="W98" s="492"/>
      <c r="X98" s="254"/>
      <c r="Y98" s="9"/>
      <c r="Z98" s="9"/>
      <c r="AA98" s="9"/>
      <c r="AB98" s="9"/>
      <c r="AC98" s="9"/>
      <c r="AD98" s="9"/>
      <c r="AE98" s="9"/>
      <c r="AF98" s="9"/>
      <c r="AG98" s="9"/>
      <c r="AH98" s="9"/>
      <c r="AI98" s="9"/>
      <c r="AJ98" s="9"/>
      <c r="AK98" s="9"/>
      <c r="AL98" s="9"/>
      <c r="AM98" s="9"/>
      <c r="AN98" s="9"/>
      <c r="AO98" s="9"/>
      <c r="AP98" s="9"/>
      <c r="AQ98" s="9"/>
      <c r="AR98" s="9"/>
      <c r="AS98" s="9"/>
      <c r="AT98" s="9"/>
    </row>
    <row r="99">
      <c r="A99" s="492"/>
      <c r="B99" s="254"/>
      <c r="C99" s="492"/>
      <c r="D99" s="254"/>
      <c r="E99" s="492"/>
      <c r="F99" s="254"/>
      <c r="G99" s="492"/>
      <c r="H99" s="254"/>
      <c r="I99" s="500"/>
      <c r="J99" s="181"/>
      <c r="K99" s="500"/>
      <c r="L99" s="181"/>
      <c r="M99" s="492"/>
      <c r="N99" s="254"/>
      <c r="O99" s="492"/>
      <c r="P99" s="254"/>
      <c r="Q99" s="492"/>
      <c r="R99" s="254"/>
      <c r="S99" s="493"/>
      <c r="T99" s="194"/>
      <c r="U99" s="492"/>
      <c r="V99" s="254"/>
      <c r="W99" s="492"/>
      <c r="X99" s="254"/>
      <c r="Y99" s="9"/>
      <c r="Z99" s="9"/>
      <c r="AA99" s="9"/>
      <c r="AB99" s="9"/>
      <c r="AC99" s="9"/>
      <c r="AD99" s="9"/>
      <c r="AE99" s="9"/>
      <c r="AF99" s="9"/>
      <c r="AG99" s="9"/>
      <c r="AH99" s="9"/>
      <c r="AI99" s="9"/>
      <c r="AJ99" s="9"/>
      <c r="AK99" s="9"/>
      <c r="AL99" s="9"/>
      <c r="AM99" s="9"/>
      <c r="AN99" s="9"/>
      <c r="AO99" s="9"/>
      <c r="AP99" s="9"/>
      <c r="AQ99" s="9"/>
      <c r="AR99" s="9"/>
      <c r="AS99" s="9"/>
      <c r="AT99" s="9"/>
    </row>
    <row r="100">
      <c r="A100" s="492"/>
      <c r="B100" s="254"/>
      <c r="C100" s="492"/>
      <c r="D100" s="254"/>
      <c r="E100" s="492"/>
      <c r="F100" s="254"/>
      <c r="G100" s="492"/>
      <c r="H100" s="254"/>
      <c r="I100" s="500"/>
      <c r="J100" s="181"/>
      <c r="K100" s="500"/>
      <c r="L100" s="181"/>
      <c r="M100" s="492"/>
      <c r="N100" s="254"/>
      <c r="O100" s="492"/>
      <c r="P100" s="254"/>
      <c r="Q100" s="492"/>
      <c r="R100" s="254"/>
      <c r="S100" s="493"/>
      <c r="T100" s="194"/>
      <c r="U100" s="492"/>
      <c r="V100" s="254"/>
      <c r="W100" s="492"/>
      <c r="X100" s="254"/>
      <c r="Y100" s="9"/>
      <c r="Z100" s="9"/>
      <c r="AA100" s="9"/>
      <c r="AB100" s="9"/>
      <c r="AC100" s="9"/>
      <c r="AD100" s="9"/>
      <c r="AE100" s="9"/>
      <c r="AF100" s="9"/>
      <c r="AG100" s="9"/>
      <c r="AH100" s="9"/>
      <c r="AI100" s="9"/>
      <c r="AJ100" s="9"/>
      <c r="AK100" s="9"/>
      <c r="AL100" s="9"/>
      <c r="AM100" s="9"/>
      <c r="AN100" s="9"/>
      <c r="AO100" s="9"/>
      <c r="AP100" s="9"/>
      <c r="AQ100" s="9"/>
      <c r="AR100" s="9"/>
      <c r="AS100" s="9"/>
      <c r="AT100" s="9"/>
    </row>
    <row r="101">
      <c r="A101" s="492"/>
      <c r="B101" s="254"/>
      <c r="C101" s="492"/>
      <c r="D101" s="254"/>
      <c r="E101" s="492"/>
      <c r="F101" s="254"/>
      <c r="G101" s="492"/>
      <c r="H101" s="254"/>
      <c r="I101" s="500"/>
      <c r="J101" s="181"/>
      <c r="K101" s="500"/>
      <c r="L101" s="181"/>
      <c r="M101" s="492"/>
      <c r="N101" s="254"/>
      <c r="O101" s="492"/>
      <c r="P101" s="254"/>
      <c r="Q101" s="492"/>
      <c r="R101" s="254"/>
      <c r="S101" s="493"/>
      <c r="T101" s="194"/>
      <c r="U101" s="492"/>
      <c r="V101" s="254"/>
      <c r="W101" s="492"/>
      <c r="X101" s="254"/>
      <c r="Y101" s="9"/>
      <c r="Z101" s="9"/>
      <c r="AA101" s="9"/>
      <c r="AB101" s="9"/>
      <c r="AC101" s="9"/>
      <c r="AD101" s="9"/>
      <c r="AE101" s="9"/>
      <c r="AF101" s="9"/>
      <c r="AG101" s="9"/>
      <c r="AH101" s="9"/>
      <c r="AI101" s="9"/>
      <c r="AJ101" s="9"/>
      <c r="AK101" s="9"/>
      <c r="AL101" s="9"/>
      <c r="AM101" s="9"/>
      <c r="AN101" s="9"/>
      <c r="AO101" s="9"/>
      <c r="AP101" s="9"/>
      <c r="AQ101" s="9"/>
      <c r="AR101" s="9"/>
      <c r="AS101" s="9"/>
      <c r="AT101" s="9"/>
    </row>
    <row r="102">
      <c r="A102" s="492"/>
      <c r="B102" s="254"/>
      <c r="C102" s="492"/>
      <c r="D102" s="254"/>
      <c r="E102" s="492"/>
      <c r="F102" s="254"/>
      <c r="G102" s="492"/>
      <c r="H102" s="254"/>
      <c r="I102" s="500"/>
      <c r="J102" s="181"/>
      <c r="K102" s="500"/>
      <c r="L102" s="181"/>
      <c r="M102" s="492"/>
      <c r="N102" s="254"/>
      <c r="O102" s="492"/>
      <c r="P102" s="254"/>
      <c r="Q102" s="492"/>
      <c r="R102" s="254"/>
      <c r="S102" s="493"/>
      <c r="T102" s="194"/>
      <c r="U102" s="492"/>
      <c r="V102" s="254"/>
      <c r="W102" s="492"/>
      <c r="X102" s="254"/>
      <c r="Y102" s="9"/>
      <c r="Z102" s="9"/>
      <c r="AA102" s="9"/>
      <c r="AB102" s="9"/>
      <c r="AC102" s="9"/>
      <c r="AD102" s="9"/>
      <c r="AE102" s="9"/>
      <c r="AF102" s="9"/>
      <c r="AG102" s="9"/>
      <c r="AH102" s="9"/>
      <c r="AI102" s="9"/>
      <c r="AJ102" s="9"/>
      <c r="AK102" s="9"/>
      <c r="AL102" s="9"/>
      <c r="AM102" s="9"/>
      <c r="AN102" s="9"/>
      <c r="AO102" s="9"/>
      <c r="AP102" s="9"/>
      <c r="AQ102" s="9"/>
      <c r="AR102" s="9"/>
      <c r="AS102" s="9"/>
      <c r="AT102" s="9"/>
    </row>
    <row r="103">
      <c r="A103" s="492"/>
      <c r="B103" s="254"/>
      <c r="C103" s="492"/>
      <c r="D103" s="254"/>
      <c r="E103" s="492"/>
      <c r="F103" s="254"/>
      <c r="G103" s="492"/>
      <c r="H103" s="254"/>
      <c r="I103" s="500"/>
      <c r="J103" s="181"/>
      <c r="K103" s="500"/>
      <c r="L103" s="181"/>
      <c r="M103" s="492"/>
      <c r="N103" s="254"/>
      <c r="O103" s="492"/>
      <c r="P103" s="254"/>
      <c r="Q103" s="492"/>
      <c r="R103" s="254"/>
      <c r="S103" s="493"/>
      <c r="T103" s="194"/>
      <c r="U103" s="492"/>
      <c r="V103" s="254"/>
      <c r="W103" s="492"/>
      <c r="X103" s="254"/>
      <c r="Y103" s="9"/>
      <c r="Z103" s="9"/>
      <c r="AA103" s="9"/>
      <c r="AB103" s="9"/>
      <c r="AC103" s="9"/>
      <c r="AD103" s="9"/>
      <c r="AE103" s="9"/>
      <c r="AF103" s="9"/>
      <c r="AG103" s="9"/>
      <c r="AH103" s="9"/>
      <c r="AI103" s="9"/>
      <c r="AJ103" s="9"/>
      <c r="AK103" s="9"/>
      <c r="AL103" s="9"/>
      <c r="AM103" s="9"/>
      <c r="AN103" s="9"/>
      <c r="AO103" s="9"/>
      <c r="AP103" s="9"/>
      <c r="AQ103" s="9"/>
      <c r="AR103" s="9"/>
      <c r="AS103" s="9"/>
      <c r="AT103" s="9"/>
    </row>
    <row r="104">
      <c r="A104" s="492"/>
      <c r="B104" s="254"/>
      <c r="C104" s="492"/>
      <c r="D104" s="254"/>
      <c r="E104" s="492"/>
      <c r="F104" s="254"/>
      <c r="G104" s="492"/>
      <c r="H104" s="254"/>
      <c r="I104" s="500"/>
      <c r="J104" s="181"/>
      <c r="K104" s="500"/>
      <c r="L104" s="181"/>
      <c r="M104" s="492"/>
      <c r="N104" s="254"/>
      <c r="O104" s="492"/>
      <c r="P104" s="254"/>
      <c r="Q104" s="492"/>
      <c r="R104" s="254"/>
      <c r="S104" s="493"/>
      <c r="T104" s="194"/>
      <c r="U104" s="492"/>
      <c r="V104" s="254"/>
      <c r="W104" s="492"/>
      <c r="X104" s="254"/>
      <c r="Y104" s="9"/>
      <c r="Z104" s="9"/>
      <c r="AA104" s="9"/>
      <c r="AB104" s="9"/>
      <c r="AC104" s="9"/>
      <c r="AD104" s="9"/>
      <c r="AE104" s="9"/>
      <c r="AF104" s="9"/>
      <c r="AG104" s="9"/>
      <c r="AH104" s="9"/>
      <c r="AI104" s="9"/>
      <c r="AJ104" s="9"/>
      <c r="AK104" s="9"/>
      <c r="AL104" s="9"/>
      <c r="AM104" s="9"/>
      <c r="AN104" s="9"/>
      <c r="AO104" s="9"/>
      <c r="AP104" s="9"/>
      <c r="AQ104" s="9"/>
      <c r="AR104" s="9"/>
      <c r="AS104" s="9"/>
      <c r="AT104" s="9"/>
    </row>
    <row r="105">
      <c r="A105" s="492"/>
      <c r="B105" s="254"/>
      <c r="C105" s="492"/>
      <c r="D105" s="254"/>
      <c r="E105" s="492"/>
      <c r="F105" s="254"/>
      <c r="G105" s="492"/>
      <c r="H105" s="254"/>
      <c r="I105" s="500"/>
      <c r="J105" s="181"/>
      <c r="K105" s="500"/>
      <c r="L105" s="181"/>
      <c r="M105" s="492"/>
      <c r="N105" s="254"/>
      <c r="O105" s="492"/>
      <c r="P105" s="254"/>
      <c r="Q105" s="492"/>
      <c r="R105" s="254"/>
      <c r="S105" s="492"/>
      <c r="T105" s="254"/>
      <c r="U105" s="492"/>
      <c r="V105" s="254"/>
      <c r="W105" s="492"/>
      <c r="X105" s="254"/>
      <c r="Y105" s="9"/>
      <c r="Z105" s="9"/>
      <c r="AA105" s="9"/>
      <c r="AB105" s="9"/>
      <c r="AC105" s="9"/>
      <c r="AD105" s="9"/>
      <c r="AE105" s="9"/>
      <c r="AF105" s="9"/>
      <c r="AG105" s="9"/>
      <c r="AH105" s="9"/>
      <c r="AI105" s="9"/>
      <c r="AJ105" s="9"/>
      <c r="AK105" s="9"/>
      <c r="AL105" s="9"/>
      <c r="AM105" s="9"/>
      <c r="AN105" s="9"/>
      <c r="AO105" s="9"/>
      <c r="AP105" s="9"/>
      <c r="AQ105" s="9"/>
      <c r="AR105" s="9"/>
      <c r="AS105" s="9"/>
      <c r="AT105" s="9"/>
    </row>
    <row r="106">
      <c r="A106" s="492"/>
      <c r="B106" s="254"/>
      <c r="C106" s="492"/>
      <c r="D106" s="254"/>
      <c r="E106" s="492"/>
      <c r="F106" s="254"/>
      <c r="G106" s="492"/>
      <c r="H106" s="254"/>
      <c r="I106" s="500"/>
      <c r="J106" s="181"/>
      <c r="K106" s="500"/>
      <c r="L106" s="181"/>
      <c r="M106" s="492"/>
      <c r="N106" s="254"/>
      <c r="O106" s="492"/>
      <c r="P106" s="254"/>
      <c r="Q106" s="492"/>
      <c r="R106" s="254"/>
      <c r="S106" s="492"/>
      <c r="T106" s="254"/>
      <c r="U106" s="492"/>
      <c r="V106" s="254"/>
      <c r="W106" s="492"/>
      <c r="X106" s="254"/>
      <c r="Y106" s="9"/>
      <c r="Z106" s="9"/>
      <c r="AA106" s="9"/>
      <c r="AB106" s="9"/>
      <c r="AC106" s="9"/>
      <c r="AD106" s="9"/>
      <c r="AE106" s="9"/>
      <c r="AF106" s="9"/>
      <c r="AG106" s="9"/>
      <c r="AH106" s="9"/>
      <c r="AI106" s="9"/>
      <c r="AJ106" s="9"/>
      <c r="AK106" s="9"/>
      <c r="AL106" s="9"/>
      <c r="AM106" s="9"/>
      <c r="AN106" s="9"/>
      <c r="AO106" s="9"/>
      <c r="AP106" s="9"/>
      <c r="AQ106" s="9"/>
      <c r="AR106" s="9"/>
      <c r="AS106" s="9"/>
      <c r="AT106" s="9"/>
    </row>
    <row r="107">
      <c r="A107" s="492"/>
      <c r="B107" s="254"/>
      <c r="C107" s="492"/>
      <c r="D107" s="254"/>
      <c r="E107" s="492"/>
      <c r="F107" s="254"/>
      <c r="G107" s="492"/>
      <c r="H107" s="254"/>
      <c r="I107" s="500"/>
      <c r="J107" s="181"/>
      <c r="K107" s="500"/>
      <c r="L107" s="181"/>
      <c r="M107" s="492"/>
      <c r="N107" s="254"/>
      <c r="O107" s="492"/>
      <c r="P107" s="254"/>
      <c r="Q107" s="492"/>
      <c r="R107" s="254"/>
      <c r="S107" s="492"/>
      <c r="T107" s="254"/>
      <c r="U107" s="492"/>
      <c r="V107" s="254"/>
      <c r="W107" s="492"/>
      <c r="X107" s="254"/>
      <c r="Y107" s="9"/>
      <c r="Z107" s="9"/>
      <c r="AA107" s="9"/>
      <c r="AB107" s="9"/>
      <c r="AC107" s="9"/>
      <c r="AD107" s="9"/>
      <c r="AE107" s="9"/>
      <c r="AF107" s="9"/>
      <c r="AG107" s="9"/>
      <c r="AH107" s="9"/>
      <c r="AI107" s="9"/>
      <c r="AJ107" s="9"/>
      <c r="AK107" s="9"/>
      <c r="AL107" s="9"/>
      <c r="AM107" s="9"/>
      <c r="AN107" s="9"/>
      <c r="AO107" s="9"/>
      <c r="AP107" s="9"/>
      <c r="AQ107" s="9"/>
      <c r="AR107" s="9"/>
      <c r="AS107" s="9"/>
      <c r="AT107" s="9"/>
    </row>
    <row r="108">
      <c r="A108" s="492"/>
      <c r="B108" s="254"/>
      <c r="C108" s="492"/>
      <c r="D108" s="254"/>
      <c r="E108" s="492"/>
      <c r="F108" s="254"/>
      <c r="G108" s="492"/>
      <c r="H108" s="254"/>
      <c r="I108" s="500"/>
      <c r="J108" s="181"/>
      <c r="K108" s="500"/>
      <c r="L108" s="181"/>
      <c r="M108" s="492"/>
      <c r="N108" s="254"/>
      <c r="O108" s="492"/>
      <c r="P108" s="254"/>
      <c r="Q108" s="492"/>
      <c r="R108" s="254"/>
      <c r="S108" s="492"/>
      <c r="T108" s="254"/>
      <c r="U108" s="492"/>
      <c r="V108" s="254"/>
      <c r="W108" s="492"/>
      <c r="X108" s="254"/>
      <c r="Y108" s="9"/>
      <c r="Z108" s="9"/>
      <c r="AA108" s="9"/>
      <c r="AB108" s="9"/>
      <c r="AC108" s="9"/>
      <c r="AD108" s="9"/>
      <c r="AE108" s="9"/>
      <c r="AF108" s="9"/>
      <c r="AG108" s="9"/>
      <c r="AH108" s="9"/>
      <c r="AI108" s="9"/>
      <c r="AJ108" s="9"/>
      <c r="AK108" s="9"/>
      <c r="AL108" s="9"/>
      <c r="AM108" s="9"/>
      <c r="AN108" s="9"/>
      <c r="AO108" s="9"/>
      <c r="AP108" s="9"/>
      <c r="AQ108" s="9"/>
      <c r="AR108" s="9"/>
      <c r="AS108" s="9"/>
      <c r="AT108" s="9"/>
    </row>
    <row r="109">
      <c r="A109" s="492"/>
      <c r="B109" s="254"/>
      <c r="C109" s="492"/>
      <c r="D109" s="254"/>
      <c r="E109" s="492"/>
      <c r="F109" s="254"/>
      <c r="G109" s="492"/>
      <c r="H109" s="254"/>
      <c r="I109" s="500"/>
      <c r="J109" s="181"/>
      <c r="K109" s="500"/>
      <c r="L109" s="181"/>
      <c r="M109" s="492"/>
      <c r="N109" s="254"/>
      <c r="O109" s="492"/>
      <c r="P109" s="254"/>
      <c r="Q109" s="492"/>
      <c r="R109" s="254"/>
      <c r="S109" s="492"/>
      <c r="T109" s="254"/>
      <c r="U109" s="492"/>
      <c r="V109" s="254"/>
      <c r="W109" s="492"/>
      <c r="X109" s="254"/>
      <c r="Y109" s="9"/>
      <c r="Z109" s="9"/>
      <c r="AA109" s="9"/>
      <c r="AB109" s="9"/>
      <c r="AC109" s="9"/>
      <c r="AD109" s="9"/>
      <c r="AE109" s="9"/>
      <c r="AF109" s="9"/>
      <c r="AG109" s="9"/>
      <c r="AH109" s="9"/>
      <c r="AI109" s="9"/>
      <c r="AJ109" s="9"/>
      <c r="AK109" s="9"/>
      <c r="AL109" s="9"/>
      <c r="AM109" s="9"/>
      <c r="AN109" s="9"/>
      <c r="AO109" s="9"/>
      <c r="AP109" s="9"/>
      <c r="AQ109" s="9"/>
      <c r="AR109" s="9"/>
      <c r="AS109" s="9"/>
      <c r="AT109" s="9"/>
    </row>
    <row r="110">
      <c r="A110" s="492"/>
      <c r="B110" s="254"/>
      <c r="C110" s="492"/>
      <c r="D110" s="254"/>
      <c r="E110" s="492"/>
      <c r="F110" s="254"/>
      <c r="G110" s="492"/>
      <c r="H110" s="254"/>
      <c r="I110" s="500"/>
      <c r="J110" s="181"/>
      <c r="K110" s="500"/>
      <c r="L110" s="181"/>
      <c r="M110" s="492"/>
      <c r="N110" s="254"/>
      <c r="O110" s="492"/>
      <c r="P110" s="254"/>
      <c r="Q110" s="492"/>
      <c r="R110" s="254"/>
      <c r="S110" s="492"/>
      <c r="T110" s="254"/>
      <c r="U110" s="492"/>
      <c r="V110" s="254"/>
      <c r="W110" s="492"/>
      <c r="X110" s="254"/>
      <c r="Y110" s="9"/>
      <c r="Z110" s="9"/>
      <c r="AA110" s="9"/>
      <c r="AB110" s="9"/>
      <c r="AC110" s="9"/>
      <c r="AD110" s="9"/>
      <c r="AE110" s="9"/>
      <c r="AF110" s="9"/>
      <c r="AG110" s="9"/>
      <c r="AH110" s="9"/>
      <c r="AI110" s="9"/>
      <c r="AJ110" s="9"/>
      <c r="AK110" s="9"/>
      <c r="AL110" s="9"/>
      <c r="AM110" s="9"/>
      <c r="AN110" s="9"/>
      <c r="AO110" s="9"/>
      <c r="AP110" s="9"/>
      <c r="AQ110" s="9"/>
      <c r="AR110" s="9"/>
      <c r="AS110" s="9"/>
      <c r="AT110" s="9"/>
    </row>
    <row r="111">
      <c r="A111" s="492"/>
      <c r="B111" s="254"/>
      <c r="C111" s="492"/>
      <c r="D111" s="254"/>
      <c r="E111" s="492"/>
      <c r="F111" s="254"/>
      <c r="G111" s="492"/>
      <c r="H111" s="254"/>
      <c r="I111" s="500"/>
      <c r="J111" s="181"/>
      <c r="K111" s="500"/>
      <c r="L111" s="181"/>
      <c r="M111" s="492"/>
      <c r="N111" s="254"/>
      <c r="O111" s="492"/>
      <c r="P111" s="254"/>
      <c r="Q111" s="492"/>
      <c r="R111" s="254"/>
      <c r="S111" s="492"/>
      <c r="T111" s="254"/>
      <c r="U111" s="492"/>
      <c r="V111" s="254"/>
      <c r="W111" s="492"/>
      <c r="X111" s="254"/>
      <c r="Y111" s="9"/>
      <c r="Z111" s="9"/>
      <c r="AA111" s="9"/>
      <c r="AB111" s="9"/>
      <c r="AC111" s="9"/>
      <c r="AD111" s="9"/>
      <c r="AE111" s="9"/>
      <c r="AF111" s="9"/>
      <c r="AG111" s="9"/>
      <c r="AH111" s="9"/>
      <c r="AI111" s="9"/>
      <c r="AJ111" s="9"/>
      <c r="AK111" s="9"/>
      <c r="AL111" s="9"/>
      <c r="AM111" s="9"/>
      <c r="AN111" s="9"/>
      <c r="AO111" s="9"/>
      <c r="AP111" s="9"/>
      <c r="AQ111" s="9"/>
      <c r="AR111" s="9"/>
      <c r="AS111" s="9"/>
      <c r="AT111" s="9"/>
    </row>
    <row r="112">
      <c r="A112" s="492"/>
      <c r="B112" s="254"/>
      <c r="C112" s="492"/>
      <c r="D112" s="254"/>
      <c r="E112" s="492"/>
      <c r="F112" s="254"/>
      <c r="G112" s="492"/>
      <c r="H112" s="254"/>
      <c r="I112" s="500"/>
      <c r="J112" s="181"/>
      <c r="K112" s="500"/>
      <c r="L112" s="181"/>
      <c r="M112" s="492"/>
      <c r="N112" s="254"/>
      <c r="O112" s="492"/>
      <c r="P112" s="254"/>
      <c r="Q112" s="492"/>
      <c r="R112" s="254"/>
      <c r="S112" s="492"/>
      <c r="T112" s="254"/>
      <c r="U112" s="492"/>
      <c r="V112" s="254"/>
      <c r="W112" s="492"/>
      <c r="X112" s="254"/>
      <c r="Y112" s="9"/>
      <c r="Z112" s="9"/>
      <c r="AA112" s="9"/>
      <c r="AB112" s="9"/>
      <c r="AC112" s="9"/>
      <c r="AD112" s="9"/>
      <c r="AE112" s="9"/>
      <c r="AF112" s="9"/>
      <c r="AG112" s="9"/>
      <c r="AH112" s="9"/>
      <c r="AI112" s="9"/>
      <c r="AJ112" s="9"/>
      <c r="AK112" s="9"/>
      <c r="AL112" s="9"/>
      <c r="AM112" s="9"/>
      <c r="AN112" s="9"/>
      <c r="AO112" s="9"/>
      <c r="AP112" s="9"/>
      <c r="AQ112" s="9"/>
      <c r="AR112" s="9"/>
      <c r="AS112" s="9"/>
      <c r="AT112" s="9"/>
    </row>
    <row r="113">
      <c r="A113" s="492"/>
      <c r="B113" s="254"/>
      <c r="C113" s="492"/>
      <c r="D113" s="254"/>
      <c r="E113" s="492"/>
      <c r="F113" s="254"/>
      <c r="G113" s="492"/>
      <c r="H113" s="254"/>
      <c r="I113" s="500"/>
      <c r="J113" s="181"/>
      <c r="K113" s="500"/>
      <c r="L113" s="181"/>
      <c r="M113" s="492"/>
      <c r="N113" s="254"/>
      <c r="O113" s="492"/>
      <c r="P113" s="254"/>
      <c r="Q113" s="492"/>
      <c r="R113" s="254"/>
      <c r="S113" s="492"/>
      <c r="T113" s="254"/>
      <c r="U113" s="492"/>
      <c r="V113" s="254"/>
      <c r="W113" s="492"/>
      <c r="X113" s="254"/>
      <c r="Y113" s="9"/>
      <c r="Z113" s="9"/>
      <c r="AA113" s="9"/>
      <c r="AB113" s="9"/>
      <c r="AC113" s="9"/>
      <c r="AD113" s="9"/>
      <c r="AE113" s="9"/>
      <c r="AF113" s="9"/>
      <c r="AG113" s="9"/>
      <c r="AH113" s="9"/>
      <c r="AI113" s="9"/>
      <c r="AJ113" s="9"/>
      <c r="AK113" s="9"/>
      <c r="AL113" s="9"/>
      <c r="AM113" s="9"/>
      <c r="AN113" s="9"/>
      <c r="AO113" s="9"/>
      <c r="AP113" s="9"/>
      <c r="AQ113" s="9"/>
      <c r="AR113" s="9"/>
      <c r="AS113" s="9"/>
      <c r="AT113" s="9"/>
    </row>
    <row r="114">
      <c r="A114" s="492"/>
      <c r="B114" s="254"/>
      <c r="C114" s="492"/>
      <c r="D114" s="254"/>
      <c r="E114" s="492"/>
      <c r="F114" s="254"/>
      <c r="G114" s="492"/>
      <c r="H114" s="254"/>
      <c r="I114" s="500"/>
      <c r="J114" s="181"/>
      <c r="K114" s="500"/>
      <c r="L114" s="181"/>
      <c r="M114" s="492"/>
      <c r="N114" s="254"/>
      <c r="O114" s="492"/>
      <c r="P114" s="254"/>
      <c r="Q114" s="492"/>
      <c r="R114" s="254"/>
      <c r="S114" s="492"/>
      <c r="T114" s="254"/>
      <c r="U114" s="492"/>
      <c r="V114" s="254"/>
      <c r="W114" s="492"/>
      <c r="X114" s="254"/>
      <c r="Y114" s="9"/>
      <c r="Z114" s="9"/>
      <c r="AA114" s="9"/>
      <c r="AB114" s="9"/>
      <c r="AC114" s="9"/>
      <c r="AD114" s="9"/>
      <c r="AE114" s="9"/>
      <c r="AF114" s="9"/>
      <c r="AG114" s="9"/>
      <c r="AH114" s="9"/>
      <c r="AI114" s="9"/>
      <c r="AJ114" s="9"/>
      <c r="AK114" s="9"/>
      <c r="AL114" s="9"/>
      <c r="AM114" s="9"/>
      <c r="AN114" s="9"/>
      <c r="AO114" s="9"/>
      <c r="AP114" s="9"/>
      <c r="AQ114" s="9"/>
      <c r="AR114" s="9"/>
      <c r="AS114" s="9"/>
      <c r="AT114" s="9"/>
    </row>
    <row r="115">
      <c r="A115" s="492"/>
      <c r="B115" s="254"/>
      <c r="C115" s="492"/>
      <c r="D115" s="254"/>
      <c r="E115" s="492"/>
      <c r="F115" s="254"/>
      <c r="G115" s="492"/>
      <c r="H115" s="254"/>
      <c r="I115" s="500"/>
      <c r="J115" s="181"/>
      <c r="K115" s="500"/>
      <c r="L115" s="181"/>
      <c r="M115" s="492"/>
      <c r="N115" s="254"/>
      <c r="O115" s="492"/>
      <c r="P115" s="254"/>
      <c r="Q115" s="492"/>
      <c r="R115" s="254"/>
      <c r="S115" s="492"/>
      <c r="T115" s="254"/>
      <c r="U115" s="492"/>
      <c r="V115" s="254"/>
      <c r="W115" s="492"/>
      <c r="X115" s="254"/>
      <c r="Y115" s="9"/>
      <c r="Z115" s="9"/>
      <c r="AA115" s="9"/>
      <c r="AB115" s="9"/>
      <c r="AC115" s="9"/>
      <c r="AD115" s="9"/>
      <c r="AE115" s="9"/>
      <c r="AF115" s="9"/>
      <c r="AG115" s="9"/>
      <c r="AH115" s="9"/>
      <c r="AI115" s="9"/>
      <c r="AJ115" s="9"/>
      <c r="AK115" s="9"/>
      <c r="AL115" s="9"/>
      <c r="AM115" s="9"/>
      <c r="AN115" s="9"/>
      <c r="AO115" s="9"/>
      <c r="AP115" s="9"/>
      <c r="AQ115" s="9"/>
      <c r="AR115" s="9"/>
      <c r="AS115" s="9"/>
      <c r="AT115" s="9"/>
    </row>
    <row r="116">
      <c r="A116" s="492"/>
      <c r="B116" s="254"/>
      <c r="C116" s="492"/>
      <c r="D116" s="254"/>
      <c r="E116" s="492"/>
      <c r="F116" s="254"/>
      <c r="G116" s="492"/>
      <c r="H116" s="254"/>
      <c r="I116" s="500"/>
      <c r="J116" s="181"/>
      <c r="K116" s="500"/>
      <c r="L116" s="181"/>
      <c r="M116" s="492"/>
      <c r="N116" s="254"/>
      <c r="O116" s="492"/>
      <c r="P116" s="254"/>
      <c r="Q116" s="492"/>
      <c r="R116" s="254"/>
      <c r="S116" s="492"/>
      <c r="T116" s="254"/>
      <c r="U116" s="492"/>
      <c r="V116" s="254"/>
      <c r="W116" s="492"/>
      <c r="X116" s="254"/>
      <c r="Y116" s="9"/>
      <c r="Z116" s="9"/>
      <c r="AA116" s="9"/>
      <c r="AB116" s="9"/>
      <c r="AC116" s="9"/>
      <c r="AD116" s="9"/>
      <c r="AE116" s="9"/>
      <c r="AF116" s="9"/>
      <c r="AG116" s="9"/>
      <c r="AH116" s="9"/>
      <c r="AI116" s="9"/>
      <c r="AJ116" s="9"/>
      <c r="AK116" s="9"/>
      <c r="AL116" s="9"/>
      <c r="AM116" s="9"/>
      <c r="AN116" s="9"/>
      <c r="AO116" s="9"/>
      <c r="AP116" s="9"/>
      <c r="AQ116" s="9"/>
      <c r="AR116" s="9"/>
      <c r="AS116" s="9"/>
      <c r="AT116" s="9"/>
    </row>
    <row r="117">
      <c r="A117" s="492"/>
      <c r="B117" s="254"/>
      <c r="C117" s="492"/>
      <c r="D117" s="254"/>
      <c r="E117" s="492"/>
      <c r="F117" s="254"/>
      <c r="G117" s="492"/>
      <c r="H117" s="254"/>
      <c r="I117" s="500"/>
      <c r="J117" s="181"/>
      <c r="K117" s="500"/>
      <c r="L117" s="181"/>
      <c r="M117" s="492"/>
      <c r="N117" s="254"/>
      <c r="O117" s="492"/>
      <c r="P117" s="254"/>
      <c r="Q117" s="492"/>
      <c r="R117" s="254"/>
      <c r="S117" s="492"/>
      <c r="T117" s="254"/>
      <c r="U117" s="492"/>
      <c r="V117" s="254"/>
      <c r="W117" s="492"/>
      <c r="X117" s="254"/>
      <c r="Y117" s="9"/>
      <c r="Z117" s="9"/>
      <c r="AA117" s="9"/>
      <c r="AB117" s="9"/>
      <c r="AC117" s="9"/>
      <c r="AD117" s="9"/>
      <c r="AE117" s="9"/>
      <c r="AF117" s="9"/>
      <c r="AG117" s="9"/>
      <c r="AH117" s="9"/>
      <c r="AI117" s="9"/>
      <c r="AJ117" s="9"/>
      <c r="AK117" s="9"/>
      <c r="AL117" s="9"/>
      <c r="AM117" s="9"/>
      <c r="AN117" s="9"/>
      <c r="AO117" s="9"/>
      <c r="AP117" s="9"/>
      <c r="AQ117" s="9"/>
      <c r="AR117" s="9"/>
      <c r="AS117" s="9"/>
      <c r="AT117" s="9"/>
    </row>
    <row r="118">
      <c r="A118" s="492"/>
      <c r="B118" s="254"/>
      <c r="C118" s="492"/>
      <c r="D118" s="254"/>
      <c r="E118" s="492"/>
      <c r="F118" s="254"/>
      <c r="G118" s="492"/>
      <c r="H118" s="254"/>
      <c r="I118" s="500"/>
      <c r="J118" s="181"/>
      <c r="K118" s="500"/>
      <c r="L118" s="181"/>
      <c r="M118" s="492"/>
      <c r="N118" s="254"/>
      <c r="O118" s="492"/>
      <c r="P118" s="254"/>
      <c r="Q118" s="492"/>
      <c r="R118" s="254"/>
      <c r="S118" s="492"/>
      <c r="T118" s="254"/>
      <c r="U118" s="492"/>
      <c r="V118" s="254"/>
      <c r="W118" s="492"/>
      <c r="X118" s="254"/>
      <c r="Y118" s="9"/>
      <c r="Z118" s="9"/>
      <c r="AA118" s="9"/>
      <c r="AB118" s="9"/>
      <c r="AC118" s="9"/>
      <c r="AD118" s="9"/>
      <c r="AE118" s="9"/>
      <c r="AF118" s="9"/>
      <c r="AG118" s="9"/>
      <c r="AH118" s="9"/>
      <c r="AI118" s="9"/>
      <c r="AJ118" s="9"/>
      <c r="AK118" s="9"/>
      <c r="AL118" s="9"/>
      <c r="AM118" s="9"/>
      <c r="AN118" s="9"/>
      <c r="AO118" s="9"/>
      <c r="AP118" s="9"/>
      <c r="AQ118" s="9"/>
      <c r="AR118" s="9"/>
      <c r="AS118" s="9"/>
      <c r="AT118" s="9"/>
    </row>
    <row r="119">
      <c r="A119" s="492"/>
      <c r="B119" s="254"/>
      <c r="C119" s="492"/>
      <c r="D119" s="254"/>
      <c r="E119" s="492"/>
      <c r="F119" s="254"/>
      <c r="G119" s="492"/>
      <c r="H119" s="254"/>
      <c r="I119" s="500"/>
      <c r="J119" s="181"/>
      <c r="K119" s="500"/>
      <c r="L119" s="181"/>
      <c r="M119" s="492"/>
      <c r="N119" s="254"/>
      <c r="O119" s="492"/>
      <c r="P119" s="254"/>
      <c r="Q119" s="492"/>
      <c r="R119" s="254"/>
      <c r="S119" s="492"/>
      <c r="T119" s="254"/>
      <c r="U119" s="492"/>
      <c r="V119" s="254"/>
      <c r="W119" s="492"/>
      <c r="X119" s="254"/>
      <c r="Y119" s="9"/>
      <c r="Z119" s="9"/>
      <c r="AA119" s="9"/>
      <c r="AB119" s="9"/>
      <c r="AC119" s="9"/>
      <c r="AD119" s="9"/>
      <c r="AE119" s="9"/>
      <c r="AF119" s="9"/>
      <c r="AG119" s="9"/>
      <c r="AH119" s="9"/>
      <c r="AI119" s="9"/>
      <c r="AJ119" s="9"/>
      <c r="AK119" s="9"/>
      <c r="AL119" s="9"/>
      <c r="AM119" s="9"/>
      <c r="AN119" s="9"/>
      <c r="AO119" s="9"/>
      <c r="AP119" s="9"/>
      <c r="AQ119" s="9"/>
      <c r="AR119" s="9"/>
      <c r="AS119" s="9"/>
      <c r="AT119" s="9"/>
    </row>
    <row r="120">
      <c r="A120" s="492"/>
      <c r="B120" s="254"/>
      <c r="C120" s="492"/>
      <c r="D120" s="254"/>
      <c r="E120" s="492"/>
      <c r="F120" s="254"/>
      <c r="G120" s="492"/>
      <c r="H120" s="254"/>
      <c r="I120" s="500"/>
      <c r="J120" s="181"/>
      <c r="K120" s="500"/>
      <c r="L120" s="181"/>
      <c r="M120" s="492"/>
      <c r="N120" s="254"/>
      <c r="O120" s="492"/>
      <c r="P120" s="254"/>
      <c r="Q120" s="492"/>
      <c r="R120" s="254"/>
      <c r="S120" s="492"/>
      <c r="T120" s="254"/>
      <c r="U120" s="492"/>
      <c r="V120" s="254"/>
      <c r="W120" s="492"/>
      <c r="X120" s="254"/>
      <c r="Y120" s="9"/>
      <c r="Z120" s="9"/>
      <c r="AA120" s="9"/>
      <c r="AB120" s="9"/>
      <c r="AC120" s="9"/>
      <c r="AD120" s="9"/>
      <c r="AE120" s="9"/>
      <c r="AF120" s="9"/>
      <c r="AG120" s="9"/>
      <c r="AH120" s="9"/>
      <c r="AI120" s="9"/>
      <c r="AJ120" s="9"/>
      <c r="AK120" s="9"/>
      <c r="AL120" s="9"/>
      <c r="AM120" s="9"/>
      <c r="AN120" s="9"/>
      <c r="AO120" s="9"/>
      <c r="AP120" s="9"/>
      <c r="AQ120" s="9"/>
      <c r="AR120" s="9"/>
      <c r="AS120" s="9"/>
      <c r="AT120" s="9"/>
    </row>
    <row r="121">
      <c r="A121" s="492"/>
      <c r="B121" s="254"/>
      <c r="C121" s="492"/>
      <c r="D121" s="254"/>
      <c r="E121" s="492"/>
      <c r="F121" s="254"/>
      <c r="G121" s="492"/>
      <c r="H121" s="254"/>
      <c r="I121" s="500"/>
      <c r="J121" s="181"/>
      <c r="K121" s="500"/>
      <c r="L121" s="181"/>
      <c r="M121" s="492"/>
      <c r="N121" s="254"/>
      <c r="O121" s="492"/>
      <c r="P121" s="254"/>
      <c r="Q121" s="492"/>
      <c r="R121" s="254"/>
      <c r="S121" s="492"/>
      <c r="T121" s="254"/>
      <c r="U121" s="492"/>
      <c r="V121" s="254"/>
      <c r="W121" s="492"/>
      <c r="X121" s="254"/>
      <c r="Y121" s="9"/>
      <c r="Z121" s="9"/>
      <c r="AA121" s="9"/>
      <c r="AB121" s="9"/>
      <c r="AC121" s="9"/>
      <c r="AD121" s="9"/>
      <c r="AE121" s="9"/>
      <c r="AF121" s="9"/>
      <c r="AG121" s="9"/>
      <c r="AH121" s="9"/>
      <c r="AI121" s="9"/>
      <c r="AJ121" s="9"/>
      <c r="AK121" s="9"/>
      <c r="AL121" s="9"/>
      <c r="AM121" s="9"/>
      <c r="AN121" s="9"/>
      <c r="AO121" s="9"/>
      <c r="AP121" s="9"/>
      <c r="AQ121" s="9"/>
      <c r="AR121" s="9"/>
      <c r="AS121" s="9"/>
      <c r="AT121" s="9"/>
    </row>
    <row r="122">
      <c r="A122" s="492"/>
      <c r="B122" s="254"/>
      <c r="C122" s="492"/>
      <c r="D122" s="254"/>
      <c r="E122" s="492"/>
      <c r="F122" s="254"/>
      <c r="G122" s="492"/>
      <c r="H122" s="254"/>
      <c r="I122" s="500"/>
      <c r="J122" s="181"/>
      <c r="K122" s="500"/>
      <c r="L122" s="181"/>
      <c r="M122" s="492"/>
      <c r="N122" s="254"/>
      <c r="O122" s="492"/>
      <c r="P122" s="254"/>
      <c r="Q122" s="492"/>
      <c r="R122" s="254"/>
      <c r="S122" s="492"/>
      <c r="T122" s="254"/>
      <c r="U122" s="492"/>
      <c r="V122" s="254"/>
      <c r="W122" s="492"/>
      <c r="X122" s="254"/>
      <c r="Y122" s="9"/>
      <c r="Z122" s="9"/>
      <c r="AA122" s="9"/>
      <c r="AB122" s="9"/>
      <c r="AC122" s="9"/>
      <c r="AD122" s="9"/>
      <c r="AE122" s="9"/>
      <c r="AF122" s="9"/>
      <c r="AG122" s="9"/>
      <c r="AH122" s="9"/>
      <c r="AI122" s="9"/>
      <c r="AJ122" s="9"/>
      <c r="AK122" s="9"/>
      <c r="AL122" s="9"/>
      <c r="AM122" s="9"/>
      <c r="AN122" s="9"/>
      <c r="AO122" s="9"/>
      <c r="AP122" s="9"/>
      <c r="AQ122" s="9"/>
      <c r="AR122" s="9"/>
      <c r="AS122" s="9"/>
      <c r="AT122" s="9"/>
    </row>
    <row r="123">
      <c r="A123" s="492"/>
      <c r="B123" s="254"/>
      <c r="C123" s="492"/>
      <c r="D123" s="254"/>
      <c r="E123" s="492"/>
      <c r="F123" s="254"/>
      <c r="G123" s="492"/>
      <c r="H123" s="254"/>
      <c r="I123" s="500"/>
      <c r="J123" s="181"/>
      <c r="K123" s="500"/>
      <c r="L123" s="181"/>
      <c r="M123" s="492"/>
      <c r="N123" s="254"/>
      <c r="O123" s="492"/>
      <c r="P123" s="254"/>
      <c r="Q123" s="492"/>
      <c r="R123" s="254"/>
      <c r="S123" s="492"/>
      <c r="T123" s="254"/>
      <c r="U123" s="492"/>
      <c r="V123" s="254"/>
      <c r="W123" s="492"/>
      <c r="X123" s="254"/>
      <c r="Y123" s="9"/>
      <c r="Z123" s="9"/>
      <c r="AA123" s="9"/>
      <c r="AB123" s="9"/>
      <c r="AC123" s="9"/>
      <c r="AD123" s="9"/>
      <c r="AE123" s="9"/>
      <c r="AF123" s="9"/>
      <c r="AG123" s="9"/>
      <c r="AH123" s="9"/>
      <c r="AI123" s="9"/>
      <c r="AJ123" s="9"/>
      <c r="AK123" s="9"/>
      <c r="AL123" s="9"/>
      <c r="AM123" s="9"/>
      <c r="AN123" s="9"/>
      <c r="AO123" s="9"/>
      <c r="AP123" s="9"/>
      <c r="AQ123" s="9"/>
      <c r="AR123" s="9"/>
      <c r="AS123" s="9"/>
      <c r="AT123" s="9"/>
    </row>
    <row r="124">
      <c r="A124" s="492"/>
      <c r="B124" s="254"/>
      <c r="C124" s="492"/>
      <c r="D124" s="254"/>
      <c r="E124" s="492"/>
      <c r="F124" s="254"/>
      <c r="G124" s="492"/>
      <c r="H124" s="254"/>
      <c r="I124" s="500"/>
      <c r="J124" s="181"/>
      <c r="K124" s="500"/>
      <c r="L124" s="181"/>
      <c r="M124" s="492"/>
      <c r="N124" s="254"/>
      <c r="O124" s="492"/>
      <c r="P124" s="254"/>
      <c r="Q124" s="492"/>
      <c r="R124" s="254"/>
      <c r="S124" s="492"/>
      <c r="T124" s="254"/>
      <c r="U124" s="492"/>
      <c r="V124" s="254"/>
      <c r="W124" s="492"/>
      <c r="X124" s="254"/>
      <c r="Y124" s="9"/>
      <c r="Z124" s="9"/>
      <c r="AA124" s="9"/>
      <c r="AB124" s="9"/>
      <c r="AC124" s="9"/>
      <c r="AD124" s="9"/>
      <c r="AE124" s="9"/>
      <c r="AF124" s="9"/>
      <c r="AG124" s="9"/>
      <c r="AH124" s="9"/>
      <c r="AI124" s="9"/>
      <c r="AJ124" s="9"/>
      <c r="AK124" s="9"/>
      <c r="AL124" s="9"/>
      <c r="AM124" s="9"/>
      <c r="AN124" s="9"/>
      <c r="AO124" s="9"/>
      <c r="AP124" s="9"/>
      <c r="AQ124" s="9"/>
      <c r="AR124" s="9"/>
      <c r="AS124" s="9"/>
      <c r="AT124" s="9"/>
    </row>
    <row r="125">
      <c r="A125" s="492"/>
      <c r="B125" s="254"/>
      <c r="C125" s="492"/>
      <c r="D125" s="254"/>
      <c r="E125" s="492"/>
      <c r="F125" s="254"/>
      <c r="G125" s="492"/>
      <c r="H125" s="254"/>
      <c r="I125" s="500"/>
      <c r="J125" s="181"/>
      <c r="K125" s="500"/>
      <c r="L125" s="181"/>
      <c r="M125" s="492"/>
      <c r="N125" s="254"/>
      <c r="O125" s="492"/>
      <c r="P125" s="254"/>
      <c r="Q125" s="492"/>
      <c r="R125" s="254"/>
      <c r="S125" s="492"/>
      <c r="T125" s="254"/>
      <c r="U125" s="492"/>
      <c r="V125" s="254"/>
      <c r="W125" s="492"/>
      <c r="X125" s="254"/>
      <c r="Y125" s="9"/>
      <c r="Z125" s="9"/>
      <c r="AA125" s="9"/>
      <c r="AB125" s="9"/>
      <c r="AC125" s="9"/>
      <c r="AD125" s="9"/>
      <c r="AE125" s="9"/>
      <c r="AF125" s="9"/>
      <c r="AG125" s="9"/>
      <c r="AH125" s="9"/>
      <c r="AI125" s="9"/>
      <c r="AJ125" s="9"/>
      <c r="AK125" s="9"/>
      <c r="AL125" s="9"/>
      <c r="AM125" s="9"/>
      <c r="AN125" s="9"/>
      <c r="AO125" s="9"/>
      <c r="AP125" s="9"/>
      <c r="AQ125" s="9"/>
      <c r="AR125" s="9"/>
      <c r="AS125" s="9"/>
      <c r="AT125" s="9"/>
    </row>
    <row r="126">
      <c r="A126" s="492"/>
      <c r="B126" s="254"/>
      <c r="C126" s="492"/>
      <c r="D126" s="254"/>
      <c r="E126" s="492"/>
      <c r="F126" s="254"/>
      <c r="G126" s="492"/>
      <c r="H126" s="254"/>
      <c r="I126" s="500"/>
      <c r="J126" s="181"/>
      <c r="K126" s="500"/>
      <c r="L126" s="181"/>
      <c r="M126" s="492"/>
      <c r="N126" s="254"/>
      <c r="O126" s="492"/>
      <c r="P126" s="254"/>
      <c r="Q126" s="492"/>
      <c r="R126" s="254"/>
      <c r="S126" s="492"/>
      <c r="T126" s="254"/>
      <c r="U126" s="492"/>
      <c r="V126" s="254"/>
      <c r="W126" s="492"/>
      <c r="X126" s="254"/>
      <c r="Y126" s="9"/>
      <c r="Z126" s="9"/>
      <c r="AA126" s="9"/>
      <c r="AB126" s="9"/>
      <c r="AC126" s="9"/>
      <c r="AD126" s="9"/>
      <c r="AE126" s="9"/>
      <c r="AF126" s="9"/>
      <c r="AG126" s="9"/>
      <c r="AH126" s="9"/>
      <c r="AI126" s="9"/>
      <c r="AJ126" s="9"/>
      <c r="AK126" s="9"/>
      <c r="AL126" s="9"/>
      <c r="AM126" s="9"/>
      <c r="AN126" s="9"/>
      <c r="AO126" s="9"/>
      <c r="AP126" s="9"/>
      <c r="AQ126" s="9"/>
      <c r="AR126" s="9"/>
      <c r="AS126" s="9"/>
      <c r="AT126" s="9"/>
    </row>
    <row r="127">
      <c r="A127" s="492"/>
      <c r="B127" s="254"/>
      <c r="C127" s="492"/>
      <c r="D127" s="254"/>
      <c r="E127" s="492"/>
      <c r="F127" s="254"/>
      <c r="G127" s="492"/>
      <c r="H127" s="254"/>
      <c r="I127" s="500"/>
      <c r="J127" s="181"/>
      <c r="K127" s="500"/>
      <c r="L127" s="181"/>
      <c r="M127" s="492"/>
      <c r="N127" s="254"/>
      <c r="O127" s="492"/>
      <c r="P127" s="254"/>
      <c r="Q127" s="492"/>
      <c r="R127" s="254"/>
      <c r="S127" s="492"/>
      <c r="T127" s="254"/>
      <c r="U127" s="492"/>
      <c r="V127" s="254"/>
      <c r="W127" s="492"/>
      <c r="X127" s="254"/>
      <c r="Y127" s="9"/>
      <c r="Z127" s="9"/>
      <c r="AA127" s="9"/>
      <c r="AB127" s="9"/>
      <c r="AC127" s="9"/>
      <c r="AD127" s="9"/>
      <c r="AE127" s="9"/>
      <c r="AF127" s="9"/>
      <c r="AG127" s="9"/>
      <c r="AH127" s="9"/>
      <c r="AI127" s="9"/>
      <c r="AJ127" s="9"/>
      <c r="AK127" s="9"/>
      <c r="AL127" s="9"/>
      <c r="AM127" s="9"/>
      <c r="AN127" s="9"/>
      <c r="AO127" s="9"/>
      <c r="AP127" s="9"/>
      <c r="AQ127" s="9"/>
      <c r="AR127" s="9"/>
      <c r="AS127" s="9"/>
      <c r="AT127" s="9"/>
    </row>
    <row r="128">
      <c r="A128" s="492"/>
      <c r="B128" s="254"/>
      <c r="C128" s="492"/>
      <c r="D128" s="254"/>
      <c r="E128" s="492"/>
      <c r="F128" s="254"/>
      <c r="G128" s="492"/>
      <c r="H128" s="254"/>
      <c r="I128" s="500"/>
      <c r="J128" s="181"/>
      <c r="K128" s="500"/>
      <c r="L128" s="181"/>
      <c r="M128" s="492"/>
      <c r="N128" s="254"/>
      <c r="O128" s="492"/>
      <c r="P128" s="254"/>
      <c r="Q128" s="492"/>
      <c r="R128" s="254"/>
      <c r="S128" s="492"/>
      <c r="T128" s="254"/>
      <c r="U128" s="492"/>
      <c r="V128" s="254"/>
      <c r="W128" s="492"/>
      <c r="X128" s="254"/>
      <c r="Y128" s="9"/>
      <c r="Z128" s="9"/>
      <c r="AA128" s="9"/>
      <c r="AB128" s="9"/>
      <c r="AC128" s="9"/>
      <c r="AD128" s="9"/>
      <c r="AE128" s="9"/>
      <c r="AF128" s="9"/>
      <c r="AG128" s="9"/>
      <c r="AH128" s="9"/>
      <c r="AI128" s="9"/>
      <c r="AJ128" s="9"/>
      <c r="AK128" s="9"/>
      <c r="AL128" s="9"/>
      <c r="AM128" s="9"/>
      <c r="AN128" s="9"/>
      <c r="AO128" s="9"/>
      <c r="AP128" s="9"/>
      <c r="AQ128" s="9"/>
      <c r="AR128" s="9"/>
      <c r="AS128" s="9"/>
      <c r="AT128" s="9"/>
    </row>
    <row r="129">
      <c r="A129" s="492"/>
      <c r="B129" s="254"/>
      <c r="C129" s="492"/>
      <c r="D129" s="254"/>
      <c r="E129" s="492"/>
      <c r="F129" s="254"/>
      <c r="G129" s="492"/>
      <c r="H129" s="254"/>
      <c r="I129" s="500"/>
      <c r="J129" s="181"/>
      <c r="K129" s="500"/>
      <c r="L129" s="181"/>
      <c r="M129" s="492"/>
      <c r="N129" s="254"/>
      <c r="O129" s="492"/>
      <c r="P129" s="254"/>
      <c r="Q129" s="492"/>
      <c r="R129" s="254"/>
      <c r="S129" s="492"/>
      <c r="T129" s="254"/>
      <c r="U129" s="492"/>
      <c r="V129" s="254"/>
      <c r="W129" s="492"/>
      <c r="X129" s="254"/>
      <c r="Y129" s="9"/>
      <c r="Z129" s="9"/>
      <c r="AA129" s="9"/>
      <c r="AB129" s="9"/>
      <c r="AC129" s="9"/>
      <c r="AD129" s="9"/>
      <c r="AE129" s="9"/>
      <c r="AF129" s="9"/>
      <c r="AG129" s="9"/>
      <c r="AH129" s="9"/>
      <c r="AI129" s="9"/>
      <c r="AJ129" s="9"/>
      <c r="AK129" s="9"/>
      <c r="AL129" s="9"/>
      <c r="AM129" s="9"/>
      <c r="AN129" s="9"/>
      <c r="AO129" s="9"/>
      <c r="AP129" s="9"/>
      <c r="AQ129" s="9"/>
      <c r="AR129" s="9"/>
      <c r="AS129" s="9"/>
      <c r="AT129" s="9"/>
    </row>
    <row r="130">
      <c r="A130" s="492"/>
      <c r="B130" s="254"/>
      <c r="C130" s="492"/>
      <c r="D130" s="254"/>
      <c r="E130" s="492"/>
      <c r="F130" s="254"/>
      <c r="G130" s="492"/>
      <c r="H130" s="254"/>
      <c r="I130" s="500"/>
      <c r="J130" s="181"/>
      <c r="K130" s="500"/>
      <c r="L130" s="181"/>
      <c r="M130" s="492"/>
      <c r="N130" s="254"/>
      <c r="O130" s="492"/>
      <c r="P130" s="254"/>
      <c r="Q130" s="492"/>
      <c r="R130" s="254"/>
      <c r="S130" s="492"/>
      <c r="T130" s="254"/>
      <c r="U130" s="492"/>
      <c r="V130" s="254"/>
      <c r="W130" s="492"/>
      <c r="X130" s="254"/>
      <c r="Y130" s="9"/>
      <c r="Z130" s="9"/>
      <c r="AA130" s="9"/>
      <c r="AB130" s="9"/>
      <c r="AC130" s="9"/>
      <c r="AD130" s="9"/>
      <c r="AE130" s="9"/>
      <c r="AF130" s="9"/>
      <c r="AG130" s="9"/>
      <c r="AH130" s="9"/>
      <c r="AI130" s="9"/>
      <c r="AJ130" s="9"/>
      <c r="AK130" s="9"/>
      <c r="AL130" s="9"/>
      <c r="AM130" s="9"/>
      <c r="AN130" s="9"/>
      <c r="AO130" s="9"/>
      <c r="AP130" s="9"/>
      <c r="AQ130" s="9"/>
      <c r="AR130" s="9"/>
      <c r="AS130" s="9"/>
      <c r="AT130" s="9"/>
    </row>
    <row r="131">
      <c r="A131" s="492"/>
      <c r="B131" s="254"/>
      <c r="C131" s="492"/>
      <c r="D131" s="254"/>
      <c r="E131" s="492"/>
      <c r="F131" s="254"/>
      <c r="G131" s="492"/>
      <c r="H131" s="254"/>
      <c r="I131" s="500"/>
      <c r="J131" s="181"/>
      <c r="K131" s="500"/>
      <c r="L131" s="181"/>
      <c r="M131" s="492"/>
      <c r="N131" s="254"/>
      <c r="O131" s="492"/>
      <c r="P131" s="254"/>
      <c r="Q131" s="492"/>
      <c r="R131" s="254"/>
      <c r="S131" s="492"/>
      <c r="T131" s="254"/>
      <c r="U131" s="492"/>
      <c r="V131" s="254"/>
      <c r="W131" s="492"/>
      <c r="X131" s="254"/>
      <c r="Y131" s="9"/>
      <c r="Z131" s="9"/>
      <c r="AA131" s="9"/>
      <c r="AB131" s="9"/>
      <c r="AC131" s="9"/>
      <c r="AD131" s="9"/>
      <c r="AE131" s="9"/>
      <c r="AF131" s="9"/>
      <c r="AG131" s="9"/>
      <c r="AH131" s="9"/>
      <c r="AI131" s="9"/>
      <c r="AJ131" s="9"/>
      <c r="AK131" s="9"/>
      <c r="AL131" s="9"/>
      <c r="AM131" s="9"/>
      <c r="AN131" s="9"/>
      <c r="AO131" s="9"/>
      <c r="AP131" s="9"/>
      <c r="AQ131" s="9"/>
      <c r="AR131" s="9"/>
      <c r="AS131" s="9"/>
      <c r="AT131" s="9"/>
    </row>
    <row r="132">
      <c r="A132" s="492"/>
      <c r="B132" s="254"/>
      <c r="C132" s="492"/>
      <c r="D132" s="254"/>
      <c r="E132" s="492"/>
      <c r="F132" s="254"/>
      <c r="G132" s="492"/>
      <c r="H132" s="254"/>
      <c r="I132" s="500"/>
      <c r="J132" s="181"/>
      <c r="K132" s="500"/>
      <c r="L132" s="181"/>
      <c r="M132" s="492"/>
      <c r="N132" s="254"/>
      <c r="O132" s="492"/>
      <c r="P132" s="254"/>
      <c r="Q132" s="492"/>
      <c r="R132" s="254"/>
      <c r="S132" s="492"/>
      <c r="T132" s="254"/>
      <c r="U132" s="492"/>
      <c r="V132" s="254"/>
      <c r="W132" s="492"/>
      <c r="X132" s="254"/>
      <c r="Y132" s="9"/>
      <c r="Z132" s="9"/>
      <c r="AA132" s="9"/>
      <c r="AB132" s="9"/>
      <c r="AC132" s="9"/>
      <c r="AD132" s="9"/>
      <c r="AE132" s="9"/>
      <c r="AF132" s="9"/>
      <c r="AG132" s="9"/>
      <c r="AH132" s="9"/>
      <c r="AI132" s="9"/>
      <c r="AJ132" s="9"/>
      <c r="AK132" s="9"/>
      <c r="AL132" s="9"/>
      <c r="AM132" s="9"/>
      <c r="AN132" s="9"/>
      <c r="AO132" s="9"/>
      <c r="AP132" s="9"/>
      <c r="AQ132" s="9"/>
      <c r="AR132" s="9"/>
      <c r="AS132" s="9"/>
      <c r="AT132" s="9"/>
    </row>
    <row r="133">
      <c r="A133" s="492"/>
      <c r="B133" s="254"/>
      <c r="C133" s="492"/>
      <c r="D133" s="254"/>
      <c r="E133" s="492"/>
      <c r="F133" s="254"/>
      <c r="G133" s="492"/>
      <c r="H133" s="254"/>
      <c r="I133" s="500"/>
      <c r="J133" s="181"/>
      <c r="K133" s="500"/>
      <c r="L133" s="181"/>
      <c r="M133" s="492"/>
      <c r="N133" s="254"/>
      <c r="O133" s="492"/>
      <c r="P133" s="254"/>
      <c r="Q133" s="492"/>
      <c r="R133" s="254"/>
      <c r="S133" s="492"/>
      <c r="T133" s="254"/>
      <c r="U133" s="492"/>
      <c r="V133" s="254"/>
      <c r="W133" s="492"/>
      <c r="X133" s="254"/>
      <c r="Y133" s="9"/>
      <c r="Z133" s="9"/>
      <c r="AA133" s="9"/>
      <c r="AB133" s="9"/>
      <c r="AC133" s="9"/>
      <c r="AD133" s="9"/>
      <c r="AE133" s="9"/>
      <c r="AF133" s="9"/>
      <c r="AG133" s="9"/>
      <c r="AH133" s="9"/>
      <c r="AI133" s="9"/>
      <c r="AJ133" s="9"/>
      <c r="AK133" s="9"/>
      <c r="AL133" s="9"/>
      <c r="AM133" s="9"/>
      <c r="AN133" s="9"/>
      <c r="AO133" s="9"/>
      <c r="AP133" s="9"/>
      <c r="AQ133" s="9"/>
      <c r="AR133" s="9"/>
      <c r="AS133" s="9"/>
      <c r="AT133" s="9"/>
    </row>
    <row r="134">
      <c r="A134" s="492"/>
      <c r="B134" s="254"/>
      <c r="C134" s="492"/>
      <c r="D134" s="254"/>
      <c r="E134" s="492"/>
      <c r="F134" s="254"/>
      <c r="G134" s="492"/>
      <c r="H134" s="254"/>
      <c r="I134" s="500"/>
      <c r="J134" s="181"/>
      <c r="K134" s="500"/>
      <c r="L134" s="181"/>
      <c r="M134" s="492"/>
      <c r="N134" s="254"/>
      <c r="O134" s="492"/>
      <c r="P134" s="254"/>
      <c r="Q134" s="492"/>
      <c r="R134" s="254"/>
      <c r="S134" s="492"/>
      <c r="T134" s="254"/>
      <c r="U134" s="492"/>
      <c r="V134" s="254"/>
      <c r="W134" s="492"/>
      <c r="X134" s="254"/>
      <c r="Y134" s="9"/>
      <c r="Z134" s="9"/>
      <c r="AA134" s="9"/>
      <c r="AB134" s="9"/>
      <c r="AC134" s="9"/>
      <c r="AD134" s="9"/>
      <c r="AE134" s="9"/>
      <c r="AF134" s="9"/>
      <c r="AG134" s="9"/>
      <c r="AH134" s="9"/>
      <c r="AI134" s="9"/>
      <c r="AJ134" s="9"/>
      <c r="AK134" s="9"/>
      <c r="AL134" s="9"/>
      <c r="AM134" s="9"/>
      <c r="AN134" s="9"/>
      <c r="AO134" s="9"/>
      <c r="AP134" s="9"/>
      <c r="AQ134" s="9"/>
      <c r="AR134" s="9"/>
      <c r="AS134" s="9"/>
      <c r="AT134" s="9"/>
    </row>
    <row r="135">
      <c r="A135" s="492"/>
      <c r="B135" s="254"/>
      <c r="C135" s="492"/>
      <c r="D135" s="254"/>
      <c r="E135" s="492"/>
      <c r="F135" s="254"/>
      <c r="G135" s="492"/>
      <c r="H135" s="254"/>
      <c r="I135" s="500"/>
      <c r="J135" s="181"/>
      <c r="K135" s="500"/>
      <c r="L135" s="181"/>
      <c r="M135" s="492"/>
      <c r="N135" s="254"/>
      <c r="O135" s="492"/>
      <c r="P135" s="254"/>
      <c r="Q135" s="492"/>
      <c r="R135" s="254"/>
      <c r="S135" s="492"/>
      <c r="T135" s="254"/>
      <c r="U135" s="492"/>
      <c r="V135" s="254"/>
      <c r="W135" s="492"/>
      <c r="X135" s="254"/>
      <c r="Y135" s="9"/>
      <c r="Z135" s="9"/>
      <c r="AA135" s="9"/>
      <c r="AB135" s="9"/>
      <c r="AC135" s="9"/>
      <c r="AD135" s="9"/>
      <c r="AE135" s="9"/>
      <c r="AF135" s="9"/>
      <c r="AG135" s="9"/>
      <c r="AH135" s="9"/>
      <c r="AI135" s="9"/>
      <c r="AJ135" s="9"/>
      <c r="AK135" s="9"/>
      <c r="AL135" s="9"/>
      <c r="AM135" s="9"/>
      <c r="AN135" s="9"/>
      <c r="AO135" s="9"/>
      <c r="AP135" s="9"/>
      <c r="AQ135" s="9"/>
      <c r="AR135" s="9"/>
      <c r="AS135" s="9"/>
      <c r="AT135" s="9"/>
    </row>
    <row r="136">
      <c r="A136" s="492"/>
      <c r="B136" s="254"/>
      <c r="C136" s="492"/>
      <c r="D136" s="254"/>
      <c r="E136" s="492"/>
      <c r="F136" s="254"/>
      <c r="G136" s="492"/>
      <c r="H136" s="254"/>
      <c r="I136" s="500"/>
      <c r="J136" s="181"/>
      <c r="K136" s="500"/>
      <c r="L136" s="181"/>
      <c r="M136" s="492"/>
      <c r="N136" s="254"/>
      <c r="O136" s="492"/>
      <c r="P136" s="254"/>
      <c r="Q136" s="492"/>
      <c r="R136" s="254"/>
      <c r="S136" s="492"/>
      <c r="T136" s="254"/>
      <c r="U136" s="492"/>
      <c r="V136" s="254"/>
      <c r="W136" s="492"/>
      <c r="X136" s="254"/>
      <c r="Y136" s="9"/>
      <c r="Z136" s="9"/>
      <c r="AA136" s="9"/>
      <c r="AB136" s="9"/>
      <c r="AC136" s="9"/>
      <c r="AD136" s="9"/>
      <c r="AE136" s="9"/>
      <c r="AF136" s="9"/>
      <c r="AG136" s="9"/>
      <c r="AH136" s="9"/>
      <c r="AI136" s="9"/>
      <c r="AJ136" s="9"/>
      <c r="AK136" s="9"/>
      <c r="AL136" s="9"/>
      <c r="AM136" s="9"/>
      <c r="AN136" s="9"/>
      <c r="AO136" s="9"/>
      <c r="AP136" s="9"/>
      <c r="AQ136" s="9"/>
      <c r="AR136" s="9"/>
      <c r="AS136" s="9"/>
      <c r="AT136" s="9"/>
    </row>
    <row r="137">
      <c r="A137" s="492"/>
      <c r="B137" s="254"/>
      <c r="C137" s="492"/>
      <c r="D137" s="254"/>
      <c r="E137" s="492"/>
      <c r="F137" s="254"/>
      <c r="G137" s="492"/>
      <c r="H137" s="254"/>
      <c r="I137" s="500"/>
      <c r="J137" s="181"/>
      <c r="K137" s="500"/>
      <c r="L137" s="181"/>
      <c r="M137" s="492"/>
      <c r="N137" s="254"/>
      <c r="O137" s="492"/>
      <c r="P137" s="254"/>
      <c r="Q137" s="492"/>
      <c r="R137" s="254"/>
      <c r="S137" s="492"/>
      <c r="T137" s="254"/>
      <c r="U137" s="492"/>
      <c r="V137" s="254"/>
      <c r="W137" s="492"/>
      <c r="X137" s="254"/>
      <c r="Y137" s="9"/>
      <c r="Z137" s="9"/>
      <c r="AA137" s="9"/>
      <c r="AB137" s="9"/>
      <c r="AC137" s="9"/>
      <c r="AD137" s="9"/>
      <c r="AE137" s="9"/>
      <c r="AF137" s="9"/>
      <c r="AG137" s="9"/>
      <c r="AH137" s="9"/>
      <c r="AI137" s="9"/>
      <c r="AJ137" s="9"/>
      <c r="AK137" s="9"/>
      <c r="AL137" s="9"/>
      <c r="AM137" s="9"/>
      <c r="AN137" s="9"/>
      <c r="AO137" s="9"/>
      <c r="AP137" s="9"/>
      <c r="AQ137" s="9"/>
      <c r="AR137" s="9"/>
      <c r="AS137" s="9"/>
      <c r="AT137" s="9"/>
    </row>
    <row r="138">
      <c r="A138" s="492"/>
      <c r="B138" s="254"/>
      <c r="C138" s="492"/>
      <c r="D138" s="254"/>
      <c r="E138" s="492"/>
      <c r="F138" s="254"/>
      <c r="G138" s="492"/>
      <c r="H138" s="254"/>
      <c r="I138" s="500"/>
      <c r="J138" s="181"/>
      <c r="K138" s="500"/>
      <c r="L138" s="181"/>
      <c r="M138" s="492"/>
      <c r="N138" s="254"/>
      <c r="O138" s="492"/>
      <c r="P138" s="254"/>
      <c r="Q138" s="492"/>
      <c r="R138" s="254"/>
      <c r="S138" s="492"/>
      <c r="T138" s="254"/>
      <c r="U138" s="492"/>
      <c r="V138" s="254"/>
      <c r="W138" s="492"/>
      <c r="X138" s="254"/>
      <c r="Y138" s="9"/>
      <c r="Z138" s="9"/>
      <c r="AA138" s="9"/>
      <c r="AB138" s="9"/>
      <c r="AC138" s="9"/>
      <c r="AD138" s="9"/>
      <c r="AE138" s="9"/>
      <c r="AF138" s="9"/>
      <c r="AG138" s="9"/>
      <c r="AH138" s="9"/>
      <c r="AI138" s="9"/>
      <c r="AJ138" s="9"/>
      <c r="AK138" s="9"/>
      <c r="AL138" s="9"/>
      <c r="AM138" s="9"/>
      <c r="AN138" s="9"/>
      <c r="AO138" s="9"/>
      <c r="AP138" s="9"/>
      <c r="AQ138" s="9"/>
      <c r="AR138" s="9"/>
      <c r="AS138" s="9"/>
      <c r="AT138" s="9"/>
    </row>
    <row r="139">
      <c r="A139" s="492"/>
      <c r="B139" s="254"/>
      <c r="C139" s="492"/>
      <c r="D139" s="254"/>
      <c r="E139" s="492"/>
      <c r="F139" s="254"/>
      <c r="G139" s="492"/>
      <c r="H139" s="254"/>
      <c r="I139" s="500"/>
      <c r="J139" s="181"/>
      <c r="K139" s="500"/>
      <c r="L139" s="181"/>
      <c r="M139" s="492"/>
      <c r="N139" s="254"/>
      <c r="O139" s="492"/>
      <c r="P139" s="254"/>
      <c r="Q139" s="492"/>
      <c r="R139" s="254"/>
      <c r="S139" s="492"/>
      <c r="T139" s="254"/>
      <c r="U139" s="492"/>
      <c r="V139" s="254"/>
      <c r="W139" s="492"/>
      <c r="X139" s="254"/>
      <c r="Y139" s="9"/>
      <c r="Z139" s="9"/>
      <c r="AA139" s="9"/>
      <c r="AB139" s="9"/>
      <c r="AC139" s="9"/>
      <c r="AD139" s="9"/>
      <c r="AE139" s="9"/>
      <c r="AF139" s="9"/>
      <c r="AG139" s="9"/>
      <c r="AH139" s="9"/>
      <c r="AI139" s="9"/>
      <c r="AJ139" s="9"/>
      <c r="AK139" s="9"/>
      <c r="AL139" s="9"/>
      <c r="AM139" s="9"/>
      <c r="AN139" s="9"/>
      <c r="AO139" s="9"/>
      <c r="AP139" s="9"/>
      <c r="AQ139" s="9"/>
      <c r="AR139" s="9"/>
      <c r="AS139" s="9"/>
      <c r="AT139" s="9"/>
    </row>
    <row r="140">
      <c r="A140" s="492"/>
      <c r="B140" s="254"/>
      <c r="C140" s="492"/>
      <c r="D140" s="254"/>
      <c r="E140" s="492"/>
      <c r="F140" s="254"/>
      <c r="G140" s="492"/>
      <c r="H140" s="254"/>
      <c r="I140" s="500"/>
      <c r="J140" s="181"/>
      <c r="K140" s="500"/>
      <c r="L140" s="181"/>
      <c r="M140" s="492"/>
      <c r="N140" s="254"/>
      <c r="O140" s="492"/>
      <c r="P140" s="254"/>
      <c r="Q140" s="492"/>
      <c r="R140" s="254"/>
      <c r="S140" s="492"/>
      <c r="T140" s="254"/>
      <c r="U140" s="492"/>
      <c r="V140" s="254"/>
      <c r="W140" s="492"/>
      <c r="X140" s="254"/>
      <c r="Y140" s="9"/>
      <c r="Z140" s="9"/>
      <c r="AA140" s="9"/>
      <c r="AB140" s="9"/>
      <c r="AC140" s="9"/>
      <c r="AD140" s="9"/>
      <c r="AE140" s="9"/>
      <c r="AF140" s="9"/>
      <c r="AG140" s="9"/>
      <c r="AH140" s="9"/>
      <c r="AI140" s="9"/>
      <c r="AJ140" s="9"/>
      <c r="AK140" s="9"/>
      <c r="AL140" s="9"/>
      <c r="AM140" s="9"/>
      <c r="AN140" s="9"/>
      <c r="AO140" s="9"/>
      <c r="AP140" s="9"/>
      <c r="AQ140" s="9"/>
      <c r="AR140" s="9"/>
      <c r="AS140" s="9"/>
      <c r="AT140" s="9"/>
    </row>
    <row r="141">
      <c r="A141" s="492"/>
      <c r="B141" s="254"/>
      <c r="C141" s="492"/>
      <c r="D141" s="254"/>
      <c r="E141" s="492"/>
      <c r="F141" s="254"/>
      <c r="G141" s="492"/>
      <c r="H141" s="254"/>
      <c r="I141" s="500"/>
      <c r="J141" s="181"/>
      <c r="K141" s="500"/>
      <c r="L141" s="181"/>
      <c r="M141" s="492"/>
      <c r="N141" s="254"/>
      <c r="O141" s="492"/>
      <c r="P141" s="254"/>
      <c r="Q141" s="492"/>
      <c r="R141" s="254"/>
      <c r="S141" s="492"/>
      <c r="T141" s="254"/>
      <c r="U141" s="492"/>
      <c r="V141" s="254"/>
      <c r="W141" s="492"/>
      <c r="X141" s="254"/>
      <c r="Y141" s="9"/>
      <c r="Z141" s="9"/>
      <c r="AA141" s="9"/>
      <c r="AB141" s="9"/>
      <c r="AC141" s="9"/>
      <c r="AD141" s="9"/>
      <c r="AE141" s="9"/>
      <c r="AF141" s="9"/>
      <c r="AG141" s="9"/>
      <c r="AH141" s="9"/>
      <c r="AI141" s="9"/>
      <c r="AJ141" s="9"/>
      <c r="AK141" s="9"/>
      <c r="AL141" s="9"/>
      <c r="AM141" s="9"/>
      <c r="AN141" s="9"/>
      <c r="AO141" s="9"/>
      <c r="AP141" s="9"/>
      <c r="AQ141" s="9"/>
      <c r="AR141" s="9"/>
      <c r="AS141" s="9"/>
      <c r="AT141" s="9"/>
    </row>
    <row r="142">
      <c r="A142" s="492"/>
      <c r="B142" s="254"/>
      <c r="C142" s="492"/>
      <c r="D142" s="254"/>
      <c r="E142" s="492"/>
      <c r="F142" s="254"/>
      <c r="G142" s="492"/>
      <c r="H142" s="254"/>
      <c r="I142" s="500"/>
      <c r="J142" s="181"/>
      <c r="K142" s="500"/>
      <c r="L142" s="181"/>
      <c r="M142" s="492"/>
      <c r="N142" s="254"/>
      <c r="O142" s="492"/>
      <c r="P142" s="254"/>
      <c r="Q142" s="492"/>
      <c r="R142" s="254"/>
      <c r="S142" s="492"/>
      <c r="T142" s="254"/>
      <c r="U142" s="492"/>
      <c r="V142" s="254"/>
      <c r="W142" s="492"/>
      <c r="X142" s="254"/>
      <c r="Y142" s="9"/>
      <c r="Z142" s="9"/>
      <c r="AA142" s="9"/>
      <c r="AB142" s="9"/>
      <c r="AC142" s="9"/>
      <c r="AD142" s="9"/>
      <c r="AE142" s="9"/>
      <c r="AF142" s="9"/>
      <c r="AG142" s="9"/>
      <c r="AH142" s="9"/>
      <c r="AI142" s="9"/>
      <c r="AJ142" s="9"/>
      <c r="AK142" s="9"/>
      <c r="AL142" s="9"/>
      <c r="AM142" s="9"/>
      <c r="AN142" s="9"/>
      <c r="AO142" s="9"/>
      <c r="AP142" s="9"/>
      <c r="AQ142" s="9"/>
      <c r="AR142" s="9"/>
      <c r="AS142" s="9"/>
      <c r="AT142" s="9"/>
    </row>
    <row r="143">
      <c r="A143" s="492"/>
      <c r="B143" s="254"/>
      <c r="C143" s="492"/>
      <c r="D143" s="254"/>
      <c r="E143" s="492"/>
      <c r="F143" s="254"/>
      <c r="G143" s="492"/>
      <c r="H143" s="254"/>
      <c r="I143" s="500"/>
      <c r="J143" s="181"/>
      <c r="K143" s="500"/>
      <c r="L143" s="181"/>
      <c r="M143" s="492"/>
      <c r="N143" s="254"/>
      <c r="O143" s="492"/>
      <c r="P143" s="254"/>
      <c r="Q143" s="492"/>
      <c r="R143" s="254"/>
      <c r="S143" s="492"/>
      <c r="T143" s="254"/>
      <c r="U143" s="492"/>
      <c r="V143" s="254"/>
      <c r="W143" s="492"/>
      <c r="X143" s="254"/>
      <c r="Y143" s="9"/>
      <c r="Z143" s="9"/>
      <c r="AA143" s="9"/>
      <c r="AB143" s="9"/>
      <c r="AC143" s="9"/>
      <c r="AD143" s="9"/>
      <c r="AE143" s="9"/>
      <c r="AF143" s="9"/>
      <c r="AG143" s="9"/>
      <c r="AH143" s="9"/>
      <c r="AI143" s="9"/>
      <c r="AJ143" s="9"/>
      <c r="AK143" s="9"/>
      <c r="AL143" s="9"/>
      <c r="AM143" s="9"/>
      <c r="AN143" s="9"/>
      <c r="AO143" s="9"/>
      <c r="AP143" s="9"/>
      <c r="AQ143" s="9"/>
      <c r="AR143" s="9"/>
      <c r="AS143" s="9"/>
      <c r="AT143" s="9"/>
    </row>
    <row r="144">
      <c r="A144" s="492"/>
      <c r="B144" s="254"/>
      <c r="C144" s="492"/>
      <c r="D144" s="254"/>
      <c r="E144" s="492"/>
      <c r="F144" s="254"/>
      <c r="G144" s="492"/>
      <c r="H144" s="254"/>
      <c r="I144" s="500"/>
      <c r="J144" s="181"/>
      <c r="K144" s="500"/>
      <c r="L144" s="181"/>
      <c r="M144" s="492"/>
      <c r="N144" s="254"/>
      <c r="O144" s="492"/>
      <c r="P144" s="254"/>
      <c r="Q144" s="492"/>
      <c r="R144" s="254"/>
      <c r="S144" s="492"/>
      <c r="T144" s="254"/>
      <c r="U144" s="492"/>
      <c r="V144" s="254"/>
      <c r="W144" s="492"/>
      <c r="X144" s="254"/>
      <c r="Y144" s="9"/>
      <c r="Z144" s="9"/>
      <c r="AA144" s="9"/>
      <c r="AB144" s="9"/>
      <c r="AC144" s="9"/>
      <c r="AD144" s="9"/>
      <c r="AE144" s="9"/>
      <c r="AF144" s="9"/>
      <c r="AG144" s="9"/>
      <c r="AH144" s="9"/>
      <c r="AI144" s="9"/>
      <c r="AJ144" s="9"/>
      <c r="AK144" s="9"/>
      <c r="AL144" s="9"/>
      <c r="AM144" s="9"/>
      <c r="AN144" s="9"/>
      <c r="AO144" s="9"/>
      <c r="AP144" s="9"/>
      <c r="AQ144" s="9"/>
      <c r="AR144" s="9"/>
      <c r="AS144" s="9"/>
      <c r="AT144" s="9"/>
    </row>
    <row r="145">
      <c r="A145" s="492"/>
      <c r="B145" s="254"/>
      <c r="C145" s="492"/>
      <c r="D145" s="254"/>
      <c r="E145" s="492"/>
      <c r="F145" s="254"/>
      <c r="G145" s="492"/>
      <c r="H145" s="254"/>
      <c r="I145" s="500"/>
      <c r="J145" s="181"/>
      <c r="K145" s="500"/>
      <c r="L145" s="181"/>
      <c r="M145" s="492"/>
      <c r="N145" s="254"/>
      <c r="O145" s="492"/>
      <c r="P145" s="254"/>
      <c r="Q145" s="492"/>
      <c r="R145" s="254"/>
      <c r="S145" s="492"/>
      <c r="T145" s="254"/>
      <c r="U145" s="492"/>
      <c r="V145" s="254"/>
      <c r="W145" s="492"/>
      <c r="X145" s="254"/>
      <c r="Y145" s="9"/>
      <c r="Z145" s="9"/>
      <c r="AA145" s="9"/>
      <c r="AB145" s="9"/>
      <c r="AC145" s="9"/>
      <c r="AD145" s="9"/>
      <c r="AE145" s="9"/>
      <c r="AF145" s="9"/>
      <c r="AG145" s="9"/>
      <c r="AH145" s="9"/>
      <c r="AI145" s="9"/>
      <c r="AJ145" s="9"/>
      <c r="AK145" s="9"/>
      <c r="AL145" s="9"/>
      <c r="AM145" s="9"/>
      <c r="AN145" s="9"/>
      <c r="AO145" s="9"/>
      <c r="AP145" s="9"/>
      <c r="AQ145" s="9"/>
      <c r="AR145" s="9"/>
      <c r="AS145" s="9"/>
      <c r="AT145" s="9"/>
    </row>
    <row r="146">
      <c r="A146" s="492"/>
      <c r="B146" s="254"/>
      <c r="C146" s="492"/>
      <c r="D146" s="254"/>
      <c r="E146" s="492"/>
      <c r="F146" s="254"/>
      <c r="G146" s="492"/>
      <c r="H146" s="254"/>
      <c r="I146" s="500"/>
      <c r="J146" s="181"/>
      <c r="K146" s="500"/>
      <c r="L146" s="181"/>
      <c r="M146" s="492"/>
      <c r="N146" s="254"/>
      <c r="O146" s="492"/>
      <c r="P146" s="254"/>
      <c r="Q146" s="492"/>
      <c r="R146" s="254"/>
      <c r="S146" s="492"/>
      <c r="T146" s="254"/>
      <c r="U146" s="492"/>
      <c r="V146" s="254"/>
      <c r="W146" s="492"/>
      <c r="X146" s="254"/>
      <c r="Y146" s="9"/>
      <c r="Z146" s="9"/>
      <c r="AA146" s="9"/>
      <c r="AB146" s="9"/>
      <c r="AC146" s="9"/>
      <c r="AD146" s="9"/>
      <c r="AE146" s="9"/>
      <c r="AF146" s="9"/>
      <c r="AG146" s="9"/>
      <c r="AH146" s="9"/>
      <c r="AI146" s="9"/>
      <c r="AJ146" s="9"/>
      <c r="AK146" s="9"/>
      <c r="AL146" s="9"/>
      <c r="AM146" s="9"/>
      <c r="AN146" s="9"/>
      <c r="AO146" s="9"/>
      <c r="AP146" s="9"/>
      <c r="AQ146" s="9"/>
      <c r="AR146" s="9"/>
      <c r="AS146" s="9"/>
      <c r="AT146" s="9"/>
    </row>
    <row r="147">
      <c r="A147" s="492"/>
      <c r="B147" s="254"/>
      <c r="C147" s="492"/>
      <c r="D147" s="254"/>
      <c r="E147" s="492"/>
      <c r="F147" s="254"/>
      <c r="G147" s="492"/>
      <c r="H147" s="254"/>
      <c r="I147" s="500"/>
      <c r="J147" s="181"/>
      <c r="K147" s="500"/>
      <c r="L147" s="181"/>
      <c r="M147" s="492"/>
      <c r="N147" s="254"/>
      <c r="O147" s="492"/>
      <c r="P147" s="254"/>
      <c r="Q147" s="492"/>
      <c r="R147" s="254"/>
      <c r="S147" s="492"/>
      <c r="T147" s="254"/>
      <c r="U147" s="492"/>
      <c r="V147" s="254"/>
      <c r="W147" s="492"/>
      <c r="X147" s="254"/>
      <c r="Y147" s="9"/>
      <c r="Z147" s="9"/>
      <c r="AA147" s="9"/>
      <c r="AB147" s="9"/>
      <c r="AC147" s="9"/>
      <c r="AD147" s="9"/>
      <c r="AE147" s="9"/>
      <c r="AF147" s="9"/>
      <c r="AG147" s="9"/>
      <c r="AH147" s="9"/>
      <c r="AI147" s="9"/>
      <c r="AJ147" s="9"/>
      <c r="AK147" s="9"/>
      <c r="AL147" s="9"/>
      <c r="AM147" s="9"/>
      <c r="AN147" s="9"/>
      <c r="AO147" s="9"/>
      <c r="AP147" s="9"/>
      <c r="AQ147" s="9"/>
      <c r="AR147" s="9"/>
      <c r="AS147" s="9"/>
      <c r="AT147" s="9"/>
    </row>
    <row r="148">
      <c r="A148" s="492"/>
      <c r="B148" s="254"/>
      <c r="C148" s="492"/>
      <c r="D148" s="254"/>
      <c r="E148" s="492"/>
      <c r="F148" s="254"/>
      <c r="G148" s="492"/>
      <c r="H148" s="254"/>
      <c r="I148" s="500"/>
      <c r="J148" s="181"/>
      <c r="K148" s="500"/>
      <c r="L148" s="181"/>
      <c r="M148" s="492"/>
      <c r="N148" s="254"/>
      <c r="O148" s="492"/>
      <c r="P148" s="254"/>
      <c r="Q148" s="492"/>
      <c r="R148" s="254"/>
      <c r="S148" s="492"/>
      <c r="T148" s="254"/>
      <c r="U148" s="492"/>
      <c r="V148" s="254"/>
      <c r="W148" s="492"/>
      <c r="X148" s="254"/>
      <c r="Y148" s="9"/>
      <c r="Z148" s="9"/>
      <c r="AA148" s="9"/>
      <c r="AB148" s="9"/>
      <c r="AC148" s="9"/>
      <c r="AD148" s="9"/>
      <c r="AE148" s="9"/>
      <c r="AF148" s="9"/>
      <c r="AG148" s="9"/>
      <c r="AH148" s="9"/>
      <c r="AI148" s="9"/>
      <c r="AJ148" s="9"/>
      <c r="AK148" s="9"/>
      <c r="AL148" s="9"/>
      <c r="AM148" s="9"/>
      <c r="AN148" s="9"/>
      <c r="AO148" s="9"/>
      <c r="AP148" s="9"/>
      <c r="AQ148" s="9"/>
      <c r="AR148" s="9"/>
      <c r="AS148" s="9"/>
      <c r="AT148" s="9"/>
    </row>
    <row r="149">
      <c r="A149" s="492"/>
      <c r="B149" s="254"/>
      <c r="C149" s="492"/>
      <c r="D149" s="254"/>
      <c r="E149" s="492"/>
      <c r="F149" s="254"/>
      <c r="G149" s="492"/>
      <c r="H149" s="254"/>
      <c r="I149" s="500"/>
      <c r="J149" s="181"/>
      <c r="K149" s="500"/>
      <c r="L149" s="181"/>
      <c r="M149" s="492"/>
      <c r="N149" s="254"/>
      <c r="O149" s="492"/>
      <c r="P149" s="254"/>
      <c r="Q149" s="492"/>
      <c r="R149" s="254"/>
      <c r="S149" s="492"/>
      <c r="T149" s="254"/>
      <c r="U149" s="492"/>
      <c r="V149" s="254"/>
      <c r="W149" s="492"/>
      <c r="X149" s="254"/>
      <c r="Y149" s="9"/>
      <c r="Z149" s="9"/>
      <c r="AA149" s="9"/>
      <c r="AB149" s="9"/>
      <c r="AC149" s="9"/>
      <c r="AD149" s="9"/>
      <c r="AE149" s="9"/>
      <c r="AF149" s="9"/>
      <c r="AG149" s="9"/>
      <c r="AH149" s="9"/>
      <c r="AI149" s="9"/>
      <c r="AJ149" s="9"/>
      <c r="AK149" s="9"/>
      <c r="AL149" s="9"/>
      <c r="AM149" s="9"/>
      <c r="AN149" s="9"/>
      <c r="AO149" s="9"/>
      <c r="AP149" s="9"/>
      <c r="AQ149" s="9"/>
      <c r="AR149" s="9"/>
      <c r="AS149" s="9"/>
      <c r="AT149" s="9"/>
    </row>
    <row r="150">
      <c r="A150" s="492"/>
      <c r="B150" s="254"/>
      <c r="C150" s="492"/>
      <c r="D150" s="254"/>
      <c r="E150" s="492"/>
      <c r="F150" s="254"/>
      <c r="G150" s="492"/>
      <c r="H150" s="254"/>
      <c r="I150" s="500"/>
      <c r="J150" s="181"/>
      <c r="K150" s="500"/>
      <c r="L150" s="181"/>
      <c r="M150" s="492"/>
      <c r="N150" s="254"/>
      <c r="O150" s="492"/>
      <c r="P150" s="254"/>
      <c r="Q150" s="492"/>
      <c r="R150" s="254"/>
      <c r="S150" s="492"/>
      <c r="T150" s="254"/>
      <c r="U150" s="492"/>
      <c r="V150" s="254"/>
      <c r="W150" s="492"/>
      <c r="X150" s="254"/>
      <c r="Y150" s="9"/>
      <c r="Z150" s="9"/>
      <c r="AA150" s="9"/>
      <c r="AB150" s="9"/>
      <c r="AC150" s="9"/>
      <c r="AD150" s="9"/>
      <c r="AE150" s="9"/>
      <c r="AF150" s="9"/>
      <c r="AG150" s="9"/>
      <c r="AH150" s="9"/>
      <c r="AI150" s="9"/>
      <c r="AJ150" s="9"/>
      <c r="AK150" s="9"/>
      <c r="AL150" s="9"/>
      <c r="AM150" s="9"/>
      <c r="AN150" s="9"/>
      <c r="AO150" s="9"/>
      <c r="AP150" s="9"/>
      <c r="AQ150" s="9"/>
      <c r="AR150" s="9"/>
      <c r="AS150" s="9"/>
      <c r="AT150" s="9"/>
    </row>
    <row r="151">
      <c r="A151" s="492"/>
      <c r="B151" s="254"/>
      <c r="C151" s="492"/>
      <c r="D151" s="254"/>
      <c r="E151" s="492"/>
      <c r="F151" s="254"/>
      <c r="G151" s="492"/>
      <c r="H151" s="254"/>
      <c r="I151" s="500"/>
      <c r="J151" s="181"/>
      <c r="K151" s="500"/>
      <c r="L151" s="181"/>
      <c r="M151" s="492"/>
      <c r="N151" s="254"/>
      <c r="O151" s="492"/>
      <c r="P151" s="254"/>
      <c r="Q151" s="492"/>
      <c r="R151" s="254"/>
      <c r="S151" s="492"/>
      <c r="T151" s="254"/>
      <c r="U151" s="492"/>
      <c r="V151" s="254"/>
      <c r="W151" s="492"/>
      <c r="X151" s="254"/>
      <c r="Y151" s="9"/>
      <c r="Z151" s="9"/>
      <c r="AA151" s="9"/>
      <c r="AB151" s="9"/>
      <c r="AC151" s="9"/>
      <c r="AD151" s="9"/>
      <c r="AE151" s="9"/>
      <c r="AF151" s="9"/>
      <c r="AG151" s="9"/>
      <c r="AH151" s="9"/>
      <c r="AI151" s="9"/>
      <c r="AJ151" s="9"/>
      <c r="AK151" s="9"/>
      <c r="AL151" s="9"/>
      <c r="AM151" s="9"/>
      <c r="AN151" s="9"/>
      <c r="AO151" s="9"/>
      <c r="AP151" s="9"/>
      <c r="AQ151" s="9"/>
      <c r="AR151" s="9"/>
      <c r="AS151" s="9"/>
      <c r="AT151" s="9"/>
    </row>
    <row r="152">
      <c r="A152" s="492"/>
      <c r="B152" s="254"/>
      <c r="C152" s="492"/>
      <c r="D152" s="254"/>
      <c r="E152" s="492"/>
      <c r="F152" s="254"/>
      <c r="G152" s="492"/>
      <c r="H152" s="254"/>
      <c r="I152" s="500"/>
      <c r="J152" s="181"/>
      <c r="K152" s="500"/>
      <c r="L152" s="181"/>
      <c r="M152" s="492"/>
      <c r="N152" s="254"/>
      <c r="O152" s="492"/>
      <c r="P152" s="254"/>
      <c r="Q152" s="492"/>
      <c r="R152" s="254"/>
      <c r="S152" s="492"/>
      <c r="T152" s="254"/>
      <c r="U152" s="492"/>
      <c r="V152" s="254"/>
      <c r="W152" s="492"/>
      <c r="X152" s="254"/>
      <c r="Y152" s="9"/>
      <c r="Z152" s="9"/>
      <c r="AA152" s="9"/>
      <c r="AB152" s="9"/>
      <c r="AC152" s="9"/>
      <c r="AD152" s="9"/>
      <c r="AE152" s="9"/>
      <c r="AF152" s="9"/>
      <c r="AG152" s="9"/>
      <c r="AH152" s="9"/>
      <c r="AI152" s="9"/>
      <c r="AJ152" s="9"/>
      <c r="AK152" s="9"/>
      <c r="AL152" s="9"/>
      <c r="AM152" s="9"/>
      <c r="AN152" s="9"/>
      <c r="AO152" s="9"/>
      <c r="AP152" s="9"/>
      <c r="AQ152" s="9"/>
      <c r="AR152" s="9"/>
      <c r="AS152" s="9"/>
      <c r="AT152" s="9"/>
    </row>
    <row r="153">
      <c r="A153" s="492"/>
      <c r="B153" s="254"/>
      <c r="C153" s="492"/>
      <c r="D153" s="254"/>
      <c r="E153" s="492"/>
      <c r="F153" s="254"/>
      <c r="G153" s="492"/>
      <c r="H153" s="254"/>
      <c r="I153" s="500"/>
      <c r="J153" s="181"/>
      <c r="K153" s="500"/>
      <c r="L153" s="181"/>
      <c r="M153" s="492"/>
      <c r="N153" s="254"/>
      <c r="O153" s="492"/>
      <c r="P153" s="254"/>
      <c r="Q153" s="492"/>
      <c r="R153" s="254"/>
      <c r="S153" s="492"/>
      <c r="T153" s="254"/>
      <c r="U153" s="492"/>
      <c r="V153" s="254"/>
      <c r="W153" s="492"/>
      <c r="X153" s="254"/>
      <c r="Y153" s="9"/>
      <c r="Z153" s="9"/>
      <c r="AA153" s="9"/>
      <c r="AB153" s="9"/>
      <c r="AC153" s="9"/>
      <c r="AD153" s="9"/>
      <c r="AE153" s="9"/>
      <c r="AF153" s="9"/>
      <c r="AG153" s="9"/>
      <c r="AH153" s="9"/>
      <c r="AI153" s="9"/>
      <c r="AJ153" s="9"/>
      <c r="AK153" s="9"/>
      <c r="AL153" s="9"/>
      <c r="AM153" s="9"/>
      <c r="AN153" s="9"/>
      <c r="AO153" s="9"/>
      <c r="AP153" s="9"/>
      <c r="AQ153" s="9"/>
      <c r="AR153" s="9"/>
      <c r="AS153" s="9"/>
      <c r="AT153" s="9"/>
    </row>
    <row r="154">
      <c r="A154" s="492"/>
      <c r="B154" s="254"/>
      <c r="C154" s="492"/>
      <c r="D154" s="254"/>
      <c r="E154" s="492"/>
      <c r="F154" s="254"/>
      <c r="G154" s="492"/>
      <c r="H154" s="254"/>
      <c r="I154" s="500"/>
      <c r="J154" s="181"/>
      <c r="K154" s="500"/>
      <c r="L154" s="181"/>
      <c r="M154" s="492"/>
      <c r="N154" s="254"/>
      <c r="O154" s="492"/>
      <c r="P154" s="254"/>
      <c r="Q154" s="492"/>
      <c r="R154" s="254"/>
      <c r="S154" s="492"/>
      <c r="T154" s="254"/>
      <c r="U154" s="492"/>
      <c r="V154" s="254"/>
      <c r="W154" s="492"/>
      <c r="X154" s="254"/>
      <c r="Y154" s="9"/>
      <c r="Z154" s="9"/>
      <c r="AA154" s="9"/>
      <c r="AB154" s="9"/>
      <c r="AC154" s="9"/>
      <c r="AD154" s="9"/>
      <c r="AE154" s="9"/>
      <c r="AF154" s="9"/>
      <c r="AG154" s="9"/>
      <c r="AH154" s="9"/>
      <c r="AI154" s="9"/>
      <c r="AJ154" s="9"/>
      <c r="AK154" s="9"/>
      <c r="AL154" s="9"/>
      <c r="AM154" s="9"/>
      <c r="AN154" s="9"/>
      <c r="AO154" s="9"/>
      <c r="AP154" s="9"/>
      <c r="AQ154" s="9"/>
      <c r="AR154" s="9"/>
      <c r="AS154" s="9"/>
      <c r="AT154" s="9"/>
    </row>
    <row r="155">
      <c r="A155" s="492"/>
      <c r="B155" s="254"/>
      <c r="C155" s="492"/>
      <c r="D155" s="254"/>
      <c r="E155" s="492"/>
      <c r="F155" s="254"/>
      <c r="G155" s="492"/>
      <c r="H155" s="254"/>
      <c r="I155" s="500"/>
      <c r="J155" s="181"/>
      <c r="K155" s="500"/>
      <c r="L155" s="181"/>
      <c r="M155" s="492"/>
      <c r="N155" s="254"/>
      <c r="O155" s="492"/>
      <c r="P155" s="254"/>
      <c r="Q155" s="492"/>
      <c r="R155" s="254"/>
      <c r="S155" s="492"/>
      <c r="T155" s="254"/>
      <c r="U155" s="492"/>
      <c r="V155" s="254"/>
      <c r="W155" s="492"/>
      <c r="X155" s="254"/>
      <c r="Y155" s="9"/>
      <c r="Z155" s="9"/>
      <c r="AA155" s="9"/>
      <c r="AB155" s="9"/>
      <c r="AC155" s="9"/>
      <c r="AD155" s="9"/>
      <c r="AE155" s="9"/>
      <c r="AF155" s="9"/>
      <c r="AG155" s="9"/>
      <c r="AH155" s="9"/>
      <c r="AI155" s="9"/>
      <c r="AJ155" s="9"/>
      <c r="AK155" s="9"/>
      <c r="AL155" s="9"/>
      <c r="AM155" s="9"/>
      <c r="AN155" s="9"/>
      <c r="AO155" s="9"/>
      <c r="AP155" s="9"/>
      <c r="AQ155" s="9"/>
      <c r="AR155" s="9"/>
      <c r="AS155" s="9"/>
      <c r="AT155" s="9"/>
    </row>
    <row r="156">
      <c r="A156" s="492"/>
      <c r="B156" s="254"/>
      <c r="C156" s="492"/>
      <c r="D156" s="254"/>
      <c r="E156" s="492"/>
      <c r="F156" s="254"/>
      <c r="G156" s="492"/>
      <c r="H156" s="254"/>
      <c r="I156" s="500"/>
      <c r="J156" s="181"/>
      <c r="K156" s="500"/>
      <c r="L156" s="181"/>
      <c r="M156" s="492"/>
      <c r="N156" s="254"/>
      <c r="O156" s="492"/>
      <c r="P156" s="254"/>
      <c r="Q156" s="492"/>
      <c r="R156" s="254"/>
      <c r="S156" s="492"/>
      <c r="T156" s="254"/>
      <c r="U156" s="492"/>
      <c r="V156" s="254"/>
      <c r="W156" s="492"/>
      <c r="X156" s="254"/>
      <c r="Y156" s="9"/>
      <c r="Z156" s="9"/>
      <c r="AA156" s="9"/>
      <c r="AB156" s="9"/>
      <c r="AC156" s="9"/>
      <c r="AD156" s="9"/>
      <c r="AE156" s="9"/>
      <c r="AF156" s="9"/>
      <c r="AG156" s="9"/>
      <c r="AH156" s="9"/>
      <c r="AI156" s="9"/>
      <c r="AJ156" s="9"/>
      <c r="AK156" s="9"/>
      <c r="AL156" s="9"/>
      <c r="AM156" s="9"/>
      <c r="AN156" s="9"/>
      <c r="AO156" s="9"/>
      <c r="AP156" s="9"/>
      <c r="AQ156" s="9"/>
      <c r="AR156" s="9"/>
      <c r="AS156" s="9"/>
      <c r="AT156" s="9"/>
    </row>
    <row r="157">
      <c r="A157" s="492"/>
      <c r="B157" s="254"/>
      <c r="C157" s="492"/>
      <c r="D157" s="254"/>
      <c r="E157" s="492"/>
      <c r="F157" s="254"/>
      <c r="G157" s="492"/>
      <c r="H157" s="254"/>
      <c r="I157" s="500"/>
      <c r="J157" s="181"/>
      <c r="K157" s="500"/>
      <c r="L157" s="181"/>
      <c r="M157" s="492"/>
      <c r="N157" s="254"/>
      <c r="O157" s="492"/>
      <c r="P157" s="254"/>
      <c r="Q157" s="492"/>
      <c r="R157" s="254"/>
      <c r="S157" s="492"/>
      <c r="T157" s="254"/>
      <c r="U157" s="492"/>
      <c r="V157" s="254"/>
      <c r="W157" s="492"/>
      <c r="X157" s="254"/>
      <c r="Y157" s="9"/>
      <c r="Z157" s="9"/>
      <c r="AA157" s="9"/>
      <c r="AB157" s="9"/>
      <c r="AC157" s="9"/>
      <c r="AD157" s="9"/>
      <c r="AE157" s="9"/>
      <c r="AF157" s="9"/>
      <c r="AG157" s="9"/>
      <c r="AH157" s="9"/>
      <c r="AI157" s="9"/>
      <c r="AJ157" s="9"/>
      <c r="AK157" s="9"/>
      <c r="AL157" s="9"/>
      <c r="AM157" s="9"/>
      <c r="AN157" s="9"/>
      <c r="AO157" s="9"/>
      <c r="AP157" s="9"/>
      <c r="AQ157" s="9"/>
      <c r="AR157" s="9"/>
      <c r="AS157" s="9"/>
      <c r="AT157" s="9"/>
    </row>
    <row r="158">
      <c r="A158" s="492"/>
      <c r="B158" s="254"/>
      <c r="C158" s="492"/>
      <c r="D158" s="254"/>
      <c r="E158" s="492"/>
      <c r="F158" s="254"/>
      <c r="G158" s="492"/>
      <c r="H158" s="254"/>
      <c r="I158" s="500"/>
      <c r="J158" s="181"/>
      <c r="K158" s="500"/>
      <c r="L158" s="181"/>
      <c r="M158" s="492"/>
      <c r="N158" s="254"/>
      <c r="O158" s="492"/>
      <c r="P158" s="254"/>
      <c r="Q158" s="492"/>
      <c r="R158" s="254"/>
      <c r="S158" s="492"/>
      <c r="T158" s="254"/>
      <c r="U158" s="492"/>
      <c r="V158" s="254"/>
      <c r="W158" s="492"/>
      <c r="X158" s="254"/>
      <c r="Y158" s="9"/>
      <c r="Z158" s="9"/>
      <c r="AA158" s="9"/>
      <c r="AB158" s="9"/>
      <c r="AC158" s="9"/>
      <c r="AD158" s="9"/>
      <c r="AE158" s="9"/>
      <c r="AF158" s="9"/>
      <c r="AG158" s="9"/>
      <c r="AH158" s="9"/>
      <c r="AI158" s="9"/>
      <c r="AJ158" s="9"/>
      <c r="AK158" s="9"/>
      <c r="AL158" s="9"/>
      <c r="AM158" s="9"/>
      <c r="AN158" s="9"/>
      <c r="AO158" s="9"/>
      <c r="AP158" s="9"/>
      <c r="AQ158" s="9"/>
      <c r="AR158" s="9"/>
      <c r="AS158" s="9"/>
      <c r="AT158" s="9"/>
    </row>
    <row r="159">
      <c r="A159" s="492"/>
      <c r="B159" s="254"/>
      <c r="C159" s="492"/>
      <c r="D159" s="254"/>
      <c r="E159" s="492"/>
      <c r="F159" s="254"/>
      <c r="G159" s="492"/>
      <c r="H159" s="254"/>
      <c r="I159" s="500"/>
      <c r="J159" s="181"/>
      <c r="K159" s="500"/>
      <c r="L159" s="181"/>
      <c r="M159" s="492"/>
      <c r="N159" s="254"/>
      <c r="O159" s="492"/>
      <c r="P159" s="254"/>
      <c r="Q159" s="492"/>
      <c r="R159" s="254"/>
      <c r="S159" s="492"/>
      <c r="T159" s="254"/>
      <c r="U159" s="492"/>
      <c r="V159" s="254"/>
      <c r="W159" s="492"/>
      <c r="X159" s="254"/>
      <c r="Y159" s="9"/>
      <c r="Z159" s="9"/>
      <c r="AA159" s="9"/>
      <c r="AB159" s="9"/>
      <c r="AC159" s="9"/>
      <c r="AD159" s="9"/>
      <c r="AE159" s="9"/>
      <c r="AF159" s="9"/>
      <c r="AG159" s="9"/>
      <c r="AH159" s="9"/>
      <c r="AI159" s="9"/>
      <c r="AJ159" s="9"/>
      <c r="AK159" s="9"/>
      <c r="AL159" s="9"/>
      <c r="AM159" s="9"/>
      <c r="AN159" s="9"/>
      <c r="AO159" s="9"/>
      <c r="AP159" s="9"/>
      <c r="AQ159" s="9"/>
      <c r="AR159" s="9"/>
      <c r="AS159" s="9"/>
      <c r="AT159" s="9"/>
    </row>
    <row r="160">
      <c r="A160" s="492"/>
      <c r="B160" s="254"/>
      <c r="C160" s="492"/>
      <c r="D160" s="254"/>
      <c r="E160" s="492"/>
      <c r="F160" s="254"/>
      <c r="G160" s="492"/>
      <c r="H160" s="254"/>
      <c r="I160" s="500"/>
      <c r="J160" s="181"/>
      <c r="K160" s="500"/>
      <c r="L160" s="181"/>
      <c r="M160" s="492"/>
      <c r="N160" s="254"/>
      <c r="O160" s="492"/>
      <c r="P160" s="254"/>
      <c r="Q160" s="492"/>
      <c r="R160" s="254"/>
      <c r="S160" s="492"/>
      <c r="T160" s="254"/>
      <c r="U160" s="492"/>
      <c r="V160" s="254"/>
      <c r="W160" s="492"/>
      <c r="X160" s="254"/>
      <c r="Y160" s="9"/>
      <c r="Z160" s="9"/>
      <c r="AA160" s="9"/>
      <c r="AB160" s="9"/>
      <c r="AC160" s="9"/>
      <c r="AD160" s="9"/>
      <c r="AE160" s="9"/>
      <c r="AF160" s="9"/>
      <c r="AG160" s="9"/>
      <c r="AH160" s="9"/>
      <c r="AI160" s="9"/>
      <c r="AJ160" s="9"/>
      <c r="AK160" s="9"/>
      <c r="AL160" s="9"/>
      <c r="AM160" s="9"/>
      <c r="AN160" s="9"/>
      <c r="AO160" s="9"/>
      <c r="AP160" s="9"/>
      <c r="AQ160" s="9"/>
      <c r="AR160" s="9"/>
      <c r="AS160" s="9"/>
      <c r="AT160" s="9"/>
    </row>
    <row r="161">
      <c r="A161" s="492"/>
      <c r="B161" s="254"/>
      <c r="C161" s="492"/>
      <c r="D161" s="254"/>
      <c r="E161" s="492"/>
      <c r="F161" s="254"/>
      <c r="G161" s="492"/>
      <c r="H161" s="254"/>
      <c r="I161" s="500"/>
      <c r="J161" s="181"/>
      <c r="K161" s="500"/>
      <c r="L161" s="181"/>
      <c r="M161" s="492"/>
      <c r="N161" s="254"/>
      <c r="O161" s="492"/>
      <c r="P161" s="254"/>
      <c r="Q161" s="492"/>
      <c r="R161" s="254"/>
      <c r="S161" s="492"/>
      <c r="T161" s="254"/>
      <c r="U161" s="492"/>
      <c r="V161" s="254"/>
      <c r="W161" s="492"/>
      <c r="X161" s="254"/>
      <c r="Y161" s="9"/>
      <c r="Z161" s="9"/>
      <c r="AA161" s="9"/>
      <c r="AB161" s="9"/>
      <c r="AC161" s="9"/>
      <c r="AD161" s="9"/>
      <c r="AE161" s="9"/>
      <c r="AF161" s="9"/>
      <c r="AG161" s="9"/>
      <c r="AH161" s="9"/>
      <c r="AI161" s="9"/>
      <c r="AJ161" s="9"/>
      <c r="AK161" s="9"/>
      <c r="AL161" s="9"/>
      <c r="AM161" s="9"/>
      <c r="AN161" s="9"/>
      <c r="AO161" s="9"/>
      <c r="AP161" s="9"/>
      <c r="AQ161" s="9"/>
      <c r="AR161" s="9"/>
      <c r="AS161" s="9"/>
      <c r="AT161" s="9"/>
    </row>
    <row r="162">
      <c r="A162" s="492"/>
      <c r="B162" s="254"/>
      <c r="C162" s="492"/>
      <c r="D162" s="254"/>
      <c r="E162" s="492"/>
      <c r="F162" s="254"/>
      <c r="G162" s="492"/>
      <c r="H162" s="254"/>
      <c r="I162" s="500"/>
      <c r="J162" s="181"/>
      <c r="K162" s="500"/>
      <c r="L162" s="181"/>
      <c r="M162" s="492"/>
      <c r="N162" s="254"/>
      <c r="O162" s="492"/>
      <c r="P162" s="254"/>
      <c r="Q162" s="492"/>
      <c r="R162" s="254"/>
      <c r="S162" s="492"/>
      <c r="T162" s="254"/>
      <c r="U162" s="492"/>
      <c r="V162" s="254"/>
      <c r="W162" s="492"/>
      <c r="X162" s="254"/>
      <c r="Y162" s="9"/>
      <c r="Z162" s="9"/>
      <c r="AA162" s="9"/>
      <c r="AB162" s="9"/>
      <c r="AC162" s="9"/>
      <c r="AD162" s="9"/>
      <c r="AE162" s="9"/>
      <c r="AF162" s="9"/>
      <c r="AG162" s="9"/>
      <c r="AH162" s="9"/>
      <c r="AI162" s="9"/>
      <c r="AJ162" s="9"/>
      <c r="AK162" s="9"/>
      <c r="AL162" s="9"/>
      <c r="AM162" s="9"/>
      <c r="AN162" s="9"/>
      <c r="AO162" s="9"/>
      <c r="AP162" s="9"/>
      <c r="AQ162" s="9"/>
      <c r="AR162" s="9"/>
      <c r="AS162" s="9"/>
      <c r="AT162" s="9"/>
    </row>
    <row r="163">
      <c r="A163" s="492"/>
      <c r="B163" s="254"/>
      <c r="C163" s="492"/>
      <c r="D163" s="254"/>
      <c r="E163" s="492"/>
      <c r="F163" s="254"/>
      <c r="G163" s="492"/>
      <c r="H163" s="254"/>
      <c r="I163" s="500"/>
      <c r="J163" s="181"/>
      <c r="K163" s="500"/>
      <c r="L163" s="181"/>
      <c r="M163" s="492"/>
      <c r="N163" s="254"/>
      <c r="O163" s="492"/>
      <c r="P163" s="254"/>
      <c r="Q163" s="492"/>
      <c r="R163" s="254"/>
      <c r="S163" s="492"/>
      <c r="T163" s="254"/>
      <c r="U163" s="492"/>
      <c r="V163" s="254"/>
      <c r="W163" s="492"/>
      <c r="X163" s="254"/>
      <c r="Y163" s="9"/>
      <c r="Z163" s="9"/>
      <c r="AA163" s="9"/>
      <c r="AB163" s="9"/>
      <c r="AC163" s="9"/>
      <c r="AD163" s="9"/>
      <c r="AE163" s="9"/>
      <c r="AF163" s="9"/>
      <c r="AG163" s="9"/>
      <c r="AH163" s="9"/>
      <c r="AI163" s="9"/>
      <c r="AJ163" s="9"/>
      <c r="AK163" s="9"/>
      <c r="AL163" s="9"/>
      <c r="AM163" s="9"/>
      <c r="AN163" s="9"/>
      <c r="AO163" s="9"/>
      <c r="AP163" s="9"/>
      <c r="AQ163" s="9"/>
      <c r="AR163" s="9"/>
      <c r="AS163" s="9"/>
      <c r="AT163" s="9"/>
    </row>
    <row r="164">
      <c r="A164" s="492"/>
      <c r="B164" s="254"/>
      <c r="C164" s="492"/>
      <c r="D164" s="254"/>
      <c r="E164" s="492"/>
      <c r="F164" s="254"/>
      <c r="G164" s="492"/>
      <c r="H164" s="254"/>
      <c r="I164" s="500"/>
      <c r="J164" s="181"/>
      <c r="K164" s="500"/>
      <c r="L164" s="181"/>
      <c r="M164" s="492"/>
      <c r="N164" s="254"/>
      <c r="O164" s="492"/>
      <c r="P164" s="254"/>
      <c r="Q164" s="492"/>
      <c r="R164" s="254"/>
      <c r="S164" s="492"/>
      <c r="T164" s="254"/>
      <c r="U164" s="492"/>
      <c r="V164" s="254"/>
      <c r="W164" s="492"/>
      <c r="X164" s="254"/>
      <c r="Y164" s="9"/>
      <c r="Z164" s="9"/>
      <c r="AA164" s="9"/>
      <c r="AB164" s="9"/>
      <c r="AC164" s="9"/>
      <c r="AD164" s="9"/>
      <c r="AE164" s="9"/>
      <c r="AF164" s="9"/>
      <c r="AG164" s="9"/>
      <c r="AH164" s="9"/>
      <c r="AI164" s="9"/>
      <c r="AJ164" s="9"/>
      <c r="AK164" s="9"/>
      <c r="AL164" s="9"/>
      <c r="AM164" s="9"/>
      <c r="AN164" s="9"/>
      <c r="AO164" s="9"/>
      <c r="AP164" s="9"/>
      <c r="AQ164" s="9"/>
      <c r="AR164" s="9"/>
      <c r="AS164" s="9"/>
      <c r="AT164" s="9"/>
    </row>
    <row r="165">
      <c r="A165" s="492"/>
      <c r="B165" s="254"/>
      <c r="C165" s="492"/>
      <c r="D165" s="254"/>
      <c r="E165" s="492"/>
      <c r="F165" s="254"/>
      <c r="G165" s="492"/>
      <c r="H165" s="254"/>
      <c r="I165" s="500"/>
      <c r="J165" s="181"/>
      <c r="K165" s="500"/>
      <c r="L165" s="181"/>
      <c r="M165" s="492"/>
      <c r="N165" s="254"/>
      <c r="O165" s="492"/>
      <c r="P165" s="254"/>
      <c r="Q165" s="492"/>
      <c r="R165" s="254"/>
      <c r="S165" s="492"/>
      <c r="T165" s="254"/>
      <c r="U165" s="492"/>
      <c r="V165" s="254"/>
      <c r="W165" s="492"/>
      <c r="X165" s="254"/>
      <c r="Y165" s="9"/>
      <c r="Z165" s="9"/>
      <c r="AA165" s="9"/>
      <c r="AB165" s="9"/>
      <c r="AC165" s="9"/>
      <c r="AD165" s="9"/>
      <c r="AE165" s="9"/>
      <c r="AF165" s="9"/>
      <c r="AG165" s="9"/>
      <c r="AH165" s="9"/>
      <c r="AI165" s="9"/>
      <c r="AJ165" s="9"/>
      <c r="AK165" s="9"/>
      <c r="AL165" s="9"/>
      <c r="AM165" s="9"/>
      <c r="AN165" s="9"/>
      <c r="AO165" s="9"/>
      <c r="AP165" s="9"/>
      <c r="AQ165" s="9"/>
      <c r="AR165" s="9"/>
      <c r="AS165" s="9"/>
      <c r="AT165" s="9"/>
    </row>
    <row r="166">
      <c r="A166" s="492"/>
      <c r="B166" s="254"/>
      <c r="C166" s="492"/>
      <c r="D166" s="254"/>
      <c r="E166" s="492"/>
      <c r="F166" s="254"/>
      <c r="G166" s="492"/>
      <c r="H166" s="254"/>
      <c r="I166" s="500"/>
      <c r="J166" s="181"/>
      <c r="K166" s="500"/>
      <c r="L166" s="181"/>
      <c r="M166" s="492"/>
      <c r="N166" s="254"/>
      <c r="O166" s="492"/>
      <c r="P166" s="254"/>
      <c r="Q166" s="492"/>
      <c r="R166" s="254"/>
      <c r="S166" s="492"/>
      <c r="T166" s="254"/>
      <c r="U166" s="492"/>
      <c r="V166" s="254"/>
      <c r="W166" s="492"/>
      <c r="X166" s="254"/>
      <c r="Y166" s="9"/>
      <c r="Z166" s="9"/>
      <c r="AA166" s="9"/>
      <c r="AB166" s="9"/>
      <c r="AC166" s="9"/>
      <c r="AD166" s="9"/>
      <c r="AE166" s="9"/>
      <c r="AF166" s="9"/>
      <c r="AG166" s="9"/>
      <c r="AH166" s="9"/>
      <c r="AI166" s="9"/>
      <c r="AJ166" s="9"/>
      <c r="AK166" s="9"/>
      <c r="AL166" s="9"/>
      <c r="AM166" s="9"/>
      <c r="AN166" s="9"/>
      <c r="AO166" s="9"/>
      <c r="AP166" s="9"/>
      <c r="AQ166" s="9"/>
      <c r="AR166" s="9"/>
      <c r="AS166" s="9"/>
      <c r="AT166" s="9"/>
    </row>
    <row r="167">
      <c r="A167" s="492"/>
      <c r="B167" s="254"/>
      <c r="C167" s="492"/>
      <c r="D167" s="254"/>
      <c r="E167" s="492"/>
      <c r="F167" s="254"/>
      <c r="G167" s="492"/>
      <c r="H167" s="254"/>
      <c r="I167" s="500"/>
      <c r="J167" s="181"/>
      <c r="K167" s="500"/>
      <c r="L167" s="181"/>
      <c r="M167" s="492"/>
      <c r="N167" s="254"/>
      <c r="O167" s="492"/>
      <c r="P167" s="254"/>
      <c r="Q167" s="492"/>
      <c r="R167" s="254"/>
      <c r="S167" s="492"/>
      <c r="T167" s="254"/>
      <c r="U167" s="492"/>
      <c r="V167" s="254"/>
      <c r="W167" s="492"/>
      <c r="X167" s="254"/>
      <c r="Y167" s="9"/>
      <c r="Z167" s="9"/>
      <c r="AA167" s="9"/>
      <c r="AB167" s="9"/>
      <c r="AC167" s="9"/>
      <c r="AD167" s="9"/>
      <c r="AE167" s="9"/>
      <c r="AF167" s="9"/>
      <c r="AG167" s="9"/>
      <c r="AH167" s="9"/>
      <c r="AI167" s="9"/>
      <c r="AJ167" s="9"/>
      <c r="AK167" s="9"/>
      <c r="AL167" s="9"/>
      <c r="AM167" s="9"/>
      <c r="AN167" s="9"/>
      <c r="AO167" s="9"/>
      <c r="AP167" s="9"/>
      <c r="AQ167" s="9"/>
      <c r="AR167" s="9"/>
      <c r="AS167" s="9"/>
      <c r="AT167" s="9"/>
    </row>
    <row r="168">
      <c r="A168" s="492"/>
      <c r="B168" s="254"/>
      <c r="C168" s="492"/>
      <c r="D168" s="254"/>
      <c r="E168" s="492"/>
      <c r="F168" s="254"/>
      <c r="G168" s="492"/>
      <c r="H168" s="254"/>
      <c r="I168" s="500"/>
      <c r="J168" s="181"/>
      <c r="K168" s="500"/>
      <c r="L168" s="181"/>
      <c r="M168" s="492"/>
      <c r="N168" s="254"/>
      <c r="O168" s="492"/>
      <c r="P168" s="254"/>
      <c r="Q168" s="492"/>
      <c r="R168" s="254"/>
      <c r="S168" s="492"/>
      <c r="T168" s="254"/>
      <c r="U168" s="492"/>
      <c r="V168" s="254"/>
      <c r="W168" s="492"/>
      <c r="X168" s="254"/>
      <c r="Y168" s="9"/>
      <c r="Z168" s="9"/>
      <c r="AA168" s="9"/>
      <c r="AB168" s="9"/>
      <c r="AC168" s="9"/>
      <c r="AD168" s="9"/>
      <c r="AE168" s="9"/>
      <c r="AF168" s="9"/>
      <c r="AG168" s="9"/>
      <c r="AH168" s="9"/>
      <c r="AI168" s="9"/>
      <c r="AJ168" s="9"/>
      <c r="AK168" s="9"/>
      <c r="AL168" s="9"/>
      <c r="AM168" s="9"/>
      <c r="AN168" s="9"/>
      <c r="AO168" s="9"/>
      <c r="AP168" s="9"/>
      <c r="AQ168" s="9"/>
      <c r="AR168" s="9"/>
      <c r="AS168" s="9"/>
      <c r="AT168" s="9"/>
    </row>
    <row r="169">
      <c r="A169" s="492"/>
      <c r="B169" s="254"/>
      <c r="C169" s="492"/>
      <c r="D169" s="254"/>
      <c r="E169" s="492"/>
      <c r="F169" s="254"/>
      <c r="G169" s="492"/>
      <c r="H169" s="254"/>
      <c r="I169" s="500"/>
      <c r="J169" s="181"/>
      <c r="K169" s="500"/>
      <c r="L169" s="181"/>
      <c r="M169" s="492"/>
      <c r="N169" s="254"/>
      <c r="O169" s="492"/>
      <c r="P169" s="254"/>
      <c r="Q169" s="492"/>
      <c r="R169" s="254"/>
      <c r="S169" s="492"/>
      <c r="T169" s="254"/>
      <c r="U169" s="492"/>
      <c r="V169" s="254"/>
      <c r="W169" s="492"/>
      <c r="X169" s="254"/>
      <c r="Y169" s="9"/>
      <c r="Z169" s="9"/>
      <c r="AA169" s="9"/>
      <c r="AB169" s="9"/>
      <c r="AC169" s="9"/>
      <c r="AD169" s="9"/>
      <c r="AE169" s="9"/>
      <c r="AF169" s="9"/>
      <c r="AG169" s="9"/>
      <c r="AH169" s="9"/>
      <c r="AI169" s="9"/>
      <c r="AJ169" s="9"/>
      <c r="AK169" s="9"/>
      <c r="AL169" s="9"/>
      <c r="AM169" s="9"/>
      <c r="AN169" s="9"/>
      <c r="AO169" s="9"/>
      <c r="AP169" s="9"/>
      <c r="AQ169" s="9"/>
      <c r="AR169" s="9"/>
      <c r="AS169" s="9"/>
      <c r="AT169" s="9"/>
    </row>
    <row r="170">
      <c r="A170" s="492"/>
      <c r="B170" s="254"/>
      <c r="C170" s="492"/>
      <c r="D170" s="254"/>
      <c r="E170" s="492"/>
      <c r="F170" s="254"/>
      <c r="G170" s="492"/>
      <c r="H170" s="254"/>
      <c r="I170" s="500"/>
      <c r="J170" s="181"/>
      <c r="K170" s="500"/>
      <c r="L170" s="181"/>
      <c r="M170" s="492"/>
      <c r="N170" s="254"/>
      <c r="O170" s="492"/>
      <c r="P170" s="254"/>
      <c r="Q170" s="492"/>
      <c r="R170" s="254"/>
      <c r="S170" s="492"/>
      <c r="T170" s="254"/>
      <c r="U170" s="492"/>
      <c r="V170" s="254"/>
      <c r="W170" s="492"/>
      <c r="X170" s="254"/>
      <c r="Y170" s="9"/>
      <c r="Z170" s="9"/>
      <c r="AA170" s="9"/>
      <c r="AB170" s="9"/>
      <c r="AC170" s="9"/>
      <c r="AD170" s="9"/>
      <c r="AE170" s="9"/>
      <c r="AF170" s="9"/>
      <c r="AG170" s="9"/>
      <c r="AH170" s="9"/>
      <c r="AI170" s="9"/>
      <c r="AJ170" s="9"/>
      <c r="AK170" s="9"/>
      <c r="AL170" s="9"/>
      <c r="AM170" s="9"/>
      <c r="AN170" s="9"/>
      <c r="AO170" s="9"/>
      <c r="AP170" s="9"/>
      <c r="AQ170" s="9"/>
      <c r="AR170" s="9"/>
      <c r="AS170" s="9"/>
      <c r="AT170" s="9"/>
    </row>
    <row r="171">
      <c r="A171" s="492"/>
      <c r="B171" s="254"/>
      <c r="C171" s="492"/>
      <c r="D171" s="254"/>
      <c r="E171" s="492"/>
      <c r="F171" s="254"/>
      <c r="G171" s="492"/>
      <c r="H171" s="254"/>
      <c r="I171" s="500"/>
      <c r="J171" s="181"/>
      <c r="K171" s="500"/>
      <c r="L171" s="181"/>
      <c r="M171" s="492"/>
      <c r="N171" s="254"/>
      <c r="O171" s="492"/>
      <c r="P171" s="254"/>
      <c r="Q171" s="492"/>
      <c r="R171" s="254"/>
      <c r="S171" s="492"/>
      <c r="T171" s="254"/>
      <c r="U171" s="492"/>
      <c r="V171" s="254"/>
      <c r="W171" s="492"/>
      <c r="X171" s="254"/>
      <c r="Y171" s="9"/>
      <c r="Z171" s="9"/>
      <c r="AA171" s="9"/>
      <c r="AB171" s="9"/>
      <c r="AC171" s="9"/>
      <c r="AD171" s="9"/>
      <c r="AE171" s="9"/>
      <c r="AF171" s="9"/>
      <c r="AG171" s="9"/>
      <c r="AH171" s="9"/>
      <c r="AI171" s="9"/>
      <c r="AJ171" s="9"/>
      <c r="AK171" s="9"/>
      <c r="AL171" s="9"/>
      <c r="AM171" s="9"/>
      <c r="AN171" s="9"/>
      <c r="AO171" s="9"/>
      <c r="AP171" s="9"/>
      <c r="AQ171" s="9"/>
      <c r="AR171" s="9"/>
      <c r="AS171" s="9"/>
      <c r="AT171" s="9"/>
    </row>
    <row r="172">
      <c r="A172" s="492"/>
      <c r="B172" s="254"/>
      <c r="C172" s="492"/>
      <c r="D172" s="254"/>
      <c r="E172" s="492"/>
      <c r="F172" s="254"/>
      <c r="G172" s="492"/>
      <c r="H172" s="254"/>
      <c r="I172" s="500"/>
      <c r="J172" s="181"/>
      <c r="K172" s="500"/>
      <c r="L172" s="181"/>
      <c r="M172" s="492"/>
      <c r="N172" s="254"/>
      <c r="O172" s="492"/>
      <c r="P172" s="254"/>
      <c r="Q172" s="492"/>
      <c r="R172" s="254"/>
      <c r="S172" s="492"/>
      <c r="T172" s="254"/>
      <c r="U172" s="492"/>
      <c r="V172" s="254"/>
      <c r="W172" s="492"/>
      <c r="X172" s="254"/>
      <c r="Y172" s="9"/>
      <c r="Z172" s="9"/>
      <c r="AA172" s="9"/>
      <c r="AB172" s="9"/>
      <c r="AC172" s="9"/>
      <c r="AD172" s="9"/>
      <c r="AE172" s="9"/>
      <c r="AF172" s="9"/>
      <c r="AG172" s="9"/>
      <c r="AH172" s="9"/>
      <c r="AI172" s="9"/>
      <c r="AJ172" s="9"/>
      <c r="AK172" s="9"/>
      <c r="AL172" s="9"/>
      <c r="AM172" s="9"/>
      <c r="AN172" s="9"/>
      <c r="AO172" s="9"/>
      <c r="AP172" s="9"/>
      <c r="AQ172" s="9"/>
      <c r="AR172" s="9"/>
      <c r="AS172" s="9"/>
      <c r="AT172" s="9"/>
    </row>
    <row r="173">
      <c r="A173" s="492"/>
      <c r="B173" s="254"/>
      <c r="C173" s="492"/>
      <c r="D173" s="254"/>
      <c r="E173" s="492"/>
      <c r="F173" s="254"/>
      <c r="G173" s="492"/>
      <c r="H173" s="254"/>
      <c r="I173" s="500"/>
      <c r="J173" s="181"/>
      <c r="K173" s="500"/>
      <c r="L173" s="181"/>
      <c r="M173" s="492"/>
      <c r="N173" s="254"/>
      <c r="O173" s="492"/>
      <c r="P173" s="254"/>
      <c r="Q173" s="492"/>
      <c r="R173" s="254"/>
      <c r="S173" s="492"/>
      <c r="T173" s="254"/>
      <c r="U173" s="492"/>
      <c r="V173" s="254"/>
      <c r="W173" s="492"/>
      <c r="X173" s="254"/>
      <c r="Y173" s="9"/>
      <c r="Z173" s="9"/>
      <c r="AA173" s="9"/>
      <c r="AB173" s="9"/>
      <c r="AC173" s="9"/>
      <c r="AD173" s="9"/>
      <c r="AE173" s="9"/>
      <c r="AF173" s="9"/>
      <c r="AG173" s="9"/>
      <c r="AH173" s="9"/>
      <c r="AI173" s="9"/>
      <c r="AJ173" s="9"/>
      <c r="AK173" s="9"/>
      <c r="AL173" s="9"/>
      <c r="AM173" s="9"/>
      <c r="AN173" s="9"/>
      <c r="AO173" s="9"/>
      <c r="AP173" s="9"/>
      <c r="AQ173" s="9"/>
      <c r="AR173" s="9"/>
      <c r="AS173" s="9"/>
      <c r="AT173" s="9"/>
    </row>
    <row r="174">
      <c r="A174" s="492"/>
      <c r="B174" s="254"/>
      <c r="C174" s="492"/>
      <c r="D174" s="254"/>
      <c r="E174" s="492"/>
      <c r="F174" s="254"/>
      <c r="G174" s="492"/>
      <c r="H174" s="254"/>
      <c r="I174" s="500"/>
      <c r="J174" s="181"/>
      <c r="K174" s="500"/>
      <c r="L174" s="181"/>
      <c r="M174" s="492"/>
      <c r="N174" s="254"/>
      <c r="O174" s="492"/>
      <c r="P174" s="254"/>
      <c r="Q174" s="492"/>
      <c r="R174" s="254"/>
      <c r="S174" s="492"/>
      <c r="T174" s="254"/>
      <c r="U174" s="492"/>
      <c r="V174" s="254"/>
      <c r="W174" s="492"/>
      <c r="X174" s="254"/>
      <c r="Y174" s="9"/>
      <c r="Z174" s="9"/>
      <c r="AA174" s="9"/>
      <c r="AB174" s="9"/>
      <c r="AC174" s="9"/>
      <c r="AD174" s="9"/>
      <c r="AE174" s="9"/>
      <c r="AF174" s="9"/>
      <c r="AG174" s="9"/>
      <c r="AH174" s="9"/>
      <c r="AI174" s="9"/>
      <c r="AJ174" s="9"/>
      <c r="AK174" s="9"/>
      <c r="AL174" s="9"/>
      <c r="AM174" s="9"/>
      <c r="AN174" s="9"/>
      <c r="AO174" s="9"/>
      <c r="AP174" s="9"/>
      <c r="AQ174" s="9"/>
      <c r="AR174" s="9"/>
      <c r="AS174" s="9"/>
      <c r="AT174" s="9"/>
    </row>
    <row r="175">
      <c r="A175" s="492"/>
      <c r="B175" s="254"/>
      <c r="C175" s="492"/>
      <c r="D175" s="254"/>
      <c r="E175" s="492"/>
      <c r="F175" s="254"/>
      <c r="G175" s="492"/>
      <c r="H175" s="254"/>
      <c r="I175" s="500"/>
      <c r="J175" s="181"/>
      <c r="K175" s="500"/>
      <c r="L175" s="181"/>
      <c r="M175" s="492"/>
      <c r="N175" s="254"/>
      <c r="O175" s="492"/>
      <c r="P175" s="254"/>
      <c r="Q175" s="492"/>
      <c r="R175" s="254"/>
      <c r="S175" s="492"/>
      <c r="T175" s="254"/>
      <c r="U175" s="492"/>
      <c r="V175" s="254"/>
      <c r="W175" s="492"/>
      <c r="X175" s="254"/>
      <c r="Y175" s="9"/>
      <c r="Z175" s="9"/>
      <c r="AA175" s="9"/>
      <c r="AB175" s="9"/>
      <c r="AC175" s="9"/>
      <c r="AD175" s="9"/>
      <c r="AE175" s="9"/>
      <c r="AF175" s="9"/>
      <c r="AG175" s="9"/>
      <c r="AH175" s="9"/>
      <c r="AI175" s="9"/>
      <c r="AJ175" s="9"/>
      <c r="AK175" s="9"/>
      <c r="AL175" s="9"/>
      <c r="AM175" s="9"/>
      <c r="AN175" s="9"/>
      <c r="AO175" s="9"/>
      <c r="AP175" s="9"/>
      <c r="AQ175" s="9"/>
      <c r="AR175" s="9"/>
      <c r="AS175" s="9"/>
      <c r="AT175" s="9"/>
    </row>
    <row r="176">
      <c r="A176" s="492"/>
      <c r="B176" s="254"/>
      <c r="C176" s="492"/>
      <c r="D176" s="254"/>
      <c r="E176" s="492"/>
      <c r="F176" s="254"/>
      <c r="G176" s="492"/>
      <c r="H176" s="254"/>
      <c r="I176" s="500"/>
      <c r="J176" s="181"/>
      <c r="K176" s="500"/>
      <c r="L176" s="181"/>
      <c r="M176" s="492"/>
      <c r="N176" s="254"/>
      <c r="O176" s="492"/>
      <c r="P176" s="254"/>
      <c r="Q176" s="492"/>
      <c r="R176" s="254"/>
      <c r="S176" s="492"/>
      <c r="T176" s="254"/>
      <c r="U176" s="492"/>
      <c r="V176" s="254"/>
      <c r="W176" s="492"/>
      <c r="X176" s="254"/>
      <c r="Y176" s="9"/>
      <c r="Z176" s="9"/>
      <c r="AA176" s="9"/>
      <c r="AB176" s="9"/>
      <c r="AC176" s="9"/>
      <c r="AD176" s="9"/>
      <c r="AE176" s="9"/>
      <c r="AF176" s="9"/>
      <c r="AG176" s="9"/>
      <c r="AH176" s="9"/>
      <c r="AI176" s="9"/>
      <c r="AJ176" s="9"/>
      <c r="AK176" s="9"/>
      <c r="AL176" s="9"/>
      <c r="AM176" s="9"/>
      <c r="AN176" s="9"/>
      <c r="AO176" s="9"/>
      <c r="AP176" s="9"/>
      <c r="AQ176" s="9"/>
      <c r="AR176" s="9"/>
      <c r="AS176" s="9"/>
      <c r="AT176" s="9"/>
    </row>
    <row r="177">
      <c r="A177" s="492"/>
      <c r="B177" s="254"/>
      <c r="C177" s="492"/>
      <c r="D177" s="254"/>
      <c r="E177" s="492"/>
      <c r="F177" s="254"/>
      <c r="G177" s="492"/>
      <c r="H177" s="254"/>
      <c r="I177" s="500"/>
      <c r="J177" s="181"/>
      <c r="K177" s="500"/>
      <c r="L177" s="181"/>
      <c r="M177" s="492"/>
      <c r="N177" s="254"/>
      <c r="O177" s="492"/>
      <c r="P177" s="254"/>
      <c r="Q177" s="492"/>
      <c r="R177" s="254"/>
      <c r="S177" s="492"/>
      <c r="T177" s="254"/>
      <c r="U177" s="492"/>
      <c r="V177" s="254"/>
      <c r="W177" s="492"/>
      <c r="X177" s="254"/>
      <c r="Y177" s="9"/>
      <c r="Z177" s="9"/>
      <c r="AA177" s="9"/>
      <c r="AB177" s="9"/>
      <c r="AC177" s="9"/>
      <c r="AD177" s="9"/>
      <c r="AE177" s="9"/>
      <c r="AF177" s="9"/>
      <c r="AG177" s="9"/>
      <c r="AH177" s="9"/>
      <c r="AI177" s="9"/>
      <c r="AJ177" s="9"/>
      <c r="AK177" s="9"/>
      <c r="AL177" s="9"/>
      <c r="AM177" s="9"/>
      <c r="AN177" s="9"/>
      <c r="AO177" s="9"/>
      <c r="AP177" s="9"/>
      <c r="AQ177" s="9"/>
      <c r="AR177" s="9"/>
      <c r="AS177" s="9"/>
      <c r="AT177" s="9"/>
    </row>
    <row r="178">
      <c r="A178" s="492"/>
      <c r="B178" s="254"/>
      <c r="C178" s="492"/>
      <c r="D178" s="254"/>
      <c r="E178" s="492"/>
      <c r="F178" s="254"/>
      <c r="G178" s="492"/>
      <c r="H178" s="254"/>
      <c r="I178" s="500"/>
      <c r="J178" s="181"/>
      <c r="K178" s="500"/>
      <c r="L178" s="181"/>
      <c r="M178" s="492"/>
      <c r="N178" s="254"/>
      <c r="O178" s="492"/>
      <c r="P178" s="254"/>
      <c r="Q178" s="492"/>
      <c r="R178" s="254"/>
      <c r="S178" s="492"/>
      <c r="T178" s="254"/>
      <c r="U178" s="492"/>
      <c r="V178" s="254"/>
      <c r="W178" s="492"/>
      <c r="X178" s="254"/>
      <c r="Y178" s="9"/>
      <c r="Z178" s="9"/>
      <c r="AA178" s="9"/>
      <c r="AB178" s="9"/>
      <c r="AC178" s="9"/>
      <c r="AD178" s="9"/>
      <c r="AE178" s="9"/>
      <c r="AF178" s="9"/>
      <c r="AG178" s="9"/>
      <c r="AH178" s="9"/>
      <c r="AI178" s="9"/>
      <c r="AJ178" s="9"/>
      <c r="AK178" s="9"/>
      <c r="AL178" s="9"/>
      <c r="AM178" s="9"/>
      <c r="AN178" s="9"/>
      <c r="AO178" s="9"/>
      <c r="AP178" s="9"/>
      <c r="AQ178" s="9"/>
      <c r="AR178" s="9"/>
      <c r="AS178" s="9"/>
      <c r="AT178" s="9"/>
    </row>
    <row r="179">
      <c r="A179" s="492"/>
      <c r="B179" s="254"/>
      <c r="C179" s="492"/>
      <c r="D179" s="254"/>
      <c r="E179" s="492"/>
      <c r="F179" s="254"/>
      <c r="G179" s="492"/>
      <c r="H179" s="254"/>
      <c r="I179" s="500"/>
      <c r="J179" s="181"/>
      <c r="K179" s="500"/>
      <c r="L179" s="181"/>
      <c r="M179" s="492"/>
      <c r="N179" s="254"/>
      <c r="O179" s="492"/>
      <c r="P179" s="254"/>
      <c r="Q179" s="492"/>
      <c r="R179" s="254"/>
      <c r="S179" s="492"/>
      <c r="T179" s="254"/>
      <c r="U179" s="492"/>
      <c r="V179" s="254"/>
      <c r="W179" s="492"/>
      <c r="X179" s="254"/>
      <c r="Y179" s="9"/>
      <c r="Z179" s="9"/>
      <c r="AA179" s="9"/>
      <c r="AB179" s="9"/>
      <c r="AC179" s="9"/>
      <c r="AD179" s="9"/>
      <c r="AE179" s="9"/>
      <c r="AF179" s="9"/>
      <c r="AG179" s="9"/>
      <c r="AH179" s="9"/>
      <c r="AI179" s="9"/>
      <c r="AJ179" s="9"/>
      <c r="AK179" s="9"/>
      <c r="AL179" s="9"/>
      <c r="AM179" s="9"/>
      <c r="AN179" s="9"/>
      <c r="AO179" s="9"/>
      <c r="AP179" s="9"/>
      <c r="AQ179" s="9"/>
      <c r="AR179" s="9"/>
      <c r="AS179" s="9"/>
      <c r="AT179" s="9"/>
    </row>
    <row r="180">
      <c r="A180" s="492"/>
      <c r="B180" s="254"/>
      <c r="C180" s="492"/>
      <c r="D180" s="254"/>
      <c r="E180" s="492"/>
      <c r="F180" s="254"/>
      <c r="G180" s="492"/>
      <c r="H180" s="254"/>
      <c r="I180" s="500"/>
      <c r="J180" s="181"/>
      <c r="K180" s="500"/>
      <c r="L180" s="181"/>
      <c r="M180" s="492"/>
      <c r="N180" s="254"/>
      <c r="O180" s="492"/>
      <c r="P180" s="254"/>
      <c r="Q180" s="492"/>
      <c r="R180" s="254"/>
      <c r="S180" s="492"/>
      <c r="T180" s="254"/>
      <c r="U180" s="492"/>
      <c r="V180" s="254"/>
      <c r="W180" s="492"/>
      <c r="X180" s="254"/>
      <c r="Y180" s="9"/>
      <c r="Z180" s="9"/>
      <c r="AA180" s="9"/>
      <c r="AB180" s="9"/>
      <c r="AC180" s="9"/>
      <c r="AD180" s="9"/>
      <c r="AE180" s="9"/>
      <c r="AF180" s="9"/>
      <c r="AG180" s="9"/>
      <c r="AH180" s="9"/>
      <c r="AI180" s="9"/>
      <c r="AJ180" s="9"/>
      <c r="AK180" s="9"/>
      <c r="AL180" s="9"/>
      <c r="AM180" s="9"/>
      <c r="AN180" s="9"/>
      <c r="AO180" s="9"/>
      <c r="AP180" s="9"/>
      <c r="AQ180" s="9"/>
      <c r="AR180" s="9"/>
      <c r="AS180" s="9"/>
      <c r="AT180" s="9"/>
    </row>
    <row r="181">
      <c r="A181" s="492"/>
      <c r="B181" s="254"/>
      <c r="C181" s="492"/>
      <c r="D181" s="254"/>
      <c r="E181" s="492"/>
      <c r="F181" s="254"/>
      <c r="G181" s="492"/>
      <c r="H181" s="254"/>
      <c r="I181" s="500"/>
      <c r="J181" s="181"/>
      <c r="K181" s="500"/>
      <c r="L181" s="181"/>
      <c r="M181" s="492"/>
      <c r="N181" s="254"/>
      <c r="O181" s="492"/>
      <c r="P181" s="254"/>
      <c r="Q181" s="492"/>
      <c r="R181" s="254"/>
      <c r="S181" s="492"/>
      <c r="T181" s="254"/>
      <c r="U181" s="492"/>
      <c r="V181" s="254"/>
      <c r="W181" s="492"/>
      <c r="X181" s="254"/>
      <c r="Y181" s="9"/>
      <c r="Z181" s="9"/>
      <c r="AA181" s="9"/>
      <c r="AB181" s="9"/>
      <c r="AC181" s="9"/>
      <c r="AD181" s="9"/>
      <c r="AE181" s="9"/>
      <c r="AF181" s="9"/>
      <c r="AG181" s="9"/>
      <c r="AH181" s="9"/>
      <c r="AI181" s="9"/>
      <c r="AJ181" s="9"/>
      <c r="AK181" s="9"/>
      <c r="AL181" s="9"/>
      <c r="AM181" s="9"/>
      <c r="AN181" s="9"/>
      <c r="AO181" s="9"/>
      <c r="AP181" s="9"/>
      <c r="AQ181" s="9"/>
      <c r="AR181" s="9"/>
      <c r="AS181" s="9"/>
      <c r="AT181" s="9"/>
    </row>
    <row r="182">
      <c r="A182" s="492"/>
      <c r="B182" s="254"/>
      <c r="C182" s="492"/>
      <c r="D182" s="254"/>
      <c r="E182" s="492"/>
      <c r="F182" s="254"/>
      <c r="G182" s="492"/>
      <c r="H182" s="254"/>
      <c r="I182" s="500"/>
      <c r="J182" s="181"/>
      <c r="K182" s="500"/>
      <c r="L182" s="181"/>
      <c r="M182" s="492"/>
      <c r="N182" s="254"/>
      <c r="O182" s="492"/>
      <c r="P182" s="254"/>
      <c r="Q182" s="492"/>
      <c r="R182" s="254"/>
      <c r="S182" s="492"/>
      <c r="T182" s="254"/>
      <c r="U182" s="492"/>
      <c r="V182" s="254"/>
      <c r="W182" s="492"/>
      <c r="X182" s="254"/>
      <c r="Y182" s="9"/>
      <c r="Z182" s="9"/>
      <c r="AA182" s="9"/>
      <c r="AB182" s="9"/>
      <c r="AC182" s="9"/>
      <c r="AD182" s="9"/>
      <c r="AE182" s="9"/>
      <c r="AF182" s="9"/>
      <c r="AG182" s="9"/>
      <c r="AH182" s="9"/>
      <c r="AI182" s="9"/>
      <c r="AJ182" s="9"/>
      <c r="AK182" s="9"/>
      <c r="AL182" s="9"/>
      <c r="AM182" s="9"/>
      <c r="AN182" s="9"/>
      <c r="AO182" s="9"/>
      <c r="AP182" s="9"/>
      <c r="AQ182" s="9"/>
      <c r="AR182" s="9"/>
      <c r="AS182" s="9"/>
      <c r="AT182" s="9"/>
    </row>
    <row r="183">
      <c r="A183" s="492"/>
      <c r="B183" s="254"/>
      <c r="C183" s="492"/>
      <c r="D183" s="254"/>
      <c r="E183" s="492"/>
      <c r="F183" s="254"/>
      <c r="G183" s="492"/>
      <c r="H183" s="254"/>
      <c r="I183" s="500"/>
      <c r="J183" s="181"/>
      <c r="K183" s="500"/>
      <c r="L183" s="181"/>
      <c r="M183" s="492"/>
      <c r="N183" s="254"/>
      <c r="O183" s="492"/>
      <c r="P183" s="254"/>
      <c r="Q183" s="492"/>
      <c r="R183" s="254"/>
      <c r="S183" s="492"/>
      <c r="T183" s="254"/>
      <c r="U183" s="492"/>
      <c r="V183" s="254"/>
      <c r="W183" s="492"/>
      <c r="X183" s="254"/>
      <c r="Y183" s="9"/>
      <c r="Z183" s="9"/>
      <c r="AA183" s="9"/>
      <c r="AB183" s="9"/>
      <c r="AC183" s="9"/>
      <c r="AD183" s="9"/>
      <c r="AE183" s="9"/>
      <c r="AF183" s="9"/>
      <c r="AG183" s="9"/>
      <c r="AH183" s="9"/>
      <c r="AI183" s="9"/>
      <c r="AJ183" s="9"/>
      <c r="AK183" s="9"/>
      <c r="AL183" s="9"/>
      <c r="AM183" s="9"/>
      <c r="AN183" s="9"/>
      <c r="AO183" s="9"/>
      <c r="AP183" s="9"/>
      <c r="AQ183" s="9"/>
      <c r="AR183" s="9"/>
      <c r="AS183" s="9"/>
      <c r="AT183" s="9"/>
    </row>
    <row r="184">
      <c r="A184" s="492"/>
      <c r="B184" s="254"/>
      <c r="C184" s="492"/>
      <c r="D184" s="254"/>
      <c r="E184" s="492"/>
      <c r="F184" s="254"/>
      <c r="G184" s="492"/>
      <c r="H184" s="254"/>
      <c r="I184" s="500"/>
      <c r="J184" s="181"/>
      <c r="K184" s="500"/>
      <c r="L184" s="181"/>
      <c r="M184" s="492"/>
      <c r="N184" s="254"/>
      <c r="O184" s="492"/>
      <c r="P184" s="254"/>
      <c r="Q184" s="492"/>
      <c r="R184" s="254"/>
      <c r="S184" s="492"/>
      <c r="T184" s="254"/>
      <c r="U184" s="492"/>
      <c r="V184" s="254"/>
      <c r="W184" s="492"/>
      <c r="X184" s="254"/>
      <c r="Y184" s="9"/>
      <c r="Z184" s="9"/>
      <c r="AA184" s="9"/>
      <c r="AB184" s="9"/>
      <c r="AC184" s="9"/>
      <c r="AD184" s="9"/>
      <c r="AE184" s="9"/>
      <c r="AF184" s="9"/>
      <c r="AG184" s="9"/>
      <c r="AH184" s="9"/>
      <c r="AI184" s="9"/>
      <c r="AJ184" s="9"/>
      <c r="AK184" s="9"/>
      <c r="AL184" s="9"/>
      <c r="AM184" s="9"/>
      <c r="AN184" s="9"/>
      <c r="AO184" s="9"/>
      <c r="AP184" s="9"/>
      <c r="AQ184" s="9"/>
      <c r="AR184" s="9"/>
      <c r="AS184" s="9"/>
      <c r="AT184" s="9"/>
    </row>
    <row r="185">
      <c r="A185" s="492"/>
      <c r="B185" s="254"/>
      <c r="C185" s="492"/>
      <c r="D185" s="254"/>
      <c r="E185" s="492"/>
      <c r="F185" s="254"/>
      <c r="G185" s="492"/>
      <c r="H185" s="254"/>
      <c r="I185" s="500"/>
      <c r="J185" s="181"/>
      <c r="K185" s="500"/>
      <c r="L185" s="181"/>
      <c r="M185" s="492"/>
      <c r="N185" s="254"/>
      <c r="O185" s="492"/>
      <c r="P185" s="254"/>
      <c r="Q185" s="492"/>
      <c r="R185" s="254"/>
      <c r="S185" s="492"/>
      <c r="T185" s="254"/>
      <c r="U185" s="492"/>
      <c r="V185" s="254"/>
      <c r="W185" s="492"/>
      <c r="X185" s="254"/>
      <c r="Y185" s="9"/>
      <c r="Z185" s="9"/>
      <c r="AA185" s="9"/>
      <c r="AB185" s="9"/>
      <c r="AC185" s="9"/>
      <c r="AD185" s="9"/>
      <c r="AE185" s="9"/>
      <c r="AF185" s="9"/>
      <c r="AG185" s="9"/>
      <c r="AH185" s="9"/>
      <c r="AI185" s="9"/>
      <c r="AJ185" s="9"/>
      <c r="AK185" s="9"/>
      <c r="AL185" s="9"/>
      <c r="AM185" s="9"/>
      <c r="AN185" s="9"/>
      <c r="AO185" s="9"/>
      <c r="AP185" s="9"/>
      <c r="AQ185" s="9"/>
      <c r="AR185" s="9"/>
      <c r="AS185" s="9"/>
      <c r="AT185" s="9"/>
    </row>
    <row r="186">
      <c r="A186" s="492"/>
      <c r="B186" s="254"/>
      <c r="C186" s="492"/>
      <c r="D186" s="254"/>
      <c r="E186" s="492"/>
      <c r="F186" s="254"/>
      <c r="G186" s="492"/>
      <c r="H186" s="254"/>
      <c r="I186" s="500"/>
      <c r="J186" s="181"/>
      <c r="K186" s="500"/>
      <c r="L186" s="181"/>
      <c r="M186" s="492"/>
      <c r="N186" s="254"/>
      <c r="O186" s="492"/>
      <c r="P186" s="254"/>
      <c r="Q186" s="492"/>
      <c r="R186" s="254"/>
      <c r="S186" s="492"/>
      <c r="T186" s="254"/>
      <c r="U186" s="492"/>
      <c r="V186" s="254"/>
      <c r="W186" s="492"/>
      <c r="X186" s="254"/>
      <c r="Y186" s="9"/>
      <c r="Z186" s="9"/>
      <c r="AA186" s="9"/>
      <c r="AB186" s="9"/>
      <c r="AC186" s="9"/>
      <c r="AD186" s="9"/>
      <c r="AE186" s="9"/>
      <c r="AF186" s="9"/>
      <c r="AG186" s="9"/>
      <c r="AH186" s="9"/>
      <c r="AI186" s="9"/>
      <c r="AJ186" s="9"/>
      <c r="AK186" s="9"/>
      <c r="AL186" s="9"/>
      <c r="AM186" s="9"/>
      <c r="AN186" s="9"/>
      <c r="AO186" s="9"/>
      <c r="AP186" s="9"/>
      <c r="AQ186" s="9"/>
      <c r="AR186" s="9"/>
      <c r="AS186" s="9"/>
      <c r="AT186" s="9"/>
    </row>
    <row r="187">
      <c r="A187" s="492"/>
      <c r="B187" s="254"/>
      <c r="C187" s="492"/>
      <c r="D187" s="254"/>
      <c r="E187" s="492"/>
      <c r="F187" s="254"/>
      <c r="G187" s="492"/>
      <c r="H187" s="254"/>
      <c r="I187" s="500"/>
      <c r="J187" s="181"/>
      <c r="K187" s="500"/>
      <c r="L187" s="181"/>
      <c r="M187" s="492"/>
      <c r="N187" s="254"/>
      <c r="O187" s="492"/>
      <c r="P187" s="254"/>
      <c r="Q187" s="492"/>
      <c r="R187" s="254"/>
      <c r="S187" s="492"/>
      <c r="T187" s="254"/>
      <c r="U187" s="492"/>
      <c r="V187" s="254"/>
      <c r="W187" s="492"/>
      <c r="X187" s="254"/>
      <c r="Y187" s="9"/>
      <c r="Z187" s="9"/>
      <c r="AA187" s="9"/>
      <c r="AB187" s="9"/>
      <c r="AC187" s="9"/>
      <c r="AD187" s="9"/>
      <c r="AE187" s="9"/>
      <c r="AF187" s="9"/>
      <c r="AG187" s="9"/>
      <c r="AH187" s="9"/>
      <c r="AI187" s="9"/>
      <c r="AJ187" s="9"/>
      <c r="AK187" s="9"/>
      <c r="AL187" s="9"/>
      <c r="AM187" s="9"/>
      <c r="AN187" s="9"/>
      <c r="AO187" s="9"/>
      <c r="AP187" s="9"/>
      <c r="AQ187" s="9"/>
      <c r="AR187" s="9"/>
      <c r="AS187" s="9"/>
      <c r="AT187" s="9"/>
    </row>
    <row r="188">
      <c r="A188" s="492"/>
      <c r="B188" s="254"/>
      <c r="C188" s="492"/>
      <c r="D188" s="254"/>
      <c r="E188" s="492"/>
      <c r="F188" s="254"/>
      <c r="G188" s="492"/>
      <c r="H188" s="254"/>
      <c r="I188" s="500"/>
      <c r="J188" s="181"/>
      <c r="K188" s="500"/>
      <c r="L188" s="181"/>
      <c r="M188" s="492"/>
      <c r="N188" s="254"/>
      <c r="O188" s="492"/>
      <c r="P188" s="254"/>
      <c r="Q188" s="492"/>
      <c r="R188" s="254"/>
      <c r="S188" s="492"/>
      <c r="T188" s="254"/>
      <c r="U188" s="492"/>
      <c r="V188" s="254"/>
      <c r="W188" s="492"/>
      <c r="X188" s="254"/>
      <c r="Y188" s="9"/>
      <c r="Z188" s="9"/>
      <c r="AA188" s="9"/>
      <c r="AB188" s="9"/>
      <c r="AC188" s="9"/>
      <c r="AD188" s="9"/>
      <c r="AE188" s="9"/>
      <c r="AF188" s="9"/>
      <c r="AG188" s="9"/>
      <c r="AH188" s="9"/>
      <c r="AI188" s="9"/>
      <c r="AJ188" s="9"/>
      <c r="AK188" s="9"/>
      <c r="AL188" s="9"/>
      <c r="AM188" s="9"/>
      <c r="AN188" s="9"/>
      <c r="AO188" s="9"/>
      <c r="AP188" s="9"/>
      <c r="AQ188" s="9"/>
      <c r="AR188" s="9"/>
      <c r="AS188" s="9"/>
      <c r="AT188" s="9"/>
    </row>
    <row r="189">
      <c r="A189" s="492"/>
      <c r="B189" s="254"/>
      <c r="C189" s="492"/>
      <c r="D189" s="254"/>
      <c r="E189" s="492"/>
      <c r="F189" s="254"/>
      <c r="G189" s="492"/>
      <c r="H189" s="254"/>
      <c r="I189" s="500"/>
      <c r="J189" s="181"/>
      <c r="K189" s="500"/>
      <c r="L189" s="181"/>
      <c r="M189" s="492"/>
      <c r="N189" s="254"/>
      <c r="O189" s="492"/>
      <c r="P189" s="254"/>
      <c r="Q189" s="492"/>
      <c r="R189" s="254"/>
      <c r="S189" s="492"/>
      <c r="T189" s="254"/>
      <c r="U189" s="492"/>
      <c r="V189" s="254"/>
      <c r="W189" s="492"/>
      <c r="X189" s="254"/>
      <c r="Y189" s="9"/>
      <c r="Z189" s="9"/>
      <c r="AA189" s="9"/>
      <c r="AB189" s="9"/>
      <c r="AC189" s="9"/>
      <c r="AD189" s="9"/>
      <c r="AE189" s="9"/>
      <c r="AF189" s="9"/>
      <c r="AG189" s="9"/>
      <c r="AH189" s="9"/>
      <c r="AI189" s="9"/>
      <c r="AJ189" s="9"/>
      <c r="AK189" s="9"/>
      <c r="AL189" s="9"/>
      <c r="AM189" s="9"/>
      <c r="AN189" s="9"/>
      <c r="AO189" s="9"/>
      <c r="AP189" s="9"/>
      <c r="AQ189" s="9"/>
      <c r="AR189" s="9"/>
      <c r="AS189" s="9"/>
      <c r="AT189" s="9"/>
    </row>
    <row r="190">
      <c r="A190" s="492"/>
      <c r="B190" s="254"/>
      <c r="C190" s="492"/>
      <c r="D190" s="254"/>
      <c r="E190" s="492"/>
      <c r="F190" s="254"/>
      <c r="G190" s="492"/>
      <c r="H190" s="254"/>
      <c r="I190" s="500"/>
      <c r="J190" s="181"/>
      <c r="K190" s="500"/>
      <c r="L190" s="181"/>
      <c r="M190" s="492"/>
      <c r="N190" s="254"/>
      <c r="O190" s="492"/>
      <c r="P190" s="254"/>
      <c r="Q190" s="492"/>
      <c r="R190" s="254"/>
      <c r="S190" s="492"/>
      <c r="T190" s="254"/>
      <c r="U190" s="492"/>
      <c r="V190" s="254"/>
      <c r="W190" s="492"/>
      <c r="X190" s="254"/>
      <c r="Y190" s="9"/>
      <c r="Z190" s="9"/>
      <c r="AA190" s="9"/>
      <c r="AB190" s="9"/>
      <c r="AC190" s="9"/>
      <c r="AD190" s="9"/>
      <c r="AE190" s="9"/>
      <c r="AF190" s="9"/>
      <c r="AG190" s="9"/>
      <c r="AH190" s="9"/>
      <c r="AI190" s="9"/>
      <c r="AJ190" s="9"/>
      <c r="AK190" s="9"/>
      <c r="AL190" s="9"/>
      <c r="AM190" s="9"/>
      <c r="AN190" s="9"/>
      <c r="AO190" s="9"/>
      <c r="AP190" s="9"/>
      <c r="AQ190" s="9"/>
      <c r="AR190" s="9"/>
      <c r="AS190" s="9"/>
      <c r="AT190" s="9"/>
    </row>
    <row r="191">
      <c r="A191" s="492"/>
      <c r="B191" s="254"/>
      <c r="C191" s="492"/>
      <c r="D191" s="254"/>
      <c r="E191" s="492"/>
      <c r="F191" s="254"/>
      <c r="G191" s="492"/>
      <c r="H191" s="254"/>
      <c r="I191" s="500"/>
      <c r="J191" s="181"/>
      <c r="K191" s="500"/>
      <c r="L191" s="181"/>
      <c r="M191" s="492"/>
      <c r="N191" s="254"/>
      <c r="O191" s="492"/>
      <c r="P191" s="254"/>
      <c r="Q191" s="492"/>
      <c r="R191" s="254"/>
      <c r="S191" s="492"/>
      <c r="T191" s="254"/>
      <c r="U191" s="492"/>
      <c r="V191" s="254"/>
      <c r="W191" s="492"/>
      <c r="X191" s="254"/>
      <c r="Y191" s="9"/>
      <c r="Z191" s="9"/>
      <c r="AA191" s="9"/>
      <c r="AB191" s="9"/>
      <c r="AC191" s="9"/>
      <c r="AD191" s="9"/>
      <c r="AE191" s="9"/>
      <c r="AF191" s="9"/>
      <c r="AG191" s="9"/>
      <c r="AH191" s="9"/>
      <c r="AI191" s="9"/>
      <c r="AJ191" s="9"/>
      <c r="AK191" s="9"/>
      <c r="AL191" s="9"/>
      <c r="AM191" s="9"/>
      <c r="AN191" s="9"/>
      <c r="AO191" s="9"/>
      <c r="AP191" s="9"/>
      <c r="AQ191" s="9"/>
      <c r="AR191" s="9"/>
      <c r="AS191" s="9"/>
      <c r="AT191" s="9"/>
    </row>
    <row r="192">
      <c r="A192" s="492"/>
      <c r="B192" s="254"/>
      <c r="C192" s="492"/>
      <c r="D192" s="254"/>
      <c r="E192" s="492"/>
      <c r="F192" s="254"/>
      <c r="G192" s="492"/>
      <c r="H192" s="254"/>
      <c r="I192" s="500"/>
      <c r="J192" s="181"/>
      <c r="K192" s="500"/>
      <c r="L192" s="181"/>
      <c r="M192" s="492"/>
      <c r="N192" s="254"/>
      <c r="O192" s="492"/>
      <c r="P192" s="254"/>
      <c r="Q192" s="492"/>
      <c r="R192" s="254"/>
      <c r="S192" s="492"/>
      <c r="T192" s="254"/>
      <c r="U192" s="492"/>
      <c r="V192" s="254"/>
      <c r="W192" s="492"/>
      <c r="X192" s="254"/>
      <c r="Y192" s="9"/>
      <c r="Z192" s="9"/>
      <c r="AA192" s="9"/>
      <c r="AB192" s="9"/>
      <c r="AC192" s="9"/>
      <c r="AD192" s="9"/>
      <c r="AE192" s="9"/>
      <c r="AF192" s="9"/>
      <c r="AG192" s="9"/>
      <c r="AH192" s="9"/>
      <c r="AI192" s="9"/>
      <c r="AJ192" s="9"/>
      <c r="AK192" s="9"/>
      <c r="AL192" s="9"/>
      <c r="AM192" s="9"/>
      <c r="AN192" s="9"/>
      <c r="AO192" s="9"/>
      <c r="AP192" s="9"/>
      <c r="AQ192" s="9"/>
      <c r="AR192" s="9"/>
      <c r="AS192" s="9"/>
      <c r="AT192" s="9"/>
    </row>
    <row r="193">
      <c r="A193" s="492"/>
      <c r="B193" s="254"/>
      <c r="C193" s="492"/>
      <c r="D193" s="254"/>
      <c r="E193" s="492"/>
      <c r="F193" s="254"/>
      <c r="G193" s="492"/>
      <c r="H193" s="254"/>
      <c r="I193" s="500"/>
      <c r="J193" s="181"/>
      <c r="K193" s="500"/>
      <c r="L193" s="181"/>
      <c r="M193" s="492"/>
      <c r="N193" s="254"/>
      <c r="O193" s="492"/>
      <c r="P193" s="254"/>
      <c r="Q193" s="492"/>
      <c r="R193" s="254"/>
      <c r="S193" s="492"/>
      <c r="T193" s="254"/>
      <c r="U193" s="492"/>
      <c r="V193" s="254"/>
      <c r="W193" s="492"/>
      <c r="X193" s="254"/>
      <c r="Y193" s="9"/>
      <c r="Z193" s="9"/>
      <c r="AA193" s="9"/>
      <c r="AB193" s="9"/>
      <c r="AC193" s="9"/>
      <c r="AD193" s="9"/>
      <c r="AE193" s="9"/>
      <c r="AF193" s="9"/>
      <c r="AG193" s="9"/>
      <c r="AH193" s="9"/>
      <c r="AI193" s="9"/>
      <c r="AJ193" s="9"/>
      <c r="AK193" s="9"/>
      <c r="AL193" s="9"/>
      <c r="AM193" s="9"/>
      <c r="AN193" s="9"/>
      <c r="AO193" s="9"/>
      <c r="AP193" s="9"/>
      <c r="AQ193" s="9"/>
      <c r="AR193" s="9"/>
      <c r="AS193" s="9"/>
      <c r="AT193" s="9"/>
    </row>
    <row r="194">
      <c r="A194" s="492"/>
      <c r="B194" s="254"/>
      <c r="C194" s="492"/>
      <c r="D194" s="254"/>
      <c r="E194" s="492"/>
      <c r="F194" s="254"/>
      <c r="G194" s="492"/>
      <c r="H194" s="254"/>
      <c r="I194" s="500"/>
      <c r="J194" s="181"/>
      <c r="K194" s="500"/>
      <c r="L194" s="181"/>
      <c r="M194" s="492"/>
      <c r="N194" s="254"/>
      <c r="O194" s="492"/>
      <c r="P194" s="254"/>
      <c r="Q194" s="492"/>
      <c r="R194" s="254"/>
      <c r="S194" s="492"/>
      <c r="T194" s="254"/>
      <c r="U194" s="492"/>
      <c r="V194" s="254"/>
      <c r="W194" s="492"/>
      <c r="X194" s="254"/>
      <c r="Y194" s="9"/>
      <c r="Z194" s="9"/>
      <c r="AA194" s="9"/>
      <c r="AB194" s="9"/>
      <c r="AC194" s="9"/>
      <c r="AD194" s="9"/>
      <c r="AE194" s="9"/>
      <c r="AF194" s="9"/>
      <c r="AG194" s="9"/>
      <c r="AH194" s="9"/>
      <c r="AI194" s="9"/>
      <c r="AJ194" s="9"/>
      <c r="AK194" s="9"/>
      <c r="AL194" s="9"/>
      <c r="AM194" s="9"/>
      <c r="AN194" s="9"/>
      <c r="AO194" s="9"/>
      <c r="AP194" s="9"/>
      <c r="AQ194" s="9"/>
      <c r="AR194" s="9"/>
      <c r="AS194" s="9"/>
      <c r="AT194" s="9"/>
    </row>
    <row r="195">
      <c r="A195" s="492"/>
      <c r="B195" s="254"/>
      <c r="C195" s="492"/>
      <c r="D195" s="254"/>
      <c r="E195" s="492"/>
      <c r="F195" s="254"/>
      <c r="G195" s="492"/>
      <c r="H195" s="254"/>
      <c r="I195" s="500"/>
      <c r="J195" s="181"/>
      <c r="K195" s="500"/>
      <c r="L195" s="181"/>
      <c r="M195" s="492"/>
      <c r="N195" s="254"/>
      <c r="O195" s="492"/>
      <c r="P195" s="254"/>
      <c r="Q195" s="492"/>
      <c r="R195" s="254"/>
      <c r="S195" s="492"/>
      <c r="T195" s="254"/>
      <c r="U195" s="492"/>
      <c r="V195" s="254"/>
      <c r="W195" s="492"/>
      <c r="X195" s="254"/>
      <c r="Y195" s="9"/>
      <c r="Z195" s="9"/>
      <c r="AA195" s="9"/>
      <c r="AB195" s="9"/>
      <c r="AC195" s="9"/>
      <c r="AD195" s="9"/>
      <c r="AE195" s="9"/>
      <c r="AF195" s="9"/>
      <c r="AG195" s="9"/>
      <c r="AH195" s="9"/>
      <c r="AI195" s="9"/>
      <c r="AJ195" s="9"/>
      <c r="AK195" s="9"/>
      <c r="AL195" s="9"/>
      <c r="AM195" s="9"/>
      <c r="AN195" s="9"/>
      <c r="AO195" s="9"/>
      <c r="AP195" s="9"/>
      <c r="AQ195" s="9"/>
      <c r="AR195" s="9"/>
      <c r="AS195" s="9"/>
      <c r="AT195" s="9"/>
    </row>
    <row r="196">
      <c r="A196" s="492"/>
      <c r="B196" s="254"/>
      <c r="C196" s="492"/>
      <c r="D196" s="254"/>
      <c r="E196" s="492"/>
      <c r="F196" s="254"/>
      <c r="G196" s="492"/>
      <c r="H196" s="254"/>
      <c r="I196" s="500"/>
      <c r="J196" s="181"/>
      <c r="K196" s="500"/>
      <c r="L196" s="181"/>
      <c r="M196" s="492"/>
      <c r="N196" s="254"/>
      <c r="O196" s="492"/>
      <c r="P196" s="254"/>
      <c r="Q196" s="492"/>
      <c r="R196" s="254"/>
      <c r="S196" s="492"/>
      <c r="T196" s="254"/>
      <c r="U196" s="492"/>
      <c r="V196" s="254"/>
      <c r="W196" s="492"/>
      <c r="X196" s="254"/>
      <c r="Y196" s="9"/>
      <c r="Z196" s="9"/>
      <c r="AA196" s="9"/>
      <c r="AB196" s="9"/>
      <c r="AC196" s="9"/>
      <c r="AD196" s="9"/>
      <c r="AE196" s="9"/>
      <c r="AF196" s="9"/>
      <c r="AG196" s="9"/>
      <c r="AH196" s="9"/>
      <c r="AI196" s="9"/>
      <c r="AJ196" s="9"/>
      <c r="AK196" s="9"/>
      <c r="AL196" s="9"/>
      <c r="AM196" s="9"/>
      <c r="AN196" s="9"/>
      <c r="AO196" s="9"/>
      <c r="AP196" s="9"/>
      <c r="AQ196" s="9"/>
      <c r="AR196" s="9"/>
      <c r="AS196" s="9"/>
      <c r="AT196" s="9"/>
    </row>
    <row r="197">
      <c r="A197" s="492"/>
      <c r="B197" s="254"/>
      <c r="C197" s="492"/>
      <c r="D197" s="254"/>
      <c r="E197" s="492"/>
      <c r="F197" s="254"/>
      <c r="G197" s="492"/>
      <c r="H197" s="254"/>
      <c r="I197" s="500"/>
      <c r="J197" s="181"/>
      <c r="K197" s="500"/>
      <c r="L197" s="181"/>
      <c r="M197" s="492"/>
      <c r="N197" s="254"/>
      <c r="O197" s="492"/>
      <c r="P197" s="254"/>
      <c r="Q197" s="492"/>
      <c r="R197" s="254"/>
      <c r="S197" s="492"/>
      <c r="T197" s="254"/>
      <c r="U197" s="492"/>
      <c r="V197" s="254"/>
      <c r="W197" s="492"/>
      <c r="X197" s="254"/>
      <c r="Y197" s="9"/>
      <c r="Z197" s="9"/>
      <c r="AA197" s="9"/>
      <c r="AB197" s="9"/>
      <c r="AC197" s="9"/>
      <c r="AD197" s="9"/>
      <c r="AE197" s="9"/>
      <c r="AF197" s="9"/>
      <c r="AG197" s="9"/>
      <c r="AH197" s="9"/>
      <c r="AI197" s="9"/>
      <c r="AJ197" s="9"/>
      <c r="AK197" s="9"/>
      <c r="AL197" s="9"/>
      <c r="AM197" s="9"/>
      <c r="AN197" s="9"/>
      <c r="AO197" s="9"/>
      <c r="AP197" s="9"/>
      <c r="AQ197" s="9"/>
      <c r="AR197" s="9"/>
      <c r="AS197" s="9"/>
      <c r="AT197" s="9"/>
    </row>
    <row r="198">
      <c r="A198" s="492"/>
      <c r="B198" s="254"/>
      <c r="C198" s="492"/>
      <c r="D198" s="254"/>
      <c r="E198" s="492"/>
      <c r="F198" s="254"/>
      <c r="G198" s="492"/>
      <c r="H198" s="254"/>
      <c r="I198" s="500"/>
      <c r="J198" s="181"/>
      <c r="K198" s="500"/>
      <c r="L198" s="181"/>
      <c r="M198" s="492"/>
      <c r="N198" s="254"/>
      <c r="O198" s="492"/>
      <c r="P198" s="254"/>
      <c r="Q198" s="492"/>
      <c r="R198" s="254"/>
      <c r="S198" s="492"/>
      <c r="T198" s="254"/>
      <c r="U198" s="492"/>
      <c r="V198" s="254"/>
      <c r="W198" s="492"/>
      <c r="X198" s="254"/>
      <c r="Y198" s="9"/>
      <c r="Z198" s="9"/>
      <c r="AA198" s="9"/>
      <c r="AB198" s="9"/>
      <c r="AC198" s="9"/>
      <c r="AD198" s="9"/>
      <c r="AE198" s="9"/>
      <c r="AF198" s="9"/>
      <c r="AG198" s="9"/>
      <c r="AH198" s="9"/>
      <c r="AI198" s="9"/>
      <c r="AJ198" s="9"/>
      <c r="AK198" s="9"/>
      <c r="AL198" s="9"/>
      <c r="AM198" s="9"/>
      <c r="AN198" s="9"/>
      <c r="AO198" s="9"/>
      <c r="AP198" s="9"/>
      <c r="AQ198" s="9"/>
      <c r="AR198" s="9"/>
      <c r="AS198" s="9"/>
      <c r="AT198" s="9"/>
    </row>
    <row r="199">
      <c r="A199" s="492"/>
      <c r="B199" s="254"/>
      <c r="C199" s="492"/>
      <c r="D199" s="254"/>
      <c r="E199" s="492"/>
      <c r="F199" s="254"/>
      <c r="G199" s="492"/>
      <c r="H199" s="254"/>
      <c r="I199" s="500"/>
      <c r="J199" s="181"/>
      <c r="K199" s="500"/>
      <c r="L199" s="181"/>
      <c r="M199" s="492"/>
      <c r="N199" s="254"/>
      <c r="O199" s="492"/>
      <c r="P199" s="254"/>
      <c r="Q199" s="492"/>
      <c r="R199" s="254"/>
      <c r="S199" s="492"/>
      <c r="T199" s="254"/>
      <c r="U199" s="492"/>
      <c r="V199" s="254"/>
      <c r="W199" s="492"/>
      <c r="X199" s="254"/>
      <c r="Y199" s="9"/>
      <c r="Z199" s="9"/>
      <c r="AA199" s="9"/>
      <c r="AB199" s="9"/>
      <c r="AC199" s="9"/>
      <c r="AD199" s="9"/>
      <c r="AE199" s="9"/>
      <c r="AF199" s="9"/>
      <c r="AG199" s="9"/>
      <c r="AH199" s="9"/>
      <c r="AI199" s="9"/>
      <c r="AJ199" s="9"/>
      <c r="AK199" s="9"/>
      <c r="AL199" s="9"/>
      <c r="AM199" s="9"/>
      <c r="AN199" s="9"/>
      <c r="AO199" s="9"/>
      <c r="AP199" s="9"/>
      <c r="AQ199" s="9"/>
      <c r="AR199" s="9"/>
      <c r="AS199" s="9"/>
      <c r="AT199" s="9"/>
    </row>
    <row r="200">
      <c r="A200" s="492"/>
      <c r="B200" s="254"/>
      <c r="C200" s="492"/>
      <c r="D200" s="254"/>
      <c r="E200" s="492"/>
      <c r="F200" s="254"/>
      <c r="G200" s="492"/>
      <c r="H200" s="254"/>
      <c r="I200" s="500"/>
      <c r="J200" s="181"/>
      <c r="K200" s="500"/>
      <c r="L200" s="181"/>
      <c r="M200" s="492"/>
      <c r="N200" s="254"/>
      <c r="O200" s="492"/>
      <c r="P200" s="254"/>
      <c r="Q200" s="492"/>
      <c r="R200" s="254"/>
      <c r="S200" s="492"/>
      <c r="T200" s="254"/>
      <c r="U200" s="492"/>
      <c r="V200" s="254"/>
      <c r="W200" s="492"/>
      <c r="X200" s="254"/>
      <c r="Y200" s="9"/>
      <c r="Z200" s="9"/>
      <c r="AA200" s="9"/>
      <c r="AB200" s="9"/>
      <c r="AC200" s="9"/>
      <c r="AD200" s="9"/>
      <c r="AE200" s="9"/>
      <c r="AF200" s="9"/>
      <c r="AG200" s="9"/>
      <c r="AH200" s="9"/>
      <c r="AI200" s="9"/>
      <c r="AJ200" s="9"/>
      <c r="AK200" s="9"/>
      <c r="AL200" s="9"/>
      <c r="AM200" s="9"/>
      <c r="AN200" s="9"/>
      <c r="AO200" s="9"/>
      <c r="AP200" s="9"/>
      <c r="AQ200" s="9"/>
      <c r="AR200" s="9"/>
      <c r="AS200" s="9"/>
      <c r="AT200" s="9"/>
    </row>
    <row r="201">
      <c r="A201" s="492"/>
      <c r="B201" s="254"/>
      <c r="C201" s="492"/>
      <c r="D201" s="254"/>
      <c r="E201" s="492"/>
      <c r="F201" s="254"/>
      <c r="G201" s="492"/>
      <c r="H201" s="254"/>
      <c r="I201" s="500"/>
      <c r="J201" s="181"/>
      <c r="K201" s="500"/>
      <c r="L201" s="181"/>
      <c r="M201" s="492"/>
      <c r="N201" s="254"/>
      <c r="O201" s="492"/>
      <c r="P201" s="254"/>
      <c r="Q201" s="492"/>
      <c r="R201" s="254"/>
      <c r="S201" s="492"/>
      <c r="T201" s="254"/>
      <c r="U201" s="492"/>
      <c r="V201" s="254"/>
      <c r="W201" s="492"/>
      <c r="X201" s="254"/>
      <c r="Y201" s="9"/>
      <c r="Z201" s="9"/>
      <c r="AA201" s="9"/>
      <c r="AB201" s="9"/>
      <c r="AC201" s="9"/>
      <c r="AD201" s="9"/>
      <c r="AE201" s="9"/>
      <c r="AF201" s="9"/>
      <c r="AG201" s="9"/>
      <c r="AH201" s="9"/>
      <c r="AI201" s="9"/>
      <c r="AJ201" s="9"/>
      <c r="AK201" s="9"/>
      <c r="AL201" s="9"/>
      <c r="AM201" s="9"/>
      <c r="AN201" s="9"/>
      <c r="AO201" s="9"/>
      <c r="AP201" s="9"/>
      <c r="AQ201" s="9"/>
      <c r="AR201" s="9"/>
      <c r="AS201" s="9"/>
      <c r="AT201" s="9"/>
    </row>
    <row r="202">
      <c r="A202" s="492"/>
      <c r="B202" s="254"/>
      <c r="C202" s="492"/>
      <c r="D202" s="254"/>
      <c r="E202" s="492"/>
      <c r="F202" s="254"/>
      <c r="G202" s="492"/>
      <c r="H202" s="254"/>
      <c r="I202" s="500"/>
      <c r="J202" s="181"/>
      <c r="K202" s="500"/>
      <c r="L202" s="181"/>
      <c r="M202" s="492"/>
      <c r="N202" s="254"/>
      <c r="O202" s="492"/>
      <c r="P202" s="254"/>
      <c r="Q202" s="492"/>
      <c r="R202" s="254"/>
      <c r="S202" s="492"/>
      <c r="T202" s="254"/>
      <c r="U202" s="492"/>
      <c r="V202" s="254"/>
      <c r="W202" s="492"/>
      <c r="X202" s="254"/>
      <c r="Y202" s="9"/>
      <c r="Z202" s="9"/>
      <c r="AA202" s="9"/>
      <c r="AB202" s="9"/>
      <c r="AC202" s="9"/>
      <c r="AD202" s="9"/>
      <c r="AE202" s="9"/>
      <c r="AF202" s="9"/>
      <c r="AG202" s="9"/>
      <c r="AH202" s="9"/>
      <c r="AI202" s="9"/>
      <c r="AJ202" s="9"/>
      <c r="AK202" s="9"/>
      <c r="AL202" s="9"/>
      <c r="AM202" s="9"/>
      <c r="AN202" s="9"/>
      <c r="AO202" s="9"/>
      <c r="AP202" s="9"/>
      <c r="AQ202" s="9"/>
      <c r="AR202" s="9"/>
      <c r="AS202" s="9"/>
      <c r="AT202" s="9"/>
    </row>
    <row r="203">
      <c r="A203" s="492"/>
      <c r="B203" s="254"/>
      <c r="C203" s="492"/>
      <c r="D203" s="254"/>
      <c r="E203" s="492"/>
      <c r="F203" s="254"/>
      <c r="G203" s="492"/>
      <c r="H203" s="254"/>
      <c r="I203" s="500"/>
      <c r="J203" s="181"/>
      <c r="K203" s="500"/>
      <c r="L203" s="181"/>
      <c r="M203" s="492"/>
      <c r="N203" s="254"/>
      <c r="O203" s="492"/>
      <c r="P203" s="254"/>
      <c r="Q203" s="492"/>
      <c r="R203" s="254"/>
      <c r="S203" s="492"/>
      <c r="T203" s="254"/>
      <c r="U203" s="492"/>
      <c r="V203" s="254"/>
      <c r="W203" s="492"/>
      <c r="X203" s="254"/>
      <c r="Y203" s="9"/>
      <c r="Z203" s="9"/>
      <c r="AA203" s="9"/>
      <c r="AB203" s="9"/>
      <c r="AC203" s="9"/>
      <c r="AD203" s="9"/>
      <c r="AE203" s="9"/>
      <c r="AF203" s="9"/>
      <c r="AG203" s="9"/>
      <c r="AH203" s="9"/>
      <c r="AI203" s="9"/>
      <c r="AJ203" s="9"/>
      <c r="AK203" s="9"/>
      <c r="AL203" s="9"/>
      <c r="AM203" s="9"/>
      <c r="AN203" s="9"/>
      <c r="AO203" s="9"/>
      <c r="AP203" s="9"/>
      <c r="AQ203" s="9"/>
      <c r="AR203" s="9"/>
      <c r="AS203" s="9"/>
      <c r="AT203" s="9"/>
    </row>
    <row r="204">
      <c r="A204" s="492"/>
      <c r="B204" s="254"/>
      <c r="C204" s="492"/>
      <c r="D204" s="254"/>
      <c r="E204" s="492"/>
      <c r="F204" s="254"/>
      <c r="G204" s="492"/>
      <c r="H204" s="254"/>
      <c r="I204" s="500"/>
      <c r="J204" s="181"/>
      <c r="K204" s="500"/>
      <c r="L204" s="181"/>
      <c r="M204" s="492"/>
      <c r="N204" s="254"/>
      <c r="O204" s="492"/>
      <c r="P204" s="254"/>
      <c r="Q204" s="492"/>
      <c r="R204" s="254"/>
      <c r="S204" s="492"/>
      <c r="T204" s="254"/>
      <c r="U204" s="492"/>
      <c r="V204" s="254"/>
      <c r="W204" s="492"/>
      <c r="X204" s="254"/>
      <c r="Y204" s="9"/>
      <c r="Z204" s="9"/>
      <c r="AA204" s="9"/>
      <c r="AB204" s="9"/>
      <c r="AC204" s="9"/>
      <c r="AD204" s="9"/>
      <c r="AE204" s="9"/>
      <c r="AF204" s="9"/>
      <c r="AG204" s="9"/>
      <c r="AH204" s="9"/>
      <c r="AI204" s="9"/>
      <c r="AJ204" s="9"/>
      <c r="AK204" s="9"/>
      <c r="AL204" s="9"/>
      <c r="AM204" s="9"/>
      <c r="AN204" s="9"/>
      <c r="AO204" s="9"/>
      <c r="AP204" s="9"/>
      <c r="AQ204" s="9"/>
      <c r="AR204" s="9"/>
      <c r="AS204" s="9"/>
      <c r="AT204" s="9"/>
    </row>
    <row r="205">
      <c r="A205" s="492"/>
      <c r="B205" s="254"/>
      <c r="C205" s="492"/>
      <c r="D205" s="254"/>
      <c r="E205" s="492"/>
      <c r="F205" s="254"/>
      <c r="G205" s="492"/>
      <c r="H205" s="254"/>
      <c r="I205" s="500"/>
      <c r="J205" s="181"/>
      <c r="K205" s="500"/>
      <c r="L205" s="181"/>
      <c r="M205" s="492"/>
      <c r="N205" s="254"/>
      <c r="O205" s="492"/>
      <c r="P205" s="254"/>
      <c r="Q205" s="492"/>
      <c r="R205" s="254"/>
      <c r="S205" s="492"/>
      <c r="T205" s="254"/>
      <c r="U205" s="492"/>
      <c r="V205" s="254"/>
      <c r="W205" s="492"/>
      <c r="X205" s="254"/>
      <c r="Y205" s="9"/>
      <c r="Z205" s="9"/>
      <c r="AA205" s="9"/>
      <c r="AB205" s="9"/>
      <c r="AC205" s="9"/>
      <c r="AD205" s="9"/>
      <c r="AE205" s="9"/>
      <c r="AF205" s="9"/>
      <c r="AG205" s="9"/>
      <c r="AH205" s="9"/>
      <c r="AI205" s="9"/>
      <c r="AJ205" s="9"/>
      <c r="AK205" s="9"/>
      <c r="AL205" s="9"/>
      <c r="AM205" s="9"/>
      <c r="AN205" s="9"/>
      <c r="AO205" s="9"/>
      <c r="AP205" s="9"/>
      <c r="AQ205" s="9"/>
      <c r="AR205" s="9"/>
      <c r="AS205" s="9"/>
      <c r="AT205" s="9"/>
    </row>
    <row r="206">
      <c r="A206" s="492"/>
      <c r="B206" s="254"/>
      <c r="C206" s="492"/>
      <c r="D206" s="254"/>
      <c r="E206" s="492"/>
      <c r="F206" s="254"/>
      <c r="G206" s="492"/>
      <c r="H206" s="254"/>
      <c r="I206" s="500"/>
      <c r="J206" s="181"/>
      <c r="K206" s="500"/>
      <c r="L206" s="181"/>
      <c r="M206" s="492"/>
      <c r="N206" s="254"/>
      <c r="O206" s="492"/>
      <c r="P206" s="254"/>
      <c r="Q206" s="492"/>
      <c r="R206" s="254"/>
      <c r="S206" s="492"/>
      <c r="T206" s="254"/>
      <c r="U206" s="492"/>
      <c r="V206" s="254"/>
      <c r="W206" s="492"/>
      <c r="X206" s="254"/>
      <c r="Y206" s="9"/>
      <c r="Z206" s="9"/>
      <c r="AA206" s="9"/>
      <c r="AB206" s="9"/>
      <c r="AC206" s="9"/>
      <c r="AD206" s="9"/>
      <c r="AE206" s="9"/>
      <c r="AF206" s="9"/>
      <c r="AG206" s="9"/>
      <c r="AH206" s="9"/>
      <c r="AI206" s="9"/>
      <c r="AJ206" s="9"/>
      <c r="AK206" s="9"/>
      <c r="AL206" s="9"/>
      <c r="AM206" s="9"/>
      <c r="AN206" s="9"/>
      <c r="AO206" s="9"/>
      <c r="AP206" s="9"/>
      <c r="AQ206" s="9"/>
      <c r="AR206" s="9"/>
      <c r="AS206" s="9"/>
      <c r="AT206" s="9"/>
    </row>
    <row r="207">
      <c r="A207" s="492"/>
      <c r="B207" s="254"/>
      <c r="C207" s="492"/>
      <c r="D207" s="254"/>
      <c r="E207" s="492"/>
      <c r="F207" s="254"/>
      <c r="G207" s="492"/>
      <c r="H207" s="254"/>
      <c r="I207" s="500"/>
      <c r="J207" s="181"/>
      <c r="K207" s="500"/>
      <c r="L207" s="181"/>
      <c r="M207" s="492"/>
      <c r="N207" s="254"/>
      <c r="O207" s="492"/>
      <c r="P207" s="254"/>
      <c r="Q207" s="492"/>
      <c r="R207" s="254"/>
      <c r="S207" s="492"/>
      <c r="T207" s="254"/>
      <c r="U207" s="492"/>
      <c r="V207" s="254"/>
      <c r="W207" s="492"/>
      <c r="X207" s="254"/>
      <c r="Y207" s="9"/>
      <c r="Z207" s="9"/>
      <c r="AA207" s="9"/>
      <c r="AB207" s="9"/>
      <c r="AC207" s="9"/>
      <c r="AD207" s="9"/>
      <c r="AE207" s="9"/>
      <c r="AF207" s="9"/>
      <c r="AG207" s="9"/>
      <c r="AH207" s="9"/>
      <c r="AI207" s="9"/>
      <c r="AJ207" s="9"/>
      <c r="AK207" s="9"/>
      <c r="AL207" s="9"/>
      <c r="AM207" s="9"/>
      <c r="AN207" s="9"/>
      <c r="AO207" s="9"/>
      <c r="AP207" s="9"/>
      <c r="AQ207" s="9"/>
      <c r="AR207" s="9"/>
      <c r="AS207" s="9"/>
      <c r="AT207" s="9"/>
    </row>
    <row r="208">
      <c r="A208" s="492"/>
      <c r="B208" s="254"/>
      <c r="C208" s="492"/>
      <c r="D208" s="254"/>
      <c r="E208" s="492"/>
      <c r="F208" s="254"/>
      <c r="G208" s="492"/>
      <c r="H208" s="254"/>
      <c r="I208" s="500"/>
      <c r="J208" s="181"/>
      <c r="K208" s="500"/>
      <c r="L208" s="181"/>
      <c r="M208" s="492"/>
      <c r="N208" s="254"/>
      <c r="O208" s="492"/>
      <c r="P208" s="254"/>
      <c r="Q208" s="492"/>
      <c r="R208" s="254"/>
      <c r="S208" s="492"/>
      <c r="T208" s="254"/>
      <c r="U208" s="492"/>
      <c r="V208" s="254"/>
      <c r="W208" s="492"/>
      <c r="X208" s="254"/>
      <c r="Y208" s="9"/>
      <c r="Z208" s="9"/>
      <c r="AA208" s="9"/>
      <c r="AB208" s="9"/>
      <c r="AC208" s="9"/>
      <c r="AD208" s="9"/>
      <c r="AE208" s="9"/>
      <c r="AF208" s="9"/>
      <c r="AG208" s="9"/>
      <c r="AH208" s="9"/>
      <c r="AI208" s="9"/>
      <c r="AJ208" s="9"/>
      <c r="AK208" s="9"/>
      <c r="AL208" s="9"/>
      <c r="AM208" s="9"/>
      <c r="AN208" s="9"/>
      <c r="AO208" s="9"/>
      <c r="AP208" s="9"/>
      <c r="AQ208" s="9"/>
      <c r="AR208" s="9"/>
      <c r="AS208" s="9"/>
      <c r="AT208" s="9"/>
    </row>
    <row r="209">
      <c r="A209" s="492"/>
      <c r="B209" s="254"/>
      <c r="C209" s="492"/>
      <c r="D209" s="254"/>
      <c r="E209" s="492"/>
      <c r="F209" s="254"/>
      <c r="G209" s="492"/>
      <c r="H209" s="254"/>
      <c r="I209" s="500"/>
      <c r="J209" s="181"/>
      <c r="K209" s="500"/>
      <c r="L209" s="181"/>
      <c r="M209" s="492"/>
      <c r="N209" s="254"/>
      <c r="O209" s="492"/>
      <c r="P209" s="254"/>
      <c r="Q209" s="492"/>
      <c r="R209" s="254"/>
      <c r="S209" s="492"/>
      <c r="T209" s="254"/>
      <c r="U209" s="492"/>
      <c r="V209" s="254"/>
      <c r="W209" s="492"/>
      <c r="X209" s="254"/>
      <c r="Y209" s="9"/>
      <c r="Z209" s="9"/>
      <c r="AA209" s="9"/>
      <c r="AB209" s="9"/>
      <c r="AC209" s="9"/>
      <c r="AD209" s="9"/>
      <c r="AE209" s="9"/>
      <c r="AF209" s="9"/>
      <c r="AG209" s="9"/>
      <c r="AH209" s="9"/>
      <c r="AI209" s="9"/>
      <c r="AJ209" s="9"/>
      <c r="AK209" s="9"/>
      <c r="AL209" s="9"/>
      <c r="AM209" s="9"/>
      <c r="AN209" s="9"/>
      <c r="AO209" s="9"/>
      <c r="AP209" s="9"/>
      <c r="AQ209" s="9"/>
      <c r="AR209" s="9"/>
      <c r="AS209" s="9"/>
      <c r="AT209" s="9"/>
    </row>
    <row r="210">
      <c r="A210" s="492"/>
      <c r="B210" s="254"/>
      <c r="C210" s="492"/>
      <c r="D210" s="254"/>
      <c r="E210" s="492"/>
      <c r="F210" s="254"/>
      <c r="G210" s="492"/>
      <c r="H210" s="254"/>
      <c r="I210" s="500"/>
      <c r="J210" s="181"/>
      <c r="K210" s="500"/>
      <c r="L210" s="181"/>
      <c r="M210" s="492"/>
      <c r="N210" s="254"/>
      <c r="O210" s="492"/>
      <c r="P210" s="254"/>
      <c r="Q210" s="492"/>
      <c r="R210" s="254"/>
      <c r="S210" s="492"/>
      <c r="T210" s="254"/>
      <c r="U210" s="492"/>
      <c r="V210" s="254"/>
      <c r="W210" s="492"/>
      <c r="X210" s="254"/>
      <c r="Y210" s="9"/>
      <c r="Z210" s="9"/>
      <c r="AA210" s="9"/>
      <c r="AB210" s="9"/>
      <c r="AC210" s="9"/>
      <c r="AD210" s="9"/>
      <c r="AE210" s="9"/>
      <c r="AF210" s="9"/>
      <c r="AG210" s="9"/>
      <c r="AH210" s="9"/>
      <c r="AI210" s="9"/>
      <c r="AJ210" s="9"/>
      <c r="AK210" s="9"/>
      <c r="AL210" s="9"/>
      <c r="AM210" s="9"/>
      <c r="AN210" s="9"/>
      <c r="AO210" s="9"/>
      <c r="AP210" s="9"/>
      <c r="AQ210" s="9"/>
      <c r="AR210" s="9"/>
      <c r="AS210" s="9"/>
      <c r="AT210" s="9"/>
    </row>
    <row r="211">
      <c r="A211" s="492"/>
      <c r="B211" s="254"/>
      <c r="C211" s="492"/>
      <c r="D211" s="254"/>
      <c r="E211" s="492"/>
      <c r="F211" s="254"/>
      <c r="G211" s="492"/>
      <c r="H211" s="254"/>
      <c r="I211" s="500"/>
      <c r="J211" s="181"/>
      <c r="K211" s="500"/>
      <c r="L211" s="181"/>
      <c r="M211" s="492"/>
      <c r="N211" s="254"/>
      <c r="O211" s="492"/>
      <c r="P211" s="254"/>
      <c r="Q211" s="492"/>
      <c r="R211" s="254"/>
      <c r="S211" s="492"/>
      <c r="T211" s="254"/>
      <c r="U211" s="492"/>
      <c r="V211" s="254"/>
      <c r="W211" s="492"/>
      <c r="X211" s="254"/>
      <c r="Y211" s="9"/>
      <c r="Z211" s="9"/>
      <c r="AA211" s="9"/>
      <c r="AB211" s="9"/>
      <c r="AC211" s="9"/>
      <c r="AD211" s="9"/>
      <c r="AE211" s="9"/>
      <c r="AF211" s="9"/>
      <c r="AG211" s="9"/>
      <c r="AH211" s="9"/>
      <c r="AI211" s="9"/>
      <c r="AJ211" s="9"/>
      <c r="AK211" s="9"/>
      <c r="AL211" s="9"/>
      <c r="AM211" s="9"/>
      <c r="AN211" s="9"/>
      <c r="AO211" s="9"/>
      <c r="AP211" s="9"/>
      <c r="AQ211" s="9"/>
      <c r="AR211" s="9"/>
      <c r="AS211" s="9"/>
      <c r="AT211" s="9"/>
    </row>
    <row r="212">
      <c r="A212" s="492"/>
      <c r="B212" s="254"/>
      <c r="C212" s="492"/>
      <c r="D212" s="254"/>
      <c r="E212" s="492"/>
      <c r="F212" s="254"/>
      <c r="G212" s="492"/>
      <c r="H212" s="254"/>
      <c r="I212" s="500"/>
      <c r="J212" s="181"/>
      <c r="K212" s="500"/>
      <c r="L212" s="181"/>
      <c r="M212" s="492"/>
      <c r="N212" s="254"/>
      <c r="O212" s="492"/>
      <c r="P212" s="254"/>
      <c r="Q212" s="492"/>
      <c r="R212" s="254"/>
      <c r="S212" s="492"/>
      <c r="T212" s="254"/>
      <c r="U212" s="492"/>
      <c r="V212" s="254"/>
      <c r="W212" s="492"/>
      <c r="X212" s="254"/>
      <c r="Y212" s="9"/>
      <c r="Z212" s="9"/>
      <c r="AA212" s="9"/>
      <c r="AB212" s="9"/>
      <c r="AC212" s="9"/>
      <c r="AD212" s="9"/>
      <c r="AE212" s="9"/>
      <c r="AF212" s="9"/>
      <c r="AG212" s="9"/>
      <c r="AH212" s="9"/>
      <c r="AI212" s="9"/>
      <c r="AJ212" s="9"/>
      <c r="AK212" s="9"/>
      <c r="AL212" s="9"/>
      <c r="AM212" s="9"/>
      <c r="AN212" s="9"/>
      <c r="AO212" s="9"/>
      <c r="AP212" s="9"/>
      <c r="AQ212" s="9"/>
      <c r="AR212" s="9"/>
      <c r="AS212" s="9"/>
      <c r="AT212" s="9"/>
    </row>
    <row r="213">
      <c r="A213" s="492"/>
      <c r="B213" s="254"/>
      <c r="C213" s="492"/>
      <c r="D213" s="254"/>
      <c r="E213" s="492"/>
      <c r="F213" s="254"/>
      <c r="G213" s="492"/>
      <c r="H213" s="254"/>
      <c r="I213" s="500"/>
      <c r="J213" s="181"/>
      <c r="K213" s="500"/>
      <c r="L213" s="181"/>
      <c r="M213" s="492"/>
      <c r="N213" s="254"/>
      <c r="O213" s="492"/>
      <c r="P213" s="254"/>
      <c r="Q213" s="492"/>
      <c r="R213" s="254"/>
      <c r="S213" s="492"/>
      <c r="T213" s="254"/>
      <c r="U213" s="492"/>
      <c r="V213" s="254"/>
      <c r="W213" s="492"/>
      <c r="X213" s="254"/>
      <c r="Y213" s="9"/>
      <c r="Z213" s="9"/>
      <c r="AA213" s="9"/>
      <c r="AB213" s="9"/>
      <c r="AC213" s="9"/>
      <c r="AD213" s="9"/>
      <c r="AE213" s="9"/>
      <c r="AF213" s="9"/>
      <c r="AG213" s="9"/>
      <c r="AH213" s="9"/>
      <c r="AI213" s="9"/>
      <c r="AJ213" s="9"/>
      <c r="AK213" s="9"/>
      <c r="AL213" s="9"/>
      <c r="AM213" s="9"/>
      <c r="AN213" s="9"/>
      <c r="AO213" s="9"/>
      <c r="AP213" s="9"/>
      <c r="AQ213" s="9"/>
      <c r="AR213" s="9"/>
      <c r="AS213" s="9"/>
      <c r="AT213" s="9"/>
    </row>
    <row r="214">
      <c r="A214" s="492"/>
      <c r="B214" s="254"/>
      <c r="C214" s="492"/>
      <c r="D214" s="254"/>
      <c r="E214" s="492"/>
      <c r="F214" s="254"/>
      <c r="G214" s="492"/>
      <c r="H214" s="254"/>
      <c r="I214" s="500"/>
      <c r="J214" s="181"/>
      <c r="K214" s="500"/>
      <c r="L214" s="181"/>
      <c r="M214" s="492"/>
      <c r="N214" s="254"/>
      <c r="O214" s="492"/>
      <c r="P214" s="254"/>
      <c r="Q214" s="492"/>
      <c r="R214" s="254"/>
      <c r="S214" s="492"/>
      <c r="T214" s="254"/>
      <c r="U214" s="492"/>
      <c r="V214" s="254"/>
      <c r="W214" s="492"/>
      <c r="X214" s="254"/>
      <c r="Y214" s="9"/>
      <c r="Z214" s="9"/>
      <c r="AA214" s="9"/>
      <c r="AB214" s="9"/>
      <c r="AC214" s="9"/>
      <c r="AD214" s="9"/>
      <c r="AE214" s="9"/>
      <c r="AF214" s="9"/>
      <c r="AG214" s="9"/>
      <c r="AH214" s="9"/>
      <c r="AI214" s="9"/>
      <c r="AJ214" s="9"/>
      <c r="AK214" s="9"/>
      <c r="AL214" s="9"/>
      <c r="AM214" s="9"/>
      <c r="AN214" s="9"/>
      <c r="AO214" s="9"/>
      <c r="AP214" s="9"/>
      <c r="AQ214" s="9"/>
      <c r="AR214" s="9"/>
      <c r="AS214" s="9"/>
      <c r="AT214" s="9"/>
    </row>
    <row r="215">
      <c r="A215" s="492"/>
      <c r="B215" s="254"/>
      <c r="C215" s="492"/>
      <c r="D215" s="254"/>
      <c r="E215" s="492"/>
      <c r="F215" s="254"/>
      <c r="G215" s="492"/>
      <c r="H215" s="254"/>
      <c r="I215" s="500"/>
      <c r="J215" s="181"/>
      <c r="K215" s="500"/>
      <c r="L215" s="181"/>
      <c r="M215" s="492"/>
      <c r="N215" s="254"/>
      <c r="O215" s="492"/>
      <c r="P215" s="254"/>
      <c r="Q215" s="492"/>
      <c r="R215" s="254"/>
      <c r="S215" s="492"/>
      <c r="T215" s="254"/>
      <c r="U215" s="492"/>
      <c r="V215" s="254"/>
      <c r="W215" s="492"/>
      <c r="X215" s="254"/>
      <c r="Y215" s="9"/>
      <c r="Z215" s="9"/>
      <c r="AA215" s="9"/>
      <c r="AB215" s="9"/>
      <c r="AC215" s="9"/>
      <c r="AD215" s="9"/>
      <c r="AE215" s="9"/>
      <c r="AF215" s="9"/>
      <c r="AG215" s="9"/>
      <c r="AH215" s="9"/>
      <c r="AI215" s="9"/>
      <c r="AJ215" s="9"/>
      <c r="AK215" s="9"/>
      <c r="AL215" s="9"/>
      <c r="AM215" s="9"/>
      <c r="AN215" s="9"/>
      <c r="AO215" s="9"/>
      <c r="AP215" s="9"/>
      <c r="AQ215" s="9"/>
      <c r="AR215" s="9"/>
      <c r="AS215" s="9"/>
      <c r="AT215" s="9"/>
    </row>
    <row r="216">
      <c r="A216" s="492"/>
      <c r="B216" s="254"/>
      <c r="C216" s="492"/>
      <c r="D216" s="254"/>
      <c r="E216" s="492"/>
      <c r="F216" s="254"/>
      <c r="G216" s="492"/>
      <c r="H216" s="254"/>
      <c r="I216" s="500"/>
      <c r="J216" s="181"/>
      <c r="K216" s="500"/>
      <c r="L216" s="181"/>
      <c r="M216" s="492"/>
      <c r="N216" s="254"/>
      <c r="O216" s="492"/>
      <c r="P216" s="254"/>
      <c r="Q216" s="492"/>
      <c r="R216" s="254"/>
      <c r="S216" s="492"/>
      <c r="T216" s="254"/>
      <c r="U216" s="492"/>
      <c r="V216" s="254"/>
      <c r="W216" s="492"/>
      <c r="X216" s="254"/>
      <c r="Y216" s="9"/>
      <c r="Z216" s="9"/>
      <c r="AA216" s="9"/>
      <c r="AB216" s="9"/>
      <c r="AC216" s="9"/>
      <c r="AD216" s="9"/>
      <c r="AE216" s="9"/>
      <c r="AF216" s="9"/>
      <c r="AG216" s="9"/>
      <c r="AH216" s="9"/>
      <c r="AI216" s="9"/>
      <c r="AJ216" s="9"/>
      <c r="AK216" s="9"/>
      <c r="AL216" s="9"/>
      <c r="AM216" s="9"/>
      <c r="AN216" s="9"/>
      <c r="AO216" s="9"/>
      <c r="AP216" s="9"/>
      <c r="AQ216" s="9"/>
      <c r="AR216" s="9"/>
      <c r="AS216" s="9"/>
      <c r="AT216" s="9"/>
    </row>
    <row r="217">
      <c r="A217" s="492"/>
      <c r="B217" s="254"/>
      <c r="C217" s="492"/>
      <c r="D217" s="254"/>
      <c r="E217" s="492"/>
      <c r="F217" s="254"/>
      <c r="G217" s="492"/>
      <c r="H217" s="254"/>
      <c r="I217" s="500"/>
      <c r="J217" s="181"/>
      <c r="K217" s="500"/>
      <c r="L217" s="181"/>
      <c r="M217" s="492"/>
      <c r="N217" s="254"/>
      <c r="O217" s="492"/>
      <c r="P217" s="254"/>
      <c r="Q217" s="492"/>
      <c r="R217" s="254"/>
      <c r="S217" s="492"/>
      <c r="T217" s="254"/>
      <c r="U217" s="492"/>
      <c r="V217" s="254"/>
      <c r="W217" s="492"/>
      <c r="X217" s="254"/>
      <c r="Y217" s="9"/>
      <c r="Z217" s="9"/>
      <c r="AA217" s="9"/>
      <c r="AB217" s="9"/>
      <c r="AC217" s="9"/>
      <c r="AD217" s="9"/>
      <c r="AE217" s="9"/>
      <c r="AF217" s="9"/>
      <c r="AG217" s="9"/>
      <c r="AH217" s="9"/>
      <c r="AI217" s="9"/>
      <c r="AJ217" s="9"/>
      <c r="AK217" s="9"/>
      <c r="AL217" s="9"/>
      <c r="AM217" s="9"/>
      <c r="AN217" s="9"/>
      <c r="AO217" s="9"/>
      <c r="AP217" s="9"/>
      <c r="AQ217" s="9"/>
      <c r="AR217" s="9"/>
      <c r="AS217" s="9"/>
      <c r="AT217" s="9"/>
    </row>
    <row r="218">
      <c r="A218" s="492"/>
      <c r="B218" s="254"/>
      <c r="C218" s="492"/>
      <c r="D218" s="254"/>
      <c r="E218" s="492"/>
      <c r="F218" s="254"/>
      <c r="G218" s="492"/>
      <c r="H218" s="254"/>
      <c r="I218" s="500"/>
      <c r="J218" s="181"/>
      <c r="K218" s="500"/>
      <c r="L218" s="181"/>
      <c r="M218" s="492"/>
      <c r="N218" s="254"/>
      <c r="O218" s="492"/>
      <c r="P218" s="254"/>
      <c r="Q218" s="492"/>
      <c r="R218" s="254"/>
      <c r="S218" s="492"/>
      <c r="T218" s="254"/>
      <c r="U218" s="492"/>
      <c r="V218" s="254"/>
      <c r="W218" s="492"/>
      <c r="X218" s="254"/>
      <c r="Y218" s="9"/>
      <c r="Z218" s="9"/>
      <c r="AA218" s="9"/>
      <c r="AB218" s="9"/>
      <c r="AC218" s="9"/>
      <c r="AD218" s="9"/>
      <c r="AE218" s="9"/>
      <c r="AF218" s="9"/>
      <c r="AG218" s="9"/>
      <c r="AH218" s="9"/>
      <c r="AI218" s="9"/>
      <c r="AJ218" s="9"/>
      <c r="AK218" s="9"/>
      <c r="AL218" s="9"/>
      <c r="AM218" s="9"/>
      <c r="AN218" s="9"/>
      <c r="AO218" s="9"/>
      <c r="AP218" s="9"/>
      <c r="AQ218" s="9"/>
      <c r="AR218" s="9"/>
      <c r="AS218" s="9"/>
      <c r="AT218" s="9"/>
    </row>
    <row r="219">
      <c r="A219" s="492"/>
      <c r="B219" s="254"/>
      <c r="C219" s="492"/>
      <c r="D219" s="254"/>
      <c r="E219" s="492"/>
      <c r="F219" s="254"/>
      <c r="G219" s="492"/>
      <c r="H219" s="254"/>
      <c r="I219" s="500"/>
      <c r="J219" s="181"/>
      <c r="K219" s="500"/>
      <c r="L219" s="181"/>
      <c r="M219" s="492"/>
      <c r="N219" s="254"/>
      <c r="O219" s="492"/>
      <c r="P219" s="254"/>
      <c r="Q219" s="492"/>
      <c r="R219" s="254"/>
      <c r="S219" s="492"/>
      <c r="T219" s="254"/>
      <c r="U219" s="492"/>
      <c r="V219" s="254"/>
      <c r="W219" s="492"/>
      <c r="X219" s="254"/>
      <c r="Y219" s="9"/>
      <c r="Z219" s="9"/>
      <c r="AA219" s="9"/>
      <c r="AB219" s="9"/>
      <c r="AC219" s="9"/>
      <c r="AD219" s="9"/>
      <c r="AE219" s="9"/>
      <c r="AF219" s="9"/>
      <c r="AG219" s="9"/>
      <c r="AH219" s="9"/>
      <c r="AI219" s="9"/>
      <c r="AJ219" s="9"/>
      <c r="AK219" s="9"/>
      <c r="AL219" s="9"/>
      <c r="AM219" s="9"/>
      <c r="AN219" s="9"/>
      <c r="AO219" s="9"/>
      <c r="AP219" s="9"/>
      <c r="AQ219" s="9"/>
      <c r="AR219" s="9"/>
      <c r="AS219" s="9"/>
      <c r="AT219" s="9"/>
    </row>
    <row r="220">
      <c r="A220" s="492"/>
      <c r="B220" s="254"/>
      <c r="C220" s="492"/>
      <c r="D220" s="254"/>
      <c r="E220" s="492"/>
      <c r="F220" s="254"/>
      <c r="G220" s="492"/>
      <c r="H220" s="254"/>
      <c r="I220" s="500"/>
      <c r="J220" s="181"/>
      <c r="K220" s="500"/>
      <c r="L220" s="181"/>
      <c r="M220" s="492"/>
      <c r="N220" s="254"/>
      <c r="O220" s="492"/>
      <c r="P220" s="254"/>
      <c r="Q220" s="492"/>
      <c r="R220" s="254"/>
      <c r="S220" s="492"/>
      <c r="T220" s="254"/>
      <c r="U220" s="492"/>
      <c r="V220" s="254"/>
      <c r="W220" s="492"/>
      <c r="X220" s="254"/>
      <c r="Y220" s="9"/>
      <c r="Z220" s="9"/>
      <c r="AA220" s="9"/>
      <c r="AB220" s="9"/>
      <c r="AC220" s="9"/>
      <c r="AD220" s="9"/>
      <c r="AE220" s="9"/>
      <c r="AF220" s="9"/>
      <c r="AG220" s="9"/>
      <c r="AH220" s="9"/>
      <c r="AI220" s="9"/>
      <c r="AJ220" s="9"/>
      <c r="AK220" s="9"/>
      <c r="AL220" s="9"/>
      <c r="AM220" s="9"/>
      <c r="AN220" s="9"/>
      <c r="AO220" s="9"/>
      <c r="AP220" s="9"/>
      <c r="AQ220" s="9"/>
      <c r="AR220" s="9"/>
      <c r="AS220" s="9"/>
      <c r="AT220" s="9"/>
    </row>
    <row r="221">
      <c r="A221" s="492"/>
      <c r="B221" s="254"/>
      <c r="C221" s="492"/>
      <c r="D221" s="254"/>
      <c r="E221" s="492"/>
      <c r="F221" s="254"/>
      <c r="G221" s="492"/>
      <c r="H221" s="254"/>
      <c r="I221" s="500"/>
      <c r="J221" s="181"/>
      <c r="K221" s="500"/>
      <c r="L221" s="181"/>
      <c r="M221" s="492"/>
      <c r="N221" s="254"/>
      <c r="O221" s="492"/>
      <c r="P221" s="254"/>
      <c r="Q221" s="492"/>
      <c r="R221" s="254"/>
      <c r="S221" s="492"/>
      <c r="T221" s="254"/>
      <c r="U221" s="492"/>
      <c r="V221" s="254"/>
      <c r="W221" s="492"/>
      <c r="X221" s="254"/>
      <c r="Y221" s="9"/>
      <c r="Z221" s="9"/>
      <c r="AA221" s="9"/>
      <c r="AB221" s="9"/>
      <c r="AC221" s="9"/>
      <c r="AD221" s="9"/>
      <c r="AE221" s="9"/>
      <c r="AF221" s="9"/>
      <c r="AG221" s="9"/>
      <c r="AH221" s="9"/>
      <c r="AI221" s="9"/>
      <c r="AJ221" s="9"/>
      <c r="AK221" s="9"/>
      <c r="AL221" s="9"/>
      <c r="AM221" s="9"/>
      <c r="AN221" s="9"/>
      <c r="AO221" s="9"/>
      <c r="AP221" s="9"/>
      <c r="AQ221" s="9"/>
      <c r="AR221" s="9"/>
      <c r="AS221" s="9"/>
      <c r="AT221" s="9"/>
    </row>
    <row r="222">
      <c r="A222" s="492"/>
      <c r="B222" s="254"/>
      <c r="C222" s="492"/>
      <c r="D222" s="254"/>
      <c r="E222" s="492"/>
      <c r="F222" s="254"/>
      <c r="G222" s="492"/>
      <c r="H222" s="254"/>
      <c r="I222" s="500"/>
      <c r="J222" s="181"/>
      <c r="K222" s="500"/>
      <c r="L222" s="181"/>
      <c r="M222" s="492"/>
      <c r="N222" s="254"/>
      <c r="O222" s="492"/>
      <c r="P222" s="254"/>
      <c r="Q222" s="492"/>
      <c r="R222" s="254"/>
      <c r="S222" s="492"/>
      <c r="T222" s="254"/>
      <c r="U222" s="492"/>
      <c r="V222" s="254"/>
      <c r="W222" s="492"/>
      <c r="X222" s="254"/>
      <c r="Y222" s="9"/>
      <c r="Z222" s="9"/>
      <c r="AA222" s="9"/>
      <c r="AB222" s="9"/>
      <c r="AC222" s="9"/>
      <c r="AD222" s="9"/>
      <c r="AE222" s="9"/>
      <c r="AF222" s="9"/>
      <c r="AG222" s="9"/>
      <c r="AH222" s="9"/>
      <c r="AI222" s="9"/>
      <c r="AJ222" s="9"/>
      <c r="AK222" s="9"/>
      <c r="AL222" s="9"/>
      <c r="AM222" s="9"/>
      <c r="AN222" s="9"/>
      <c r="AO222" s="9"/>
      <c r="AP222" s="9"/>
      <c r="AQ222" s="9"/>
      <c r="AR222" s="9"/>
      <c r="AS222" s="9"/>
      <c r="AT222" s="9"/>
    </row>
    <row r="223">
      <c r="A223" s="492"/>
      <c r="B223" s="254"/>
      <c r="C223" s="492"/>
      <c r="D223" s="254"/>
      <c r="E223" s="492"/>
      <c r="F223" s="254"/>
      <c r="G223" s="492"/>
      <c r="H223" s="254"/>
      <c r="I223" s="500"/>
      <c r="J223" s="181"/>
      <c r="K223" s="500"/>
      <c r="L223" s="181"/>
      <c r="M223" s="492"/>
      <c r="N223" s="254"/>
      <c r="O223" s="492"/>
      <c r="P223" s="254"/>
      <c r="Q223" s="492"/>
      <c r="R223" s="254"/>
      <c r="S223" s="492"/>
      <c r="T223" s="254"/>
      <c r="U223" s="492"/>
      <c r="V223" s="254"/>
      <c r="W223" s="492"/>
      <c r="X223" s="254"/>
      <c r="Y223" s="9"/>
      <c r="Z223" s="9"/>
      <c r="AA223" s="9"/>
      <c r="AB223" s="9"/>
      <c r="AC223" s="9"/>
      <c r="AD223" s="9"/>
      <c r="AE223" s="9"/>
      <c r="AF223" s="9"/>
      <c r="AG223" s="9"/>
      <c r="AH223" s="9"/>
      <c r="AI223" s="9"/>
      <c r="AJ223" s="9"/>
      <c r="AK223" s="9"/>
      <c r="AL223" s="9"/>
      <c r="AM223" s="9"/>
      <c r="AN223" s="9"/>
      <c r="AO223" s="9"/>
      <c r="AP223" s="9"/>
      <c r="AQ223" s="9"/>
      <c r="AR223" s="9"/>
      <c r="AS223" s="9"/>
      <c r="AT223" s="9"/>
    </row>
    <row r="224">
      <c r="A224" s="492"/>
      <c r="B224" s="254"/>
      <c r="C224" s="492"/>
      <c r="D224" s="254"/>
      <c r="E224" s="492"/>
      <c r="F224" s="254"/>
      <c r="G224" s="492"/>
      <c r="H224" s="254"/>
      <c r="I224" s="500"/>
      <c r="J224" s="181"/>
      <c r="K224" s="500"/>
      <c r="L224" s="181"/>
      <c r="M224" s="492"/>
      <c r="N224" s="254"/>
      <c r="O224" s="492"/>
      <c r="P224" s="254"/>
      <c r="Q224" s="492"/>
      <c r="R224" s="254"/>
      <c r="S224" s="492"/>
      <c r="T224" s="254"/>
      <c r="U224" s="492"/>
      <c r="V224" s="254"/>
      <c r="W224" s="492"/>
      <c r="X224" s="254"/>
      <c r="Y224" s="9"/>
      <c r="Z224" s="9"/>
      <c r="AA224" s="9"/>
      <c r="AB224" s="9"/>
      <c r="AC224" s="9"/>
      <c r="AD224" s="9"/>
      <c r="AE224" s="9"/>
      <c r="AF224" s="9"/>
      <c r="AG224" s="9"/>
      <c r="AH224" s="9"/>
      <c r="AI224" s="9"/>
      <c r="AJ224" s="9"/>
      <c r="AK224" s="9"/>
      <c r="AL224" s="9"/>
      <c r="AM224" s="9"/>
      <c r="AN224" s="9"/>
      <c r="AO224" s="9"/>
      <c r="AP224" s="9"/>
      <c r="AQ224" s="9"/>
      <c r="AR224" s="9"/>
      <c r="AS224" s="9"/>
      <c r="AT224" s="9"/>
    </row>
    <row r="225">
      <c r="A225" s="492"/>
      <c r="B225" s="254"/>
      <c r="C225" s="492"/>
      <c r="D225" s="254"/>
      <c r="E225" s="492"/>
      <c r="F225" s="254"/>
      <c r="G225" s="492"/>
      <c r="H225" s="254"/>
      <c r="I225" s="500"/>
      <c r="J225" s="181"/>
      <c r="K225" s="500"/>
      <c r="L225" s="181"/>
      <c r="M225" s="492"/>
      <c r="N225" s="254"/>
      <c r="O225" s="492"/>
      <c r="P225" s="254"/>
      <c r="Q225" s="492"/>
      <c r="R225" s="254"/>
      <c r="S225" s="492"/>
      <c r="T225" s="254"/>
      <c r="U225" s="492"/>
      <c r="V225" s="254"/>
      <c r="W225" s="492"/>
      <c r="X225" s="254"/>
      <c r="Y225" s="9"/>
      <c r="Z225" s="9"/>
      <c r="AA225" s="9"/>
      <c r="AB225" s="9"/>
      <c r="AC225" s="9"/>
      <c r="AD225" s="9"/>
      <c r="AE225" s="9"/>
      <c r="AF225" s="9"/>
      <c r="AG225" s="9"/>
      <c r="AH225" s="9"/>
      <c r="AI225" s="9"/>
      <c r="AJ225" s="9"/>
      <c r="AK225" s="9"/>
      <c r="AL225" s="9"/>
      <c r="AM225" s="9"/>
      <c r="AN225" s="9"/>
      <c r="AO225" s="9"/>
      <c r="AP225" s="9"/>
      <c r="AQ225" s="9"/>
      <c r="AR225" s="9"/>
      <c r="AS225" s="9"/>
      <c r="AT225" s="9"/>
    </row>
    <row r="226">
      <c r="A226" s="492"/>
      <c r="B226" s="254"/>
      <c r="C226" s="492"/>
      <c r="D226" s="254"/>
      <c r="E226" s="492"/>
      <c r="F226" s="254"/>
      <c r="G226" s="492"/>
      <c r="H226" s="254"/>
      <c r="I226" s="500"/>
      <c r="J226" s="181"/>
      <c r="K226" s="500"/>
      <c r="L226" s="181"/>
      <c r="M226" s="492"/>
      <c r="N226" s="254"/>
      <c r="O226" s="492"/>
      <c r="P226" s="254"/>
      <c r="Q226" s="492"/>
      <c r="R226" s="254"/>
      <c r="S226" s="492"/>
      <c r="T226" s="254"/>
      <c r="U226" s="492"/>
      <c r="V226" s="254"/>
      <c r="W226" s="492"/>
      <c r="X226" s="254"/>
      <c r="Y226" s="9"/>
      <c r="Z226" s="9"/>
      <c r="AA226" s="9"/>
      <c r="AB226" s="9"/>
      <c r="AC226" s="9"/>
      <c r="AD226" s="9"/>
      <c r="AE226" s="9"/>
      <c r="AF226" s="9"/>
      <c r="AG226" s="9"/>
      <c r="AH226" s="9"/>
      <c r="AI226" s="9"/>
      <c r="AJ226" s="9"/>
      <c r="AK226" s="9"/>
      <c r="AL226" s="9"/>
      <c r="AM226" s="9"/>
      <c r="AN226" s="9"/>
      <c r="AO226" s="9"/>
      <c r="AP226" s="9"/>
      <c r="AQ226" s="9"/>
      <c r="AR226" s="9"/>
      <c r="AS226" s="9"/>
      <c r="AT226" s="9"/>
    </row>
    <row r="227">
      <c r="A227" s="492"/>
      <c r="B227" s="254"/>
      <c r="C227" s="492"/>
      <c r="D227" s="254"/>
      <c r="E227" s="492"/>
      <c r="F227" s="254"/>
      <c r="G227" s="492"/>
      <c r="H227" s="254"/>
      <c r="I227" s="500"/>
      <c r="J227" s="181"/>
      <c r="K227" s="500"/>
      <c r="L227" s="181"/>
      <c r="M227" s="492"/>
      <c r="N227" s="254"/>
      <c r="O227" s="492"/>
      <c r="P227" s="254"/>
      <c r="Q227" s="492"/>
      <c r="R227" s="254"/>
      <c r="S227" s="492"/>
      <c r="T227" s="254"/>
      <c r="U227" s="492"/>
      <c r="V227" s="254"/>
      <c r="W227" s="492"/>
      <c r="X227" s="254"/>
      <c r="Y227" s="9"/>
      <c r="Z227" s="9"/>
      <c r="AA227" s="9"/>
      <c r="AB227" s="9"/>
      <c r="AC227" s="9"/>
      <c r="AD227" s="9"/>
      <c r="AE227" s="9"/>
      <c r="AF227" s="9"/>
      <c r="AG227" s="9"/>
      <c r="AH227" s="9"/>
      <c r="AI227" s="9"/>
      <c r="AJ227" s="9"/>
      <c r="AK227" s="9"/>
      <c r="AL227" s="9"/>
      <c r="AM227" s="9"/>
      <c r="AN227" s="9"/>
      <c r="AO227" s="9"/>
      <c r="AP227" s="9"/>
      <c r="AQ227" s="9"/>
      <c r="AR227" s="9"/>
      <c r="AS227" s="9"/>
      <c r="AT227" s="9"/>
    </row>
    <row r="228">
      <c r="A228" s="492"/>
      <c r="B228" s="254"/>
      <c r="C228" s="492"/>
      <c r="D228" s="254"/>
      <c r="E228" s="492"/>
      <c r="F228" s="254"/>
      <c r="G228" s="492"/>
      <c r="H228" s="254"/>
      <c r="I228" s="500"/>
      <c r="J228" s="181"/>
      <c r="K228" s="500"/>
      <c r="L228" s="181"/>
      <c r="M228" s="492"/>
      <c r="N228" s="254"/>
      <c r="O228" s="492"/>
      <c r="P228" s="254"/>
      <c r="Q228" s="492"/>
      <c r="R228" s="254"/>
      <c r="S228" s="492"/>
      <c r="T228" s="254"/>
      <c r="U228" s="492"/>
      <c r="V228" s="254"/>
      <c r="W228" s="492"/>
      <c r="X228" s="254"/>
      <c r="Y228" s="9"/>
      <c r="Z228" s="9"/>
      <c r="AA228" s="9"/>
      <c r="AB228" s="9"/>
      <c r="AC228" s="9"/>
      <c r="AD228" s="9"/>
      <c r="AE228" s="9"/>
      <c r="AF228" s="9"/>
      <c r="AG228" s="9"/>
      <c r="AH228" s="9"/>
      <c r="AI228" s="9"/>
      <c r="AJ228" s="9"/>
      <c r="AK228" s="9"/>
      <c r="AL228" s="9"/>
      <c r="AM228" s="9"/>
      <c r="AN228" s="9"/>
      <c r="AO228" s="9"/>
      <c r="AP228" s="9"/>
      <c r="AQ228" s="9"/>
      <c r="AR228" s="9"/>
      <c r="AS228" s="9"/>
      <c r="AT228" s="9"/>
    </row>
    <row r="229">
      <c r="A229" s="492"/>
      <c r="B229" s="254"/>
      <c r="C229" s="492"/>
      <c r="D229" s="254"/>
      <c r="E229" s="492"/>
      <c r="F229" s="254"/>
      <c r="G229" s="492"/>
      <c r="H229" s="254"/>
      <c r="I229" s="500"/>
      <c r="J229" s="181"/>
      <c r="K229" s="500"/>
      <c r="L229" s="181"/>
      <c r="M229" s="492"/>
      <c r="N229" s="254"/>
      <c r="O229" s="492"/>
      <c r="P229" s="254"/>
      <c r="Q229" s="492"/>
      <c r="R229" s="254"/>
      <c r="S229" s="492"/>
      <c r="T229" s="254"/>
      <c r="U229" s="492"/>
      <c r="V229" s="254"/>
      <c r="W229" s="492"/>
      <c r="X229" s="254"/>
      <c r="Y229" s="9"/>
      <c r="Z229" s="9"/>
      <c r="AA229" s="9"/>
      <c r="AB229" s="9"/>
      <c r="AC229" s="9"/>
      <c r="AD229" s="9"/>
      <c r="AE229" s="9"/>
      <c r="AF229" s="9"/>
      <c r="AG229" s="9"/>
      <c r="AH229" s="9"/>
      <c r="AI229" s="9"/>
      <c r="AJ229" s="9"/>
      <c r="AK229" s="9"/>
      <c r="AL229" s="9"/>
      <c r="AM229" s="9"/>
      <c r="AN229" s="9"/>
      <c r="AO229" s="9"/>
      <c r="AP229" s="9"/>
      <c r="AQ229" s="9"/>
      <c r="AR229" s="9"/>
      <c r="AS229" s="9"/>
      <c r="AT229" s="9"/>
    </row>
    <row r="230">
      <c r="A230" s="492"/>
      <c r="B230" s="254"/>
      <c r="C230" s="492"/>
      <c r="D230" s="254"/>
      <c r="E230" s="492"/>
      <c r="F230" s="254"/>
      <c r="G230" s="492"/>
      <c r="H230" s="254"/>
      <c r="I230" s="500"/>
      <c r="J230" s="181"/>
      <c r="K230" s="500"/>
      <c r="L230" s="181"/>
      <c r="M230" s="492"/>
      <c r="N230" s="254"/>
      <c r="O230" s="492"/>
      <c r="P230" s="254"/>
      <c r="Q230" s="492"/>
      <c r="R230" s="254"/>
      <c r="S230" s="492"/>
      <c r="T230" s="254"/>
      <c r="U230" s="492"/>
      <c r="V230" s="254"/>
      <c r="W230" s="492"/>
      <c r="X230" s="254"/>
      <c r="Y230" s="9"/>
      <c r="Z230" s="9"/>
      <c r="AA230" s="9"/>
      <c r="AB230" s="9"/>
      <c r="AC230" s="9"/>
      <c r="AD230" s="9"/>
      <c r="AE230" s="9"/>
      <c r="AF230" s="9"/>
      <c r="AG230" s="9"/>
      <c r="AH230" s="9"/>
      <c r="AI230" s="9"/>
      <c r="AJ230" s="9"/>
      <c r="AK230" s="9"/>
      <c r="AL230" s="9"/>
      <c r="AM230" s="9"/>
      <c r="AN230" s="9"/>
      <c r="AO230" s="9"/>
      <c r="AP230" s="9"/>
      <c r="AQ230" s="9"/>
      <c r="AR230" s="9"/>
      <c r="AS230" s="9"/>
      <c r="AT230" s="9"/>
    </row>
    <row r="231">
      <c r="A231" s="492"/>
      <c r="B231" s="254"/>
      <c r="C231" s="492"/>
      <c r="D231" s="254"/>
      <c r="E231" s="492"/>
      <c r="F231" s="254"/>
      <c r="G231" s="492"/>
      <c r="H231" s="254"/>
      <c r="I231" s="500"/>
      <c r="J231" s="181"/>
      <c r="K231" s="500"/>
      <c r="L231" s="181"/>
      <c r="M231" s="492"/>
      <c r="N231" s="254"/>
      <c r="O231" s="492"/>
      <c r="P231" s="254"/>
      <c r="Q231" s="492"/>
      <c r="R231" s="254"/>
      <c r="S231" s="492"/>
      <c r="T231" s="254"/>
      <c r="U231" s="492"/>
      <c r="V231" s="254"/>
      <c r="W231" s="492"/>
      <c r="X231" s="254"/>
      <c r="Y231" s="9"/>
      <c r="Z231" s="9"/>
      <c r="AA231" s="9"/>
      <c r="AB231" s="9"/>
      <c r="AC231" s="9"/>
      <c r="AD231" s="9"/>
      <c r="AE231" s="9"/>
      <c r="AF231" s="9"/>
      <c r="AG231" s="9"/>
      <c r="AH231" s="9"/>
      <c r="AI231" s="9"/>
      <c r="AJ231" s="9"/>
      <c r="AK231" s="9"/>
      <c r="AL231" s="9"/>
      <c r="AM231" s="9"/>
      <c r="AN231" s="9"/>
      <c r="AO231" s="9"/>
      <c r="AP231" s="9"/>
      <c r="AQ231" s="9"/>
      <c r="AR231" s="9"/>
      <c r="AS231" s="9"/>
      <c r="AT231" s="9"/>
    </row>
    <row r="232">
      <c r="A232" s="492"/>
      <c r="B232" s="254"/>
      <c r="C232" s="492"/>
      <c r="D232" s="254"/>
      <c r="E232" s="492"/>
      <c r="F232" s="254"/>
      <c r="G232" s="492"/>
      <c r="H232" s="254"/>
      <c r="I232" s="500"/>
      <c r="J232" s="181"/>
      <c r="K232" s="500"/>
      <c r="L232" s="181"/>
      <c r="M232" s="492"/>
      <c r="N232" s="254"/>
      <c r="O232" s="492"/>
      <c r="P232" s="254"/>
      <c r="Q232" s="492"/>
      <c r="R232" s="254"/>
      <c r="S232" s="492"/>
      <c r="T232" s="254"/>
      <c r="U232" s="492"/>
      <c r="V232" s="254"/>
      <c r="W232" s="492"/>
      <c r="X232" s="254"/>
      <c r="Y232" s="9"/>
      <c r="Z232" s="9"/>
      <c r="AA232" s="9"/>
      <c r="AB232" s="9"/>
      <c r="AC232" s="9"/>
      <c r="AD232" s="9"/>
      <c r="AE232" s="9"/>
      <c r="AF232" s="9"/>
      <c r="AG232" s="9"/>
      <c r="AH232" s="9"/>
      <c r="AI232" s="9"/>
      <c r="AJ232" s="9"/>
      <c r="AK232" s="9"/>
      <c r="AL232" s="9"/>
      <c r="AM232" s="9"/>
      <c r="AN232" s="9"/>
      <c r="AO232" s="9"/>
      <c r="AP232" s="9"/>
      <c r="AQ232" s="9"/>
      <c r="AR232" s="9"/>
      <c r="AS232" s="9"/>
      <c r="AT232" s="9"/>
    </row>
    <row r="233">
      <c r="A233" s="492"/>
      <c r="B233" s="254"/>
      <c r="C233" s="492"/>
      <c r="D233" s="254"/>
      <c r="E233" s="492"/>
      <c r="F233" s="254"/>
      <c r="G233" s="492"/>
      <c r="H233" s="254"/>
      <c r="I233" s="500"/>
      <c r="J233" s="181"/>
      <c r="K233" s="500"/>
      <c r="L233" s="181"/>
      <c r="M233" s="492"/>
      <c r="N233" s="254"/>
      <c r="O233" s="492"/>
      <c r="P233" s="254"/>
      <c r="Q233" s="492"/>
      <c r="R233" s="254"/>
      <c r="S233" s="492"/>
      <c r="T233" s="254"/>
      <c r="U233" s="492"/>
      <c r="V233" s="254"/>
      <c r="W233" s="492"/>
      <c r="X233" s="254"/>
      <c r="Y233" s="9"/>
      <c r="Z233" s="9"/>
      <c r="AA233" s="9"/>
      <c r="AB233" s="9"/>
      <c r="AC233" s="9"/>
      <c r="AD233" s="9"/>
      <c r="AE233" s="9"/>
      <c r="AF233" s="9"/>
      <c r="AG233" s="9"/>
      <c r="AH233" s="9"/>
      <c r="AI233" s="9"/>
      <c r="AJ233" s="9"/>
      <c r="AK233" s="9"/>
      <c r="AL233" s="9"/>
      <c r="AM233" s="9"/>
      <c r="AN233" s="9"/>
      <c r="AO233" s="9"/>
      <c r="AP233" s="9"/>
      <c r="AQ233" s="9"/>
      <c r="AR233" s="9"/>
      <c r="AS233" s="9"/>
      <c r="AT233" s="9"/>
    </row>
    <row r="234">
      <c r="A234" s="492"/>
      <c r="B234" s="254"/>
      <c r="C234" s="492"/>
      <c r="D234" s="254"/>
      <c r="E234" s="492"/>
      <c r="F234" s="254"/>
      <c r="G234" s="492"/>
      <c r="H234" s="254"/>
      <c r="I234" s="500"/>
      <c r="J234" s="181"/>
      <c r="K234" s="500"/>
      <c r="L234" s="181"/>
      <c r="M234" s="492"/>
      <c r="N234" s="254"/>
      <c r="O234" s="492"/>
      <c r="P234" s="254"/>
      <c r="Q234" s="492"/>
      <c r="R234" s="254"/>
      <c r="S234" s="492"/>
      <c r="T234" s="254"/>
      <c r="U234" s="492"/>
      <c r="V234" s="254"/>
      <c r="W234" s="492"/>
      <c r="X234" s="254"/>
      <c r="Y234" s="9"/>
      <c r="Z234" s="9"/>
      <c r="AA234" s="9"/>
      <c r="AB234" s="9"/>
      <c r="AC234" s="9"/>
      <c r="AD234" s="9"/>
      <c r="AE234" s="9"/>
      <c r="AF234" s="9"/>
      <c r="AG234" s="9"/>
      <c r="AH234" s="9"/>
      <c r="AI234" s="9"/>
      <c r="AJ234" s="9"/>
      <c r="AK234" s="9"/>
      <c r="AL234" s="9"/>
      <c r="AM234" s="9"/>
      <c r="AN234" s="9"/>
      <c r="AO234" s="9"/>
      <c r="AP234" s="9"/>
      <c r="AQ234" s="9"/>
      <c r="AR234" s="9"/>
      <c r="AS234" s="9"/>
      <c r="AT234" s="9"/>
    </row>
    <row r="235">
      <c r="A235" s="492"/>
      <c r="B235" s="254"/>
      <c r="C235" s="492"/>
      <c r="D235" s="254"/>
      <c r="E235" s="492"/>
      <c r="F235" s="254"/>
      <c r="G235" s="492"/>
      <c r="H235" s="254"/>
      <c r="I235" s="500"/>
      <c r="J235" s="181"/>
      <c r="K235" s="500"/>
      <c r="L235" s="181"/>
      <c r="M235" s="492"/>
      <c r="N235" s="254"/>
      <c r="O235" s="492"/>
      <c r="P235" s="254"/>
      <c r="Q235" s="492"/>
      <c r="R235" s="254"/>
      <c r="S235" s="492"/>
      <c r="T235" s="254"/>
      <c r="U235" s="492"/>
      <c r="V235" s="254"/>
      <c r="W235" s="492"/>
      <c r="X235" s="254"/>
      <c r="Y235" s="9"/>
      <c r="Z235" s="9"/>
      <c r="AA235" s="9"/>
      <c r="AB235" s="9"/>
      <c r="AC235" s="9"/>
      <c r="AD235" s="9"/>
      <c r="AE235" s="9"/>
      <c r="AF235" s="9"/>
      <c r="AG235" s="9"/>
      <c r="AH235" s="9"/>
      <c r="AI235" s="9"/>
      <c r="AJ235" s="9"/>
      <c r="AK235" s="9"/>
      <c r="AL235" s="9"/>
      <c r="AM235" s="9"/>
      <c r="AN235" s="9"/>
      <c r="AO235" s="9"/>
      <c r="AP235" s="9"/>
      <c r="AQ235" s="9"/>
      <c r="AR235" s="9"/>
      <c r="AS235" s="9"/>
      <c r="AT235" s="9"/>
    </row>
    <row r="236">
      <c r="A236" s="492"/>
      <c r="B236" s="254"/>
      <c r="C236" s="492"/>
      <c r="D236" s="254"/>
      <c r="E236" s="492"/>
      <c r="F236" s="254"/>
      <c r="G236" s="492"/>
      <c r="H236" s="254"/>
      <c r="I236" s="500"/>
      <c r="J236" s="181"/>
      <c r="K236" s="500"/>
      <c r="L236" s="181"/>
      <c r="M236" s="492"/>
      <c r="N236" s="254"/>
      <c r="O236" s="492"/>
      <c r="P236" s="254"/>
      <c r="Q236" s="492"/>
      <c r="R236" s="254"/>
      <c r="S236" s="492"/>
      <c r="T236" s="254"/>
      <c r="U236" s="492"/>
      <c r="V236" s="254"/>
      <c r="W236" s="492"/>
      <c r="X236" s="254"/>
      <c r="Y236" s="9"/>
      <c r="Z236" s="9"/>
      <c r="AA236" s="9"/>
      <c r="AB236" s="9"/>
      <c r="AC236" s="9"/>
      <c r="AD236" s="9"/>
      <c r="AE236" s="9"/>
      <c r="AF236" s="9"/>
      <c r="AG236" s="9"/>
      <c r="AH236" s="9"/>
      <c r="AI236" s="9"/>
      <c r="AJ236" s="9"/>
      <c r="AK236" s="9"/>
      <c r="AL236" s="9"/>
      <c r="AM236" s="9"/>
      <c r="AN236" s="9"/>
      <c r="AO236" s="9"/>
      <c r="AP236" s="9"/>
      <c r="AQ236" s="9"/>
      <c r="AR236" s="9"/>
      <c r="AS236" s="9"/>
      <c r="AT236" s="9"/>
    </row>
    <row r="237">
      <c r="A237" s="492"/>
      <c r="B237" s="254"/>
      <c r="C237" s="492"/>
      <c r="D237" s="254"/>
      <c r="E237" s="492"/>
      <c r="F237" s="254"/>
      <c r="G237" s="492"/>
      <c r="H237" s="254"/>
      <c r="I237" s="500"/>
      <c r="J237" s="181"/>
      <c r="K237" s="500"/>
      <c r="L237" s="181"/>
      <c r="M237" s="492"/>
      <c r="N237" s="254"/>
      <c r="O237" s="492"/>
      <c r="P237" s="254"/>
      <c r="Q237" s="492"/>
      <c r="R237" s="254"/>
      <c r="S237" s="492"/>
      <c r="T237" s="254"/>
      <c r="U237" s="492"/>
      <c r="V237" s="254"/>
      <c r="W237" s="492"/>
      <c r="X237" s="254"/>
      <c r="Y237" s="9"/>
      <c r="Z237" s="9"/>
      <c r="AA237" s="9"/>
      <c r="AB237" s="9"/>
      <c r="AC237" s="9"/>
      <c r="AD237" s="9"/>
      <c r="AE237" s="9"/>
      <c r="AF237" s="9"/>
      <c r="AG237" s="9"/>
      <c r="AH237" s="9"/>
      <c r="AI237" s="9"/>
      <c r="AJ237" s="9"/>
      <c r="AK237" s="9"/>
      <c r="AL237" s="9"/>
      <c r="AM237" s="9"/>
      <c r="AN237" s="9"/>
      <c r="AO237" s="9"/>
      <c r="AP237" s="9"/>
      <c r="AQ237" s="9"/>
      <c r="AR237" s="9"/>
      <c r="AS237" s="9"/>
      <c r="AT237" s="9"/>
    </row>
    <row r="238">
      <c r="A238" s="492"/>
      <c r="B238" s="254"/>
      <c r="C238" s="492"/>
      <c r="D238" s="254"/>
      <c r="E238" s="492"/>
      <c r="F238" s="254"/>
      <c r="G238" s="492"/>
      <c r="H238" s="254"/>
      <c r="I238" s="500"/>
      <c r="J238" s="181"/>
      <c r="K238" s="500"/>
      <c r="L238" s="181"/>
      <c r="M238" s="492"/>
      <c r="N238" s="254"/>
      <c r="O238" s="492"/>
      <c r="P238" s="254"/>
      <c r="Q238" s="492"/>
      <c r="R238" s="254"/>
      <c r="S238" s="492"/>
      <c r="T238" s="254"/>
      <c r="U238" s="492"/>
      <c r="V238" s="254"/>
      <c r="W238" s="492"/>
      <c r="X238" s="254"/>
      <c r="Y238" s="9"/>
      <c r="Z238" s="9"/>
      <c r="AA238" s="9"/>
      <c r="AB238" s="9"/>
      <c r="AC238" s="9"/>
      <c r="AD238" s="9"/>
      <c r="AE238" s="9"/>
      <c r="AF238" s="9"/>
      <c r="AG238" s="9"/>
      <c r="AH238" s="9"/>
      <c r="AI238" s="9"/>
      <c r="AJ238" s="9"/>
      <c r="AK238" s="9"/>
      <c r="AL238" s="9"/>
      <c r="AM238" s="9"/>
      <c r="AN238" s="9"/>
      <c r="AO238" s="9"/>
      <c r="AP238" s="9"/>
      <c r="AQ238" s="9"/>
      <c r="AR238" s="9"/>
      <c r="AS238" s="9"/>
      <c r="AT238" s="9"/>
    </row>
    <row r="239">
      <c r="A239" s="492"/>
      <c r="B239" s="254"/>
      <c r="C239" s="492"/>
      <c r="D239" s="254"/>
      <c r="E239" s="492"/>
      <c r="F239" s="254"/>
      <c r="G239" s="492"/>
      <c r="H239" s="254"/>
      <c r="I239" s="500"/>
      <c r="J239" s="181"/>
      <c r="K239" s="500"/>
      <c r="L239" s="181"/>
      <c r="M239" s="492"/>
      <c r="N239" s="254"/>
      <c r="O239" s="492"/>
      <c r="P239" s="254"/>
      <c r="Q239" s="492"/>
      <c r="R239" s="254"/>
      <c r="S239" s="492"/>
      <c r="T239" s="254"/>
      <c r="U239" s="492"/>
      <c r="V239" s="254"/>
      <c r="W239" s="492"/>
      <c r="X239" s="254"/>
      <c r="Y239" s="9"/>
      <c r="Z239" s="9"/>
      <c r="AA239" s="9"/>
      <c r="AB239" s="9"/>
      <c r="AC239" s="9"/>
      <c r="AD239" s="9"/>
      <c r="AE239" s="9"/>
      <c r="AF239" s="9"/>
      <c r="AG239" s="9"/>
      <c r="AH239" s="9"/>
      <c r="AI239" s="9"/>
      <c r="AJ239" s="9"/>
      <c r="AK239" s="9"/>
      <c r="AL239" s="9"/>
      <c r="AM239" s="9"/>
      <c r="AN239" s="9"/>
      <c r="AO239" s="9"/>
      <c r="AP239" s="9"/>
      <c r="AQ239" s="9"/>
      <c r="AR239" s="9"/>
      <c r="AS239" s="9"/>
      <c r="AT239" s="9"/>
    </row>
    <row r="240">
      <c r="A240" s="492"/>
      <c r="B240" s="254"/>
      <c r="C240" s="492"/>
      <c r="D240" s="254"/>
      <c r="E240" s="492"/>
      <c r="F240" s="254"/>
      <c r="G240" s="492"/>
      <c r="H240" s="254"/>
      <c r="I240" s="500"/>
      <c r="J240" s="181"/>
      <c r="K240" s="500"/>
      <c r="L240" s="181"/>
      <c r="M240" s="492"/>
      <c r="N240" s="254"/>
      <c r="O240" s="492"/>
      <c r="P240" s="254"/>
      <c r="Q240" s="492"/>
      <c r="R240" s="254"/>
      <c r="S240" s="492"/>
      <c r="T240" s="254"/>
      <c r="U240" s="492"/>
      <c r="V240" s="254"/>
      <c r="W240" s="492"/>
      <c r="X240" s="254"/>
      <c r="Y240" s="9"/>
      <c r="Z240" s="9"/>
      <c r="AA240" s="9"/>
      <c r="AB240" s="9"/>
      <c r="AC240" s="9"/>
      <c r="AD240" s="9"/>
      <c r="AE240" s="9"/>
      <c r="AF240" s="9"/>
      <c r="AG240" s="9"/>
      <c r="AH240" s="9"/>
      <c r="AI240" s="9"/>
      <c r="AJ240" s="9"/>
      <c r="AK240" s="9"/>
      <c r="AL240" s="9"/>
      <c r="AM240" s="9"/>
      <c r="AN240" s="9"/>
      <c r="AO240" s="9"/>
      <c r="AP240" s="9"/>
      <c r="AQ240" s="9"/>
      <c r="AR240" s="9"/>
      <c r="AS240" s="9"/>
      <c r="AT240" s="9"/>
    </row>
    <row r="241">
      <c r="A241" s="492"/>
      <c r="B241" s="254"/>
      <c r="C241" s="492"/>
      <c r="D241" s="254"/>
      <c r="E241" s="492"/>
      <c r="F241" s="254"/>
      <c r="G241" s="492"/>
      <c r="H241" s="254"/>
      <c r="I241" s="500"/>
      <c r="J241" s="181"/>
      <c r="K241" s="500"/>
      <c r="L241" s="181"/>
      <c r="M241" s="492"/>
      <c r="N241" s="254"/>
      <c r="O241" s="492"/>
      <c r="P241" s="254"/>
      <c r="Q241" s="492"/>
      <c r="R241" s="254"/>
      <c r="S241" s="492"/>
      <c r="T241" s="254"/>
      <c r="U241" s="492"/>
      <c r="V241" s="254"/>
      <c r="W241" s="492"/>
      <c r="X241" s="254"/>
      <c r="Y241" s="9"/>
      <c r="Z241" s="9"/>
      <c r="AA241" s="9"/>
      <c r="AB241" s="9"/>
      <c r="AC241" s="9"/>
      <c r="AD241" s="9"/>
      <c r="AE241" s="9"/>
      <c r="AF241" s="9"/>
      <c r="AG241" s="9"/>
      <c r="AH241" s="9"/>
      <c r="AI241" s="9"/>
      <c r="AJ241" s="9"/>
      <c r="AK241" s="9"/>
      <c r="AL241" s="9"/>
      <c r="AM241" s="9"/>
      <c r="AN241" s="9"/>
      <c r="AO241" s="9"/>
      <c r="AP241" s="9"/>
      <c r="AQ241" s="9"/>
      <c r="AR241" s="9"/>
      <c r="AS241" s="9"/>
      <c r="AT241" s="9"/>
    </row>
    <row r="242">
      <c r="A242" s="492"/>
      <c r="B242" s="254"/>
      <c r="C242" s="492"/>
      <c r="D242" s="254"/>
      <c r="E242" s="492"/>
      <c r="F242" s="254"/>
      <c r="G242" s="492"/>
      <c r="H242" s="254"/>
      <c r="I242" s="500"/>
      <c r="J242" s="181"/>
      <c r="K242" s="500"/>
      <c r="L242" s="181"/>
      <c r="M242" s="492"/>
      <c r="N242" s="254"/>
      <c r="O242" s="492"/>
      <c r="P242" s="254"/>
      <c r="Q242" s="492"/>
      <c r="R242" s="254"/>
      <c r="S242" s="492"/>
      <c r="T242" s="254"/>
      <c r="U242" s="492"/>
      <c r="V242" s="254"/>
      <c r="W242" s="492"/>
      <c r="X242" s="254"/>
      <c r="Y242" s="9"/>
      <c r="Z242" s="9"/>
      <c r="AA242" s="9"/>
      <c r="AB242" s="9"/>
      <c r="AC242" s="9"/>
      <c r="AD242" s="9"/>
      <c r="AE242" s="9"/>
      <c r="AF242" s="9"/>
      <c r="AG242" s="9"/>
      <c r="AH242" s="9"/>
      <c r="AI242" s="9"/>
      <c r="AJ242" s="9"/>
      <c r="AK242" s="9"/>
      <c r="AL242" s="9"/>
      <c r="AM242" s="9"/>
      <c r="AN242" s="9"/>
      <c r="AO242" s="9"/>
      <c r="AP242" s="9"/>
      <c r="AQ242" s="9"/>
      <c r="AR242" s="9"/>
      <c r="AS242" s="9"/>
      <c r="AT242" s="9"/>
    </row>
    <row r="243">
      <c r="A243" s="492"/>
      <c r="B243" s="254"/>
      <c r="C243" s="492"/>
      <c r="D243" s="254"/>
      <c r="E243" s="492"/>
      <c r="F243" s="254"/>
      <c r="G243" s="492"/>
      <c r="H243" s="254"/>
      <c r="I243" s="500"/>
      <c r="J243" s="181"/>
      <c r="K243" s="500"/>
      <c r="L243" s="181"/>
      <c r="M243" s="492"/>
      <c r="N243" s="254"/>
      <c r="O243" s="492"/>
      <c r="P243" s="254"/>
      <c r="Q243" s="492"/>
      <c r="R243" s="254"/>
      <c r="S243" s="492"/>
      <c r="T243" s="254"/>
      <c r="U243" s="492"/>
      <c r="V243" s="254"/>
      <c r="W243" s="492"/>
      <c r="X243" s="254"/>
      <c r="Y243" s="9"/>
      <c r="Z243" s="9"/>
      <c r="AA243" s="9"/>
      <c r="AB243" s="9"/>
      <c r="AC243" s="9"/>
      <c r="AD243" s="9"/>
      <c r="AE243" s="9"/>
      <c r="AF243" s="9"/>
      <c r="AG243" s="9"/>
      <c r="AH243" s="9"/>
      <c r="AI243" s="9"/>
      <c r="AJ243" s="9"/>
      <c r="AK243" s="9"/>
      <c r="AL243" s="9"/>
      <c r="AM243" s="9"/>
      <c r="AN243" s="9"/>
      <c r="AO243" s="9"/>
      <c r="AP243" s="9"/>
      <c r="AQ243" s="9"/>
      <c r="AR243" s="9"/>
      <c r="AS243" s="9"/>
      <c r="AT243" s="9"/>
    </row>
    <row r="244">
      <c r="A244" s="492"/>
      <c r="B244" s="254"/>
      <c r="C244" s="492"/>
      <c r="D244" s="254"/>
      <c r="E244" s="492"/>
      <c r="F244" s="254"/>
      <c r="G244" s="492"/>
      <c r="H244" s="254"/>
      <c r="I244" s="500"/>
      <c r="J244" s="181"/>
      <c r="K244" s="500"/>
      <c r="L244" s="181"/>
      <c r="M244" s="492"/>
      <c r="N244" s="254"/>
      <c r="O244" s="492"/>
      <c r="P244" s="254"/>
      <c r="Q244" s="492"/>
      <c r="R244" s="254"/>
      <c r="S244" s="492"/>
      <c r="T244" s="254"/>
      <c r="U244" s="492"/>
      <c r="V244" s="254"/>
      <c r="W244" s="492"/>
      <c r="X244" s="254"/>
      <c r="Y244" s="9"/>
      <c r="Z244" s="9"/>
      <c r="AA244" s="9"/>
      <c r="AB244" s="9"/>
      <c r="AC244" s="9"/>
      <c r="AD244" s="9"/>
      <c r="AE244" s="9"/>
      <c r="AF244" s="9"/>
      <c r="AG244" s="9"/>
      <c r="AH244" s="9"/>
      <c r="AI244" s="9"/>
      <c r="AJ244" s="9"/>
      <c r="AK244" s="9"/>
      <c r="AL244" s="9"/>
      <c r="AM244" s="9"/>
      <c r="AN244" s="9"/>
      <c r="AO244" s="9"/>
      <c r="AP244" s="9"/>
      <c r="AQ244" s="9"/>
      <c r="AR244" s="9"/>
      <c r="AS244" s="9"/>
      <c r="AT244" s="9"/>
    </row>
    <row r="245">
      <c r="A245" s="492"/>
      <c r="B245" s="254"/>
      <c r="C245" s="492"/>
      <c r="D245" s="254"/>
      <c r="E245" s="492"/>
      <c r="F245" s="254"/>
      <c r="G245" s="492"/>
      <c r="H245" s="254"/>
      <c r="I245" s="500"/>
      <c r="J245" s="181"/>
      <c r="K245" s="500"/>
      <c r="L245" s="181"/>
      <c r="M245" s="492"/>
      <c r="N245" s="254"/>
      <c r="O245" s="492"/>
      <c r="P245" s="254"/>
      <c r="Q245" s="492"/>
      <c r="R245" s="254"/>
      <c r="S245" s="492"/>
      <c r="T245" s="254"/>
      <c r="U245" s="492"/>
      <c r="V245" s="254"/>
      <c r="W245" s="492"/>
      <c r="X245" s="254"/>
      <c r="Y245" s="9"/>
      <c r="Z245" s="9"/>
      <c r="AA245" s="9"/>
      <c r="AB245" s="9"/>
      <c r="AC245" s="9"/>
      <c r="AD245" s="9"/>
      <c r="AE245" s="9"/>
      <c r="AF245" s="9"/>
      <c r="AG245" s="9"/>
      <c r="AH245" s="9"/>
      <c r="AI245" s="9"/>
      <c r="AJ245" s="9"/>
      <c r="AK245" s="9"/>
      <c r="AL245" s="9"/>
      <c r="AM245" s="9"/>
      <c r="AN245" s="9"/>
      <c r="AO245" s="9"/>
      <c r="AP245" s="9"/>
      <c r="AQ245" s="9"/>
      <c r="AR245" s="9"/>
      <c r="AS245" s="9"/>
      <c r="AT245" s="9"/>
    </row>
    <row r="246">
      <c r="A246" s="492"/>
      <c r="B246" s="254"/>
      <c r="C246" s="492"/>
      <c r="D246" s="254"/>
      <c r="E246" s="492"/>
      <c r="F246" s="254"/>
      <c r="G246" s="492"/>
      <c r="H246" s="254"/>
      <c r="I246" s="500"/>
      <c r="J246" s="181"/>
      <c r="K246" s="500"/>
      <c r="L246" s="181"/>
      <c r="M246" s="492"/>
      <c r="N246" s="254"/>
      <c r="O246" s="492"/>
      <c r="P246" s="254"/>
      <c r="Q246" s="492"/>
      <c r="R246" s="254"/>
      <c r="S246" s="492"/>
      <c r="T246" s="254"/>
      <c r="U246" s="492"/>
      <c r="V246" s="254"/>
      <c r="W246" s="492"/>
      <c r="X246" s="254"/>
      <c r="Y246" s="9"/>
      <c r="Z246" s="9"/>
      <c r="AA246" s="9"/>
      <c r="AB246" s="9"/>
      <c r="AC246" s="9"/>
      <c r="AD246" s="9"/>
      <c r="AE246" s="9"/>
      <c r="AF246" s="9"/>
      <c r="AG246" s="9"/>
      <c r="AH246" s="9"/>
      <c r="AI246" s="9"/>
      <c r="AJ246" s="9"/>
      <c r="AK246" s="9"/>
      <c r="AL246" s="9"/>
      <c r="AM246" s="9"/>
      <c r="AN246" s="9"/>
      <c r="AO246" s="9"/>
      <c r="AP246" s="9"/>
      <c r="AQ246" s="9"/>
      <c r="AR246" s="9"/>
      <c r="AS246" s="9"/>
      <c r="AT246" s="9"/>
    </row>
    <row r="247">
      <c r="A247" s="492"/>
      <c r="B247" s="254"/>
      <c r="C247" s="492"/>
      <c r="D247" s="254"/>
      <c r="E247" s="492"/>
      <c r="F247" s="254"/>
      <c r="G247" s="492"/>
      <c r="H247" s="254"/>
      <c r="I247" s="500"/>
      <c r="J247" s="181"/>
      <c r="K247" s="500"/>
      <c r="L247" s="181"/>
      <c r="M247" s="492"/>
      <c r="N247" s="254"/>
      <c r="O247" s="492"/>
      <c r="P247" s="254"/>
      <c r="Q247" s="492"/>
      <c r="R247" s="254"/>
      <c r="S247" s="492"/>
      <c r="T247" s="254"/>
      <c r="U247" s="492"/>
      <c r="V247" s="254"/>
      <c r="W247" s="492"/>
      <c r="X247" s="254"/>
      <c r="Y247" s="9"/>
      <c r="Z247" s="9"/>
      <c r="AA247" s="9"/>
      <c r="AB247" s="9"/>
      <c r="AC247" s="9"/>
      <c r="AD247" s="9"/>
      <c r="AE247" s="9"/>
      <c r="AF247" s="9"/>
      <c r="AG247" s="9"/>
      <c r="AH247" s="9"/>
      <c r="AI247" s="9"/>
      <c r="AJ247" s="9"/>
      <c r="AK247" s="9"/>
      <c r="AL247" s="9"/>
      <c r="AM247" s="9"/>
      <c r="AN247" s="9"/>
      <c r="AO247" s="9"/>
      <c r="AP247" s="9"/>
      <c r="AQ247" s="9"/>
      <c r="AR247" s="9"/>
      <c r="AS247" s="9"/>
      <c r="AT247" s="9"/>
    </row>
    <row r="248">
      <c r="A248" s="492"/>
      <c r="B248" s="254"/>
      <c r="C248" s="492"/>
      <c r="D248" s="254"/>
      <c r="E248" s="492"/>
      <c r="F248" s="254"/>
      <c r="G248" s="492"/>
      <c r="H248" s="254"/>
      <c r="I248" s="500"/>
      <c r="J248" s="181"/>
      <c r="K248" s="500"/>
      <c r="L248" s="181"/>
      <c r="M248" s="492"/>
      <c r="N248" s="254"/>
      <c r="O248" s="492"/>
      <c r="P248" s="254"/>
      <c r="Q248" s="492"/>
      <c r="R248" s="254"/>
      <c r="S248" s="492"/>
      <c r="T248" s="254"/>
      <c r="U248" s="492"/>
      <c r="V248" s="254"/>
      <c r="W248" s="492"/>
      <c r="X248" s="254"/>
      <c r="Y248" s="9"/>
      <c r="Z248" s="9"/>
      <c r="AA248" s="9"/>
      <c r="AB248" s="9"/>
      <c r="AC248" s="9"/>
      <c r="AD248" s="9"/>
      <c r="AE248" s="9"/>
      <c r="AF248" s="9"/>
      <c r="AG248" s="9"/>
      <c r="AH248" s="9"/>
      <c r="AI248" s="9"/>
      <c r="AJ248" s="9"/>
      <c r="AK248" s="9"/>
      <c r="AL248" s="9"/>
      <c r="AM248" s="9"/>
      <c r="AN248" s="9"/>
      <c r="AO248" s="9"/>
      <c r="AP248" s="9"/>
      <c r="AQ248" s="9"/>
      <c r="AR248" s="9"/>
      <c r="AS248" s="9"/>
      <c r="AT248" s="9"/>
    </row>
    <row r="249">
      <c r="A249" s="492"/>
      <c r="B249" s="254"/>
      <c r="C249" s="492"/>
      <c r="D249" s="254"/>
      <c r="E249" s="492"/>
      <c r="F249" s="254"/>
      <c r="G249" s="492"/>
      <c r="H249" s="254"/>
      <c r="I249" s="500"/>
      <c r="J249" s="181"/>
      <c r="K249" s="500"/>
      <c r="L249" s="181"/>
      <c r="M249" s="492"/>
      <c r="N249" s="254"/>
      <c r="O249" s="492"/>
      <c r="P249" s="254"/>
      <c r="Q249" s="492"/>
      <c r="R249" s="254"/>
      <c r="S249" s="492"/>
      <c r="T249" s="254"/>
      <c r="U249" s="492"/>
      <c r="V249" s="254"/>
      <c r="W249" s="492"/>
      <c r="X249" s="254"/>
      <c r="Y249" s="9"/>
      <c r="Z249" s="9"/>
      <c r="AA249" s="9"/>
      <c r="AB249" s="9"/>
      <c r="AC249" s="9"/>
      <c r="AD249" s="9"/>
      <c r="AE249" s="9"/>
      <c r="AF249" s="9"/>
      <c r="AG249" s="9"/>
      <c r="AH249" s="9"/>
      <c r="AI249" s="9"/>
      <c r="AJ249" s="9"/>
      <c r="AK249" s="9"/>
      <c r="AL249" s="9"/>
      <c r="AM249" s="9"/>
      <c r="AN249" s="9"/>
      <c r="AO249" s="9"/>
      <c r="AP249" s="9"/>
      <c r="AQ249" s="9"/>
      <c r="AR249" s="9"/>
      <c r="AS249" s="9"/>
      <c r="AT249" s="9"/>
    </row>
    <row r="250">
      <c r="A250" s="492"/>
      <c r="B250" s="254"/>
      <c r="C250" s="492"/>
      <c r="D250" s="254"/>
      <c r="E250" s="492"/>
      <c r="F250" s="254"/>
      <c r="G250" s="492"/>
      <c r="H250" s="254"/>
      <c r="I250" s="500"/>
      <c r="J250" s="181"/>
      <c r="K250" s="500"/>
      <c r="L250" s="181"/>
      <c r="M250" s="492"/>
      <c r="N250" s="254"/>
      <c r="O250" s="492"/>
      <c r="P250" s="254"/>
      <c r="Q250" s="492"/>
      <c r="R250" s="254"/>
      <c r="S250" s="492"/>
      <c r="T250" s="254"/>
      <c r="U250" s="492"/>
      <c r="V250" s="254"/>
      <c r="W250" s="492"/>
      <c r="X250" s="254"/>
      <c r="Y250" s="9"/>
      <c r="Z250" s="9"/>
      <c r="AA250" s="9"/>
      <c r="AB250" s="9"/>
      <c r="AC250" s="9"/>
      <c r="AD250" s="9"/>
      <c r="AE250" s="9"/>
      <c r="AF250" s="9"/>
      <c r="AG250" s="9"/>
      <c r="AH250" s="9"/>
      <c r="AI250" s="9"/>
      <c r="AJ250" s="9"/>
      <c r="AK250" s="9"/>
      <c r="AL250" s="9"/>
      <c r="AM250" s="9"/>
      <c r="AN250" s="9"/>
      <c r="AO250" s="9"/>
      <c r="AP250" s="9"/>
      <c r="AQ250" s="9"/>
      <c r="AR250" s="9"/>
      <c r="AS250" s="9"/>
      <c r="AT250" s="9"/>
    </row>
    <row r="251">
      <c r="A251" s="492"/>
      <c r="B251" s="254"/>
      <c r="C251" s="492"/>
      <c r="D251" s="254"/>
      <c r="E251" s="492"/>
      <c r="F251" s="254"/>
      <c r="G251" s="492"/>
      <c r="H251" s="254"/>
      <c r="I251" s="500"/>
      <c r="J251" s="181"/>
      <c r="K251" s="500"/>
      <c r="L251" s="181"/>
      <c r="M251" s="492"/>
      <c r="N251" s="254"/>
      <c r="O251" s="492"/>
      <c r="P251" s="254"/>
      <c r="Q251" s="492"/>
      <c r="R251" s="254"/>
      <c r="S251" s="492"/>
      <c r="T251" s="254"/>
      <c r="U251" s="492"/>
      <c r="V251" s="254"/>
      <c r="W251" s="492"/>
      <c r="X251" s="254"/>
      <c r="Y251" s="9"/>
      <c r="Z251" s="9"/>
      <c r="AA251" s="9"/>
      <c r="AB251" s="9"/>
      <c r="AC251" s="9"/>
      <c r="AD251" s="9"/>
      <c r="AE251" s="9"/>
      <c r="AF251" s="9"/>
      <c r="AG251" s="9"/>
      <c r="AH251" s="9"/>
      <c r="AI251" s="9"/>
      <c r="AJ251" s="9"/>
      <c r="AK251" s="9"/>
      <c r="AL251" s="9"/>
      <c r="AM251" s="9"/>
      <c r="AN251" s="9"/>
      <c r="AO251" s="9"/>
      <c r="AP251" s="9"/>
      <c r="AQ251" s="9"/>
      <c r="AR251" s="9"/>
      <c r="AS251" s="9"/>
      <c r="AT251" s="9"/>
    </row>
    <row r="252">
      <c r="A252" s="492"/>
      <c r="B252" s="254"/>
      <c r="C252" s="492"/>
      <c r="D252" s="254"/>
      <c r="E252" s="492"/>
      <c r="F252" s="254"/>
      <c r="G252" s="492"/>
      <c r="H252" s="254"/>
      <c r="I252" s="500"/>
      <c r="J252" s="181"/>
      <c r="K252" s="500"/>
      <c r="L252" s="181"/>
      <c r="M252" s="492"/>
      <c r="N252" s="254"/>
      <c r="O252" s="492"/>
      <c r="P252" s="254"/>
      <c r="Q252" s="492"/>
      <c r="R252" s="254"/>
      <c r="S252" s="492"/>
      <c r="T252" s="254"/>
      <c r="U252" s="492"/>
      <c r="V252" s="254"/>
      <c r="W252" s="492"/>
      <c r="X252" s="254"/>
      <c r="Y252" s="9"/>
      <c r="Z252" s="9"/>
      <c r="AA252" s="9"/>
      <c r="AB252" s="9"/>
      <c r="AC252" s="9"/>
      <c r="AD252" s="9"/>
      <c r="AE252" s="9"/>
      <c r="AF252" s="9"/>
      <c r="AG252" s="9"/>
      <c r="AH252" s="9"/>
      <c r="AI252" s="9"/>
      <c r="AJ252" s="9"/>
      <c r="AK252" s="9"/>
      <c r="AL252" s="9"/>
      <c r="AM252" s="9"/>
      <c r="AN252" s="9"/>
      <c r="AO252" s="9"/>
      <c r="AP252" s="9"/>
      <c r="AQ252" s="9"/>
      <c r="AR252" s="9"/>
      <c r="AS252" s="9"/>
      <c r="AT252" s="9"/>
    </row>
    <row r="253">
      <c r="A253" s="492"/>
      <c r="B253" s="254"/>
      <c r="C253" s="492"/>
      <c r="D253" s="254"/>
      <c r="E253" s="492"/>
      <c r="F253" s="254"/>
      <c r="G253" s="492"/>
      <c r="H253" s="254"/>
      <c r="I253" s="500"/>
      <c r="J253" s="181"/>
      <c r="K253" s="500"/>
      <c r="L253" s="181"/>
      <c r="M253" s="492"/>
      <c r="N253" s="254"/>
      <c r="O253" s="492"/>
      <c r="P253" s="254"/>
      <c r="Q253" s="492"/>
      <c r="R253" s="254"/>
      <c r="S253" s="492"/>
      <c r="T253" s="254"/>
      <c r="U253" s="492"/>
      <c r="V253" s="254"/>
      <c r="W253" s="492"/>
      <c r="X253" s="254"/>
      <c r="Y253" s="9"/>
      <c r="Z253" s="9"/>
      <c r="AA253" s="9"/>
      <c r="AB253" s="9"/>
      <c r="AC253" s="9"/>
      <c r="AD253" s="9"/>
      <c r="AE253" s="9"/>
      <c r="AF253" s="9"/>
      <c r="AG253" s="9"/>
      <c r="AH253" s="9"/>
      <c r="AI253" s="9"/>
      <c r="AJ253" s="9"/>
      <c r="AK253" s="9"/>
      <c r="AL253" s="9"/>
      <c r="AM253" s="9"/>
      <c r="AN253" s="9"/>
      <c r="AO253" s="9"/>
      <c r="AP253" s="9"/>
      <c r="AQ253" s="9"/>
      <c r="AR253" s="9"/>
      <c r="AS253" s="9"/>
      <c r="AT253" s="9"/>
    </row>
    <row r="254">
      <c r="A254" s="492"/>
      <c r="B254" s="254"/>
      <c r="C254" s="492"/>
      <c r="D254" s="254"/>
      <c r="E254" s="492"/>
      <c r="F254" s="254"/>
      <c r="G254" s="492"/>
      <c r="H254" s="254"/>
      <c r="I254" s="500"/>
      <c r="J254" s="181"/>
      <c r="K254" s="500"/>
      <c r="L254" s="181"/>
      <c r="M254" s="492"/>
      <c r="N254" s="254"/>
      <c r="O254" s="492"/>
      <c r="P254" s="254"/>
      <c r="Q254" s="492"/>
      <c r="R254" s="254"/>
      <c r="S254" s="492"/>
      <c r="T254" s="254"/>
      <c r="U254" s="492"/>
      <c r="V254" s="254"/>
      <c r="W254" s="492"/>
      <c r="X254" s="254"/>
      <c r="Y254" s="9"/>
      <c r="Z254" s="9"/>
      <c r="AA254" s="9"/>
      <c r="AB254" s="9"/>
      <c r="AC254" s="9"/>
      <c r="AD254" s="9"/>
      <c r="AE254" s="9"/>
      <c r="AF254" s="9"/>
      <c r="AG254" s="9"/>
      <c r="AH254" s="9"/>
      <c r="AI254" s="9"/>
      <c r="AJ254" s="9"/>
      <c r="AK254" s="9"/>
      <c r="AL254" s="9"/>
      <c r="AM254" s="9"/>
      <c r="AN254" s="9"/>
      <c r="AO254" s="9"/>
      <c r="AP254" s="9"/>
      <c r="AQ254" s="9"/>
      <c r="AR254" s="9"/>
      <c r="AS254" s="9"/>
      <c r="AT254" s="9"/>
    </row>
    <row r="255">
      <c r="A255" s="492"/>
      <c r="B255" s="254"/>
      <c r="C255" s="492"/>
      <c r="D255" s="254"/>
      <c r="E255" s="492"/>
      <c r="F255" s="254"/>
      <c r="G255" s="492"/>
      <c r="H255" s="254"/>
      <c r="I255" s="500"/>
      <c r="J255" s="181"/>
      <c r="K255" s="500"/>
      <c r="L255" s="181"/>
      <c r="M255" s="492"/>
      <c r="N255" s="254"/>
      <c r="O255" s="492"/>
      <c r="P255" s="254"/>
      <c r="Q255" s="492"/>
      <c r="R255" s="254"/>
      <c r="S255" s="492"/>
      <c r="T255" s="254"/>
      <c r="U255" s="492"/>
      <c r="V255" s="254"/>
      <c r="W255" s="492"/>
      <c r="X255" s="254"/>
      <c r="Y255" s="9"/>
      <c r="Z255" s="9"/>
      <c r="AA255" s="9"/>
      <c r="AB255" s="9"/>
      <c r="AC255" s="9"/>
      <c r="AD255" s="9"/>
      <c r="AE255" s="9"/>
      <c r="AF255" s="9"/>
      <c r="AG255" s="9"/>
      <c r="AH255" s="9"/>
      <c r="AI255" s="9"/>
      <c r="AJ255" s="9"/>
      <c r="AK255" s="9"/>
      <c r="AL255" s="9"/>
      <c r="AM255" s="9"/>
      <c r="AN255" s="9"/>
      <c r="AO255" s="9"/>
      <c r="AP255" s="9"/>
      <c r="AQ255" s="9"/>
      <c r="AR255" s="9"/>
      <c r="AS255" s="9"/>
      <c r="AT255" s="9"/>
    </row>
    <row r="256">
      <c r="A256" s="492"/>
      <c r="B256" s="254"/>
      <c r="C256" s="492"/>
      <c r="D256" s="254"/>
      <c r="E256" s="492"/>
      <c r="F256" s="254"/>
      <c r="G256" s="492"/>
      <c r="H256" s="254"/>
      <c r="I256" s="500"/>
      <c r="J256" s="181"/>
      <c r="K256" s="500"/>
      <c r="L256" s="181"/>
      <c r="M256" s="492"/>
      <c r="N256" s="254"/>
      <c r="O256" s="492"/>
      <c r="P256" s="254"/>
      <c r="Q256" s="492"/>
      <c r="R256" s="254"/>
      <c r="S256" s="492"/>
      <c r="T256" s="254"/>
      <c r="U256" s="492"/>
      <c r="V256" s="254"/>
      <c r="W256" s="492"/>
      <c r="X256" s="254"/>
      <c r="Y256" s="9"/>
      <c r="Z256" s="9"/>
      <c r="AA256" s="9"/>
      <c r="AB256" s="9"/>
      <c r="AC256" s="9"/>
      <c r="AD256" s="9"/>
      <c r="AE256" s="9"/>
      <c r="AF256" s="9"/>
      <c r="AG256" s="9"/>
      <c r="AH256" s="9"/>
      <c r="AI256" s="9"/>
      <c r="AJ256" s="9"/>
      <c r="AK256" s="9"/>
      <c r="AL256" s="9"/>
      <c r="AM256" s="9"/>
      <c r="AN256" s="9"/>
      <c r="AO256" s="9"/>
      <c r="AP256" s="9"/>
      <c r="AQ256" s="9"/>
      <c r="AR256" s="9"/>
      <c r="AS256" s="9"/>
      <c r="AT256" s="9"/>
    </row>
    <row r="257">
      <c r="A257" s="492"/>
      <c r="B257" s="254"/>
      <c r="C257" s="492"/>
      <c r="D257" s="254"/>
      <c r="E257" s="492"/>
      <c r="F257" s="254"/>
      <c r="G257" s="492"/>
      <c r="H257" s="254"/>
      <c r="I257" s="500"/>
      <c r="J257" s="181"/>
      <c r="K257" s="500"/>
      <c r="L257" s="181"/>
      <c r="M257" s="492"/>
      <c r="N257" s="254"/>
      <c r="O257" s="492"/>
      <c r="P257" s="254"/>
      <c r="Q257" s="492"/>
      <c r="R257" s="254"/>
      <c r="S257" s="492"/>
      <c r="T257" s="254"/>
      <c r="U257" s="492"/>
      <c r="V257" s="254"/>
      <c r="W257" s="492"/>
      <c r="X257" s="254"/>
      <c r="Y257" s="9"/>
      <c r="Z257" s="9"/>
      <c r="AA257" s="9"/>
      <c r="AB257" s="9"/>
      <c r="AC257" s="9"/>
      <c r="AD257" s="9"/>
      <c r="AE257" s="9"/>
      <c r="AF257" s="9"/>
      <c r="AG257" s="9"/>
      <c r="AH257" s="9"/>
      <c r="AI257" s="9"/>
      <c r="AJ257" s="9"/>
      <c r="AK257" s="9"/>
      <c r="AL257" s="9"/>
      <c r="AM257" s="9"/>
      <c r="AN257" s="9"/>
      <c r="AO257" s="9"/>
      <c r="AP257" s="9"/>
      <c r="AQ257" s="9"/>
      <c r="AR257" s="9"/>
      <c r="AS257" s="9"/>
      <c r="AT257" s="9"/>
    </row>
    <row r="258">
      <c r="A258" s="492"/>
      <c r="B258" s="254"/>
      <c r="C258" s="492"/>
      <c r="D258" s="254"/>
      <c r="E258" s="492"/>
      <c r="F258" s="254"/>
      <c r="G258" s="492"/>
      <c r="H258" s="254"/>
      <c r="I258" s="500"/>
      <c r="J258" s="181"/>
      <c r="K258" s="500"/>
      <c r="L258" s="181"/>
      <c r="M258" s="492"/>
      <c r="N258" s="254"/>
      <c r="O258" s="492"/>
      <c r="P258" s="254"/>
      <c r="Q258" s="492"/>
      <c r="R258" s="254"/>
      <c r="S258" s="492"/>
      <c r="T258" s="254"/>
      <c r="U258" s="492"/>
      <c r="V258" s="254"/>
      <c r="W258" s="492"/>
      <c r="X258" s="254"/>
      <c r="Y258" s="9"/>
      <c r="Z258" s="9"/>
      <c r="AA258" s="9"/>
      <c r="AB258" s="9"/>
      <c r="AC258" s="9"/>
      <c r="AD258" s="9"/>
      <c r="AE258" s="9"/>
      <c r="AF258" s="9"/>
      <c r="AG258" s="9"/>
      <c r="AH258" s="9"/>
      <c r="AI258" s="9"/>
      <c r="AJ258" s="9"/>
      <c r="AK258" s="9"/>
      <c r="AL258" s="9"/>
      <c r="AM258" s="9"/>
      <c r="AN258" s="9"/>
      <c r="AO258" s="9"/>
      <c r="AP258" s="9"/>
      <c r="AQ258" s="9"/>
      <c r="AR258" s="9"/>
      <c r="AS258" s="9"/>
      <c r="AT258" s="9"/>
    </row>
    <row r="259">
      <c r="A259" s="492"/>
      <c r="B259" s="254"/>
      <c r="C259" s="492"/>
      <c r="D259" s="254"/>
      <c r="E259" s="492"/>
      <c r="F259" s="254"/>
      <c r="G259" s="492"/>
      <c r="H259" s="254"/>
      <c r="I259" s="500"/>
      <c r="J259" s="181"/>
      <c r="K259" s="500"/>
      <c r="L259" s="181"/>
      <c r="M259" s="492"/>
      <c r="N259" s="254"/>
      <c r="O259" s="492"/>
      <c r="P259" s="254"/>
      <c r="Q259" s="492"/>
      <c r="R259" s="254"/>
      <c r="S259" s="492"/>
      <c r="T259" s="254"/>
      <c r="U259" s="492"/>
      <c r="V259" s="254"/>
      <c r="W259" s="492"/>
      <c r="X259" s="254"/>
      <c r="Y259" s="9"/>
      <c r="Z259" s="9"/>
      <c r="AA259" s="9"/>
      <c r="AB259" s="9"/>
      <c r="AC259" s="9"/>
      <c r="AD259" s="9"/>
      <c r="AE259" s="9"/>
      <c r="AF259" s="9"/>
      <c r="AG259" s="9"/>
      <c r="AH259" s="9"/>
      <c r="AI259" s="9"/>
      <c r="AJ259" s="9"/>
      <c r="AK259" s="9"/>
      <c r="AL259" s="9"/>
      <c r="AM259" s="9"/>
      <c r="AN259" s="9"/>
      <c r="AO259" s="9"/>
      <c r="AP259" s="9"/>
      <c r="AQ259" s="9"/>
      <c r="AR259" s="9"/>
      <c r="AS259" s="9"/>
      <c r="AT259" s="9"/>
    </row>
    <row r="260">
      <c r="A260" s="492"/>
      <c r="B260" s="254"/>
      <c r="C260" s="492"/>
      <c r="D260" s="254"/>
      <c r="E260" s="492"/>
      <c r="F260" s="254"/>
      <c r="G260" s="492"/>
      <c r="H260" s="254"/>
      <c r="I260" s="500"/>
      <c r="J260" s="181"/>
      <c r="K260" s="500"/>
      <c r="L260" s="181"/>
      <c r="M260" s="492"/>
      <c r="N260" s="254"/>
      <c r="O260" s="492"/>
      <c r="P260" s="254"/>
      <c r="Q260" s="492"/>
      <c r="R260" s="254"/>
      <c r="S260" s="492"/>
      <c r="T260" s="254"/>
      <c r="U260" s="492"/>
      <c r="V260" s="254"/>
      <c r="W260" s="492"/>
      <c r="X260" s="254"/>
      <c r="Y260" s="9"/>
      <c r="Z260" s="9"/>
      <c r="AA260" s="9"/>
      <c r="AB260" s="9"/>
      <c r="AC260" s="9"/>
      <c r="AD260" s="9"/>
      <c r="AE260" s="9"/>
      <c r="AF260" s="9"/>
      <c r="AG260" s="9"/>
      <c r="AH260" s="9"/>
      <c r="AI260" s="9"/>
      <c r="AJ260" s="9"/>
      <c r="AK260" s="9"/>
      <c r="AL260" s="9"/>
      <c r="AM260" s="9"/>
      <c r="AN260" s="9"/>
      <c r="AO260" s="9"/>
      <c r="AP260" s="9"/>
      <c r="AQ260" s="9"/>
      <c r="AR260" s="9"/>
      <c r="AS260" s="9"/>
      <c r="AT260" s="9"/>
    </row>
    <row r="261">
      <c r="A261" s="492"/>
      <c r="B261" s="254"/>
      <c r="C261" s="492"/>
      <c r="D261" s="254"/>
      <c r="E261" s="492"/>
      <c r="F261" s="254"/>
      <c r="G261" s="492"/>
      <c r="H261" s="254"/>
      <c r="I261" s="500"/>
      <c r="J261" s="181"/>
      <c r="K261" s="500"/>
      <c r="L261" s="181"/>
      <c r="M261" s="492"/>
      <c r="N261" s="254"/>
      <c r="O261" s="492"/>
      <c r="P261" s="254"/>
      <c r="Q261" s="492"/>
      <c r="R261" s="254"/>
      <c r="S261" s="492"/>
      <c r="T261" s="254"/>
      <c r="U261" s="492"/>
      <c r="V261" s="254"/>
      <c r="W261" s="492"/>
      <c r="X261" s="254"/>
      <c r="Y261" s="9"/>
      <c r="Z261" s="9"/>
      <c r="AA261" s="9"/>
      <c r="AB261" s="9"/>
      <c r="AC261" s="9"/>
      <c r="AD261" s="9"/>
      <c r="AE261" s="9"/>
      <c r="AF261" s="9"/>
      <c r="AG261" s="9"/>
      <c r="AH261" s="9"/>
      <c r="AI261" s="9"/>
      <c r="AJ261" s="9"/>
      <c r="AK261" s="9"/>
      <c r="AL261" s="9"/>
      <c r="AM261" s="9"/>
      <c r="AN261" s="9"/>
      <c r="AO261" s="9"/>
      <c r="AP261" s="9"/>
      <c r="AQ261" s="9"/>
      <c r="AR261" s="9"/>
      <c r="AS261" s="9"/>
      <c r="AT261" s="9"/>
    </row>
    <row r="262">
      <c r="A262" s="492"/>
      <c r="B262" s="254"/>
      <c r="C262" s="492"/>
      <c r="D262" s="254"/>
      <c r="E262" s="492"/>
      <c r="F262" s="254"/>
      <c r="G262" s="492"/>
      <c r="H262" s="254"/>
      <c r="I262" s="500"/>
      <c r="J262" s="181"/>
      <c r="K262" s="500"/>
      <c r="L262" s="181"/>
      <c r="M262" s="492"/>
      <c r="N262" s="254"/>
      <c r="O262" s="492"/>
      <c r="P262" s="254"/>
      <c r="Q262" s="492"/>
      <c r="R262" s="254"/>
      <c r="S262" s="492"/>
      <c r="T262" s="254"/>
      <c r="U262" s="492"/>
      <c r="V262" s="254"/>
      <c r="W262" s="492"/>
      <c r="X262" s="254"/>
      <c r="Y262" s="9"/>
      <c r="Z262" s="9"/>
      <c r="AA262" s="9"/>
      <c r="AB262" s="9"/>
      <c r="AC262" s="9"/>
      <c r="AD262" s="9"/>
      <c r="AE262" s="9"/>
      <c r="AF262" s="9"/>
      <c r="AG262" s="9"/>
      <c r="AH262" s="9"/>
      <c r="AI262" s="9"/>
      <c r="AJ262" s="9"/>
      <c r="AK262" s="9"/>
      <c r="AL262" s="9"/>
      <c r="AM262" s="9"/>
      <c r="AN262" s="9"/>
      <c r="AO262" s="9"/>
      <c r="AP262" s="9"/>
      <c r="AQ262" s="9"/>
      <c r="AR262" s="9"/>
      <c r="AS262" s="9"/>
      <c r="AT262" s="9"/>
    </row>
    <row r="263">
      <c r="A263" s="492"/>
      <c r="B263" s="254"/>
      <c r="C263" s="492"/>
      <c r="D263" s="254"/>
      <c r="E263" s="492"/>
      <c r="F263" s="254"/>
      <c r="G263" s="492"/>
      <c r="H263" s="254"/>
      <c r="I263" s="500"/>
      <c r="J263" s="181"/>
      <c r="K263" s="500"/>
      <c r="L263" s="181"/>
      <c r="M263" s="492"/>
      <c r="N263" s="254"/>
      <c r="O263" s="492"/>
      <c r="P263" s="254"/>
      <c r="Q263" s="492"/>
      <c r="R263" s="254"/>
      <c r="S263" s="492"/>
      <c r="T263" s="254"/>
      <c r="U263" s="492"/>
      <c r="V263" s="254"/>
      <c r="W263" s="492"/>
      <c r="X263" s="254"/>
      <c r="Y263" s="9"/>
      <c r="Z263" s="9"/>
      <c r="AA263" s="9"/>
      <c r="AB263" s="9"/>
      <c r="AC263" s="9"/>
      <c r="AD263" s="9"/>
      <c r="AE263" s="9"/>
      <c r="AF263" s="9"/>
      <c r="AG263" s="9"/>
      <c r="AH263" s="9"/>
      <c r="AI263" s="9"/>
      <c r="AJ263" s="9"/>
      <c r="AK263" s="9"/>
      <c r="AL263" s="9"/>
      <c r="AM263" s="9"/>
      <c r="AN263" s="9"/>
      <c r="AO263" s="9"/>
      <c r="AP263" s="9"/>
      <c r="AQ263" s="9"/>
      <c r="AR263" s="9"/>
      <c r="AS263" s="9"/>
      <c r="AT263" s="9"/>
    </row>
    <row r="264">
      <c r="A264" s="492"/>
      <c r="B264" s="254"/>
      <c r="C264" s="492"/>
      <c r="D264" s="254"/>
      <c r="E264" s="492"/>
      <c r="F264" s="254"/>
      <c r="G264" s="492"/>
      <c r="H264" s="254"/>
      <c r="I264" s="500"/>
      <c r="J264" s="181"/>
      <c r="K264" s="500"/>
      <c r="L264" s="181"/>
      <c r="M264" s="492"/>
      <c r="N264" s="254"/>
      <c r="O264" s="492"/>
      <c r="P264" s="254"/>
      <c r="Q264" s="492"/>
      <c r="R264" s="254"/>
      <c r="S264" s="492"/>
      <c r="T264" s="254"/>
      <c r="U264" s="492"/>
      <c r="V264" s="254"/>
      <c r="W264" s="492"/>
      <c r="X264" s="254"/>
      <c r="Y264" s="9"/>
      <c r="Z264" s="9"/>
      <c r="AA264" s="9"/>
      <c r="AB264" s="9"/>
      <c r="AC264" s="9"/>
      <c r="AD264" s="9"/>
      <c r="AE264" s="9"/>
      <c r="AF264" s="9"/>
      <c r="AG264" s="9"/>
      <c r="AH264" s="9"/>
      <c r="AI264" s="9"/>
      <c r="AJ264" s="9"/>
      <c r="AK264" s="9"/>
      <c r="AL264" s="9"/>
      <c r="AM264" s="9"/>
      <c r="AN264" s="9"/>
      <c r="AO264" s="9"/>
      <c r="AP264" s="9"/>
      <c r="AQ264" s="9"/>
      <c r="AR264" s="9"/>
      <c r="AS264" s="9"/>
      <c r="AT264" s="9"/>
    </row>
    <row r="265">
      <c r="A265" s="492"/>
      <c r="B265" s="254"/>
      <c r="C265" s="492"/>
      <c r="D265" s="254"/>
      <c r="E265" s="492"/>
      <c r="F265" s="254"/>
      <c r="G265" s="492"/>
      <c r="H265" s="254"/>
      <c r="I265" s="500"/>
      <c r="J265" s="181"/>
      <c r="K265" s="500"/>
      <c r="L265" s="181"/>
      <c r="M265" s="492"/>
      <c r="N265" s="254"/>
      <c r="O265" s="492"/>
      <c r="P265" s="254"/>
      <c r="Q265" s="492"/>
      <c r="R265" s="254"/>
      <c r="S265" s="492"/>
      <c r="T265" s="254"/>
      <c r="U265" s="492"/>
      <c r="V265" s="254"/>
      <c r="W265" s="492"/>
      <c r="X265" s="254"/>
      <c r="Y265" s="9"/>
      <c r="Z265" s="9"/>
      <c r="AA265" s="9"/>
      <c r="AB265" s="9"/>
      <c r="AC265" s="9"/>
      <c r="AD265" s="9"/>
      <c r="AE265" s="9"/>
      <c r="AF265" s="9"/>
      <c r="AG265" s="9"/>
      <c r="AH265" s="9"/>
      <c r="AI265" s="9"/>
      <c r="AJ265" s="9"/>
      <c r="AK265" s="9"/>
      <c r="AL265" s="9"/>
      <c r="AM265" s="9"/>
      <c r="AN265" s="9"/>
      <c r="AO265" s="9"/>
      <c r="AP265" s="9"/>
      <c r="AQ265" s="9"/>
      <c r="AR265" s="9"/>
      <c r="AS265" s="9"/>
      <c r="AT265" s="9"/>
    </row>
    <row r="266">
      <c r="A266" s="492"/>
      <c r="B266" s="254"/>
      <c r="C266" s="492"/>
      <c r="D266" s="254"/>
      <c r="E266" s="492"/>
      <c r="F266" s="254"/>
      <c r="G266" s="492"/>
      <c r="H266" s="254"/>
      <c r="I266" s="500"/>
      <c r="J266" s="181"/>
      <c r="K266" s="500"/>
      <c r="L266" s="181"/>
      <c r="M266" s="492"/>
      <c r="N266" s="254"/>
      <c r="O266" s="492"/>
      <c r="P266" s="254"/>
      <c r="Q266" s="492"/>
      <c r="R266" s="254"/>
      <c r="S266" s="492"/>
      <c r="T266" s="254"/>
      <c r="U266" s="492"/>
      <c r="V266" s="254"/>
      <c r="W266" s="492"/>
      <c r="X266" s="254"/>
      <c r="Y266" s="9"/>
      <c r="Z266" s="9"/>
      <c r="AA266" s="9"/>
      <c r="AB266" s="9"/>
      <c r="AC266" s="9"/>
      <c r="AD266" s="9"/>
      <c r="AE266" s="9"/>
      <c r="AF266" s="9"/>
      <c r="AG266" s="9"/>
      <c r="AH266" s="9"/>
      <c r="AI266" s="9"/>
      <c r="AJ266" s="9"/>
      <c r="AK266" s="9"/>
      <c r="AL266" s="9"/>
      <c r="AM266" s="9"/>
      <c r="AN266" s="9"/>
      <c r="AO266" s="9"/>
      <c r="AP266" s="9"/>
      <c r="AQ266" s="9"/>
      <c r="AR266" s="9"/>
      <c r="AS266" s="9"/>
      <c r="AT266" s="9"/>
    </row>
    <row r="267">
      <c r="A267" s="492"/>
      <c r="B267" s="254"/>
      <c r="C267" s="492"/>
      <c r="D267" s="254"/>
      <c r="E267" s="492"/>
      <c r="F267" s="254"/>
      <c r="G267" s="492"/>
      <c r="H267" s="254"/>
      <c r="I267" s="500"/>
      <c r="J267" s="181"/>
      <c r="K267" s="500"/>
      <c r="L267" s="181"/>
      <c r="M267" s="492"/>
      <c r="N267" s="254"/>
      <c r="O267" s="492"/>
      <c r="P267" s="254"/>
      <c r="Q267" s="492"/>
      <c r="R267" s="254"/>
      <c r="S267" s="492"/>
      <c r="T267" s="254"/>
      <c r="U267" s="492"/>
      <c r="V267" s="254"/>
      <c r="W267" s="492"/>
      <c r="X267" s="254"/>
      <c r="Y267" s="9"/>
      <c r="Z267" s="9"/>
      <c r="AA267" s="9"/>
      <c r="AB267" s="9"/>
      <c r="AC267" s="9"/>
      <c r="AD267" s="9"/>
      <c r="AE267" s="9"/>
      <c r="AF267" s="9"/>
      <c r="AG267" s="9"/>
      <c r="AH267" s="9"/>
      <c r="AI267" s="9"/>
      <c r="AJ267" s="9"/>
      <c r="AK267" s="9"/>
      <c r="AL267" s="9"/>
      <c r="AM267" s="9"/>
      <c r="AN267" s="9"/>
      <c r="AO267" s="9"/>
      <c r="AP267" s="9"/>
      <c r="AQ267" s="9"/>
      <c r="AR267" s="9"/>
      <c r="AS267" s="9"/>
      <c r="AT267" s="9"/>
    </row>
    <row r="268">
      <c r="A268" s="492"/>
      <c r="B268" s="254"/>
      <c r="C268" s="492"/>
      <c r="D268" s="254"/>
      <c r="E268" s="492"/>
      <c r="F268" s="254"/>
      <c r="G268" s="492"/>
      <c r="H268" s="254"/>
      <c r="I268" s="500"/>
      <c r="J268" s="181"/>
      <c r="K268" s="500"/>
      <c r="L268" s="181"/>
      <c r="M268" s="492"/>
      <c r="N268" s="254"/>
      <c r="O268" s="492"/>
      <c r="P268" s="254"/>
      <c r="Q268" s="492"/>
      <c r="R268" s="254"/>
      <c r="S268" s="492"/>
      <c r="T268" s="254"/>
      <c r="U268" s="492"/>
      <c r="V268" s="254"/>
      <c r="W268" s="492"/>
      <c r="X268" s="254"/>
      <c r="Y268" s="9"/>
      <c r="Z268" s="9"/>
      <c r="AA268" s="9"/>
      <c r="AB268" s="9"/>
      <c r="AC268" s="9"/>
      <c r="AD268" s="9"/>
      <c r="AE268" s="9"/>
      <c r="AF268" s="9"/>
      <c r="AG268" s="9"/>
      <c r="AH268" s="9"/>
      <c r="AI268" s="9"/>
      <c r="AJ268" s="9"/>
      <c r="AK268" s="9"/>
      <c r="AL268" s="9"/>
      <c r="AM268" s="9"/>
      <c r="AN268" s="9"/>
      <c r="AO268" s="9"/>
      <c r="AP268" s="9"/>
      <c r="AQ268" s="9"/>
      <c r="AR268" s="9"/>
      <c r="AS268" s="9"/>
      <c r="AT268" s="9"/>
    </row>
    <row r="269">
      <c r="A269" s="492"/>
      <c r="B269" s="254"/>
      <c r="C269" s="492"/>
      <c r="D269" s="254"/>
      <c r="E269" s="492"/>
      <c r="F269" s="254"/>
      <c r="G269" s="492"/>
      <c r="H269" s="254"/>
      <c r="I269" s="500"/>
      <c r="J269" s="181"/>
      <c r="K269" s="500"/>
      <c r="L269" s="181"/>
      <c r="M269" s="492"/>
      <c r="N269" s="254"/>
      <c r="O269" s="492"/>
      <c r="P269" s="254"/>
      <c r="Q269" s="492"/>
      <c r="R269" s="254"/>
      <c r="S269" s="492"/>
      <c r="T269" s="254"/>
      <c r="U269" s="492"/>
      <c r="V269" s="254"/>
      <c r="W269" s="492"/>
      <c r="X269" s="254"/>
      <c r="Y269" s="9"/>
      <c r="Z269" s="9"/>
      <c r="AA269" s="9"/>
      <c r="AB269" s="9"/>
      <c r="AC269" s="9"/>
      <c r="AD269" s="9"/>
      <c r="AE269" s="9"/>
      <c r="AF269" s="9"/>
      <c r="AG269" s="9"/>
      <c r="AH269" s="9"/>
      <c r="AI269" s="9"/>
      <c r="AJ269" s="9"/>
      <c r="AK269" s="9"/>
      <c r="AL269" s="9"/>
      <c r="AM269" s="9"/>
      <c r="AN269" s="9"/>
      <c r="AO269" s="9"/>
      <c r="AP269" s="9"/>
      <c r="AQ269" s="9"/>
      <c r="AR269" s="9"/>
      <c r="AS269" s="9"/>
      <c r="AT269" s="9"/>
    </row>
    <row r="270">
      <c r="A270" s="492"/>
      <c r="B270" s="254"/>
      <c r="C270" s="492"/>
      <c r="D270" s="254"/>
      <c r="E270" s="492"/>
      <c r="F270" s="254"/>
      <c r="G270" s="492"/>
      <c r="H270" s="254"/>
      <c r="I270" s="500"/>
      <c r="J270" s="181"/>
      <c r="K270" s="500"/>
      <c r="L270" s="181"/>
      <c r="M270" s="492"/>
      <c r="N270" s="254"/>
      <c r="O270" s="492"/>
      <c r="P270" s="254"/>
      <c r="Q270" s="492"/>
      <c r="R270" s="254"/>
      <c r="S270" s="492"/>
      <c r="T270" s="254"/>
      <c r="U270" s="492"/>
      <c r="V270" s="254"/>
      <c r="W270" s="492"/>
      <c r="X270" s="254"/>
      <c r="Y270" s="9"/>
      <c r="Z270" s="9"/>
      <c r="AA270" s="9"/>
      <c r="AB270" s="9"/>
      <c r="AC270" s="9"/>
      <c r="AD270" s="9"/>
      <c r="AE270" s="9"/>
      <c r="AF270" s="9"/>
      <c r="AG270" s="9"/>
      <c r="AH270" s="9"/>
      <c r="AI270" s="9"/>
      <c r="AJ270" s="9"/>
      <c r="AK270" s="9"/>
      <c r="AL270" s="9"/>
      <c r="AM270" s="9"/>
      <c r="AN270" s="9"/>
      <c r="AO270" s="9"/>
      <c r="AP270" s="9"/>
      <c r="AQ270" s="9"/>
      <c r="AR270" s="9"/>
      <c r="AS270" s="9"/>
      <c r="AT270" s="9"/>
    </row>
    <row r="271">
      <c r="A271" s="492"/>
      <c r="B271" s="254"/>
      <c r="C271" s="492"/>
      <c r="D271" s="254"/>
      <c r="E271" s="492"/>
      <c r="F271" s="254"/>
      <c r="G271" s="492"/>
      <c r="H271" s="254"/>
      <c r="I271" s="500"/>
      <c r="J271" s="181"/>
      <c r="K271" s="500"/>
      <c r="L271" s="181"/>
      <c r="M271" s="492"/>
      <c r="N271" s="254"/>
      <c r="O271" s="492"/>
      <c r="P271" s="254"/>
      <c r="Q271" s="492"/>
      <c r="R271" s="254"/>
      <c r="S271" s="492"/>
      <c r="T271" s="254"/>
      <c r="U271" s="492"/>
      <c r="V271" s="254"/>
      <c r="W271" s="492"/>
      <c r="X271" s="254"/>
      <c r="Y271" s="9"/>
      <c r="Z271" s="9"/>
      <c r="AA271" s="9"/>
      <c r="AB271" s="9"/>
      <c r="AC271" s="9"/>
      <c r="AD271" s="9"/>
      <c r="AE271" s="9"/>
      <c r="AF271" s="9"/>
      <c r="AG271" s="9"/>
      <c r="AH271" s="9"/>
      <c r="AI271" s="9"/>
      <c r="AJ271" s="9"/>
      <c r="AK271" s="9"/>
      <c r="AL271" s="9"/>
      <c r="AM271" s="9"/>
      <c r="AN271" s="9"/>
      <c r="AO271" s="9"/>
      <c r="AP271" s="9"/>
      <c r="AQ271" s="9"/>
      <c r="AR271" s="9"/>
      <c r="AS271" s="9"/>
      <c r="AT271" s="9"/>
    </row>
    <row r="272">
      <c r="A272" s="492"/>
      <c r="B272" s="254"/>
      <c r="C272" s="492"/>
      <c r="D272" s="254"/>
      <c r="E272" s="492"/>
      <c r="F272" s="254"/>
      <c r="G272" s="492"/>
      <c r="H272" s="254"/>
      <c r="I272" s="500"/>
      <c r="J272" s="181"/>
      <c r="K272" s="500"/>
      <c r="L272" s="181"/>
      <c r="M272" s="492"/>
      <c r="N272" s="254"/>
      <c r="O272" s="492"/>
      <c r="P272" s="254"/>
      <c r="Q272" s="492"/>
      <c r="R272" s="254"/>
      <c r="S272" s="492"/>
      <c r="T272" s="254"/>
      <c r="U272" s="492"/>
      <c r="V272" s="254"/>
      <c r="W272" s="492"/>
      <c r="X272" s="254"/>
      <c r="Y272" s="9"/>
      <c r="Z272" s="9"/>
      <c r="AA272" s="9"/>
      <c r="AB272" s="9"/>
      <c r="AC272" s="9"/>
      <c r="AD272" s="9"/>
      <c r="AE272" s="9"/>
      <c r="AF272" s="9"/>
      <c r="AG272" s="9"/>
      <c r="AH272" s="9"/>
      <c r="AI272" s="9"/>
      <c r="AJ272" s="9"/>
      <c r="AK272" s="9"/>
      <c r="AL272" s="9"/>
      <c r="AM272" s="9"/>
      <c r="AN272" s="9"/>
      <c r="AO272" s="9"/>
      <c r="AP272" s="9"/>
      <c r="AQ272" s="9"/>
      <c r="AR272" s="9"/>
      <c r="AS272" s="9"/>
      <c r="AT272" s="9"/>
    </row>
    <row r="273">
      <c r="A273" s="492"/>
      <c r="B273" s="254"/>
      <c r="C273" s="492"/>
      <c r="D273" s="254"/>
      <c r="E273" s="492"/>
      <c r="F273" s="254"/>
      <c r="G273" s="492"/>
      <c r="H273" s="254"/>
      <c r="I273" s="500"/>
      <c r="J273" s="181"/>
      <c r="K273" s="500"/>
      <c r="L273" s="181"/>
      <c r="M273" s="492"/>
      <c r="N273" s="254"/>
      <c r="O273" s="492"/>
      <c r="P273" s="254"/>
      <c r="Q273" s="492"/>
      <c r="R273" s="254"/>
      <c r="S273" s="492"/>
      <c r="T273" s="254"/>
      <c r="U273" s="492"/>
      <c r="V273" s="254"/>
      <c r="W273" s="492"/>
      <c r="X273" s="254"/>
      <c r="Y273" s="9"/>
      <c r="Z273" s="9"/>
      <c r="AA273" s="9"/>
      <c r="AB273" s="9"/>
      <c r="AC273" s="9"/>
      <c r="AD273" s="9"/>
      <c r="AE273" s="9"/>
      <c r="AF273" s="9"/>
      <c r="AG273" s="9"/>
      <c r="AH273" s="9"/>
      <c r="AI273" s="9"/>
      <c r="AJ273" s="9"/>
      <c r="AK273" s="9"/>
      <c r="AL273" s="9"/>
      <c r="AM273" s="9"/>
      <c r="AN273" s="9"/>
      <c r="AO273" s="9"/>
      <c r="AP273" s="9"/>
      <c r="AQ273" s="9"/>
      <c r="AR273" s="9"/>
      <c r="AS273" s="9"/>
      <c r="AT273" s="9"/>
    </row>
    <row r="274">
      <c r="A274" s="492"/>
      <c r="B274" s="254"/>
      <c r="C274" s="492"/>
      <c r="D274" s="254"/>
      <c r="E274" s="492"/>
      <c r="F274" s="254"/>
      <c r="G274" s="492"/>
      <c r="H274" s="254"/>
      <c r="I274" s="500"/>
      <c r="J274" s="181"/>
      <c r="K274" s="500"/>
      <c r="L274" s="181"/>
      <c r="M274" s="492"/>
      <c r="N274" s="254"/>
      <c r="O274" s="492"/>
      <c r="P274" s="254"/>
      <c r="Q274" s="492"/>
      <c r="R274" s="254"/>
      <c r="S274" s="492"/>
      <c r="T274" s="254"/>
      <c r="U274" s="492"/>
      <c r="V274" s="254"/>
      <c r="W274" s="492"/>
      <c r="X274" s="254"/>
      <c r="Y274" s="9"/>
      <c r="Z274" s="9"/>
      <c r="AA274" s="9"/>
      <c r="AB274" s="9"/>
      <c r="AC274" s="9"/>
      <c r="AD274" s="9"/>
      <c r="AE274" s="9"/>
      <c r="AF274" s="9"/>
      <c r="AG274" s="9"/>
      <c r="AH274" s="9"/>
      <c r="AI274" s="9"/>
      <c r="AJ274" s="9"/>
      <c r="AK274" s="9"/>
      <c r="AL274" s="9"/>
      <c r="AM274" s="9"/>
      <c r="AN274" s="9"/>
      <c r="AO274" s="9"/>
      <c r="AP274" s="9"/>
      <c r="AQ274" s="9"/>
      <c r="AR274" s="9"/>
      <c r="AS274" s="9"/>
      <c r="AT274" s="9"/>
    </row>
    <row r="275">
      <c r="A275" s="492"/>
      <c r="B275" s="254"/>
      <c r="C275" s="492"/>
      <c r="D275" s="254"/>
      <c r="E275" s="492"/>
      <c r="F275" s="254"/>
      <c r="G275" s="492"/>
      <c r="H275" s="254"/>
      <c r="I275" s="500"/>
      <c r="J275" s="181"/>
      <c r="K275" s="500"/>
      <c r="L275" s="181"/>
      <c r="M275" s="492"/>
      <c r="N275" s="254"/>
      <c r="O275" s="492"/>
      <c r="P275" s="254"/>
      <c r="Q275" s="492"/>
      <c r="R275" s="254"/>
      <c r="S275" s="492"/>
      <c r="T275" s="254"/>
      <c r="U275" s="492"/>
      <c r="V275" s="254"/>
      <c r="W275" s="492"/>
      <c r="X275" s="254"/>
      <c r="Y275" s="9"/>
      <c r="Z275" s="9"/>
      <c r="AA275" s="9"/>
      <c r="AB275" s="9"/>
      <c r="AC275" s="9"/>
      <c r="AD275" s="9"/>
      <c r="AE275" s="9"/>
      <c r="AF275" s="9"/>
      <c r="AG275" s="9"/>
      <c r="AH275" s="9"/>
      <c r="AI275" s="9"/>
      <c r="AJ275" s="9"/>
      <c r="AK275" s="9"/>
      <c r="AL275" s="9"/>
      <c r="AM275" s="9"/>
      <c r="AN275" s="9"/>
      <c r="AO275" s="9"/>
      <c r="AP275" s="9"/>
      <c r="AQ275" s="9"/>
      <c r="AR275" s="9"/>
      <c r="AS275" s="9"/>
      <c r="AT275" s="9"/>
    </row>
    <row r="276">
      <c r="A276" s="492"/>
      <c r="B276" s="254"/>
      <c r="C276" s="492"/>
      <c r="D276" s="254"/>
      <c r="E276" s="492"/>
      <c r="F276" s="254"/>
      <c r="G276" s="492"/>
      <c r="H276" s="254"/>
      <c r="I276" s="500"/>
      <c r="J276" s="181"/>
      <c r="K276" s="500"/>
      <c r="L276" s="181"/>
      <c r="M276" s="492"/>
      <c r="N276" s="254"/>
      <c r="O276" s="492"/>
      <c r="P276" s="254"/>
      <c r="Q276" s="492"/>
      <c r="R276" s="254"/>
      <c r="S276" s="492"/>
      <c r="T276" s="254"/>
      <c r="U276" s="492"/>
      <c r="V276" s="254"/>
      <c r="W276" s="492"/>
      <c r="X276" s="254"/>
      <c r="Y276" s="9"/>
      <c r="Z276" s="9"/>
      <c r="AA276" s="9"/>
      <c r="AB276" s="9"/>
      <c r="AC276" s="9"/>
      <c r="AD276" s="9"/>
      <c r="AE276" s="9"/>
      <c r="AF276" s="9"/>
      <c r="AG276" s="9"/>
      <c r="AH276" s="9"/>
      <c r="AI276" s="9"/>
      <c r="AJ276" s="9"/>
      <c r="AK276" s="9"/>
      <c r="AL276" s="9"/>
      <c r="AM276" s="9"/>
      <c r="AN276" s="9"/>
      <c r="AO276" s="9"/>
      <c r="AP276" s="9"/>
      <c r="AQ276" s="9"/>
      <c r="AR276" s="9"/>
      <c r="AS276" s="9"/>
      <c r="AT276" s="9"/>
    </row>
    <row r="277">
      <c r="A277" s="492"/>
      <c r="B277" s="254"/>
      <c r="C277" s="492"/>
      <c r="D277" s="254"/>
      <c r="E277" s="492"/>
      <c r="F277" s="254"/>
      <c r="G277" s="492"/>
      <c r="H277" s="254"/>
      <c r="I277" s="500"/>
      <c r="J277" s="181"/>
      <c r="K277" s="500"/>
      <c r="L277" s="181"/>
      <c r="M277" s="492"/>
      <c r="N277" s="254"/>
      <c r="O277" s="492"/>
      <c r="P277" s="254"/>
      <c r="Q277" s="492"/>
      <c r="R277" s="254"/>
      <c r="S277" s="492"/>
      <c r="T277" s="254"/>
      <c r="U277" s="492"/>
      <c r="V277" s="254"/>
      <c r="W277" s="492"/>
      <c r="X277" s="254"/>
      <c r="Y277" s="9"/>
      <c r="Z277" s="9"/>
      <c r="AA277" s="9"/>
      <c r="AB277" s="9"/>
      <c r="AC277" s="9"/>
      <c r="AD277" s="9"/>
      <c r="AE277" s="9"/>
      <c r="AF277" s="9"/>
      <c r="AG277" s="9"/>
      <c r="AH277" s="9"/>
      <c r="AI277" s="9"/>
      <c r="AJ277" s="9"/>
      <c r="AK277" s="9"/>
      <c r="AL277" s="9"/>
      <c r="AM277" s="9"/>
      <c r="AN277" s="9"/>
      <c r="AO277" s="9"/>
      <c r="AP277" s="9"/>
      <c r="AQ277" s="9"/>
      <c r="AR277" s="9"/>
      <c r="AS277" s="9"/>
      <c r="AT277" s="9"/>
    </row>
    <row r="278">
      <c r="A278" s="492"/>
      <c r="B278" s="254"/>
      <c r="C278" s="492"/>
      <c r="D278" s="254"/>
      <c r="E278" s="492"/>
      <c r="F278" s="254"/>
      <c r="G278" s="492"/>
      <c r="H278" s="254"/>
      <c r="I278" s="500"/>
      <c r="J278" s="181"/>
      <c r="K278" s="500"/>
      <c r="L278" s="181"/>
      <c r="M278" s="492"/>
      <c r="N278" s="254"/>
      <c r="O278" s="492"/>
      <c r="P278" s="254"/>
      <c r="Q278" s="492"/>
      <c r="R278" s="254"/>
      <c r="S278" s="492"/>
      <c r="T278" s="254"/>
      <c r="U278" s="492"/>
      <c r="V278" s="254"/>
      <c r="W278" s="492"/>
      <c r="X278" s="254"/>
      <c r="Y278" s="9"/>
      <c r="Z278" s="9"/>
      <c r="AA278" s="9"/>
      <c r="AB278" s="9"/>
      <c r="AC278" s="9"/>
      <c r="AD278" s="9"/>
      <c r="AE278" s="9"/>
      <c r="AF278" s="9"/>
      <c r="AG278" s="9"/>
      <c r="AH278" s="9"/>
      <c r="AI278" s="9"/>
      <c r="AJ278" s="9"/>
      <c r="AK278" s="9"/>
      <c r="AL278" s="9"/>
      <c r="AM278" s="9"/>
      <c r="AN278" s="9"/>
      <c r="AO278" s="9"/>
      <c r="AP278" s="9"/>
      <c r="AQ278" s="9"/>
      <c r="AR278" s="9"/>
      <c r="AS278" s="9"/>
      <c r="AT278" s="9"/>
    </row>
    <row r="279">
      <c r="A279" s="492"/>
      <c r="B279" s="254"/>
      <c r="C279" s="492"/>
      <c r="D279" s="254"/>
      <c r="E279" s="492"/>
      <c r="F279" s="254"/>
      <c r="G279" s="492"/>
      <c r="H279" s="254"/>
      <c r="I279" s="500"/>
      <c r="J279" s="181"/>
      <c r="K279" s="500"/>
      <c r="L279" s="181"/>
      <c r="M279" s="492"/>
      <c r="N279" s="254"/>
      <c r="O279" s="492"/>
      <c r="P279" s="254"/>
      <c r="Q279" s="492"/>
      <c r="R279" s="254"/>
      <c r="S279" s="492"/>
      <c r="T279" s="254"/>
      <c r="U279" s="492"/>
      <c r="V279" s="254"/>
      <c r="W279" s="492"/>
      <c r="X279" s="254"/>
      <c r="Y279" s="9"/>
      <c r="Z279" s="9"/>
      <c r="AA279" s="9"/>
      <c r="AB279" s="9"/>
      <c r="AC279" s="9"/>
      <c r="AD279" s="9"/>
      <c r="AE279" s="9"/>
      <c r="AF279" s="9"/>
      <c r="AG279" s="9"/>
      <c r="AH279" s="9"/>
      <c r="AI279" s="9"/>
      <c r="AJ279" s="9"/>
      <c r="AK279" s="9"/>
      <c r="AL279" s="9"/>
      <c r="AM279" s="9"/>
      <c r="AN279" s="9"/>
      <c r="AO279" s="9"/>
      <c r="AP279" s="9"/>
      <c r="AQ279" s="9"/>
      <c r="AR279" s="9"/>
      <c r="AS279" s="9"/>
      <c r="AT279" s="9"/>
    </row>
    <row r="280">
      <c r="A280" s="492"/>
      <c r="B280" s="254"/>
      <c r="C280" s="492"/>
      <c r="D280" s="254"/>
      <c r="E280" s="492"/>
      <c r="F280" s="254"/>
      <c r="G280" s="492"/>
      <c r="H280" s="254"/>
      <c r="I280" s="500"/>
      <c r="J280" s="181"/>
      <c r="K280" s="500"/>
      <c r="L280" s="181"/>
      <c r="M280" s="492"/>
      <c r="N280" s="254"/>
      <c r="O280" s="492"/>
      <c r="P280" s="254"/>
      <c r="Q280" s="492"/>
      <c r="R280" s="254"/>
      <c r="S280" s="492"/>
      <c r="T280" s="254"/>
      <c r="U280" s="492"/>
      <c r="V280" s="254"/>
      <c r="W280" s="492"/>
      <c r="X280" s="254"/>
      <c r="Y280" s="9"/>
      <c r="Z280" s="9"/>
      <c r="AA280" s="9"/>
      <c r="AB280" s="9"/>
      <c r="AC280" s="9"/>
      <c r="AD280" s="9"/>
      <c r="AE280" s="9"/>
      <c r="AF280" s="9"/>
      <c r="AG280" s="9"/>
      <c r="AH280" s="9"/>
      <c r="AI280" s="9"/>
      <c r="AJ280" s="9"/>
      <c r="AK280" s="9"/>
      <c r="AL280" s="9"/>
      <c r="AM280" s="9"/>
      <c r="AN280" s="9"/>
      <c r="AO280" s="9"/>
      <c r="AP280" s="9"/>
      <c r="AQ280" s="9"/>
      <c r="AR280" s="9"/>
      <c r="AS280" s="9"/>
      <c r="AT280" s="9"/>
    </row>
    <row r="281">
      <c r="A281" s="492"/>
      <c r="B281" s="254"/>
      <c r="C281" s="492"/>
      <c r="D281" s="254"/>
      <c r="E281" s="492"/>
      <c r="F281" s="254"/>
      <c r="G281" s="492"/>
      <c r="H281" s="254"/>
      <c r="I281" s="500"/>
      <c r="J281" s="181"/>
      <c r="K281" s="500"/>
      <c r="L281" s="181"/>
      <c r="M281" s="492"/>
      <c r="N281" s="254"/>
      <c r="O281" s="492"/>
      <c r="P281" s="254"/>
      <c r="Q281" s="492"/>
      <c r="R281" s="254"/>
      <c r="S281" s="492"/>
      <c r="T281" s="254"/>
      <c r="U281" s="492"/>
      <c r="V281" s="254"/>
      <c r="W281" s="492"/>
      <c r="X281" s="254"/>
      <c r="Y281" s="9"/>
      <c r="Z281" s="9"/>
      <c r="AA281" s="9"/>
      <c r="AB281" s="9"/>
      <c r="AC281" s="9"/>
      <c r="AD281" s="9"/>
      <c r="AE281" s="9"/>
      <c r="AF281" s="9"/>
      <c r="AG281" s="9"/>
      <c r="AH281" s="9"/>
      <c r="AI281" s="9"/>
      <c r="AJ281" s="9"/>
      <c r="AK281" s="9"/>
      <c r="AL281" s="9"/>
      <c r="AM281" s="9"/>
      <c r="AN281" s="9"/>
      <c r="AO281" s="9"/>
      <c r="AP281" s="9"/>
      <c r="AQ281" s="9"/>
      <c r="AR281" s="9"/>
      <c r="AS281" s="9"/>
      <c r="AT281" s="9"/>
    </row>
    <row r="282">
      <c r="A282" s="492"/>
      <c r="B282" s="254"/>
      <c r="C282" s="492"/>
      <c r="D282" s="254"/>
      <c r="E282" s="492"/>
      <c r="F282" s="254"/>
      <c r="G282" s="492"/>
      <c r="H282" s="254"/>
      <c r="I282" s="500"/>
      <c r="J282" s="181"/>
      <c r="K282" s="500"/>
      <c r="L282" s="181"/>
      <c r="M282" s="492"/>
      <c r="N282" s="254"/>
      <c r="O282" s="492"/>
      <c r="P282" s="254"/>
      <c r="Q282" s="492"/>
      <c r="R282" s="254"/>
      <c r="S282" s="492"/>
      <c r="T282" s="254"/>
      <c r="U282" s="492"/>
      <c r="V282" s="254"/>
      <c r="W282" s="492"/>
      <c r="X282" s="254"/>
      <c r="Y282" s="9"/>
      <c r="Z282" s="9"/>
      <c r="AA282" s="9"/>
      <c r="AB282" s="9"/>
      <c r="AC282" s="9"/>
      <c r="AD282" s="9"/>
      <c r="AE282" s="9"/>
      <c r="AF282" s="9"/>
      <c r="AG282" s="9"/>
      <c r="AH282" s="9"/>
      <c r="AI282" s="9"/>
      <c r="AJ282" s="9"/>
      <c r="AK282" s="9"/>
      <c r="AL282" s="9"/>
      <c r="AM282" s="9"/>
      <c r="AN282" s="9"/>
      <c r="AO282" s="9"/>
      <c r="AP282" s="9"/>
      <c r="AQ282" s="9"/>
      <c r="AR282" s="9"/>
      <c r="AS282" s="9"/>
      <c r="AT282" s="9"/>
    </row>
    <row r="283">
      <c r="A283" s="492"/>
      <c r="B283" s="254"/>
      <c r="C283" s="492"/>
      <c r="D283" s="254"/>
      <c r="E283" s="492"/>
      <c r="F283" s="254"/>
      <c r="G283" s="492"/>
      <c r="H283" s="254"/>
      <c r="I283" s="500"/>
      <c r="J283" s="181"/>
      <c r="K283" s="500"/>
      <c r="L283" s="181"/>
      <c r="M283" s="492"/>
      <c r="N283" s="254"/>
      <c r="O283" s="492"/>
      <c r="P283" s="254"/>
      <c r="Q283" s="492"/>
      <c r="R283" s="254"/>
      <c r="S283" s="492"/>
      <c r="T283" s="254"/>
      <c r="U283" s="492"/>
      <c r="V283" s="254"/>
      <c r="W283" s="492"/>
      <c r="X283" s="254"/>
      <c r="Y283" s="9"/>
      <c r="Z283" s="9"/>
      <c r="AA283" s="9"/>
      <c r="AB283" s="9"/>
      <c r="AC283" s="9"/>
      <c r="AD283" s="9"/>
      <c r="AE283" s="9"/>
      <c r="AF283" s="9"/>
      <c r="AG283" s="9"/>
      <c r="AH283" s="9"/>
      <c r="AI283" s="9"/>
      <c r="AJ283" s="9"/>
      <c r="AK283" s="9"/>
      <c r="AL283" s="9"/>
      <c r="AM283" s="9"/>
      <c r="AN283" s="9"/>
      <c r="AO283" s="9"/>
      <c r="AP283" s="9"/>
      <c r="AQ283" s="9"/>
      <c r="AR283" s="9"/>
      <c r="AS283" s="9"/>
      <c r="AT283" s="9"/>
    </row>
    <row r="284">
      <c r="A284" s="492"/>
      <c r="B284" s="254"/>
      <c r="C284" s="492"/>
      <c r="D284" s="254"/>
      <c r="E284" s="492"/>
      <c r="F284" s="254"/>
      <c r="G284" s="492"/>
      <c r="H284" s="254"/>
      <c r="I284" s="500"/>
      <c r="J284" s="181"/>
      <c r="K284" s="500"/>
      <c r="L284" s="181"/>
      <c r="M284" s="492"/>
      <c r="N284" s="254"/>
      <c r="O284" s="492"/>
      <c r="P284" s="254"/>
      <c r="Q284" s="492"/>
      <c r="R284" s="254"/>
      <c r="S284" s="492"/>
      <c r="T284" s="254"/>
      <c r="U284" s="492"/>
      <c r="V284" s="254"/>
      <c r="W284" s="492"/>
      <c r="X284" s="254"/>
      <c r="Y284" s="9"/>
      <c r="Z284" s="9"/>
      <c r="AA284" s="9"/>
      <c r="AB284" s="9"/>
      <c r="AC284" s="9"/>
      <c r="AD284" s="9"/>
      <c r="AE284" s="9"/>
      <c r="AF284" s="9"/>
      <c r="AG284" s="9"/>
      <c r="AH284" s="9"/>
      <c r="AI284" s="9"/>
      <c r="AJ284" s="9"/>
      <c r="AK284" s="9"/>
      <c r="AL284" s="9"/>
      <c r="AM284" s="9"/>
      <c r="AN284" s="9"/>
      <c r="AO284" s="9"/>
      <c r="AP284" s="9"/>
      <c r="AQ284" s="9"/>
      <c r="AR284" s="9"/>
      <c r="AS284" s="9"/>
      <c r="AT284" s="9"/>
    </row>
    <row r="285">
      <c r="A285" s="492"/>
      <c r="B285" s="254"/>
      <c r="C285" s="492"/>
      <c r="D285" s="254"/>
      <c r="E285" s="492"/>
      <c r="F285" s="254"/>
      <c r="G285" s="492"/>
      <c r="H285" s="254"/>
      <c r="I285" s="500"/>
      <c r="J285" s="181"/>
      <c r="K285" s="500"/>
      <c r="L285" s="181"/>
      <c r="M285" s="492"/>
      <c r="N285" s="254"/>
      <c r="O285" s="492"/>
      <c r="P285" s="254"/>
      <c r="Q285" s="492"/>
      <c r="R285" s="254"/>
      <c r="S285" s="492"/>
      <c r="T285" s="254"/>
      <c r="U285" s="492"/>
      <c r="V285" s="254"/>
      <c r="W285" s="492"/>
      <c r="X285" s="254"/>
      <c r="Y285" s="9"/>
      <c r="Z285" s="9"/>
      <c r="AA285" s="9"/>
      <c r="AB285" s="9"/>
      <c r="AC285" s="9"/>
      <c r="AD285" s="9"/>
      <c r="AE285" s="9"/>
      <c r="AF285" s="9"/>
      <c r="AG285" s="9"/>
      <c r="AH285" s="9"/>
      <c r="AI285" s="9"/>
      <c r="AJ285" s="9"/>
      <c r="AK285" s="9"/>
      <c r="AL285" s="9"/>
      <c r="AM285" s="9"/>
      <c r="AN285" s="9"/>
      <c r="AO285" s="9"/>
      <c r="AP285" s="9"/>
      <c r="AQ285" s="9"/>
      <c r="AR285" s="9"/>
      <c r="AS285" s="9"/>
      <c r="AT285" s="9"/>
    </row>
    <row r="286">
      <c r="A286" s="492"/>
      <c r="B286" s="254"/>
      <c r="C286" s="492"/>
      <c r="D286" s="254"/>
      <c r="E286" s="492"/>
      <c r="F286" s="254"/>
      <c r="G286" s="492"/>
      <c r="H286" s="254"/>
      <c r="I286" s="500"/>
      <c r="J286" s="181"/>
      <c r="K286" s="500"/>
      <c r="L286" s="181"/>
      <c r="M286" s="492"/>
      <c r="N286" s="254"/>
      <c r="O286" s="492"/>
      <c r="P286" s="254"/>
      <c r="Q286" s="492"/>
      <c r="R286" s="254"/>
      <c r="S286" s="492"/>
      <c r="T286" s="254"/>
      <c r="U286" s="492"/>
      <c r="V286" s="254"/>
      <c r="W286" s="492"/>
      <c r="X286" s="254"/>
      <c r="Y286" s="9"/>
      <c r="Z286" s="9"/>
      <c r="AA286" s="9"/>
      <c r="AB286" s="9"/>
      <c r="AC286" s="9"/>
      <c r="AD286" s="9"/>
      <c r="AE286" s="9"/>
      <c r="AF286" s="9"/>
      <c r="AG286" s="9"/>
      <c r="AH286" s="9"/>
      <c r="AI286" s="9"/>
      <c r="AJ286" s="9"/>
      <c r="AK286" s="9"/>
      <c r="AL286" s="9"/>
      <c r="AM286" s="9"/>
      <c r="AN286" s="9"/>
      <c r="AO286" s="9"/>
      <c r="AP286" s="9"/>
      <c r="AQ286" s="9"/>
      <c r="AR286" s="9"/>
      <c r="AS286" s="9"/>
      <c r="AT286" s="9"/>
    </row>
    <row r="287">
      <c r="A287" s="492"/>
      <c r="B287" s="254"/>
      <c r="C287" s="492"/>
      <c r="D287" s="254"/>
      <c r="E287" s="492"/>
      <c r="F287" s="254"/>
      <c r="G287" s="492"/>
      <c r="H287" s="254"/>
      <c r="I287" s="500"/>
      <c r="J287" s="181"/>
      <c r="K287" s="500"/>
      <c r="L287" s="181"/>
      <c r="M287" s="492"/>
      <c r="N287" s="254"/>
      <c r="O287" s="492"/>
      <c r="P287" s="254"/>
      <c r="Q287" s="492"/>
      <c r="R287" s="254"/>
      <c r="S287" s="492"/>
      <c r="T287" s="254"/>
      <c r="U287" s="492"/>
      <c r="V287" s="254"/>
      <c r="W287" s="492"/>
      <c r="X287" s="254"/>
      <c r="Y287" s="9"/>
      <c r="Z287" s="9"/>
      <c r="AA287" s="9"/>
      <c r="AB287" s="9"/>
      <c r="AC287" s="9"/>
      <c r="AD287" s="9"/>
      <c r="AE287" s="9"/>
      <c r="AF287" s="9"/>
      <c r="AG287" s="9"/>
      <c r="AH287" s="9"/>
      <c r="AI287" s="9"/>
      <c r="AJ287" s="9"/>
      <c r="AK287" s="9"/>
      <c r="AL287" s="9"/>
      <c r="AM287" s="9"/>
      <c r="AN287" s="9"/>
      <c r="AO287" s="9"/>
      <c r="AP287" s="9"/>
      <c r="AQ287" s="9"/>
      <c r="AR287" s="9"/>
      <c r="AS287" s="9"/>
      <c r="AT287" s="9"/>
    </row>
    <row r="288">
      <c r="A288" s="492"/>
      <c r="B288" s="254"/>
      <c r="C288" s="492"/>
      <c r="D288" s="254"/>
      <c r="E288" s="492"/>
      <c r="F288" s="254"/>
      <c r="G288" s="492"/>
      <c r="H288" s="254"/>
      <c r="I288" s="500"/>
      <c r="J288" s="181"/>
      <c r="K288" s="500"/>
      <c r="L288" s="181"/>
      <c r="M288" s="492"/>
      <c r="N288" s="254"/>
      <c r="O288" s="492"/>
      <c r="P288" s="254"/>
      <c r="Q288" s="492"/>
      <c r="R288" s="254"/>
      <c r="S288" s="492"/>
      <c r="T288" s="254"/>
      <c r="U288" s="492"/>
      <c r="V288" s="254"/>
      <c r="W288" s="492"/>
      <c r="X288" s="254"/>
      <c r="Y288" s="9"/>
      <c r="Z288" s="9"/>
      <c r="AA288" s="9"/>
      <c r="AB288" s="9"/>
      <c r="AC288" s="9"/>
      <c r="AD288" s="9"/>
      <c r="AE288" s="9"/>
      <c r="AF288" s="9"/>
      <c r="AG288" s="9"/>
      <c r="AH288" s="9"/>
      <c r="AI288" s="9"/>
      <c r="AJ288" s="9"/>
      <c r="AK288" s="9"/>
      <c r="AL288" s="9"/>
      <c r="AM288" s="9"/>
      <c r="AN288" s="9"/>
      <c r="AO288" s="9"/>
      <c r="AP288" s="9"/>
      <c r="AQ288" s="9"/>
      <c r="AR288" s="9"/>
      <c r="AS288" s="9"/>
      <c r="AT288" s="9"/>
    </row>
    <row r="289">
      <c r="A289" s="492"/>
      <c r="B289" s="254"/>
      <c r="C289" s="492"/>
      <c r="D289" s="254"/>
      <c r="E289" s="492"/>
      <c r="F289" s="254"/>
      <c r="G289" s="492"/>
      <c r="H289" s="254"/>
      <c r="I289" s="500"/>
      <c r="J289" s="181"/>
      <c r="K289" s="500"/>
      <c r="L289" s="181"/>
      <c r="M289" s="492"/>
      <c r="N289" s="254"/>
      <c r="O289" s="492"/>
      <c r="P289" s="254"/>
      <c r="Q289" s="492"/>
      <c r="R289" s="254"/>
      <c r="S289" s="492"/>
      <c r="T289" s="254"/>
      <c r="U289" s="492"/>
      <c r="V289" s="254"/>
      <c r="W289" s="492"/>
      <c r="X289" s="254"/>
      <c r="Y289" s="9"/>
      <c r="Z289" s="9"/>
      <c r="AA289" s="9"/>
      <c r="AB289" s="9"/>
      <c r="AC289" s="9"/>
      <c r="AD289" s="9"/>
      <c r="AE289" s="9"/>
      <c r="AF289" s="9"/>
      <c r="AG289" s="9"/>
      <c r="AH289" s="9"/>
      <c r="AI289" s="9"/>
      <c r="AJ289" s="9"/>
      <c r="AK289" s="9"/>
      <c r="AL289" s="9"/>
      <c r="AM289" s="9"/>
      <c r="AN289" s="9"/>
      <c r="AO289" s="9"/>
      <c r="AP289" s="9"/>
      <c r="AQ289" s="9"/>
      <c r="AR289" s="9"/>
      <c r="AS289" s="9"/>
      <c r="AT289" s="9"/>
    </row>
    <row r="290">
      <c r="A290" s="492"/>
      <c r="B290" s="254"/>
      <c r="C290" s="492"/>
      <c r="D290" s="254"/>
      <c r="E290" s="492"/>
      <c r="F290" s="254"/>
      <c r="G290" s="492"/>
      <c r="H290" s="254"/>
      <c r="I290" s="500"/>
      <c r="J290" s="181"/>
      <c r="K290" s="500"/>
      <c r="L290" s="181"/>
      <c r="M290" s="492"/>
      <c r="N290" s="254"/>
      <c r="O290" s="492"/>
      <c r="P290" s="254"/>
      <c r="Q290" s="492"/>
      <c r="R290" s="254"/>
      <c r="S290" s="492"/>
      <c r="T290" s="254"/>
      <c r="U290" s="492"/>
      <c r="V290" s="254"/>
      <c r="W290" s="492"/>
      <c r="X290" s="254"/>
      <c r="Y290" s="9"/>
      <c r="Z290" s="9"/>
      <c r="AA290" s="9"/>
      <c r="AB290" s="9"/>
      <c r="AC290" s="9"/>
      <c r="AD290" s="9"/>
      <c r="AE290" s="9"/>
      <c r="AF290" s="9"/>
      <c r="AG290" s="9"/>
      <c r="AH290" s="9"/>
      <c r="AI290" s="9"/>
      <c r="AJ290" s="9"/>
      <c r="AK290" s="9"/>
      <c r="AL290" s="9"/>
      <c r="AM290" s="9"/>
      <c r="AN290" s="9"/>
      <c r="AO290" s="9"/>
      <c r="AP290" s="9"/>
      <c r="AQ290" s="9"/>
      <c r="AR290" s="9"/>
      <c r="AS290" s="9"/>
      <c r="AT290" s="9"/>
    </row>
    <row r="291">
      <c r="A291" s="492"/>
      <c r="B291" s="254"/>
      <c r="C291" s="492"/>
      <c r="D291" s="254"/>
      <c r="E291" s="492"/>
      <c r="F291" s="254"/>
      <c r="G291" s="492"/>
      <c r="H291" s="254"/>
      <c r="I291" s="500"/>
      <c r="J291" s="181"/>
      <c r="K291" s="500"/>
      <c r="L291" s="181"/>
      <c r="M291" s="492"/>
      <c r="N291" s="254"/>
      <c r="O291" s="492"/>
      <c r="P291" s="254"/>
      <c r="Q291" s="492"/>
      <c r="R291" s="254"/>
      <c r="S291" s="492"/>
      <c r="T291" s="254"/>
      <c r="U291" s="492"/>
      <c r="V291" s="254"/>
      <c r="W291" s="492"/>
      <c r="X291" s="254"/>
      <c r="Y291" s="9"/>
      <c r="Z291" s="9"/>
      <c r="AA291" s="9"/>
      <c r="AB291" s="9"/>
      <c r="AC291" s="9"/>
      <c r="AD291" s="9"/>
      <c r="AE291" s="9"/>
      <c r="AF291" s="9"/>
      <c r="AG291" s="9"/>
      <c r="AH291" s="9"/>
      <c r="AI291" s="9"/>
      <c r="AJ291" s="9"/>
      <c r="AK291" s="9"/>
      <c r="AL291" s="9"/>
      <c r="AM291" s="9"/>
      <c r="AN291" s="9"/>
      <c r="AO291" s="9"/>
      <c r="AP291" s="9"/>
      <c r="AQ291" s="9"/>
      <c r="AR291" s="9"/>
      <c r="AS291" s="9"/>
      <c r="AT291" s="9"/>
    </row>
    <row r="292">
      <c r="A292" s="492"/>
      <c r="B292" s="254"/>
      <c r="C292" s="492"/>
      <c r="D292" s="254"/>
      <c r="E292" s="492"/>
      <c r="F292" s="254"/>
      <c r="G292" s="492"/>
      <c r="H292" s="254"/>
      <c r="I292" s="500"/>
      <c r="J292" s="181"/>
      <c r="K292" s="500"/>
      <c r="L292" s="181"/>
      <c r="M292" s="492"/>
      <c r="N292" s="254"/>
      <c r="O292" s="492"/>
      <c r="P292" s="254"/>
      <c r="Q292" s="492"/>
      <c r="R292" s="254"/>
      <c r="S292" s="492"/>
      <c r="T292" s="254"/>
      <c r="U292" s="492"/>
      <c r="V292" s="254"/>
      <c r="W292" s="492"/>
      <c r="X292" s="254"/>
      <c r="Y292" s="9"/>
      <c r="Z292" s="9"/>
      <c r="AA292" s="9"/>
      <c r="AB292" s="9"/>
      <c r="AC292" s="9"/>
      <c r="AD292" s="9"/>
      <c r="AE292" s="9"/>
      <c r="AF292" s="9"/>
      <c r="AG292" s="9"/>
      <c r="AH292" s="9"/>
      <c r="AI292" s="9"/>
      <c r="AJ292" s="9"/>
      <c r="AK292" s="9"/>
      <c r="AL292" s="9"/>
      <c r="AM292" s="9"/>
      <c r="AN292" s="9"/>
      <c r="AO292" s="9"/>
      <c r="AP292" s="9"/>
      <c r="AQ292" s="9"/>
      <c r="AR292" s="9"/>
      <c r="AS292" s="9"/>
      <c r="AT292" s="9"/>
    </row>
    <row r="293">
      <c r="A293" s="492"/>
      <c r="B293" s="254"/>
      <c r="C293" s="492"/>
      <c r="D293" s="254"/>
      <c r="E293" s="492"/>
      <c r="F293" s="254"/>
      <c r="G293" s="492"/>
      <c r="H293" s="254"/>
      <c r="I293" s="500"/>
      <c r="J293" s="181"/>
      <c r="K293" s="500"/>
      <c r="L293" s="181"/>
      <c r="M293" s="492"/>
      <c r="N293" s="254"/>
      <c r="O293" s="492"/>
      <c r="P293" s="254"/>
      <c r="Q293" s="492"/>
      <c r="R293" s="254"/>
      <c r="S293" s="492"/>
      <c r="T293" s="254"/>
      <c r="U293" s="492"/>
      <c r="V293" s="254"/>
      <c r="W293" s="492"/>
      <c r="X293" s="254"/>
      <c r="Y293" s="9"/>
      <c r="Z293" s="9"/>
      <c r="AA293" s="9"/>
      <c r="AB293" s="9"/>
      <c r="AC293" s="9"/>
      <c r="AD293" s="9"/>
      <c r="AE293" s="9"/>
      <c r="AF293" s="9"/>
      <c r="AG293" s="9"/>
      <c r="AH293" s="9"/>
      <c r="AI293" s="9"/>
      <c r="AJ293" s="9"/>
      <c r="AK293" s="9"/>
      <c r="AL293" s="9"/>
      <c r="AM293" s="9"/>
      <c r="AN293" s="9"/>
      <c r="AO293" s="9"/>
      <c r="AP293" s="9"/>
      <c r="AQ293" s="9"/>
      <c r="AR293" s="9"/>
      <c r="AS293" s="9"/>
      <c r="AT293" s="9"/>
    </row>
    <row r="294">
      <c r="A294" s="492"/>
      <c r="B294" s="254"/>
      <c r="C294" s="492"/>
      <c r="D294" s="254"/>
      <c r="E294" s="492"/>
      <c r="F294" s="254"/>
      <c r="G294" s="492"/>
      <c r="H294" s="254"/>
      <c r="I294" s="500"/>
      <c r="J294" s="181"/>
      <c r="K294" s="500"/>
      <c r="L294" s="181"/>
      <c r="M294" s="492"/>
      <c r="N294" s="254"/>
      <c r="O294" s="492"/>
      <c r="P294" s="254"/>
      <c r="Q294" s="492"/>
      <c r="R294" s="254"/>
      <c r="S294" s="492"/>
      <c r="T294" s="254"/>
      <c r="U294" s="492"/>
      <c r="V294" s="254"/>
      <c r="W294" s="492"/>
      <c r="X294" s="254"/>
      <c r="Y294" s="9"/>
      <c r="Z294" s="9"/>
      <c r="AA294" s="9"/>
      <c r="AB294" s="9"/>
      <c r="AC294" s="9"/>
      <c r="AD294" s="9"/>
      <c r="AE294" s="9"/>
      <c r="AF294" s="9"/>
      <c r="AG294" s="9"/>
      <c r="AH294" s="9"/>
      <c r="AI294" s="9"/>
      <c r="AJ294" s="9"/>
      <c r="AK294" s="9"/>
      <c r="AL294" s="9"/>
      <c r="AM294" s="9"/>
      <c r="AN294" s="9"/>
      <c r="AO294" s="9"/>
      <c r="AP294" s="9"/>
      <c r="AQ294" s="9"/>
      <c r="AR294" s="9"/>
      <c r="AS294" s="9"/>
      <c r="AT294" s="9"/>
    </row>
    <row r="295">
      <c r="A295" s="492"/>
      <c r="B295" s="254"/>
      <c r="C295" s="492"/>
      <c r="D295" s="254"/>
      <c r="E295" s="492"/>
      <c r="F295" s="254"/>
      <c r="G295" s="492"/>
      <c r="H295" s="254"/>
      <c r="I295" s="500"/>
      <c r="J295" s="181"/>
      <c r="K295" s="500"/>
      <c r="L295" s="181"/>
      <c r="M295" s="492"/>
      <c r="N295" s="254"/>
      <c r="O295" s="492"/>
      <c r="P295" s="254"/>
      <c r="Q295" s="492"/>
      <c r="R295" s="254"/>
      <c r="S295" s="492"/>
      <c r="T295" s="254"/>
      <c r="U295" s="492"/>
      <c r="V295" s="254"/>
      <c r="W295" s="492"/>
      <c r="X295" s="254"/>
      <c r="Y295" s="9"/>
      <c r="Z295" s="9"/>
      <c r="AA295" s="9"/>
      <c r="AB295" s="9"/>
      <c r="AC295" s="9"/>
      <c r="AD295" s="9"/>
      <c r="AE295" s="9"/>
      <c r="AF295" s="9"/>
      <c r="AG295" s="9"/>
      <c r="AH295" s="9"/>
      <c r="AI295" s="9"/>
      <c r="AJ295" s="9"/>
      <c r="AK295" s="9"/>
      <c r="AL295" s="9"/>
      <c r="AM295" s="9"/>
      <c r="AN295" s="9"/>
      <c r="AO295" s="9"/>
      <c r="AP295" s="9"/>
      <c r="AQ295" s="9"/>
      <c r="AR295" s="9"/>
      <c r="AS295" s="9"/>
      <c r="AT295" s="9"/>
    </row>
    <row r="296">
      <c r="A296" s="492"/>
      <c r="B296" s="254"/>
      <c r="C296" s="492"/>
      <c r="D296" s="254"/>
      <c r="E296" s="492"/>
      <c r="F296" s="254"/>
      <c r="G296" s="492"/>
      <c r="H296" s="254"/>
      <c r="I296" s="500"/>
      <c r="J296" s="181"/>
      <c r="K296" s="500"/>
      <c r="L296" s="181"/>
      <c r="M296" s="492"/>
      <c r="N296" s="254"/>
      <c r="O296" s="492"/>
      <c r="P296" s="254"/>
      <c r="Q296" s="492"/>
      <c r="R296" s="254"/>
      <c r="S296" s="492"/>
      <c r="T296" s="254"/>
      <c r="U296" s="492"/>
      <c r="V296" s="254"/>
      <c r="W296" s="492"/>
      <c r="X296" s="254"/>
      <c r="Y296" s="9"/>
      <c r="Z296" s="9"/>
      <c r="AA296" s="9"/>
      <c r="AB296" s="9"/>
      <c r="AC296" s="9"/>
      <c r="AD296" s="9"/>
      <c r="AE296" s="9"/>
      <c r="AF296" s="9"/>
      <c r="AG296" s="9"/>
      <c r="AH296" s="9"/>
      <c r="AI296" s="9"/>
      <c r="AJ296" s="9"/>
      <c r="AK296" s="9"/>
      <c r="AL296" s="9"/>
      <c r="AM296" s="9"/>
      <c r="AN296" s="9"/>
      <c r="AO296" s="9"/>
      <c r="AP296" s="9"/>
      <c r="AQ296" s="9"/>
      <c r="AR296" s="9"/>
      <c r="AS296" s="9"/>
      <c r="AT296" s="9"/>
    </row>
    <row r="297">
      <c r="A297" s="492"/>
      <c r="B297" s="254"/>
      <c r="C297" s="492"/>
      <c r="D297" s="254"/>
      <c r="E297" s="492"/>
      <c r="F297" s="254"/>
      <c r="G297" s="492"/>
      <c r="H297" s="254"/>
      <c r="I297" s="500"/>
      <c r="J297" s="181"/>
      <c r="K297" s="500"/>
      <c r="L297" s="181"/>
      <c r="M297" s="492"/>
      <c r="N297" s="254"/>
      <c r="O297" s="492"/>
      <c r="P297" s="254"/>
      <c r="Q297" s="492"/>
      <c r="R297" s="254"/>
      <c r="S297" s="492"/>
      <c r="T297" s="254"/>
      <c r="U297" s="492"/>
      <c r="V297" s="254"/>
      <c r="W297" s="492"/>
      <c r="X297" s="254"/>
      <c r="Y297" s="9"/>
      <c r="Z297" s="9"/>
      <c r="AA297" s="9"/>
      <c r="AB297" s="9"/>
      <c r="AC297" s="9"/>
      <c r="AD297" s="9"/>
      <c r="AE297" s="9"/>
      <c r="AF297" s="9"/>
      <c r="AG297" s="9"/>
      <c r="AH297" s="9"/>
      <c r="AI297" s="9"/>
      <c r="AJ297" s="9"/>
      <c r="AK297" s="9"/>
      <c r="AL297" s="9"/>
      <c r="AM297" s="9"/>
      <c r="AN297" s="9"/>
      <c r="AO297" s="9"/>
      <c r="AP297" s="9"/>
      <c r="AQ297" s="9"/>
      <c r="AR297" s="9"/>
      <c r="AS297" s="9"/>
      <c r="AT297" s="9"/>
    </row>
    <row r="298">
      <c r="A298" s="492"/>
      <c r="B298" s="254"/>
      <c r="C298" s="492"/>
      <c r="D298" s="254"/>
      <c r="E298" s="492"/>
      <c r="F298" s="254"/>
      <c r="G298" s="492"/>
      <c r="H298" s="254"/>
      <c r="I298" s="500"/>
      <c r="J298" s="181"/>
      <c r="K298" s="500"/>
      <c r="L298" s="181"/>
      <c r="M298" s="492"/>
      <c r="N298" s="254"/>
      <c r="O298" s="492"/>
      <c r="P298" s="254"/>
      <c r="Q298" s="492"/>
      <c r="R298" s="254"/>
      <c r="S298" s="492"/>
      <c r="T298" s="254"/>
      <c r="U298" s="492"/>
      <c r="V298" s="254"/>
      <c r="W298" s="492"/>
      <c r="X298" s="254"/>
      <c r="Y298" s="9"/>
      <c r="Z298" s="9"/>
      <c r="AA298" s="9"/>
      <c r="AB298" s="9"/>
      <c r="AC298" s="9"/>
      <c r="AD298" s="9"/>
      <c r="AE298" s="9"/>
      <c r="AF298" s="9"/>
      <c r="AG298" s="9"/>
      <c r="AH298" s="9"/>
      <c r="AI298" s="9"/>
      <c r="AJ298" s="9"/>
      <c r="AK298" s="9"/>
      <c r="AL298" s="9"/>
      <c r="AM298" s="9"/>
      <c r="AN298" s="9"/>
      <c r="AO298" s="9"/>
      <c r="AP298" s="9"/>
      <c r="AQ298" s="9"/>
      <c r="AR298" s="9"/>
      <c r="AS298" s="9"/>
      <c r="AT298" s="9"/>
    </row>
    <row r="299">
      <c r="A299" s="492"/>
      <c r="B299" s="254"/>
      <c r="C299" s="492"/>
      <c r="D299" s="254"/>
      <c r="E299" s="492"/>
      <c r="F299" s="254"/>
      <c r="G299" s="492"/>
      <c r="H299" s="254"/>
      <c r="I299" s="500"/>
      <c r="J299" s="181"/>
      <c r="K299" s="500"/>
      <c r="L299" s="181"/>
      <c r="M299" s="492"/>
      <c r="N299" s="254"/>
      <c r="O299" s="492"/>
      <c r="P299" s="254"/>
      <c r="Q299" s="492"/>
      <c r="R299" s="254"/>
      <c r="S299" s="492"/>
      <c r="T299" s="254"/>
      <c r="U299" s="492"/>
      <c r="V299" s="254"/>
      <c r="W299" s="492"/>
      <c r="X299" s="254"/>
      <c r="Y299" s="9"/>
      <c r="Z299" s="9"/>
      <c r="AA299" s="9"/>
      <c r="AB299" s="9"/>
      <c r="AC299" s="9"/>
      <c r="AD299" s="9"/>
      <c r="AE299" s="9"/>
      <c r="AF299" s="9"/>
      <c r="AG299" s="9"/>
      <c r="AH299" s="9"/>
      <c r="AI299" s="9"/>
      <c r="AJ299" s="9"/>
      <c r="AK299" s="9"/>
      <c r="AL299" s="9"/>
      <c r="AM299" s="9"/>
      <c r="AN299" s="9"/>
      <c r="AO299" s="9"/>
      <c r="AP299" s="9"/>
      <c r="AQ299" s="9"/>
      <c r="AR299" s="9"/>
      <c r="AS299" s="9"/>
      <c r="AT299" s="9"/>
    </row>
    <row r="300">
      <c r="A300" s="492"/>
      <c r="B300" s="254"/>
      <c r="C300" s="492"/>
      <c r="D300" s="254"/>
      <c r="E300" s="492"/>
      <c r="F300" s="254"/>
      <c r="G300" s="492"/>
      <c r="H300" s="254"/>
      <c r="I300" s="500"/>
      <c r="J300" s="181"/>
      <c r="K300" s="500"/>
      <c r="L300" s="181"/>
      <c r="M300" s="492"/>
      <c r="N300" s="254"/>
      <c r="O300" s="492"/>
      <c r="P300" s="254"/>
      <c r="Q300" s="492"/>
      <c r="R300" s="254"/>
      <c r="S300" s="492"/>
      <c r="T300" s="254"/>
      <c r="U300" s="492"/>
      <c r="V300" s="254"/>
      <c r="W300" s="492"/>
      <c r="X300" s="254"/>
      <c r="Y300" s="9"/>
      <c r="Z300" s="9"/>
      <c r="AA300" s="9"/>
      <c r="AB300" s="9"/>
      <c r="AC300" s="9"/>
      <c r="AD300" s="9"/>
      <c r="AE300" s="9"/>
      <c r="AF300" s="9"/>
      <c r="AG300" s="9"/>
      <c r="AH300" s="9"/>
      <c r="AI300" s="9"/>
      <c r="AJ300" s="9"/>
      <c r="AK300" s="9"/>
      <c r="AL300" s="9"/>
      <c r="AM300" s="9"/>
      <c r="AN300" s="9"/>
      <c r="AO300" s="9"/>
      <c r="AP300" s="9"/>
      <c r="AQ300" s="9"/>
      <c r="AR300" s="9"/>
      <c r="AS300" s="9"/>
      <c r="AT300" s="9"/>
    </row>
    <row r="301">
      <c r="A301" s="492"/>
      <c r="B301" s="254"/>
      <c r="C301" s="492"/>
      <c r="D301" s="254"/>
      <c r="E301" s="492"/>
      <c r="F301" s="254"/>
      <c r="G301" s="492"/>
      <c r="H301" s="254"/>
      <c r="I301" s="500"/>
      <c r="J301" s="181"/>
      <c r="K301" s="500"/>
      <c r="L301" s="181"/>
      <c r="M301" s="492"/>
      <c r="N301" s="254"/>
      <c r="O301" s="492"/>
      <c r="P301" s="254"/>
      <c r="Q301" s="492"/>
      <c r="R301" s="254"/>
      <c r="S301" s="492"/>
      <c r="T301" s="254"/>
      <c r="U301" s="492"/>
      <c r="V301" s="254"/>
      <c r="W301" s="492"/>
      <c r="X301" s="254"/>
      <c r="Y301" s="9"/>
      <c r="Z301" s="9"/>
      <c r="AA301" s="9"/>
      <c r="AB301" s="9"/>
      <c r="AC301" s="9"/>
      <c r="AD301" s="9"/>
      <c r="AE301" s="9"/>
      <c r="AF301" s="9"/>
      <c r="AG301" s="9"/>
      <c r="AH301" s="9"/>
      <c r="AI301" s="9"/>
      <c r="AJ301" s="9"/>
      <c r="AK301" s="9"/>
      <c r="AL301" s="9"/>
      <c r="AM301" s="9"/>
      <c r="AN301" s="9"/>
      <c r="AO301" s="9"/>
      <c r="AP301" s="9"/>
      <c r="AQ301" s="9"/>
      <c r="AR301" s="9"/>
      <c r="AS301" s="9"/>
      <c r="AT301" s="9"/>
    </row>
    <row r="302">
      <c r="A302" s="492"/>
      <c r="B302" s="254"/>
      <c r="C302" s="492"/>
      <c r="D302" s="254"/>
      <c r="E302" s="492"/>
      <c r="F302" s="254"/>
      <c r="G302" s="492"/>
      <c r="H302" s="254"/>
      <c r="I302" s="500"/>
      <c r="J302" s="181"/>
      <c r="K302" s="500"/>
      <c r="L302" s="181"/>
      <c r="M302" s="492"/>
      <c r="N302" s="254"/>
      <c r="O302" s="492"/>
      <c r="P302" s="254"/>
      <c r="Q302" s="492"/>
      <c r="R302" s="254"/>
      <c r="S302" s="500"/>
      <c r="T302" s="181"/>
      <c r="U302" s="492"/>
      <c r="V302" s="254"/>
      <c r="W302" s="492"/>
      <c r="X302" s="254"/>
      <c r="Y302" s="9"/>
      <c r="Z302" s="9"/>
      <c r="AA302" s="9"/>
      <c r="AB302" s="9"/>
      <c r="AC302" s="9"/>
      <c r="AD302" s="9"/>
      <c r="AE302" s="9"/>
      <c r="AF302" s="9"/>
      <c r="AG302" s="9"/>
      <c r="AH302" s="9"/>
      <c r="AI302" s="9"/>
      <c r="AJ302" s="9"/>
      <c r="AK302" s="9"/>
      <c r="AL302" s="9"/>
      <c r="AM302" s="9"/>
      <c r="AN302" s="9"/>
      <c r="AO302" s="9"/>
      <c r="AP302" s="9"/>
      <c r="AQ302" s="9"/>
      <c r="AR302" s="9"/>
      <c r="AS302" s="9"/>
      <c r="AT302" s="9"/>
    </row>
    <row r="303">
      <c r="A303" s="492"/>
      <c r="B303" s="254"/>
      <c r="C303" s="492"/>
      <c r="D303" s="254"/>
      <c r="E303" s="492"/>
      <c r="F303" s="254"/>
      <c r="G303" s="492"/>
      <c r="H303" s="254"/>
      <c r="I303" s="500"/>
      <c r="J303" s="181"/>
      <c r="K303" s="500"/>
      <c r="L303" s="181"/>
      <c r="M303" s="492"/>
      <c r="N303" s="254"/>
      <c r="O303" s="492"/>
      <c r="P303" s="254"/>
      <c r="Q303" s="492"/>
      <c r="R303" s="254"/>
      <c r="S303" s="500"/>
      <c r="T303" s="181"/>
      <c r="U303" s="492"/>
      <c r="V303" s="254"/>
      <c r="W303" s="492"/>
      <c r="X303" s="254"/>
      <c r="Y303" s="9"/>
      <c r="Z303" s="9"/>
      <c r="AA303" s="9"/>
      <c r="AB303" s="9"/>
      <c r="AC303" s="9"/>
      <c r="AD303" s="9"/>
      <c r="AE303" s="9"/>
      <c r="AF303" s="9"/>
      <c r="AG303" s="9"/>
      <c r="AH303" s="9"/>
      <c r="AI303" s="9"/>
      <c r="AJ303" s="9"/>
      <c r="AK303" s="9"/>
      <c r="AL303" s="9"/>
      <c r="AM303" s="9"/>
      <c r="AN303" s="9"/>
      <c r="AO303" s="9"/>
      <c r="AP303" s="9"/>
      <c r="AQ303" s="9"/>
      <c r="AR303" s="9"/>
      <c r="AS303" s="9"/>
      <c r="AT303" s="9"/>
    </row>
    <row r="304">
      <c r="A304" s="492"/>
      <c r="B304" s="254"/>
      <c r="C304" s="492"/>
      <c r="D304" s="254"/>
      <c r="E304" s="492"/>
      <c r="F304" s="254"/>
      <c r="G304" s="492"/>
      <c r="H304" s="254"/>
      <c r="I304" s="500"/>
      <c r="J304" s="181"/>
      <c r="K304" s="500"/>
      <c r="L304" s="181"/>
      <c r="M304" s="492"/>
      <c r="N304" s="254"/>
      <c r="O304" s="492"/>
      <c r="P304" s="254"/>
      <c r="Q304" s="492"/>
      <c r="R304" s="254"/>
      <c r="S304" s="500"/>
      <c r="T304" s="181"/>
      <c r="U304" s="492"/>
      <c r="V304" s="254"/>
      <c r="W304" s="492"/>
      <c r="X304" s="254"/>
      <c r="Y304" s="9"/>
      <c r="Z304" s="9"/>
      <c r="AA304" s="9"/>
      <c r="AB304" s="9"/>
      <c r="AC304" s="9"/>
      <c r="AD304" s="9"/>
      <c r="AE304" s="9"/>
      <c r="AF304" s="9"/>
      <c r="AG304" s="9"/>
      <c r="AH304" s="9"/>
      <c r="AI304" s="9"/>
      <c r="AJ304" s="9"/>
      <c r="AK304" s="9"/>
      <c r="AL304" s="9"/>
      <c r="AM304" s="9"/>
      <c r="AN304" s="9"/>
      <c r="AO304" s="9"/>
      <c r="AP304" s="9"/>
      <c r="AQ304" s="9"/>
      <c r="AR304" s="9"/>
      <c r="AS304" s="9"/>
      <c r="AT304" s="9"/>
    </row>
    <row r="305">
      <c r="A305" s="492"/>
      <c r="B305" s="254"/>
      <c r="C305" s="492"/>
      <c r="D305" s="254"/>
      <c r="E305" s="492"/>
      <c r="F305" s="254"/>
      <c r="G305" s="492"/>
      <c r="H305" s="254"/>
      <c r="I305" s="500"/>
      <c r="J305" s="181"/>
      <c r="K305" s="500"/>
      <c r="L305" s="181"/>
      <c r="M305" s="492"/>
      <c r="N305" s="254"/>
      <c r="O305" s="492"/>
      <c r="P305" s="254"/>
      <c r="Q305" s="492"/>
      <c r="R305" s="254"/>
      <c r="S305" s="500"/>
      <c r="T305" s="181"/>
      <c r="U305" s="492"/>
      <c r="V305" s="254"/>
      <c r="W305" s="492"/>
      <c r="X305" s="254"/>
      <c r="Y305" s="9"/>
      <c r="Z305" s="9"/>
      <c r="AA305" s="9"/>
      <c r="AB305" s="9"/>
      <c r="AC305" s="9"/>
      <c r="AD305" s="9"/>
      <c r="AE305" s="9"/>
      <c r="AF305" s="9"/>
      <c r="AG305" s="9"/>
      <c r="AH305" s="9"/>
      <c r="AI305" s="9"/>
      <c r="AJ305" s="9"/>
      <c r="AK305" s="9"/>
      <c r="AL305" s="9"/>
      <c r="AM305" s="9"/>
      <c r="AN305" s="9"/>
      <c r="AO305" s="9"/>
      <c r="AP305" s="9"/>
      <c r="AQ305" s="9"/>
      <c r="AR305" s="9"/>
      <c r="AS305" s="9"/>
      <c r="AT305" s="9"/>
    </row>
    <row r="306">
      <c r="A306" s="492"/>
      <c r="B306" s="254"/>
      <c r="C306" s="492"/>
      <c r="D306" s="254"/>
      <c r="E306" s="492"/>
      <c r="F306" s="254"/>
      <c r="G306" s="492"/>
      <c r="H306" s="254"/>
      <c r="I306" s="500"/>
      <c r="J306" s="181"/>
      <c r="K306" s="500"/>
      <c r="L306" s="181"/>
      <c r="M306" s="492"/>
      <c r="N306" s="254"/>
      <c r="O306" s="492"/>
      <c r="P306" s="254"/>
      <c r="Q306" s="492"/>
      <c r="R306" s="254"/>
      <c r="S306" s="500"/>
      <c r="T306" s="181"/>
      <c r="U306" s="492"/>
      <c r="V306" s="254"/>
      <c r="W306" s="492"/>
      <c r="X306" s="254"/>
      <c r="Y306" s="9"/>
      <c r="Z306" s="9"/>
      <c r="AA306" s="9"/>
      <c r="AB306" s="9"/>
      <c r="AC306" s="9"/>
      <c r="AD306" s="9"/>
      <c r="AE306" s="9"/>
      <c r="AF306" s="9"/>
      <c r="AG306" s="9"/>
      <c r="AH306" s="9"/>
      <c r="AI306" s="9"/>
      <c r="AJ306" s="9"/>
      <c r="AK306" s="9"/>
      <c r="AL306" s="9"/>
      <c r="AM306" s="9"/>
      <c r="AN306" s="9"/>
      <c r="AO306" s="9"/>
      <c r="AP306" s="9"/>
      <c r="AQ306" s="9"/>
      <c r="AR306" s="9"/>
      <c r="AS306" s="9"/>
      <c r="AT306" s="9"/>
    </row>
    <row r="307">
      <c r="A307" s="492"/>
      <c r="B307" s="254"/>
      <c r="C307" s="492"/>
      <c r="D307" s="254"/>
      <c r="E307" s="492"/>
      <c r="F307" s="254"/>
      <c r="G307" s="492"/>
      <c r="H307" s="254"/>
      <c r="I307" s="500"/>
      <c r="J307" s="181"/>
      <c r="K307" s="500"/>
      <c r="L307" s="181"/>
      <c r="M307" s="492"/>
      <c r="N307" s="254"/>
      <c r="O307" s="492"/>
      <c r="P307" s="254"/>
      <c r="Q307" s="492"/>
      <c r="R307" s="254"/>
      <c r="S307" s="500"/>
      <c r="T307" s="181"/>
      <c r="U307" s="492"/>
      <c r="V307" s="254"/>
      <c r="W307" s="492"/>
      <c r="X307" s="254"/>
      <c r="Y307" s="9"/>
      <c r="Z307" s="9"/>
      <c r="AA307" s="9"/>
      <c r="AB307" s="9"/>
      <c r="AC307" s="9"/>
      <c r="AD307" s="9"/>
      <c r="AE307" s="9"/>
      <c r="AF307" s="9"/>
      <c r="AG307" s="9"/>
      <c r="AH307" s="9"/>
      <c r="AI307" s="9"/>
      <c r="AJ307" s="9"/>
      <c r="AK307" s="9"/>
      <c r="AL307" s="9"/>
      <c r="AM307" s="9"/>
      <c r="AN307" s="9"/>
      <c r="AO307" s="9"/>
      <c r="AP307" s="9"/>
      <c r="AQ307" s="9"/>
      <c r="AR307" s="9"/>
      <c r="AS307" s="9"/>
      <c r="AT307" s="9"/>
    </row>
    <row r="308">
      <c r="A308" s="492"/>
      <c r="B308" s="254"/>
      <c r="C308" s="492"/>
      <c r="D308" s="254"/>
      <c r="E308" s="492"/>
      <c r="F308" s="254"/>
      <c r="G308" s="492"/>
      <c r="H308" s="254"/>
      <c r="I308" s="500"/>
      <c r="J308" s="181"/>
      <c r="K308" s="500"/>
      <c r="L308" s="181"/>
      <c r="M308" s="492"/>
      <c r="N308" s="254"/>
      <c r="O308" s="492"/>
      <c r="P308" s="254"/>
      <c r="Q308" s="492"/>
      <c r="R308" s="254"/>
      <c r="S308" s="500"/>
      <c r="T308" s="181"/>
      <c r="U308" s="492"/>
      <c r="V308" s="254"/>
      <c r="W308" s="492"/>
      <c r="X308" s="254"/>
      <c r="Y308" s="9"/>
      <c r="Z308" s="9"/>
      <c r="AA308" s="9"/>
      <c r="AB308" s="9"/>
      <c r="AC308" s="9"/>
      <c r="AD308" s="9"/>
      <c r="AE308" s="9"/>
      <c r="AF308" s="9"/>
      <c r="AG308" s="9"/>
      <c r="AH308" s="9"/>
      <c r="AI308" s="9"/>
      <c r="AJ308" s="9"/>
      <c r="AK308" s="9"/>
      <c r="AL308" s="9"/>
      <c r="AM308" s="9"/>
      <c r="AN308" s="9"/>
      <c r="AO308" s="9"/>
      <c r="AP308" s="9"/>
      <c r="AQ308" s="9"/>
      <c r="AR308" s="9"/>
      <c r="AS308" s="9"/>
      <c r="AT308" s="9"/>
    </row>
    <row r="309">
      <c r="A309" s="492"/>
      <c r="B309" s="254"/>
      <c r="C309" s="492"/>
      <c r="D309" s="254"/>
      <c r="E309" s="492"/>
      <c r="F309" s="254"/>
      <c r="G309" s="492"/>
      <c r="H309" s="254"/>
      <c r="I309" s="500"/>
      <c r="J309" s="181"/>
      <c r="K309" s="500"/>
      <c r="L309" s="181"/>
      <c r="M309" s="492"/>
      <c r="N309" s="254"/>
      <c r="O309" s="492"/>
      <c r="P309" s="254"/>
      <c r="Q309" s="492"/>
      <c r="R309" s="254"/>
      <c r="S309" s="500"/>
      <c r="T309" s="181"/>
      <c r="U309" s="492"/>
      <c r="V309" s="254"/>
      <c r="W309" s="492"/>
      <c r="X309" s="254"/>
      <c r="Y309" s="9"/>
      <c r="Z309" s="9"/>
      <c r="AA309" s="9"/>
      <c r="AB309" s="9"/>
      <c r="AC309" s="9"/>
      <c r="AD309" s="9"/>
      <c r="AE309" s="9"/>
      <c r="AF309" s="9"/>
      <c r="AG309" s="9"/>
      <c r="AH309" s="9"/>
      <c r="AI309" s="9"/>
      <c r="AJ309" s="9"/>
      <c r="AK309" s="9"/>
      <c r="AL309" s="9"/>
      <c r="AM309" s="9"/>
      <c r="AN309" s="9"/>
      <c r="AO309" s="9"/>
      <c r="AP309" s="9"/>
      <c r="AQ309" s="9"/>
      <c r="AR309" s="9"/>
      <c r="AS309" s="9"/>
      <c r="AT309" s="9"/>
    </row>
    <row r="310">
      <c r="A310" s="492"/>
      <c r="B310" s="254"/>
      <c r="C310" s="492"/>
      <c r="D310" s="254"/>
      <c r="E310" s="492"/>
      <c r="F310" s="254"/>
      <c r="G310" s="492"/>
      <c r="H310" s="254"/>
      <c r="I310" s="500"/>
      <c r="J310" s="181"/>
      <c r="K310" s="500"/>
      <c r="L310" s="181"/>
      <c r="M310" s="492"/>
      <c r="N310" s="254"/>
      <c r="O310" s="492"/>
      <c r="P310" s="254"/>
      <c r="Q310" s="492"/>
      <c r="R310" s="254"/>
      <c r="S310" s="500"/>
      <c r="T310" s="181"/>
      <c r="U310" s="492"/>
      <c r="V310" s="254"/>
      <c r="W310" s="492"/>
      <c r="X310" s="254"/>
      <c r="Y310" s="9"/>
      <c r="Z310" s="9"/>
      <c r="AA310" s="9"/>
      <c r="AB310" s="9"/>
      <c r="AC310" s="9"/>
      <c r="AD310" s="9"/>
      <c r="AE310" s="9"/>
      <c r="AF310" s="9"/>
      <c r="AG310" s="9"/>
      <c r="AH310" s="9"/>
      <c r="AI310" s="9"/>
      <c r="AJ310" s="9"/>
      <c r="AK310" s="9"/>
      <c r="AL310" s="9"/>
      <c r="AM310" s="9"/>
      <c r="AN310" s="9"/>
      <c r="AO310" s="9"/>
      <c r="AP310" s="9"/>
      <c r="AQ310" s="9"/>
      <c r="AR310" s="9"/>
      <c r="AS310" s="9"/>
      <c r="AT310" s="9"/>
    </row>
    <row r="311">
      <c r="A311" s="492"/>
      <c r="B311" s="254"/>
      <c r="C311" s="492"/>
      <c r="D311" s="254"/>
      <c r="E311" s="492"/>
      <c r="F311" s="254"/>
      <c r="G311" s="492"/>
      <c r="H311" s="254"/>
      <c r="I311" s="500"/>
      <c r="J311" s="181"/>
      <c r="K311" s="500"/>
      <c r="L311" s="181"/>
      <c r="M311" s="492"/>
      <c r="N311" s="254"/>
      <c r="O311" s="492"/>
      <c r="P311" s="254"/>
      <c r="Q311" s="492"/>
      <c r="R311" s="254"/>
      <c r="S311" s="500"/>
      <c r="T311" s="181"/>
      <c r="U311" s="492"/>
      <c r="V311" s="254"/>
      <c r="W311" s="492"/>
      <c r="X311" s="254"/>
      <c r="Y311" s="9"/>
      <c r="Z311" s="9"/>
      <c r="AA311" s="9"/>
      <c r="AB311" s="9"/>
      <c r="AC311" s="9"/>
      <c r="AD311" s="9"/>
      <c r="AE311" s="9"/>
      <c r="AF311" s="9"/>
      <c r="AG311" s="9"/>
      <c r="AH311" s="9"/>
      <c r="AI311" s="9"/>
      <c r="AJ311" s="9"/>
      <c r="AK311" s="9"/>
      <c r="AL311" s="9"/>
      <c r="AM311" s="9"/>
      <c r="AN311" s="9"/>
      <c r="AO311" s="9"/>
      <c r="AP311" s="9"/>
      <c r="AQ311" s="9"/>
      <c r="AR311" s="9"/>
      <c r="AS311" s="9"/>
      <c r="AT311" s="9"/>
    </row>
    <row r="312">
      <c r="A312" s="492"/>
      <c r="B312" s="254"/>
      <c r="C312" s="492"/>
      <c r="D312" s="254"/>
      <c r="E312" s="492"/>
      <c r="F312" s="254"/>
      <c r="G312" s="492"/>
      <c r="H312" s="254"/>
      <c r="I312" s="500"/>
      <c r="J312" s="181"/>
      <c r="K312" s="500"/>
      <c r="L312" s="181"/>
      <c r="M312" s="492"/>
      <c r="N312" s="254"/>
      <c r="O312" s="492"/>
      <c r="P312" s="254"/>
      <c r="Q312" s="492"/>
      <c r="R312" s="254"/>
      <c r="S312" s="500"/>
      <c r="T312" s="181"/>
      <c r="U312" s="492"/>
      <c r="V312" s="254"/>
      <c r="W312" s="492"/>
      <c r="X312" s="254"/>
      <c r="Y312" s="9"/>
      <c r="Z312" s="9"/>
      <c r="AA312" s="9"/>
      <c r="AB312" s="9"/>
      <c r="AC312" s="9"/>
      <c r="AD312" s="9"/>
      <c r="AE312" s="9"/>
      <c r="AF312" s="9"/>
      <c r="AG312" s="9"/>
      <c r="AH312" s="9"/>
      <c r="AI312" s="9"/>
      <c r="AJ312" s="9"/>
      <c r="AK312" s="9"/>
      <c r="AL312" s="9"/>
      <c r="AM312" s="9"/>
      <c r="AN312" s="9"/>
      <c r="AO312" s="9"/>
      <c r="AP312" s="9"/>
      <c r="AQ312" s="9"/>
      <c r="AR312" s="9"/>
      <c r="AS312" s="9"/>
      <c r="AT312" s="9"/>
    </row>
    <row r="313">
      <c r="A313" s="492"/>
      <c r="B313" s="254"/>
      <c r="C313" s="492"/>
      <c r="D313" s="254"/>
      <c r="E313" s="492"/>
      <c r="F313" s="254"/>
      <c r="G313" s="492"/>
      <c r="H313" s="254"/>
      <c r="I313" s="500"/>
      <c r="J313" s="181"/>
      <c r="K313" s="500"/>
      <c r="L313" s="181"/>
      <c r="M313" s="492"/>
      <c r="N313" s="254"/>
      <c r="O313" s="492"/>
      <c r="P313" s="254"/>
      <c r="Q313" s="492"/>
      <c r="R313" s="254"/>
      <c r="S313" s="500"/>
      <c r="T313" s="181"/>
      <c r="U313" s="492"/>
      <c r="V313" s="254"/>
      <c r="W313" s="492"/>
      <c r="X313" s="254"/>
      <c r="Y313" s="9"/>
      <c r="Z313" s="9"/>
      <c r="AA313" s="9"/>
      <c r="AB313" s="9"/>
      <c r="AC313" s="9"/>
      <c r="AD313" s="9"/>
      <c r="AE313" s="9"/>
      <c r="AF313" s="9"/>
      <c r="AG313" s="9"/>
      <c r="AH313" s="9"/>
      <c r="AI313" s="9"/>
      <c r="AJ313" s="9"/>
      <c r="AK313" s="9"/>
      <c r="AL313" s="9"/>
      <c r="AM313" s="9"/>
      <c r="AN313" s="9"/>
      <c r="AO313" s="9"/>
      <c r="AP313" s="9"/>
      <c r="AQ313" s="9"/>
      <c r="AR313" s="9"/>
      <c r="AS313" s="9"/>
      <c r="AT313" s="9"/>
    </row>
    <row r="314">
      <c r="A314" s="492"/>
      <c r="B314" s="254"/>
      <c r="C314" s="492"/>
      <c r="D314" s="254"/>
      <c r="E314" s="492"/>
      <c r="F314" s="254"/>
      <c r="G314" s="492"/>
      <c r="H314" s="254"/>
      <c r="I314" s="500"/>
      <c r="J314" s="181"/>
      <c r="K314" s="500"/>
      <c r="L314" s="181"/>
      <c r="M314" s="492"/>
      <c r="N314" s="254"/>
      <c r="O314" s="492"/>
      <c r="P314" s="254"/>
      <c r="Q314" s="492"/>
      <c r="R314" s="254"/>
      <c r="S314" s="500"/>
      <c r="T314" s="181"/>
      <c r="U314" s="492"/>
      <c r="V314" s="254"/>
      <c r="W314" s="492"/>
      <c r="X314" s="254"/>
      <c r="Y314" s="9"/>
      <c r="Z314" s="9"/>
      <c r="AA314" s="9"/>
      <c r="AB314" s="9"/>
      <c r="AC314" s="9"/>
      <c r="AD314" s="9"/>
      <c r="AE314" s="9"/>
      <c r="AF314" s="9"/>
      <c r="AG314" s="9"/>
      <c r="AH314" s="9"/>
      <c r="AI314" s="9"/>
      <c r="AJ314" s="9"/>
      <c r="AK314" s="9"/>
      <c r="AL314" s="9"/>
      <c r="AM314" s="9"/>
      <c r="AN314" s="9"/>
      <c r="AO314" s="9"/>
      <c r="AP314" s="9"/>
      <c r="AQ314" s="9"/>
      <c r="AR314" s="9"/>
      <c r="AS314" s="9"/>
      <c r="AT314" s="9"/>
    </row>
    <row r="315">
      <c r="A315" s="492"/>
      <c r="B315" s="254"/>
      <c r="C315" s="492"/>
      <c r="D315" s="254"/>
      <c r="E315" s="492"/>
      <c r="F315" s="254"/>
      <c r="G315" s="492"/>
      <c r="H315" s="254"/>
      <c r="I315" s="500"/>
      <c r="J315" s="181"/>
      <c r="K315" s="500"/>
      <c r="L315" s="181"/>
      <c r="M315" s="492"/>
      <c r="N315" s="254"/>
      <c r="O315" s="492"/>
      <c r="P315" s="254"/>
      <c r="Q315" s="492"/>
      <c r="R315" s="254"/>
      <c r="S315" s="500"/>
      <c r="T315" s="181"/>
      <c r="U315" s="492"/>
      <c r="V315" s="254"/>
      <c r="W315" s="492"/>
      <c r="X315" s="254"/>
      <c r="Y315" s="9"/>
      <c r="Z315" s="9"/>
      <c r="AA315" s="9"/>
      <c r="AB315" s="9"/>
      <c r="AC315" s="9"/>
      <c r="AD315" s="9"/>
      <c r="AE315" s="9"/>
      <c r="AF315" s="9"/>
      <c r="AG315" s="9"/>
      <c r="AH315" s="9"/>
      <c r="AI315" s="9"/>
      <c r="AJ315" s="9"/>
      <c r="AK315" s="9"/>
      <c r="AL315" s="9"/>
      <c r="AM315" s="9"/>
      <c r="AN315" s="9"/>
      <c r="AO315" s="9"/>
      <c r="AP315" s="9"/>
      <c r="AQ315" s="9"/>
      <c r="AR315" s="9"/>
      <c r="AS315" s="9"/>
      <c r="AT315" s="9"/>
    </row>
    <row r="316">
      <c r="A316" s="492"/>
      <c r="B316" s="254"/>
      <c r="C316" s="492"/>
      <c r="D316" s="254"/>
      <c r="E316" s="492"/>
      <c r="F316" s="254"/>
      <c r="G316" s="492"/>
      <c r="H316" s="254"/>
      <c r="I316" s="500"/>
      <c r="J316" s="181"/>
      <c r="K316" s="500"/>
      <c r="L316" s="181"/>
      <c r="M316" s="492"/>
      <c r="N316" s="254"/>
      <c r="O316" s="492"/>
      <c r="P316" s="254"/>
      <c r="Q316" s="492"/>
      <c r="R316" s="254"/>
      <c r="S316" s="500"/>
      <c r="T316" s="181"/>
      <c r="U316" s="492"/>
      <c r="V316" s="254"/>
      <c r="W316" s="492"/>
      <c r="X316" s="254"/>
      <c r="Y316" s="9"/>
      <c r="Z316" s="9"/>
      <c r="AA316" s="9"/>
      <c r="AB316" s="9"/>
      <c r="AC316" s="9"/>
      <c r="AD316" s="9"/>
      <c r="AE316" s="9"/>
      <c r="AF316" s="9"/>
      <c r="AG316" s="9"/>
      <c r="AH316" s="9"/>
      <c r="AI316" s="9"/>
      <c r="AJ316" s="9"/>
      <c r="AK316" s="9"/>
      <c r="AL316" s="9"/>
      <c r="AM316" s="9"/>
      <c r="AN316" s="9"/>
      <c r="AO316" s="9"/>
      <c r="AP316" s="9"/>
      <c r="AQ316" s="9"/>
      <c r="AR316" s="9"/>
      <c r="AS316" s="9"/>
      <c r="AT316" s="9"/>
    </row>
    <row r="317">
      <c r="A317" s="492"/>
      <c r="B317" s="254"/>
      <c r="C317" s="492"/>
      <c r="D317" s="254"/>
      <c r="E317" s="492"/>
      <c r="F317" s="254"/>
      <c r="G317" s="492"/>
      <c r="H317" s="254"/>
      <c r="I317" s="500"/>
      <c r="J317" s="181"/>
      <c r="K317" s="500"/>
      <c r="L317" s="181"/>
      <c r="M317" s="492"/>
      <c r="N317" s="254"/>
      <c r="O317" s="492"/>
      <c r="P317" s="254"/>
      <c r="Q317" s="492"/>
      <c r="R317" s="254"/>
      <c r="S317" s="500"/>
      <c r="T317" s="181"/>
      <c r="U317" s="492"/>
      <c r="V317" s="254"/>
      <c r="W317" s="492"/>
      <c r="X317" s="254"/>
      <c r="Y317" s="9"/>
      <c r="Z317" s="9"/>
      <c r="AA317" s="9"/>
      <c r="AB317" s="9"/>
      <c r="AC317" s="9"/>
      <c r="AD317" s="9"/>
      <c r="AE317" s="9"/>
      <c r="AF317" s="9"/>
      <c r="AG317" s="9"/>
      <c r="AH317" s="9"/>
      <c r="AI317" s="9"/>
      <c r="AJ317" s="9"/>
      <c r="AK317" s="9"/>
      <c r="AL317" s="9"/>
      <c r="AM317" s="9"/>
      <c r="AN317" s="9"/>
      <c r="AO317" s="9"/>
      <c r="AP317" s="9"/>
      <c r="AQ317" s="9"/>
      <c r="AR317" s="9"/>
      <c r="AS317" s="9"/>
      <c r="AT317" s="9"/>
    </row>
    <row r="318">
      <c r="A318" s="492"/>
      <c r="B318" s="254"/>
      <c r="C318" s="492"/>
      <c r="D318" s="254"/>
      <c r="E318" s="492"/>
      <c r="F318" s="254"/>
      <c r="G318" s="492"/>
      <c r="H318" s="254"/>
      <c r="I318" s="500"/>
      <c r="J318" s="181"/>
      <c r="K318" s="500"/>
      <c r="L318" s="181"/>
      <c r="M318" s="492"/>
      <c r="N318" s="254"/>
      <c r="O318" s="492"/>
      <c r="P318" s="254"/>
      <c r="Q318" s="492"/>
      <c r="R318" s="254"/>
      <c r="S318" s="500"/>
      <c r="T318" s="181"/>
      <c r="U318" s="492"/>
      <c r="V318" s="254"/>
      <c r="W318" s="492"/>
      <c r="X318" s="254"/>
      <c r="Y318" s="9"/>
      <c r="Z318" s="9"/>
      <c r="AA318" s="9"/>
      <c r="AB318" s="9"/>
      <c r="AC318" s="9"/>
      <c r="AD318" s="9"/>
      <c r="AE318" s="9"/>
      <c r="AF318" s="9"/>
      <c r="AG318" s="9"/>
      <c r="AH318" s="9"/>
      <c r="AI318" s="9"/>
      <c r="AJ318" s="9"/>
      <c r="AK318" s="9"/>
      <c r="AL318" s="9"/>
      <c r="AM318" s="9"/>
      <c r="AN318" s="9"/>
      <c r="AO318" s="9"/>
      <c r="AP318" s="9"/>
      <c r="AQ318" s="9"/>
      <c r="AR318" s="9"/>
      <c r="AS318" s="9"/>
      <c r="AT318" s="9"/>
    </row>
    <row r="319">
      <c r="A319" s="492"/>
      <c r="B319" s="254"/>
      <c r="C319" s="492"/>
      <c r="D319" s="254"/>
      <c r="E319" s="492"/>
      <c r="F319" s="254"/>
      <c r="G319" s="492"/>
      <c r="H319" s="254"/>
      <c r="I319" s="500"/>
      <c r="J319" s="181"/>
      <c r="K319" s="500"/>
      <c r="L319" s="181"/>
      <c r="M319" s="492"/>
      <c r="N319" s="254"/>
      <c r="O319" s="492"/>
      <c r="P319" s="254"/>
      <c r="Q319" s="492"/>
      <c r="R319" s="254"/>
      <c r="S319" s="500"/>
      <c r="T319" s="181"/>
      <c r="U319" s="492"/>
      <c r="V319" s="254"/>
      <c r="W319" s="492"/>
      <c r="X319" s="254"/>
      <c r="Y319" s="9"/>
      <c r="Z319" s="9"/>
      <c r="AA319" s="9"/>
      <c r="AB319" s="9"/>
      <c r="AC319" s="9"/>
      <c r="AD319" s="9"/>
      <c r="AE319" s="9"/>
      <c r="AF319" s="9"/>
      <c r="AG319" s="9"/>
      <c r="AH319" s="9"/>
      <c r="AI319" s="9"/>
      <c r="AJ319" s="9"/>
      <c r="AK319" s="9"/>
      <c r="AL319" s="9"/>
      <c r="AM319" s="9"/>
      <c r="AN319" s="9"/>
      <c r="AO319" s="9"/>
      <c r="AP319" s="9"/>
      <c r="AQ319" s="9"/>
      <c r="AR319" s="9"/>
      <c r="AS319" s="9"/>
      <c r="AT319" s="9"/>
    </row>
    <row r="320">
      <c r="A320" s="492"/>
      <c r="B320" s="254"/>
      <c r="C320" s="492"/>
      <c r="D320" s="254"/>
      <c r="E320" s="492"/>
      <c r="F320" s="254"/>
      <c r="G320" s="492"/>
      <c r="H320" s="254"/>
      <c r="I320" s="500"/>
      <c r="J320" s="181"/>
      <c r="K320" s="500"/>
      <c r="L320" s="181"/>
      <c r="M320" s="492"/>
      <c r="N320" s="254"/>
      <c r="O320" s="492"/>
      <c r="P320" s="254"/>
      <c r="Q320" s="492"/>
      <c r="R320" s="254"/>
      <c r="S320" s="500"/>
      <c r="T320" s="181"/>
      <c r="U320" s="492"/>
      <c r="V320" s="254"/>
      <c r="W320" s="492"/>
      <c r="X320" s="254"/>
      <c r="Y320" s="9"/>
      <c r="Z320" s="9"/>
      <c r="AA320" s="9"/>
      <c r="AB320" s="9"/>
      <c r="AC320" s="9"/>
      <c r="AD320" s="9"/>
      <c r="AE320" s="9"/>
      <c r="AF320" s="9"/>
      <c r="AG320" s="9"/>
      <c r="AH320" s="9"/>
      <c r="AI320" s="9"/>
      <c r="AJ320" s="9"/>
      <c r="AK320" s="9"/>
      <c r="AL320" s="9"/>
      <c r="AM320" s="9"/>
      <c r="AN320" s="9"/>
      <c r="AO320" s="9"/>
      <c r="AP320" s="9"/>
      <c r="AQ320" s="9"/>
      <c r="AR320" s="9"/>
      <c r="AS320" s="9"/>
      <c r="AT320" s="9"/>
    </row>
    <row r="321">
      <c r="A321" s="492"/>
      <c r="B321" s="254"/>
      <c r="C321" s="492"/>
      <c r="D321" s="254"/>
      <c r="E321" s="492"/>
      <c r="F321" s="254"/>
      <c r="G321" s="492"/>
      <c r="H321" s="254"/>
      <c r="I321" s="500"/>
      <c r="J321" s="181"/>
      <c r="K321" s="500"/>
      <c r="L321" s="181"/>
      <c r="M321" s="492"/>
      <c r="N321" s="254"/>
      <c r="O321" s="492"/>
      <c r="P321" s="254"/>
      <c r="Q321" s="492"/>
      <c r="R321" s="254"/>
      <c r="S321" s="500"/>
      <c r="T321" s="181"/>
      <c r="U321" s="492"/>
      <c r="V321" s="254"/>
      <c r="W321" s="492"/>
      <c r="X321" s="254"/>
      <c r="Y321" s="9"/>
      <c r="Z321" s="9"/>
      <c r="AA321" s="9"/>
      <c r="AB321" s="9"/>
      <c r="AC321" s="9"/>
      <c r="AD321" s="9"/>
      <c r="AE321" s="9"/>
      <c r="AF321" s="9"/>
      <c r="AG321" s="9"/>
      <c r="AH321" s="9"/>
      <c r="AI321" s="9"/>
      <c r="AJ321" s="9"/>
      <c r="AK321" s="9"/>
      <c r="AL321" s="9"/>
      <c r="AM321" s="9"/>
      <c r="AN321" s="9"/>
      <c r="AO321" s="9"/>
      <c r="AP321" s="9"/>
      <c r="AQ321" s="9"/>
      <c r="AR321" s="9"/>
      <c r="AS321" s="9"/>
      <c r="AT321" s="9"/>
    </row>
    <row r="322">
      <c r="A322" s="492"/>
      <c r="B322" s="254"/>
      <c r="C322" s="492"/>
      <c r="D322" s="254"/>
      <c r="E322" s="492"/>
      <c r="F322" s="254"/>
      <c r="G322" s="492"/>
      <c r="H322" s="254"/>
      <c r="I322" s="500"/>
      <c r="J322" s="181"/>
      <c r="K322" s="500"/>
      <c r="L322" s="181"/>
      <c r="M322" s="492"/>
      <c r="N322" s="254"/>
      <c r="O322" s="492"/>
      <c r="P322" s="254"/>
      <c r="Q322" s="492"/>
      <c r="R322" s="254"/>
      <c r="S322" s="500"/>
      <c r="T322" s="181"/>
      <c r="U322" s="492"/>
      <c r="V322" s="254"/>
      <c r="W322" s="492"/>
      <c r="X322" s="254"/>
      <c r="Y322" s="9"/>
      <c r="Z322" s="9"/>
      <c r="AA322" s="9"/>
      <c r="AB322" s="9"/>
      <c r="AC322" s="9"/>
      <c r="AD322" s="9"/>
      <c r="AE322" s="9"/>
      <c r="AF322" s="9"/>
      <c r="AG322" s="9"/>
      <c r="AH322" s="9"/>
      <c r="AI322" s="9"/>
      <c r="AJ322" s="9"/>
      <c r="AK322" s="9"/>
      <c r="AL322" s="9"/>
      <c r="AM322" s="9"/>
      <c r="AN322" s="9"/>
      <c r="AO322" s="9"/>
      <c r="AP322" s="9"/>
      <c r="AQ322" s="9"/>
      <c r="AR322" s="9"/>
      <c r="AS322" s="9"/>
      <c r="AT322" s="9"/>
    </row>
    <row r="323">
      <c r="A323" s="492"/>
      <c r="B323" s="254"/>
      <c r="C323" s="492"/>
      <c r="D323" s="254"/>
      <c r="E323" s="492"/>
      <c r="F323" s="254"/>
      <c r="G323" s="492"/>
      <c r="H323" s="254"/>
      <c r="I323" s="500"/>
      <c r="J323" s="181"/>
      <c r="K323" s="500"/>
      <c r="L323" s="181"/>
      <c r="M323" s="492"/>
      <c r="N323" s="254"/>
      <c r="O323" s="492"/>
      <c r="P323" s="254"/>
      <c r="Q323" s="492"/>
      <c r="R323" s="254"/>
      <c r="S323" s="500"/>
      <c r="T323" s="181"/>
      <c r="U323" s="492"/>
      <c r="V323" s="254"/>
      <c r="W323" s="492"/>
      <c r="X323" s="254"/>
      <c r="Y323" s="9"/>
      <c r="Z323" s="9"/>
      <c r="AA323" s="9"/>
      <c r="AB323" s="9"/>
      <c r="AC323" s="9"/>
      <c r="AD323" s="9"/>
      <c r="AE323" s="9"/>
      <c r="AF323" s="9"/>
      <c r="AG323" s="9"/>
      <c r="AH323" s="9"/>
      <c r="AI323" s="9"/>
      <c r="AJ323" s="9"/>
      <c r="AK323" s="9"/>
      <c r="AL323" s="9"/>
      <c r="AM323" s="9"/>
      <c r="AN323" s="9"/>
      <c r="AO323" s="9"/>
      <c r="AP323" s="9"/>
      <c r="AQ323" s="9"/>
      <c r="AR323" s="9"/>
      <c r="AS323" s="9"/>
      <c r="AT323" s="9"/>
    </row>
    <row r="324">
      <c r="A324" s="492"/>
      <c r="B324" s="254"/>
      <c r="C324" s="492"/>
      <c r="D324" s="254"/>
      <c r="E324" s="492"/>
      <c r="F324" s="254"/>
      <c r="G324" s="492"/>
      <c r="H324" s="254"/>
      <c r="I324" s="500"/>
      <c r="J324" s="181"/>
      <c r="K324" s="500"/>
      <c r="L324" s="181"/>
      <c r="M324" s="492"/>
      <c r="N324" s="254"/>
      <c r="O324" s="492"/>
      <c r="P324" s="254"/>
      <c r="Q324" s="492"/>
      <c r="R324" s="254"/>
      <c r="S324" s="500"/>
      <c r="T324" s="181"/>
      <c r="U324" s="492"/>
      <c r="V324" s="254"/>
      <c r="W324" s="492"/>
      <c r="X324" s="254"/>
      <c r="Y324" s="9"/>
      <c r="Z324" s="9"/>
      <c r="AA324" s="9"/>
      <c r="AB324" s="9"/>
      <c r="AC324" s="9"/>
      <c r="AD324" s="9"/>
      <c r="AE324" s="9"/>
      <c r="AF324" s="9"/>
      <c r="AG324" s="9"/>
      <c r="AH324" s="9"/>
      <c r="AI324" s="9"/>
      <c r="AJ324" s="9"/>
      <c r="AK324" s="9"/>
      <c r="AL324" s="9"/>
      <c r="AM324" s="9"/>
      <c r="AN324" s="9"/>
      <c r="AO324" s="9"/>
      <c r="AP324" s="9"/>
      <c r="AQ324" s="9"/>
      <c r="AR324" s="9"/>
      <c r="AS324" s="9"/>
      <c r="AT324" s="9"/>
    </row>
    <row r="325">
      <c r="A325" s="492"/>
      <c r="B325" s="254"/>
      <c r="C325" s="492"/>
      <c r="D325" s="254"/>
      <c r="E325" s="492"/>
      <c r="F325" s="254"/>
      <c r="G325" s="492"/>
      <c r="H325" s="254"/>
      <c r="I325" s="500"/>
      <c r="J325" s="181"/>
      <c r="K325" s="500"/>
      <c r="L325" s="181"/>
      <c r="M325" s="492"/>
      <c r="N325" s="254"/>
      <c r="O325" s="492"/>
      <c r="P325" s="254"/>
      <c r="Q325" s="492"/>
      <c r="R325" s="254"/>
      <c r="S325" s="500"/>
      <c r="T325" s="181"/>
      <c r="U325" s="492"/>
      <c r="V325" s="254"/>
      <c r="W325" s="492"/>
      <c r="X325" s="254"/>
      <c r="Y325" s="9"/>
      <c r="Z325" s="9"/>
      <c r="AA325" s="9"/>
      <c r="AB325" s="9"/>
      <c r="AC325" s="9"/>
      <c r="AD325" s="9"/>
      <c r="AE325" s="9"/>
      <c r="AF325" s="9"/>
      <c r="AG325" s="9"/>
      <c r="AH325" s="9"/>
      <c r="AI325" s="9"/>
      <c r="AJ325" s="9"/>
      <c r="AK325" s="9"/>
      <c r="AL325" s="9"/>
      <c r="AM325" s="9"/>
      <c r="AN325" s="9"/>
      <c r="AO325" s="9"/>
      <c r="AP325" s="9"/>
      <c r="AQ325" s="9"/>
      <c r="AR325" s="9"/>
      <c r="AS325" s="9"/>
      <c r="AT325" s="9"/>
    </row>
    <row r="326">
      <c r="A326" s="492"/>
      <c r="B326" s="254"/>
      <c r="C326" s="492"/>
      <c r="D326" s="254"/>
      <c r="E326" s="492"/>
      <c r="F326" s="254"/>
      <c r="G326" s="492"/>
      <c r="H326" s="254"/>
      <c r="I326" s="500"/>
      <c r="J326" s="181"/>
      <c r="K326" s="500"/>
      <c r="L326" s="181"/>
      <c r="M326" s="492"/>
      <c r="N326" s="254"/>
      <c r="O326" s="492"/>
      <c r="P326" s="254"/>
      <c r="Q326" s="492"/>
      <c r="R326" s="254"/>
      <c r="S326" s="500"/>
      <c r="T326" s="181"/>
      <c r="U326" s="492"/>
      <c r="V326" s="254"/>
      <c r="W326" s="492"/>
      <c r="X326" s="254"/>
      <c r="Y326" s="9"/>
      <c r="Z326" s="9"/>
      <c r="AA326" s="9"/>
      <c r="AB326" s="9"/>
      <c r="AC326" s="9"/>
      <c r="AD326" s="9"/>
      <c r="AE326" s="9"/>
      <c r="AF326" s="9"/>
      <c r="AG326" s="9"/>
      <c r="AH326" s="9"/>
      <c r="AI326" s="9"/>
      <c r="AJ326" s="9"/>
      <c r="AK326" s="9"/>
      <c r="AL326" s="9"/>
      <c r="AM326" s="9"/>
      <c r="AN326" s="9"/>
      <c r="AO326" s="9"/>
      <c r="AP326" s="9"/>
      <c r="AQ326" s="9"/>
      <c r="AR326" s="9"/>
      <c r="AS326" s="9"/>
      <c r="AT326" s="9"/>
    </row>
    <row r="327">
      <c r="A327" s="492"/>
      <c r="B327" s="254"/>
      <c r="C327" s="492"/>
      <c r="D327" s="254"/>
      <c r="E327" s="492"/>
      <c r="F327" s="254"/>
      <c r="G327" s="492"/>
      <c r="H327" s="254"/>
      <c r="I327" s="500"/>
      <c r="J327" s="181"/>
      <c r="K327" s="500"/>
      <c r="L327" s="181"/>
      <c r="M327" s="492"/>
      <c r="N327" s="254"/>
      <c r="O327" s="492"/>
      <c r="P327" s="254"/>
      <c r="Q327" s="492"/>
      <c r="R327" s="254"/>
      <c r="S327" s="500"/>
      <c r="T327" s="181"/>
      <c r="U327" s="492"/>
      <c r="V327" s="254"/>
      <c r="W327" s="492"/>
      <c r="X327" s="254"/>
      <c r="Y327" s="9"/>
      <c r="Z327" s="9"/>
      <c r="AA327" s="9"/>
      <c r="AB327" s="9"/>
      <c r="AC327" s="9"/>
      <c r="AD327" s="9"/>
      <c r="AE327" s="9"/>
      <c r="AF327" s="9"/>
      <c r="AG327" s="9"/>
      <c r="AH327" s="9"/>
      <c r="AI327" s="9"/>
      <c r="AJ327" s="9"/>
      <c r="AK327" s="9"/>
      <c r="AL327" s="9"/>
      <c r="AM327" s="9"/>
      <c r="AN327" s="9"/>
      <c r="AO327" s="9"/>
      <c r="AP327" s="9"/>
      <c r="AQ327" s="9"/>
      <c r="AR327" s="9"/>
      <c r="AS327" s="9"/>
      <c r="AT327" s="9"/>
    </row>
    <row r="328">
      <c r="A328" s="492"/>
      <c r="B328" s="254"/>
      <c r="C328" s="492"/>
      <c r="D328" s="254"/>
      <c r="E328" s="492"/>
      <c r="F328" s="254"/>
      <c r="G328" s="492"/>
      <c r="H328" s="254"/>
      <c r="I328" s="500"/>
      <c r="J328" s="181"/>
      <c r="K328" s="500"/>
      <c r="L328" s="181"/>
      <c r="M328" s="492"/>
      <c r="N328" s="254"/>
      <c r="O328" s="492"/>
      <c r="P328" s="254"/>
      <c r="Q328" s="492"/>
      <c r="R328" s="254"/>
      <c r="S328" s="500"/>
      <c r="T328" s="181"/>
      <c r="U328" s="492"/>
      <c r="V328" s="254"/>
      <c r="W328" s="492"/>
      <c r="X328" s="254"/>
      <c r="Y328" s="9"/>
      <c r="Z328" s="9"/>
      <c r="AA328" s="9"/>
      <c r="AB328" s="9"/>
      <c r="AC328" s="9"/>
      <c r="AD328" s="9"/>
      <c r="AE328" s="9"/>
      <c r="AF328" s="9"/>
      <c r="AG328" s="9"/>
      <c r="AH328" s="9"/>
      <c r="AI328" s="9"/>
      <c r="AJ328" s="9"/>
      <c r="AK328" s="9"/>
      <c r="AL328" s="9"/>
      <c r="AM328" s="9"/>
      <c r="AN328" s="9"/>
      <c r="AO328" s="9"/>
      <c r="AP328" s="9"/>
      <c r="AQ328" s="9"/>
      <c r="AR328" s="9"/>
      <c r="AS328" s="9"/>
      <c r="AT328" s="9"/>
    </row>
    <row r="329">
      <c r="A329" s="492"/>
      <c r="B329" s="254"/>
      <c r="C329" s="492"/>
      <c r="D329" s="254"/>
      <c r="E329" s="492"/>
      <c r="F329" s="254"/>
      <c r="G329" s="492"/>
      <c r="H329" s="254"/>
      <c r="I329" s="500"/>
      <c r="J329" s="181"/>
      <c r="K329" s="500"/>
      <c r="L329" s="181"/>
      <c r="M329" s="492"/>
      <c r="N329" s="254"/>
      <c r="O329" s="492"/>
      <c r="P329" s="254"/>
      <c r="Q329" s="492"/>
      <c r="R329" s="254"/>
      <c r="S329" s="500"/>
      <c r="T329" s="181"/>
      <c r="U329" s="492"/>
      <c r="V329" s="254"/>
      <c r="W329" s="492"/>
      <c r="X329" s="254"/>
      <c r="Y329" s="9"/>
      <c r="Z329" s="9"/>
      <c r="AA329" s="9"/>
      <c r="AB329" s="9"/>
      <c r="AC329" s="9"/>
      <c r="AD329" s="9"/>
      <c r="AE329" s="9"/>
      <c r="AF329" s="9"/>
      <c r="AG329" s="9"/>
      <c r="AH329" s="9"/>
      <c r="AI329" s="9"/>
      <c r="AJ329" s="9"/>
      <c r="AK329" s="9"/>
      <c r="AL329" s="9"/>
      <c r="AM329" s="9"/>
      <c r="AN329" s="9"/>
      <c r="AO329" s="9"/>
      <c r="AP329" s="9"/>
      <c r="AQ329" s="9"/>
      <c r="AR329" s="9"/>
      <c r="AS329" s="9"/>
      <c r="AT329" s="9"/>
    </row>
    <row r="330">
      <c r="A330" s="492"/>
      <c r="B330" s="254"/>
      <c r="C330" s="492"/>
      <c r="D330" s="254"/>
      <c r="E330" s="492"/>
      <c r="F330" s="254"/>
      <c r="G330" s="492"/>
      <c r="H330" s="254"/>
      <c r="I330" s="500"/>
      <c r="J330" s="181"/>
      <c r="K330" s="500"/>
      <c r="L330" s="181"/>
      <c r="M330" s="492"/>
      <c r="N330" s="254"/>
      <c r="O330" s="492"/>
      <c r="P330" s="254"/>
      <c r="Q330" s="492"/>
      <c r="R330" s="254"/>
      <c r="S330" s="500"/>
      <c r="T330" s="181"/>
      <c r="U330" s="492"/>
      <c r="V330" s="254"/>
      <c r="W330" s="492"/>
      <c r="X330" s="254"/>
      <c r="Y330" s="9"/>
      <c r="Z330" s="9"/>
      <c r="AA330" s="9"/>
      <c r="AB330" s="9"/>
      <c r="AC330" s="9"/>
      <c r="AD330" s="9"/>
      <c r="AE330" s="9"/>
      <c r="AF330" s="9"/>
      <c r="AG330" s="9"/>
      <c r="AH330" s="9"/>
      <c r="AI330" s="9"/>
      <c r="AJ330" s="9"/>
      <c r="AK330" s="9"/>
      <c r="AL330" s="9"/>
      <c r="AM330" s="9"/>
      <c r="AN330" s="9"/>
      <c r="AO330" s="9"/>
      <c r="AP330" s="9"/>
      <c r="AQ330" s="9"/>
      <c r="AR330" s="9"/>
      <c r="AS330" s="9"/>
      <c r="AT330" s="9"/>
    </row>
    <row r="331">
      <c r="A331" s="492"/>
      <c r="B331" s="254"/>
      <c r="C331" s="492"/>
      <c r="D331" s="254"/>
      <c r="E331" s="492"/>
      <c r="F331" s="254"/>
      <c r="G331" s="492"/>
      <c r="H331" s="254"/>
      <c r="I331" s="500"/>
      <c r="J331" s="181"/>
      <c r="K331" s="500"/>
      <c r="L331" s="181"/>
      <c r="M331" s="492"/>
      <c r="N331" s="254"/>
      <c r="O331" s="492"/>
      <c r="P331" s="254"/>
      <c r="Q331" s="492"/>
      <c r="R331" s="254"/>
      <c r="S331" s="500"/>
      <c r="T331" s="181"/>
      <c r="U331" s="492"/>
      <c r="V331" s="254"/>
      <c r="W331" s="492"/>
      <c r="X331" s="254"/>
      <c r="Y331" s="9"/>
      <c r="Z331" s="9"/>
      <c r="AA331" s="9"/>
      <c r="AB331" s="9"/>
      <c r="AC331" s="9"/>
      <c r="AD331" s="9"/>
      <c r="AE331" s="9"/>
      <c r="AF331" s="9"/>
      <c r="AG331" s="9"/>
      <c r="AH331" s="9"/>
      <c r="AI331" s="9"/>
      <c r="AJ331" s="9"/>
      <c r="AK331" s="9"/>
      <c r="AL331" s="9"/>
      <c r="AM331" s="9"/>
      <c r="AN331" s="9"/>
      <c r="AO331" s="9"/>
      <c r="AP331" s="9"/>
      <c r="AQ331" s="9"/>
      <c r="AR331" s="9"/>
      <c r="AS331" s="9"/>
      <c r="AT331" s="9"/>
    </row>
    <row r="332">
      <c r="A332" s="492"/>
      <c r="B332" s="254"/>
      <c r="C332" s="492"/>
      <c r="D332" s="254"/>
      <c r="E332" s="492"/>
      <c r="F332" s="254"/>
      <c r="G332" s="492"/>
      <c r="H332" s="254"/>
      <c r="I332" s="500"/>
      <c r="J332" s="181"/>
      <c r="K332" s="500"/>
      <c r="L332" s="181"/>
      <c r="M332" s="492"/>
      <c r="N332" s="254"/>
      <c r="O332" s="492"/>
      <c r="P332" s="254"/>
      <c r="Q332" s="492"/>
      <c r="R332" s="254"/>
      <c r="S332" s="500"/>
      <c r="T332" s="181"/>
      <c r="U332" s="492"/>
      <c r="V332" s="254"/>
      <c r="W332" s="492"/>
      <c r="X332" s="254"/>
      <c r="Y332" s="9"/>
      <c r="Z332" s="9"/>
      <c r="AA332" s="9"/>
      <c r="AB332" s="9"/>
      <c r="AC332" s="9"/>
      <c r="AD332" s="9"/>
      <c r="AE332" s="9"/>
      <c r="AF332" s="9"/>
      <c r="AG332" s="9"/>
      <c r="AH332" s="9"/>
      <c r="AI332" s="9"/>
      <c r="AJ332" s="9"/>
      <c r="AK332" s="9"/>
      <c r="AL332" s="9"/>
      <c r="AM332" s="9"/>
      <c r="AN332" s="9"/>
      <c r="AO332" s="9"/>
      <c r="AP332" s="9"/>
      <c r="AQ332" s="9"/>
      <c r="AR332" s="9"/>
      <c r="AS332" s="9"/>
      <c r="AT332" s="9"/>
    </row>
    <row r="333">
      <c r="A333" s="492"/>
      <c r="B333" s="254"/>
      <c r="C333" s="492"/>
      <c r="D333" s="254"/>
      <c r="E333" s="492"/>
      <c r="F333" s="254"/>
      <c r="G333" s="492"/>
      <c r="H333" s="254"/>
      <c r="I333" s="500"/>
      <c r="J333" s="181"/>
      <c r="K333" s="500"/>
      <c r="L333" s="181"/>
      <c r="M333" s="492"/>
      <c r="N333" s="254"/>
      <c r="O333" s="492"/>
      <c r="P333" s="254"/>
      <c r="Q333" s="492"/>
      <c r="R333" s="254"/>
      <c r="S333" s="500"/>
      <c r="T333" s="181"/>
      <c r="U333" s="492"/>
      <c r="V333" s="254"/>
      <c r="W333" s="492"/>
      <c r="X333" s="254"/>
      <c r="Y333" s="9"/>
      <c r="Z333" s="9"/>
      <c r="AA333" s="9"/>
      <c r="AB333" s="9"/>
      <c r="AC333" s="9"/>
      <c r="AD333" s="9"/>
      <c r="AE333" s="9"/>
      <c r="AF333" s="9"/>
      <c r="AG333" s="9"/>
      <c r="AH333" s="9"/>
      <c r="AI333" s="9"/>
      <c r="AJ333" s="9"/>
      <c r="AK333" s="9"/>
      <c r="AL333" s="9"/>
      <c r="AM333" s="9"/>
      <c r="AN333" s="9"/>
      <c r="AO333" s="9"/>
      <c r="AP333" s="9"/>
      <c r="AQ333" s="9"/>
      <c r="AR333" s="9"/>
      <c r="AS333" s="9"/>
      <c r="AT333" s="9"/>
    </row>
    <row r="334">
      <c r="A334" s="492"/>
      <c r="B334" s="254"/>
      <c r="C334" s="492"/>
      <c r="D334" s="254"/>
      <c r="E334" s="492"/>
      <c r="F334" s="254"/>
      <c r="G334" s="492"/>
      <c r="H334" s="254"/>
      <c r="I334" s="500"/>
      <c r="J334" s="181"/>
      <c r="K334" s="500"/>
      <c r="L334" s="181"/>
      <c r="M334" s="492"/>
      <c r="N334" s="254"/>
      <c r="O334" s="492"/>
      <c r="P334" s="254"/>
      <c r="Q334" s="492"/>
      <c r="R334" s="254"/>
      <c r="S334" s="500"/>
      <c r="T334" s="181"/>
      <c r="U334" s="492"/>
      <c r="V334" s="254"/>
      <c r="W334" s="492"/>
      <c r="X334" s="254"/>
      <c r="Y334" s="9"/>
      <c r="Z334" s="9"/>
      <c r="AA334" s="9"/>
      <c r="AB334" s="9"/>
      <c r="AC334" s="9"/>
      <c r="AD334" s="9"/>
      <c r="AE334" s="9"/>
      <c r="AF334" s="9"/>
      <c r="AG334" s="9"/>
      <c r="AH334" s="9"/>
      <c r="AI334" s="9"/>
      <c r="AJ334" s="9"/>
      <c r="AK334" s="9"/>
      <c r="AL334" s="9"/>
      <c r="AM334" s="9"/>
      <c r="AN334" s="9"/>
      <c r="AO334" s="9"/>
      <c r="AP334" s="9"/>
      <c r="AQ334" s="9"/>
      <c r="AR334" s="9"/>
      <c r="AS334" s="9"/>
      <c r="AT334" s="9"/>
    </row>
    <row r="335">
      <c r="A335" s="492"/>
      <c r="B335" s="254"/>
      <c r="C335" s="492"/>
      <c r="D335" s="254"/>
      <c r="E335" s="492"/>
      <c r="F335" s="254"/>
      <c r="G335" s="492"/>
      <c r="H335" s="254"/>
      <c r="I335" s="500"/>
      <c r="J335" s="181"/>
      <c r="K335" s="500"/>
      <c r="L335" s="181"/>
      <c r="M335" s="492"/>
      <c r="N335" s="254"/>
      <c r="O335" s="492"/>
      <c r="P335" s="254"/>
      <c r="Q335" s="492"/>
      <c r="R335" s="254"/>
      <c r="S335" s="500"/>
      <c r="T335" s="181"/>
      <c r="U335" s="492"/>
      <c r="V335" s="254"/>
      <c r="W335" s="492"/>
      <c r="X335" s="254"/>
      <c r="Y335" s="9"/>
      <c r="Z335" s="9"/>
      <c r="AA335" s="9"/>
      <c r="AB335" s="9"/>
      <c r="AC335" s="9"/>
      <c r="AD335" s="9"/>
      <c r="AE335" s="9"/>
      <c r="AF335" s="9"/>
      <c r="AG335" s="9"/>
      <c r="AH335" s="9"/>
      <c r="AI335" s="9"/>
      <c r="AJ335" s="9"/>
      <c r="AK335" s="9"/>
      <c r="AL335" s="9"/>
      <c r="AM335" s="9"/>
      <c r="AN335" s="9"/>
      <c r="AO335" s="9"/>
      <c r="AP335" s="9"/>
      <c r="AQ335" s="9"/>
      <c r="AR335" s="9"/>
      <c r="AS335" s="9"/>
      <c r="AT335" s="9"/>
    </row>
    <row r="336">
      <c r="A336" s="492"/>
      <c r="B336" s="254"/>
      <c r="C336" s="492"/>
      <c r="D336" s="254"/>
      <c r="E336" s="492"/>
      <c r="F336" s="254"/>
      <c r="G336" s="492"/>
      <c r="H336" s="254"/>
      <c r="I336" s="500"/>
      <c r="J336" s="181"/>
      <c r="K336" s="500"/>
      <c r="L336" s="181"/>
      <c r="M336" s="492"/>
      <c r="N336" s="254"/>
      <c r="O336" s="492"/>
      <c r="P336" s="254"/>
      <c r="Q336" s="492"/>
      <c r="R336" s="254"/>
      <c r="S336" s="500"/>
      <c r="T336" s="181"/>
      <c r="U336" s="492"/>
      <c r="V336" s="254"/>
      <c r="W336" s="492"/>
      <c r="X336" s="254"/>
      <c r="Y336" s="9"/>
      <c r="Z336" s="9"/>
      <c r="AA336" s="9"/>
      <c r="AB336" s="9"/>
      <c r="AC336" s="9"/>
      <c r="AD336" s="9"/>
      <c r="AE336" s="9"/>
      <c r="AF336" s="9"/>
      <c r="AG336" s="9"/>
      <c r="AH336" s="9"/>
      <c r="AI336" s="9"/>
      <c r="AJ336" s="9"/>
      <c r="AK336" s="9"/>
      <c r="AL336" s="9"/>
      <c r="AM336" s="9"/>
      <c r="AN336" s="9"/>
      <c r="AO336" s="9"/>
      <c r="AP336" s="9"/>
      <c r="AQ336" s="9"/>
      <c r="AR336" s="9"/>
      <c r="AS336" s="9"/>
      <c r="AT336" s="9"/>
    </row>
    <row r="337">
      <c r="A337" s="492"/>
      <c r="B337" s="254"/>
      <c r="C337" s="492"/>
      <c r="D337" s="254"/>
      <c r="E337" s="492"/>
      <c r="F337" s="254"/>
      <c r="G337" s="492"/>
      <c r="H337" s="254"/>
      <c r="I337" s="500"/>
      <c r="J337" s="181"/>
      <c r="K337" s="500"/>
      <c r="L337" s="181"/>
      <c r="M337" s="492"/>
      <c r="N337" s="254"/>
      <c r="O337" s="492"/>
      <c r="P337" s="254"/>
      <c r="Q337" s="492"/>
      <c r="R337" s="254"/>
      <c r="S337" s="500"/>
      <c r="T337" s="181"/>
      <c r="U337" s="492"/>
      <c r="V337" s="254"/>
      <c r="W337" s="492"/>
      <c r="X337" s="254"/>
      <c r="Y337" s="9"/>
      <c r="Z337" s="9"/>
      <c r="AA337" s="9"/>
      <c r="AB337" s="9"/>
      <c r="AC337" s="9"/>
      <c r="AD337" s="9"/>
      <c r="AE337" s="9"/>
      <c r="AF337" s="9"/>
      <c r="AG337" s="9"/>
      <c r="AH337" s="9"/>
      <c r="AI337" s="9"/>
      <c r="AJ337" s="9"/>
      <c r="AK337" s="9"/>
      <c r="AL337" s="9"/>
      <c r="AM337" s="9"/>
      <c r="AN337" s="9"/>
      <c r="AO337" s="9"/>
      <c r="AP337" s="9"/>
      <c r="AQ337" s="9"/>
      <c r="AR337" s="9"/>
      <c r="AS337" s="9"/>
      <c r="AT337" s="9"/>
    </row>
    <row r="338">
      <c r="A338" s="492"/>
      <c r="B338" s="254"/>
      <c r="C338" s="492"/>
      <c r="D338" s="254"/>
      <c r="E338" s="492"/>
      <c r="F338" s="254"/>
      <c r="G338" s="492"/>
      <c r="H338" s="254"/>
      <c r="I338" s="500"/>
      <c r="J338" s="181"/>
      <c r="K338" s="500"/>
      <c r="L338" s="181"/>
      <c r="M338" s="492"/>
      <c r="N338" s="254"/>
      <c r="O338" s="492"/>
      <c r="P338" s="254"/>
      <c r="Q338" s="492"/>
      <c r="R338" s="254"/>
      <c r="S338" s="500"/>
      <c r="T338" s="181"/>
      <c r="U338" s="492"/>
      <c r="V338" s="254"/>
      <c r="W338" s="492"/>
      <c r="X338" s="254"/>
      <c r="Y338" s="9"/>
      <c r="Z338" s="9"/>
      <c r="AA338" s="9"/>
      <c r="AB338" s="9"/>
      <c r="AC338" s="9"/>
      <c r="AD338" s="9"/>
      <c r="AE338" s="9"/>
      <c r="AF338" s="9"/>
      <c r="AG338" s="9"/>
      <c r="AH338" s="9"/>
      <c r="AI338" s="9"/>
      <c r="AJ338" s="9"/>
      <c r="AK338" s="9"/>
      <c r="AL338" s="9"/>
      <c r="AM338" s="9"/>
      <c r="AN338" s="9"/>
      <c r="AO338" s="9"/>
      <c r="AP338" s="9"/>
      <c r="AQ338" s="9"/>
      <c r="AR338" s="9"/>
      <c r="AS338" s="9"/>
      <c r="AT338" s="9"/>
    </row>
    <row r="339">
      <c r="A339" s="492"/>
      <c r="B339" s="254"/>
      <c r="C339" s="492"/>
      <c r="D339" s="254"/>
      <c r="E339" s="492"/>
      <c r="F339" s="254"/>
      <c r="G339" s="492"/>
      <c r="H339" s="254"/>
      <c r="I339" s="500"/>
      <c r="J339" s="181"/>
      <c r="K339" s="500"/>
      <c r="L339" s="181"/>
      <c r="M339" s="492"/>
      <c r="N339" s="254"/>
      <c r="O339" s="492"/>
      <c r="P339" s="254"/>
      <c r="Q339" s="492"/>
      <c r="R339" s="254"/>
      <c r="S339" s="500"/>
      <c r="T339" s="181"/>
      <c r="U339" s="492"/>
      <c r="V339" s="254"/>
      <c r="W339" s="492"/>
      <c r="X339" s="254"/>
      <c r="Y339" s="9"/>
      <c r="Z339" s="9"/>
      <c r="AA339" s="9"/>
      <c r="AB339" s="9"/>
      <c r="AC339" s="9"/>
      <c r="AD339" s="9"/>
      <c r="AE339" s="9"/>
      <c r="AF339" s="9"/>
      <c r="AG339" s="9"/>
      <c r="AH339" s="9"/>
      <c r="AI339" s="9"/>
      <c r="AJ339" s="9"/>
      <c r="AK339" s="9"/>
      <c r="AL339" s="9"/>
      <c r="AM339" s="9"/>
      <c r="AN339" s="9"/>
      <c r="AO339" s="9"/>
      <c r="AP339" s="9"/>
      <c r="AQ339" s="9"/>
      <c r="AR339" s="9"/>
      <c r="AS339" s="9"/>
      <c r="AT339" s="9"/>
    </row>
    <row r="340">
      <c r="A340" s="492"/>
      <c r="B340" s="254"/>
      <c r="C340" s="492"/>
      <c r="D340" s="254"/>
      <c r="E340" s="492"/>
      <c r="F340" s="254"/>
      <c r="G340" s="492"/>
      <c r="H340" s="254"/>
      <c r="I340" s="500"/>
      <c r="J340" s="181"/>
      <c r="K340" s="500"/>
      <c r="L340" s="181"/>
      <c r="M340" s="492"/>
      <c r="N340" s="254"/>
      <c r="O340" s="492"/>
      <c r="P340" s="254"/>
      <c r="Q340" s="492"/>
      <c r="R340" s="254"/>
      <c r="S340" s="500"/>
      <c r="T340" s="181"/>
      <c r="U340" s="492"/>
      <c r="V340" s="254"/>
      <c r="W340" s="492"/>
      <c r="X340" s="254"/>
      <c r="Y340" s="9"/>
      <c r="Z340" s="9"/>
      <c r="AA340" s="9"/>
      <c r="AB340" s="9"/>
      <c r="AC340" s="9"/>
      <c r="AD340" s="9"/>
      <c r="AE340" s="9"/>
      <c r="AF340" s="9"/>
      <c r="AG340" s="9"/>
      <c r="AH340" s="9"/>
      <c r="AI340" s="9"/>
      <c r="AJ340" s="9"/>
      <c r="AK340" s="9"/>
      <c r="AL340" s="9"/>
      <c r="AM340" s="9"/>
      <c r="AN340" s="9"/>
      <c r="AO340" s="9"/>
      <c r="AP340" s="9"/>
      <c r="AQ340" s="9"/>
      <c r="AR340" s="9"/>
      <c r="AS340" s="9"/>
      <c r="AT340" s="9"/>
    </row>
    <row r="341">
      <c r="A341" s="492"/>
      <c r="B341" s="254"/>
      <c r="C341" s="492"/>
      <c r="D341" s="254"/>
      <c r="E341" s="492"/>
      <c r="F341" s="254"/>
      <c r="G341" s="492"/>
      <c r="H341" s="254"/>
      <c r="I341" s="500"/>
      <c r="J341" s="181"/>
      <c r="K341" s="500"/>
      <c r="L341" s="181"/>
      <c r="M341" s="492"/>
      <c r="N341" s="254"/>
      <c r="O341" s="492"/>
      <c r="P341" s="254"/>
      <c r="Q341" s="492"/>
      <c r="R341" s="254"/>
      <c r="S341" s="500"/>
      <c r="T341" s="181"/>
      <c r="U341" s="492"/>
      <c r="V341" s="254"/>
      <c r="W341" s="492"/>
      <c r="X341" s="254"/>
      <c r="Y341" s="9"/>
      <c r="Z341" s="9"/>
      <c r="AA341" s="9"/>
      <c r="AB341" s="9"/>
      <c r="AC341" s="9"/>
      <c r="AD341" s="9"/>
      <c r="AE341" s="9"/>
      <c r="AF341" s="9"/>
      <c r="AG341" s="9"/>
      <c r="AH341" s="9"/>
      <c r="AI341" s="9"/>
      <c r="AJ341" s="9"/>
      <c r="AK341" s="9"/>
      <c r="AL341" s="9"/>
      <c r="AM341" s="9"/>
      <c r="AN341" s="9"/>
      <c r="AO341" s="9"/>
      <c r="AP341" s="9"/>
      <c r="AQ341" s="9"/>
      <c r="AR341" s="9"/>
      <c r="AS341" s="9"/>
      <c r="AT341" s="9"/>
    </row>
    <row r="342">
      <c r="A342" s="492"/>
      <c r="B342" s="254"/>
      <c r="C342" s="492"/>
      <c r="D342" s="254"/>
      <c r="E342" s="492"/>
      <c r="F342" s="254"/>
      <c r="G342" s="492"/>
      <c r="H342" s="254"/>
      <c r="I342" s="500"/>
      <c r="J342" s="181"/>
      <c r="K342" s="500"/>
      <c r="L342" s="181"/>
      <c r="M342" s="492"/>
      <c r="N342" s="254"/>
      <c r="O342" s="492"/>
      <c r="P342" s="254"/>
      <c r="Q342" s="492"/>
      <c r="R342" s="254"/>
      <c r="S342" s="500"/>
      <c r="T342" s="181"/>
      <c r="U342" s="492"/>
      <c r="V342" s="254"/>
      <c r="W342" s="492"/>
      <c r="X342" s="254"/>
      <c r="Y342" s="9"/>
      <c r="Z342" s="9"/>
      <c r="AA342" s="9"/>
      <c r="AB342" s="9"/>
      <c r="AC342" s="9"/>
      <c r="AD342" s="9"/>
      <c r="AE342" s="9"/>
      <c r="AF342" s="9"/>
      <c r="AG342" s="9"/>
      <c r="AH342" s="9"/>
      <c r="AI342" s="9"/>
      <c r="AJ342" s="9"/>
      <c r="AK342" s="9"/>
      <c r="AL342" s="9"/>
      <c r="AM342" s="9"/>
      <c r="AN342" s="9"/>
      <c r="AO342" s="9"/>
      <c r="AP342" s="9"/>
      <c r="AQ342" s="9"/>
      <c r="AR342" s="9"/>
      <c r="AS342" s="9"/>
      <c r="AT342" s="9"/>
    </row>
    <row r="343">
      <c r="A343" s="492"/>
      <c r="B343" s="254"/>
      <c r="C343" s="492"/>
      <c r="D343" s="254"/>
      <c r="E343" s="492"/>
      <c r="F343" s="254"/>
      <c r="G343" s="492"/>
      <c r="H343" s="254"/>
      <c r="I343" s="500"/>
      <c r="J343" s="181"/>
      <c r="K343" s="500"/>
      <c r="L343" s="181"/>
      <c r="M343" s="492"/>
      <c r="N343" s="254"/>
      <c r="O343" s="492"/>
      <c r="P343" s="254"/>
      <c r="Q343" s="492"/>
      <c r="R343" s="254"/>
      <c r="S343" s="500"/>
      <c r="T343" s="181"/>
      <c r="U343" s="492"/>
      <c r="V343" s="254"/>
      <c r="W343" s="492"/>
      <c r="X343" s="254"/>
      <c r="Y343" s="9"/>
      <c r="Z343" s="9"/>
      <c r="AA343" s="9"/>
      <c r="AB343" s="9"/>
      <c r="AC343" s="9"/>
      <c r="AD343" s="9"/>
      <c r="AE343" s="9"/>
      <c r="AF343" s="9"/>
      <c r="AG343" s="9"/>
      <c r="AH343" s="9"/>
      <c r="AI343" s="9"/>
      <c r="AJ343" s="9"/>
      <c r="AK343" s="9"/>
      <c r="AL343" s="9"/>
      <c r="AM343" s="9"/>
      <c r="AN343" s="9"/>
      <c r="AO343" s="9"/>
      <c r="AP343" s="9"/>
      <c r="AQ343" s="9"/>
      <c r="AR343" s="9"/>
      <c r="AS343" s="9"/>
      <c r="AT343" s="9"/>
    </row>
    <row r="344">
      <c r="A344" s="492"/>
      <c r="B344" s="254"/>
      <c r="C344" s="492"/>
      <c r="D344" s="254"/>
      <c r="E344" s="492"/>
      <c r="F344" s="254"/>
      <c r="G344" s="492"/>
      <c r="H344" s="254"/>
      <c r="I344" s="500"/>
      <c r="J344" s="181"/>
      <c r="K344" s="500"/>
      <c r="L344" s="181"/>
      <c r="M344" s="492"/>
      <c r="N344" s="254"/>
      <c r="O344" s="492"/>
      <c r="P344" s="254"/>
      <c r="Q344" s="492"/>
      <c r="R344" s="254"/>
      <c r="S344" s="500"/>
      <c r="T344" s="181"/>
      <c r="U344" s="492"/>
      <c r="V344" s="254"/>
      <c r="W344" s="492"/>
      <c r="X344" s="254"/>
      <c r="Y344" s="9"/>
      <c r="Z344" s="9"/>
      <c r="AA344" s="9"/>
      <c r="AB344" s="9"/>
      <c r="AC344" s="9"/>
      <c r="AD344" s="9"/>
      <c r="AE344" s="9"/>
      <c r="AF344" s="9"/>
      <c r="AG344" s="9"/>
      <c r="AH344" s="9"/>
      <c r="AI344" s="9"/>
      <c r="AJ344" s="9"/>
      <c r="AK344" s="9"/>
      <c r="AL344" s="9"/>
      <c r="AM344" s="9"/>
      <c r="AN344" s="9"/>
      <c r="AO344" s="9"/>
      <c r="AP344" s="9"/>
      <c r="AQ344" s="9"/>
      <c r="AR344" s="9"/>
      <c r="AS344" s="9"/>
      <c r="AT344" s="9"/>
    </row>
    <row r="345">
      <c r="A345" s="492"/>
      <c r="B345" s="254"/>
      <c r="C345" s="492"/>
      <c r="D345" s="254"/>
      <c r="E345" s="492"/>
      <c r="F345" s="254"/>
      <c r="G345" s="492"/>
      <c r="H345" s="254"/>
      <c r="I345" s="500"/>
      <c r="J345" s="181"/>
      <c r="K345" s="500"/>
      <c r="L345" s="181"/>
      <c r="M345" s="492"/>
      <c r="N345" s="254"/>
      <c r="O345" s="492"/>
      <c r="P345" s="254"/>
      <c r="Q345" s="492"/>
      <c r="R345" s="254"/>
      <c r="S345" s="500"/>
      <c r="T345" s="181"/>
      <c r="U345" s="492"/>
      <c r="V345" s="254"/>
      <c r="W345" s="492"/>
      <c r="X345" s="254"/>
      <c r="Y345" s="9"/>
      <c r="Z345" s="9"/>
      <c r="AA345" s="9"/>
      <c r="AB345" s="9"/>
      <c r="AC345" s="9"/>
      <c r="AD345" s="9"/>
      <c r="AE345" s="9"/>
      <c r="AF345" s="9"/>
      <c r="AG345" s="9"/>
      <c r="AH345" s="9"/>
      <c r="AI345" s="9"/>
      <c r="AJ345" s="9"/>
      <c r="AK345" s="9"/>
      <c r="AL345" s="9"/>
      <c r="AM345" s="9"/>
      <c r="AN345" s="9"/>
      <c r="AO345" s="9"/>
      <c r="AP345" s="9"/>
      <c r="AQ345" s="9"/>
      <c r="AR345" s="9"/>
      <c r="AS345" s="9"/>
      <c r="AT345" s="9"/>
    </row>
    <row r="346">
      <c r="A346" s="492"/>
      <c r="B346" s="254"/>
      <c r="C346" s="492"/>
      <c r="D346" s="254"/>
      <c r="E346" s="492"/>
      <c r="F346" s="254"/>
      <c r="G346" s="492"/>
      <c r="H346" s="254"/>
      <c r="I346" s="500"/>
      <c r="J346" s="181"/>
      <c r="K346" s="500"/>
      <c r="L346" s="181"/>
      <c r="M346" s="492"/>
      <c r="N346" s="254"/>
      <c r="O346" s="492"/>
      <c r="P346" s="254"/>
      <c r="Q346" s="492"/>
      <c r="R346" s="254"/>
      <c r="S346" s="500"/>
      <c r="T346" s="181"/>
      <c r="U346" s="492"/>
      <c r="V346" s="254"/>
      <c r="W346" s="492"/>
      <c r="X346" s="254"/>
      <c r="Y346" s="9"/>
      <c r="Z346" s="9"/>
      <c r="AA346" s="9"/>
      <c r="AB346" s="9"/>
      <c r="AC346" s="9"/>
      <c r="AD346" s="9"/>
      <c r="AE346" s="9"/>
      <c r="AF346" s="9"/>
      <c r="AG346" s="9"/>
      <c r="AH346" s="9"/>
      <c r="AI346" s="9"/>
      <c r="AJ346" s="9"/>
      <c r="AK346" s="9"/>
      <c r="AL346" s="9"/>
      <c r="AM346" s="9"/>
      <c r="AN346" s="9"/>
      <c r="AO346" s="9"/>
      <c r="AP346" s="9"/>
      <c r="AQ346" s="9"/>
      <c r="AR346" s="9"/>
      <c r="AS346" s="9"/>
      <c r="AT346" s="9"/>
    </row>
    <row r="347">
      <c r="A347" s="492"/>
      <c r="B347" s="254"/>
      <c r="C347" s="492"/>
      <c r="D347" s="254"/>
      <c r="E347" s="492"/>
      <c r="F347" s="254"/>
      <c r="G347" s="492"/>
      <c r="H347" s="254"/>
      <c r="I347" s="500"/>
      <c r="J347" s="181"/>
      <c r="K347" s="500"/>
      <c r="L347" s="181"/>
      <c r="M347" s="492"/>
      <c r="N347" s="254"/>
      <c r="O347" s="492"/>
      <c r="P347" s="254"/>
      <c r="Q347" s="492"/>
      <c r="R347" s="254"/>
      <c r="S347" s="500"/>
      <c r="T347" s="181"/>
      <c r="U347" s="492"/>
      <c r="V347" s="254"/>
      <c r="W347" s="492"/>
      <c r="X347" s="254"/>
      <c r="Y347" s="9"/>
      <c r="Z347" s="9"/>
      <c r="AA347" s="9"/>
      <c r="AB347" s="9"/>
      <c r="AC347" s="9"/>
      <c r="AD347" s="9"/>
      <c r="AE347" s="9"/>
      <c r="AF347" s="9"/>
      <c r="AG347" s="9"/>
      <c r="AH347" s="9"/>
      <c r="AI347" s="9"/>
      <c r="AJ347" s="9"/>
      <c r="AK347" s="9"/>
      <c r="AL347" s="9"/>
      <c r="AM347" s="9"/>
      <c r="AN347" s="9"/>
      <c r="AO347" s="9"/>
      <c r="AP347" s="9"/>
      <c r="AQ347" s="9"/>
      <c r="AR347" s="9"/>
      <c r="AS347" s="9"/>
      <c r="AT347" s="9"/>
    </row>
    <row r="348">
      <c r="A348" s="492"/>
      <c r="B348" s="254"/>
      <c r="C348" s="492"/>
      <c r="D348" s="254"/>
      <c r="E348" s="492"/>
      <c r="F348" s="254"/>
      <c r="G348" s="492"/>
      <c r="H348" s="254"/>
      <c r="I348" s="500"/>
      <c r="J348" s="181"/>
      <c r="K348" s="500"/>
      <c r="L348" s="181"/>
      <c r="M348" s="492"/>
      <c r="N348" s="254"/>
      <c r="O348" s="492"/>
      <c r="P348" s="254"/>
      <c r="Q348" s="492"/>
      <c r="R348" s="254"/>
      <c r="S348" s="500"/>
      <c r="T348" s="181"/>
      <c r="U348" s="492"/>
      <c r="V348" s="254"/>
      <c r="W348" s="492"/>
      <c r="X348" s="254"/>
      <c r="Y348" s="9"/>
      <c r="Z348" s="9"/>
      <c r="AA348" s="9"/>
      <c r="AB348" s="9"/>
      <c r="AC348" s="9"/>
      <c r="AD348" s="9"/>
      <c r="AE348" s="9"/>
      <c r="AF348" s="9"/>
      <c r="AG348" s="9"/>
      <c r="AH348" s="9"/>
      <c r="AI348" s="9"/>
      <c r="AJ348" s="9"/>
      <c r="AK348" s="9"/>
      <c r="AL348" s="9"/>
      <c r="AM348" s="9"/>
      <c r="AN348" s="9"/>
      <c r="AO348" s="9"/>
      <c r="AP348" s="9"/>
      <c r="AQ348" s="9"/>
      <c r="AR348" s="9"/>
      <c r="AS348" s="9"/>
      <c r="AT348" s="9"/>
    </row>
    <row r="349">
      <c r="A349" s="492"/>
      <c r="B349" s="254"/>
      <c r="C349" s="492"/>
      <c r="D349" s="254"/>
      <c r="E349" s="492"/>
      <c r="F349" s="254"/>
      <c r="G349" s="492"/>
      <c r="H349" s="254"/>
      <c r="I349" s="500"/>
      <c r="J349" s="181"/>
      <c r="K349" s="500"/>
      <c r="L349" s="181"/>
      <c r="M349" s="492"/>
      <c r="N349" s="254"/>
      <c r="O349" s="492"/>
      <c r="P349" s="254"/>
      <c r="Q349" s="492"/>
      <c r="R349" s="254"/>
      <c r="S349" s="500"/>
      <c r="T349" s="181"/>
      <c r="U349" s="492"/>
      <c r="V349" s="254"/>
      <c r="W349" s="492"/>
      <c r="X349" s="254"/>
      <c r="Y349" s="9"/>
      <c r="Z349" s="9"/>
      <c r="AA349" s="9"/>
      <c r="AB349" s="9"/>
      <c r="AC349" s="9"/>
      <c r="AD349" s="9"/>
      <c r="AE349" s="9"/>
      <c r="AF349" s="9"/>
      <c r="AG349" s="9"/>
      <c r="AH349" s="9"/>
      <c r="AI349" s="9"/>
      <c r="AJ349" s="9"/>
      <c r="AK349" s="9"/>
      <c r="AL349" s="9"/>
      <c r="AM349" s="9"/>
      <c r="AN349" s="9"/>
      <c r="AO349" s="9"/>
      <c r="AP349" s="9"/>
      <c r="AQ349" s="9"/>
      <c r="AR349" s="9"/>
      <c r="AS349" s="9"/>
      <c r="AT349" s="9"/>
    </row>
    <row r="350">
      <c r="A350" s="492"/>
      <c r="B350" s="254"/>
      <c r="C350" s="492"/>
      <c r="D350" s="254"/>
      <c r="E350" s="492"/>
      <c r="F350" s="254"/>
      <c r="G350" s="492"/>
      <c r="H350" s="254"/>
      <c r="I350" s="500"/>
      <c r="J350" s="181"/>
      <c r="K350" s="500"/>
      <c r="L350" s="181"/>
      <c r="M350" s="492"/>
      <c r="N350" s="254"/>
      <c r="O350" s="492"/>
      <c r="P350" s="254"/>
      <c r="Q350" s="492"/>
      <c r="R350" s="254"/>
      <c r="S350" s="500"/>
      <c r="T350" s="181"/>
      <c r="U350" s="492"/>
      <c r="V350" s="254"/>
      <c r="W350" s="492"/>
      <c r="X350" s="254"/>
      <c r="Y350" s="9"/>
      <c r="Z350" s="9"/>
      <c r="AA350" s="9"/>
      <c r="AB350" s="9"/>
      <c r="AC350" s="9"/>
      <c r="AD350" s="9"/>
      <c r="AE350" s="9"/>
      <c r="AF350" s="9"/>
      <c r="AG350" s="9"/>
      <c r="AH350" s="9"/>
      <c r="AI350" s="9"/>
      <c r="AJ350" s="9"/>
      <c r="AK350" s="9"/>
      <c r="AL350" s="9"/>
      <c r="AM350" s="9"/>
      <c r="AN350" s="9"/>
      <c r="AO350" s="9"/>
      <c r="AP350" s="9"/>
      <c r="AQ350" s="9"/>
      <c r="AR350" s="9"/>
      <c r="AS350" s="9"/>
      <c r="AT350" s="9"/>
    </row>
    <row r="351">
      <c r="A351" s="492"/>
      <c r="B351" s="254"/>
      <c r="C351" s="492"/>
      <c r="D351" s="254"/>
      <c r="E351" s="492"/>
      <c r="F351" s="254"/>
      <c r="G351" s="492"/>
      <c r="H351" s="254"/>
      <c r="I351" s="500"/>
      <c r="J351" s="181"/>
      <c r="K351" s="500"/>
      <c r="L351" s="181"/>
      <c r="M351" s="492"/>
      <c r="N351" s="254"/>
      <c r="O351" s="492"/>
      <c r="P351" s="254"/>
      <c r="Q351" s="492"/>
      <c r="R351" s="254"/>
      <c r="S351" s="500"/>
      <c r="T351" s="181"/>
      <c r="U351" s="492"/>
      <c r="V351" s="254"/>
      <c r="W351" s="492"/>
      <c r="X351" s="254"/>
      <c r="Y351" s="9"/>
      <c r="Z351" s="9"/>
      <c r="AA351" s="9"/>
      <c r="AB351" s="9"/>
      <c r="AC351" s="9"/>
      <c r="AD351" s="9"/>
      <c r="AE351" s="9"/>
      <c r="AF351" s="9"/>
      <c r="AG351" s="9"/>
      <c r="AH351" s="9"/>
      <c r="AI351" s="9"/>
      <c r="AJ351" s="9"/>
      <c r="AK351" s="9"/>
      <c r="AL351" s="9"/>
      <c r="AM351" s="9"/>
      <c r="AN351" s="9"/>
      <c r="AO351" s="9"/>
      <c r="AP351" s="9"/>
      <c r="AQ351" s="9"/>
      <c r="AR351" s="9"/>
      <c r="AS351" s="9"/>
      <c r="AT351" s="9"/>
    </row>
    <row r="352">
      <c r="A352" s="492"/>
      <c r="B352" s="254"/>
      <c r="C352" s="492"/>
      <c r="D352" s="254"/>
      <c r="E352" s="492"/>
      <c r="F352" s="254"/>
      <c r="G352" s="492"/>
      <c r="H352" s="254"/>
      <c r="I352" s="500"/>
      <c r="J352" s="181"/>
      <c r="K352" s="500"/>
      <c r="L352" s="181"/>
      <c r="M352" s="492"/>
      <c r="N352" s="254"/>
      <c r="O352" s="492"/>
      <c r="P352" s="254"/>
      <c r="Q352" s="492"/>
      <c r="R352" s="254"/>
      <c r="S352" s="500"/>
      <c r="T352" s="181"/>
      <c r="U352" s="492"/>
      <c r="V352" s="254"/>
      <c r="W352" s="492"/>
      <c r="X352" s="254"/>
      <c r="Y352" s="9"/>
      <c r="Z352" s="9"/>
      <c r="AA352" s="9"/>
      <c r="AB352" s="9"/>
      <c r="AC352" s="9"/>
      <c r="AD352" s="9"/>
      <c r="AE352" s="9"/>
      <c r="AF352" s="9"/>
      <c r="AG352" s="9"/>
      <c r="AH352" s="9"/>
      <c r="AI352" s="9"/>
      <c r="AJ352" s="9"/>
      <c r="AK352" s="9"/>
      <c r="AL352" s="9"/>
      <c r="AM352" s="9"/>
      <c r="AN352" s="9"/>
      <c r="AO352" s="9"/>
      <c r="AP352" s="9"/>
      <c r="AQ352" s="9"/>
      <c r="AR352" s="9"/>
      <c r="AS352" s="9"/>
      <c r="AT352" s="9"/>
    </row>
    <row r="353">
      <c r="A353" s="492"/>
      <c r="B353" s="254"/>
      <c r="C353" s="492"/>
      <c r="D353" s="254"/>
      <c r="E353" s="492"/>
      <c r="F353" s="254"/>
      <c r="G353" s="492"/>
      <c r="H353" s="254"/>
      <c r="I353" s="500"/>
      <c r="J353" s="181"/>
      <c r="K353" s="500"/>
      <c r="L353" s="181"/>
      <c r="M353" s="492"/>
      <c r="N353" s="254"/>
      <c r="O353" s="492"/>
      <c r="P353" s="254"/>
      <c r="Q353" s="492"/>
      <c r="R353" s="254"/>
      <c r="S353" s="500"/>
      <c r="T353" s="181"/>
      <c r="U353" s="492"/>
      <c r="V353" s="254"/>
      <c r="W353" s="492"/>
      <c r="X353" s="254"/>
      <c r="Y353" s="9"/>
      <c r="Z353" s="9"/>
      <c r="AA353" s="9"/>
      <c r="AB353" s="9"/>
      <c r="AC353" s="9"/>
      <c r="AD353" s="9"/>
      <c r="AE353" s="9"/>
      <c r="AF353" s="9"/>
      <c r="AG353" s="9"/>
      <c r="AH353" s="9"/>
      <c r="AI353" s="9"/>
      <c r="AJ353" s="9"/>
      <c r="AK353" s="9"/>
      <c r="AL353" s="9"/>
      <c r="AM353" s="9"/>
      <c r="AN353" s="9"/>
      <c r="AO353" s="9"/>
      <c r="AP353" s="9"/>
      <c r="AQ353" s="9"/>
      <c r="AR353" s="9"/>
      <c r="AS353" s="9"/>
      <c r="AT353" s="9"/>
    </row>
    <row r="354">
      <c r="A354" s="492"/>
      <c r="B354" s="254"/>
      <c r="C354" s="492"/>
      <c r="D354" s="254"/>
      <c r="E354" s="492"/>
      <c r="F354" s="254"/>
      <c r="G354" s="492"/>
      <c r="H354" s="254"/>
      <c r="I354" s="500"/>
      <c r="J354" s="181"/>
      <c r="K354" s="500"/>
      <c r="L354" s="181"/>
      <c r="M354" s="492"/>
      <c r="N354" s="254"/>
      <c r="O354" s="492"/>
      <c r="P354" s="254"/>
      <c r="Q354" s="492"/>
      <c r="R354" s="254"/>
      <c r="S354" s="500"/>
      <c r="T354" s="181"/>
      <c r="U354" s="492"/>
      <c r="V354" s="254"/>
      <c r="W354" s="492"/>
      <c r="X354" s="254"/>
      <c r="Y354" s="9"/>
      <c r="Z354" s="9"/>
      <c r="AA354" s="9"/>
      <c r="AB354" s="9"/>
      <c r="AC354" s="9"/>
      <c r="AD354" s="9"/>
      <c r="AE354" s="9"/>
      <c r="AF354" s="9"/>
      <c r="AG354" s="9"/>
      <c r="AH354" s="9"/>
      <c r="AI354" s="9"/>
      <c r="AJ354" s="9"/>
      <c r="AK354" s="9"/>
      <c r="AL354" s="9"/>
      <c r="AM354" s="9"/>
      <c r="AN354" s="9"/>
      <c r="AO354" s="9"/>
      <c r="AP354" s="9"/>
      <c r="AQ354" s="9"/>
      <c r="AR354" s="9"/>
      <c r="AS354" s="9"/>
      <c r="AT354" s="9"/>
    </row>
    <row r="355">
      <c r="A355" s="492"/>
      <c r="B355" s="254"/>
      <c r="C355" s="492"/>
      <c r="D355" s="254"/>
      <c r="E355" s="492"/>
      <c r="F355" s="254"/>
      <c r="G355" s="492"/>
      <c r="H355" s="254"/>
      <c r="I355" s="500"/>
      <c r="J355" s="181"/>
      <c r="K355" s="500"/>
      <c r="L355" s="181"/>
      <c r="M355" s="492"/>
      <c r="N355" s="254"/>
      <c r="O355" s="492"/>
      <c r="P355" s="254"/>
      <c r="Q355" s="492"/>
      <c r="R355" s="254"/>
      <c r="S355" s="500"/>
      <c r="T355" s="181"/>
      <c r="U355" s="492"/>
      <c r="V355" s="254"/>
      <c r="W355" s="492"/>
      <c r="X355" s="254"/>
      <c r="Y355" s="9"/>
      <c r="Z355" s="9"/>
      <c r="AA355" s="9"/>
      <c r="AB355" s="9"/>
      <c r="AC355" s="9"/>
      <c r="AD355" s="9"/>
      <c r="AE355" s="9"/>
      <c r="AF355" s="9"/>
      <c r="AG355" s="9"/>
      <c r="AH355" s="9"/>
      <c r="AI355" s="9"/>
      <c r="AJ355" s="9"/>
      <c r="AK355" s="9"/>
      <c r="AL355" s="9"/>
      <c r="AM355" s="9"/>
      <c r="AN355" s="9"/>
      <c r="AO355" s="9"/>
      <c r="AP355" s="9"/>
      <c r="AQ355" s="9"/>
      <c r="AR355" s="9"/>
      <c r="AS355" s="9"/>
      <c r="AT355" s="9"/>
    </row>
    <row r="356">
      <c r="A356" s="492"/>
      <c r="B356" s="254"/>
      <c r="C356" s="492"/>
      <c r="D356" s="254"/>
      <c r="E356" s="492"/>
      <c r="F356" s="254"/>
      <c r="G356" s="492"/>
      <c r="H356" s="254"/>
      <c r="I356" s="500"/>
      <c r="J356" s="181"/>
      <c r="K356" s="500"/>
      <c r="L356" s="181"/>
      <c r="M356" s="492"/>
      <c r="N356" s="254"/>
      <c r="O356" s="492"/>
      <c r="P356" s="254"/>
      <c r="Q356" s="492"/>
      <c r="R356" s="254"/>
      <c r="S356" s="500"/>
      <c r="T356" s="181"/>
      <c r="U356" s="492"/>
      <c r="V356" s="254"/>
      <c r="W356" s="492"/>
      <c r="X356" s="254"/>
      <c r="Y356" s="9"/>
      <c r="Z356" s="9"/>
      <c r="AA356" s="9"/>
      <c r="AB356" s="9"/>
      <c r="AC356" s="9"/>
      <c r="AD356" s="9"/>
      <c r="AE356" s="9"/>
      <c r="AF356" s="9"/>
      <c r="AG356" s="9"/>
      <c r="AH356" s="9"/>
      <c r="AI356" s="9"/>
      <c r="AJ356" s="9"/>
      <c r="AK356" s="9"/>
      <c r="AL356" s="9"/>
      <c r="AM356" s="9"/>
      <c r="AN356" s="9"/>
      <c r="AO356" s="9"/>
      <c r="AP356" s="9"/>
      <c r="AQ356" s="9"/>
      <c r="AR356" s="9"/>
      <c r="AS356" s="9"/>
      <c r="AT356" s="9"/>
    </row>
    <row r="357">
      <c r="A357" s="492"/>
      <c r="B357" s="254"/>
      <c r="C357" s="492"/>
      <c r="D357" s="254"/>
      <c r="E357" s="492"/>
      <c r="F357" s="254"/>
      <c r="G357" s="492"/>
      <c r="H357" s="254"/>
      <c r="I357" s="500"/>
      <c r="J357" s="181"/>
      <c r="K357" s="500"/>
      <c r="L357" s="181"/>
      <c r="M357" s="492"/>
      <c r="N357" s="254"/>
      <c r="O357" s="492"/>
      <c r="P357" s="254"/>
      <c r="Q357" s="492"/>
      <c r="R357" s="254"/>
      <c r="S357" s="500"/>
      <c r="T357" s="181"/>
      <c r="U357" s="492"/>
      <c r="V357" s="254"/>
      <c r="W357" s="492"/>
      <c r="X357" s="254"/>
      <c r="Y357" s="9"/>
      <c r="Z357" s="9"/>
      <c r="AA357" s="9"/>
      <c r="AB357" s="9"/>
      <c r="AC357" s="9"/>
      <c r="AD357" s="9"/>
      <c r="AE357" s="9"/>
      <c r="AF357" s="9"/>
      <c r="AG357" s="9"/>
      <c r="AH357" s="9"/>
      <c r="AI357" s="9"/>
      <c r="AJ357" s="9"/>
      <c r="AK357" s="9"/>
      <c r="AL357" s="9"/>
      <c r="AM357" s="9"/>
      <c r="AN357" s="9"/>
      <c r="AO357" s="9"/>
      <c r="AP357" s="9"/>
      <c r="AQ357" s="9"/>
      <c r="AR357" s="9"/>
      <c r="AS357" s="9"/>
      <c r="AT357" s="9"/>
    </row>
    <row r="358">
      <c r="A358" s="492"/>
      <c r="B358" s="254"/>
      <c r="C358" s="492"/>
      <c r="D358" s="254"/>
      <c r="E358" s="492"/>
      <c r="F358" s="254"/>
      <c r="G358" s="492"/>
      <c r="H358" s="254"/>
      <c r="I358" s="500"/>
      <c r="J358" s="181"/>
      <c r="K358" s="500"/>
      <c r="L358" s="181"/>
      <c r="M358" s="492"/>
      <c r="N358" s="254"/>
      <c r="O358" s="492"/>
      <c r="P358" s="254"/>
      <c r="Q358" s="492"/>
      <c r="R358" s="254"/>
      <c r="S358" s="500"/>
      <c r="T358" s="181"/>
      <c r="U358" s="492"/>
      <c r="V358" s="254"/>
      <c r="W358" s="492"/>
      <c r="X358" s="254"/>
      <c r="Y358" s="9"/>
      <c r="Z358" s="9"/>
      <c r="AA358" s="9"/>
      <c r="AB358" s="9"/>
      <c r="AC358" s="9"/>
      <c r="AD358" s="9"/>
      <c r="AE358" s="9"/>
      <c r="AF358" s="9"/>
      <c r="AG358" s="9"/>
      <c r="AH358" s="9"/>
      <c r="AI358" s="9"/>
      <c r="AJ358" s="9"/>
      <c r="AK358" s="9"/>
      <c r="AL358" s="9"/>
      <c r="AM358" s="9"/>
      <c r="AN358" s="9"/>
      <c r="AO358" s="9"/>
      <c r="AP358" s="9"/>
      <c r="AQ358" s="9"/>
      <c r="AR358" s="9"/>
      <c r="AS358" s="9"/>
      <c r="AT358" s="9"/>
    </row>
    <row r="359">
      <c r="A359" s="492"/>
      <c r="B359" s="254"/>
      <c r="C359" s="492"/>
      <c r="D359" s="254"/>
      <c r="E359" s="492"/>
      <c r="F359" s="254"/>
      <c r="G359" s="492"/>
      <c r="H359" s="254"/>
      <c r="I359" s="500"/>
      <c r="J359" s="181"/>
      <c r="K359" s="500"/>
      <c r="L359" s="181"/>
      <c r="M359" s="492"/>
      <c r="N359" s="254"/>
      <c r="O359" s="492"/>
      <c r="P359" s="254"/>
      <c r="Q359" s="492"/>
      <c r="R359" s="254"/>
      <c r="S359" s="500"/>
      <c r="T359" s="181"/>
      <c r="U359" s="492"/>
      <c r="V359" s="254"/>
      <c r="W359" s="492"/>
      <c r="X359" s="254"/>
      <c r="Y359" s="9"/>
      <c r="Z359" s="9"/>
      <c r="AA359" s="9"/>
      <c r="AB359" s="9"/>
      <c r="AC359" s="9"/>
      <c r="AD359" s="9"/>
      <c r="AE359" s="9"/>
      <c r="AF359" s="9"/>
      <c r="AG359" s="9"/>
      <c r="AH359" s="9"/>
      <c r="AI359" s="9"/>
      <c r="AJ359" s="9"/>
      <c r="AK359" s="9"/>
      <c r="AL359" s="9"/>
      <c r="AM359" s="9"/>
      <c r="AN359" s="9"/>
      <c r="AO359" s="9"/>
      <c r="AP359" s="9"/>
      <c r="AQ359" s="9"/>
      <c r="AR359" s="9"/>
      <c r="AS359" s="9"/>
      <c r="AT359" s="9"/>
    </row>
    <row r="360">
      <c r="A360" s="492"/>
      <c r="B360" s="254"/>
      <c r="C360" s="492"/>
      <c r="D360" s="254"/>
      <c r="E360" s="492"/>
      <c r="F360" s="254"/>
      <c r="G360" s="492"/>
      <c r="H360" s="254"/>
      <c r="I360" s="500"/>
      <c r="J360" s="181"/>
      <c r="K360" s="500"/>
      <c r="L360" s="181"/>
      <c r="M360" s="492"/>
      <c r="N360" s="254"/>
      <c r="O360" s="492"/>
      <c r="P360" s="254"/>
      <c r="Q360" s="492"/>
      <c r="R360" s="254"/>
      <c r="S360" s="500"/>
      <c r="T360" s="181"/>
      <c r="U360" s="492"/>
      <c r="V360" s="254"/>
      <c r="W360" s="492"/>
      <c r="X360" s="254"/>
      <c r="Y360" s="9"/>
      <c r="Z360" s="9"/>
      <c r="AA360" s="9"/>
      <c r="AB360" s="9"/>
      <c r="AC360" s="9"/>
      <c r="AD360" s="9"/>
      <c r="AE360" s="9"/>
      <c r="AF360" s="9"/>
      <c r="AG360" s="9"/>
      <c r="AH360" s="9"/>
      <c r="AI360" s="9"/>
      <c r="AJ360" s="9"/>
      <c r="AK360" s="9"/>
      <c r="AL360" s="9"/>
      <c r="AM360" s="9"/>
      <c r="AN360" s="9"/>
      <c r="AO360" s="9"/>
      <c r="AP360" s="9"/>
      <c r="AQ360" s="9"/>
      <c r="AR360" s="9"/>
      <c r="AS360" s="9"/>
      <c r="AT360" s="9"/>
    </row>
    <row r="361">
      <c r="A361" s="492"/>
      <c r="B361" s="254"/>
      <c r="C361" s="492"/>
      <c r="D361" s="254"/>
      <c r="E361" s="492"/>
      <c r="F361" s="254"/>
      <c r="G361" s="492"/>
      <c r="H361" s="254"/>
      <c r="I361" s="500"/>
      <c r="J361" s="181"/>
      <c r="K361" s="500"/>
      <c r="L361" s="181"/>
      <c r="M361" s="492"/>
      <c r="N361" s="254"/>
      <c r="O361" s="492"/>
      <c r="P361" s="254"/>
      <c r="Q361" s="492"/>
      <c r="R361" s="254"/>
      <c r="S361" s="500"/>
      <c r="T361" s="181"/>
      <c r="U361" s="492"/>
      <c r="V361" s="254"/>
      <c r="W361" s="492"/>
      <c r="X361" s="254"/>
      <c r="Y361" s="9"/>
      <c r="Z361" s="9"/>
      <c r="AA361" s="9"/>
      <c r="AB361" s="9"/>
      <c r="AC361" s="9"/>
      <c r="AD361" s="9"/>
      <c r="AE361" s="9"/>
      <c r="AF361" s="9"/>
      <c r="AG361" s="9"/>
      <c r="AH361" s="9"/>
      <c r="AI361" s="9"/>
      <c r="AJ361" s="9"/>
      <c r="AK361" s="9"/>
      <c r="AL361" s="9"/>
      <c r="AM361" s="9"/>
      <c r="AN361" s="9"/>
      <c r="AO361" s="9"/>
      <c r="AP361" s="9"/>
      <c r="AQ361" s="9"/>
      <c r="AR361" s="9"/>
      <c r="AS361" s="9"/>
      <c r="AT361" s="9"/>
    </row>
    <row r="362">
      <c r="A362" s="492"/>
      <c r="B362" s="254"/>
      <c r="C362" s="492"/>
      <c r="D362" s="254"/>
      <c r="E362" s="492"/>
      <c r="F362" s="254"/>
      <c r="G362" s="492"/>
      <c r="H362" s="254"/>
      <c r="I362" s="500"/>
      <c r="J362" s="181"/>
      <c r="K362" s="500"/>
      <c r="L362" s="181"/>
      <c r="M362" s="492"/>
      <c r="N362" s="254"/>
      <c r="O362" s="492"/>
      <c r="P362" s="254"/>
      <c r="Q362" s="492"/>
      <c r="R362" s="254"/>
      <c r="S362" s="500"/>
      <c r="T362" s="181"/>
      <c r="U362" s="492"/>
      <c r="V362" s="254"/>
      <c r="W362" s="492"/>
      <c r="X362" s="254"/>
      <c r="Y362" s="9"/>
      <c r="Z362" s="9"/>
      <c r="AA362" s="9"/>
      <c r="AB362" s="9"/>
      <c r="AC362" s="9"/>
      <c r="AD362" s="9"/>
      <c r="AE362" s="9"/>
      <c r="AF362" s="9"/>
      <c r="AG362" s="9"/>
      <c r="AH362" s="9"/>
      <c r="AI362" s="9"/>
      <c r="AJ362" s="9"/>
      <c r="AK362" s="9"/>
      <c r="AL362" s="9"/>
      <c r="AM362" s="9"/>
      <c r="AN362" s="9"/>
      <c r="AO362" s="9"/>
      <c r="AP362" s="9"/>
      <c r="AQ362" s="9"/>
      <c r="AR362" s="9"/>
      <c r="AS362" s="9"/>
      <c r="AT362" s="9"/>
    </row>
    <row r="363">
      <c r="A363" s="492"/>
      <c r="B363" s="254"/>
      <c r="C363" s="492"/>
      <c r="D363" s="254"/>
      <c r="E363" s="492"/>
      <c r="F363" s="254"/>
      <c r="G363" s="492"/>
      <c r="H363" s="254"/>
      <c r="I363" s="500"/>
      <c r="J363" s="181"/>
      <c r="K363" s="500"/>
      <c r="L363" s="181"/>
      <c r="M363" s="492"/>
      <c r="N363" s="254"/>
      <c r="O363" s="492"/>
      <c r="P363" s="254"/>
      <c r="Q363" s="492"/>
      <c r="R363" s="254"/>
      <c r="S363" s="500"/>
      <c r="T363" s="181"/>
      <c r="U363" s="492"/>
      <c r="V363" s="254"/>
      <c r="W363" s="492"/>
      <c r="X363" s="254"/>
      <c r="Y363" s="9"/>
      <c r="Z363" s="9"/>
      <c r="AA363" s="9"/>
      <c r="AB363" s="9"/>
      <c r="AC363" s="9"/>
      <c r="AD363" s="9"/>
      <c r="AE363" s="9"/>
      <c r="AF363" s="9"/>
      <c r="AG363" s="9"/>
      <c r="AH363" s="9"/>
      <c r="AI363" s="9"/>
      <c r="AJ363" s="9"/>
      <c r="AK363" s="9"/>
      <c r="AL363" s="9"/>
      <c r="AM363" s="9"/>
      <c r="AN363" s="9"/>
      <c r="AO363" s="9"/>
      <c r="AP363" s="9"/>
      <c r="AQ363" s="9"/>
      <c r="AR363" s="9"/>
      <c r="AS363" s="9"/>
      <c r="AT363" s="9"/>
    </row>
    <row r="364">
      <c r="A364" s="492"/>
      <c r="B364" s="254"/>
      <c r="C364" s="492"/>
      <c r="D364" s="254"/>
      <c r="E364" s="492"/>
      <c r="F364" s="254"/>
      <c r="G364" s="492"/>
      <c r="H364" s="254"/>
      <c r="I364" s="500"/>
      <c r="J364" s="181"/>
      <c r="K364" s="500"/>
      <c r="L364" s="181"/>
      <c r="M364" s="492"/>
      <c r="N364" s="254"/>
      <c r="O364" s="492"/>
      <c r="P364" s="254"/>
      <c r="Q364" s="492"/>
      <c r="R364" s="254"/>
      <c r="S364" s="500"/>
      <c r="T364" s="181"/>
      <c r="U364" s="492"/>
      <c r="V364" s="254"/>
      <c r="W364" s="492"/>
      <c r="X364" s="254"/>
      <c r="Y364" s="9"/>
      <c r="Z364" s="9"/>
      <c r="AA364" s="9"/>
      <c r="AB364" s="9"/>
      <c r="AC364" s="9"/>
      <c r="AD364" s="9"/>
      <c r="AE364" s="9"/>
      <c r="AF364" s="9"/>
      <c r="AG364" s="9"/>
      <c r="AH364" s="9"/>
      <c r="AI364" s="9"/>
      <c r="AJ364" s="9"/>
      <c r="AK364" s="9"/>
      <c r="AL364" s="9"/>
      <c r="AM364" s="9"/>
      <c r="AN364" s="9"/>
      <c r="AO364" s="9"/>
      <c r="AP364" s="9"/>
      <c r="AQ364" s="9"/>
      <c r="AR364" s="9"/>
      <c r="AS364" s="9"/>
      <c r="AT364" s="9"/>
    </row>
    <row r="365">
      <c r="A365" s="492"/>
      <c r="B365" s="254"/>
      <c r="C365" s="492"/>
      <c r="D365" s="254"/>
      <c r="E365" s="492"/>
      <c r="F365" s="254"/>
      <c r="G365" s="492"/>
      <c r="H365" s="254"/>
      <c r="I365" s="500"/>
      <c r="J365" s="181"/>
      <c r="K365" s="500"/>
      <c r="L365" s="181"/>
      <c r="M365" s="492"/>
      <c r="N365" s="254"/>
      <c r="O365" s="492"/>
      <c r="P365" s="254"/>
      <c r="Q365" s="492"/>
      <c r="R365" s="254"/>
      <c r="S365" s="500"/>
      <c r="T365" s="181"/>
      <c r="U365" s="492"/>
      <c r="V365" s="254"/>
      <c r="W365" s="492"/>
      <c r="X365" s="254"/>
      <c r="Y365" s="9"/>
      <c r="Z365" s="9"/>
      <c r="AA365" s="9"/>
      <c r="AB365" s="9"/>
      <c r="AC365" s="9"/>
      <c r="AD365" s="9"/>
      <c r="AE365" s="9"/>
      <c r="AF365" s="9"/>
      <c r="AG365" s="9"/>
      <c r="AH365" s="9"/>
      <c r="AI365" s="9"/>
      <c r="AJ365" s="9"/>
      <c r="AK365" s="9"/>
      <c r="AL365" s="9"/>
      <c r="AM365" s="9"/>
      <c r="AN365" s="9"/>
      <c r="AO365" s="9"/>
      <c r="AP365" s="9"/>
      <c r="AQ365" s="9"/>
      <c r="AR365" s="9"/>
      <c r="AS365" s="9"/>
      <c r="AT365" s="9"/>
    </row>
    <row r="366">
      <c r="A366" s="492"/>
      <c r="B366" s="254"/>
      <c r="C366" s="492"/>
      <c r="D366" s="254"/>
      <c r="E366" s="492"/>
      <c r="F366" s="254"/>
      <c r="G366" s="492"/>
      <c r="H366" s="254"/>
      <c r="I366" s="500"/>
      <c r="J366" s="181"/>
      <c r="K366" s="500"/>
      <c r="L366" s="181"/>
      <c r="M366" s="492"/>
      <c r="N366" s="254"/>
      <c r="O366" s="492"/>
      <c r="P366" s="254"/>
      <c r="Q366" s="492"/>
      <c r="R366" s="254"/>
      <c r="S366" s="500"/>
      <c r="T366" s="181"/>
      <c r="U366" s="492"/>
      <c r="V366" s="254"/>
      <c r="W366" s="492"/>
      <c r="X366" s="254"/>
      <c r="Y366" s="9"/>
      <c r="Z366" s="9"/>
      <c r="AA366" s="9"/>
      <c r="AB366" s="9"/>
      <c r="AC366" s="9"/>
      <c r="AD366" s="9"/>
      <c r="AE366" s="9"/>
      <c r="AF366" s="9"/>
      <c r="AG366" s="9"/>
      <c r="AH366" s="9"/>
      <c r="AI366" s="9"/>
      <c r="AJ366" s="9"/>
      <c r="AK366" s="9"/>
      <c r="AL366" s="9"/>
      <c r="AM366" s="9"/>
      <c r="AN366" s="9"/>
      <c r="AO366" s="9"/>
      <c r="AP366" s="9"/>
      <c r="AQ366" s="9"/>
      <c r="AR366" s="9"/>
      <c r="AS366" s="9"/>
      <c r="AT366" s="9"/>
    </row>
    <row r="367">
      <c r="A367" s="492"/>
      <c r="B367" s="254"/>
      <c r="C367" s="492"/>
      <c r="D367" s="254"/>
      <c r="E367" s="492"/>
      <c r="F367" s="254"/>
      <c r="G367" s="492"/>
      <c r="H367" s="254"/>
      <c r="I367" s="500"/>
      <c r="J367" s="181"/>
      <c r="K367" s="500"/>
      <c r="L367" s="181"/>
      <c r="M367" s="492"/>
      <c r="N367" s="254"/>
      <c r="O367" s="492"/>
      <c r="P367" s="254"/>
      <c r="Q367" s="492"/>
      <c r="R367" s="254"/>
      <c r="S367" s="500"/>
      <c r="T367" s="181"/>
      <c r="U367" s="492"/>
      <c r="V367" s="254"/>
      <c r="W367" s="492"/>
      <c r="X367" s="254"/>
      <c r="Y367" s="9"/>
      <c r="Z367" s="9"/>
      <c r="AA367" s="9"/>
      <c r="AB367" s="9"/>
      <c r="AC367" s="9"/>
      <c r="AD367" s="9"/>
      <c r="AE367" s="9"/>
      <c r="AF367" s="9"/>
      <c r="AG367" s="9"/>
      <c r="AH367" s="9"/>
      <c r="AI367" s="9"/>
      <c r="AJ367" s="9"/>
      <c r="AK367" s="9"/>
      <c r="AL367" s="9"/>
      <c r="AM367" s="9"/>
      <c r="AN367" s="9"/>
      <c r="AO367" s="9"/>
      <c r="AP367" s="9"/>
      <c r="AQ367" s="9"/>
      <c r="AR367" s="9"/>
      <c r="AS367" s="9"/>
      <c r="AT367" s="9"/>
    </row>
    <row r="368">
      <c r="A368" s="492"/>
      <c r="B368" s="254"/>
      <c r="C368" s="492"/>
      <c r="D368" s="254"/>
      <c r="E368" s="492"/>
      <c r="F368" s="254"/>
      <c r="G368" s="492"/>
      <c r="H368" s="254"/>
      <c r="I368" s="500"/>
      <c r="J368" s="181"/>
      <c r="K368" s="500"/>
      <c r="L368" s="181"/>
      <c r="M368" s="492"/>
      <c r="N368" s="254"/>
      <c r="O368" s="492"/>
      <c r="P368" s="254"/>
      <c r="Q368" s="492"/>
      <c r="R368" s="254"/>
      <c r="S368" s="500"/>
      <c r="T368" s="181"/>
      <c r="U368" s="492"/>
      <c r="V368" s="254"/>
      <c r="W368" s="492"/>
      <c r="X368" s="254"/>
      <c r="Y368" s="9"/>
      <c r="Z368" s="9"/>
      <c r="AA368" s="9"/>
      <c r="AB368" s="9"/>
      <c r="AC368" s="9"/>
      <c r="AD368" s="9"/>
      <c r="AE368" s="9"/>
      <c r="AF368" s="9"/>
      <c r="AG368" s="9"/>
      <c r="AH368" s="9"/>
      <c r="AI368" s="9"/>
      <c r="AJ368" s="9"/>
      <c r="AK368" s="9"/>
      <c r="AL368" s="9"/>
      <c r="AM368" s="9"/>
      <c r="AN368" s="9"/>
      <c r="AO368" s="9"/>
      <c r="AP368" s="9"/>
      <c r="AQ368" s="9"/>
      <c r="AR368" s="9"/>
      <c r="AS368" s="9"/>
      <c r="AT368" s="9"/>
    </row>
    <row r="369">
      <c r="A369" s="492"/>
      <c r="B369" s="254"/>
      <c r="C369" s="492"/>
      <c r="D369" s="254"/>
      <c r="E369" s="492"/>
      <c r="F369" s="254"/>
      <c r="G369" s="492"/>
      <c r="H369" s="254"/>
      <c r="I369" s="500"/>
      <c r="J369" s="181"/>
      <c r="K369" s="500"/>
      <c r="L369" s="181"/>
      <c r="M369" s="492"/>
      <c r="N369" s="254"/>
      <c r="O369" s="492"/>
      <c r="P369" s="254"/>
      <c r="Q369" s="492"/>
      <c r="R369" s="254"/>
      <c r="S369" s="500"/>
      <c r="T369" s="181"/>
      <c r="U369" s="492"/>
      <c r="V369" s="254"/>
      <c r="W369" s="492"/>
      <c r="X369" s="254"/>
      <c r="Y369" s="9"/>
      <c r="Z369" s="9"/>
      <c r="AA369" s="9"/>
      <c r="AB369" s="9"/>
      <c r="AC369" s="9"/>
      <c r="AD369" s="9"/>
      <c r="AE369" s="9"/>
      <c r="AF369" s="9"/>
      <c r="AG369" s="9"/>
      <c r="AH369" s="9"/>
      <c r="AI369" s="9"/>
      <c r="AJ369" s="9"/>
      <c r="AK369" s="9"/>
      <c r="AL369" s="9"/>
      <c r="AM369" s="9"/>
      <c r="AN369" s="9"/>
      <c r="AO369" s="9"/>
      <c r="AP369" s="9"/>
      <c r="AQ369" s="9"/>
      <c r="AR369" s="9"/>
      <c r="AS369" s="9"/>
      <c r="AT369" s="9"/>
    </row>
    <row r="370">
      <c r="A370" s="492"/>
      <c r="B370" s="254"/>
      <c r="C370" s="492"/>
      <c r="D370" s="254"/>
      <c r="E370" s="492"/>
      <c r="F370" s="254"/>
      <c r="G370" s="492"/>
      <c r="H370" s="254"/>
      <c r="I370" s="500"/>
      <c r="J370" s="181"/>
      <c r="K370" s="500"/>
      <c r="L370" s="181"/>
      <c r="M370" s="492"/>
      <c r="N370" s="254"/>
      <c r="O370" s="492"/>
      <c r="P370" s="254"/>
      <c r="Q370" s="492"/>
      <c r="R370" s="254"/>
      <c r="S370" s="500"/>
      <c r="T370" s="181"/>
      <c r="U370" s="492"/>
      <c r="V370" s="254"/>
      <c r="W370" s="492"/>
      <c r="X370" s="254"/>
      <c r="Y370" s="9"/>
      <c r="Z370" s="9"/>
      <c r="AA370" s="9"/>
      <c r="AB370" s="9"/>
      <c r="AC370" s="9"/>
      <c r="AD370" s="9"/>
      <c r="AE370" s="9"/>
      <c r="AF370" s="9"/>
      <c r="AG370" s="9"/>
      <c r="AH370" s="9"/>
      <c r="AI370" s="9"/>
      <c r="AJ370" s="9"/>
      <c r="AK370" s="9"/>
      <c r="AL370" s="9"/>
      <c r="AM370" s="9"/>
      <c r="AN370" s="9"/>
      <c r="AO370" s="9"/>
      <c r="AP370" s="9"/>
      <c r="AQ370" s="9"/>
      <c r="AR370" s="9"/>
      <c r="AS370" s="9"/>
      <c r="AT370" s="9"/>
    </row>
    <row r="371">
      <c r="A371" s="492"/>
      <c r="B371" s="254"/>
      <c r="C371" s="492"/>
      <c r="D371" s="254"/>
      <c r="E371" s="492"/>
      <c r="F371" s="254"/>
      <c r="G371" s="492"/>
      <c r="H371" s="254"/>
      <c r="I371" s="500"/>
      <c r="J371" s="181"/>
      <c r="K371" s="500"/>
      <c r="L371" s="181"/>
      <c r="M371" s="492"/>
      <c r="N371" s="254"/>
      <c r="O371" s="492"/>
      <c r="P371" s="254"/>
      <c r="Q371" s="492"/>
      <c r="R371" s="254"/>
      <c r="S371" s="500"/>
      <c r="T371" s="181"/>
      <c r="U371" s="492"/>
      <c r="V371" s="254"/>
      <c r="W371" s="492"/>
      <c r="X371" s="254"/>
      <c r="Y371" s="9"/>
      <c r="Z371" s="9"/>
      <c r="AA371" s="9"/>
      <c r="AB371" s="9"/>
      <c r="AC371" s="9"/>
      <c r="AD371" s="9"/>
      <c r="AE371" s="9"/>
      <c r="AF371" s="9"/>
      <c r="AG371" s="9"/>
      <c r="AH371" s="9"/>
      <c r="AI371" s="9"/>
      <c r="AJ371" s="9"/>
      <c r="AK371" s="9"/>
      <c r="AL371" s="9"/>
      <c r="AM371" s="9"/>
      <c r="AN371" s="9"/>
      <c r="AO371" s="9"/>
      <c r="AP371" s="9"/>
      <c r="AQ371" s="9"/>
      <c r="AR371" s="9"/>
      <c r="AS371" s="9"/>
      <c r="AT371" s="9"/>
    </row>
    <row r="372">
      <c r="A372" s="492"/>
      <c r="B372" s="254"/>
      <c r="C372" s="492"/>
      <c r="D372" s="254"/>
      <c r="E372" s="492"/>
      <c r="F372" s="254"/>
      <c r="G372" s="492"/>
      <c r="H372" s="254"/>
      <c r="I372" s="500"/>
      <c r="J372" s="181"/>
      <c r="K372" s="500"/>
      <c r="L372" s="181"/>
      <c r="M372" s="492"/>
      <c r="N372" s="254"/>
      <c r="O372" s="492"/>
      <c r="P372" s="254"/>
      <c r="Q372" s="492"/>
      <c r="R372" s="254"/>
      <c r="S372" s="500"/>
      <c r="T372" s="181"/>
      <c r="U372" s="492"/>
      <c r="V372" s="254"/>
      <c r="W372" s="492"/>
      <c r="X372" s="254"/>
      <c r="Y372" s="9"/>
      <c r="Z372" s="9"/>
      <c r="AA372" s="9"/>
      <c r="AB372" s="9"/>
      <c r="AC372" s="9"/>
      <c r="AD372" s="9"/>
      <c r="AE372" s="9"/>
      <c r="AF372" s="9"/>
      <c r="AG372" s="9"/>
      <c r="AH372" s="9"/>
      <c r="AI372" s="9"/>
      <c r="AJ372" s="9"/>
      <c r="AK372" s="9"/>
      <c r="AL372" s="9"/>
      <c r="AM372" s="9"/>
      <c r="AN372" s="9"/>
      <c r="AO372" s="9"/>
      <c r="AP372" s="9"/>
      <c r="AQ372" s="9"/>
      <c r="AR372" s="9"/>
      <c r="AS372" s="9"/>
      <c r="AT372" s="9"/>
    </row>
    <row r="373">
      <c r="A373" s="492"/>
      <c r="B373" s="254"/>
      <c r="C373" s="492"/>
      <c r="D373" s="254"/>
      <c r="E373" s="492"/>
      <c r="F373" s="254"/>
      <c r="G373" s="492"/>
      <c r="H373" s="254"/>
      <c r="I373" s="500"/>
      <c r="J373" s="181"/>
      <c r="K373" s="500"/>
      <c r="L373" s="181"/>
      <c r="M373" s="492"/>
      <c r="N373" s="254"/>
      <c r="O373" s="492"/>
      <c r="P373" s="254"/>
      <c r="Q373" s="492"/>
      <c r="R373" s="254"/>
      <c r="S373" s="500"/>
      <c r="T373" s="181"/>
      <c r="U373" s="492"/>
      <c r="V373" s="254"/>
      <c r="W373" s="492"/>
      <c r="X373" s="254"/>
      <c r="Y373" s="9"/>
      <c r="Z373" s="9"/>
      <c r="AA373" s="9"/>
      <c r="AB373" s="9"/>
      <c r="AC373" s="9"/>
      <c r="AD373" s="9"/>
      <c r="AE373" s="9"/>
      <c r="AF373" s="9"/>
      <c r="AG373" s="9"/>
      <c r="AH373" s="9"/>
      <c r="AI373" s="9"/>
      <c r="AJ373" s="9"/>
      <c r="AK373" s="9"/>
      <c r="AL373" s="9"/>
      <c r="AM373" s="9"/>
      <c r="AN373" s="9"/>
      <c r="AO373" s="9"/>
      <c r="AP373" s="9"/>
      <c r="AQ373" s="9"/>
      <c r="AR373" s="9"/>
      <c r="AS373" s="9"/>
      <c r="AT373" s="9"/>
    </row>
    <row r="374">
      <c r="A374" s="492"/>
      <c r="B374" s="254"/>
      <c r="C374" s="492"/>
      <c r="D374" s="254"/>
      <c r="E374" s="492"/>
      <c r="F374" s="254"/>
      <c r="G374" s="492"/>
      <c r="H374" s="254"/>
      <c r="I374" s="500"/>
      <c r="J374" s="181"/>
      <c r="K374" s="500"/>
      <c r="L374" s="181"/>
      <c r="M374" s="492"/>
      <c r="N374" s="254"/>
      <c r="O374" s="492"/>
      <c r="P374" s="254"/>
      <c r="Q374" s="492"/>
      <c r="R374" s="254"/>
      <c r="S374" s="500"/>
      <c r="T374" s="181"/>
      <c r="U374" s="492"/>
      <c r="V374" s="254"/>
      <c r="W374" s="492"/>
      <c r="X374" s="254"/>
      <c r="Y374" s="9"/>
      <c r="Z374" s="9"/>
      <c r="AA374" s="9"/>
      <c r="AB374" s="9"/>
      <c r="AC374" s="9"/>
      <c r="AD374" s="9"/>
      <c r="AE374" s="9"/>
      <c r="AF374" s="9"/>
      <c r="AG374" s="9"/>
      <c r="AH374" s="9"/>
      <c r="AI374" s="9"/>
      <c r="AJ374" s="9"/>
      <c r="AK374" s="9"/>
      <c r="AL374" s="9"/>
      <c r="AM374" s="9"/>
      <c r="AN374" s="9"/>
      <c r="AO374" s="9"/>
      <c r="AP374" s="9"/>
      <c r="AQ374" s="9"/>
      <c r="AR374" s="9"/>
      <c r="AS374" s="9"/>
      <c r="AT374" s="9"/>
    </row>
    <row r="375">
      <c r="A375" s="492"/>
      <c r="B375" s="254"/>
      <c r="C375" s="492"/>
      <c r="D375" s="254"/>
      <c r="E375" s="492"/>
      <c r="F375" s="254"/>
      <c r="G375" s="492"/>
      <c r="H375" s="254"/>
      <c r="I375" s="500"/>
      <c r="J375" s="181"/>
      <c r="K375" s="500"/>
      <c r="L375" s="181"/>
      <c r="M375" s="492"/>
      <c r="N375" s="254"/>
      <c r="O375" s="492"/>
      <c r="P375" s="254"/>
      <c r="Q375" s="492"/>
      <c r="R375" s="254"/>
      <c r="S375" s="500"/>
      <c r="T375" s="181"/>
      <c r="U375" s="492"/>
      <c r="V375" s="254"/>
      <c r="W375" s="492"/>
      <c r="X375" s="254"/>
      <c r="Y375" s="9"/>
      <c r="Z375" s="9"/>
      <c r="AA375" s="9"/>
      <c r="AB375" s="9"/>
      <c r="AC375" s="9"/>
      <c r="AD375" s="9"/>
      <c r="AE375" s="9"/>
      <c r="AF375" s="9"/>
      <c r="AG375" s="9"/>
      <c r="AH375" s="9"/>
      <c r="AI375" s="9"/>
      <c r="AJ375" s="9"/>
      <c r="AK375" s="9"/>
      <c r="AL375" s="9"/>
      <c r="AM375" s="9"/>
      <c r="AN375" s="9"/>
      <c r="AO375" s="9"/>
      <c r="AP375" s="9"/>
      <c r="AQ375" s="9"/>
      <c r="AR375" s="9"/>
      <c r="AS375" s="9"/>
      <c r="AT375" s="9"/>
    </row>
    <row r="376">
      <c r="A376" s="492"/>
      <c r="B376" s="254"/>
      <c r="C376" s="492"/>
      <c r="D376" s="254"/>
      <c r="E376" s="492"/>
      <c r="F376" s="254"/>
      <c r="G376" s="492"/>
      <c r="H376" s="254"/>
      <c r="I376" s="500"/>
      <c r="J376" s="181"/>
      <c r="K376" s="500"/>
      <c r="L376" s="181"/>
      <c r="M376" s="492"/>
      <c r="N376" s="254"/>
      <c r="O376" s="492"/>
      <c r="P376" s="254"/>
      <c r="Q376" s="492"/>
      <c r="R376" s="254"/>
      <c r="S376" s="500"/>
      <c r="T376" s="181"/>
      <c r="U376" s="492"/>
      <c r="V376" s="254"/>
      <c r="W376" s="492"/>
      <c r="X376" s="254"/>
      <c r="Y376" s="9"/>
      <c r="Z376" s="9"/>
      <c r="AA376" s="9"/>
      <c r="AB376" s="9"/>
      <c r="AC376" s="9"/>
      <c r="AD376" s="9"/>
      <c r="AE376" s="9"/>
      <c r="AF376" s="9"/>
      <c r="AG376" s="9"/>
      <c r="AH376" s="9"/>
      <c r="AI376" s="9"/>
      <c r="AJ376" s="9"/>
      <c r="AK376" s="9"/>
      <c r="AL376" s="9"/>
      <c r="AM376" s="9"/>
      <c r="AN376" s="9"/>
      <c r="AO376" s="9"/>
      <c r="AP376" s="9"/>
      <c r="AQ376" s="9"/>
      <c r="AR376" s="9"/>
      <c r="AS376" s="9"/>
      <c r="AT376" s="9"/>
    </row>
    <row r="377">
      <c r="A377" s="492"/>
      <c r="B377" s="254"/>
      <c r="C377" s="492"/>
      <c r="D377" s="254"/>
      <c r="E377" s="492"/>
      <c r="F377" s="254"/>
      <c r="G377" s="492"/>
      <c r="H377" s="254"/>
      <c r="I377" s="500"/>
      <c r="J377" s="181"/>
      <c r="K377" s="500"/>
      <c r="L377" s="181"/>
      <c r="M377" s="492"/>
      <c r="N377" s="254"/>
      <c r="O377" s="492"/>
      <c r="P377" s="254"/>
      <c r="Q377" s="492"/>
      <c r="R377" s="254"/>
      <c r="S377" s="500"/>
      <c r="T377" s="181"/>
      <c r="U377" s="492"/>
      <c r="V377" s="254"/>
      <c r="W377" s="492"/>
      <c r="X377" s="254"/>
      <c r="Y377" s="9"/>
      <c r="Z377" s="9"/>
      <c r="AA377" s="9"/>
      <c r="AB377" s="9"/>
      <c r="AC377" s="9"/>
      <c r="AD377" s="9"/>
      <c r="AE377" s="9"/>
      <c r="AF377" s="9"/>
      <c r="AG377" s="9"/>
      <c r="AH377" s="9"/>
      <c r="AI377" s="9"/>
      <c r="AJ377" s="9"/>
      <c r="AK377" s="9"/>
      <c r="AL377" s="9"/>
      <c r="AM377" s="9"/>
      <c r="AN377" s="9"/>
      <c r="AO377" s="9"/>
      <c r="AP377" s="9"/>
      <c r="AQ377" s="9"/>
      <c r="AR377" s="9"/>
      <c r="AS377" s="9"/>
      <c r="AT377" s="9"/>
    </row>
    <row r="378">
      <c r="A378" s="492"/>
      <c r="B378" s="254"/>
      <c r="C378" s="492"/>
      <c r="D378" s="254"/>
      <c r="E378" s="492"/>
      <c r="F378" s="254"/>
      <c r="G378" s="492"/>
      <c r="H378" s="254"/>
      <c r="I378" s="500"/>
      <c r="J378" s="181"/>
      <c r="K378" s="500"/>
      <c r="L378" s="181"/>
      <c r="M378" s="492"/>
      <c r="N378" s="254"/>
      <c r="O378" s="492"/>
      <c r="P378" s="254"/>
      <c r="Q378" s="492"/>
      <c r="R378" s="254"/>
      <c r="S378" s="500"/>
      <c r="T378" s="181"/>
      <c r="U378" s="492"/>
      <c r="V378" s="254"/>
      <c r="W378" s="492"/>
      <c r="X378" s="254"/>
      <c r="Y378" s="9"/>
      <c r="Z378" s="9"/>
      <c r="AA378" s="9"/>
      <c r="AB378" s="9"/>
      <c r="AC378" s="9"/>
      <c r="AD378" s="9"/>
      <c r="AE378" s="9"/>
      <c r="AF378" s="9"/>
      <c r="AG378" s="9"/>
      <c r="AH378" s="9"/>
      <c r="AI378" s="9"/>
      <c r="AJ378" s="9"/>
      <c r="AK378" s="9"/>
      <c r="AL378" s="9"/>
      <c r="AM378" s="9"/>
      <c r="AN378" s="9"/>
      <c r="AO378" s="9"/>
      <c r="AP378" s="9"/>
      <c r="AQ378" s="9"/>
      <c r="AR378" s="9"/>
      <c r="AS378" s="9"/>
      <c r="AT378" s="9"/>
    </row>
    <row r="379">
      <c r="A379" s="492"/>
      <c r="B379" s="254"/>
      <c r="C379" s="492"/>
      <c r="D379" s="254"/>
      <c r="E379" s="492"/>
      <c r="F379" s="254"/>
      <c r="G379" s="492"/>
      <c r="H379" s="254"/>
      <c r="I379" s="500"/>
      <c r="J379" s="181"/>
      <c r="K379" s="500"/>
      <c r="L379" s="181"/>
      <c r="M379" s="492"/>
      <c r="N379" s="254"/>
      <c r="O379" s="492"/>
      <c r="P379" s="254"/>
      <c r="Q379" s="492"/>
      <c r="R379" s="254"/>
      <c r="S379" s="500"/>
      <c r="T379" s="181"/>
      <c r="U379" s="492"/>
      <c r="V379" s="254"/>
      <c r="W379" s="492"/>
      <c r="X379" s="254"/>
      <c r="Y379" s="9"/>
      <c r="Z379" s="9"/>
      <c r="AA379" s="9"/>
      <c r="AB379" s="9"/>
      <c r="AC379" s="9"/>
      <c r="AD379" s="9"/>
      <c r="AE379" s="9"/>
      <c r="AF379" s="9"/>
      <c r="AG379" s="9"/>
      <c r="AH379" s="9"/>
      <c r="AI379" s="9"/>
      <c r="AJ379" s="9"/>
      <c r="AK379" s="9"/>
      <c r="AL379" s="9"/>
      <c r="AM379" s="9"/>
      <c r="AN379" s="9"/>
      <c r="AO379" s="9"/>
      <c r="AP379" s="9"/>
      <c r="AQ379" s="9"/>
      <c r="AR379" s="9"/>
      <c r="AS379" s="9"/>
      <c r="AT379" s="9"/>
    </row>
    <row r="380">
      <c r="A380" s="492"/>
      <c r="B380" s="254"/>
      <c r="C380" s="492"/>
      <c r="D380" s="254"/>
      <c r="E380" s="492"/>
      <c r="F380" s="254"/>
      <c r="G380" s="492"/>
      <c r="H380" s="254"/>
      <c r="I380" s="500"/>
      <c r="J380" s="181"/>
      <c r="K380" s="500"/>
      <c r="L380" s="181"/>
      <c r="M380" s="492"/>
      <c r="N380" s="254"/>
      <c r="O380" s="492"/>
      <c r="P380" s="254"/>
      <c r="Q380" s="492"/>
      <c r="R380" s="254"/>
      <c r="S380" s="500"/>
      <c r="T380" s="181"/>
      <c r="U380" s="492"/>
      <c r="V380" s="254"/>
      <c r="W380" s="492"/>
      <c r="X380" s="254"/>
      <c r="Y380" s="9"/>
      <c r="Z380" s="9"/>
      <c r="AA380" s="9"/>
      <c r="AB380" s="9"/>
      <c r="AC380" s="9"/>
      <c r="AD380" s="9"/>
      <c r="AE380" s="9"/>
      <c r="AF380" s="9"/>
      <c r="AG380" s="9"/>
      <c r="AH380" s="9"/>
      <c r="AI380" s="9"/>
      <c r="AJ380" s="9"/>
      <c r="AK380" s="9"/>
      <c r="AL380" s="9"/>
      <c r="AM380" s="9"/>
      <c r="AN380" s="9"/>
      <c r="AO380" s="9"/>
      <c r="AP380" s="9"/>
      <c r="AQ380" s="9"/>
      <c r="AR380" s="9"/>
      <c r="AS380" s="9"/>
      <c r="AT380" s="9"/>
    </row>
    <row r="381">
      <c r="A381" s="492"/>
      <c r="B381" s="254"/>
      <c r="C381" s="492"/>
      <c r="D381" s="254"/>
      <c r="E381" s="492"/>
      <c r="F381" s="254"/>
      <c r="G381" s="492"/>
      <c r="H381" s="254"/>
      <c r="I381" s="500"/>
      <c r="J381" s="181"/>
      <c r="K381" s="500"/>
      <c r="L381" s="181"/>
      <c r="M381" s="492"/>
      <c r="N381" s="254"/>
      <c r="O381" s="492"/>
      <c r="P381" s="254"/>
      <c r="Q381" s="492"/>
      <c r="R381" s="254"/>
      <c r="S381" s="500"/>
      <c r="T381" s="181"/>
      <c r="U381" s="492"/>
      <c r="V381" s="254"/>
      <c r="W381" s="492"/>
      <c r="X381" s="254"/>
      <c r="Y381" s="9"/>
      <c r="Z381" s="9"/>
      <c r="AA381" s="9"/>
      <c r="AB381" s="9"/>
      <c r="AC381" s="9"/>
      <c r="AD381" s="9"/>
      <c r="AE381" s="9"/>
      <c r="AF381" s="9"/>
      <c r="AG381" s="9"/>
      <c r="AH381" s="9"/>
      <c r="AI381" s="9"/>
      <c r="AJ381" s="9"/>
      <c r="AK381" s="9"/>
      <c r="AL381" s="9"/>
      <c r="AM381" s="9"/>
      <c r="AN381" s="9"/>
      <c r="AO381" s="9"/>
      <c r="AP381" s="9"/>
      <c r="AQ381" s="9"/>
      <c r="AR381" s="9"/>
      <c r="AS381" s="9"/>
      <c r="AT381" s="9"/>
    </row>
    <row r="382">
      <c r="A382" s="492"/>
      <c r="B382" s="254"/>
      <c r="C382" s="492"/>
      <c r="D382" s="254"/>
      <c r="E382" s="492"/>
      <c r="F382" s="254"/>
      <c r="G382" s="492"/>
      <c r="H382" s="254"/>
      <c r="I382" s="500"/>
      <c r="J382" s="181"/>
      <c r="K382" s="500"/>
      <c r="L382" s="181"/>
      <c r="M382" s="492"/>
      <c r="N382" s="254"/>
      <c r="O382" s="492"/>
      <c r="P382" s="254"/>
      <c r="Q382" s="492"/>
      <c r="R382" s="254"/>
      <c r="S382" s="500"/>
      <c r="T382" s="181"/>
      <c r="U382" s="492"/>
      <c r="V382" s="254"/>
      <c r="W382" s="492"/>
      <c r="X382" s="254"/>
      <c r="Y382" s="9"/>
      <c r="Z382" s="9"/>
      <c r="AA382" s="9"/>
      <c r="AB382" s="9"/>
      <c r="AC382" s="9"/>
      <c r="AD382" s="9"/>
      <c r="AE382" s="9"/>
      <c r="AF382" s="9"/>
      <c r="AG382" s="9"/>
      <c r="AH382" s="9"/>
      <c r="AI382" s="9"/>
      <c r="AJ382" s="9"/>
      <c r="AK382" s="9"/>
      <c r="AL382" s="9"/>
      <c r="AM382" s="9"/>
      <c r="AN382" s="9"/>
      <c r="AO382" s="9"/>
      <c r="AP382" s="9"/>
      <c r="AQ382" s="9"/>
      <c r="AR382" s="9"/>
      <c r="AS382" s="9"/>
      <c r="AT382" s="9"/>
    </row>
    <row r="383">
      <c r="A383" s="492"/>
      <c r="B383" s="254"/>
      <c r="C383" s="492"/>
      <c r="D383" s="254"/>
      <c r="E383" s="492"/>
      <c r="F383" s="254"/>
      <c r="G383" s="492"/>
      <c r="H383" s="254"/>
      <c r="I383" s="500"/>
      <c r="J383" s="181"/>
      <c r="K383" s="500"/>
      <c r="L383" s="181"/>
      <c r="M383" s="492"/>
      <c r="N383" s="254"/>
      <c r="O383" s="492"/>
      <c r="P383" s="254"/>
      <c r="Q383" s="492"/>
      <c r="R383" s="254"/>
      <c r="S383" s="500"/>
      <c r="T383" s="181"/>
      <c r="U383" s="492"/>
      <c r="V383" s="254"/>
      <c r="W383" s="492"/>
      <c r="X383" s="254"/>
      <c r="Y383" s="9"/>
      <c r="Z383" s="9"/>
      <c r="AA383" s="9"/>
      <c r="AB383" s="9"/>
      <c r="AC383" s="9"/>
      <c r="AD383" s="9"/>
      <c r="AE383" s="9"/>
      <c r="AF383" s="9"/>
      <c r="AG383" s="9"/>
      <c r="AH383" s="9"/>
      <c r="AI383" s="9"/>
      <c r="AJ383" s="9"/>
      <c r="AK383" s="9"/>
      <c r="AL383" s="9"/>
      <c r="AM383" s="9"/>
      <c r="AN383" s="9"/>
      <c r="AO383" s="9"/>
      <c r="AP383" s="9"/>
      <c r="AQ383" s="9"/>
      <c r="AR383" s="9"/>
      <c r="AS383" s="9"/>
      <c r="AT383" s="9"/>
    </row>
    <row r="384">
      <c r="A384" s="492"/>
      <c r="B384" s="254"/>
      <c r="C384" s="492"/>
      <c r="D384" s="254"/>
      <c r="E384" s="492"/>
      <c r="F384" s="254"/>
      <c r="G384" s="492"/>
      <c r="H384" s="254"/>
      <c r="I384" s="500"/>
      <c r="J384" s="181"/>
      <c r="K384" s="500"/>
      <c r="L384" s="181"/>
      <c r="M384" s="492"/>
      <c r="N384" s="254"/>
      <c r="O384" s="492"/>
      <c r="P384" s="254"/>
      <c r="Q384" s="492"/>
      <c r="R384" s="254"/>
      <c r="S384" s="500"/>
      <c r="T384" s="181"/>
      <c r="U384" s="492"/>
      <c r="V384" s="254"/>
      <c r="W384" s="492"/>
      <c r="X384" s="254"/>
      <c r="Y384" s="9"/>
      <c r="Z384" s="9"/>
      <c r="AA384" s="9"/>
      <c r="AB384" s="9"/>
      <c r="AC384" s="9"/>
      <c r="AD384" s="9"/>
      <c r="AE384" s="9"/>
      <c r="AF384" s="9"/>
      <c r="AG384" s="9"/>
      <c r="AH384" s="9"/>
      <c r="AI384" s="9"/>
      <c r="AJ384" s="9"/>
      <c r="AK384" s="9"/>
      <c r="AL384" s="9"/>
      <c r="AM384" s="9"/>
      <c r="AN384" s="9"/>
      <c r="AO384" s="9"/>
      <c r="AP384" s="9"/>
      <c r="AQ384" s="9"/>
      <c r="AR384" s="9"/>
      <c r="AS384" s="9"/>
      <c r="AT384" s="9"/>
    </row>
    <row r="385">
      <c r="A385" s="492"/>
      <c r="B385" s="254"/>
      <c r="C385" s="492"/>
      <c r="D385" s="254"/>
      <c r="E385" s="492"/>
      <c r="F385" s="254"/>
      <c r="G385" s="492"/>
      <c r="H385" s="254"/>
      <c r="I385" s="500"/>
      <c r="J385" s="181"/>
      <c r="K385" s="500"/>
      <c r="L385" s="181"/>
      <c r="M385" s="492"/>
      <c r="N385" s="254"/>
      <c r="O385" s="492"/>
      <c r="P385" s="254"/>
      <c r="Q385" s="492"/>
      <c r="R385" s="254"/>
      <c r="S385" s="500"/>
      <c r="T385" s="181"/>
      <c r="U385" s="492"/>
      <c r="V385" s="254"/>
      <c r="W385" s="492"/>
      <c r="X385" s="254"/>
      <c r="Y385" s="9"/>
      <c r="Z385" s="9"/>
      <c r="AA385" s="9"/>
      <c r="AB385" s="9"/>
      <c r="AC385" s="9"/>
      <c r="AD385" s="9"/>
      <c r="AE385" s="9"/>
      <c r="AF385" s="9"/>
      <c r="AG385" s="9"/>
      <c r="AH385" s="9"/>
      <c r="AI385" s="9"/>
      <c r="AJ385" s="9"/>
      <c r="AK385" s="9"/>
      <c r="AL385" s="9"/>
      <c r="AM385" s="9"/>
      <c r="AN385" s="9"/>
      <c r="AO385" s="9"/>
      <c r="AP385" s="9"/>
      <c r="AQ385" s="9"/>
      <c r="AR385" s="9"/>
      <c r="AS385" s="9"/>
      <c r="AT385" s="9"/>
    </row>
    <row r="386">
      <c r="A386" s="492"/>
      <c r="B386" s="254"/>
      <c r="C386" s="492"/>
      <c r="D386" s="254"/>
      <c r="E386" s="492"/>
      <c r="F386" s="254"/>
      <c r="G386" s="492"/>
      <c r="H386" s="254"/>
      <c r="I386" s="500"/>
      <c r="J386" s="181"/>
      <c r="K386" s="500"/>
      <c r="L386" s="181"/>
      <c r="M386" s="492"/>
      <c r="N386" s="254"/>
      <c r="O386" s="492"/>
      <c r="P386" s="254"/>
      <c r="Q386" s="492"/>
      <c r="R386" s="254"/>
      <c r="S386" s="500"/>
      <c r="T386" s="181"/>
      <c r="U386" s="492"/>
      <c r="V386" s="254"/>
      <c r="W386" s="492"/>
      <c r="X386" s="254"/>
      <c r="Y386" s="9"/>
      <c r="Z386" s="9"/>
      <c r="AA386" s="9"/>
      <c r="AB386" s="9"/>
      <c r="AC386" s="9"/>
      <c r="AD386" s="9"/>
      <c r="AE386" s="9"/>
      <c r="AF386" s="9"/>
      <c r="AG386" s="9"/>
      <c r="AH386" s="9"/>
      <c r="AI386" s="9"/>
      <c r="AJ386" s="9"/>
      <c r="AK386" s="9"/>
      <c r="AL386" s="9"/>
      <c r="AM386" s="9"/>
      <c r="AN386" s="9"/>
      <c r="AO386" s="9"/>
      <c r="AP386" s="9"/>
      <c r="AQ386" s="9"/>
      <c r="AR386" s="9"/>
      <c r="AS386" s="9"/>
      <c r="AT386" s="9"/>
    </row>
    <row r="387">
      <c r="A387" s="492"/>
      <c r="B387" s="254"/>
      <c r="C387" s="492"/>
      <c r="D387" s="254"/>
      <c r="E387" s="492"/>
      <c r="F387" s="254"/>
      <c r="G387" s="492"/>
      <c r="H387" s="254"/>
      <c r="I387" s="500"/>
      <c r="J387" s="181"/>
      <c r="K387" s="500"/>
      <c r="L387" s="181"/>
      <c r="M387" s="492"/>
      <c r="N387" s="254"/>
      <c r="O387" s="492"/>
      <c r="P387" s="254"/>
      <c r="Q387" s="492"/>
      <c r="R387" s="254"/>
      <c r="S387" s="500"/>
      <c r="T387" s="181"/>
      <c r="U387" s="492"/>
      <c r="V387" s="254"/>
      <c r="W387" s="492"/>
      <c r="X387" s="254"/>
      <c r="Y387" s="9"/>
      <c r="Z387" s="9"/>
      <c r="AA387" s="9"/>
      <c r="AB387" s="9"/>
      <c r="AC387" s="9"/>
      <c r="AD387" s="9"/>
      <c r="AE387" s="9"/>
      <c r="AF387" s="9"/>
      <c r="AG387" s="9"/>
      <c r="AH387" s="9"/>
      <c r="AI387" s="9"/>
      <c r="AJ387" s="9"/>
      <c r="AK387" s="9"/>
      <c r="AL387" s="9"/>
      <c r="AM387" s="9"/>
      <c r="AN387" s="9"/>
      <c r="AO387" s="9"/>
      <c r="AP387" s="9"/>
      <c r="AQ387" s="9"/>
      <c r="AR387" s="9"/>
      <c r="AS387" s="9"/>
      <c r="AT387" s="9"/>
    </row>
    <row r="388">
      <c r="A388" s="492"/>
      <c r="B388" s="254"/>
      <c r="C388" s="492"/>
      <c r="D388" s="254"/>
      <c r="E388" s="492"/>
      <c r="F388" s="254"/>
      <c r="G388" s="492"/>
      <c r="H388" s="254"/>
      <c r="I388" s="500"/>
      <c r="J388" s="181"/>
      <c r="K388" s="500"/>
      <c r="L388" s="181"/>
      <c r="M388" s="492"/>
      <c r="N388" s="254"/>
      <c r="O388" s="492"/>
      <c r="P388" s="254"/>
      <c r="Q388" s="492"/>
      <c r="R388" s="254"/>
      <c r="S388" s="500"/>
      <c r="T388" s="181"/>
      <c r="U388" s="492"/>
      <c r="V388" s="254"/>
      <c r="W388" s="492"/>
      <c r="X388" s="254"/>
      <c r="Y388" s="9"/>
      <c r="Z388" s="9"/>
      <c r="AA388" s="9"/>
      <c r="AB388" s="9"/>
      <c r="AC388" s="9"/>
      <c r="AD388" s="9"/>
      <c r="AE388" s="9"/>
      <c r="AF388" s="9"/>
      <c r="AG388" s="9"/>
      <c r="AH388" s="9"/>
      <c r="AI388" s="9"/>
      <c r="AJ388" s="9"/>
      <c r="AK388" s="9"/>
      <c r="AL388" s="9"/>
      <c r="AM388" s="9"/>
      <c r="AN388" s="9"/>
      <c r="AO388" s="9"/>
      <c r="AP388" s="9"/>
      <c r="AQ388" s="9"/>
      <c r="AR388" s="9"/>
      <c r="AS388" s="9"/>
      <c r="AT388" s="9"/>
    </row>
    <row r="389">
      <c r="A389" s="492"/>
      <c r="B389" s="254"/>
      <c r="C389" s="492"/>
      <c r="D389" s="254"/>
      <c r="E389" s="492"/>
      <c r="F389" s="254"/>
      <c r="G389" s="492"/>
      <c r="H389" s="254"/>
      <c r="I389" s="500"/>
      <c r="J389" s="181"/>
      <c r="K389" s="500"/>
      <c r="L389" s="181"/>
      <c r="M389" s="492"/>
      <c r="N389" s="254"/>
      <c r="O389" s="492"/>
      <c r="P389" s="254"/>
      <c r="Q389" s="492"/>
      <c r="R389" s="254"/>
      <c r="S389" s="500"/>
      <c r="T389" s="181"/>
      <c r="U389" s="492"/>
      <c r="V389" s="254"/>
      <c r="W389" s="492"/>
      <c r="X389" s="254"/>
      <c r="Y389" s="9"/>
      <c r="Z389" s="9"/>
      <c r="AA389" s="9"/>
      <c r="AB389" s="9"/>
      <c r="AC389" s="9"/>
      <c r="AD389" s="9"/>
      <c r="AE389" s="9"/>
      <c r="AF389" s="9"/>
      <c r="AG389" s="9"/>
      <c r="AH389" s="9"/>
      <c r="AI389" s="9"/>
      <c r="AJ389" s="9"/>
      <c r="AK389" s="9"/>
      <c r="AL389" s="9"/>
      <c r="AM389" s="9"/>
      <c r="AN389" s="9"/>
      <c r="AO389" s="9"/>
      <c r="AP389" s="9"/>
      <c r="AQ389" s="9"/>
      <c r="AR389" s="9"/>
      <c r="AS389" s="9"/>
      <c r="AT389" s="9"/>
    </row>
    <row r="390">
      <c r="A390" s="492"/>
      <c r="B390" s="254"/>
      <c r="C390" s="492"/>
      <c r="D390" s="254"/>
      <c r="E390" s="492"/>
      <c r="F390" s="254"/>
      <c r="G390" s="492"/>
      <c r="H390" s="254"/>
      <c r="I390" s="500"/>
      <c r="J390" s="181"/>
      <c r="K390" s="500"/>
      <c r="L390" s="181"/>
      <c r="M390" s="492"/>
      <c r="N390" s="254"/>
      <c r="O390" s="492"/>
      <c r="P390" s="254"/>
      <c r="Q390" s="492"/>
      <c r="R390" s="254"/>
      <c r="S390" s="500"/>
      <c r="T390" s="181"/>
      <c r="U390" s="492"/>
      <c r="V390" s="254"/>
      <c r="W390" s="492"/>
      <c r="X390" s="254"/>
      <c r="Y390" s="9"/>
      <c r="Z390" s="9"/>
      <c r="AA390" s="9"/>
      <c r="AB390" s="9"/>
      <c r="AC390" s="9"/>
      <c r="AD390" s="9"/>
      <c r="AE390" s="9"/>
      <c r="AF390" s="9"/>
      <c r="AG390" s="9"/>
      <c r="AH390" s="9"/>
      <c r="AI390" s="9"/>
      <c r="AJ390" s="9"/>
      <c r="AK390" s="9"/>
      <c r="AL390" s="9"/>
      <c r="AM390" s="9"/>
      <c r="AN390" s="9"/>
      <c r="AO390" s="9"/>
      <c r="AP390" s="9"/>
      <c r="AQ390" s="9"/>
      <c r="AR390" s="9"/>
      <c r="AS390" s="9"/>
      <c r="AT390" s="9"/>
    </row>
    <row r="391">
      <c r="A391" s="492"/>
      <c r="B391" s="254"/>
      <c r="C391" s="492"/>
      <c r="D391" s="254"/>
      <c r="E391" s="492"/>
      <c r="F391" s="254"/>
      <c r="G391" s="492"/>
      <c r="H391" s="254"/>
      <c r="I391" s="500"/>
      <c r="J391" s="181"/>
      <c r="K391" s="500"/>
      <c r="L391" s="181"/>
      <c r="M391" s="492"/>
      <c r="N391" s="254"/>
      <c r="O391" s="492"/>
      <c r="P391" s="254"/>
      <c r="Q391" s="492"/>
      <c r="R391" s="254"/>
      <c r="S391" s="500"/>
      <c r="T391" s="181"/>
      <c r="U391" s="492"/>
      <c r="V391" s="254"/>
      <c r="W391" s="492"/>
      <c r="X391" s="254"/>
      <c r="Y391" s="9"/>
      <c r="Z391" s="9"/>
      <c r="AA391" s="9"/>
      <c r="AB391" s="9"/>
      <c r="AC391" s="9"/>
      <c r="AD391" s="9"/>
      <c r="AE391" s="9"/>
      <c r="AF391" s="9"/>
      <c r="AG391" s="9"/>
      <c r="AH391" s="9"/>
      <c r="AI391" s="9"/>
      <c r="AJ391" s="9"/>
      <c r="AK391" s="9"/>
      <c r="AL391" s="9"/>
      <c r="AM391" s="9"/>
      <c r="AN391" s="9"/>
      <c r="AO391" s="9"/>
      <c r="AP391" s="9"/>
      <c r="AQ391" s="9"/>
      <c r="AR391" s="9"/>
      <c r="AS391" s="9"/>
      <c r="AT391" s="9"/>
    </row>
    <row r="392">
      <c r="A392" s="492"/>
      <c r="B392" s="254"/>
      <c r="C392" s="492"/>
      <c r="D392" s="254"/>
      <c r="E392" s="492"/>
      <c r="F392" s="254"/>
      <c r="G392" s="492"/>
      <c r="H392" s="254"/>
      <c r="I392" s="500"/>
      <c r="J392" s="181"/>
      <c r="K392" s="500"/>
      <c r="L392" s="181"/>
      <c r="M392" s="492"/>
      <c r="N392" s="254"/>
      <c r="O392" s="492"/>
      <c r="P392" s="254"/>
      <c r="Q392" s="492"/>
      <c r="R392" s="254"/>
      <c r="S392" s="500"/>
      <c r="T392" s="181"/>
      <c r="U392" s="492"/>
      <c r="V392" s="254"/>
      <c r="W392" s="492"/>
      <c r="X392" s="254"/>
      <c r="Y392" s="9"/>
      <c r="Z392" s="9"/>
      <c r="AA392" s="9"/>
      <c r="AB392" s="9"/>
      <c r="AC392" s="9"/>
      <c r="AD392" s="9"/>
      <c r="AE392" s="9"/>
      <c r="AF392" s="9"/>
      <c r="AG392" s="9"/>
      <c r="AH392" s="9"/>
      <c r="AI392" s="9"/>
      <c r="AJ392" s="9"/>
      <c r="AK392" s="9"/>
      <c r="AL392" s="9"/>
      <c r="AM392" s="9"/>
      <c r="AN392" s="9"/>
      <c r="AO392" s="9"/>
      <c r="AP392" s="9"/>
      <c r="AQ392" s="9"/>
      <c r="AR392" s="9"/>
      <c r="AS392" s="9"/>
      <c r="AT392" s="9"/>
    </row>
    <row r="393">
      <c r="A393" s="492"/>
      <c r="B393" s="254"/>
      <c r="C393" s="492"/>
      <c r="D393" s="254"/>
      <c r="E393" s="492"/>
      <c r="F393" s="254"/>
      <c r="G393" s="492"/>
      <c r="H393" s="254"/>
      <c r="I393" s="500"/>
      <c r="J393" s="181"/>
      <c r="K393" s="500"/>
      <c r="L393" s="181"/>
      <c r="M393" s="492"/>
      <c r="N393" s="254"/>
      <c r="O393" s="492"/>
      <c r="P393" s="254"/>
      <c r="Q393" s="492"/>
      <c r="R393" s="254"/>
      <c r="S393" s="500"/>
      <c r="T393" s="181"/>
      <c r="U393" s="492"/>
      <c r="V393" s="254"/>
      <c r="W393" s="492"/>
      <c r="X393" s="254"/>
      <c r="Y393" s="9"/>
      <c r="Z393" s="9"/>
      <c r="AA393" s="9"/>
      <c r="AB393" s="9"/>
      <c r="AC393" s="9"/>
      <c r="AD393" s="9"/>
      <c r="AE393" s="9"/>
      <c r="AF393" s="9"/>
      <c r="AG393" s="9"/>
      <c r="AH393" s="9"/>
      <c r="AI393" s="9"/>
      <c r="AJ393" s="9"/>
      <c r="AK393" s="9"/>
      <c r="AL393" s="9"/>
      <c r="AM393" s="9"/>
      <c r="AN393" s="9"/>
      <c r="AO393" s="9"/>
      <c r="AP393" s="9"/>
      <c r="AQ393" s="9"/>
      <c r="AR393" s="9"/>
      <c r="AS393" s="9"/>
      <c r="AT393" s="9"/>
    </row>
    <row r="394">
      <c r="A394" s="492"/>
      <c r="B394" s="254"/>
      <c r="C394" s="492"/>
      <c r="D394" s="254"/>
      <c r="E394" s="492"/>
      <c r="F394" s="254"/>
      <c r="G394" s="492"/>
      <c r="H394" s="254"/>
      <c r="I394" s="500"/>
      <c r="J394" s="181"/>
      <c r="K394" s="500"/>
      <c r="L394" s="181"/>
      <c r="M394" s="492"/>
      <c r="N394" s="254"/>
      <c r="O394" s="492"/>
      <c r="P394" s="254"/>
      <c r="Q394" s="492"/>
      <c r="R394" s="254"/>
      <c r="S394" s="500"/>
      <c r="T394" s="181"/>
      <c r="U394" s="492"/>
      <c r="V394" s="254"/>
      <c r="W394" s="492"/>
      <c r="X394" s="254"/>
      <c r="Y394" s="9"/>
      <c r="Z394" s="9"/>
      <c r="AA394" s="9"/>
      <c r="AB394" s="9"/>
      <c r="AC394" s="9"/>
      <c r="AD394" s="9"/>
      <c r="AE394" s="9"/>
      <c r="AF394" s="9"/>
      <c r="AG394" s="9"/>
      <c r="AH394" s="9"/>
      <c r="AI394" s="9"/>
      <c r="AJ394" s="9"/>
      <c r="AK394" s="9"/>
      <c r="AL394" s="9"/>
      <c r="AM394" s="9"/>
      <c r="AN394" s="9"/>
      <c r="AO394" s="9"/>
      <c r="AP394" s="9"/>
      <c r="AQ394" s="9"/>
      <c r="AR394" s="9"/>
      <c r="AS394" s="9"/>
      <c r="AT394" s="9"/>
    </row>
    <row r="395">
      <c r="A395" s="492"/>
      <c r="B395" s="254"/>
      <c r="C395" s="492"/>
      <c r="D395" s="254"/>
      <c r="E395" s="492"/>
      <c r="F395" s="254"/>
      <c r="G395" s="492"/>
      <c r="H395" s="254"/>
      <c r="I395" s="500"/>
      <c r="J395" s="181"/>
      <c r="K395" s="500"/>
      <c r="L395" s="181"/>
      <c r="M395" s="492"/>
      <c r="N395" s="254"/>
      <c r="O395" s="492"/>
      <c r="P395" s="254"/>
      <c r="Q395" s="492"/>
      <c r="R395" s="254"/>
      <c r="S395" s="500"/>
      <c r="T395" s="181"/>
      <c r="U395" s="492"/>
      <c r="V395" s="254"/>
      <c r="W395" s="492"/>
      <c r="X395" s="254"/>
      <c r="Y395" s="9"/>
      <c r="Z395" s="9"/>
      <c r="AA395" s="9"/>
      <c r="AB395" s="9"/>
      <c r="AC395" s="9"/>
      <c r="AD395" s="9"/>
      <c r="AE395" s="9"/>
      <c r="AF395" s="9"/>
      <c r="AG395" s="9"/>
      <c r="AH395" s="9"/>
      <c r="AI395" s="9"/>
      <c r="AJ395" s="9"/>
      <c r="AK395" s="9"/>
      <c r="AL395" s="9"/>
      <c r="AM395" s="9"/>
      <c r="AN395" s="9"/>
      <c r="AO395" s="9"/>
      <c r="AP395" s="9"/>
      <c r="AQ395" s="9"/>
      <c r="AR395" s="9"/>
      <c r="AS395" s="9"/>
      <c r="AT395" s="9"/>
    </row>
    <row r="396">
      <c r="A396" s="492"/>
      <c r="B396" s="254"/>
      <c r="C396" s="492"/>
      <c r="D396" s="254"/>
      <c r="E396" s="492"/>
      <c r="F396" s="254"/>
      <c r="G396" s="492"/>
      <c r="H396" s="254"/>
      <c r="I396" s="500"/>
      <c r="J396" s="181"/>
      <c r="K396" s="500"/>
      <c r="L396" s="181"/>
      <c r="M396" s="492"/>
      <c r="N396" s="254"/>
      <c r="O396" s="492"/>
      <c r="P396" s="254"/>
      <c r="Q396" s="492"/>
      <c r="R396" s="254"/>
      <c r="S396" s="500"/>
      <c r="T396" s="181"/>
      <c r="U396" s="492"/>
      <c r="V396" s="254"/>
      <c r="W396" s="492"/>
      <c r="X396" s="254"/>
      <c r="Y396" s="9"/>
      <c r="Z396" s="9"/>
      <c r="AA396" s="9"/>
      <c r="AB396" s="9"/>
      <c r="AC396" s="9"/>
      <c r="AD396" s="9"/>
      <c r="AE396" s="9"/>
      <c r="AF396" s="9"/>
      <c r="AG396" s="9"/>
      <c r="AH396" s="9"/>
      <c r="AI396" s="9"/>
      <c r="AJ396" s="9"/>
      <c r="AK396" s="9"/>
      <c r="AL396" s="9"/>
      <c r="AM396" s="9"/>
      <c r="AN396" s="9"/>
      <c r="AO396" s="9"/>
      <c r="AP396" s="9"/>
      <c r="AQ396" s="9"/>
      <c r="AR396" s="9"/>
      <c r="AS396" s="9"/>
      <c r="AT396" s="9"/>
    </row>
    <row r="397">
      <c r="A397" s="492"/>
      <c r="B397" s="254"/>
      <c r="C397" s="492"/>
      <c r="D397" s="254"/>
      <c r="E397" s="492"/>
      <c r="F397" s="254"/>
      <c r="G397" s="492"/>
      <c r="H397" s="254"/>
      <c r="I397" s="500"/>
      <c r="J397" s="181"/>
      <c r="K397" s="500"/>
      <c r="L397" s="181"/>
      <c r="M397" s="492"/>
      <c r="N397" s="254"/>
      <c r="O397" s="492"/>
      <c r="P397" s="254"/>
      <c r="Q397" s="492"/>
      <c r="R397" s="254"/>
      <c r="S397" s="500"/>
      <c r="T397" s="181"/>
      <c r="U397" s="492"/>
      <c r="V397" s="254"/>
      <c r="W397" s="492"/>
      <c r="X397" s="254"/>
      <c r="Y397" s="9"/>
      <c r="Z397" s="9"/>
      <c r="AA397" s="9"/>
      <c r="AB397" s="9"/>
      <c r="AC397" s="9"/>
      <c r="AD397" s="9"/>
      <c r="AE397" s="9"/>
      <c r="AF397" s="9"/>
      <c r="AG397" s="9"/>
      <c r="AH397" s="9"/>
      <c r="AI397" s="9"/>
      <c r="AJ397" s="9"/>
      <c r="AK397" s="9"/>
      <c r="AL397" s="9"/>
      <c r="AM397" s="9"/>
      <c r="AN397" s="9"/>
      <c r="AO397" s="9"/>
      <c r="AP397" s="9"/>
      <c r="AQ397" s="9"/>
      <c r="AR397" s="9"/>
      <c r="AS397" s="9"/>
      <c r="AT397" s="9"/>
    </row>
    <row r="398">
      <c r="A398" s="492"/>
      <c r="B398" s="254"/>
      <c r="C398" s="492"/>
      <c r="D398" s="254"/>
      <c r="E398" s="492"/>
      <c r="F398" s="254"/>
      <c r="G398" s="492"/>
      <c r="H398" s="254"/>
      <c r="I398" s="500"/>
      <c r="J398" s="181"/>
      <c r="K398" s="500"/>
      <c r="L398" s="181"/>
      <c r="M398" s="492"/>
      <c r="N398" s="254"/>
      <c r="O398" s="492"/>
      <c r="P398" s="254"/>
      <c r="Q398" s="492"/>
      <c r="R398" s="254"/>
      <c r="S398" s="500"/>
      <c r="T398" s="181"/>
      <c r="U398" s="492"/>
      <c r="V398" s="254"/>
      <c r="W398" s="492"/>
      <c r="X398" s="254"/>
      <c r="Y398" s="9"/>
      <c r="Z398" s="9"/>
      <c r="AA398" s="9"/>
      <c r="AB398" s="9"/>
      <c r="AC398" s="9"/>
      <c r="AD398" s="9"/>
      <c r="AE398" s="9"/>
      <c r="AF398" s="9"/>
      <c r="AG398" s="9"/>
      <c r="AH398" s="9"/>
      <c r="AI398" s="9"/>
      <c r="AJ398" s="9"/>
      <c r="AK398" s="9"/>
      <c r="AL398" s="9"/>
      <c r="AM398" s="9"/>
      <c r="AN398" s="9"/>
      <c r="AO398" s="9"/>
      <c r="AP398" s="9"/>
      <c r="AQ398" s="9"/>
      <c r="AR398" s="9"/>
      <c r="AS398" s="9"/>
      <c r="AT398" s="9"/>
    </row>
    <row r="399">
      <c r="A399" s="492"/>
      <c r="B399" s="254"/>
      <c r="C399" s="492"/>
      <c r="D399" s="254"/>
      <c r="E399" s="492"/>
      <c r="F399" s="254"/>
      <c r="G399" s="492"/>
      <c r="H399" s="254"/>
      <c r="I399" s="500"/>
      <c r="J399" s="181"/>
      <c r="K399" s="500"/>
      <c r="L399" s="181"/>
      <c r="M399" s="492"/>
      <c r="N399" s="254"/>
      <c r="O399" s="492"/>
      <c r="P399" s="254"/>
      <c r="Q399" s="492"/>
      <c r="R399" s="254"/>
      <c r="S399" s="500"/>
      <c r="T399" s="181"/>
      <c r="U399" s="492"/>
      <c r="V399" s="254"/>
      <c r="W399" s="492"/>
      <c r="X399" s="254"/>
      <c r="Y399" s="9"/>
      <c r="Z399" s="9"/>
      <c r="AA399" s="9"/>
      <c r="AB399" s="9"/>
      <c r="AC399" s="9"/>
      <c r="AD399" s="9"/>
      <c r="AE399" s="9"/>
      <c r="AF399" s="9"/>
      <c r="AG399" s="9"/>
      <c r="AH399" s="9"/>
      <c r="AI399" s="9"/>
      <c r="AJ399" s="9"/>
      <c r="AK399" s="9"/>
      <c r="AL399" s="9"/>
      <c r="AM399" s="9"/>
      <c r="AN399" s="9"/>
      <c r="AO399" s="9"/>
      <c r="AP399" s="9"/>
      <c r="AQ399" s="9"/>
      <c r="AR399" s="9"/>
      <c r="AS399" s="9"/>
      <c r="AT399" s="9"/>
    </row>
    <row r="400">
      <c r="A400" s="492"/>
      <c r="B400" s="254"/>
      <c r="C400" s="492"/>
      <c r="D400" s="254"/>
      <c r="E400" s="492"/>
      <c r="F400" s="254"/>
      <c r="G400" s="492"/>
      <c r="H400" s="254"/>
      <c r="I400" s="500"/>
      <c r="J400" s="181"/>
      <c r="K400" s="500"/>
      <c r="L400" s="181"/>
      <c r="M400" s="492"/>
      <c r="N400" s="254"/>
      <c r="O400" s="492"/>
      <c r="P400" s="254"/>
      <c r="Q400" s="492"/>
      <c r="R400" s="254"/>
      <c r="S400" s="500"/>
      <c r="T400" s="181"/>
      <c r="U400" s="492"/>
      <c r="V400" s="254"/>
      <c r="W400" s="492"/>
      <c r="X400" s="254"/>
      <c r="Y400" s="9"/>
      <c r="Z400" s="9"/>
      <c r="AA400" s="9"/>
      <c r="AB400" s="9"/>
      <c r="AC400" s="9"/>
      <c r="AD400" s="9"/>
      <c r="AE400" s="9"/>
      <c r="AF400" s="9"/>
      <c r="AG400" s="9"/>
      <c r="AH400" s="9"/>
      <c r="AI400" s="9"/>
      <c r="AJ400" s="9"/>
      <c r="AK400" s="9"/>
      <c r="AL400" s="9"/>
      <c r="AM400" s="9"/>
      <c r="AN400" s="9"/>
      <c r="AO400" s="9"/>
      <c r="AP400" s="9"/>
      <c r="AQ400" s="9"/>
      <c r="AR400" s="9"/>
      <c r="AS400" s="9"/>
      <c r="AT400" s="9"/>
    </row>
    <row r="401">
      <c r="A401" s="492"/>
      <c r="B401" s="254"/>
      <c r="C401" s="492"/>
      <c r="D401" s="254"/>
      <c r="E401" s="492"/>
      <c r="F401" s="254"/>
      <c r="G401" s="492"/>
      <c r="H401" s="254"/>
      <c r="I401" s="500"/>
      <c r="J401" s="181"/>
      <c r="K401" s="500"/>
      <c r="L401" s="181"/>
      <c r="M401" s="492"/>
      <c r="N401" s="254"/>
      <c r="O401" s="492"/>
      <c r="P401" s="254"/>
      <c r="Q401" s="492"/>
      <c r="R401" s="254"/>
      <c r="S401" s="500"/>
      <c r="T401" s="181"/>
      <c r="U401" s="492"/>
      <c r="V401" s="254"/>
      <c r="W401" s="492"/>
      <c r="X401" s="254"/>
      <c r="Y401" s="9"/>
      <c r="Z401" s="9"/>
      <c r="AA401" s="9"/>
      <c r="AB401" s="9"/>
      <c r="AC401" s="9"/>
      <c r="AD401" s="9"/>
      <c r="AE401" s="9"/>
      <c r="AF401" s="9"/>
      <c r="AG401" s="9"/>
      <c r="AH401" s="9"/>
      <c r="AI401" s="9"/>
      <c r="AJ401" s="9"/>
      <c r="AK401" s="9"/>
      <c r="AL401" s="9"/>
      <c r="AM401" s="9"/>
      <c r="AN401" s="9"/>
      <c r="AO401" s="9"/>
      <c r="AP401" s="9"/>
      <c r="AQ401" s="9"/>
      <c r="AR401" s="9"/>
      <c r="AS401" s="9"/>
      <c r="AT401" s="9"/>
    </row>
    <row r="402">
      <c r="A402" s="492"/>
      <c r="B402" s="254"/>
      <c r="C402" s="492"/>
      <c r="D402" s="254"/>
      <c r="E402" s="492"/>
      <c r="F402" s="254"/>
      <c r="G402" s="492"/>
      <c r="H402" s="254"/>
      <c r="I402" s="500"/>
      <c r="J402" s="181"/>
      <c r="K402" s="500"/>
      <c r="L402" s="181"/>
      <c r="M402" s="492"/>
      <c r="N402" s="254"/>
      <c r="O402" s="492"/>
      <c r="P402" s="254"/>
      <c r="Q402" s="492"/>
      <c r="R402" s="254"/>
      <c r="S402" s="500"/>
      <c r="T402" s="181"/>
      <c r="U402" s="492"/>
      <c r="V402" s="254"/>
      <c r="W402" s="492"/>
      <c r="X402" s="254"/>
      <c r="Y402" s="9"/>
      <c r="Z402" s="9"/>
      <c r="AA402" s="9"/>
      <c r="AB402" s="9"/>
      <c r="AC402" s="9"/>
      <c r="AD402" s="9"/>
      <c r="AE402" s="9"/>
      <c r="AF402" s="9"/>
      <c r="AG402" s="9"/>
      <c r="AH402" s="9"/>
      <c r="AI402" s="9"/>
      <c r="AJ402" s="9"/>
      <c r="AK402" s="9"/>
      <c r="AL402" s="9"/>
      <c r="AM402" s="9"/>
      <c r="AN402" s="9"/>
      <c r="AO402" s="9"/>
      <c r="AP402" s="9"/>
      <c r="AQ402" s="9"/>
      <c r="AR402" s="9"/>
      <c r="AS402" s="9"/>
      <c r="AT402" s="9"/>
    </row>
    <row r="403">
      <c r="A403" s="492"/>
      <c r="B403" s="254"/>
      <c r="C403" s="492"/>
      <c r="D403" s="254"/>
      <c r="E403" s="492"/>
      <c r="F403" s="254"/>
      <c r="G403" s="492"/>
      <c r="H403" s="254"/>
      <c r="I403" s="500"/>
      <c r="J403" s="181"/>
      <c r="K403" s="500"/>
      <c r="L403" s="181"/>
      <c r="M403" s="492"/>
      <c r="N403" s="254"/>
      <c r="O403" s="492"/>
      <c r="P403" s="254"/>
      <c r="Q403" s="492"/>
      <c r="R403" s="254"/>
      <c r="S403" s="500"/>
      <c r="T403" s="181"/>
      <c r="U403" s="492"/>
      <c r="V403" s="254"/>
      <c r="W403" s="492"/>
      <c r="X403" s="254"/>
      <c r="Y403" s="9"/>
      <c r="Z403" s="9"/>
      <c r="AA403" s="9"/>
      <c r="AB403" s="9"/>
      <c r="AC403" s="9"/>
      <c r="AD403" s="9"/>
      <c r="AE403" s="9"/>
      <c r="AF403" s="9"/>
      <c r="AG403" s="9"/>
      <c r="AH403" s="9"/>
      <c r="AI403" s="9"/>
      <c r="AJ403" s="9"/>
      <c r="AK403" s="9"/>
      <c r="AL403" s="9"/>
      <c r="AM403" s="9"/>
      <c r="AN403" s="9"/>
      <c r="AO403" s="9"/>
      <c r="AP403" s="9"/>
      <c r="AQ403" s="9"/>
      <c r="AR403" s="9"/>
      <c r="AS403" s="9"/>
      <c r="AT403" s="9"/>
    </row>
    <row r="404">
      <c r="A404" s="492"/>
      <c r="B404" s="254"/>
      <c r="C404" s="492"/>
      <c r="D404" s="254"/>
      <c r="E404" s="492"/>
      <c r="F404" s="254"/>
      <c r="G404" s="492"/>
      <c r="H404" s="254"/>
      <c r="I404" s="500"/>
      <c r="J404" s="181"/>
      <c r="K404" s="500"/>
      <c r="L404" s="181"/>
      <c r="M404" s="492"/>
      <c r="N404" s="254"/>
      <c r="O404" s="492"/>
      <c r="P404" s="254"/>
      <c r="Q404" s="492"/>
      <c r="R404" s="254"/>
      <c r="S404" s="500"/>
      <c r="T404" s="181"/>
      <c r="U404" s="492"/>
      <c r="V404" s="254"/>
      <c r="W404" s="492"/>
      <c r="X404" s="254"/>
      <c r="Y404" s="9"/>
      <c r="Z404" s="9"/>
      <c r="AA404" s="9"/>
      <c r="AB404" s="9"/>
      <c r="AC404" s="9"/>
      <c r="AD404" s="9"/>
      <c r="AE404" s="9"/>
      <c r="AF404" s="9"/>
      <c r="AG404" s="9"/>
      <c r="AH404" s="9"/>
      <c r="AI404" s="9"/>
      <c r="AJ404" s="9"/>
      <c r="AK404" s="9"/>
      <c r="AL404" s="9"/>
      <c r="AM404" s="9"/>
      <c r="AN404" s="9"/>
      <c r="AO404" s="9"/>
      <c r="AP404" s="9"/>
      <c r="AQ404" s="9"/>
      <c r="AR404" s="9"/>
      <c r="AS404" s="9"/>
      <c r="AT404" s="9"/>
    </row>
    <row r="405">
      <c r="A405" s="492"/>
      <c r="B405" s="254"/>
      <c r="C405" s="492"/>
      <c r="D405" s="254"/>
      <c r="E405" s="492"/>
      <c r="F405" s="254"/>
      <c r="G405" s="492"/>
      <c r="H405" s="254"/>
      <c r="I405" s="500"/>
      <c r="J405" s="181"/>
      <c r="K405" s="500"/>
      <c r="L405" s="181"/>
      <c r="M405" s="492"/>
      <c r="N405" s="254"/>
      <c r="O405" s="492"/>
      <c r="P405" s="254"/>
      <c r="Q405" s="492"/>
      <c r="R405" s="254"/>
      <c r="S405" s="500"/>
      <c r="T405" s="181"/>
      <c r="U405" s="492"/>
      <c r="V405" s="254"/>
      <c r="W405" s="492"/>
      <c r="X405" s="254"/>
      <c r="Y405" s="9"/>
      <c r="Z405" s="9"/>
      <c r="AA405" s="9"/>
      <c r="AB405" s="9"/>
      <c r="AC405" s="9"/>
      <c r="AD405" s="9"/>
      <c r="AE405" s="9"/>
      <c r="AF405" s="9"/>
      <c r="AG405" s="9"/>
      <c r="AH405" s="9"/>
      <c r="AI405" s="9"/>
      <c r="AJ405" s="9"/>
      <c r="AK405" s="9"/>
      <c r="AL405" s="9"/>
      <c r="AM405" s="9"/>
      <c r="AN405" s="9"/>
      <c r="AO405" s="9"/>
      <c r="AP405" s="9"/>
      <c r="AQ405" s="9"/>
      <c r="AR405" s="9"/>
      <c r="AS405" s="9"/>
      <c r="AT405" s="9"/>
    </row>
    <row r="406">
      <c r="A406" s="492"/>
      <c r="B406" s="254"/>
      <c r="C406" s="492"/>
      <c r="D406" s="254"/>
      <c r="E406" s="492"/>
      <c r="F406" s="254"/>
      <c r="G406" s="492"/>
      <c r="H406" s="254"/>
      <c r="I406" s="500"/>
      <c r="J406" s="181"/>
      <c r="K406" s="500"/>
      <c r="L406" s="181"/>
      <c r="M406" s="492"/>
      <c r="N406" s="254"/>
      <c r="O406" s="492"/>
      <c r="P406" s="254"/>
      <c r="Q406" s="492"/>
      <c r="R406" s="254"/>
      <c r="S406" s="500"/>
      <c r="T406" s="181"/>
      <c r="U406" s="492"/>
      <c r="V406" s="254"/>
      <c r="W406" s="492"/>
      <c r="X406" s="254"/>
      <c r="Y406" s="9"/>
      <c r="Z406" s="9"/>
      <c r="AA406" s="9"/>
      <c r="AB406" s="9"/>
      <c r="AC406" s="9"/>
      <c r="AD406" s="9"/>
      <c r="AE406" s="9"/>
      <c r="AF406" s="9"/>
      <c r="AG406" s="9"/>
      <c r="AH406" s="9"/>
      <c r="AI406" s="9"/>
      <c r="AJ406" s="9"/>
      <c r="AK406" s="9"/>
      <c r="AL406" s="9"/>
      <c r="AM406" s="9"/>
      <c r="AN406" s="9"/>
      <c r="AO406" s="9"/>
      <c r="AP406" s="9"/>
      <c r="AQ406" s="9"/>
      <c r="AR406" s="9"/>
      <c r="AS406" s="9"/>
      <c r="AT406" s="9"/>
    </row>
    <row r="407">
      <c r="A407" s="492"/>
      <c r="B407" s="254"/>
      <c r="C407" s="492"/>
      <c r="D407" s="254"/>
      <c r="E407" s="492"/>
      <c r="F407" s="254"/>
      <c r="G407" s="492"/>
      <c r="H407" s="254"/>
      <c r="I407" s="500"/>
      <c r="J407" s="181"/>
      <c r="K407" s="500"/>
      <c r="L407" s="181"/>
      <c r="M407" s="492"/>
      <c r="N407" s="254"/>
      <c r="O407" s="492"/>
      <c r="P407" s="254"/>
      <c r="Q407" s="492"/>
      <c r="R407" s="254"/>
      <c r="S407" s="500"/>
      <c r="T407" s="528"/>
      <c r="U407" s="492"/>
      <c r="V407" s="254"/>
      <c r="W407" s="492"/>
      <c r="X407" s="254"/>
      <c r="Y407" s="9"/>
      <c r="Z407" s="9"/>
      <c r="AA407" s="9"/>
      <c r="AB407" s="9"/>
      <c r="AC407" s="9"/>
      <c r="AD407" s="9"/>
      <c r="AE407" s="9"/>
      <c r="AF407" s="9"/>
      <c r="AG407" s="9"/>
      <c r="AH407" s="9"/>
      <c r="AI407" s="9"/>
      <c r="AJ407" s="9"/>
      <c r="AK407" s="9"/>
      <c r="AL407" s="9"/>
      <c r="AM407" s="9"/>
      <c r="AN407" s="9"/>
      <c r="AO407" s="9"/>
      <c r="AP407" s="9"/>
      <c r="AQ407" s="9"/>
      <c r="AR407" s="9"/>
      <c r="AS407" s="9"/>
      <c r="AT407" s="9"/>
    </row>
    <row r="408">
      <c r="A408" s="492"/>
      <c r="B408" s="254"/>
      <c r="C408" s="492"/>
      <c r="D408" s="254"/>
      <c r="E408" s="492"/>
      <c r="F408" s="254"/>
      <c r="G408" s="492"/>
      <c r="H408" s="254"/>
      <c r="I408" s="500"/>
      <c r="J408" s="181"/>
      <c r="K408" s="500"/>
      <c r="L408" s="181"/>
      <c r="M408" s="492"/>
      <c r="N408" s="254"/>
      <c r="O408" s="492"/>
      <c r="P408" s="254"/>
      <c r="Q408" s="492"/>
      <c r="R408" s="254"/>
      <c r="S408" s="500"/>
      <c r="T408" s="528"/>
      <c r="U408" s="492"/>
      <c r="V408" s="254"/>
      <c r="W408" s="492"/>
      <c r="X408" s="254"/>
      <c r="Y408" s="9"/>
      <c r="Z408" s="9"/>
      <c r="AA408" s="9"/>
      <c r="AB408" s="9"/>
      <c r="AC408" s="9"/>
      <c r="AD408" s="9"/>
      <c r="AE408" s="9"/>
      <c r="AF408" s="9"/>
      <c r="AG408" s="9"/>
      <c r="AH408" s="9"/>
      <c r="AI408" s="9"/>
      <c r="AJ408" s="9"/>
      <c r="AK408" s="9"/>
      <c r="AL408" s="9"/>
      <c r="AM408" s="9"/>
      <c r="AN408" s="9"/>
      <c r="AO408" s="9"/>
      <c r="AP408" s="9"/>
      <c r="AQ408" s="9"/>
      <c r="AR408" s="9"/>
      <c r="AS408" s="9"/>
      <c r="AT408" s="9"/>
    </row>
    <row r="409">
      <c r="A409" s="492"/>
      <c r="B409" s="254"/>
      <c r="C409" s="492"/>
      <c r="D409" s="254"/>
      <c r="E409" s="492"/>
      <c r="F409" s="254"/>
      <c r="G409" s="492"/>
      <c r="H409" s="254"/>
      <c r="I409" s="500"/>
      <c r="J409" s="181"/>
      <c r="K409" s="500"/>
      <c r="L409" s="181"/>
      <c r="M409" s="492"/>
      <c r="N409" s="254"/>
      <c r="O409" s="492"/>
      <c r="P409" s="254"/>
      <c r="Q409" s="492"/>
      <c r="R409" s="254"/>
      <c r="S409" s="500"/>
      <c r="T409" s="528"/>
      <c r="U409" s="492"/>
      <c r="V409" s="254"/>
      <c r="W409" s="492"/>
      <c r="X409" s="254"/>
      <c r="Y409" s="9"/>
      <c r="Z409" s="9"/>
      <c r="AA409" s="9"/>
      <c r="AB409" s="9"/>
      <c r="AC409" s="9"/>
      <c r="AD409" s="9"/>
      <c r="AE409" s="9"/>
      <c r="AF409" s="9"/>
      <c r="AG409" s="9"/>
      <c r="AH409" s="9"/>
      <c r="AI409" s="9"/>
      <c r="AJ409" s="9"/>
      <c r="AK409" s="9"/>
      <c r="AL409" s="9"/>
      <c r="AM409" s="9"/>
      <c r="AN409" s="9"/>
      <c r="AO409" s="9"/>
      <c r="AP409" s="9"/>
      <c r="AQ409" s="9"/>
      <c r="AR409" s="9"/>
      <c r="AS409" s="9"/>
      <c r="AT409" s="9"/>
    </row>
    <row r="410">
      <c r="A410" s="492"/>
      <c r="B410" s="254"/>
      <c r="C410" s="492"/>
      <c r="D410" s="254"/>
      <c r="E410" s="492"/>
      <c r="F410" s="254"/>
      <c r="G410" s="492"/>
      <c r="H410" s="254"/>
      <c r="I410" s="500"/>
      <c r="J410" s="181"/>
      <c r="K410" s="500"/>
      <c r="L410" s="181"/>
      <c r="M410" s="492"/>
      <c r="N410" s="254"/>
      <c r="O410" s="492"/>
      <c r="P410" s="254"/>
      <c r="Q410" s="492"/>
      <c r="R410" s="254"/>
      <c r="S410" s="500"/>
      <c r="T410" s="528"/>
      <c r="U410" s="492"/>
      <c r="V410" s="254"/>
      <c r="W410" s="492"/>
      <c r="X410" s="254"/>
      <c r="Y410" s="9"/>
      <c r="Z410" s="9"/>
      <c r="AA410" s="9"/>
      <c r="AB410" s="9"/>
      <c r="AC410" s="9"/>
      <c r="AD410" s="9"/>
      <c r="AE410" s="9"/>
      <c r="AF410" s="9"/>
      <c r="AG410" s="9"/>
      <c r="AH410" s="9"/>
      <c r="AI410" s="9"/>
      <c r="AJ410" s="9"/>
      <c r="AK410" s="9"/>
      <c r="AL410" s="9"/>
      <c r="AM410" s="9"/>
      <c r="AN410" s="9"/>
      <c r="AO410" s="9"/>
      <c r="AP410" s="9"/>
      <c r="AQ410" s="9"/>
      <c r="AR410" s="9"/>
      <c r="AS410" s="9"/>
      <c r="AT410" s="9"/>
    </row>
    <row r="411">
      <c r="A411" s="492"/>
      <c r="B411" s="254"/>
      <c r="C411" s="492"/>
      <c r="D411" s="254"/>
      <c r="E411" s="492"/>
      <c r="F411" s="254"/>
      <c r="G411" s="492"/>
      <c r="H411" s="254"/>
      <c r="I411" s="500"/>
      <c r="J411" s="181"/>
      <c r="K411" s="500"/>
      <c r="L411" s="181"/>
      <c r="M411" s="492"/>
      <c r="N411" s="254"/>
      <c r="O411" s="492"/>
      <c r="P411" s="254"/>
      <c r="Q411" s="492"/>
      <c r="R411" s="254"/>
      <c r="S411" s="500"/>
      <c r="T411" s="528"/>
      <c r="U411" s="492"/>
      <c r="V411" s="254"/>
      <c r="W411" s="492"/>
      <c r="X411" s="254"/>
      <c r="Y411" s="9"/>
      <c r="Z411" s="9"/>
      <c r="AA411" s="9"/>
      <c r="AB411" s="9"/>
      <c r="AC411" s="9"/>
      <c r="AD411" s="9"/>
      <c r="AE411" s="9"/>
      <c r="AF411" s="9"/>
      <c r="AG411" s="9"/>
      <c r="AH411" s="9"/>
      <c r="AI411" s="9"/>
      <c r="AJ411" s="9"/>
      <c r="AK411" s="9"/>
      <c r="AL411" s="9"/>
      <c r="AM411" s="9"/>
      <c r="AN411" s="9"/>
      <c r="AO411" s="9"/>
      <c r="AP411" s="9"/>
      <c r="AQ411" s="9"/>
      <c r="AR411" s="9"/>
      <c r="AS411" s="9"/>
      <c r="AT411" s="9"/>
    </row>
    <row r="412">
      <c r="A412" s="492"/>
      <c r="B412" s="254"/>
      <c r="C412" s="492"/>
      <c r="D412" s="254"/>
      <c r="E412" s="492"/>
      <c r="F412" s="254"/>
      <c r="G412" s="492"/>
      <c r="H412" s="254"/>
      <c r="I412" s="500"/>
      <c r="J412" s="181"/>
      <c r="K412" s="500"/>
      <c r="L412" s="181"/>
      <c r="M412" s="492"/>
      <c r="N412" s="254"/>
      <c r="O412" s="492"/>
      <c r="P412" s="254"/>
      <c r="Q412" s="492"/>
      <c r="R412" s="254"/>
      <c r="S412" s="500"/>
      <c r="T412" s="528"/>
      <c r="U412" s="492"/>
      <c r="V412" s="254"/>
      <c r="W412" s="492"/>
      <c r="X412" s="254"/>
      <c r="Y412" s="9"/>
      <c r="Z412" s="9"/>
      <c r="AA412" s="9"/>
      <c r="AB412" s="9"/>
      <c r="AC412" s="9"/>
      <c r="AD412" s="9"/>
      <c r="AE412" s="9"/>
      <c r="AF412" s="9"/>
      <c r="AG412" s="9"/>
      <c r="AH412" s="9"/>
      <c r="AI412" s="9"/>
      <c r="AJ412" s="9"/>
      <c r="AK412" s="9"/>
      <c r="AL412" s="9"/>
      <c r="AM412" s="9"/>
      <c r="AN412" s="9"/>
      <c r="AO412" s="9"/>
      <c r="AP412" s="9"/>
      <c r="AQ412" s="9"/>
      <c r="AR412" s="9"/>
      <c r="AS412" s="9"/>
      <c r="AT412" s="9"/>
    </row>
    <row r="413">
      <c r="A413" s="492"/>
      <c r="B413" s="254"/>
      <c r="C413" s="492"/>
      <c r="D413" s="254"/>
      <c r="E413" s="492"/>
      <c r="F413" s="254"/>
      <c r="G413" s="492"/>
      <c r="H413" s="254"/>
      <c r="I413" s="500"/>
      <c r="J413" s="181"/>
      <c r="K413" s="500"/>
      <c r="L413" s="181"/>
      <c r="M413" s="492"/>
      <c r="N413" s="254"/>
      <c r="O413" s="492"/>
      <c r="P413" s="254"/>
      <c r="Q413" s="492"/>
      <c r="R413" s="254"/>
      <c r="S413" s="500"/>
      <c r="T413" s="528"/>
      <c r="U413" s="492"/>
      <c r="V413" s="254"/>
      <c r="W413" s="492"/>
      <c r="X413" s="254"/>
      <c r="Y413" s="9"/>
      <c r="Z413" s="9"/>
      <c r="AA413" s="9"/>
      <c r="AB413" s="9"/>
      <c r="AC413" s="9"/>
      <c r="AD413" s="9"/>
      <c r="AE413" s="9"/>
      <c r="AF413" s="9"/>
      <c r="AG413" s="9"/>
      <c r="AH413" s="9"/>
      <c r="AI413" s="9"/>
      <c r="AJ413" s="9"/>
      <c r="AK413" s="9"/>
      <c r="AL413" s="9"/>
      <c r="AM413" s="9"/>
      <c r="AN413" s="9"/>
      <c r="AO413" s="9"/>
      <c r="AP413" s="9"/>
      <c r="AQ413" s="9"/>
      <c r="AR413" s="9"/>
      <c r="AS413" s="9"/>
      <c r="AT413" s="9"/>
    </row>
    <row r="414">
      <c r="A414" s="492"/>
      <c r="B414" s="254"/>
      <c r="C414" s="492"/>
      <c r="D414" s="254"/>
      <c r="E414" s="492"/>
      <c r="F414" s="254"/>
      <c r="G414" s="492"/>
      <c r="H414" s="254"/>
      <c r="I414" s="500"/>
      <c r="J414" s="181"/>
      <c r="K414" s="500"/>
      <c r="L414" s="181"/>
      <c r="M414" s="492"/>
      <c r="N414" s="254"/>
      <c r="O414" s="492"/>
      <c r="P414" s="254"/>
      <c r="Q414" s="492"/>
      <c r="R414" s="254"/>
      <c r="S414" s="500"/>
      <c r="T414" s="528"/>
      <c r="U414" s="492"/>
      <c r="V414" s="254"/>
      <c r="W414" s="492"/>
      <c r="X414" s="254"/>
      <c r="Y414" s="9"/>
      <c r="Z414" s="9"/>
      <c r="AA414" s="9"/>
      <c r="AB414" s="9"/>
      <c r="AC414" s="9"/>
      <c r="AD414" s="9"/>
      <c r="AE414" s="9"/>
      <c r="AF414" s="9"/>
      <c r="AG414" s="9"/>
      <c r="AH414" s="9"/>
      <c r="AI414" s="9"/>
      <c r="AJ414" s="9"/>
      <c r="AK414" s="9"/>
      <c r="AL414" s="9"/>
      <c r="AM414" s="9"/>
      <c r="AN414" s="9"/>
      <c r="AO414" s="9"/>
      <c r="AP414" s="9"/>
      <c r="AQ414" s="9"/>
      <c r="AR414" s="9"/>
      <c r="AS414" s="9"/>
      <c r="AT414" s="9"/>
    </row>
    <row r="415">
      <c r="A415" s="492"/>
      <c r="B415" s="254"/>
      <c r="C415" s="492"/>
      <c r="D415" s="254"/>
      <c r="E415" s="492"/>
      <c r="F415" s="254"/>
      <c r="G415" s="492"/>
      <c r="H415" s="254"/>
      <c r="I415" s="500"/>
      <c r="J415" s="181"/>
      <c r="K415" s="500"/>
      <c r="L415" s="181"/>
      <c r="M415" s="492"/>
      <c r="N415" s="254"/>
      <c r="O415" s="492"/>
      <c r="P415" s="254"/>
      <c r="Q415" s="492"/>
      <c r="R415" s="254"/>
      <c r="S415" s="500"/>
      <c r="T415" s="528"/>
      <c r="U415" s="492"/>
      <c r="V415" s="254"/>
      <c r="W415" s="492"/>
      <c r="X415" s="254"/>
      <c r="Y415" s="9"/>
      <c r="Z415" s="9"/>
      <c r="AA415" s="9"/>
      <c r="AB415" s="9"/>
      <c r="AC415" s="9"/>
      <c r="AD415" s="9"/>
      <c r="AE415" s="9"/>
      <c r="AF415" s="9"/>
      <c r="AG415" s="9"/>
      <c r="AH415" s="9"/>
      <c r="AI415" s="9"/>
      <c r="AJ415" s="9"/>
      <c r="AK415" s="9"/>
      <c r="AL415" s="9"/>
      <c r="AM415" s="9"/>
      <c r="AN415" s="9"/>
      <c r="AO415" s="9"/>
      <c r="AP415" s="9"/>
      <c r="AQ415" s="9"/>
      <c r="AR415" s="9"/>
      <c r="AS415" s="9"/>
      <c r="AT415" s="9"/>
    </row>
    <row r="416">
      <c r="A416" s="492"/>
      <c r="B416" s="254"/>
      <c r="C416" s="492"/>
      <c r="D416" s="254"/>
      <c r="E416" s="492"/>
      <c r="F416" s="254"/>
      <c r="G416" s="492"/>
      <c r="H416" s="254"/>
      <c r="I416" s="500"/>
      <c r="J416" s="181"/>
      <c r="K416" s="500"/>
      <c r="L416" s="181"/>
      <c r="M416" s="492"/>
      <c r="N416" s="254"/>
      <c r="O416" s="492"/>
      <c r="P416" s="254"/>
      <c r="Q416" s="492"/>
      <c r="R416" s="254"/>
      <c r="S416" s="500"/>
      <c r="T416" s="528"/>
      <c r="U416" s="492"/>
      <c r="V416" s="254"/>
      <c r="W416" s="492"/>
      <c r="X416" s="254"/>
      <c r="Y416" s="9"/>
      <c r="Z416" s="9"/>
      <c r="AA416" s="9"/>
      <c r="AB416" s="9"/>
      <c r="AC416" s="9"/>
      <c r="AD416" s="9"/>
      <c r="AE416" s="9"/>
      <c r="AF416" s="9"/>
      <c r="AG416" s="9"/>
      <c r="AH416" s="9"/>
      <c r="AI416" s="9"/>
      <c r="AJ416" s="9"/>
      <c r="AK416" s="9"/>
      <c r="AL416" s="9"/>
      <c r="AM416" s="9"/>
      <c r="AN416" s="9"/>
      <c r="AO416" s="9"/>
      <c r="AP416" s="9"/>
      <c r="AQ416" s="9"/>
      <c r="AR416" s="9"/>
      <c r="AS416" s="9"/>
      <c r="AT416" s="9"/>
    </row>
    <row r="417">
      <c r="A417" s="492"/>
      <c r="B417" s="254"/>
      <c r="C417" s="492"/>
      <c r="D417" s="254"/>
      <c r="E417" s="492"/>
      <c r="F417" s="254"/>
      <c r="G417" s="492"/>
      <c r="H417" s="254"/>
      <c r="I417" s="500"/>
      <c r="J417" s="181"/>
      <c r="K417" s="500"/>
      <c r="L417" s="181"/>
      <c r="M417" s="492"/>
      <c r="N417" s="254"/>
      <c r="O417" s="492"/>
      <c r="P417" s="254"/>
      <c r="Q417" s="492"/>
      <c r="R417" s="254"/>
      <c r="S417" s="500"/>
      <c r="T417" s="528"/>
      <c r="U417" s="492"/>
      <c r="V417" s="254"/>
      <c r="W417" s="492"/>
      <c r="X417" s="254"/>
      <c r="Y417" s="9"/>
      <c r="Z417" s="9"/>
      <c r="AA417" s="9"/>
      <c r="AB417" s="9"/>
      <c r="AC417" s="9"/>
      <c r="AD417" s="9"/>
      <c r="AE417" s="9"/>
      <c r="AF417" s="9"/>
      <c r="AG417" s="9"/>
      <c r="AH417" s="9"/>
      <c r="AI417" s="9"/>
      <c r="AJ417" s="9"/>
      <c r="AK417" s="9"/>
      <c r="AL417" s="9"/>
      <c r="AM417" s="9"/>
      <c r="AN417" s="9"/>
      <c r="AO417" s="9"/>
      <c r="AP417" s="9"/>
      <c r="AQ417" s="9"/>
      <c r="AR417" s="9"/>
      <c r="AS417" s="9"/>
      <c r="AT417" s="9"/>
    </row>
    <row r="418">
      <c r="A418" s="492"/>
      <c r="B418" s="254"/>
      <c r="C418" s="492"/>
      <c r="D418" s="254"/>
      <c r="E418" s="492"/>
      <c r="F418" s="254"/>
      <c r="G418" s="492"/>
      <c r="H418" s="254"/>
      <c r="I418" s="500"/>
      <c r="J418" s="181"/>
      <c r="K418" s="500"/>
      <c r="L418" s="181"/>
      <c r="M418" s="492"/>
      <c r="N418" s="254"/>
      <c r="O418" s="492"/>
      <c r="P418" s="254"/>
      <c r="Q418" s="492"/>
      <c r="R418" s="254"/>
      <c r="S418" s="500"/>
      <c r="T418" s="528"/>
      <c r="U418" s="492"/>
      <c r="V418" s="254"/>
      <c r="W418" s="492"/>
      <c r="X418" s="254"/>
      <c r="Y418" s="9"/>
      <c r="Z418" s="9"/>
      <c r="AA418" s="9"/>
      <c r="AB418" s="9"/>
      <c r="AC418" s="9"/>
      <c r="AD418" s="9"/>
      <c r="AE418" s="9"/>
      <c r="AF418" s="9"/>
      <c r="AG418" s="9"/>
      <c r="AH418" s="9"/>
      <c r="AI418" s="9"/>
      <c r="AJ418" s="9"/>
      <c r="AK418" s="9"/>
      <c r="AL418" s="9"/>
      <c r="AM418" s="9"/>
      <c r="AN418" s="9"/>
      <c r="AO418" s="9"/>
      <c r="AP418" s="9"/>
      <c r="AQ418" s="9"/>
      <c r="AR418" s="9"/>
      <c r="AS418" s="9"/>
      <c r="AT418" s="9"/>
    </row>
    <row r="419">
      <c r="A419" s="492"/>
      <c r="B419" s="254"/>
      <c r="C419" s="492"/>
      <c r="D419" s="254"/>
      <c r="E419" s="492"/>
      <c r="F419" s="254"/>
      <c r="G419" s="492"/>
      <c r="H419" s="254"/>
      <c r="I419" s="500"/>
      <c r="J419" s="181"/>
      <c r="K419" s="500"/>
      <c r="L419" s="181"/>
      <c r="M419" s="492"/>
      <c r="N419" s="254"/>
      <c r="O419" s="492"/>
      <c r="P419" s="254"/>
      <c r="Q419" s="492"/>
      <c r="R419" s="254"/>
      <c r="S419" s="500"/>
      <c r="T419" s="528"/>
      <c r="U419" s="492"/>
      <c r="V419" s="254"/>
      <c r="W419" s="492"/>
      <c r="X419" s="254"/>
      <c r="Y419" s="9"/>
      <c r="Z419" s="9"/>
      <c r="AA419" s="9"/>
      <c r="AB419" s="9"/>
      <c r="AC419" s="9"/>
      <c r="AD419" s="9"/>
      <c r="AE419" s="9"/>
      <c r="AF419" s="9"/>
      <c r="AG419" s="9"/>
      <c r="AH419" s="9"/>
      <c r="AI419" s="9"/>
      <c r="AJ419" s="9"/>
      <c r="AK419" s="9"/>
      <c r="AL419" s="9"/>
      <c r="AM419" s="9"/>
      <c r="AN419" s="9"/>
      <c r="AO419" s="9"/>
      <c r="AP419" s="9"/>
      <c r="AQ419" s="9"/>
      <c r="AR419" s="9"/>
      <c r="AS419" s="9"/>
      <c r="AT419" s="9"/>
    </row>
    <row r="420">
      <c r="A420" s="492"/>
      <c r="B420" s="254"/>
      <c r="C420" s="492"/>
      <c r="D420" s="254"/>
      <c r="E420" s="492"/>
      <c r="F420" s="254"/>
      <c r="G420" s="492"/>
      <c r="H420" s="254"/>
      <c r="I420" s="500"/>
      <c r="J420" s="181"/>
      <c r="K420" s="500"/>
      <c r="L420" s="181"/>
      <c r="M420" s="492"/>
      <c r="N420" s="254"/>
      <c r="O420" s="492"/>
      <c r="P420" s="254"/>
      <c r="Q420" s="492"/>
      <c r="R420" s="254"/>
      <c r="S420" s="500"/>
      <c r="T420" s="528"/>
      <c r="U420" s="492"/>
      <c r="V420" s="254"/>
      <c r="W420" s="492"/>
      <c r="X420" s="254"/>
      <c r="Y420" s="9"/>
      <c r="Z420" s="9"/>
      <c r="AA420" s="9"/>
      <c r="AB420" s="9"/>
      <c r="AC420" s="9"/>
      <c r="AD420" s="9"/>
      <c r="AE420" s="9"/>
      <c r="AF420" s="9"/>
      <c r="AG420" s="9"/>
      <c r="AH420" s="9"/>
      <c r="AI420" s="9"/>
      <c r="AJ420" s="9"/>
      <c r="AK420" s="9"/>
      <c r="AL420" s="9"/>
      <c r="AM420" s="9"/>
      <c r="AN420" s="9"/>
      <c r="AO420" s="9"/>
      <c r="AP420" s="9"/>
      <c r="AQ420" s="9"/>
      <c r="AR420" s="9"/>
      <c r="AS420" s="9"/>
      <c r="AT420" s="9"/>
    </row>
    <row r="421">
      <c r="A421" s="492"/>
      <c r="B421" s="254"/>
      <c r="C421" s="492"/>
      <c r="D421" s="254"/>
      <c r="E421" s="492"/>
      <c r="F421" s="254"/>
      <c r="G421" s="492"/>
      <c r="H421" s="254"/>
      <c r="I421" s="500"/>
      <c r="J421" s="181"/>
      <c r="K421" s="500"/>
      <c r="L421" s="181"/>
      <c r="M421" s="492"/>
      <c r="N421" s="254"/>
      <c r="O421" s="492"/>
      <c r="P421" s="254"/>
      <c r="Q421" s="492"/>
      <c r="R421" s="254"/>
      <c r="S421" s="500"/>
      <c r="T421" s="528"/>
      <c r="U421" s="492"/>
      <c r="V421" s="254"/>
      <c r="W421" s="492"/>
      <c r="X421" s="254"/>
      <c r="Y421" s="9"/>
      <c r="Z421" s="9"/>
      <c r="AA421" s="9"/>
      <c r="AB421" s="9"/>
      <c r="AC421" s="9"/>
      <c r="AD421" s="9"/>
      <c r="AE421" s="9"/>
      <c r="AF421" s="9"/>
      <c r="AG421" s="9"/>
      <c r="AH421" s="9"/>
      <c r="AI421" s="9"/>
      <c r="AJ421" s="9"/>
      <c r="AK421" s="9"/>
      <c r="AL421" s="9"/>
      <c r="AM421" s="9"/>
      <c r="AN421" s="9"/>
      <c r="AO421" s="9"/>
      <c r="AP421" s="9"/>
      <c r="AQ421" s="9"/>
      <c r="AR421" s="9"/>
      <c r="AS421" s="9"/>
      <c r="AT421" s="9"/>
    </row>
    <row r="422">
      <c r="A422" s="492"/>
      <c r="B422" s="254"/>
      <c r="C422" s="492"/>
      <c r="D422" s="254"/>
      <c r="E422" s="492"/>
      <c r="F422" s="254"/>
      <c r="G422" s="492"/>
      <c r="H422" s="254"/>
      <c r="I422" s="500"/>
      <c r="J422" s="181"/>
      <c r="K422" s="500"/>
      <c r="L422" s="181"/>
      <c r="M422" s="492"/>
      <c r="N422" s="254"/>
      <c r="O422" s="492"/>
      <c r="P422" s="254"/>
      <c r="Q422" s="492"/>
      <c r="R422" s="254"/>
      <c r="S422" s="500"/>
      <c r="T422" s="528"/>
      <c r="U422" s="492"/>
      <c r="V422" s="254"/>
      <c r="W422" s="492"/>
      <c r="X422" s="254"/>
      <c r="Y422" s="9"/>
      <c r="Z422" s="9"/>
      <c r="AA422" s="9"/>
      <c r="AB422" s="9"/>
      <c r="AC422" s="9"/>
      <c r="AD422" s="9"/>
      <c r="AE422" s="9"/>
      <c r="AF422" s="9"/>
      <c r="AG422" s="9"/>
      <c r="AH422" s="9"/>
      <c r="AI422" s="9"/>
      <c r="AJ422" s="9"/>
      <c r="AK422" s="9"/>
      <c r="AL422" s="9"/>
      <c r="AM422" s="9"/>
      <c r="AN422" s="9"/>
      <c r="AO422" s="9"/>
      <c r="AP422" s="9"/>
      <c r="AQ422" s="9"/>
      <c r="AR422" s="9"/>
      <c r="AS422" s="9"/>
      <c r="AT422" s="9"/>
    </row>
    <row r="423">
      <c r="A423" s="492"/>
      <c r="B423" s="254"/>
      <c r="C423" s="492"/>
      <c r="D423" s="254"/>
      <c r="E423" s="492"/>
      <c r="F423" s="254"/>
      <c r="G423" s="492"/>
      <c r="H423" s="254"/>
      <c r="I423" s="500"/>
      <c r="J423" s="181"/>
      <c r="K423" s="500"/>
      <c r="L423" s="181"/>
      <c r="M423" s="492"/>
      <c r="N423" s="254"/>
      <c r="O423" s="492"/>
      <c r="P423" s="254"/>
      <c r="Q423" s="492"/>
      <c r="R423" s="254"/>
      <c r="S423" s="500"/>
      <c r="T423" s="528"/>
      <c r="U423" s="492"/>
      <c r="V423" s="254"/>
      <c r="W423" s="492"/>
      <c r="X423" s="254"/>
      <c r="Y423" s="9"/>
      <c r="Z423" s="9"/>
      <c r="AA423" s="9"/>
      <c r="AB423" s="9"/>
      <c r="AC423" s="9"/>
      <c r="AD423" s="9"/>
      <c r="AE423" s="9"/>
      <c r="AF423" s="9"/>
      <c r="AG423" s="9"/>
      <c r="AH423" s="9"/>
      <c r="AI423" s="9"/>
      <c r="AJ423" s="9"/>
      <c r="AK423" s="9"/>
      <c r="AL423" s="9"/>
      <c r="AM423" s="9"/>
      <c r="AN423" s="9"/>
      <c r="AO423" s="9"/>
      <c r="AP423" s="9"/>
      <c r="AQ423" s="9"/>
      <c r="AR423" s="9"/>
      <c r="AS423" s="9"/>
      <c r="AT423" s="9"/>
    </row>
    <row r="424">
      <c r="A424" s="492"/>
      <c r="B424" s="254"/>
      <c r="C424" s="492"/>
      <c r="D424" s="254"/>
      <c r="E424" s="492"/>
      <c r="F424" s="254"/>
      <c r="G424" s="492"/>
      <c r="H424" s="254"/>
      <c r="I424" s="500"/>
      <c r="J424" s="181"/>
      <c r="K424" s="500"/>
      <c r="L424" s="181"/>
      <c r="M424" s="492"/>
      <c r="N424" s="254"/>
      <c r="O424" s="492"/>
      <c r="P424" s="254"/>
      <c r="Q424" s="492"/>
      <c r="R424" s="254"/>
      <c r="S424" s="500"/>
      <c r="T424" s="528"/>
      <c r="U424" s="492"/>
      <c r="V424" s="254"/>
      <c r="W424" s="492"/>
      <c r="X424" s="254"/>
      <c r="Y424" s="9"/>
      <c r="Z424" s="9"/>
      <c r="AA424" s="9"/>
      <c r="AB424" s="9"/>
      <c r="AC424" s="9"/>
      <c r="AD424" s="9"/>
      <c r="AE424" s="9"/>
      <c r="AF424" s="9"/>
      <c r="AG424" s="9"/>
      <c r="AH424" s="9"/>
      <c r="AI424" s="9"/>
      <c r="AJ424" s="9"/>
      <c r="AK424" s="9"/>
      <c r="AL424" s="9"/>
      <c r="AM424" s="9"/>
      <c r="AN424" s="9"/>
      <c r="AO424" s="9"/>
      <c r="AP424" s="9"/>
      <c r="AQ424" s="9"/>
      <c r="AR424" s="9"/>
      <c r="AS424" s="9"/>
      <c r="AT424" s="9"/>
    </row>
    <row r="425">
      <c r="A425" s="492"/>
      <c r="B425" s="254"/>
      <c r="C425" s="492"/>
      <c r="D425" s="254"/>
      <c r="E425" s="492"/>
      <c r="F425" s="254"/>
      <c r="G425" s="492"/>
      <c r="H425" s="254"/>
      <c r="I425" s="500"/>
      <c r="J425" s="181"/>
      <c r="K425" s="500"/>
      <c r="L425" s="181"/>
      <c r="M425" s="492"/>
      <c r="N425" s="254"/>
      <c r="O425" s="492"/>
      <c r="P425" s="254"/>
      <c r="Q425" s="492"/>
      <c r="R425" s="254"/>
      <c r="S425" s="500"/>
      <c r="T425" s="528"/>
      <c r="U425" s="492"/>
      <c r="V425" s="254"/>
      <c r="W425" s="492"/>
      <c r="X425" s="254"/>
      <c r="Y425" s="9"/>
      <c r="Z425" s="9"/>
      <c r="AA425" s="9"/>
      <c r="AB425" s="9"/>
      <c r="AC425" s="9"/>
      <c r="AD425" s="9"/>
      <c r="AE425" s="9"/>
      <c r="AF425" s="9"/>
      <c r="AG425" s="9"/>
      <c r="AH425" s="9"/>
      <c r="AI425" s="9"/>
      <c r="AJ425" s="9"/>
      <c r="AK425" s="9"/>
      <c r="AL425" s="9"/>
      <c r="AM425" s="9"/>
      <c r="AN425" s="9"/>
      <c r="AO425" s="9"/>
      <c r="AP425" s="9"/>
      <c r="AQ425" s="9"/>
      <c r="AR425" s="9"/>
      <c r="AS425" s="9"/>
      <c r="AT425" s="9"/>
    </row>
    <row r="426">
      <c r="A426" s="492"/>
      <c r="B426" s="254"/>
      <c r="C426" s="492"/>
      <c r="D426" s="254"/>
      <c r="E426" s="492"/>
      <c r="F426" s="254"/>
      <c r="G426" s="492"/>
      <c r="H426" s="254"/>
      <c r="I426" s="500"/>
      <c r="J426" s="181"/>
      <c r="K426" s="500"/>
      <c r="L426" s="181"/>
      <c r="M426" s="492"/>
      <c r="N426" s="254"/>
      <c r="O426" s="492"/>
      <c r="P426" s="254"/>
      <c r="Q426" s="492"/>
      <c r="R426" s="254"/>
      <c r="S426" s="500"/>
      <c r="T426" s="528"/>
      <c r="U426" s="492"/>
      <c r="V426" s="254"/>
      <c r="W426" s="492"/>
      <c r="X426" s="254"/>
      <c r="Y426" s="9"/>
      <c r="Z426" s="9"/>
      <c r="AA426" s="9"/>
      <c r="AB426" s="9"/>
      <c r="AC426" s="9"/>
      <c r="AD426" s="9"/>
      <c r="AE426" s="9"/>
      <c r="AF426" s="9"/>
      <c r="AG426" s="9"/>
      <c r="AH426" s="9"/>
      <c r="AI426" s="9"/>
      <c r="AJ426" s="9"/>
      <c r="AK426" s="9"/>
      <c r="AL426" s="9"/>
      <c r="AM426" s="9"/>
      <c r="AN426" s="9"/>
      <c r="AO426" s="9"/>
      <c r="AP426" s="9"/>
      <c r="AQ426" s="9"/>
      <c r="AR426" s="9"/>
      <c r="AS426" s="9"/>
      <c r="AT426" s="9"/>
    </row>
    <row r="427">
      <c r="A427" s="492"/>
      <c r="B427" s="254"/>
      <c r="C427" s="492"/>
      <c r="D427" s="254"/>
      <c r="E427" s="492"/>
      <c r="F427" s="254"/>
      <c r="G427" s="492"/>
      <c r="H427" s="254"/>
      <c r="I427" s="500"/>
      <c r="J427" s="181"/>
      <c r="K427" s="500"/>
      <c r="L427" s="181"/>
      <c r="M427" s="492"/>
      <c r="N427" s="254"/>
      <c r="O427" s="492"/>
      <c r="P427" s="254"/>
      <c r="Q427" s="492"/>
      <c r="R427" s="254"/>
      <c r="S427" s="500"/>
      <c r="T427" s="528"/>
      <c r="U427" s="492"/>
      <c r="V427" s="254"/>
      <c r="W427" s="492"/>
      <c r="X427" s="254"/>
      <c r="Y427" s="9"/>
      <c r="Z427" s="9"/>
      <c r="AA427" s="9"/>
      <c r="AB427" s="9"/>
      <c r="AC427" s="9"/>
      <c r="AD427" s="9"/>
      <c r="AE427" s="9"/>
      <c r="AF427" s="9"/>
      <c r="AG427" s="9"/>
      <c r="AH427" s="9"/>
      <c r="AI427" s="9"/>
      <c r="AJ427" s="9"/>
      <c r="AK427" s="9"/>
      <c r="AL427" s="9"/>
      <c r="AM427" s="9"/>
      <c r="AN427" s="9"/>
      <c r="AO427" s="9"/>
      <c r="AP427" s="9"/>
      <c r="AQ427" s="9"/>
      <c r="AR427" s="9"/>
      <c r="AS427" s="9"/>
      <c r="AT427" s="9"/>
    </row>
    <row r="428">
      <c r="A428" s="492"/>
      <c r="B428" s="254"/>
      <c r="C428" s="492"/>
      <c r="D428" s="254"/>
      <c r="E428" s="492"/>
      <c r="F428" s="254"/>
      <c r="G428" s="492"/>
      <c r="H428" s="254"/>
      <c r="I428" s="500"/>
      <c r="J428" s="181"/>
      <c r="K428" s="500"/>
      <c r="L428" s="181"/>
      <c r="M428" s="492"/>
      <c r="N428" s="254"/>
      <c r="O428" s="492"/>
      <c r="P428" s="254"/>
      <c r="Q428" s="492"/>
      <c r="R428" s="254"/>
      <c r="S428" s="500"/>
      <c r="T428" s="528"/>
      <c r="U428" s="492"/>
      <c r="V428" s="254"/>
      <c r="W428" s="492"/>
      <c r="X428" s="254"/>
      <c r="Y428" s="9"/>
      <c r="Z428" s="9"/>
      <c r="AA428" s="9"/>
      <c r="AB428" s="9"/>
      <c r="AC428" s="9"/>
      <c r="AD428" s="9"/>
      <c r="AE428" s="9"/>
      <c r="AF428" s="9"/>
      <c r="AG428" s="9"/>
      <c r="AH428" s="9"/>
      <c r="AI428" s="9"/>
      <c r="AJ428" s="9"/>
      <c r="AK428" s="9"/>
      <c r="AL428" s="9"/>
      <c r="AM428" s="9"/>
      <c r="AN428" s="9"/>
      <c r="AO428" s="9"/>
      <c r="AP428" s="9"/>
      <c r="AQ428" s="9"/>
      <c r="AR428" s="9"/>
      <c r="AS428" s="9"/>
      <c r="AT428" s="9"/>
    </row>
    <row r="429">
      <c r="A429" s="492"/>
      <c r="B429" s="254"/>
      <c r="C429" s="492"/>
      <c r="D429" s="254"/>
      <c r="E429" s="492"/>
      <c r="F429" s="254"/>
      <c r="G429" s="492"/>
      <c r="H429" s="254"/>
      <c r="I429" s="500"/>
      <c r="J429" s="181"/>
      <c r="K429" s="500"/>
      <c r="L429" s="181"/>
      <c r="M429" s="492"/>
      <c r="N429" s="254"/>
      <c r="O429" s="492"/>
      <c r="P429" s="254"/>
      <c r="Q429" s="492"/>
      <c r="R429" s="254"/>
      <c r="S429" s="500"/>
      <c r="T429" s="528"/>
      <c r="U429" s="492"/>
      <c r="V429" s="254"/>
      <c r="W429" s="492"/>
      <c r="X429" s="254"/>
      <c r="Y429" s="9"/>
      <c r="Z429" s="9"/>
      <c r="AA429" s="9"/>
      <c r="AB429" s="9"/>
      <c r="AC429" s="9"/>
      <c r="AD429" s="9"/>
      <c r="AE429" s="9"/>
      <c r="AF429" s="9"/>
      <c r="AG429" s="9"/>
      <c r="AH429" s="9"/>
      <c r="AI429" s="9"/>
      <c r="AJ429" s="9"/>
      <c r="AK429" s="9"/>
      <c r="AL429" s="9"/>
      <c r="AM429" s="9"/>
      <c r="AN429" s="9"/>
      <c r="AO429" s="9"/>
      <c r="AP429" s="9"/>
      <c r="AQ429" s="9"/>
      <c r="AR429" s="9"/>
      <c r="AS429" s="9"/>
      <c r="AT429" s="9"/>
    </row>
    <row r="430">
      <c r="A430" s="492"/>
      <c r="B430" s="254"/>
      <c r="C430" s="492"/>
      <c r="D430" s="254"/>
      <c r="E430" s="492"/>
      <c r="F430" s="254"/>
      <c r="G430" s="492"/>
      <c r="H430" s="254"/>
      <c r="I430" s="500"/>
      <c r="J430" s="181"/>
      <c r="K430" s="500"/>
      <c r="L430" s="181"/>
      <c r="M430" s="492"/>
      <c r="N430" s="254"/>
      <c r="O430" s="492"/>
      <c r="P430" s="254"/>
      <c r="Q430" s="492"/>
      <c r="R430" s="254"/>
      <c r="S430" s="500"/>
      <c r="T430" s="528"/>
      <c r="U430" s="492"/>
      <c r="V430" s="254"/>
      <c r="W430" s="492"/>
      <c r="X430" s="254"/>
      <c r="Y430" s="9"/>
      <c r="Z430" s="9"/>
      <c r="AA430" s="9"/>
      <c r="AB430" s="9"/>
      <c r="AC430" s="9"/>
      <c r="AD430" s="9"/>
      <c r="AE430" s="9"/>
      <c r="AF430" s="9"/>
      <c r="AG430" s="9"/>
      <c r="AH430" s="9"/>
      <c r="AI430" s="9"/>
      <c r="AJ430" s="9"/>
      <c r="AK430" s="9"/>
      <c r="AL430" s="9"/>
      <c r="AM430" s="9"/>
      <c r="AN430" s="9"/>
      <c r="AO430" s="9"/>
      <c r="AP430" s="9"/>
      <c r="AQ430" s="9"/>
      <c r="AR430" s="9"/>
      <c r="AS430" s="9"/>
      <c r="AT430" s="9"/>
    </row>
    <row r="431">
      <c r="A431" s="492"/>
      <c r="B431" s="254"/>
      <c r="C431" s="492"/>
      <c r="D431" s="254"/>
      <c r="E431" s="492"/>
      <c r="F431" s="254"/>
      <c r="G431" s="492"/>
      <c r="H431" s="254"/>
      <c r="I431" s="500"/>
      <c r="J431" s="181"/>
      <c r="K431" s="500"/>
      <c r="L431" s="181"/>
      <c r="M431" s="492"/>
      <c r="N431" s="254"/>
      <c r="O431" s="492"/>
      <c r="P431" s="254"/>
      <c r="Q431" s="492"/>
      <c r="R431" s="254"/>
      <c r="S431" s="500"/>
      <c r="T431" s="528"/>
      <c r="U431" s="492"/>
      <c r="V431" s="254"/>
      <c r="W431" s="492"/>
      <c r="X431" s="254"/>
      <c r="Y431" s="9"/>
      <c r="Z431" s="9"/>
      <c r="AA431" s="9"/>
      <c r="AB431" s="9"/>
      <c r="AC431" s="9"/>
      <c r="AD431" s="9"/>
      <c r="AE431" s="9"/>
      <c r="AF431" s="9"/>
      <c r="AG431" s="9"/>
      <c r="AH431" s="9"/>
      <c r="AI431" s="9"/>
      <c r="AJ431" s="9"/>
      <c r="AK431" s="9"/>
      <c r="AL431" s="9"/>
      <c r="AM431" s="9"/>
      <c r="AN431" s="9"/>
      <c r="AO431" s="9"/>
      <c r="AP431" s="9"/>
      <c r="AQ431" s="9"/>
      <c r="AR431" s="9"/>
      <c r="AS431" s="9"/>
      <c r="AT431" s="9"/>
    </row>
    <row r="432">
      <c r="A432" s="492"/>
      <c r="B432" s="254"/>
      <c r="C432" s="492"/>
      <c r="D432" s="254"/>
      <c r="E432" s="492"/>
      <c r="F432" s="254"/>
      <c r="G432" s="492"/>
      <c r="H432" s="254"/>
      <c r="I432" s="500"/>
      <c r="J432" s="181"/>
      <c r="K432" s="500"/>
      <c r="L432" s="181"/>
      <c r="M432" s="492"/>
      <c r="N432" s="254"/>
      <c r="O432" s="492"/>
      <c r="P432" s="254"/>
      <c r="Q432" s="492"/>
      <c r="R432" s="254"/>
      <c r="S432" s="500"/>
      <c r="T432" s="528"/>
      <c r="U432" s="492"/>
      <c r="V432" s="254"/>
      <c r="W432" s="492"/>
      <c r="X432" s="254"/>
      <c r="Y432" s="9"/>
      <c r="Z432" s="9"/>
      <c r="AA432" s="9"/>
      <c r="AB432" s="9"/>
      <c r="AC432" s="9"/>
      <c r="AD432" s="9"/>
      <c r="AE432" s="9"/>
      <c r="AF432" s="9"/>
      <c r="AG432" s="9"/>
      <c r="AH432" s="9"/>
      <c r="AI432" s="9"/>
      <c r="AJ432" s="9"/>
      <c r="AK432" s="9"/>
      <c r="AL432" s="9"/>
      <c r="AM432" s="9"/>
      <c r="AN432" s="9"/>
      <c r="AO432" s="9"/>
      <c r="AP432" s="9"/>
      <c r="AQ432" s="9"/>
      <c r="AR432" s="9"/>
      <c r="AS432" s="9"/>
      <c r="AT432" s="9"/>
    </row>
    <row r="433">
      <c r="A433" s="492"/>
      <c r="B433" s="254"/>
      <c r="C433" s="492"/>
      <c r="D433" s="254"/>
      <c r="E433" s="492"/>
      <c r="F433" s="254"/>
      <c r="G433" s="492"/>
      <c r="H433" s="254"/>
      <c r="I433" s="500"/>
      <c r="J433" s="181"/>
      <c r="K433" s="500"/>
      <c r="L433" s="181"/>
      <c r="M433" s="492"/>
      <c r="N433" s="254"/>
      <c r="O433" s="492"/>
      <c r="P433" s="254"/>
      <c r="Q433" s="492"/>
      <c r="R433" s="254"/>
      <c r="S433" s="500"/>
      <c r="T433" s="528"/>
      <c r="U433" s="492"/>
      <c r="V433" s="254"/>
      <c r="W433" s="492"/>
      <c r="X433" s="254"/>
      <c r="Y433" s="9"/>
      <c r="Z433" s="9"/>
      <c r="AA433" s="9"/>
      <c r="AB433" s="9"/>
      <c r="AC433" s="9"/>
      <c r="AD433" s="9"/>
      <c r="AE433" s="9"/>
      <c r="AF433" s="9"/>
      <c r="AG433" s="9"/>
      <c r="AH433" s="9"/>
      <c r="AI433" s="9"/>
      <c r="AJ433" s="9"/>
      <c r="AK433" s="9"/>
      <c r="AL433" s="9"/>
      <c r="AM433" s="9"/>
      <c r="AN433" s="9"/>
      <c r="AO433" s="9"/>
      <c r="AP433" s="9"/>
      <c r="AQ433" s="9"/>
      <c r="AR433" s="9"/>
      <c r="AS433" s="9"/>
      <c r="AT433" s="9"/>
    </row>
    <row r="434">
      <c r="A434" s="492"/>
      <c r="B434" s="254"/>
      <c r="C434" s="492"/>
      <c r="D434" s="254"/>
      <c r="E434" s="492"/>
      <c r="F434" s="254"/>
      <c r="G434" s="492"/>
      <c r="H434" s="254"/>
      <c r="I434" s="500"/>
      <c r="J434" s="181"/>
      <c r="K434" s="500"/>
      <c r="L434" s="181"/>
      <c r="M434" s="492"/>
      <c r="N434" s="254"/>
      <c r="O434" s="492"/>
      <c r="P434" s="254"/>
      <c r="Q434" s="492"/>
      <c r="R434" s="254"/>
      <c r="S434" s="500"/>
      <c r="T434" s="528"/>
      <c r="U434" s="492"/>
      <c r="V434" s="254"/>
      <c r="W434" s="492"/>
      <c r="X434" s="254"/>
      <c r="Y434" s="9"/>
      <c r="Z434" s="9"/>
      <c r="AA434" s="9"/>
      <c r="AB434" s="9"/>
      <c r="AC434" s="9"/>
      <c r="AD434" s="9"/>
      <c r="AE434" s="9"/>
      <c r="AF434" s="9"/>
      <c r="AG434" s="9"/>
      <c r="AH434" s="9"/>
      <c r="AI434" s="9"/>
      <c r="AJ434" s="9"/>
      <c r="AK434" s="9"/>
      <c r="AL434" s="9"/>
      <c r="AM434" s="9"/>
      <c r="AN434" s="9"/>
      <c r="AO434" s="9"/>
      <c r="AP434" s="9"/>
      <c r="AQ434" s="9"/>
      <c r="AR434" s="9"/>
      <c r="AS434" s="9"/>
      <c r="AT434" s="9"/>
    </row>
    <row r="435">
      <c r="A435" s="492"/>
      <c r="B435" s="254"/>
      <c r="C435" s="492"/>
      <c r="D435" s="254"/>
      <c r="E435" s="492"/>
      <c r="F435" s="254"/>
      <c r="G435" s="492"/>
      <c r="H435" s="254"/>
      <c r="I435" s="500"/>
      <c r="J435" s="181"/>
      <c r="K435" s="500"/>
      <c r="L435" s="181"/>
      <c r="M435" s="492"/>
      <c r="N435" s="254"/>
      <c r="O435" s="492"/>
      <c r="P435" s="254"/>
      <c r="Q435" s="492"/>
      <c r="R435" s="254"/>
      <c r="S435" s="500"/>
      <c r="T435" s="528"/>
      <c r="U435" s="492"/>
      <c r="V435" s="254"/>
      <c r="W435" s="492"/>
      <c r="X435" s="254"/>
      <c r="Y435" s="9"/>
      <c r="Z435" s="9"/>
      <c r="AA435" s="9"/>
      <c r="AB435" s="9"/>
      <c r="AC435" s="9"/>
      <c r="AD435" s="9"/>
      <c r="AE435" s="9"/>
      <c r="AF435" s="9"/>
      <c r="AG435" s="9"/>
      <c r="AH435" s="9"/>
      <c r="AI435" s="9"/>
      <c r="AJ435" s="9"/>
      <c r="AK435" s="9"/>
      <c r="AL435" s="9"/>
      <c r="AM435" s="9"/>
      <c r="AN435" s="9"/>
      <c r="AO435" s="9"/>
      <c r="AP435" s="9"/>
      <c r="AQ435" s="9"/>
      <c r="AR435" s="9"/>
      <c r="AS435" s="9"/>
      <c r="AT435" s="9"/>
    </row>
    <row r="436">
      <c r="A436" s="492"/>
      <c r="B436" s="254"/>
      <c r="C436" s="492"/>
      <c r="D436" s="254"/>
      <c r="E436" s="492"/>
      <c r="F436" s="254"/>
      <c r="G436" s="492"/>
      <c r="H436" s="254"/>
      <c r="I436" s="500"/>
      <c r="J436" s="181"/>
      <c r="K436" s="500"/>
      <c r="L436" s="181"/>
      <c r="M436" s="492"/>
      <c r="N436" s="254"/>
      <c r="O436" s="492"/>
      <c r="P436" s="254"/>
      <c r="Q436" s="492"/>
      <c r="R436" s="254"/>
      <c r="S436" s="500"/>
      <c r="T436" s="528"/>
      <c r="U436" s="492"/>
      <c r="V436" s="254"/>
      <c r="W436" s="492"/>
      <c r="X436" s="254"/>
      <c r="Y436" s="9"/>
      <c r="Z436" s="9"/>
      <c r="AA436" s="9"/>
      <c r="AB436" s="9"/>
      <c r="AC436" s="9"/>
      <c r="AD436" s="9"/>
      <c r="AE436" s="9"/>
      <c r="AF436" s="9"/>
      <c r="AG436" s="9"/>
      <c r="AH436" s="9"/>
      <c r="AI436" s="9"/>
      <c r="AJ436" s="9"/>
      <c r="AK436" s="9"/>
      <c r="AL436" s="9"/>
      <c r="AM436" s="9"/>
      <c r="AN436" s="9"/>
      <c r="AO436" s="9"/>
      <c r="AP436" s="9"/>
      <c r="AQ436" s="9"/>
      <c r="AR436" s="9"/>
      <c r="AS436" s="9"/>
      <c r="AT436" s="9"/>
    </row>
    <row r="437">
      <c r="A437" s="492"/>
      <c r="B437" s="254"/>
      <c r="C437" s="492"/>
      <c r="D437" s="254"/>
      <c r="E437" s="492"/>
      <c r="F437" s="254"/>
      <c r="G437" s="492"/>
      <c r="H437" s="254"/>
      <c r="I437" s="500"/>
      <c r="J437" s="181"/>
      <c r="K437" s="500"/>
      <c r="L437" s="181"/>
      <c r="M437" s="492"/>
      <c r="N437" s="254"/>
      <c r="O437" s="492"/>
      <c r="P437" s="254"/>
      <c r="Q437" s="492"/>
      <c r="R437" s="254"/>
      <c r="S437" s="500"/>
      <c r="T437" s="528"/>
      <c r="U437" s="492"/>
      <c r="V437" s="254"/>
      <c r="W437" s="492"/>
      <c r="X437" s="254"/>
      <c r="Y437" s="9"/>
      <c r="Z437" s="9"/>
      <c r="AA437" s="9"/>
      <c r="AB437" s="9"/>
      <c r="AC437" s="9"/>
      <c r="AD437" s="9"/>
      <c r="AE437" s="9"/>
      <c r="AF437" s="9"/>
      <c r="AG437" s="9"/>
      <c r="AH437" s="9"/>
      <c r="AI437" s="9"/>
      <c r="AJ437" s="9"/>
      <c r="AK437" s="9"/>
      <c r="AL437" s="9"/>
      <c r="AM437" s="9"/>
      <c r="AN437" s="9"/>
      <c r="AO437" s="9"/>
      <c r="AP437" s="9"/>
      <c r="AQ437" s="9"/>
      <c r="AR437" s="9"/>
      <c r="AS437" s="9"/>
      <c r="AT437" s="9"/>
    </row>
    <row r="438">
      <c r="A438" s="492"/>
      <c r="B438" s="254"/>
      <c r="C438" s="492"/>
      <c r="D438" s="254"/>
      <c r="E438" s="492"/>
      <c r="F438" s="254"/>
      <c r="G438" s="492"/>
      <c r="H438" s="254"/>
      <c r="I438" s="500"/>
      <c r="J438" s="181"/>
      <c r="K438" s="500"/>
      <c r="L438" s="181"/>
      <c r="M438" s="492"/>
      <c r="N438" s="254"/>
      <c r="O438" s="492"/>
      <c r="P438" s="254"/>
      <c r="Q438" s="492"/>
      <c r="R438" s="254"/>
      <c r="S438" s="500"/>
      <c r="T438" s="528"/>
      <c r="U438" s="492"/>
      <c r="V438" s="254"/>
      <c r="W438" s="492"/>
      <c r="X438" s="254"/>
      <c r="Y438" s="9"/>
      <c r="Z438" s="9"/>
      <c r="AA438" s="9"/>
      <c r="AB438" s="9"/>
      <c r="AC438" s="9"/>
      <c r="AD438" s="9"/>
      <c r="AE438" s="9"/>
      <c r="AF438" s="9"/>
      <c r="AG438" s="9"/>
      <c r="AH438" s="9"/>
      <c r="AI438" s="9"/>
      <c r="AJ438" s="9"/>
      <c r="AK438" s="9"/>
      <c r="AL438" s="9"/>
      <c r="AM438" s="9"/>
      <c r="AN438" s="9"/>
      <c r="AO438" s="9"/>
      <c r="AP438" s="9"/>
      <c r="AQ438" s="9"/>
      <c r="AR438" s="9"/>
      <c r="AS438" s="9"/>
      <c r="AT438" s="9"/>
    </row>
    <row r="439">
      <c r="A439" s="492"/>
      <c r="B439" s="254"/>
      <c r="C439" s="492"/>
      <c r="D439" s="254"/>
      <c r="E439" s="492"/>
      <c r="F439" s="254"/>
      <c r="G439" s="492"/>
      <c r="H439" s="254"/>
      <c r="I439" s="500"/>
      <c r="J439" s="181"/>
      <c r="K439" s="500"/>
      <c r="L439" s="181"/>
      <c r="M439" s="492"/>
      <c r="N439" s="254"/>
      <c r="O439" s="492"/>
      <c r="P439" s="254"/>
      <c r="Q439" s="492"/>
      <c r="R439" s="254"/>
      <c r="S439" s="500"/>
      <c r="T439" s="528"/>
      <c r="U439" s="492"/>
      <c r="V439" s="254"/>
      <c r="W439" s="492"/>
      <c r="X439" s="254"/>
      <c r="Y439" s="9"/>
      <c r="Z439" s="9"/>
      <c r="AA439" s="9"/>
      <c r="AB439" s="9"/>
      <c r="AC439" s="9"/>
      <c r="AD439" s="9"/>
      <c r="AE439" s="9"/>
      <c r="AF439" s="9"/>
      <c r="AG439" s="9"/>
      <c r="AH439" s="9"/>
      <c r="AI439" s="9"/>
      <c r="AJ439" s="9"/>
      <c r="AK439" s="9"/>
      <c r="AL439" s="9"/>
      <c r="AM439" s="9"/>
      <c r="AN439" s="9"/>
      <c r="AO439" s="9"/>
      <c r="AP439" s="9"/>
      <c r="AQ439" s="9"/>
      <c r="AR439" s="9"/>
      <c r="AS439" s="9"/>
      <c r="AT439" s="9"/>
    </row>
    <row r="440">
      <c r="A440" s="492"/>
      <c r="B440" s="254"/>
      <c r="C440" s="492"/>
      <c r="D440" s="254"/>
      <c r="E440" s="492"/>
      <c r="F440" s="254"/>
      <c r="G440" s="492"/>
      <c r="H440" s="254"/>
      <c r="I440" s="500"/>
      <c r="J440" s="181"/>
      <c r="K440" s="500"/>
      <c r="L440" s="181"/>
      <c r="M440" s="492"/>
      <c r="N440" s="254"/>
      <c r="O440" s="492"/>
      <c r="P440" s="254"/>
      <c r="Q440" s="492"/>
      <c r="R440" s="254"/>
      <c r="S440" s="500"/>
      <c r="T440" s="528"/>
      <c r="U440" s="492"/>
      <c r="V440" s="254"/>
      <c r="W440" s="492"/>
      <c r="X440" s="254"/>
      <c r="Y440" s="9"/>
      <c r="Z440" s="9"/>
      <c r="AA440" s="9"/>
      <c r="AB440" s="9"/>
      <c r="AC440" s="9"/>
      <c r="AD440" s="9"/>
      <c r="AE440" s="9"/>
      <c r="AF440" s="9"/>
      <c r="AG440" s="9"/>
      <c r="AH440" s="9"/>
      <c r="AI440" s="9"/>
      <c r="AJ440" s="9"/>
      <c r="AK440" s="9"/>
      <c r="AL440" s="9"/>
      <c r="AM440" s="9"/>
      <c r="AN440" s="9"/>
      <c r="AO440" s="9"/>
      <c r="AP440" s="9"/>
      <c r="AQ440" s="9"/>
      <c r="AR440" s="9"/>
      <c r="AS440" s="9"/>
      <c r="AT440" s="9"/>
    </row>
    <row r="441">
      <c r="A441" s="492"/>
      <c r="B441" s="254"/>
      <c r="C441" s="492"/>
      <c r="D441" s="254"/>
      <c r="E441" s="492"/>
      <c r="F441" s="254"/>
      <c r="G441" s="492"/>
      <c r="H441" s="254"/>
      <c r="I441" s="500"/>
      <c r="J441" s="181"/>
      <c r="K441" s="500"/>
      <c r="L441" s="181"/>
      <c r="M441" s="492"/>
      <c r="N441" s="254"/>
      <c r="O441" s="492"/>
      <c r="P441" s="254"/>
      <c r="Q441" s="492"/>
      <c r="R441" s="254"/>
      <c r="S441" s="500"/>
      <c r="T441" s="528"/>
      <c r="U441" s="492"/>
      <c r="V441" s="254"/>
      <c r="W441" s="492"/>
      <c r="X441" s="254"/>
      <c r="Y441" s="9"/>
      <c r="Z441" s="9"/>
      <c r="AA441" s="9"/>
      <c r="AB441" s="9"/>
      <c r="AC441" s="9"/>
      <c r="AD441" s="9"/>
      <c r="AE441" s="9"/>
      <c r="AF441" s="9"/>
      <c r="AG441" s="9"/>
      <c r="AH441" s="9"/>
      <c r="AI441" s="9"/>
      <c r="AJ441" s="9"/>
      <c r="AK441" s="9"/>
      <c r="AL441" s="9"/>
      <c r="AM441" s="9"/>
      <c r="AN441" s="9"/>
      <c r="AO441" s="9"/>
      <c r="AP441" s="9"/>
      <c r="AQ441" s="9"/>
      <c r="AR441" s="9"/>
      <c r="AS441" s="9"/>
      <c r="AT441" s="9"/>
    </row>
    <row r="442">
      <c r="A442" s="492"/>
      <c r="B442" s="254"/>
      <c r="C442" s="492"/>
      <c r="D442" s="254"/>
      <c r="E442" s="492"/>
      <c r="F442" s="254"/>
      <c r="G442" s="492"/>
      <c r="H442" s="254"/>
      <c r="I442" s="500"/>
      <c r="J442" s="181"/>
      <c r="K442" s="500"/>
      <c r="L442" s="181"/>
      <c r="M442" s="492"/>
      <c r="N442" s="254"/>
      <c r="O442" s="492"/>
      <c r="P442" s="254"/>
      <c r="Q442" s="492"/>
      <c r="R442" s="254"/>
      <c r="S442" s="500"/>
      <c r="T442" s="528"/>
      <c r="U442" s="492"/>
      <c r="V442" s="254"/>
      <c r="W442" s="492"/>
      <c r="X442" s="254"/>
      <c r="Y442" s="9"/>
      <c r="Z442" s="9"/>
      <c r="AA442" s="9"/>
      <c r="AB442" s="9"/>
      <c r="AC442" s="9"/>
      <c r="AD442" s="9"/>
      <c r="AE442" s="9"/>
      <c r="AF442" s="9"/>
      <c r="AG442" s="9"/>
      <c r="AH442" s="9"/>
      <c r="AI442" s="9"/>
      <c r="AJ442" s="9"/>
      <c r="AK442" s="9"/>
      <c r="AL442" s="9"/>
      <c r="AM442" s="9"/>
      <c r="AN442" s="9"/>
      <c r="AO442" s="9"/>
      <c r="AP442" s="9"/>
      <c r="AQ442" s="9"/>
      <c r="AR442" s="9"/>
      <c r="AS442" s="9"/>
      <c r="AT442" s="9"/>
    </row>
    <row r="443">
      <c r="A443" s="492"/>
      <c r="B443" s="254"/>
      <c r="C443" s="492"/>
      <c r="D443" s="254"/>
      <c r="E443" s="492"/>
      <c r="F443" s="254"/>
      <c r="G443" s="492"/>
      <c r="H443" s="254"/>
      <c r="I443" s="500"/>
      <c r="J443" s="181"/>
      <c r="K443" s="500"/>
      <c r="L443" s="181"/>
      <c r="M443" s="492"/>
      <c r="N443" s="254"/>
      <c r="O443" s="492"/>
      <c r="P443" s="254"/>
      <c r="Q443" s="492"/>
      <c r="R443" s="254"/>
      <c r="S443" s="500"/>
      <c r="T443" s="528"/>
      <c r="U443" s="492"/>
      <c r="V443" s="254"/>
      <c r="W443" s="492"/>
      <c r="X443" s="254"/>
      <c r="Y443" s="9"/>
      <c r="Z443" s="9"/>
      <c r="AA443" s="9"/>
      <c r="AB443" s="9"/>
      <c r="AC443" s="9"/>
      <c r="AD443" s="9"/>
      <c r="AE443" s="9"/>
      <c r="AF443" s="9"/>
      <c r="AG443" s="9"/>
      <c r="AH443" s="9"/>
      <c r="AI443" s="9"/>
      <c r="AJ443" s="9"/>
      <c r="AK443" s="9"/>
      <c r="AL443" s="9"/>
      <c r="AM443" s="9"/>
      <c r="AN443" s="9"/>
      <c r="AO443" s="9"/>
      <c r="AP443" s="9"/>
      <c r="AQ443" s="9"/>
      <c r="AR443" s="9"/>
      <c r="AS443" s="9"/>
      <c r="AT443" s="9"/>
    </row>
    <row r="444">
      <c r="A444" s="492"/>
      <c r="B444" s="254"/>
      <c r="C444" s="492"/>
      <c r="D444" s="254"/>
      <c r="E444" s="492"/>
      <c r="F444" s="254"/>
      <c r="G444" s="492"/>
      <c r="H444" s="254"/>
      <c r="I444" s="500"/>
      <c r="J444" s="181"/>
      <c r="K444" s="500"/>
      <c r="L444" s="181"/>
      <c r="M444" s="492"/>
      <c r="N444" s="254"/>
      <c r="O444" s="492"/>
      <c r="P444" s="254"/>
      <c r="Q444" s="492"/>
      <c r="R444" s="254"/>
      <c r="S444" s="500"/>
      <c r="T444" s="528"/>
      <c r="U444" s="492"/>
      <c r="V444" s="254"/>
      <c r="W444" s="492"/>
      <c r="X444" s="254"/>
      <c r="Y444" s="9"/>
      <c r="Z444" s="9"/>
      <c r="AA444" s="9"/>
      <c r="AB444" s="9"/>
      <c r="AC444" s="9"/>
      <c r="AD444" s="9"/>
      <c r="AE444" s="9"/>
      <c r="AF444" s="9"/>
      <c r="AG444" s="9"/>
      <c r="AH444" s="9"/>
      <c r="AI444" s="9"/>
      <c r="AJ444" s="9"/>
      <c r="AK444" s="9"/>
      <c r="AL444" s="9"/>
      <c r="AM444" s="9"/>
      <c r="AN444" s="9"/>
      <c r="AO444" s="9"/>
      <c r="AP444" s="9"/>
      <c r="AQ444" s="9"/>
      <c r="AR444" s="9"/>
      <c r="AS444" s="9"/>
      <c r="AT444" s="9"/>
    </row>
    <row r="445">
      <c r="A445" s="492"/>
      <c r="B445" s="254"/>
      <c r="C445" s="492"/>
      <c r="D445" s="254"/>
      <c r="E445" s="492"/>
      <c r="F445" s="254"/>
      <c r="G445" s="492"/>
      <c r="H445" s="254"/>
      <c r="I445" s="500"/>
      <c r="J445" s="181"/>
      <c r="K445" s="500"/>
      <c r="L445" s="181"/>
      <c r="M445" s="492"/>
      <c r="N445" s="254"/>
      <c r="O445" s="492"/>
      <c r="P445" s="254"/>
      <c r="Q445" s="492"/>
      <c r="R445" s="254"/>
      <c r="S445" s="500"/>
      <c r="T445" s="528"/>
      <c r="U445" s="492"/>
      <c r="V445" s="254"/>
      <c r="W445" s="492"/>
      <c r="X445" s="254"/>
      <c r="Y445" s="9"/>
      <c r="Z445" s="9"/>
      <c r="AA445" s="9"/>
      <c r="AB445" s="9"/>
      <c r="AC445" s="9"/>
      <c r="AD445" s="9"/>
      <c r="AE445" s="9"/>
      <c r="AF445" s="9"/>
      <c r="AG445" s="9"/>
      <c r="AH445" s="9"/>
      <c r="AI445" s="9"/>
      <c r="AJ445" s="9"/>
      <c r="AK445" s="9"/>
      <c r="AL445" s="9"/>
      <c r="AM445" s="9"/>
      <c r="AN445" s="9"/>
      <c r="AO445" s="9"/>
      <c r="AP445" s="9"/>
      <c r="AQ445" s="9"/>
      <c r="AR445" s="9"/>
      <c r="AS445" s="9"/>
      <c r="AT445" s="9"/>
    </row>
    <row r="446">
      <c r="A446" s="492"/>
      <c r="B446" s="254"/>
      <c r="C446" s="492"/>
      <c r="D446" s="254"/>
      <c r="E446" s="492"/>
      <c r="F446" s="254"/>
      <c r="G446" s="492"/>
      <c r="H446" s="254"/>
      <c r="I446" s="500"/>
      <c r="J446" s="181"/>
      <c r="K446" s="500"/>
      <c r="L446" s="181"/>
      <c r="M446" s="492"/>
      <c r="N446" s="254"/>
      <c r="O446" s="492"/>
      <c r="P446" s="254"/>
      <c r="Q446" s="492"/>
      <c r="R446" s="254"/>
      <c r="S446" s="500"/>
      <c r="T446" s="528"/>
      <c r="U446" s="492"/>
      <c r="V446" s="254"/>
      <c r="W446" s="492"/>
      <c r="X446" s="254"/>
      <c r="Y446" s="9"/>
      <c r="Z446" s="9"/>
      <c r="AA446" s="9"/>
      <c r="AB446" s="9"/>
      <c r="AC446" s="9"/>
      <c r="AD446" s="9"/>
      <c r="AE446" s="9"/>
      <c r="AF446" s="9"/>
      <c r="AG446" s="9"/>
      <c r="AH446" s="9"/>
      <c r="AI446" s="9"/>
      <c r="AJ446" s="9"/>
      <c r="AK446" s="9"/>
      <c r="AL446" s="9"/>
      <c r="AM446" s="9"/>
      <c r="AN446" s="9"/>
      <c r="AO446" s="9"/>
      <c r="AP446" s="9"/>
      <c r="AQ446" s="9"/>
      <c r="AR446" s="9"/>
      <c r="AS446" s="9"/>
      <c r="AT446" s="9"/>
    </row>
    <row r="447">
      <c r="A447" s="492"/>
      <c r="B447" s="254"/>
      <c r="C447" s="492"/>
      <c r="D447" s="254"/>
      <c r="E447" s="492"/>
      <c r="F447" s="254"/>
      <c r="G447" s="492"/>
      <c r="H447" s="254"/>
      <c r="I447" s="500"/>
      <c r="J447" s="181"/>
      <c r="K447" s="500"/>
      <c r="L447" s="181"/>
      <c r="M447" s="492"/>
      <c r="N447" s="254"/>
      <c r="O447" s="492"/>
      <c r="P447" s="254"/>
      <c r="Q447" s="492"/>
      <c r="R447" s="254"/>
      <c r="S447" s="500"/>
      <c r="T447" s="528"/>
      <c r="U447" s="492"/>
      <c r="V447" s="254"/>
      <c r="W447" s="492"/>
      <c r="X447" s="254"/>
      <c r="Y447" s="9"/>
      <c r="Z447" s="9"/>
      <c r="AA447" s="9"/>
      <c r="AB447" s="9"/>
      <c r="AC447" s="9"/>
      <c r="AD447" s="9"/>
      <c r="AE447" s="9"/>
      <c r="AF447" s="9"/>
      <c r="AG447" s="9"/>
      <c r="AH447" s="9"/>
      <c r="AI447" s="9"/>
      <c r="AJ447" s="9"/>
      <c r="AK447" s="9"/>
      <c r="AL447" s="9"/>
      <c r="AM447" s="9"/>
      <c r="AN447" s="9"/>
      <c r="AO447" s="9"/>
      <c r="AP447" s="9"/>
      <c r="AQ447" s="9"/>
      <c r="AR447" s="9"/>
      <c r="AS447" s="9"/>
      <c r="AT447" s="9"/>
    </row>
    <row r="448">
      <c r="A448" s="492"/>
      <c r="B448" s="254"/>
      <c r="C448" s="492"/>
      <c r="D448" s="254"/>
      <c r="E448" s="492"/>
      <c r="F448" s="254"/>
      <c r="G448" s="492"/>
      <c r="H448" s="254"/>
      <c r="I448" s="500"/>
      <c r="J448" s="181"/>
      <c r="K448" s="500"/>
      <c r="L448" s="181"/>
      <c r="M448" s="492"/>
      <c r="N448" s="254"/>
      <c r="O448" s="492"/>
      <c r="P448" s="254"/>
      <c r="Q448" s="492"/>
      <c r="R448" s="254"/>
      <c r="S448" s="500"/>
      <c r="T448" s="528"/>
      <c r="U448" s="492"/>
      <c r="V448" s="254"/>
      <c r="W448" s="492"/>
      <c r="X448" s="254"/>
      <c r="Y448" s="9"/>
      <c r="Z448" s="9"/>
      <c r="AA448" s="9"/>
      <c r="AB448" s="9"/>
      <c r="AC448" s="9"/>
      <c r="AD448" s="9"/>
      <c r="AE448" s="9"/>
      <c r="AF448" s="9"/>
      <c r="AG448" s="9"/>
      <c r="AH448" s="9"/>
      <c r="AI448" s="9"/>
      <c r="AJ448" s="9"/>
      <c r="AK448" s="9"/>
      <c r="AL448" s="9"/>
      <c r="AM448" s="9"/>
      <c r="AN448" s="9"/>
      <c r="AO448" s="9"/>
      <c r="AP448" s="9"/>
      <c r="AQ448" s="9"/>
      <c r="AR448" s="9"/>
      <c r="AS448" s="9"/>
      <c r="AT448" s="9"/>
    </row>
    <row r="449">
      <c r="A449" s="492"/>
      <c r="B449" s="254"/>
      <c r="C449" s="492"/>
      <c r="D449" s="254"/>
      <c r="E449" s="492"/>
      <c r="F449" s="254"/>
      <c r="G449" s="492"/>
      <c r="H449" s="254"/>
      <c r="I449" s="500"/>
      <c r="J449" s="181"/>
      <c r="K449" s="500"/>
      <c r="L449" s="181"/>
      <c r="M449" s="492"/>
      <c r="N449" s="254"/>
      <c r="O449" s="492"/>
      <c r="P449" s="254"/>
      <c r="Q449" s="492"/>
      <c r="R449" s="254"/>
      <c r="S449" s="500"/>
      <c r="T449" s="528"/>
      <c r="U449" s="492"/>
      <c r="V449" s="254"/>
      <c r="W449" s="492"/>
      <c r="X449" s="254"/>
      <c r="Y449" s="9"/>
      <c r="Z449" s="9"/>
      <c r="AA449" s="9"/>
      <c r="AB449" s="9"/>
      <c r="AC449" s="9"/>
      <c r="AD449" s="9"/>
      <c r="AE449" s="9"/>
      <c r="AF449" s="9"/>
      <c r="AG449" s="9"/>
      <c r="AH449" s="9"/>
      <c r="AI449" s="9"/>
      <c r="AJ449" s="9"/>
      <c r="AK449" s="9"/>
      <c r="AL449" s="9"/>
      <c r="AM449" s="9"/>
      <c r="AN449" s="9"/>
      <c r="AO449" s="9"/>
      <c r="AP449" s="9"/>
      <c r="AQ449" s="9"/>
      <c r="AR449" s="9"/>
      <c r="AS449" s="9"/>
      <c r="AT449" s="9"/>
    </row>
    <row r="450">
      <c r="A450" s="492"/>
      <c r="B450" s="254"/>
      <c r="C450" s="492"/>
      <c r="D450" s="254"/>
      <c r="E450" s="492"/>
      <c r="F450" s="254"/>
      <c r="G450" s="492"/>
      <c r="H450" s="254"/>
      <c r="I450" s="500"/>
      <c r="J450" s="181"/>
      <c r="K450" s="500"/>
      <c r="L450" s="181"/>
      <c r="M450" s="492"/>
      <c r="N450" s="254"/>
      <c r="O450" s="492"/>
      <c r="P450" s="254"/>
      <c r="Q450" s="492"/>
      <c r="R450" s="254"/>
      <c r="S450" s="500"/>
      <c r="T450" s="528"/>
      <c r="U450" s="492"/>
      <c r="V450" s="254"/>
      <c r="W450" s="492"/>
      <c r="X450" s="254"/>
      <c r="Y450" s="9"/>
      <c r="Z450" s="9"/>
      <c r="AA450" s="9"/>
      <c r="AB450" s="9"/>
      <c r="AC450" s="9"/>
      <c r="AD450" s="9"/>
      <c r="AE450" s="9"/>
      <c r="AF450" s="9"/>
      <c r="AG450" s="9"/>
      <c r="AH450" s="9"/>
      <c r="AI450" s="9"/>
      <c r="AJ450" s="9"/>
      <c r="AK450" s="9"/>
      <c r="AL450" s="9"/>
      <c r="AM450" s="9"/>
      <c r="AN450" s="9"/>
      <c r="AO450" s="9"/>
      <c r="AP450" s="9"/>
      <c r="AQ450" s="9"/>
      <c r="AR450" s="9"/>
      <c r="AS450" s="9"/>
      <c r="AT450" s="9"/>
    </row>
    <row r="451">
      <c r="A451" s="492"/>
      <c r="B451" s="254"/>
      <c r="C451" s="492"/>
      <c r="D451" s="254"/>
      <c r="E451" s="492"/>
      <c r="F451" s="254"/>
      <c r="G451" s="492"/>
      <c r="H451" s="254"/>
      <c r="I451" s="500"/>
      <c r="J451" s="181"/>
      <c r="K451" s="500"/>
      <c r="L451" s="181"/>
      <c r="M451" s="492"/>
      <c r="N451" s="254"/>
      <c r="O451" s="492"/>
      <c r="P451" s="254"/>
      <c r="Q451" s="492"/>
      <c r="R451" s="254"/>
      <c r="S451" s="500"/>
      <c r="T451" s="528"/>
      <c r="U451" s="492"/>
      <c r="V451" s="254"/>
      <c r="W451" s="492"/>
      <c r="X451" s="254"/>
      <c r="Y451" s="9"/>
      <c r="Z451" s="9"/>
      <c r="AA451" s="9"/>
      <c r="AB451" s="9"/>
      <c r="AC451" s="9"/>
      <c r="AD451" s="9"/>
      <c r="AE451" s="9"/>
      <c r="AF451" s="9"/>
      <c r="AG451" s="9"/>
      <c r="AH451" s="9"/>
      <c r="AI451" s="9"/>
      <c r="AJ451" s="9"/>
      <c r="AK451" s="9"/>
      <c r="AL451" s="9"/>
      <c r="AM451" s="9"/>
      <c r="AN451" s="9"/>
      <c r="AO451" s="9"/>
      <c r="AP451" s="9"/>
      <c r="AQ451" s="9"/>
      <c r="AR451" s="9"/>
      <c r="AS451" s="9"/>
      <c r="AT451" s="9"/>
    </row>
    <row r="452">
      <c r="A452" s="492"/>
      <c r="B452" s="254"/>
      <c r="C452" s="492"/>
      <c r="D452" s="254"/>
      <c r="E452" s="492"/>
      <c r="F452" s="254"/>
      <c r="G452" s="492"/>
      <c r="H452" s="254"/>
      <c r="I452" s="500"/>
      <c r="J452" s="181"/>
      <c r="K452" s="500"/>
      <c r="L452" s="181"/>
      <c r="M452" s="492"/>
      <c r="N452" s="254"/>
      <c r="O452" s="492"/>
      <c r="P452" s="254"/>
      <c r="Q452" s="492"/>
      <c r="R452" s="254"/>
      <c r="S452" s="500"/>
      <c r="T452" s="528"/>
      <c r="U452" s="492"/>
      <c r="V452" s="254"/>
      <c r="W452" s="492"/>
      <c r="X452" s="254"/>
      <c r="Y452" s="9"/>
      <c r="Z452" s="9"/>
      <c r="AA452" s="9"/>
      <c r="AB452" s="9"/>
      <c r="AC452" s="9"/>
      <c r="AD452" s="9"/>
      <c r="AE452" s="9"/>
      <c r="AF452" s="9"/>
      <c r="AG452" s="9"/>
      <c r="AH452" s="9"/>
      <c r="AI452" s="9"/>
      <c r="AJ452" s="9"/>
      <c r="AK452" s="9"/>
      <c r="AL452" s="9"/>
      <c r="AM452" s="9"/>
      <c r="AN452" s="9"/>
      <c r="AO452" s="9"/>
      <c r="AP452" s="9"/>
      <c r="AQ452" s="9"/>
      <c r="AR452" s="9"/>
      <c r="AS452" s="9"/>
      <c r="AT452" s="9"/>
    </row>
    <row r="453">
      <c r="A453" s="492"/>
      <c r="B453" s="254"/>
      <c r="C453" s="492"/>
      <c r="D453" s="254"/>
      <c r="E453" s="492"/>
      <c r="F453" s="254"/>
      <c r="G453" s="492"/>
      <c r="H453" s="254"/>
      <c r="I453" s="500"/>
      <c r="J453" s="181"/>
      <c r="K453" s="500"/>
      <c r="L453" s="181"/>
      <c r="M453" s="492"/>
      <c r="N453" s="254"/>
      <c r="O453" s="492"/>
      <c r="P453" s="254"/>
      <c r="Q453" s="492"/>
      <c r="R453" s="254"/>
      <c r="S453" s="500"/>
      <c r="T453" s="528"/>
      <c r="U453" s="492"/>
      <c r="V453" s="254"/>
      <c r="W453" s="492"/>
      <c r="X453" s="254"/>
      <c r="Y453" s="9"/>
      <c r="Z453" s="9"/>
      <c r="AA453" s="9"/>
      <c r="AB453" s="9"/>
      <c r="AC453" s="9"/>
      <c r="AD453" s="9"/>
      <c r="AE453" s="9"/>
      <c r="AF453" s="9"/>
      <c r="AG453" s="9"/>
      <c r="AH453" s="9"/>
      <c r="AI453" s="9"/>
      <c r="AJ453" s="9"/>
      <c r="AK453" s="9"/>
      <c r="AL453" s="9"/>
      <c r="AM453" s="9"/>
      <c r="AN453" s="9"/>
      <c r="AO453" s="9"/>
      <c r="AP453" s="9"/>
      <c r="AQ453" s="9"/>
      <c r="AR453" s="9"/>
      <c r="AS453" s="9"/>
      <c r="AT453" s="9"/>
    </row>
    <row r="454">
      <c r="A454" s="492"/>
      <c r="B454" s="254"/>
      <c r="C454" s="492"/>
      <c r="D454" s="254"/>
      <c r="E454" s="492"/>
      <c r="F454" s="254"/>
      <c r="G454" s="492"/>
      <c r="H454" s="254"/>
      <c r="I454" s="500"/>
      <c r="J454" s="181"/>
      <c r="K454" s="500"/>
      <c r="L454" s="181"/>
      <c r="M454" s="492"/>
      <c r="N454" s="254"/>
      <c r="O454" s="492"/>
      <c r="P454" s="254"/>
      <c r="Q454" s="492"/>
      <c r="R454" s="254"/>
      <c r="S454" s="500"/>
      <c r="T454" s="528"/>
      <c r="U454" s="492"/>
      <c r="V454" s="254"/>
      <c r="W454" s="492"/>
      <c r="X454" s="254"/>
      <c r="Y454" s="9"/>
      <c r="Z454" s="9"/>
      <c r="AA454" s="9"/>
      <c r="AB454" s="9"/>
      <c r="AC454" s="9"/>
      <c r="AD454" s="9"/>
      <c r="AE454" s="9"/>
      <c r="AF454" s="9"/>
      <c r="AG454" s="9"/>
      <c r="AH454" s="9"/>
      <c r="AI454" s="9"/>
      <c r="AJ454" s="9"/>
      <c r="AK454" s="9"/>
      <c r="AL454" s="9"/>
      <c r="AM454" s="9"/>
      <c r="AN454" s="9"/>
      <c r="AO454" s="9"/>
      <c r="AP454" s="9"/>
      <c r="AQ454" s="9"/>
      <c r="AR454" s="9"/>
      <c r="AS454" s="9"/>
      <c r="AT454" s="9"/>
    </row>
    <row r="455">
      <c r="A455" s="492"/>
      <c r="B455" s="254"/>
      <c r="C455" s="492"/>
      <c r="D455" s="254"/>
      <c r="E455" s="492"/>
      <c r="F455" s="254"/>
      <c r="G455" s="492"/>
      <c r="H455" s="254"/>
      <c r="I455" s="500"/>
      <c r="J455" s="181"/>
      <c r="K455" s="500"/>
      <c r="L455" s="181"/>
      <c r="M455" s="492"/>
      <c r="N455" s="254"/>
      <c r="O455" s="492"/>
      <c r="P455" s="254"/>
      <c r="Q455" s="492"/>
      <c r="R455" s="254"/>
      <c r="S455" s="500"/>
      <c r="T455" s="528"/>
      <c r="U455" s="492"/>
      <c r="V455" s="254"/>
      <c r="W455" s="492"/>
      <c r="X455" s="254"/>
      <c r="Y455" s="9"/>
      <c r="Z455" s="9"/>
      <c r="AA455" s="9"/>
      <c r="AB455" s="9"/>
      <c r="AC455" s="9"/>
      <c r="AD455" s="9"/>
      <c r="AE455" s="9"/>
      <c r="AF455" s="9"/>
      <c r="AG455" s="9"/>
      <c r="AH455" s="9"/>
      <c r="AI455" s="9"/>
      <c r="AJ455" s="9"/>
      <c r="AK455" s="9"/>
      <c r="AL455" s="9"/>
      <c r="AM455" s="9"/>
      <c r="AN455" s="9"/>
      <c r="AO455" s="9"/>
      <c r="AP455" s="9"/>
      <c r="AQ455" s="9"/>
      <c r="AR455" s="9"/>
      <c r="AS455" s="9"/>
      <c r="AT455" s="9"/>
    </row>
    <row r="456">
      <c r="A456" s="492"/>
      <c r="B456" s="254"/>
      <c r="C456" s="492"/>
      <c r="D456" s="254"/>
      <c r="E456" s="492"/>
      <c r="F456" s="254"/>
      <c r="G456" s="492"/>
      <c r="H456" s="254"/>
      <c r="I456" s="500"/>
      <c r="J456" s="181"/>
      <c r="K456" s="500"/>
      <c r="L456" s="181"/>
      <c r="M456" s="492"/>
      <c r="N456" s="254"/>
      <c r="O456" s="492"/>
      <c r="P456" s="254"/>
      <c r="Q456" s="492"/>
      <c r="R456" s="254"/>
      <c r="S456" s="500"/>
      <c r="T456" s="528"/>
      <c r="U456" s="492"/>
      <c r="V456" s="254"/>
      <c r="W456" s="492"/>
      <c r="X456" s="254"/>
      <c r="Y456" s="9"/>
      <c r="Z456" s="9"/>
      <c r="AA456" s="9"/>
      <c r="AB456" s="9"/>
      <c r="AC456" s="9"/>
      <c r="AD456" s="9"/>
      <c r="AE456" s="9"/>
      <c r="AF456" s="9"/>
      <c r="AG456" s="9"/>
      <c r="AH456" s="9"/>
      <c r="AI456" s="9"/>
      <c r="AJ456" s="9"/>
      <c r="AK456" s="9"/>
      <c r="AL456" s="9"/>
      <c r="AM456" s="9"/>
      <c r="AN456" s="9"/>
      <c r="AO456" s="9"/>
      <c r="AP456" s="9"/>
      <c r="AQ456" s="9"/>
      <c r="AR456" s="9"/>
      <c r="AS456" s="9"/>
      <c r="AT456" s="9"/>
    </row>
    <row r="457">
      <c r="A457" s="492"/>
      <c r="B457" s="254"/>
      <c r="C457" s="492"/>
      <c r="D457" s="254"/>
      <c r="E457" s="492"/>
      <c r="F457" s="254"/>
      <c r="G457" s="492"/>
      <c r="H457" s="254"/>
      <c r="I457" s="500"/>
      <c r="J457" s="181"/>
      <c r="K457" s="500"/>
      <c r="L457" s="181"/>
      <c r="M457" s="492"/>
      <c r="N457" s="254"/>
      <c r="O457" s="492"/>
      <c r="P457" s="254"/>
      <c r="Q457" s="492"/>
      <c r="R457" s="254"/>
      <c r="S457" s="500"/>
      <c r="T457" s="528"/>
      <c r="U457" s="492"/>
      <c r="V457" s="254"/>
      <c r="W457" s="492"/>
      <c r="X457" s="254"/>
      <c r="Y457" s="9"/>
      <c r="Z457" s="9"/>
      <c r="AA457" s="9"/>
      <c r="AB457" s="9"/>
      <c r="AC457" s="9"/>
      <c r="AD457" s="9"/>
      <c r="AE457" s="9"/>
      <c r="AF457" s="9"/>
      <c r="AG457" s="9"/>
      <c r="AH457" s="9"/>
      <c r="AI457" s="9"/>
      <c r="AJ457" s="9"/>
      <c r="AK457" s="9"/>
      <c r="AL457" s="9"/>
      <c r="AM457" s="9"/>
      <c r="AN457" s="9"/>
      <c r="AO457" s="9"/>
      <c r="AP457" s="9"/>
      <c r="AQ457" s="9"/>
      <c r="AR457" s="9"/>
      <c r="AS457" s="9"/>
      <c r="AT457" s="9"/>
    </row>
    <row r="458">
      <c r="A458" s="492"/>
      <c r="B458" s="254"/>
      <c r="C458" s="492"/>
      <c r="D458" s="254"/>
      <c r="E458" s="492"/>
      <c r="F458" s="254"/>
      <c r="G458" s="492"/>
      <c r="H458" s="254"/>
      <c r="I458" s="500"/>
      <c r="J458" s="181"/>
      <c r="K458" s="500"/>
      <c r="L458" s="181"/>
      <c r="M458" s="492"/>
      <c r="N458" s="254"/>
      <c r="O458" s="492"/>
      <c r="P458" s="254"/>
      <c r="Q458" s="492"/>
      <c r="R458" s="254"/>
      <c r="S458" s="500"/>
      <c r="T458" s="528"/>
      <c r="U458" s="492"/>
      <c r="V458" s="254"/>
      <c r="W458" s="492"/>
      <c r="X458" s="254"/>
      <c r="Y458" s="9"/>
      <c r="Z458" s="9"/>
      <c r="AA458" s="9"/>
      <c r="AB458" s="9"/>
      <c r="AC458" s="9"/>
      <c r="AD458" s="9"/>
      <c r="AE458" s="9"/>
      <c r="AF458" s="9"/>
      <c r="AG458" s="9"/>
      <c r="AH458" s="9"/>
      <c r="AI458" s="9"/>
      <c r="AJ458" s="9"/>
      <c r="AK458" s="9"/>
      <c r="AL458" s="9"/>
      <c r="AM458" s="9"/>
      <c r="AN458" s="9"/>
      <c r="AO458" s="9"/>
      <c r="AP458" s="9"/>
      <c r="AQ458" s="9"/>
      <c r="AR458" s="9"/>
      <c r="AS458" s="9"/>
      <c r="AT458" s="9"/>
    </row>
    <row r="459">
      <c r="A459" s="492"/>
      <c r="B459" s="254"/>
      <c r="C459" s="492"/>
      <c r="D459" s="254"/>
      <c r="E459" s="492"/>
      <c r="F459" s="254"/>
      <c r="G459" s="492"/>
      <c r="H459" s="254"/>
      <c r="I459" s="500"/>
      <c r="J459" s="181"/>
      <c r="K459" s="500"/>
      <c r="L459" s="181"/>
      <c r="M459" s="492"/>
      <c r="N459" s="254"/>
      <c r="O459" s="492"/>
      <c r="P459" s="254"/>
      <c r="Q459" s="492"/>
      <c r="R459" s="254"/>
      <c r="S459" s="500"/>
      <c r="T459" s="528"/>
      <c r="U459" s="492"/>
      <c r="V459" s="254"/>
      <c r="W459" s="492"/>
      <c r="X459" s="254"/>
      <c r="Y459" s="9"/>
      <c r="Z459" s="9"/>
      <c r="AA459" s="9"/>
      <c r="AB459" s="9"/>
      <c r="AC459" s="9"/>
      <c r="AD459" s="9"/>
      <c r="AE459" s="9"/>
      <c r="AF459" s="9"/>
      <c r="AG459" s="9"/>
      <c r="AH459" s="9"/>
      <c r="AI459" s="9"/>
      <c r="AJ459" s="9"/>
      <c r="AK459" s="9"/>
      <c r="AL459" s="9"/>
      <c r="AM459" s="9"/>
      <c r="AN459" s="9"/>
      <c r="AO459" s="9"/>
      <c r="AP459" s="9"/>
      <c r="AQ459" s="9"/>
      <c r="AR459" s="9"/>
      <c r="AS459" s="9"/>
      <c r="AT459" s="9"/>
    </row>
    <row r="460">
      <c r="A460" s="492"/>
      <c r="B460" s="254"/>
      <c r="C460" s="492"/>
      <c r="D460" s="254"/>
      <c r="E460" s="492"/>
      <c r="F460" s="254"/>
      <c r="G460" s="492"/>
      <c r="H460" s="254"/>
      <c r="I460" s="500"/>
      <c r="J460" s="181"/>
      <c r="K460" s="500"/>
      <c r="L460" s="181"/>
      <c r="M460" s="492"/>
      <c r="N460" s="254"/>
      <c r="O460" s="492"/>
      <c r="P460" s="254"/>
      <c r="Q460" s="492"/>
      <c r="R460" s="254"/>
      <c r="S460" s="500"/>
      <c r="T460" s="528"/>
      <c r="U460" s="492"/>
      <c r="V460" s="254"/>
      <c r="W460" s="492"/>
      <c r="X460" s="254"/>
      <c r="Y460" s="9"/>
      <c r="Z460" s="9"/>
      <c r="AA460" s="9"/>
      <c r="AB460" s="9"/>
      <c r="AC460" s="9"/>
      <c r="AD460" s="9"/>
      <c r="AE460" s="9"/>
      <c r="AF460" s="9"/>
      <c r="AG460" s="9"/>
      <c r="AH460" s="9"/>
      <c r="AI460" s="9"/>
      <c r="AJ460" s="9"/>
      <c r="AK460" s="9"/>
      <c r="AL460" s="9"/>
      <c r="AM460" s="9"/>
      <c r="AN460" s="9"/>
      <c r="AO460" s="9"/>
      <c r="AP460" s="9"/>
      <c r="AQ460" s="9"/>
      <c r="AR460" s="9"/>
      <c r="AS460" s="9"/>
      <c r="AT460" s="9"/>
    </row>
    <row r="461">
      <c r="A461" s="492"/>
      <c r="B461" s="254"/>
      <c r="C461" s="492"/>
      <c r="D461" s="254"/>
      <c r="E461" s="492"/>
      <c r="F461" s="254"/>
      <c r="G461" s="492"/>
      <c r="H461" s="254"/>
      <c r="I461" s="500"/>
      <c r="J461" s="181"/>
      <c r="K461" s="500"/>
      <c r="L461" s="181"/>
      <c r="M461" s="492"/>
      <c r="N461" s="254"/>
      <c r="O461" s="492"/>
      <c r="P461" s="254"/>
      <c r="Q461" s="492"/>
      <c r="R461" s="254"/>
      <c r="S461" s="500"/>
      <c r="T461" s="528"/>
      <c r="U461" s="492"/>
      <c r="V461" s="254"/>
      <c r="W461" s="492"/>
      <c r="X461" s="254"/>
      <c r="Y461" s="9"/>
      <c r="Z461" s="9"/>
      <c r="AA461" s="9"/>
      <c r="AB461" s="9"/>
      <c r="AC461" s="9"/>
      <c r="AD461" s="9"/>
      <c r="AE461" s="9"/>
      <c r="AF461" s="9"/>
      <c r="AG461" s="9"/>
      <c r="AH461" s="9"/>
      <c r="AI461" s="9"/>
      <c r="AJ461" s="9"/>
      <c r="AK461" s="9"/>
      <c r="AL461" s="9"/>
      <c r="AM461" s="9"/>
      <c r="AN461" s="9"/>
      <c r="AO461" s="9"/>
      <c r="AP461" s="9"/>
      <c r="AQ461" s="9"/>
      <c r="AR461" s="9"/>
      <c r="AS461" s="9"/>
      <c r="AT461" s="9"/>
    </row>
    <row r="462">
      <c r="A462" s="492"/>
      <c r="B462" s="254"/>
      <c r="C462" s="492"/>
      <c r="D462" s="254"/>
      <c r="E462" s="492"/>
      <c r="F462" s="254"/>
      <c r="G462" s="492"/>
      <c r="H462" s="254"/>
      <c r="I462" s="500"/>
      <c r="J462" s="181"/>
      <c r="K462" s="500"/>
      <c r="L462" s="181"/>
      <c r="M462" s="492"/>
      <c r="N462" s="254"/>
      <c r="O462" s="492"/>
      <c r="P462" s="254"/>
      <c r="Q462" s="492"/>
      <c r="R462" s="254"/>
      <c r="S462" s="528"/>
      <c r="T462" s="528"/>
      <c r="U462" s="492"/>
      <c r="V462" s="254"/>
      <c r="W462" s="492"/>
      <c r="X462" s="254"/>
      <c r="Y462" s="9"/>
      <c r="Z462" s="9"/>
      <c r="AA462" s="9"/>
      <c r="AB462" s="9"/>
      <c r="AC462" s="9"/>
      <c r="AD462" s="9"/>
      <c r="AE462" s="9"/>
      <c r="AF462" s="9"/>
      <c r="AG462" s="9"/>
      <c r="AH462" s="9"/>
      <c r="AI462" s="9"/>
      <c r="AJ462" s="9"/>
      <c r="AK462" s="9"/>
      <c r="AL462" s="9"/>
      <c r="AM462" s="9"/>
      <c r="AN462" s="9"/>
      <c r="AO462" s="9"/>
      <c r="AP462" s="9"/>
      <c r="AQ462" s="9"/>
      <c r="AR462" s="9"/>
      <c r="AS462" s="9"/>
      <c r="AT462" s="9"/>
    </row>
    <row r="463">
      <c r="A463" s="492"/>
      <c r="B463" s="254"/>
      <c r="C463" s="492"/>
      <c r="D463" s="254"/>
      <c r="E463" s="492"/>
      <c r="F463" s="254"/>
      <c r="G463" s="492"/>
      <c r="H463" s="254"/>
      <c r="I463" s="500"/>
      <c r="J463" s="181"/>
      <c r="K463" s="500"/>
      <c r="L463" s="181"/>
      <c r="M463" s="492"/>
      <c r="N463" s="254"/>
      <c r="O463" s="492"/>
      <c r="P463" s="254"/>
      <c r="Q463" s="492"/>
      <c r="R463" s="254"/>
      <c r="S463" s="528"/>
      <c r="T463" s="528"/>
      <c r="U463" s="492"/>
      <c r="V463" s="254"/>
      <c r="W463" s="492"/>
      <c r="X463" s="254"/>
      <c r="Y463" s="9"/>
      <c r="Z463" s="9"/>
      <c r="AA463" s="9"/>
      <c r="AB463" s="9"/>
      <c r="AC463" s="9"/>
      <c r="AD463" s="9"/>
      <c r="AE463" s="9"/>
      <c r="AF463" s="9"/>
      <c r="AG463" s="9"/>
      <c r="AH463" s="9"/>
      <c r="AI463" s="9"/>
      <c r="AJ463" s="9"/>
      <c r="AK463" s="9"/>
      <c r="AL463" s="9"/>
      <c r="AM463" s="9"/>
      <c r="AN463" s="9"/>
      <c r="AO463" s="9"/>
      <c r="AP463" s="9"/>
      <c r="AQ463" s="9"/>
      <c r="AR463" s="9"/>
      <c r="AS463" s="9"/>
      <c r="AT463" s="9"/>
    </row>
    <row r="464">
      <c r="A464" s="492"/>
      <c r="B464" s="254"/>
      <c r="C464" s="492"/>
      <c r="D464" s="254"/>
      <c r="E464" s="492"/>
      <c r="F464" s="254"/>
      <c r="G464" s="492"/>
      <c r="H464" s="254"/>
      <c r="I464" s="500"/>
      <c r="J464" s="181"/>
      <c r="K464" s="500"/>
      <c r="L464" s="181"/>
      <c r="M464" s="492"/>
      <c r="N464" s="254"/>
      <c r="O464" s="492"/>
      <c r="P464" s="254"/>
      <c r="Q464" s="492"/>
      <c r="R464" s="254"/>
      <c r="S464" s="528"/>
      <c r="T464" s="528"/>
      <c r="U464" s="492"/>
      <c r="V464" s="254"/>
      <c r="W464" s="492"/>
      <c r="X464" s="254"/>
      <c r="Y464" s="9"/>
      <c r="Z464" s="9"/>
      <c r="AA464" s="9"/>
      <c r="AB464" s="9"/>
      <c r="AC464" s="9"/>
      <c r="AD464" s="9"/>
      <c r="AE464" s="9"/>
      <c r="AF464" s="9"/>
      <c r="AG464" s="9"/>
      <c r="AH464" s="9"/>
      <c r="AI464" s="9"/>
      <c r="AJ464" s="9"/>
      <c r="AK464" s="9"/>
      <c r="AL464" s="9"/>
      <c r="AM464" s="9"/>
      <c r="AN464" s="9"/>
      <c r="AO464" s="9"/>
      <c r="AP464" s="9"/>
      <c r="AQ464" s="9"/>
      <c r="AR464" s="9"/>
      <c r="AS464" s="9"/>
      <c r="AT464" s="9"/>
    </row>
    <row r="465">
      <c r="A465" s="492"/>
      <c r="B465" s="254"/>
      <c r="C465" s="492"/>
      <c r="D465" s="254"/>
      <c r="E465" s="492"/>
      <c r="F465" s="254"/>
      <c r="G465" s="492"/>
      <c r="H465" s="254"/>
      <c r="I465" s="500"/>
      <c r="J465" s="181"/>
      <c r="K465" s="500"/>
      <c r="L465" s="181"/>
      <c r="M465" s="492"/>
      <c r="N465" s="254"/>
      <c r="O465" s="492"/>
      <c r="P465" s="254"/>
      <c r="Q465" s="492"/>
      <c r="R465" s="254"/>
      <c r="S465" s="528"/>
      <c r="T465" s="528"/>
      <c r="U465" s="492"/>
      <c r="V465" s="254"/>
      <c r="W465" s="492"/>
      <c r="X465" s="254"/>
      <c r="Y465" s="9"/>
      <c r="Z465" s="9"/>
      <c r="AA465" s="9"/>
      <c r="AB465" s="9"/>
      <c r="AC465" s="9"/>
      <c r="AD465" s="9"/>
      <c r="AE465" s="9"/>
      <c r="AF465" s="9"/>
      <c r="AG465" s="9"/>
      <c r="AH465" s="9"/>
      <c r="AI465" s="9"/>
      <c r="AJ465" s="9"/>
      <c r="AK465" s="9"/>
      <c r="AL465" s="9"/>
      <c r="AM465" s="9"/>
      <c r="AN465" s="9"/>
      <c r="AO465" s="9"/>
      <c r="AP465" s="9"/>
      <c r="AQ465" s="9"/>
      <c r="AR465" s="9"/>
      <c r="AS465" s="9"/>
      <c r="AT465" s="9"/>
    </row>
    <row r="466">
      <c r="A466" s="492"/>
      <c r="B466" s="254"/>
      <c r="C466" s="492"/>
      <c r="D466" s="254"/>
      <c r="E466" s="492"/>
      <c r="F466" s="254"/>
      <c r="G466" s="492"/>
      <c r="H466" s="254"/>
      <c r="I466" s="500"/>
      <c r="J466" s="181"/>
      <c r="K466" s="500"/>
      <c r="L466" s="181"/>
      <c r="M466" s="492"/>
      <c r="N466" s="254"/>
      <c r="O466" s="492"/>
      <c r="P466" s="254"/>
      <c r="Q466" s="492"/>
      <c r="R466" s="254"/>
      <c r="S466" s="528"/>
      <c r="T466" s="528"/>
      <c r="U466" s="492"/>
      <c r="V466" s="254"/>
      <c r="W466" s="492"/>
      <c r="X466" s="254"/>
      <c r="Y466" s="9"/>
      <c r="Z466" s="9"/>
      <c r="AA466" s="9"/>
      <c r="AB466" s="9"/>
      <c r="AC466" s="9"/>
      <c r="AD466" s="9"/>
      <c r="AE466" s="9"/>
      <c r="AF466" s="9"/>
      <c r="AG466" s="9"/>
      <c r="AH466" s="9"/>
      <c r="AI466" s="9"/>
      <c r="AJ466" s="9"/>
      <c r="AK466" s="9"/>
      <c r="AL466" s="9"/>
      <c r="AM466" s="9"/>
      <c r="AN466" s="9"/>
      <c r="AO466" s="9"/>
      <c r="AP466" s="9"/>
      <c r="AQ466" s="9"/>
      <c r="AR466" s="9"/>
      <c r="AS466" s="9"/>
      <c r="AT466" s="9"/>
    </row>
    <row r="467">
      <c r="A467" s="492"/>
      <c r="B467" s="254"/>
      <c r="C467" s="492"/>
      <c r="D467" s="254"/>
      <c r="E467" s="492"/>
      <c r="F467" s="254"/>
      <c r="G467" s="492"/>
      <c r="H467" s="254"/>
      <c r="I467" s="500"/>
      <c r="J467" s="181"/>
      <c r="K467" s="500"/>
      <c r="L467" s="181"/>
      <c r="M467" s="492"/>
      <c r="N467" s="254"/>
      <c r="O467" s="492"/>
      <c r="P467" s="254"/>
      <c r="Q467" s="492"/>
      <c r="R467" s="254"/>
      <c r="S467" s="528"/>
      <c r="T467" s="528"/>
      <c r="U467" s="492"/>
      <c r="V467" s="254"/>
      <c r="W467" s="492"/>
      <c r="X467" s="254"/>
      <c r="Y467" s="9"/>
      <c r="Z467" s="9"/>
      <c r="AA467" s="9"/>
      <c r="AB467" s="9"/>
      <c r="AC467" s="9"/>
      <c r="AD467" s="9"/>
      <c r="AE467" s="9"/>
      <c r="AF467" s="9"/>
      <c r="AG467" s="9"/>
      <c r="AH467" s="9"/>
      <c r="AI467" s="9"/>
      <c r="AJ467" s="9"/>
      <c r="AK467" s="9"/>
      <c r="AL467" s="9"/>
      <c r="AM467" s="9"/>
      <c r="AN467" s="9"/>
      <c r="AO467" s="9"/>
      <c r="AP467" s="9"/>
      <c r="AQ467" s="9"/>
      <c r="AR467" s="9"/>
      <c r="AS467" s="9"/>
      <c r="AT467" s="9"/>
    </row>
    <row r="468">
      <c r="A468" s="492"/>
      <c r="B468" s="254"/>
      <c r="C468" s="492"/>
      <c r="D468" s="254"/>
      <c r="E468" s="492"/>
      <c r="F468" s="254"/>
      <c r="G468" s="492"/>
      <c r="H468" s="254"/>
      <c r="I468" s="500"/>
      <c r="J468" s="181"/>
      <c r="K468" s="500"/>
      <c r="L468" s="181"/>
      <c r="M468" s="492"/>
      <c r="N468" s="254"/>
      <c r="O468" s="492"/>
      <c r="P468" s="254"/>
      <c r="Q468" s="492"/>
      <c r="R468" s="254"/>
      <c r="S468" s="528"/>
      <c r="T468" s="528"/>
      <c r="U468" s="492"/>
      <c r="V468" s="254"/>
      <c r="W468" s="492"/>
      <c r="X468" s="254"/>
      <c r="Y468" s="9"/>
      <c r="Z468" s="9"/>
      <c r="AA468" s="9"/>
      <c r="AB468" s="9"/>
      <c r="AC468" s="9"/>
      <c r="AD468" s="9"/>
      <c r="AE468" s="9"/>
      <c r="AF468" s="9"/>
      <c r="AG468" s="9"/>
      <c r="AH468" s="9"/>
      <c r="AI468" s="9"/>
      <c r="AJ468" s="9"/>
      <c r="AK468" s="9"/>
      <c r="AL468" s="9"/>
      <c r="AM468" s="9"/>
      <c r="AN468" s="9"/>
      <c r="AO468" s="9"/>
      <c r="AP468" s="9"/>
      <c r="AQ468" s="9"/>
      <c r="AR468" s="9"/>
      <c r="AS468" s="9"/>
      <c r="AT468" s="9"/>
    </row>
    <row r="469">
      <c r="A469" s="492"/>
      <c r="B469" s="254"/>
      <c r="C469" s="492"/>
      <c r="D469" s="254"/>
      <c r="E469" s="492"/>
      <c r="F469" s="254"/>
      <c r="G469" s="492"/>
      <c r="H469" s="254"/>
      <c r="I469" s="500"/>
      <c r="J469" s="181"/>
      <c r="K469" s="500"/>
      <c r="L469" s="181"/>
      <c r="M469" s="492"/>
      <c r="N469" s="254"/>
      <c r="O469" s="492"/>
      <c r="P469" s="254"/>
      <c r="Q469" s="492"/>
      <c r="R469" s="254"/>
      <c r="S469" s="528"/>
      <c r="T469" s="528"/>
      <c r="U469" s="492"/>
      <c r="V469" s="254"/>
      <c r="W469" s="492"/>
      <c r="X469" s="254"/>
      <c r="Y469" s="9"/>
      <c r="Z469" s="9"/>
      <c r="AA469" s="9"/>
      <c r="AB469" s="9"/>
      <c r="AC469" s="9"/>
      <c r="AD469" s="9"/>
      <c r="AE469" s="9"/>
      <c r="AF469" s="9"/>
      <c r="AG469" s="9"/>
      <c r="AH469" s="9"/>
      <c r="AI469" s="9"/>
      <c r="AJ469" s="9"/>
      <c r="AK469" s="9"/>
      <c r="AL469" s="9"/>
      <c r="AM469" s="9"/>
      <c r="AN469" s="9"/>
      <c r="AO469" s="9"/>
      <c r="AP469" s="9"/>
      <c r="AQ469" s="9"/>
      <c r="AR469" s="9"/>
      <c r="AS469" s="9"/>
      <c r="AT469" s="9"/>
    </row>
    <row r="470">
      <c r="A470" s="492"/>
      <c r="B470" s="254"/>
      <c r="C470" s="492"/>
      <c r="D470" s="254"/>
      <c r="E470" s="492"/>
      <c r="F470" s="254"/>
      <c r="G470" s="492"/>
      <c r="H470" s="254"/>
      <c r="I470" s="500"/>
      <c r="J470" s="181"/>
      <c r="K470" s="500"/>
      <c r="L470" s="181"/>
      <c r="M470" s="492"/>
      <c r="N470" s="254"/>
      <c r="O470" s="492"/>
      <c r="P470" s="254"/>
      <c r="Q470" s="492"/>
      <c r="R470" s="254"/>
      <c r="S470" s="528"/>
      <c r="T470" s="528"/>
      <c r="U470" s="492"/>
      <c r="V470" s="254"/>
      <c r="W470" s="492"/>
      <c r="X470" s="254"/>
      <c r="Y470" s="9"/>
      <c r="Z470" s="9"/>
      <c r="AA470" s="9"/>
      <c r="AB470" s="9"/>
      <c r="AC470" s="9"/>
      <c r="AD470" s="9"/>
      <c r="AE470" s="9"/>
      <c r="AF470" s="9"/>
      <c r="AG470" s="9"/>
      <c r="AH470" s="9"/>
      <c r="AI470" s="9"/>
      <c r="AJ470" s="9"/>
      <c r="AK470" s="9"/>
      <c r="AL470" s="9"/>
      <c r="AM470" s="9"/>
      <c r="AN470" s="9"/>
      <c r="AO470" s="9"/>
      <c r="AP470" s="9"/>
      <c r="AQ470" s="9"/>
      <c r="AR470" s="9"/>
      <c r="AS470" s="9"/>
      <c r="AT470" s="9"/>
    </row>
    <row r="471">
      <c r="A471" s="492"/>
      <c r="B471" s="254"/>
      <c r="C471" s="492"/>
      <c r="D471" s="254"/>
      <c r="E471" s="492"/>
      <c r="F471" s="254"/>
      <c r="G471" s="492"/>
      <c r="H471" s="254"/>
      <c r="I471" s="500"/>
      <c r="J471" s="181"/>
      <c r="K471" s="500"/>
      <c r="L471" s="181"/>
      <c r="M471" s="492"/>
      <c r="N471" s="254"/>
      <c r="O471" s="492"/>
      <c r="P471" s="254"/>
      <c r="Q471" s="492"/>
      <c r="R471" s="254"/>
      <c r="S471" s="528"/>
      <c r="T471" s="528"/>
      <c r="U471" s="492"/>
      <c r="V471" s="254"/>
      <c r="W471" s="492"/>
      <c r="X471" s="254"/>
      <c r="Y471" s="9"/>
      <c r="Z471" s="9"/>
      <c r="AA471" s="9"/>
      <c r="AB471" s="9"/>
      <c r="AC471" s="9"/>
      <c r="AD471" s="9"/>
      <c r="AE471" s="9"/>
      <c r="AF471" s="9"/>
      <c r="AG471" s="9"/>
      <c r="AH471" s="9"/>
      <c r="AI471" s="9"/>
      <c r="AJ471" s="9"/>
      <c r="AK471" s="9"/>
      <c r="AL471" s="9"/>
      <c r="AM471" s="9"/>
      <c r="AN471" s="9"/>
      <c r="AO471" s="9"/>
      <c r="AP471" s="9"/>
      <c r="AQ471" s="9"/>
      <c r="AR471" s="9"/>
      <c r="AS471" s="9"/>
      <c r="AT471" s="9"/>
    </row>
    <row r="472">
      <c r="A472" s="492"/>
      <c r="B472" s="254"/>
      <c r="C472" s="492"/>
      <c r="D472" s="254"/>
      <c r="E472" s="492"/>
      <c r="F472" s="254"/>
      <c r="G472" s="492"/>
      <c r="H472" s="254"/>
      <c r="I472" s="500"/>
      <c r="J472" s="181"/>
      <c r="K472" s="500"/>
      <c r="L472" s="181"/>
      <c r="M472" s="492"/>
      <c r="N472" s="254"/>
      <c r="O472" s="492"/>
      <c r="P472" s="254"/>
      <c r="Q472" s="492"/>
      <c r="R472" s="254"/>
      <c r="S472" s="528"/>
      <c r="T472" s="528"/>
      <c r="U472" s="492"/>
      <c r="V472" s="254"/>
      <c r="W472" s="492"/>
      <c r="X472" s="254"/>
      <c r="Y472" s="9"/>
      <c r="Z472" s="9"/>
      <c r="AA472" s="9"/>
      <c r="AB472" s="9"/>
      <c r="AC472" s="9"/>
      <c r="AD472" s="9"/>
      <c r="AE472" s="9"/>
      <c r="AF472" s="9"/>
      <c r="AG472" s="9"/>
      <c r="AH472" s="9"/>
      <c r="AI472" s="9"/>
      <c r="AJ472" s="9"/>
      <c r="AK472" s="9"/>
      <c r="AL472" s="9"/>
      <c r="AM472" s="9"/>
      <c r="AN472" s="9"/>
      <c r="AO472" s="9"/>
      <c r="AP472" s="9"/>
      <c r="AQ472" s="9"/>
      <c r="AR472" s="9"/>
      <c r="AS472" s="9"/>
      <c r="AT472" s="9"/>
    </row>
    <row r="473">
      <c r="A473" s="492"/>
      <c r="B473" s="254"/>
      <c r="C473" s="492"/>
      <c r="D473" s="254"/>
      <c r="E473" s="492"/>
      <c r="F473" s="254"/>
      <c r="G473" s="492"/>
      <c r="H473" s="254"/>
      <c r="I473" s="500"/>
      <c r="J473" s="181"/>
      <c r="K473" s="500"/>
      <c r="L473" s="181"/>
      <c r="M473" s="492"/>
      <c r="N473" s="254"/>
      <c r="O473" s="492"/>
      <c r="P473" s="254"/>
      <c r="Q473" s="492"/>
      <c r="R473" s="254"/>
      <c r="S473" s="528"/>
      <c r="T473" s="528"/>
      <c r="U473" s="492"/>
      <c r="V473" s="254"/>
      <c r="W473" s="492"/>
      <c r="X473" s="254"/>
      <c r="Y473" s="9"/>
      <c r="Z473" s="9"/>
      <c r="AA473" s="9"/>
      <c r="AB473" s="9"/>
      <c r="AC473" s="9"/>
      <c r="AD473" s="9"/>
      <c r="AE473" s="9"/>
      <c r="AF473" s="9"/>
      <c r="AG473" s="9"/>
      <c r="AH473" s="9"/>
      <c r="AI473" s="9"/>
      <c r="AJ473" s="9"/>
      <c r="AK473" s="9"/>
      <c r="AL473" s="9"/>
      <c r="AM473" s="9"/>
      <c r="AN473" s="9"/>
      <c r="AO473" s="9"/>
      <c r="AP473" s="9"/>
      <c r="AQ473" s="9"/>
      <c r="AR473" s="9"/>
      <c r="AS473" s="9"/>
      <c r="AT473" s="9"/>
    </row>
    <row r="474">
      <c r="A474" s="492"/>
      <c r="B474" s="254"/>
      <c r="C474" s="492"/>
      <c r="D474" s="254"/>
      <c r="E474" s="492"/>
      <c r="F474" s="254"/>
      <c r="G474" s="492"/>
      <c r="H474" s="254"/>
      <c r="I474" s="500"/>
      <c r="J474" s="181"/>
      <c r="K474" s="500"/>
      <c r="L474" s="181"/>
      <c r="M474" s="492"/>
      <c r="N474" s="254"/>
      <c r="O474" s="492"/>
      <c r="P474" s="254"/>
      <c r="Q474" s="492"/>
      <c r="R474" s="254"/>
      <c r="S474" s="528"/>
      <c r="T474" s="528"/>
      <c r="U474" s="492"/>
      <c r="V474" s="254"/>
      <c r="W474" s="492"/>
      <c r="X474" s="254"/>
      <c r="Y474" s="9"/>
      <c r="Z474" s="9"/>
      <c r="AA474" s="9"/>
      <c r="AB474" s="9"/>
      <c r="AC474" s="9"/>
      <c r="AD474" s="9"/>
      <c r="AE474" s="9"/>
      <c r="AF474" s="9"/>
      <c r="AG474" s="9"/>
      <c r="AH474" s="9"/>
      <c r="AI474" s="9"/>
      <c r="AJ474" s="9"/>
      <c r="AK474" s="9"/>
      <c r="AL474" s="9"/>
      <c r="AM474" s="9"/>
      <c r="AN474" s="9"/>
      <c r="AO474" s="9"/>
      <c r="AP474" s="9"/>
      <c r="AQ474" s="9"/>
      <c r="AR474" s="9"/>
      <c r="AS474" s="9"/>
      <c r="AT474" s="9"/>
    </row>
    <row r="475">
      <c r="A475" s="492"/>
      <c r="B475" s="254"/>
      <c r="C475" s="492"/>
      <c r="D475" s="254"/>
      <c r="E475" s="492"/>
      <c r="F475" s="254"/>
      <c r="G475" s="492"/>
      <c r="H475" s="254"/>
      <c r="I475" s="500"/>
      <c r="J475" s="181"/>
      <c r="K475" s="500"/>
      <c r="L475" s="181"/>
      <c r="M475" s="492"/>
      <c r="N475" s="254"/>
      <c r="O475" s="492"/>
      <c r="P475" s="254"/>
      <c r="Q475" s="492"/>
      <c r="R475" s="254"/>
      <c r="S475" s="528"/>
      <c r="T475" s="528"/>
      <c r="U475" s="492"/>
      <c r="V475" s="254"/>
      <c r="W475" s="492"/>
      <c r="X475" s="254"/>
      <c r="Y475" s="9"/>
      <c r="Z475" s="9"/>
      <c r="AA475" s="9"/>
      <c r="AB475" s="9"/>
      <c r="AC475" s="9"/>
      <c r="AD475" s="9"/>
      <c r="AE475" s="9"/>
      <c r="AF475" s="9"/>
      <c r="AG475" s="9"/>
      <c r="AH475" s="9"/>
      <c r="AI475" s="9"/>
      <c r="AJ475" s="9"/>
      <c r="AK475" s="9"/>
      <c r="AL475" s="9"/>
      <c r="AM475" s="9"/>
      <c r="AN475" s="9"/>
      <c r="AO475" s="9"/>
      <c r="AP475" s="9"/>
      <c r="AQ475" s="9"/>
      <c r="AR475" s="9"/>
      <c r="AS475" s="9"/>
      <c r="AT475" s="9"/>
    </row>
    <row r="476">
      <c r="A476" s="492"/>
      <c r="B476" s="254"/>
      <c r="C476" s="492"/>
      <c r="D476" s="254"/>
      <c r="E476" s="492"/>
      <c r="F476" s="254"/>
      <c r="G476" s="492"/>
      <c r="H476" s="254"/>
      <c r="I476" s="500"/>
      <c r="J476" s="181"/>
      <c r="K476" s="500"/>
      <c r="L476" s="181"/>
      <c r="M476" s="492"/>
      <c r="N476" s="254"/>
      <c r="O476" s="492"/>
      <c r="P476" s="254"/>
      <c r="Q476" s="492"/>
      <c r="R476" s="254"/>
      <c r="S476" s="528"/>
      <c r="T476" s="528"/>
      <c r="U476" s="492"/>
      <c r="V476" s="254"/>
      <c r="W476" s="492"/>
      <c r="X476" s="254"/>
      <c r="Y476" s="9"/>
      <c r="Z476" s="9"/>
      <c r="AA476" s="9"/>
      <c r="AB476" s="9"/>
      <c r="AC476" s="9"/>
      <c r="AD476" s="9"/>
      <c r="AE476" s="9"/>
      <c r="AF476" s="9"/>
      <c r="AG476" s="9"/>
      <c r="AH476" s="9"/>
      <c r="AI476" s="9"/>
      <c r="AJ476" s="9"/>
      <c r="AK476" s="9"/>
      <c r="AL476" s="9"/>
      <c r="AM476" s="9"/>
      <c r="AN476" s="9"/>
      <c r="AO476" s="9"/>
      <c r="AP476" s="9"/>
      <c r="AQ476" s="9"/>
      <c r="AR476" s="9"/>
      <c r="AS476" s="9"/>
      <c r="AT476" s="9"/>
    </row>
    <row r="477">
      <c r="A477" s="492"/>
      <c r="B477" s="254"/>
      <c r="C477" s="492"/>
      <c r="D477" s="254"/>
      <c r="E477" s="492"/>
      <c r="F477" s="254"/>
      <c r="G477" s="492"/>
      <c r="H477" s="254"/>
      <c r="I477" s="500"/>
      <c r="J477" s="181"/>
      <c r="K477" s="500"/>
      <c r="L477" s="181"/>
      <c r="M477" s="492"/>
      <c r="N477" s="254"/>
      <c r="O477" s="492"/>
      <c r="P477" s="254"/>
      <c r="Q477" s="492"/>
      <c r="R477" s="254"/>
      <c r="S477" s="528"/>
      <c r="T477" s="528"/>
      <c r="U477" s="492"/>
      <c r="V477" s="254"/>
      <c r="W477" s="492"/>
      <c r="X477" s="254"/>
      <c r="Y477" s="9"/>
      <c r="Z477" s="9"/>
      <c r="AA477" s="9"/>
      <c r="AB477" s="9"/>
      <c r="AC477" s="9"/>
      <c r="AD477" s="9"/>
      <c r="AE477" s="9"/>
      <c r="AF477" s="9"/>
      <c r="AG477" s="9"/>
      <c r="AH477" s="9"/>
      <c r="AI477" s="9"/>
      <c r="AJ477" s="9"/>
      <c r="AK477" s="9"/>
      <c r="AL477" s="9"/>
      <c r="AM477" s="9"/>
      <c r="AN477" s="9"/>
      <c r="AO477" s="9"/>
      <c r="AP477" s="9"/>
      <c r="AQ477" s="9"/>
      <c r="AR477" s="9"/>
      <c r="AS477" s="9"/>
      <c r="AT477" s="9"/>
    </row>
    <row r="478">
      <c r="A478" s="492"/>
      <c r="B478" s="254"/>
      <c r="C478" s="492"/>
      <c r="D478" s="254"/>
      <c r="E478" s="492"/>
      <c r="F478" s="254"/>
      <c r="G478" s="492"/>
      <c r="H478" s="254"/>
      <c r="I478" s="500"/>
      <c r="J478" s="181"/>
      <c r="K478" s="500"/>
      <c r="L478" s="181"/>
      <c r="M478" s="492"/>
      <c r="N478" s="254"/>
      <c r="O478" s="492"/>
      <c r="P478" s="254"/>
      <c r="Q478" s="492"/>
      <c r="R478" s="254"/>
      <c r="S478" s="528"/>
      <c r="T478" s="528"/>
      <c r="U478" s="492"/>
      <c r="V478" s="254"/>
      <c r="W478" s="492"/>
      <c r="X478" s="254"/>
      <c r="Y478" s="9"/>
      <c r="Z478" s="9"/>
      <c r="AA478" s="9"/>
      <c r="AB478" s="9"/>
      <c r="AC478" s="9"/>
      <c r="AD478" s="9"/>
      <c r="AE478" s="9"/>
      <c r="AF478" s="9"/>
      <c r="AG478" s="9"/>
      <c r="AH478" s="9"/>
      <c r="AI478" s="9"/>
      <c r="AJ478" s="9"/>
      <c r="AK478" s="9"/>
      <c r="AL478" s="9"/>
      <c r="AM478" s="9"/>
      <c r="AN478" s="9"/>
      <c r="AO478" s="9"/>
      <c r="AP478" s="9"/>
      <c r="AQ478" s="9"/>
      <c r="AR478" s="9"/>
      <c r="AS478" s="9"/>
      <c r="AT478" s="9"/>
    </row>
    <row r="479">
      <c r="A479" s="492"/>
      <c r="B479" s="254"/>
      <c r="C479" s="492"/>
      <c r="D479" s="254"/>
      <c r="E479" s="492"/>
      <c r="F479" s="254"/>
      <c r="G479" s="492"/>
      <c r="H479" s="254"/>
      <c r="I479" s="500"/>
      <c r="J479" s="181"/>
      <c r="K479" s="500"/>
      <c r="L479" s="181"/>
      <c r="M479" s="492"/>
      <c r="N479" s="254"/>
      <c r="O479" s="492"/>
      <c r="P479" s="254"/>
      <c r="Q479" s="492"/>
      <c r="R479" s="254"/>
      <c r="S479" s="528"/>
      <c r="T479" s="528"/>
      <c r="U479" s="492"/>
      <c r="V479" s="254"/>
      <c r="W479" s="492"/>
      <c r="X479" s="254"/>
      <c r="Y479" s="9"/>
      <c r="Z479" s="9"/>
      <c r="AA479" s="9"/>
      <c r="AB479" s="9"/>
      <c r="AC479" s="9"/>
      <c r="AD479" s="9"/>
      <c r="AE479" s="9"/>
      <c r="AF479" s="9"/>
      <c r="AG479" s="9"/>
      <c r="AH479" s="9"/>
      <c r="AI479" s="9"/>
      <c r="AJ479" s="9"/>
      <c r="AK479" s="9"/>
      <c r="AL479" s="9"/>
      <c r="AM479" s="9"/>
      <c r="AN479" s="9"/>
      <c r="AO479" s="9"/>
      <c r="AP479" s="9"/>
      <c r="AQ479" s="9"/>
      <c r="AR479" s="9"/>
      <c r="AS479" s="9"/>
      <c r="AT479" s="9"/>
    </row>
    <row r="480">
      <c r="A480" s="492"/>
      <c r="B480" s="254"/>
      <c r="C480" s="492"/>
      <c r="D480" s="254"/>
      <c r="E480" s="492"/>
      <c r="F480" s="254"/>
      <c r="G480" s="492"/>
      <c r="H480" s="254"/>
      <c r="I480" s="500"/>
      <c r="J480" s="181"/>
      <c r="K480" s="500"/>
      <c r="L480" s="181"/>
      <c r="M480" s="492"/>
      <c r="N480" s="254"/>
      <c r="O480" s="492"/>
      <c r="P480" s="254"/>
      <c r="Q480" s="492"/>
      <c r="R480" s="254"/>
      <c r="S480" s="528"/>
      <c r="T480" s="528"/>
      <c r="U480" s="492"/>
      <c r="V480" s="254"/>
      <c r="W480" s="492"/>
      <c r="X480" s="254"/>
      <c r="Y480" s="9"/>
      <c r="Z480" s="9"/>
      <c r="AA480" s="9"/>
      <c r="AB480" s="9"/>
      <c r="AC480" s="9"/>
      <c r="AD480" s="9"/>
      <c r="AE480" s="9"/>
      <c r="AF480" s="9"/>
      <c r="AG480" s="9"/>
      <c r="AH480" s="9"/>
      <c r="AI480" s="9"/>
      <c r="AJ480" s="9"/>
      <c r="AK480" s="9"/>
      <c r="AL480" s="9"/>
      <c r="AM480" s="9"/>
      <c r="AN480" s="9"/>
      <c r="AO480" s="9"/>
      <c r="AP480" s="9"/>
      <c r="AQ480" s="9"/>
      <c r="AR480" s="9"/>
      <c r="AS480" s="9"/>
      <c r="AT480" s="9"/>
    </row>
    <row r="481">
      <c r="A481" s="492"/>
      <c r="B481" s="254"/>
      <c r="C481" s="492"/>
      <c r="D481" s="254"/>
      <c r="E481" s="492"/>
      <c r="F481" s="254"/>
      <c r="G481" s="492"/>
      <c r="H481" s="254"/>
      <c r="I481" s="500"/>
      <c r="J481" s="181"/>
      <c r="K481" s="500"/>
      <c r="L481" s="181"/>
      <c r="M481" s="492"/>
      <c r="N481" s="254"/>
      <c r="O481" s="492"/>
      <c r="P481" s="254"/>
      <c r="Q481" s="492"/>
      <c r="R481" s="254"/>
      <c r="S481" s="528"/>
      <c r="T481" s="528"/>
      <c r="U481" s="492"/>
      <c r="V481" s="254"/>
      <c r="W481" s="492"/>
      <c r="X481" s="254"/>
      <c r="Y481" s="9"/>
      <c r="Z481" s="9"/>
      <c r="AA481" s="9"/>
      <c r="AB481" s="9"/>
      <c r="AC481" s="9"/>
      <c r="AD481" s="9"/>
      <c r="AE481" s="9"/>
      <c r="AF481" s="9"/>
      <c r="AG481" s="9"/>
      <c r="AH481" s="9"/>
      <c r="AI481" s="9"/>
      <c r="AJ481" s="9"/>
      <c r="AK481" s="9"/>
      <c r="AL481" s="9"/>
      <c r="AM481" s="9"/>
      <c r="AN481" s="9"/>
      <c r="AO481" s="9"/>
      <c r="AP481" s="9"/>
      <c r="AQ481" s="9"/>
      <c r="AR481" s="9"/>
      <c r="AS481" s="9"/>
      <c r="AT481" s="9"/>
    </row>
    <row r="482">
      <c r="A482" s="492"/>
      <c r="B482" s="254"/>
      <c r="C482" s="492"/>
      <c r="D482" s="254"/>
      <c r="E482" s="492"/>
      <c r="F482" s="254"/>
      <c r="G482" s="492"/>
      <c r="H482" s="254"/>
      <c r="I482" s="500"/>
      <c r="J482" s="181"/>
      <c r="K482" s="500"/>
      <c r="L482" s="181"/>
      <c r="M482" s="492"/>
      <c r="N482" s="254"/>
      <c r="O482" s="492"/>
      <c r="P482" s="254"/>
      <c r="Q482" s="492"/>
      <c r="R482" s="254"/>
      <c r="S482" s="528"/>
      <c r="T482" s="528"/>
      <c r="U482" s="492"/>
      <c r="V482" s="254"/>
      <c r="W482" s="492"/>
      <c r="X482" s="254"/>
      <c r="Y482" s="9"/>
      <c r="Z482" s="9"/>
      <c r="AA482" s="9"/>
      <c r="AB482" s="9"/>
      <c r="AC482" s="9"/>
      <c r="AD482" s="9"/>
      <c r="AE482" s="9"/>
      <c r="AF482" s="9"/>
      <c r="AG482" s="9"/>
      <c r="AH482" s="9"/>
      <c r="AI482" s="9"/>
      <c r="AJ482" s="9"/>
      <c r="AK482" s="9"/>
      <c r="AL482" s="9"/>
      <c r="AM482" s="9"/>
      <c r="AN482" s="9"/>
      <c r="AO482" s="9"/>
      <c r="AP482" s="9"/>
      <c r="AQ482" s="9"/>
      <c r="AR482" s="9"/>
      <c r="AS482" s="9"/>
      <c r="AT482" s="9"/>
    </row>
    <row r="483">
      <c r="A483" s="492"/>
      <c r="B483" s="254"/>
      <c r="C483" s="492"/>
      <c r="D483" s="254"/>
      <c r="E483" s="492"/>
      <c r="F483" s="254"/>
      <c r="G483" s="492"/>
      <c r="H483" s="254"/>
      <c r="I483" s="500"/>
      <c r="J483" s="181"/>
      <c r="K483" s="500"/>
      <c r="L483" s="181"/>
      <c r="M483" s="492"/>
      <c r="N483" s="254"/>
      <c r="O483" s="492"/>
      <c r="P483" s="254"/>
      <c r="Q483" s="492"/>
      <c r="R483" s="254"/>
      <c r="S483" s="528"/>
      <c r="T483" s="528"/>
      <c r="U483" s="492"/>
      <c r="V483" s="254"/>
      <c r="W483" s="492"/>
      <c r="X483" s="254"/>
      <c r="Y483" s="9"/>
      <c r="Z483" s="9"/>
      <c r="AA483" s="9"/>
      <c r="AB483" s="9"/>
      <c r="AC483" s="9"/>
      <c r="AD483" s="9"/>
      <c r="AE483" s="9"/>
      <c r="AF483" s="9"/>
      <c r="AG483" s="9"/>
      <c r="AH483" s="9"/>
      <c r="AI483" s="9"/>
      <c r="AJ483" s="9"/>
      <c r="AK483" s="9"/>
      <c r="AL483" s="9"/>
      <c r="AM483" s="9"/>
      <c r="AN483" s="9"/>
      <c r="AO483" s="9"/>
      <c r="AP483" s="9"/>
      <c r="AQ483" s="9"/>
      <c r="AR483" s="9"/>
      <c r="AS483" s="9"/>
      <c r="AT483" s="9"/>
    </row>
    <row r="484">
      <c r="A484" s="492"/>
      <c r="B484" s="254"/>
      <c r="C484" s="492"/>
      <c r="D484" s="254"/>
      <c r="E484" s="492"/>
      <c r="F484" s="254"/>
      <c r="G484" s="492"/>
      <c r="H484" s="254"/>
      <c r="I484" s="500"/>
      <c r="J484" s="181"/>
      <c r="K484" s="500"/>
      <c r="L484" s="181"/>
      <c r="M484" s="492"/>
      <c r="N484" s="254"/>
      <c r="O484" s="492"/>
      <c r="P484" s="254"/>
      <c r="Q484" s="492"/>
      <c r="R484" s="254"/>
      <c r="S484" s="528"/>
      <c r="T484" s="528"/>
      <c r="U484" s="492"/>
      <c r="V484" s="254"/>
      <c r="W484" s="492"/>
      <c r="X484" s="254"/>
      <c r="Y484" s="9"/>
      <c r="Z484" s="9"/>
      <c r="AA484" s="9"/>
      <c r="AB484" s="9"/>
      <c r="AC484" s="9"/>
      <c r="AD484" s="9"/>
      <c r="AE484" s="9"/>
      <c r="AF484" s="9"/>
      <c r="AG484" s="9"/>
      <c r="AH484" s="9"/>
      <c r="AI484" s="9"/>
      <c r="AJ484" s="9"/>
      <c r="AK484" s="9"/>
      <c r="AL484" s="9"/>
      <c r="AM484" s="9"/>
      <c r="AN484" s="9"/>
      <c r="AO484" s="9"/>
      <c r="AP484" s="9"/>
      <c r="AQ484" s="9"/>
      <c r="AR484" s="9"/>
      <c r="AS484" s="9"/>
      <c r="AT484" s="9"/>
    </row>
    <row r="485">
      <c r="A485" s="492"/>
      <c r="B485" s="254"/>
      <c r="C485" s="492"/>
      <c r="D485" s="254"/>
      <c r="E485" s="492"/>
      <c r="F485" s="254"/>
      <c r="G485" s="492"/>
      <c r="H485" s="254"/>
      <c r="I485" s="500"/>
      <c r="J485" s="181"/>
      <c r="K485" s="500"/>
      <c r="L485" s="181"/>
      <c r="M485" s="492"/>
      <c r="N485" s="254"/>
      <c r="O485" s="492"/>
      <c r="P485" s="254"/>
      <c r="Q485" s="492"/>
      <c r="R485" s="254"/>
      <c r="S485" s="528"/>
      <c r="T485" s="528"/>
      <c r="U485" s="492"/>
      <c r="V485" s="254"/>
      <c r="W485" s="492"/>
      <c r="X485" s="254"/>
      <c r="Y485" s="9"/>
      <c r="Z485" s="9"/>
      <c r="AA485" s="9"/>
      <c r="AB485" s="9"/>
      <c r="AC485" s="9"/>
      <c r="AD485" s="9"/>
      <c r="AE485" s="9"/>
      <c r="AF485" s="9"/>
      <c r="AG485" s="9"/>
      <c r="AH485" s="9"/>
      <c r="AI485" s="9"/>
      <c r="AJ485" s="9"/>
      <c r="AK485" s="9"/>
      <c r="AL485" s="9"/>
      <c r="AM485" s="9"/>
      <c r="AN485" s="9"/>
      <c r="AO485" s="9"/>
      <c r="AP485" s="9"/>
      <c r="AQ485" s="9"/>
      <c r="AR485" s="9"/>
      <c r="AS485" s="9"/>
      <c r="AT485" s="9"/>
    </row>
    <row r="486">
      <c r="A486" s="492"/>
      <c r="B486" s="254"/>
      <c r="C486" s="492"/>
      <c r="D486" s="254"/>
      <c r="E486" s="492"/>
      <c r="F486" s="254"/>
      <c r="G486" s="492"/>
      <c r="H486" s="254"/>
      <c r="I486" s="500"/>
      <c r="J486" s="181"/>
      <c r="K486" s="500"/>
      <c r="L486" s="181"/>
      <c r="M486" s="492"/>
      <c r="N486" s="254"/>
      <c r="O486" s="492"/>
      <c r="P486" s="254"/>
      <c r="Q486" s="492"/>
      <c r="R486" s="254"/>
      <c r="S486" s="528"/>
      <c r="T486" s="528"/>
      <c r="U486" s="492"/>
      <c r="V486" s="254"/>
      <c r="W486" s="492"/>
      <c r="X486" s="254"/>
      <c r="Y486" s="9"/>
      <c r="Z486" s="9"/>
      <c r="AA486" s="9"/>
      <c r="AB486" s="9"/>
      <c r="AC486" s="9"/>
      <c r="AD486" s="9"/>
      <c r="AE486" s="9"/>
      <c r="AF486" s="9"/>
      <c r="AG486" s="9"/>
      <c r="AH486" s="9"/>
      <c r="AI486" s="9"/>
      <c r="AJ486" s="9"/>
      <c r="AK486" s="9"/>
      <c r="AL486" s="9"/>
      <c r="AM486" s="9"/>
      <c r="AN486" s="9"/>
      <c r="AO486" s="9"/>
      <c r="AP486" s="9"/>
      <c r="AQ486" s="9"/>
      <c r="AR486" s="9"/>
      <c r="AS486" s="9"/>
      <c r="AT486" s="9"/>
    </row>
    <row r="487">
      <c r="A487" s="492"/>
      <c r="B487" s="254"/>
      <c r="C487" s="492"/>
      <c r="D487" s="254"/>
      <c r="E487" s="492"/>
      <c r="F487" s="254"/>
      <c r="G487" s="492"/>
      <c r="H487" s="254"/>
      <c r="I487" s="500"/>
      <c r="J487" s="181"/>
      <c r="K487" s="500"/>
      <c r="L487" s="181"/>
      <c r="M487" s="492"/>
      <c r="N487" s="254"/>
      <c r="O487" s="492"/>
      <c r="P487" s="254"/>
      <c r="Q487" s="492"/>
      <c r="R487" s="254"/>
      <c r="S487" s="528"/>
      <c r="T487" s="528"/>
      <c r="U487" s="492"/>
      <c r="V487" s="254"/>
      <c r="W487" s="492"/>
      <c r="X487" s="254"/>
      <c r="Y487" s="9"/>
      <c r="Z487" s="9"/>
      <c r="AA487" s="9"/>
      <c r="AB487" s="9"/>
      <c r="AC487" s="9"/>
      <c r="AD487" s="9"/>
      <c r="AE487" s="9"/>
      <c r="AF487" s="9"/>
      <c r="AG487" s="9"/>
      <c r="AH487" s="9"/>
      <c r="AI487" s="9"/>
      <c r="AJ487" s="9"/>
      <c r="AK487" s="9"/>
      <c r="AL487" s="9"/>
      <c r="AM487" s="9"/>
      <c r="AN487" s="9"/>
      <c r="AO487" s="9"/>
      <c r="AP487" s="9"/>
      <c r="AQ487" s="9"/>
      <c r="AR487" s="9"/>
      <c r="AS487" s="9"/>
      <c r="AT487" s="9"/>
    </row>
    <row r="488">
      <c r="A488" s="492"/>
      <c r="B488" s="254"/>
      <c r="C488" s="492"/>
      <c r="D488" s="254"/>
      <c r="E488" s="492"/>
      <c r="F488" s="254"/>
      <c r="G488" s="492"/>
      <c r="H488" s="254"/>
      <c r="I488" s="500"/>
      <c r="J488" s="181"/>
      <c r="K488" s="500"/>
      <c r="L488" s="181"/>
      <c r="M488" s="492"/>
      <c r="N488" s="254"/>
      <c r="O488" s="492"/>
      <c r="P488" s="254"/>
      <c r="Q488" s="492"/>
      <c r="R488" s="254"/>
      <c r="S488" s="528"/>
      <c r="T488" s="528"/>
      <c r="U488" s="492"/>
      <c r="V488" s="254"/>
      <c r="W488" s="492"/>
      <c r="X488" s="254"/>
      <c r="Y488" s="9"/>
      <c r="Z488" s="9"/>
      <c r="AA488" s="9"/>
      <c r="AB488" s="9"/>
      <c r="AC488" s="9"/>
      <c r="AD488" s="9"/>
      <c r="AE488" s="9"/>
      <c r="AF488" s="9"/>
      <c r="AG488" s="9"/>
      <c r="AH488" s="9"/>
      <c r="AI488" s="9"/>
      <c r="AJ488" s="9"/>
      <c r="AK488" s="9"/>
      <c r="AL488" s="9"/>
      <c r="AM488" s="9"/>
      <c r="AN488" s="9"/>
      <c r="AO488" s="9"/>
      <c r="AP488" s="9"/>
      <c r="AQ488" s="9"/>
      <c r="AR488" s="9"/>
      <c r="AS488" s="9"/>
      <c r="AT488" s="9"/>
    </row>
    <row r="489">
      <c r="A489" s="492"/>
      <c r="B489" s="254"/>
      <c r="C489" s="492"/>
      <c r="D489" s="254"/>
      <c r="E489" s="492"/>
      <c r="F489" s="254"/>
      <c r="G489" s="492"/>
      <c r="H489" s="254"/>
      <c r="I489" s="500"/>
      <c r="J489" s="181"/>
      <c r="K489" s="500"/>
      <c r="L489" s="181"/>
      <c r="M489" s="492"/>
      <c r="N489" s="254"/>
      <c r="O489" s="492"/>
      <c r="P489" s="254"/>
      <c r="Q489" s="492"/>
      <c r="R489" s="254"/>
      <c r="S489" s="528"/>
      <c r="T489" s="528"/>
      <c r="U489" s="492"/>
      <c r="V489" s="254"/>
      <c r="W489" s="492"/>
      <c r="X489" s="254"/>
      <c r="Y489" s="9"/>
      <c r="Z489" s="9"/>
      <c r="AA489" s="9"/>
      <c r="AB489" s="9"/>
      <c r="AC489" s="9"/>
      <c r="AD489" s="9"/>
      <c r="AE489" s="9"/>
      <c r="AF489" s="9"/>
      <c r="AG489" s="9"/>
      <c r="AH489" s="9"/>
      <c r="AI489" s="9"/>
      <c r="AJ489" s="9"/>
      <c r="AK489" s="9"/>
      <c r="AL489" s="9"/>
      <c r="AM489" s="9"/>
      <c r="AN489" s="9"/>
      <c r="AO489" s="9"/>
      <c r="AP489" s="9"/>
      <c r="AQ489" s="9"/>
      <c r="AR489" s="9"/>
      <c r="AS489" s="9"/>
      <c r="AT489" s="9"/>
    </row>
    <row r="490">
      <c r="A490" s="492"/>
      <c r="B490" s="254"/>
      <c r="C490" s="492"/>
      <c r="D490" s="254"/>
      <c r="E490" s="492"/>
      <c r="F490" s="254"/>
      <c r="G490" s="492"/>
      <c r="H490" s="254"/>
      <c r="I490" s="500"/>
      <c r="J490" s="181"/>
      <c r="K490" s="500"/>
      <c r="L490" s="181"/>
      <c r="M490" s="492"/>
      <c r="N490" s="254"/>
      <c r="O490" s="492"/>
      <c r="P490" s="254"/>
      <c r="Q490" s="492"/>
      <c r="R490" s="254"/>
      <c r="S490" s="528"/>
      <c r="T490" s="528"/>
      <c r="U490" s="492"/>
      <c r="V490" s="254"/>
      <c r="W490" s="492"/>
      <c r="X490" s="254"/>
      <c r="Y490" s="9"/>
      <c r="Z490" s="9"/>
      <c r="AA490" s="9"/>
      <c r="AB490" s="9"/>
      <c r="AC490" s="9"/>
      <c r="AD490" s="9"/>
      <c r="AE490" s="9"/>
      <c r="AF490" s="9"/>
      <c r="AG490" s="9"/>
      <c r="AH490" s="9"/>
      <c r="AI490" s="9"/>
      <c r="AJ490" s="9"/>
      <c r="AK490" s="9"/>
      <c r="AL490" s="9"/>
      <c r="AM490" s="9"/>
      <c r="AN490" s="9"/>
      <c r="AO490" s="9"/>
      <c r="AP490" s="9"/>
      <c r="AQ490" s="9"/>
      <c r="AR490" s="9"/>
      <c r="AS490" s="9"/>
      <c r="AT490" s="9"/>
    </row>
    <row r="491">
      <c r="A491" s="492"/>
      <c r="B491" s="254"/>
      <c r="C491" s="492"/>
      <c r="D491" s="254"/>
      <c r="E491" s="492"/>
      <c r="F491" s="254"/>
      <c r="G491" s="492"/>
      <c r="H491" s="254"/>
      <c r="I491" s="500"/>
      <c r="J491" s="181"/>
      <c r="K491" s="500"/>
      <c r="L491" s="181"/>
      <c r="M491" s="492"/>
      <c r="N491" s="254"/>
      <c r="O491" s="492"/>
      <c r="P491" s="254"/>
      <c r="Q491" s="492"/>
      <c r="R491" s="254"/>
      <c r="S491" s="528"/>
      <c r="T491" s="528"/>
      <c r="U491" s="492"/>
      <c r="V491" s="254"/>
      <c r="W491" s="492"/>
      <c r="X491" s="254"/>
      <c r="Y491" s="9"/>
      <c r="Z491" s="9"/>
      <c r="AA491" s="9"/>
      <c r="AB491" s="9"/>
      <c r="AC491" s="9"/>
      <c r="AD491" s="9"/>
      <c r="AE491" s="9"/>
      <c r="AF491" s="9"/>
      <c r="AG491" s="9"/>
      <c r="AH491" s="9"/>
      <c r="AI491" s="9"/>
      <c r="AJ491" s="9"/>
      <c r="AK491" s="9"/>
      <c r="AL491" s="9"/>
      <c r="AM491" s="9"/>
      <c r="AN491" s="9"/>
      <c r="AO491" s="9"/>
      <c r="AP491" s="9"/>
      <c r="AQ491" s="9"/>
      <c r="AR491" s="9"/>
      <c r="AS491" s="9"/>
      <c r="AT491" s="9"/>
    </row>
    <row r="492">
      <c r="A492" s="492"/>
      <c r="B492" s="254"/>
      <c r="C492" s="492"/>
      <c r="D492" s="254"/>
      <c r="E492" s="492"/>
      <c r="F492" s="254"/>
      <c r="G492" s="492"/>
      <c r="H492" s="254"/>
      <c r="I492" s="500"/>
      <c r="J492" s="181"/>
      <c r="K492" s="500"/>
      <c r="L492" s="181"/>
      <c r="M492" s="492"/>
      <c r="N492" s="254"/>
      <c r="O492" s="492"/>
      <c r="P492" s="254"/>
      <c r="Q492" s="492"/>
      <c r="R492" s="254"/>
      <c r="S492" s="528"/>
      <c r="T492" s="528"/>
      <c r="U492" s="492"/>
      <c r="V492" s="254"/>
      <c r="W492" s="492"/>
      <c r="X492" s="254"/>
      <c r="Y492" s="9"/>
      <c r="Z492" s="9"/>
      <c r="AA492" s="9"/>
      <c r="AB492" s="9"/>
      <c r="AC492" s="9"/>
      <c r="AD492" s="9"/>
      <c r="AE492" s="9"/>
      <c r="AF492" s="9"/>
      <c r="AG492" s="9"/>
      <c r="AH492" s="9"/>
      <c r="AI492" s="9"/>
      <c r="AJ492" s="9"/>
      <c r="AK492" s="9"/>
      <c r="AL492" s="9"/>
      <c r="AM492" s="9"/>
      <c r="AN492" s="9"/>
      <c r="AO492" s="9"/>
      <c r="AP492" s="9"/>
      <c r="AQ492" s="9"/>
      <c r="AR492" s="9"/>
      <c r="AS492" s="9"/>
      <c r="AT492" s="9"/>
    </row>
    <row r="493">
      <c r="A493" s="492"/>
      <c r="B493" s="254"/>
      <c r="C493" s="492"/>
      <c r="D493" s="254"/>
      <c r="E493" s="492"/>
      <c r="F493" s="254"/>
      <c r="G493" s="492"/>
      <c r="H493" s="254"/>
      <c r="I493" s="500"/>
      <c r="J493" s="181"/>
      <c r="K493" s="500"/>
      <c r="L493" s="181"/>
      <c r="M493" s="492"/>
      <c r="N493" s="254"/>
      <c r="O493" s="492"/>
      <c r="P493" s="254"/>
      <c r="Q493" s="492"/>
      <c r="R493" s="254"/>
      <c r="S493" s="528"/>
      <c r="T493" s="528"/>
      <c r="U493" s="492"/>
      <c r="V493" s="254"/>
      <c r="W493" s="492"/>
      <c r="X493" s="254"/>
      <c r="Y493" s="9"/>
      <c r="Z493" s="9"/>
      <c r="AA493" s="9"/>
      <c r="AB493" s="9"/>
      <c r="AC493" s="9"/>
      <c r="AD493" s="9"/>
      <c r="AE493" s="9"/>
      <c r="AF493" s="9"/>
      <c r="AG493" s="9"/>
      <c r="AH493" s="9"/>
      <c r="AI493" s="9"/>
      <c r="AJ493" s="9"/>
      <c r="AK493" s="9"/>
      <c r="AL493" s="9"/>
      <c r="AM493" s="9"/>
      <c r="AN493" s="9"/>
      <c r="AO493" s="9"/>
      <c r="AP493" s="9"/>
      <c r="AQ493" s="9"/>
      <c r="AR493" s="9"/>
      <c r="AS493" s="9"/>
      <c r="AT493" s="9"/>
    </row>
    <row r="494">
      <c r="A494" s="492"/>
      <c r="B494" s="254"/>
      <c r="C494" s="492"/>
      <c r="D494" s="254"/>
      <c r="E494" s="492"/>
      <c r="F494" s="254"/>
      <c r="G494" s="492"/>
      <c r="H494" s="254"/>
      <c r="I494" s="500"/>
      <c r="J494" s="181"/>
      <c r="K494" s="500"/>
      <c r="L494" s="181"/>
      <c r="M494" s="492"/>
      <c r="N494" s="254"/>
      <c r="O494" s="492"/>
      <c r="P494" s="254"/>
      <c r="Q494" s="492"/>
      <c r="R494" s="254"/>
      <c r="S494" s="528"/>
      <c r="T494" s="528"/>
      <c r="U494" s="492"/>
      <c r="V494" s="254"/>
      <c r="W494" s="492"/>
      <c r="X494" s="254"/>
      <c r="Y494" s="9"/>
      <c r="Z494" s="9"/>
      <c r="AA494" s="9"/>
      <c r="AB494" s="9"/>
      <c r="AC494" s="9"/>
      <c r="AD494" s="9"/>
      <c r="AE494" s="9"/>
      <c r="AF494" s="9"/>
      <c r="AG494" s="9"/>
      <c r="AH494" s="9"/>
      <c r="AI494" s="9"/>
      <c r="AJ494" s="9"/>
      <c r="AK494" s="9"/>
      <c r="AL494" s="9"/>
      <c r="AM494" s="9"/>
      <c r="AN494" s="9"/>
      <c r="AO494" s="9"/>
      <c r="AP494" s="9"/>
      <c r="AQ494" s="9"/>
      <c r="AR494" s="9"/>
      <c r="AS494" s="9"/>
      <c r="AT494" s="9"/>
    </row>
    <row r="495">
      <c r="A495" s="492"/>
      <c r="B495" s="254"/>
      <c r="C495" s="492"/>
      <c r="D495" s="254"/>
      <c r="E495" s="492"/>
      <c r="F495" s="254"/>
      <c r="G495" s="492"/>
      <c r="H495" s="254"/>
      <c r="I495" s="500"/>
      <c r="J495" s="181"/>
      <c r="K495" s="500"/>
      <c r="L495" s="181"/>
      <c r="M495" s="492"/>
      <c r="N495" s="254"/>
      <c r="O495" s="492"/>
      <c r="P495" s="254"/>
      <c r="Q495" s="492"/>
      <c r="R495" s="254"/>
      <c r="S495" s="528"/>
      <c r="T495" s="528"/>
      <c r="U495" s="492"/>
      <c r="V495" s="254"/>
      <c r="W495" s="492"/>
      <c r="X495" s="254"/>
      <c r="Y495" s="9"/>
      <c r="Z495" s="9"/>
      <c r="AA495" s="9"/>
      <c r="AB495" s="9"/>
      <c r="AC495" s="9"/>
      <c r="AD495" s="9"/>
      <c r="AE495" s="9"/>
      <c r="AF495" s="9"/>
      <c r="AG495" s="9"/>
      <c r="AH495" s="9"/>
      <c r="AI495" s="9"/>
      <c r="AJ495" s="9"/>
      <c r="AK495" s="9"/>
      <c r="AL495" s="9"/>
      <c r="AM495" s="9"/>
      <c r="AN495" s="9"/>
      <c r="AO495" s="9"/>
      <c r="AP495" s="9"/>
      <c r="AQ495" s="9"/>
      <c r="AR495" s="9"/>
      <c r="AS495" s="9"/>
      <c r="AT495" s="9"/>
    </row>
    <row r="496">
      <c r="A496" s="492"/>
      <c r="B496" s="254"/>
      <c r="C496" s="492"/>
      <c r="D496" s="254"/>
      <c r="E496" s="492"/>
      <c r="F496" s="254"/>
      <c r="G496" s="492"/>
      <c r="H496" s="254"/>
      <c r="I496" s="500"/>
      <c r="J496" s="181"/>
      <c r="K496" s="500"/>
      <c r="L496" s="181"/>
      <c r="M496" s="492"/>
      <c r="N496" s="254"/>
      <c r="O496" s="492"/>
      <c r="P496" s="254"/>
      <c r="Q496" s="492"/>
      <c r="R496" s="254"/>
      <c r="S496" s="528"/>
      <c r="T496" s="528"/>
      <c r="U496" s="492"/>
      <c r="V496" s="254"/>
      <c r="W496" s="492"/>
      <c r="X496" s="254"/>
      <c r="Y496" s="9"/>
      <c r="Z496" s="9"/>
      <c r="AA496" s="9"/>
      <c r="AB496" s="9"/>
      <c r="AC496" s="9"/>
      <c r="AD496" s="9"/>
      <c r="AE496" s="9"/>
      <c r="AF496" s="9"/>
      <c r="AG496" s="9"/>
      <c r="AH496" s="9"/>
      <c r="AI496" s="9"/>
      <c r="AJ496" s="9"/>
      <c r="AK496" s="9"/>
      <c r="AL496" s="9"/>
      <c r="AM496" s="9"/>
      <c r="AN496" s="9"/>
      <c r="AO496" s="9"/>
      <c r="AP496" s="9"/>
      <c r="AQ496" s="9"/>
      <c r="AR496" s="9"/>
      <c r="AS496" s="9"/>
      <c r="AT496" s="9"/>
    </row>
    <row r="497">
      <c r="A497" s="492"/>
      <c r="B497" s="254"/>
      <c r="C497" s="492"/>
      <c r="D497" s="254"/>
      <c r="E497" s="492"/>
      <c r="F497" s="254"/>
      <c r="G497" s="492"/>
      <c r="H497" s="254"/>
      <c r="I497" s="500"/>
      <c r="J497" s="181"/>
      <c r="K497" s="500"/>
      <c r="L497" s="181"/>
      <c r="M497" s="492"/>
      <c r="N497" s="254"/>
      <c r="O497" s="492"/>
      <c r="P497" s="254"/>
      <c r="Q497" s="492"/>
      <c r="R497" s="254"/>
      <c r="S497" s="528"/>
      <c r="T497" s="528"/>
      <c r="U497" s="492"/>
      <c r="V497" s="254"/>
      <c r="W497" s="492"/>
      <c r="X497" s="254"/>
      <c r="Y497" s="9"/>
      <c r="Z497" s="9"/>
      <c r="AA497" s="9"/>
      <c r="AB497" s="9"/>
      <c r="AC497" s="9"/>
      <c r="AD497" s="9"/>
      <c r="AE497" s="9"/>
      <c r="AF497" s="9"/>
      <c r="AG497" s="9"/>
      <c r="AH497" s="9"/>
      <c r="AI497" s="9"/>
      <c r="AJ497" s="9"/>
      <c r="AK497" s="9"/>
      <c r="AL497" s="9"/>
      <c r="AM497" s="9"/>
      <c r="AN497" s="9"/>
      <c r="AO497" s="9"/>
      <c r="AP497" s="9"/>
      <c r="AQ497" s="9"/>
      <c r="AR497" s="9"/>
      <c r="AS497" s="9"/>
      <c r="AT497" s="9"/>
    </row>
    <row r="498">
      <c r="A498" s="492"/>
      <c r="B498" s="254"/>
      <c r="C498" s="492"/>
      <c r="D498" s="254"/>
      <c r="E498" s="492"/>
      <c r="F498" s="254"/>
      <c r="G498" s="492"/>
      <c r="H498" s="254"/>
      <c r="I498" s="500"/>
      <c r="J498" s="181"/>
      <c r="K498" s="500"/>
      <c r="L498" s="181"/>
      <c r="M498" s="492"/>
      <c r="N498" s="254"/>
      <c r="O498" s="492"/>
      <c r="P498" s="254"/>
      <c r="Q498" s="492"/>
      <c r="R498" s="254"/>
      <c r="S498" s="528"/>
      <c r="T498" s="528"/>
      <c r="U498" s="492"/>
      <c r="V498" s="254"/>
      <c r="W498" s="492"/>
      <c r="X498" s="254"/>
      <c r="Y498" s="9"/>
      <c r="Z498" s="9"/>
      <c r="AA498" s="9"/>
      <c r="AB498" s="9"/>
      <c r="AC498" s="9"/>
      <c r="AD498" s="9"/>
      <c r="AE498" s="9"/>
      <c r="AF498" s="9"/>
      <c r="AG498" s="9"/>
      <c r="AH498" s="9"/>
      <c r="AI498" s="9"/>
      <c r="AJ498" s="9"/>
      <c r="AK498" s="9"/>
      <c r="AL498" s="9"/>
      <c r="AM498" s="9"/>
      <c r="AN498" s="9"/>
      <c r="AO498" s="9"/>
      <c r="AP498" s="9"/>
      <c r="AQ498" s="9"/>
      <c r="AR498" s="9"/>
      <c r="AS498" s="9"/>
      <c r="AT498" s="9"/>
    </row>
    <row r="499">
      <c r="A499" s="492"/>
      <c r="B499" s="254"/>
      <c r="C499" s="492"/>
      <c r="D499" s="254"/>
      <c r="E499" s="492"/>
      <c r="F499" s="254"/>
      <c r="G499" s="492"/>
      <c r="H499" s="254"/>
      <c r="I499" s="500"/>
      <c r="J499" s="181"/>
      <c r="K499" s="500"/>
      <c r="L499" s="181"/>
      <c r="M499" s="492"/>
      <c r="N499" s="254"/>
      <c r="O499" s="492"/>
      <c r="P499" s="254"/>
      <c r="Q499" s="492"/>
      <c r="R499" s="254"/>
      <c r="S499" s="528"/>
      <c r="T499" s="528"/>
      <c r="U499" s="492"/>
      <c r="V499" s="254"/>
      <c r="W499" s="492"/>
      <c r="X499" s="254"/>
      <c r="Y499" s="9"/>
      <c r="Z499" s="9"/>
      <c r="AA499" s="9"/>
      <c r="AB499" s="9"/>
      <c r="AC499" s="9"/>
      <c r="AD499" s="9"/>
      <c r="AE499" s="9"/>
      <c r="AF499" s="9"/>
      <c r="AG499" s="9"/>
      <c r="AH499" s="9"/>
      <c r="AI499" s="9"/>
      <c r="AJ499" s="9"/>
      <c r="AK499" s="9"/>
      <c r="AL499" s="9"/>
      <c r="AM499" s="9"/>
      <c r="AN499" s="9"/>
      <c r="AO499" s="9"/>
      <c r="AP499" s="9"/>
      <c r="AQ499" s="9"/>
      <c r="AR499" s="9"/>
      <c r="AS499" s="9"/>
      <c r="AT499" s="9"/>
    </row>
    <row r="500">
      <c r="A500" s="492"/>
      <c r="B500" s="254"/>
      <c r="C500" s="492"/>
      <c r="D500" s="254"/>
      <c r="E500" s="492"/>
      <c r="F500" s="254"/>
      <c r="G500" s="492"/>
      <c r="H500" s="254"/>
      <c r="I500" s="500"/>
      <c r="J500" s="181"/>
      <c r="K500" s="500"/>
      <c r="L500" s="181"/>
      <c r="M500" s="492"/>
      <c r="N500" s="254"/>
      <c r="O500" s="492"/>
      <c r="P500" s="254"/>
      <c r="Q500" s="492"/>
      <c r="R500" s="254"/>
      <c r="S500" s="528"/>
      <c r="T500" s="528"/>
      <c r="U500" s="492"/>
      <c r="V500" s="254"/>
      <c r="W500" s="492"/>
      <c r="X500" s="254"/>
      <c r="Y500" s="9"/>
      <c r="Z500" s="9"/>
      <c r="AA500" s="9"/>
      <c r="AB500" s="9"/>
      <c r="AC500" s="9"/>
      <c r="AD500" s="9"/>
      <c r="AE500" s="9"/>
      <c r="AF500" s="9"/>
      <c r="AG500" s="9"/>
      <c r="AH500" s="9"/>
      <c r="AI500" s="9"/>
      <c r="AJ500" s="9"/>
      <c r="AK500" s="9"/>
      <c r="AL500" s="9"/>
      <c r="AM500" s="9"/>
      <c r="AN500" s="9"/>
      <c r="AO500" s="9"/>
      <c r="AP500" s="9"/>
      <c r="AQ500" s="9"/>
      <c r="AR500" s="9"/>
      <c r="AS500" s="9"/>
      <c r="AT500" s="9"/>
    </row>
    <row r="501">
      <c r="A501" s="492"/>
      <c r="B501" s="254"/>
      <c r="C501" s="492"/>
      <c r="D501" s="254"/>
      <c r="E501" s="492"/>
      <c r="F501" s="254"/>
      <c r="G501" s="492"/>
      <c r="H501" s="254"/>
      <c r="I501" s="500"/>
      <c r="J501" s="181"/>
      <c r="K501" s="500"/>
      <c r="L501" s="181"/>
      <c r="M501" s="492"/>
      <c r="N501" s="254"/>
      <c r="O501" s="492"/>
      <c r="P501" s="254"/>
      <c r="Q501" s="492"/>
      <c r="R501" s="254"/>
      <c r="S501" s="528"/>
      <c r="T501" s="528"/>
      <c r="U501" s="492"/>
      <c r="V501" s="254"/>
      <c r="W501" s="492"/>
      <c r="X501" s="254"/>
      <c r="Y501" s="9"/>
      <c r="Z501" s="9"/>
      <c r="AA501" s="9"/>
      <c r="AB501" s="9"/>
      <c r="AC501" s="9"/>
      <c r="AD501" s="9"/>
      <c r="AE501" s="9"/>
      <c r="AF501" s="9"/>
      <c r="AG501" s="9"/>
      <c r="AH501" s="9"/>
      <c r="AI501" s="9"/>
      <c r="AJ501" s="9"/>
      <c r="AK501" s="9"/>
      <c r="AL501" s="9"/>
      <c r="AM501" s="9"/>
      <c r="AN501" s="9"/>
      <c r="AO501" s="9"/>
      <c r="AP501" s="9"/>
      <c r="AQ501" s="9"/>
      <c r="AR501" s="9"/>
      <c r="AS501" s="9"/>
      <c r="AT501" s="9"/>
    </row>
    <row r="502">
      <c r="A502" s="492"/>
      <c r="B502" s="254"/>
      <c r="C502" s="492"/>
      <c r="D502" s="254"/>
      <c r="E502" s="492"/>
      <c r="F502" s="254"/>
      <c r="G502" s="492"/>
      <c r="H502" s="254"/>
      <c r="I502" s="500"/>
      <c r="J502" s="181"/>
      <c r="K502" s="500"/>
      <c r="L502" s="181"/>
      <c r="M502" s="492"/>
      <c r="N502" s="254"/>
      <c r="O502" s="492"/>
      <c r="P502" s="254"/>
      <c r="Q502" s="492"/>
      <c r="R502" s="254"/>
      <c r="S502" s="528"/>
      <c r="T502" s="528"/>
      <c r="U502" s="492"/>
      <c r="V502" s="254"/>
      <c r="W502" s="492"/>
      <c r="X502" s="254"/>
      <c r="Y502" s="9"/>
      <c r="Z502" s="9"/>
      <c r="AA502" s="9"/>
      <c r="AB502" s="9"/>
      <c r="AC502" s="9"/>
      <c r="AD502" s="9"/>
      <c r="AE502" s="9"/>
      <c r="AF502" s="9"/>
      <c r="AG502" s="9"/>
      <c r="AH502" s="9"/>
      <c r="AI502" s="9"/>
      <c r="AJ502" s="9"/>
      <c r="AK502" s="9"/>
      <c r="AL502" s="9"/>
      <c r="AM502" s="9"/>
      <c r="AN502" s="9"/>
      <c r="AO502" s="9"/>
      <c r="AP502" s="9"/>
      <c r="AQ502" s="9"/>
      <c r="AR502" s="9"/>
      <c r="AS502" s="9"/>
      <c r="AT502" s="9"/>
    </row>
    <row r="503">
      <c r="A503" s="492"/>
      <c r="B503" s="254"/>
      <c r="C503" s="492"/>
      <c r="D503" s="254"/>
      <c r="E503" s="492"/>
      <c r="F503" s="254"/>
      <c r="G503" s="492"/>
      <c r="H503" s="254"/>
      <c r="I503" s="500"/>
      <c r="J503" s="181"/>
      <c r="K503" s="500"/>
      <c r="L503" s="181"/>
      <c r="M503" s="492"/>
      <c r="N503" s="254"/>
      <c r="O503" s="492"/>
      <c r="P503" s="254"/>
      <c r="Q503" s="492"/>
      <c r="R503" s="254"/>
      <c r="S503" s="528"/>
      <c r="T503" s="528"/>
      <c r="U503" s="492"/>
      <c r="V503" s="254"/>
      <c r="W503" s="492"/>
      <c r="X503" s="254"/>
      <c r="Y503" s="9"/>
      <c r="Z503" s="9"/>
      <c r="AA503" s="9"/>
      <c r="AB503" s="9"/>
      <c r="AC503" s="9"/>
      <c r="AD503" s="9"/>
      <c r="AE503" s="9"/>
      <c r="AF503" s="9"/>
      <c r="AG503" s="9"/>
      <c r="AH503" s="9"/>
      <c r="AI503" s="9"/>
      <c r="AJ503" s="9"/>
      <c r="AK503" s="9"/>
      <c r="AL503" s="9"/>
      <c r="AM503" s="9"/>
      <c r="AN503" s="9"/>
      <c r="AO503" s="9"/>
      <c r="AP503" s="9"/>
      <c r="AQ503" s="9"/>
      <c r="AR503" s="9"/>
      <c r="AS503" s="9"/>
      <c r="AT503" s="9"/>
    </row>
    <row r="504">
      <c r="A504" s="492"/>
      <c r="B504" s="254"/>
      <c r="C504" s="492"/>
      <c r="D504" s="254"/>
      <c r="E504" s="492"/>
      <c r="F504" s="254"/>
      <c r="G504" s="492"/>
      <c r="H504" s="254"/>
      <c r="I504" s="500"/>
      <c r="J504" s="181"/>
      <c r="K504" s="500"/>
      <c r="L504" s="181"/>
      <c r="M504" s="492"/>
      <c r="N504" s="254"/>
      <c r="O504" s="492"/>
      <c r="P504" s="254"/>
      <c r="Q504" s="492"/>
      <c r="R504" s="254"/>
      <c r="S504" s="528"/>
      <c r="T504" s="528"/>
      <c r="U504" s="492"/>
      <c r="V504" s="254"/>
      <c r="W504" s="492"/>
      <c r="X504" s="254"/>
      <c r="Y504" s="9"/>
      <c r="Z504" s="9"/>
      <c r="AA504" s="9"/>
      <c r="AB504" s="9"/>
      <c r="AC504" s="9"/>
      <c r="AD504" s="9"/>
      <c r="AE504" s="9"/>
      <c r="AF504" s="9"/>
      <c r="AG504" s="9"/>
      <c r="AH504" s="9"/>
      <c r="AI504" s="9"/>
      <c r="AJ504" s="9"/>
      <c r="AK504" s="9"/>
      <c r="AL504" s="9"/>
      <c r="AM504" s="9"/>
      <c r="AN504" s="9"/>
      <c r="AO504" s="9"/>
      <c r="AP504" s="9"/>
      <c r="AQ504" s="9"/>
      <c r="AR504" s="9"/>
      <c r="AS504" s="9"/>
      <c r="AT504" s="9"/>
    </row>
    <row r="505">
      <c r="A505" s="492"/>
      <c r="B505" s="254"/>
      <c r="C505" s="492"/>
      <c r="D505" s="254"/>
      <c r="E505" s="492"/>
      <c r="F505" s="254"/>
      <c r="G505" s="492"/>
      <c r="H505" s="254"/>
      <c r="I505" s="500"/>
      <c r="J505" s="181"/>
      <c r="K505" s="500"/>
      <c r="L505" s="181"/>
      <c r="M505" s="492"/>
      <c r="N505" s="254"/>
      <c r="O505" s="492"/>
      <c r="P505" s="254"/>
      <c r="Q505" s="492"/>
      <c r="R505" s="254"/>
      <c r="S505" s="528"/>
      <c r="T505" s="528"/>
      <c r="U505" s="492"/>
      <c r="V505" s="254"/>
      <c r="W505" s="492"/>
      <c r="X505" s="254"/>
      <c r="Y505" s="9"/>
      <c r="Z505" s="9"/>
      <c r="AA505" s="9"/>
      <c r="AB505" s="9"/>
      <c r="AC505" s="9"/>
      <c r="AD505" s="9"/>
      <c r="AE505" s="9"/>
      <c r="AF505" s="9"/>
      <c r="AG505" s="9"/>
      <c r="AH505" s="9"/>
      <c r="AI505" s="9"/>
      <c r="AJ505" s="9"/>
      <c r="AK505" s="9"/>
      <c r="AL505" s="9"/>
      <c r="AM505" s="9"/>
      <c r="AN505" s="9"/>
      <c r="AO505" s="9"/>
      <c r="AP505" s="9"/>
      <c r="AQ505" s="9"/>
      <c r="AR505" s="9"/>
      <c r="AS505" s="9"/>
      <c r="AT505" s="9"/>
    </row>
    <row r="506">
      <c r="A506" s="492"/>
      <c r="B506" s="254"/>
      <c r="C506" s="492"/>
      <c r="D506" s="254"/>
      <c r="E506" s="492"/>
      <c r="F506" s="254"/>
      <c r="G506" s="492"/>
      <c r="H506" s="254"/>
      <c r="I506" s="500"/>
      <c r="J506" s="181"/>
      <c r="K506" s="500"/>
      <c r="L506" s="181"/>
      <c r="M506" s="492"/>
      <c r="N506" s="254"/>
      <c r="O506" s="492"/>
      <c r="P506" s="254"/>
      <c r="Q506" s="492"/>
      <c r="R506" s="254"/>
      <c r="S506" s="528"/>
      <c r="T506" s="528"/>
      <c r="U506" s="492"/>
      <c r="V506" s="254"/>
      <c r="W506" s="492"/>
      <c r="X506" s="254"/>
      <c r="Y506" s="9"/>
      <c r="Z506" s="9"/>
      <c r="AA506" s="9"/>
      <c r="AB506" s="9"/>
      <c r="AC506" s="9"/>
      <c r="AD506" s="9"/>
      <c r="AE506" s="9"/>
      <c r="AF506" s="9"/>
      <c r="AG506" s="9"/>
      <c r="AH506" s="9"/>
      <c r="AI506" s="9"/>
      <c r="AJ506" s="9"/>
      <c r="AK506" s="9"/>
      <c r="AL506" s="9"/>
      <c r="AM506" s="9"/>
      <c r="AN506" s="9"/>
      <c r="AO506" s="9"/>
      <c r="AP506" s="9"/>
      <c r="AQ506" s="9"/>
      <c r="AR506" s="9"/>
      <c r="AS506" s="9"/>
      <c r="AT506" s="9"/>
    </row>
    <row r="507">
      <c r="A507" s="492"/>
      <c r="B507" s="254"/>
      <c r="C507" s="492"/>
      <c r="D507" s="254"/>
      <c r="E507" s="492"/>
      <c r="F507" s="254"/>
      <c r="G507" s="492"/>
      <c r="H507" s="254"/>
      <c r="I507" s="500"/>
      <c r="J507" s="181"/>
      <c r="K507" s="500"/>
      <c r="L507" s="181"/>
      <c r="M507" s="492"/>
      <c r="N507" s="254"/>
      <c r="O507" s="492"/>
      <c r="P507" s="254"/>
      <c r="Q507" s="492"/>
      <c r="R507" s="254"/>
      <c r="S507" s="528"/>
      <c r="T507" s="528"/>
      <c r="U507" s="492"/>
      <c r="V507" s="254"/>
      <c r="W507" s="492"/>
      <c r="X507" s="254"/>
      <c r="Y507" s="9"/>
      <c r="Z507" s="9"/>
      <c r="AA507" s="9"/>
      <c r="AB507" s="9"/>
      <c r="AC507" s="9"/>
      <c r="AD507" s="9"/>
      <c r="AE507" s="9"/>
      <c r="AF507" s="9"/>
      <c r="AG507" s="9"/>
      <c r="AH507" s="9"/>
      <c r="AI507" s="9"/>
      <c r="AJ507" s="9"/>
      <c r="AK507" s="9"/>
      <c r="AL507" s="9"/>
      <c r="AM507" s="9"/>
      <c r="AN507" s="9"/>
      <c r="AO507" s="9"/>
      <c r="AP507" s="9"/>
      <c r="AQ507" s="9"/>
      <c r="AR507" s="9"/>
      <c r="AS507" s="9"/>
      <c r="AT507" s="9"/>
    </row>
    <row r="508">
      <c r="A508" s="492"/>
      <c r="B508" s="254"/>
      <c r="C508" s="492"/>
      <c r="D508" s="254"/>
      <c r="E508" s="492"/>
      <c r="F508" s="254"/>
      <c r="G508" s="492"/>
      <c r="H508" s="254"/>
      <c r="I508" s="500"/>
      <c r="J508" s="181"/>
      <c r="K508" s="500"/>
      <c r="L508" s="181"/>
      <c r="M508" s="492"/>
      <c r="N508" s="254"/>
      <c r="O508" s="492"/>
      <c r="P508" s="254"/>
      <c r="Q508" s="492"/>
      <c r="R508" s="254"/>
      <c r="S508" s="528"/>
      <c r="T508" s="528"/>
      <c r="U508" s="492"/>
      <c r="V508" s="254"/>
      <c r="W508" s="492"/>
      <c r="X508" s="254"/>
      <c r="Y508" s="9"/>
      <c r="Z508" s="9"/>
      <c r="AA508" s="9"/>
      <c r="AB508" s="9"/>
      <c r="AC508" s="9"/>
      <c r="AD508" s="9"/>
      <c r="AE508" s="9"/>
      <c r="AF508" s="9"/>
      <c r="AG508" s="9"/>
      <c r="AH508" s="9"/>
      <c r="AI508" s="9"/>
      <c r="AJ508" s="9"/>
      <c r="AK508" s="9"/>
      <c r="AL508" s="9"/>
      <c r="AM508" s="9"/>
      <c r="AN508" s="9"/>
      <c r="AO508" s="9"/>
      <c r="AP508" s="9"/>
      <c r="AQ508" s="9"/>
      <c r="AR508" s="9"/>
      <c r="AS508" s="9"/>
      <c r="AT508" s="9"/>
    </row>
    <row r="509">
      <c r="A509" s="492"/>
      <c r="B509" s="254"/>
      <c r="C509" s="492"/>
      <c r="D509" s="254"/>
      <c r="E509" s="492"/>
      <c r="F509" s="254"/>
      <c r="G509" s="492"/>
      <c r="H509" s="254"/>
      <c r="I509" s="500"/>
      <c r="J509" s="181"/>
      <c r="K509" s="500"/>
      <c r="L509" s="181"/>
      <c r="M509" s="492"/>
      <c r="N509" s="254"/>
      <c r="O509" s="492"/>
      <c r="P509" s="254"/>
      <c r="Q509" s="492"/>
      <c r="R509" s="254"/>
      <c r="S509" s="528"/>
      <c r="T509" s="528"/>
      <c r="U509" s="492"/>
      <c r="V509" s="254"/>
      <c r="W509" s="492"/>
      <c r="X509" s="254"/>
      <c r="Y509" s="9"/>
      <c r="Z509" s="9"/>
      <c r="AA509" s="9"/>
      <c r="AB509" s="9"/>
      <c r="AC509" s="9"/>
      <c r="AD509" s="9"/>
      <c r="AE509" s="9"/>
      <c r="AF509" s="9"/>
      <c r="AG509" s="9"/>
      <c r="AH509" s="9"/>
      <c r="AI509" s="9"/>
      <c r="AJ509" s="9"/>
      <c r="AK509" s="9"/>
      <c r="AL509" s="9"/>
      <c r="AM509" s="9"/>
      <c r="AN509" s="9"/>
      <c r="AO509" s="9"/>
      <c r="AP509" s="9"/>
      <c r="AQ509" s="9"/>
      <c r="AR509" s="9"/>
      <c r="AS509" s="9"/>
      <c r="AT509" s="9"/>
    </row>
    <row r="510">
      <c r="A510" s="492"/>
      <c r="B510" s="254"/>
      <c r="C510" s="492"/>
      <c r="D510" s="254"/>
      <c r="E510" s="492"/>
      <c r="F510" s="254"/>
      <c r="G510" s="492"/>
      <c r="H510" s="254"/>
      <c r="I510" s="500"/>
      <c r="J510" s="181"/>
      <c r="K510" s="500"/>
      <c r="L510" s="181"/>
      <c r="M510" s="492"/>
      <c r="N510" s="254"/>
      <c r="O510" s="492"/>
      <c r="P510" s="254"/>
      <c r="Q510" s="492"/>
      <c r="R510" s="254"/>
      <c r="S510" s="528"/>
      <c r="T510" s="528"/>
      <c r="U510" s="492"/>
      <c r="V510" s="254"/>
      <c r="W510" s="492"/>
      <c r="X510" s="254"/>
      <c r="Y510" s="9"/>
      <c r="Z510" s="9"/>
      <c r="AA510" s="9"/>
      <c r="AB510" s="9"/>
      <c r="AC510" s="9"/>
      <c r="AD510" s="9"/>
      <c r="AE510" s="9"/>
      <c r="AF510" s="9"/>
      <c r="AG510" s="9"/>
      <c r="AH510" s="9"/>
      <c r="AI510" s="9"/>
      <c r="AJ510" s="9"/>
      <c r="AK510" s="9"/>
      <c r="AL510" s="9"/>
      <c r="AM510" s="9"/>
      <c r="AN510" s="9"/>
      <c r="AO510" s="9"/>
      <c r="AP510" s="9"/>
      <c r="AQ510" s="9"/>
      <c r="AR510" s="9"/>
      <c r="AS510" s="9"/>
      <c r="AT510" s="9"/>
    </row>
    <row r="511">
      <c r="A511" s="492"/>
      <c r="B511" s="254"/>
      <c r="C511" s="492"/>
      <c r="D511" s="254"/>
      <c r="E511" s="492"/>
      <c r="F511" s="254"/>
      <c r="G511" s="492"/>
      <c r="H511" s="254"/>
      <c r="I511" s="500"/>
      <c r="J511" s="181"/>
      <c r="K511" s="500"/>
      <c r="L511" s="181"/>
      <c r="M511" s="492"/>
      <c r="N511" s="254"/>
      <c r="O511" s="492"/>
      <c r="P511" s="254"/>
      <c r="Q511" s="492"/>
      <c r="R511" s="254"/>
      <c r="S511" s="528"/>
      <c r="T511" s="528"/>
      <c r="U511" s="492"/>
      <c r="V511" s="254"/>
      <c r="W511" s="492"/>
      <c r="X511" s="254"/>
      <c r="Y511" s="9"/>
      <c r="Z511" s="9"/>
      <c r="AA511" s="9"/>
      <c r="AB511" s="9"/>
      <c r="AC511" s="9"/>
      <c r="AD511" s="9"/>
      <c r="AE511" s="9"/>
      <c r="AF511" s="9"/>
      <c r="AG511" s="9"/>
      <c r="AH511" s="9"/>
      <c r="AI511" s="9"/>
      <c r="AJ511" s="9"/>
      <c r="AK511" s="9"/>
      <c r="AL511" s="9"/>
      <c r="AM511" s="9"/>
      <c r="AN511" s="9"/>
      <c r="AO511" s="9"/>
      <c r="AP511" s="9"/>
      <c r="AQ511" s="9"/>
      <c r="AR511" s="9"/>
      <c r="AS511" s="9"/>
      <c r="AT511" s="9"/>
    </row>
    <row r="512">
      <c r="A512" s="492"/>
      <c r="B512" s="254"/>
      <c r="C512" s="492"/>
      <c r="D512" s="254"/>
      <c r="E512" s="492"/>
      <c r="F512" s="254"/>
      <c r="G512" s="492"/>
      <c r="H512" s="254"/>
      <c r="I512" s="500"/>
      <c r="J512" s="181"/>
      <c r="K512" s="500"/>
      <c r="L512" s="181"/>
      <c r="M512" s="492"/>
      <c r="N512" s="254"/>
      <c r="O512" s="492"/>
      <c r="P512" s="254"/>
      <c r="Q512" s="492"/>
      <c r="R512" s="254"/>
      <c r="S512" s="528"/>
      <c r="T512" s="528"/>
      <c r="U512" s="492"/>
      <c r="V512" s="254"/>
      <c r="W512" s="492"/>
      <c r="X512" s="254"/>
      <c r="Y512" s="9"/>
      <c r="Z512" s="9"/>
      <c r="AA512" s="9"/>
      <c r="AB512" s="9"/>
      <c r="AC512" s="9"/>
      <c r="AD512" s="9"/>
      <c r="AE512" s="9"/>
      <c r="AF512" s="9"/>
      <c r="AG512" s="9"/>
      <c r="AH512" s="9"/>
      <c r="AI512" s="9"/>
      <c r="AJ512" s="9"/>
      <c r="AK512" s="9"/>
      <c r="AL512" s="9"/>
      <c r="AM512" s="9"/>
      <c r="AN512" s="9"/>
      <c r="AO512" s="9"/>
      <c r="AP512" s="9"/>
      <c r="AQ512" s="9"/>
      <c r="AR512" s="9"/>
      <c r="AS512" s="9"/>
      <c r="AT512" s="9"/>
    </row>
    <row r="513">
      <c r="A513" s="492"/>
      <c r="B513" s="254"/>
      <c r="C513" s="492"/>
      <c r="D513" s="254"/>
      <c r="E513" s="492"/>
      <c r="F513" s="254"/>
      <c r="G513" s="492"/>
      <c r="H513" s="254"/>
      <c r="I513" s="500"/>
      <c r="J513" s="181"/>
      <c r="K513" s="500"/>
      <c r="L513" s="181"/>
      <c r="M513" s="492"/>
      <c r="N513" s="254"/>
      <c r="O513" s="492"/>
      <c r="P513" s="254"/>
      <c r="Q513" s="492"/>
      <c r="R513" s="254"/>
      <c r="S513" s="528"/>
      <c r="T513" s="528"/>
      <c r="U513" s="492"/>
      <c r="V513" s="254"/>
      <c r="W513" s="492"/>
      <c r="X513" s="254"/>
      <c r="Y513" s="9"/>
      <c r="Z513" s="9"/>
      <c r="AA513" s="9"/>
      <c r="AB513" s="9"/>
      <c r="AC513" s="9"/>
      <c r="AD513" s="9"/>
      <c r="AE513" s="9"/>
      <c r="AF513" s="9"/>
      <c r="AG513" s="9"/>
      <c r="AH513" s="9"/>
      <c r="AI513" s="9"/>
      <c r="AJ513" s="9"/>
      <c r="AK513" s="9"/>
      <c r="AL513" s="9"/>
      <c r="AM513" s="9"/>
      <c r="AN513" s="9"/>
      <c r="AO513" s="9"/>
      <c r="AP513" s="9"/>
      <c r="AQ513" s="9"/>
      <c r="AR513" s="9"/>
      <c r="AS513" s="9"/>
      <c r="AT513" s="9"/>
    </row>
    <row r="514">
      <c r="A514" s="492"/>
      <c r="B514" s="254"/>
      <c r="C514" s="492"/>
      <c r="D514" s="254"/>
      <c r="E514" s="492"/>
      <c r="F514" s="254"/>
      <c r="G514" s="492"/>
      <c r="H514" s="254"/>
      <c r="I514" s="500"/>
      <c r="J514" s="181"/>
      <c r="K514" s="500"/>
      <c r="L514" s="181"/>
      <c r="M514" s="492"/>
      <c r="N514" s="254"/>
      <c r="O514" s="492"/>
      <c r="P514" s="254"/>
      <c r="Q514" s="492"/>
      <c r="R514" s="254"/>
      <c r="S514" s="528"/>
      <c r="T514" s="528"/>
      <c r="U514" s="492"/>
      <c r="V514" s="254"/>
      <c r="W514" s="492"/>
      <c r="X514" s="254"/>
      <c r="Y514" s="9"/>
      <c r="Z514" s="9"/>
      <c r="AA514" s="9"/>
      <c r="AB514" s="9"/>
      <c r="AC514" s="9"/>
      <c r="AD514" s="9"/>
      <c r="AE514" s="9"/>
      <c r="AF514" s="9"/>
      <c r="AG514" s="9"/>
      <c r="AH514" s="9"/>
      <c r="AI514" s="9"/>
      <c r="AJ514" s="9"/>
      <c r="AK514" s="9"/>
      <c r="AL514" s="9"/>
      <c r="AM514" s="9"/>
      <c r="AN514" s="9"/>
      <c r="AO514" s="9"/>
      <c r="AP514" s="9"/>
      <c r="AQ514" s="9"/>
      <c r="AR514" s="9"/>
      <c r="AS514" s="9"/>
      <c r="AT514" s="9"/>
    </row>
    <row r="515">
      <c r="A515" s="492"/>
      <c r="B515" s="254"/>
      <c r="C515" s="492"/>
      <c r="D515" s="254"/>
      <c r="E515" s="492"/>
      <c r="F515" s="254"/>
      <c r="G515" s="492"/>
      <c r="H515" s="254"/>
      <c r="I515" s="500"/>
      <c r="J515" s="181"/>
      <c r="K515" s="500"/>
      <c r="L515" s="181"/>
      <c r="M515" s="492"/>
      <c r="N515" s="254"/>
      <c r="O515" s="492"/>
      <c r="P515" s="254"/>
      <c r="Q515" s="492"/>
      <c r="R515" s="254"/>
      <c r="S515" s="528"/>
      <c r="T515" s="528"/>
      <c r="U515" s="492"/>
      <c r="V515" s="254"/>
      <c r="W515" s="492"/>
      <c r="X515" s="254"/>
      <c r="Y515" s="9"/>
      <c r="Z515" s="9"/>
      <c r="AA515" s="9"/>
      <c r="AB515" s="9"/>
      <c r="AC515" s="9"/>
      <c r="AD515" s="9"/>
      <c r="AE515" s="9"/>
      <c r="AF515" s="9"/>
      <c r="AG515" s="9"/>
      <c r="AH515" s="9"/>
      <c r="AI515" s="9"/>
      <c r="AJ515" s="9"/>
      <c r="AK515" s="9"/>
      <c r="AL515" s="9"/>
      <c r="AM515" s="9"/>
      <c r="AN515" s="9"/>
      <c r="AO515" s="9"/>
      <c r="AP515" s="9"/>
      <c r="AQ515" s="9"/>
      <c r="AR515" s="9"/>
      <c r="AS515" s="9"/>
      <c r="AT515" s="9"/>
    </row>
    <row r="516">
      <c r="A516" s="492"/>
      <c r="B516" s="254"/>
      <c r="C516" s="492"/>
      <c r="D516" s="254"/>
      <c r="E516" s="492"/>
      <c r="F516" s="254"/>
      <c r="G516" s="492"/>
      <c r="H516" s="254"/>
      <c r="I516" s="500"/>
      <c r="J516" s="181"/>
      <c r="K516" s="500"/>
      <c r="L516" s="181"/>
      <c r="M516" s="492"/>
      <c r="N516" s="254"/>
      <c r="O516" s="492"/>
      <c r="P516" s="254"/>
      <c r="Q516" s="492"/>
      <c r="R516" s="254"/>
      <c r="S516" s="528"/>
      <c r="T516" s="528"/>
      <c r="U516" s="492"/>
      <c r="V516" s="254"/>
      <c r="W516" s="492"/>
      <c r="X516" s="254"/>
      <c r="Y516" s="9"/>
      <c r="Z516" s="9"/>
      <c r="AA516" s="9"/>
      <c r="AB516" s="9"/>
      <c r="AC516" s="9"/>
      <c r="AD516" s="9"/>
      <c r="AE516" s="9"/>
      <c r="AF516" s="9"/>
      <c r="AG516" s="9"/>
      <c r="AH516" s="9"/>
      <c r="AI516" s="9"/>
      <c r="AJ516" s="9"/>
      <c r="AK516" s="9"/>
      <c r="AL516" s="9"/>
      <c r="AM516" s="9"/>
      <c r="AN516" s="9"/>
      <c r="AO516" s="9"/>
      <c r="AP516" s="9"/>
      <c r="AQ516" s="9"/>
      <c r="AR516" s="9"/>
      <c r="AS516" s="9"/>
      <c r="AT516" s="9"/>
    </row>
    <row r="517">
      <c r="A517" s="492"/>
      <c r="B517" s="254"/>
      <c r="C517" s="492"/>
      <c r="D517" s="254"/>
      <c r="E517" s="492"/>
      <c r="F517" s="254"/>
      <c r="G517" s="492"/>
      <c r="H517" s="254"/>
      <c r="I517" s="500"/>
      <c r="J517" s="181"/>
      <c r="K517" s="500"/>
      <c r="L517" s="181"/>
      <c r="M517" s="492"/>
      <c r="N517" s="254"/>
      <c r="O517" s="492"/>
      <c r="P517" s="254"/>
      <c r="Q517" s="492"/>
      <c r="R517" s="254"/>
      <c r="S517" s="528"/>
      <c r="T517" s="528"/>
      <c r="U517" s="492"/>
      <c r="V517" s="254"/>
      <c r="W517" s="492"/>
      <c r="X517" s="254"/>
      <c r="Y517" s="9"/>
      <c r="Z517" s="9"/>
      <c r="AA517" s="9"/>
      <c r="AB517" s="9"/>
      <c r="AC517" s="9"/>
      <c r="AD517" s="9"/>
      <c r="AE517" s="9"/>
      <c r="AF517" s="9"/>
      <c r="AG517" s="9"/>
      <c r="AH517" s="9"/>
      <c r="AI517" s="9"/>
      <c r="AJ517" s="9"/>
      <c r="AK517" s="9"/>
      <c r="AL517" s="9"/>
      <c r="AM517" s="9"/>
      <c r="AN517" s="9"/>
      <c r="AO517" s="9"/>
      <c r="AP517" s="9"/>
      <c r="AQ517" s="9"/>
      <c r="AR517" s="9"/>
      <c r="AS517" s="9"/>
      <c r="AT517" s="9"/>
    </row>
    <row r="518">
      <c r="A518" s="492"/>
      <c r="B518" s="254"/>
      <c r="C518" s="492"/>
      <c r="D518" s="254"/>
      <c r="E518" s="492"/>
      <c r="F518" s="254"/>
      <c r="G518" s="492"/>
      <c r="H518" s="254"/>
      <c r="I518" s="500"/>
      <c r="J518" s="181"/>
      <c r="K518" s="500"/>
      <c r="L518" s="181"/>
      <c r="M518" s="492"/>
      <c r="N518" s="254"/>
      <c r="O518" s="492"/>
      <c r="P518" s="254"/>
      <c r="Q518" s="492"/>
      <c r="R518" s="254"/>
      <c r="S518" s="528"/>
      <c r="T518" s="528"/>
      <c r="U518" s="492"/>
      <c r="V518" s="254"/>
      <c r="W518" s="492"/>
      <c r="X518" s="254"/>
      <c r="Y518" s="9"/>
      <c r="Z518" s="9"/>
      <c r="AA518" s="9"/>
      <c r="AB518" s="9"/>
      <c r="AC518" s="9"/>
      <c r="AD518" s="9"/>
      <c r="AE518" s="9"/>
      <c r="AF518" s="9"/>
      <c r="AG518" s="9"/>
      <c r="AH518" s="9"/>
      <c r="AI518" s="9"/>
      <c r="AJ518" s="9"/>
      <c r="AK518" s="9"/>
      <c r="AL518" s="9"/>
      <c r="AM518" s="9"/>
      <c r="AN518" s="9"/>
      <c r="AO518" s="9"/>
      <c r="AP518" s="9"/>
      <c r="AQ518" s="9"/>
      <c r="AR518" s="9"/>
      <c r="AS518" s="9"/>
      <c r="AT518" s="9"/>
    </row>
    <row r="519">
      <c r="A519" s="492"/>
      <c r="B519" s="254"/>
      <c r="C519" s="492"/>
      <c r="D519" s="254"/>
      <c r="E519" s="492"/>
      <c r="F519" s="254"/>
      <c r="G519" s="492"/>
      <c r="H519" s="254"/>
      <c r="I519" s="500"/>
      <c r="J519" s="181"/>
      <c r="K519" s="500"/>
      <c r="L519" s="181"/>
      <c r="M519" s="492"/>
      <c r="N519" s="254"/>
      <c r="O519" s="492"/>
      <c r="P519" s="254"/>
      <c r="Q519" s="492"/>
      <c r="R519" s="254"/>
      <c r="S519" s="528"/>
      <c r="T519" s="528"/>
      <c r="U519" s="492"/>
      <c r="V519" s="254"/>
      <c r="W519" s="492"/>
      <c r="X519" s="254"/>
      <c r="Y519" s="9"/>
      <c r="Z519" s="9"/>
      <c r="AA519" s="9"/>
      <c r="AB519" s="9"/>
      <c r="AC519" s="9"/>
      <c r="AD519" s="9"/>
      <c r="AE519" s="9"/>
      <c r="AF519" s="9"/>
      <c r="AG519" s="9"/>
      <c r="AH519" s="9"/>
      <c r="AI519" s="9"/>
      <c r="AJ519" s="9"/>
      <c r="AK519" s="9"/>
      <c r="AL519" s="9"/>
      <c r="AM519" s="9"/>
      <c r="AN519" s="9"/>
      <c r="AO519" s="9"/>
      <c r="AP519" s="9"/>
      <c r="AQ519" s="9"/>
      <c r="AR519" s="9"/>
      <c r="AS519" s="9"/>
      <c r="AT519" s="9"/>
    </row>
    <row r="520">
      <c r="A520" s="492"/>
      <c r="B520" s="254"/>
      <c r="C520" s="492"/>
      <c r="D520" s="254"/>
      <c r="E520" s="492"/>
      <c r="F520" s="254"/>
      <c r="G520" s="492"/>
      <c r="H520" s="254"/>
      <c r="I520" s="500"/>
      <c r="J520" s="181"/>
      <c r="K520" s="500"/>
      <c r="L520" s="181"/>
      <c r="M520" s="492"/>
      <c r="N520" s="254"/>
      <c r="O520" s="492"/>
      <c r="P520" s="254"/>
      <c r="Q520" s="492"/>
      <c r="R520" s="254"/>
      <c r="S520" s="528"/>
      <c r="T520" s="528"/>
      <c r="U520" s="492"/>
      <c r="V520" s="254"/>
      <c r="W520" s="492"/>
      <c r="X520" s="254"/>
      <c r="Y520" s="9"/>
      <c r="Z520" s="9"/>
      <c r="AA520" s="9"/>
      <c r="AB520" s="9"/>
      <c r="AC520" s="9"/>
      <c r="AD520" s="9"/>
      <c r="AE520" s="9"/>
      <c r="AF520" s="9"/>
      <c r="AG520" s="9"/>
      <c r="AH520" s="9"/>
      <c r="AI520" s="9"/>
      <c r="AJ520" s="9"/>
      <c r="AK520" s="9"/>
      <c r="AL520" s="9"/>
      <c r="AM520" s="9"/>
      <c r="AN520" s="9"/>
      <c r="AO520" s="9"/>
      <c r="AP520" s="9"/>
      <c r="AQ520" s="9"/>
      <c r="AR520" s="9"/>
      <c r="AS520" s="9"/>
      <c r="AT520" s="9"/>
    </row>
    <row r="521">
      <c r="A521" s="492"/>
      <c r="B521" s="254"/>
      <c r="C521" s="492"/>
      <c r="D521" s="254"/>
      <c r="E521" s="492"/>
      <c r="F521" s="254"/>
      <c r="G521" s="492"/>
      <c r="H521" s="254"/>
      <c r="I521" s="500"/>
      <c r="J521" s="181"/>
      <c r="K521" s="500"/>
      <c r="L521" s="181"/>
      <c r="M521" s="492"/>
      <c r="N521" s="254"/>
      <c r="O521" s="492"/>
      <c r="P521" s="254"/>
      <c r="Q521" s="492"/>
      <c r="R521" s="254"/>
      <c r="S521" s="528"/>
      <c r="T521" s="528"/>
      <c r="U521" s="492"/>
      <c r="V521" s="254"/>
      <c r="W521" s="492"/>
      <c r="X521" s="254"/>
      <c r="Y521" s="9"/>
      <c r="Z521" s="9"/>
      <c r="AA521" s="9"/>
      <c r="AB521" s="9"/>
      <c r="AC521" s="9"/>
      <c r="AD521" s="9"/>
      <c r="AE521" s="9"/>
      <c r="AF521" s="9"/>
      <c r="AG521" s="9"/>
      <c r="AH521" s="9"/>
      <c r="AI521" s="9"/>
      <c r="AJ521" s="9"/>
      <c r="AK521" s="9"/>
      <c r="AL521" s="9"/>
      <c r="AM521" s="9"/>
      <c r="AN521" s="9"/>
      <c r="AO521" s="9"/>
      <c r="AP521" s="9"/>
      <c r="AQ521" s="9"/>
      <c r="AR521" s="9"/>
      <c r="AS521" s="9"/>
      <c r="AT521" s="9"/>
    </row>
    <row r="522">
      <c r="A522" s="492"/>
      <c r="B522" s="254"/>
      <c r="C522" s="492"/>
      <c r="D522" s="254"/>
      <c r="E522" s="492"/>
      <c r="F522" s="254"/>
      <c r="G522" s="492"/>
      <c r="H522" s="254"/>
      <c r="I522" s="500"/>
      <c r="J522" s="181"/>
      <c r="K522" s="500"/>
      <c r="L522" s="181"/>
      <c r="M522" s="492"/>
      <c r="N522" s="254"/>
      <c r="O522" s="492"/>
      <c r="P522" s="254"/>
      <c r="Q522" s="492"/>
      <c r="R522" s="254"/>
      <c r="S522" s="528"/>
      <c r="T522" s="528"/>
      <c r="U522" s="492"/>
      <c r="V522" s="254"/>
      <c r="W522" s="492"/>
      <c r="X522" s="254"/>
      <c r="Y522" s="9"/>
      <c r="Z522" s="9"/>
      <c r="AA522" s="9"/>
      <c r="AB522" s="9"/>
      <c r="AC522" s="9"/>
      <c r="AD522" s="9"/>
      <c r="AE522" s="9"/>
      <c r="AF522" s="9"/>
      <c r="AG522" s="9"/>
      <c r="AH522" s="9"/>
      <c r="AI522" s="9"/>
      <c r="AJ522" s="9"/>
      <c r="AK522" s="9"/>
      <c r="AL522" s="9"/>
      <c r="AM522" s="9"/>
      <c r="AN522" s="9"/>
      <c r="AO522" s="9"/>
      <c r="AP522" s="9"/>
      <c r="AQ522" s="9"/>
      <c r="AR522" s="9"/>
      <c r="AS522" s="9"/>
      <c r="AT522" s="9"/>
    </row>
    <row r="523">
      <c r="A523" s="492"/>
      <c r="B523" s="254"/>
      <c r="C523" s="492"/>
      <c r="D523" s="254"/>
      <c r="E523" s="492"/>
      <c r="F523" s="254"/>
      <c r="G523" s="492"/>
      <c r="H523" s="254"/>
      <c r="I523" s="500"/>
      <c r="J523" s="181"/>
      <c r="K523" s="500"/>
      <c r="L523" s="181"/>
      <c r="M523" s="492"/>
      <c r="N523" s="254"/>
      <c r="O523" s="492"/>
      <c r="P523" s="254"/>
      <c r="Q523" s="492"/>
      <c r="R523" s="254"/>
      <c r="S523" s="528"/>
      <c r="T523" s="528"/>
      <c r="U523" s="492"/>
      <c r="V523" s="254"/>
      <c r="W523" s="492"/>
      <c r="X523" s="254"/>
      <c r="Y523" s="9"/>
      <c r="Z523" s="9"/>
      <c r="AA523" s="9"/>
      <c r="AB523" s="9"/>
      <c r="AC523" s="9"/>
      <c r="AD523" s="9"/>
      <c r="AE523" s="9"/>
      <c r="AF523" s="9"/>
      <c r="AG523" s="9"/>
      <c r="AH523" s="9"/>
      <c r="AI523" s="9"/>
      <c r="AJ523" s="9"/>
      <c r="AK523" s="9"/>
      <c r="AL523" s="9"/>
      <c r="AM523" s="9"/>
      <c r="AN523" s="9"/>
      <c r="AO523" s="9"/>
      <c r="AP523" s="9"/>
      <c r="AQ523" s="9"/>
      <c r="AR523" s="9"/>
      <c r="AS523" s="9"/>
      <c r="AT523" s="9"/>
    </row>
    <row r="524">
      <c r="A524" s="492"/>
      <c r="B524" s="254"/>
      <c r="C524" s="492"/>
      <c r="D524" s="254"/>
      <c r="E524" s="492"/>
      <c r="F524" s="254"/>
      <c r="G524" s="492"/>
      <c r="H524" s="254"/>
      <c r="I524" s="500"/>
      <c r="J524" s="181"/>
      <c r="K524" s="500"/>
      <c r="L524" s="181"/>
      <c r="M524" s="492"/>
      <c r="N524" s="254"/>
      <c r="O524" s="492"/>
      <c r="P524" s="254"/>
      <c r="Q524" s="492"/>
      <c r="R524" s="254"/>
      <c r="S524" s="528"/>
      <c r="T524" s="528"/>
      <c r="U524" s="492"/>
      <c r="V524" s="254"/>
      <c r="W524" s="492"/>
      <c r="X524" s="254"/>
      <c r="Y524" s="9"/>
      <c r="Z524" s="9"/>
      <c r="AA524" s="9"/>
      <c r="AB524" s="9"/>
      <c r="AC524" s="9"/>
      <c r="AD524" s="9"/>
      <c r="AE524" s="9"/>
      <c r="AF524" s="9"/>
      <c r="AG524" s="9"/>
      <c r="AH524" s="9"/>
      <c r="AI524" s="9"/>
      <c r="AJ524" s="9"/>
      <c r="AK524" s="9"/>
      <c r="AL524" s="9"/>
      <c r="AM524" s="9"/>
      <c r="AN524" s="9"/>
      <c r="AO524" s="9"/>
      <c r="AP524" s="9"/>
      <c r="AQ524" s="9"/>
      <c r="AR524" s="9"/>
      <c r="AS524" s="9"/>
      <c r="AT524" s="9"/>
    </row>
    <row r="525">
      <c r="A525" s="492"/>
      <c r="B525" s="254"/>
      <c r="C525" s="492"/>
      <c r="D525" s="254"/>
      <c r="E525" s="492"/>
      <c r="F525" s="254"/>
      <c r="G525" s="492"/>
      <c r="H525" s="254"/>
      <c r="I525" s="500"/>
      <c r="J525" s="181"/>
      <c r="K525" s="500"/>
      <c r="L525" s="181"/>
      <c r="M525" s="492"/>
      <c r="N525" s="254"/>
      <c r="O525" s="492"/>
      <c r="P525" s="254"/>
      <c r="Q525" s="492"/>
      <c r="R525" s="254"/>
      <c r="S525" s="528"/>
      <c r="T525" s="528"/>
      <c r="U525" s="492"/>
      <c r="V525" s="254"/>
      <c r="W525" s="492"/>
      <c r="X525" s="254"/>
      <c r="Y525" s="9"/>
      <c r="Z525" s="9"/>
      <c r="AA525" s="9"/>
      <c r="AB525" s="9"/>
      <c r="AC525" s="9"/>
      <c r="AD525" s="9"/>
      <c r="AE525" s="9"/>
      <c r="AF525" s="9"/>
      <c r="AG525" s="9"/>
      <c r="AH525" s="9"/>
      <c r="AI525" s="9"/>
      <c r="AJ525" s="9"/>
      <c r="AK525" s="9"/>
      <c r="AL525" s="9"/>
      <c r="AM525" s="9"/>
      <c r="AN525" s="9"/>
      <c r="AO525" s="9"/>
      <c r="AP525" s="9"/>
      <c r="AQ525" s="9"/>
      <c r="AR525" s="9"/>
      <c r="AS525" s="9"/>
      <c r="AT525" s="9"/>
    </row>
    <row r="526">
      <c r="A526" s="492"/>
      <c r="B526" s="254"/>
      <c r="C526" s="492"/>
      <c r="D526" s="254"/>
      <c r="E526" s="492"/>
      <c r="F526" s="254"/>
      <c r="G526" s="492"/>
      <c r="H526" s="254"/>
      <c r="I526" s="500"/>
      <c r="J526" s="181"/>
      <c r="K526" s="500"/>
      <c r="L526" s="181"/>
      <c r="M526" s="492"/>
      <c r="N526" s="254"/>
      <c r="O526" s="492"/>
      <c r="P526" s="254"/>
      <c r="Q526" s="492"/>
      <c r="R526" s="254"/>
      <c r="S526" s="528"/>
      <c r="T526" s="528"/>
      <c r="U526" s="492"/>
      <c r="V526" s="254"/>
      <c r="W526" s="492"/>
      <c r="X526" s="254"/>
      <c r="Y526" s="9"/>
      <c r="Z526" s="9"/>
      <c r="AA526" s="9"/>
      <c r="AB526" s="9"/>
      <c r="AC526" s="9"/>
      <c r="AD526" s="9"/>
      <c r="AE526" s="9"/>
      <c r="AF526" s="9"/>
      <c r="AG526" s="9"/>
      <c r="AH526" s="9"/>
      <c r="AI526" s="9"/>
      <c r="AJ526" s="9"/>
      <c r="AK526" s="9"/>
      <c r="AL526" s="9"/>
      <c r="AM526" s="9"/>
      <c r="AN526" s="9"/>
      <c r="AO526" s="9"/>
      <c r="AP526" s="9"/>
      <c r="AQ526" s="9"/>
      <c r="AR526" s="9"/>
      <c r="AS526" s="9"/>
      <c r="AT526" s="9"/>
    </row>
    <row r="527">
      <c r="A527" s="492"/>
      <c r="B527" s="254"/>
      <c r="C527" s="492"/>
      <c r="D527" s="254"/>
      <c r="E527" s="492"/>
      <c r="F527" s="254"/>
      <c r="G527" s="492"/>
      <c r="H527" s="254"/>
      <c r="I527" s="500"/>
      <c r="J527" s="181"/>
      <c r="K527" s="500"/>
      <c r="L527" s="181"/>
      <c r="M527" s="492"/>
      <c r="N527" s="254"/>
      <c r="O527" s="492"/>
      <c r="P527" s="254"/>
      <c r="Q527" s="492"/>
      <c r="R527" s="254"/>
      <c r="S527" s="528"/>
      <c r="T527" s="528"/>
      <c r="U527" s="492"/>
      <c r="V527" s="254"/>
      <c r="W527" s="492"/>
      <c r="X527" s="254"/>
      <c r="Y527" s="9"/>
      <c r="Z527" s="9"/>
      <c r="AA527" s="9"/>
      <c r="AB527" s="9"/>
      <c r="AC527" s="9"/>
      <c r="AD527" s="9"/>
      <c r="AE527" s="9"/>
      <c r="AF527" s="9"/>
      <c r="AG527" s="9"/>
      <c r="AH527" s="9"/>
      <c r="AI527" s="9"/>
      <c r="AJ527" s="9"/>
      <c r="AK527" s="9"/>
      <c r="AL527" s="9"/>
      <c r="AM527" s="9"/>
      <c r="AN527" s="9"/>
      <c r="AO527" s="9"/>
      <c r="AP527" s="9"/>
      <c r="AQ527" s="9"/>
      <c r="AR527" s="9"/>
      <c r="AS527" s="9"/>
      <c r="AT527" s="9"/>
    </row>
    <row r="528">
      <c r="A528" s="492"/>
      <c r="B528" s="254"/>
      <c r="C528" s="492"/>
      <c r="D528" s="254"/>
      <c r="E528" s="492"/>
      <c r="F528" s="254"/>
      <c r="G528" s="492"/>
      <c r="H528" s="254"/>
      <c r="I528" s="500"/>
      <c r="J528" s="181"/>
      <c r="K528" s="500"/>
      <c r="L528" s="181"/>
      <c r="M528" s="492"/>
      <c r="N528" s="254"/>
      <c r="O528" s="492"/>
      <c r="P528" s="254"/>
      <c r="Q528" s="492"/>
      <c r="R528" s="254"/>
      <c r="S528" s="528"/>
      <c r="T528" s="528"/>
      <c r="U528" s="492"/>
      <c r="V528" s="254"/>
      <c r="W528" s="492"/>
      <c r="X528" s="254"/>
      <c r="Y528" s="9"/>
      <c r="Z528" s="9"/>
      <c r="AA528" s="9"/>
      <c r="AB528" s="9"/>
      <c r="AC528" s="9"/>
      <c r="AD528" s="9"/>
      <c r="AE528" s="9"/>
      <c r="AF528" s="9"/>
      <c r="AG528" s="9"/>
      <c r="AH528" s="9"/>
      <c r="AI528" s="9"/>
      <c r="AJ528" s="9"/>
      <c r="AK528" s="9"/>
      <c r="AL528" s="9"/>
      <c r="AM528" s="9"/>
      <c r="AN528" s="9"/>
      <c r="AO528" s="9"/>
      <c r="AP528" s="9"/>
      <c r="AQ528" s="9"/>
      <c r="AR528" s="9"/>
      <c r="AS528" s="9"/>
      <c r="AT528" s="9"/>
    </row>
    <row r="529">
      <c r="A529" s="492"/>
      <c r="B529" s="254"/>
      <c r="C529" s="492"/>
      <c r="D529" s="254"/>
      <c r="E529" s="492"/>
      <c r="F529" s="254"/>
      <c r="G529" s="492"/>
      <c r="H529" s="254"/>
      <c r="I529" s="500"/>
      <c r="J529" s="181"/>
      <c r="K529" s="500"/>
      <c r="L529" s="181"/>
      <c r="M529" s="492"/>
      <c r="N529" s="254"/>
      <c r="O529" s="492"/>
      <c r="P529" s="254"/>
      <c r="Q529" s="492"/>
      <c r="R529" s="254"/>
      <c r="S529" s="528"/>
      <c r="T529" s="528"/>
      <c r="U529" s="492"/>
      <c r="V529" s="254"/>
      <c r="W529" s="492"/>
      <c r="X529" s="254"/>
      <c r="Y529" s="9"/>
      <c r="Z529" s="9"/>
      <c r="AA529" s="9"/>
      <c r="AB529" s="9"/>
      <c r="AC529" s="9"/>
      <c r="AD529" s="9"/>
      <c r="AE529" s="9"/>
      <c r="AF529" s="9"/>
      <c r="AG529" s="9"/>
      <c r="AH529" s="9"/>
      <c r="AI529" s="9"/>
      <c r="AJ529" s="9"/>
      <c r="AK529" s="9"/>
      <c r="AL529" s="9"/>
      <c r="AM529" s="9"/>
      <c r="AN529" s="9"/>
      <c r="AO529" s="9"/>
      <c r="AP529" s="9"/>
      <c r="AQ529" s="9"/>
      <c r="AR529" s="9"/>
      <c r="AS529" s="9"/>
      <c r="AT529" s="9"/>
    </row>
    <row r="530">
      <c r="A530" s="492"/>
      <c r="B530" s="254"/>
      <c r="C530" s="492"/>
      <c r="D530" s="254"/>
      <c r="E530" s="492"/>
      <c r="F530" s="254"/>
      <c r="G530" s="492"/>
      <c r="H530" s="254"/>
      <c r="I530" s="500"/>
      <c r="J530" s="181"/>
      <c r="K530" s="500"/>
      <c r="L530" s="181"/>
      <c r="M530" s="492"/>
      <c r="N530" s="254"/>
      <c r="O530" s="492"/>
      <c r="P530" s="254"/>
      <c r="Q530" s="492"/>
      <c r="R530" s="254"/>
      <c r="S530" s="528"/>
      <c r="T530" s="528"/>
      <c r="U530" s="492"/>
      <c r="V530" s="254"/>
      <c r="W530" s="492"/>
      <c r="X530" s="254"/>
      <c r="Y530" s="9"/>
      <c r="Z530" s="9"/>
      <c r="AA530" s="9"/>
      <c r="AB530" s="9"/>
      <c r="AC530" s="9"/>
      <c r="AD530" s="9"/>
      <c r="AE530" s="9"/>
      <c r="AF530" s="9"/>
      <c r="AG530" s="9"/>
      <c r="AH530" s="9"/>
      <c r="AI530" s="9"/>
      <c r="AJ530" s="9"/>
      <c r="AK530" s="9"/>
      <c r="AL530" s="9"/>
      <c r="AM530" s="9"/>
      <c r="AN530" s="9"/>
      <c r="AO530" s="9"/>
      <c r="AP530" s="9"/>
      <c r="AQ530" s="9"/>
      <c r="AR530" s="9"/>
      <c r="AS530" s="9"/>
      <c r="AT530" s="9"/>
    </row>
    <row r="531">
      <c r="A531" s="492"/>
      <c r="B531" s="254"/>
      <c r="C531" s="492"/>
      <c r="D531" s="254"/>
      <c r="E531" s="492"/>
      <c r="F531" s="254"/>
      <c r="G531" s="492"/>
      <c r="H531" s="254"/>
      <c r="I531" s="500"/>
      <c r="J531" s="181"/>
      <c r="K531" s="500"/>
      <c r="L531" s="181"/>
      <c r="M531" s="492"/>
      <c r="N531" s="254"/>
      <c r="O531" s="492"/>
      <c r="P531" s="254"/>
      <c r="Q531" s="492"/>
      <c r="R531" s="254"/>
      <c r="S531" s="528"/>
      <c r="T531" s="528"/>
      <c r="U531" s="492"/>
      <c r="V531" s="254"/>
      <c r="W531" s="492"/>
      <c r="X531" s="254"/>
      <c r="Y531" s="9"/>
      <c r="Z531" s="9"/>
      <c r="AA531" s="9"/>
      <c r="AB531" s="9"/>
      <c r="AC531" s="9"/>
      <c r="AD531" s="9"/>
      <c r="AE531" s="9"/>
      <c r="AF531" s="9"/>
      <c r="AG531" s="9"/>
      <c r="AH531" s="9"/>
      <c r="AI531" s="9"/>
      <c r="AJ531" s="9"/>
      <c r="AK531" s="9"/>
      <c r="AL531" s="9"/>
      <c r="AM531" s="9"/>
      <c r="AN531" s="9"/>
      <c r="AO531" s="9"/>
      <c r="AP531" s="9"/>
      <c r="AQ531" s="9"/>
      <c r="AR531" s="9"/>
      <c r="AS531" s="9"/>
      <c r="AT531" s="9"/>
    </row>
    <row r="532">
      <c r="A532" s="492"/>
      <c r="B532" s="254"/>
      <c r="C532" s="492"/>
      <c r="D532" s="254"/>
      <c r="E532" s="492"/>
      <c r="F532" s="254"/>
      <c r="G532" s="492"/>
      <c r="H532" s="254"/>
      <c r="I532" s="500"/>
      <c r="J532" s="181"/>
      <c r="K532" s="500"/>
      <c r="L532" s="181"/>
      <c r="M532" s="492"/>
      <c r="N532" s="254"/>
      <c r="O532" s="492"/>
      <c r="P532" s="254"/>
      <c r="Q532" s="492"/>
      <c r="R532" s="254"/>
      <c r="S532" s="528"/>
      <c r="T532" s="528"/>
      <c r="U532" s="492"/>
      <c r="V532" s="254"/>
      <c r="W532" s="492"/>
      <c r="X532" s="254"/>
      <c r="Y532" s="9"/>
      <c r="Z532" s="9"/>
      <c r="AA532" s="9"/>
      <c r="AB532" s="9"/>
      <c r="AC532" s="9"/>
      <c r="AD532" s="9"/>
      <c r="AE532" s="9"/>
      <c r="AF532" s="9"/>
      <c r="AG532" s="9"/>
      <c r="AH532" s="9"/>
      <c r="AI532" s="9"/>
      <c r="AJ532" s="9"/>
      <c r="AK532" s="9"/>
      <c r="AL532" s="9"/>
      <c r="AM532" s="9"/>
      <c r="AN532" s="9"/>
      <c r="AO532" s="9"/>
      <c r="AP532" s="9"/>
      <c r="AQ532" s="9"/>
      <c r="AR532" s="9"/>
      <c r="AS532" s="9"/>
      <c r="AT532" s="9"/>
    </row>
    <row r="533">
      <c r="A533" s="492"/>
      <c r="B533" s="254"/>
      <c r="C533" s="492"/>
      <c r="D533" s="254"/>
      <c r="E533" s="492"/>
      <c r="F533" s="254"/>
      <c r="G533" s="492"/>
      <c r="H533" s="254"/>
      <c r="I533" s="500"/>
      <c r="J533" s="181"/>
      <c r="K533" s="500"/>
      <c r="L533" s="181"/>
      <c r="M533" s="492"/>
      <c r="N533" s="254"/>
      <c r="O533" s="492"/>
      <c r="P533" s="254"/>
      <c r="Q533" s="492"/>
      <c r="R533" s="254"/>
      <c r="S533" s="528"/>
      <c r="T533" s="528"/>
      <c r="U533" s="492"/>
      <c r="V533" s="254"/>
      <c r="W533" s="492"/>
      <c r="X533" s="254"/>
      <c r="Y533" s="9"/>
      <c r="Z533" s="9"/>
      <c r="AA533" s="9"/>
      <c r="AB533" s="9"/>
      <c r="AC533" s="9"/>
      <c r="AD533" s="9"/>
      <c r="AE533" s="9"/>
      <c r="AF533" s="9"/>
      <c r="AG533" s="9"/>
      <c r="AH533" s="9"/>
      <c r="AI533" s="9"/>
      <c r="AJ533" s="9"/>
      <c r="AK533" s="9"/>
      <c r="AL533" s="9"/>
      <c r="AM533" s="9"/>
      <c r="AN533" s="9"/>
      <c r="AO533" s="9"/>
      <c r="AP533" s="9"/>
      <c r="AQ533" s="9"/>
      <c r="AR533" s="9"/>
      <c r="AS533" s="9"/>
      <c r="AT533" s="9"/>
    </row>
    <row r="534">
      <c r="A534" s="492"/>
      <c r="B534" s="254"/>
      <c r="C534" s="492"/>
      <c r="D534" s="254"/>
      <c r="E534" s="492"/>
      <c r="F534" s="254"/>
      <c r="G534" s="492"/>
      <c r="H534" s="254"/>
      <c r="I534" s="500"/>
      <c r="J534" s="181"/>
      <c r="K534" s="500"/>
      <c r="L534" s="181"/>
      <c r="M534" s="492"/>
      <c r="N534" s="254"/>
      <c r="O534" s="492"/>
      <c r="P534" s="254"/>
      <c r="Q534" s="492"/>
      <c r="R534" s="254"/>
      <c r="S534" s="528"/>
      <c r="T534" s="528"/>
      <c r="U534" s="492"/>
      <c r="V534" s="254"/>
      <c r="W534" s="492"/>
      <c r="X534" s="254"/>
      <c r="Y534" s="9"/>
      <c r="Z534" s="9"/>
      <c r="AA534" s="9"/>
      <c r="AB534" s="9"/>
      <c r="AC534" s="9"/>
      <c r="AD534" s="9"/>
      <c r="AE534" s="9"/>
      <c r="AF534" s="9"/>
      <c r="AG534" s="9"/>
      <c r="AH534" s="9"/>
      <c r="AI534" s="9"/>
      <c r="AJ534" s="9"/>
      <c r="AK534" s="9"/>
      <c r="AL534" s="9"/>
      <c r="AM534" s="9"/>
      <c r="AN534" s="9"/>
      <c r="AO534" s="9"/>
      <c r="AP534" s="9"/>
      <c r="AQ534" s="9"/>
      <c r="AR534" s="9"/>
      <c r="AS534" s="9"/>
      <c r="AT534" s="9"/>
    </row>
    <row r="535">
      <c r="A535" s="492"/>
      <c r="B535" s="254"/>
      <c r="C535" s="492"/>
      <c r="D535" s="254"/>
      <c r="E535" s="492"/>
      <c r="F535" s="254"/>
      <c r="G535" s="492"/>
      <c r="H535" s="254"/>
      <c r="I535" s="500"/>
      <c r="J535" s="181"/>
      <c r="K535" s="500"/>
      <c r="L535" s="181"/>
      <c r="M535" s="492"/>
      <c r="N535" s="254"/>
      <c r="O535" s="492"/>
      <c r="P535" s="254"/>
      <c r="Q535" s="492"/>
      <c r="R535" s="254"/>
      <c r="S535" s="528"/>
      <c r="T535" s="528"/>
      <c r="U535" s="492"/>
      <c r="V535" s="254"/>
      <c r="W535" s="492"/>
      <c r="X535" s="254"/>
      <c r="Y535" s="9"/>
      <c r="Z535" s="9"/>
      <c r="AA535" s="9"/>
      <c r="AB535" s="9"/>
      <c r="AC535" s="9"/>
      <c r="AD535" s="9"/>
      <c r="AE535" s="9"/>
      <c r="AF535" s="9"/>
      <c r="AG535" s="9"/>
      <c r="AH535" s="9"/>
      <c r="AI535" s="9"/>
      <c r="AJ535" s="9"/>
      <c r="AK535" s="9"/>
      <c r="AL535" s="9"/>
      <c r="AM535" s="9"/>
      <c r="AN535" s="9"/>
      <c r="AO535" s="9"/>
      <c r="AP535" s="9"/>
      <c r="AQ535" s="9"/>
      <c r="AR535" s="9"/>
      <c r="AS535" s="9"/>
      <c r="AT535" s="9"/>
    </row>
    <row r="536">
      <c r="A536" s="492"/>
      <c r="B536" s="254"/>
      <c r="C536" s="492"/>
      <c r="D536" s="254"/>
      <c r="E536" s="492"/>
      <c r="F536" s="254"/>
      <c r="G536" s="492"/>
      <c r="H536" s="254"/>
      <c r="I536" s="500"/>
      <c r="J536" s="181"/>
      <c r="K536" s="500"/>
      <c r="L536" s="181"/>
      <c r="M536" s="492"/>
      <c r="N536" s="254"/>
      <c r="O536" s="492"/>
      <c r="P536" s="254"/>
      <c r="Q536" s="492"/>
      <c r="R536" s="254"/>
      <c r="S536" s="528"/>
      <c r="T536" s="528"/>
      <c r="U536" s="492"/>
      <c r="V536" s="254"/>
      <c r="W536" s="492"/>
      <c r="X536" s="254"/>
      <c r="Y536" s="9"/>
      <c r="Z536" s="9"/>
      <c r="AA536" s="9"/>
      <c r="AB536" s="9"/>
      <c r="AC536" s="9"/>
      <c r="AD536" s="9"/>
      <c r="AE536" s="9"/>
      <c r="AF536" s="9"/>
      <c r="AG536" s="9"/>
      <c r="AH536" s="9"/>
      <c r="AI536" s="9"/>
      <c r="AJ536" s="9"/>
      <c r="AK536" s="9"/>
      <c r="AL536" s="9"/>
      <c r="AM536" s="9"/>
      <c r="AN536" s="9"/>
      <c r="AO536" s="9"/>
      <c r="AP536" s="9"/>
      <c r="AQ536" s="9"/>
      <c r="AR536" s="9"/>
      <c r="AS536" s="9"/>
      <c r="AT536" s="9"/>
    </row>
    <row r="537">
      <c r="A537" s="492"/>
      <c r="B537" s="254"/>
      <c r="C537" s="492"/>
      <c r="D537" s="254"/>
      <c r="E537" s="492"/>
      <c r="F537" s="254"/>
      <c r="G537" s="492"/>
      <c r="H537" s="254"/>
      <c r="I537" s="500"/>
      <c r="J537" s="181"/>
      <c r="K537" s="500"/>
      <c r="L537" s="181"/>
      <c r="M537" s="492"/>
      <c r="N537" s="254"/>
      <c r="O537" s="492"/>
      <c r="P537" s="254"/>
      <c r="Q537" s="492"/>
      <c r="R537" s="254"/>
      <c r="S537" s="528"/>
      <c r="T537" s="528"/>
      <c r="U537" s="492"/>
      <c r="V537" s="254"/>
      <c r="W537" s="492"/>
      <c r="X537" s="254"/>
      <c r="Y537" s="9"/>
      <c r="Z537" s="9"/>
      <c r="AA537" s="9"/>
      <c r="AB537" s="9"/>
      <c r="AC537" s="9"/>
      <c r="AD537" s="9"/>
      <c r="AE537" s="9"/>
      <c r="AF537" s="9"/>
      <c r="AG537" s="9"/>
      <c r="AH537" s="9"/>
      <c r="AI537" s="9"/>
      <c r="AJ537" s="9"/>
      <c r="AK537" s="9"/>
      <c r="AL537" s="9"/>
      <c r="AM537" s="9"/>
      <c r="AN537" s="9"/>
      <c r="AO537" s="9"/>
      <c r="AP537" s="9"/>
      <c r="AQ537" s="9"/>
      <c r="AR537" s="9"/>
      <c r="AS537" s="9"/>
      <c r="AT537" s="9"/>
    </row>
    <row r="538">
      <c r="A538" s="492"/>
      <c r="B538" s="254"/>
      <c r="C538" s="492"/>
      <c r="D538" s="254"/>
      <c r="E538" s="492"/>
      <c r="F538" s="254"/>
      <c r="G538" s="492"/>
      <c r="H538" s="254"/>
      <c r="I538" s="500"/>
      <c r="J538" s="181"/>
      <c r="K538" s="500"/>
      <c r="L538" s="181"/>
      <c r="M538" s="492"/>
      <c r="N538" s="254"/>
      <c r="O538" s="492"/>
      <c r="P538" s="254"/>
      <c r="Q538" s="492"/>
      <c r="R538" s="254"/>
      <c r="S538" s="528"/>
      <c r="T538" s="528"/>
      <c r="U538" s="492"/>
      <c r="V538" s="254"/>
      <c r="W538" s="492"/>
      <c r="X538" s="254"/>
      <c r="Y538" s="9"/>
      <c r="Z538" s="9"/>
      <c r="AA538" s="9"/>
      <c r="AB538" s="9"/>
      <c r="AC538" s="9"/>
      <c r="AD538" s="9"/>
      <c r="AE538" s="9"/>
      <c r="AF538" s="9"/>
      <c r="AG538" s="9"/>
      <c r="AH538" s="9"/>
      <c r="AI538" s="9"/>
      <c r="AJ538" s="9"/>
      <c r="AK538" s="9"/>
      <c r="AL538" s="9"/>
      <c r="AM538" s="9"/>
      <c r="AN538" s="9"/>
      <c r="AO538" s="9"/>
      <c r="AP538" s="9"/>
      <c r="AQ538" s="9"/>
      <c r="AR538" s="9"/>
      <c r="AS538" s="9"/>
      <c r="AT538" s="9"/>
    </row>
    <row r="539">
      <c r="A539" s="492"/>
      <c r="B539" s="254"/>
      <c r="C539" s="492"/>
      <c r="D539" s="254"/>
      <c r="E539" s="492"/>
      <c r="F539" s="254"/>
      <c r="G539" s="492"/>
      <c r="H539" s="254"/>
      <c r="I539" s="500"/>
      <c r="J539" s="181"/>
      <c r="K539" s="500"/>
      <c r="L539" s="181"/>
      <c r="M539" s="492"/>
      <c r="N539" s="254"/>
      <c r="O539" s="492"/>
      <c r="P539" s="254"/>
      <c r="Q539" s="492"/>
      <c r="R539" s="254"/>
      <c r="S539" s="528"/>
      <c r="T539" s="528"/>
      <c r="U539" s="492"/>
      <c r="V539" s="254"/>
      <c r="W539" s="492"/>
      <c r="X539" s="254"/>
      <c r="Y539" s="9"/>
      <c r="Z539" s="9"/>
      <c r="AA539" s="9"/>
      <c r="AB539" s="9"/>
      <c r="AC539" s="9"/>
      <c r="AD539" s="9"/>
      <c r="AE539" s="9"/>
      <c r="AF539" s="9"/>
      <c r="AG539" s="9"/>
      <c r="AH539" s="9"/>
      <c r="AI539" s="9"/>
      <c r="AJ539" s="9"/>
      <c r="AK539" s="9"/>
      <c r="AL539" s="9"/>
      <c r="AM539" s="9"/>
      <c r="AN539" s="9"/>
      <c r="AO539" s="9"/>
      <c r="AP539" s="9"/>
      <c r="AQ539" s="9"/>
      <c r="AR539" s="9"/>
      <c r="AS539" s="9"/>
      <c r="AT539" s="9"/>
    </row>
    <row r="540">
      <c r="A540" s="492"/>
      <c r="B540" s="254"/>
      <c r="C540" s="492"/>
      <c r="D540" s="254"/>
      <c r="E540" s="492"/>
      <c r="F540" s="254"/>
      <c r="G540" s="492"/>
      <c r="H540" s="254"/>
      <c r="I540" s="500"/>
      <c r="J540" s="181"/>
      <c r="K540" s="500"/>
      <c r="L540" s="181"/>
      <c r="M540" s="492"/>
      <c r="N540" s="254"/>
      <c r="O540" s="492"/>
      <c r="P540" s="254"/>
      <c r="Q540" s="492"/>
      <c r="R540" s="254"/>
      <c r="S540" s="528"/>
      <c r="T540" s="528"/>
      <c r="U540" s="492"/>
      <c r="V540" s="254"/>
      <c r="W540" s="492"/>
      <c r="X540" s="254"/>
      <c r="Y540" s="9"/>
      <c r="Z540" s="9"/>
      <c r="AA540" s="9"/>
      <c r="AB540" s="9"/>
      <c r="AC540" s="9"/>
      <c r="AD540" s="9"/>
      <c r="AE540" s="9"/>
      <c r="AF540" s="9"/>
      <c r="AG540" s="9"/>
      <c r="AH540" s="9"/>
      <c r="AI540" s="9"/>
      <c r="AJ540" s="9"/>
      <c r="AK540" s="9"/>
      <c r="AL540" s="9"/>
      <c r="AM540" s="9"/>
      <c r="AN540" s="9"/>
      <c r="AO540" s="9"/>
      <c r="AP540" s="9"/>
      <c r="AQ540" s="9"/>
      <c r="AR540" s="9"/>
      <c r="AS540" s="9"/>
      <c r="AT540" s="9"/>
    </row>
    <row r="541">
      <c r="A541" s="492"/>
      <c r="B541" s="254"/>
      <c r="C541" s="492"/>
      <c r="D541" s="254"/>
      <c r="E541" s="492"/>
      <c r="F541" s="254"/>
      <c r="G541" s="492"/>
      <c r="H541" s="254"/>
      <c r="I541" s="500"/>
      <c r="J541" s="181"/>
      <c r="K541" s="500"/>
      <c r="L541" s="181"/>
      <c r="M541" s="492"/>
      <c r="N541" s="254"/>
      <c r="O541" s="492"/>
      <c r="P541" s="254"/>
      <c r="Q541" s="492"/>
      <c r="R541" s="254"/>
      <c r="S541" s="528"/>
      <c r="T541" s="528"/>
      <c r="U541" s="492"/>
      <c r="V541" s="254"/>
      <c r="W541" s="492"/>
      <c r="X541" s="254"/>
      <c r="Y541" s="9"/>
      <c r="Z541" s="9"/>
      <c r="AA541" s="9"/>
      <c r="AB541" s="9"/>
      <c r="AC541" s="9"/>
      <c r="AD541" s="9"/>
      <c r="AE541" s="9"/>
      <c r="AF541" s="9"/>
      <c r="AG541" s="9"/>
      <c r="AH541" s="9"/>
      <c r="AI541" s="9"/>
      <c r="AJ541" s="9"/>
      <c r="AK541" s="9"/>
      <c r="AL541" s="9"/>
      <c r="AM541" s="9"/>
      <c r="AN541" s="9"/>
      <c r="AO541" s="9"/>
      <c r="AP541" s="9"/>
      <c r="AQ541" s="9"/>
      <c r="AR541" s="9"/>
      <c r="AS541" s="9"/>
      <c r="AT541" s="9"/>
    </row>
    <row r="542">
      <c r="A542" s="492"/>
      <c r="B542" s="254"/>
      <c r="C542" s="492"/>
      <c r="D542" s="254"/>
      <c r="E542" s="492"/>
      <c r="F542" s="254"/>
      <c r="G542" s="492"/>
      <c r="H542" s="254"/>
      <c r="I542" s="500"/>
      <c r="J542" s="181"/>
      <c r="K542" s="500"/>
      <c r="L542" s="181"/>
      <c r="M542" s="492"/>
      <c r="N542" s="254"/>
      <c r="O542" s="492"/>
      <c r="P542" s="254"/>
      <c r="Q542" s="492"/>
      <c r="R542" s="254"/>
      <c r="S542" s="528"/>
      <c r="T542" s="528"/>
      <c r="U542" s="492"/>
      <c r="V542" s="254"/>
      <c r="W542" s="492"/>
      <c r="X542" s="254"/>
      <c r="Y542" s="9"/>
      <c r="Z542" s="9"/>
      <c r="AA542" s="9"/>
      <c r="AB542" s="9"/>
      <c r="AC542" s="9"/>
      <c r="AD542" s="9"/>
      <c r="AE542" s="9"/>
      <c r="AF542" s="9"/>
      <c r="AG542" s="9"/>
      <c r="AH542" s="9"/>
      <c r="AI542" s="9"/>
      <c r="AJ542" s="9"/>
      <c r="AK542" s="9"/>
      <c r="AL542" s="9"/>
      <c r="AM542" s="9"/>
      <c r="AN542" s="9"/>
      <c r="AO542" s="9"/>
      <c r="AP542" s="9"/>
      <c r="AQ542" s="9"/>
      <c r="AR542" s="9"/>
      <c r="AS542" s="9"/>
      <c r="AT542" s="9"/>
    </row>
    <row r="543">
      <c r="A543" s="492"/>
      <c r="B543" s="254"/>
      <c r="C543" s="492"/>
      <c r="D543" s="254"/>
      <c r="E543" s="492"/>
      <c r="F543" s="254"/>
      <c r="G543" s="492"/>
      <c r="H543" s="254"/>
      <c r="I543" s="500"/>
      <c r="J543" s="181"/>
      <c r="K543" s="500"/>
      <c r="L543" s="181"/>
      <c r="M543" s="492"/>
      <c r="N543" s="254"/>
      <c r="O543" s="492"/>
      <c r="P543" s="254"/>
      <c r="Q543" s="492"/>
      <c r="R543" s="254"/>
      <c r="S543" s="528"/>
      <c r="T543" s="528"/>
      <c r="U543" s="492"/>
      <c r="V543" s="254"/>
      <c r="W543" s="492"/>
      <c r="X543" s="254"/>
      <c r="Y543" s="9"/>
      <c r="Z543" s="9"/>
      <c r="AA543" s="9"/>
      <c r="AB543" s="9"/>
      <c r="AC543" s="9"/>
      <c r="AD543" s="9"/>
      <c r="AE543" s="9"/>
      <c r="AF543" s="9"/>
      <c r="AG543" s="9"/>
      <c r="AH543" s="9"/>
      <c r="AI543" s="9"/>
      <c r="AJ543" s="9"/>
      <c r="AK543" s="9"/>
      <c r="AL543" s="9"/>
      <c r="AM543" s="9"/>
      <c r="AN543" s="9"/>
      <c r="AO543" s="9"/>
      <c r="AP543" s="9"/>
      <c r="AQ543" s="9"/>
      <c r="AR543" s="9"/>
      <c r="AS543" s="9"/>
      <c r="AT543" s="9"/>
    </row>
    <row r="544">
      <c r="A544" s="492"/>
      <c r="B544" s="254"/>
      <c r="C544" s="492"/>
      <c r="D544" s="254"/>
      <c r="E544" s="492"/>
      <c r="F544" s="254"/>
      <c r="G544" s="492"/>
      <c r="H544" s="254"/>
      <c r="I544" s="500"/>
      <c r="J544" s="181"/>
      <c r="K544" s="500"/>
      <c r="L544" s="181"/>
      <c r="M544" s="492"/>
      <c r="N544" s="254"/>
      <c r="O544" s="492"/>
      <c r="P544" s="254"/>
      <c r="Q544" s="492"/>
      <c r="R544" s="254"/>
      <c r="S544" s="528"/>
      <c r="T544" s="528"/>
      <c r="U544" s="492"/>
      <c r="V544" s="254"/>
      <c r="W544" s="492"/>
      <c r="X544" s="254"/>
      <c r="Y544" s="9"/>
      <c r="Z544" s="9"/>
      <c r="AA544" s="9"/>
      <c r="AB544" s="9"/>
      <c r="AC544" s="9"/>
      <c r="AD544" s="9"/>
      <c r="AE544" s="9"/>
      <c r="AF544" s="9"/>
      <c r="AG544" s="9"/>
      <c r="AH544" s="9"/>
      <c r="AI544" s="9"/>
      <c r="AJ544" s="9"/>
      <c r="AK544" s="9"/>
      <c r="AL544" s="9"/>
      <c r="AM544" s="9"/>
      <c r="AN544" s="9"/>
      <c r="AO544" s="9"/>
      <c r="AP544" s="9"/>
      <c r="AQ544" s="9"/>
      <c r="AR544" s="9"/>
      <c r="AS544" s="9"/>
      <c r="AT544" s="9"/>
    </row>
    <row r="545">
      <c r="A545" s="492"/>
      <c r="B545" s="254"/>
      <c r="C545" s="492"/>
      <c r="D545" s="254"/>
      <c r="E545" s="492"/>
      <c r="F545" s="254"/>
      <c r="G545" s="492"/>
      <c r="H545" s="254"/>
      <c r="I545" s="500"/>
      <c r="J545" s="181"/>
      <c r="K545" s="500"/>
      <c r="L545" s="181"/>
      <c r="M545" s="492"/>
      <c r="N545" s="254"/>
      <c r="O545" s="492"/>
      <c r="P545" s="254"/>
      <c r="Q545" s="492"/>
      <c r="R545" s="254"/>
      <c r="S545" s="528"/>
      <c r="T545" s="528"/>
      <c r="U545" s="492"/>
      <c r="V545" s="254"/>
      <c r="W545" s="492"/>
      <c r="X545" s="254"/>
      <c r="Y545" s="9"/>
      <c r="Z545" s="9"/>
      <c r="AA545" s="9"/>
      <c r="AB545" s="9"/>
      <c r="AC545" s="9"/>
      <c r="AD545" s="9"/>
      <c r="AE545" s="9"/>
      <c r="AF545" s="9"/>
      <c r="AG545" s="9"/>
      <c r="AH545" s="9"/>
      <c r="AI545" s="9"/>
      <c r="AJ545" s="9"/>
      <c r="AK545" s="9"/>
      <c r="AL545" s="9"/>
      <c r="AM545" s="9"/>
      <c r="AN545" s="9"/>
      <c r="AO545" s="9"/>
      <c r="AP545" s="9"/>
      <c r="AQ545" s="9"/>
      <c r="AR545" s="9"/>
      <c r="AS545" s="9"/>
      <c r="AT545" s="9"/>
    </row>
    <row r="546">
      <c r="A546" s="492"/>
      <c r="B546" s="254"/>
      <c r="C546" s="492"/>
      <c r="D546" s="254"/>
      <c r="E546" s="492"/>
      <c r="F546" s="254"/>
      <c r="G546" s="492"/>
      <c r="H546" s="254"/>
      <c r="I546" s="500"/>
      <c r="J546" s="181"/>
      <c r="K546" s="500"/>
      <c r="L546" s="181"/>
      <c r="M546" s="492"/>
      <c r="N546" s="254"/>
      <c r="O546" s="492"/>
      <c r="P546" s="254"/>
      <c r="Q546" s="492"/>
      <c r="R546" s="254"/>
      <c r="S546" s="528"/>
      <c r="T546" s="528"/>
      <c r="U546" s="492"/>
      <c r="V546" s="254"/>
      <c r="W546" s="492"/>
      <c r="X546" s="254"/>
      <c r="Y546" s="9"/>
      <c r="Z546" s="9"/>
      <c r="AA546" s="9"/>
      <c r="AB546" s="9"/>
      <c r="AC546" s="9"/>
      <c r="AD546" s="9"/>
      <c r="AE546" s="9"/>
      <c r="AF546" s="9"/>
      <c r="AG546" s="9"/>
      <c r="AH546" s="9"/>
      <c r="AI546" s="9"/>
      <c r="AJ546" s="9"/>
      <c r="AK546" s="9"/>
      <c r="AL546" s="9"/>
      <c r="AM546" s="9"/>
      <c r="AN546" s="9"/>
      <c r="AO546" s="9"/>
      <c r="AP546" s="9"/>
      <c r="AQ546" s="9"/>
      <c r="AR546" s="9"/>
      <c r="AS546" s="9"/>
      <c r="AT546" s="9"/>
    </row>
    <row r="547">
      <c r="A547" s="492"/>
      <c r="B547" s="254"/>
      <c r="C547" s="492"/>
      <c r="D547" s="254"/>
      <c r="E547" s="492"/>
      <c r="F547" s="254"/>
      <c r="G547" s="492"/>
      <c r="H547" s="254"/>
      <c r="I547" s="500"/>
      <c r="J547" s="181"/>
      <c r="K547" s="500"/>
      <c r="L547" s="181"/>
      <c r="M547" s="492"/>
      <c r="N547" s="254"/>
      <c r="O547" s="492"/>
      <c r="P547" s="254"/>
      <c r="Q547" s="492"/>
      <c r="R547" s="254"/>
      <c r="S547" s="528"/>
      <c r="T547" s="528"/>
      <c r="U547" s="492"/>
      <c r="V547" s="254"/>
      <c r="W547" s="492"/>
      <c r="X547" s="254"/>
      <c r="Y547" s="9"/>
      <c r="Z547" s="9"/>
      <c r="AA547" s="9"/>
      <c r="AB547" s="9"/>
      <c r="AC547" s="9"/>
      <c r="AD547" s="9"/>
      <c r="AE547" s="9"/>
      <c r="AF547" s="9"/>
      <c r="AG547" s="9"/>
      <c r="AH547" s="9"/>
      <c r="AI547" s="9"/>
      <c r="AJ547" s="9"/>
      <c r="AK547" s="9"/>
      <c r="AL547" s="9"/>
      <c r="AM547" s="9"/>
      <c r="AN547" s="9"/>
      <c r="AO547" s="9"/>
      <c r="AP547" s="9"/>
      <c r="AQ547" s="9"/>
      <c r="AR547" s="9"/>
      <c r="AS547" s="9"/>
      <c r="AT547" s="9"/>
    </row>
    <row r="548">
      <c r="A548" s="492"/>
      <c r="B548" s="254"/>
      <c r="C548" s="492"/>
      <c r="D548" s="254"/>
      <c r="E548" s="492"/>
      <c r="F548" s="254"/>
      <c r="G548" s="492"/>
      <c r="H548" s="254"/>
      <c r="I548" s="500"/>
      <c r="J548" s="181"/>
      <c r="K548" s="500"/>
      <c r="L548" s="181"/>
      <c r="M548" s="492"/>
      <c r="N548" s="254"/>
      <c r="O548" s="492"/>
      <c r="P548" s="254"/>
      <c r="Q548" s="492"/>
      <c r="R548" s="254"/>
      <c r="S548" s="528"/>
      <c r="T548" s="528"/>
      <c r="U548" s="492"/>
      <c r="V548" s="254"/>
      <c r="W548" s="492"/>
      <c r="X548" s="254"/>
      <c r="Y548" s="9"/>
      <c r="Z548" s="9"/>
      <c r="AA548" s="9"/>
      <c r="AB548" s="9"/>
      <c r="AC548" s="9"/>
      <c r="AD548" s="9"/>
      <c r="AE548" s="9"/>
      <c r="AF548" s="9"/>
      <c r="AG548" s="9"/>
      <c r="AH548" s="9"/>
      <c r="AI548" s="9"/>
      <c r="AJ548" s="9"/>
      <c r="AK548" s="9"/>
      <c r="AL548" s="9"/>
      <c r="AM548" s="9"/>
      <c r="AN548" s="9"/>
      <c r="AO548" s="9"/>
      <c r="AP548" s="9"/>
      <c r="AQ548" s="9"/>
      <c r="AR548" s="9"/>
      <c r="AS548" s="9"/>
      <c r="AT548" s="9"/>
    </row>
    <row r="549">
      <c r="A549" s="492"/>
      <c r="B549" s="254"/>
      <c r="C549" s="492"/>
      <c r="D549" s="254"/>
      <c r="E549" s="492"/>
      <c r="F549" s="254"/>
      <c r="G549" s="492"/>
      <c r="H549" s="254"/>
      <c r="I549" s="500"/>
      <c r="J549" s="181"/>
      <c r="K549" s="500"/>
      <c r="L549" s="181"/>
      <c r="M549" s="492"/>
      <c r="N549" s="254"/>
      <c r="O549" s="492"/>
      <c r="P549" s="254"/>
      <c r="Q549" s="492"/>
      <c r="R549" s="254"/>
      <c r="S549" s="528"/>
      <c r="T549" s="528"/>
      <c r="U549" s="492"/>
      <c r="V549" s="254"/>
      <c r="W549" s="492"/>
      <c r="X549" s="254"/>
      <c r="Y549" s="9"/>
      <c r="Z549" s="9"/>
      <c r="AA549" s="9"/>
      <c r="AB549" s="9"/>
      <c r="AC549" s="9"/>
      <c r="AD549" s="9"/>
      <c r="AE549" s="9"/>
      <c r="AF549" s="9"/>
      <c r="AG549" s="9"/>
      <c r="AH549" s="9"/>
      <c r="AI549" s="9"/>
      <c r="AJ549" s="9"/>
      <c r="AK549" s="9"/>
      <c r="AL549" s="9"/>
      <c r="AM549" s="9"/>
      <c r="AN549" s="9"/>
      <c r="AO549" s="9"/>
      <c r="AP549" s="9"/>
      <c r="AQ549" s="9"/>
      <c r="AR549" s="9"/>
      <c r="AS549" s="9"/>
      <c r="AT549" s="9"/>
    </row>
    <row r="550">
      <c r="A550" s="492"/>
      <c r="B550" s="254"/>
      <c r="C550" s="492"/>
      <c r="D550" s="254"/>
      <c r="E550" s="492"/>
      <c r="F550" s="254"/>
      <c r="G550" s="492"/>
      <c r="H550" s="254"/>
      <c r="I550" s="500"/>
      <c r="J550" s="181"/>
      <c r="K550" s="500"/>
      <c r="L550" s="181"/>
      <c r="M550" s="492"/>
      <c r="N550" s="254"/>
      <c r="O550" s="492"/>
      <c r="P550" s="254"/>
      <c r="Q550" s="492"/>
      <c r="R550" s="254"/>
      <c r="S550" s="528"/>
      <c r="T550" s="528"/>
      <c r="U550" s="492"/>
      <c r="V550" s="254"/>
      <c r="W550" s="492"/>
      <c r="X550" s="254"/>
      <c r="Y550" s="9"/>
      <c r="Z550" s="9"/>
      <c r="AA550" s="9"/>
      <c r="AB550" s="9"/>
      <c r="AC550" s="9"/>
      <c r="AD550" s="9"/>
      <c r="AE550" s="9"/>
      <c r="AF550" s="9"/>
      <c r="AG550" s="9"/>
      <c r="AH550" s="9"/>
      <c r="AI550" s="9"/>
      <c r="AJ550" s="9"/>
      <c r="AK550" s="9"/>
      <c r="AL550" s="9"/>
      <c r="AM550" s="9"/>
      <c r="AN550" s="9"/>
      <c r="AO550" s="9"/>
      <c r="AP550" s="9"/>
      <c r="AQ550" s="9"/>
      <c r="AR550" s="9"/>
      <c r="AS550" s="9"/>
      <c r="AT550" s="9"/>
    </row>
    <row r="551">
      <c r="A551" s="492"/>
      <c r="B551" s="254"/>
      <c r="C551" s="492"/>
      <c r="D551" s="254"/>
      <c r="E551" s="492"/>
      <c r="F551" s="254"/>
      <c r="G551" s="492"/>
      <c r="H551" s="254"/>
      <c r="I551" s="500"/>
      <c r="J551" s="181"/>
      <c r="K551" s="500"/>
      <c r="L551" s="181"/>
      <c r="M551" s="492"/>
      <c r="N551" s="254"/>
      <c r="O551" s="492"/>
      <c r="P551" s="254"/>
      <c r="Q551" s="492"/>
      <c r="R551" s="254"/>
      <c r="S551" s="528"/>
      <c r="T551" s="528"/>
      <c r="U551" s="492"/>
      <c r="V551" s="254"/>
      <c r="W551" s="492"/>
      <c r="X551" s="254"/>
      <c r="Y551" s="9"/>
      <c r="Z551" s="9"/>
      <c r="AA551" s="9"/>
      <c r="AB551" s="9"/>
      <c r="AC551" s="9"/>
      <c r="AD551" s="9"/>
      <c r="AE551" s="9"/>
      <c r="AF551" s="9"/>
      <c r="AG551" s="9"/>
      <c r="AH551" s="9"/>
      <c r="AI551" s="9"/>
      <c r="AJ551" s="9"/>
      <c r="AK551" s="9"/>
      <c r="AL551" s="9"/>
      <c r="AM551" s="9"/>
      <c r="AN551" s="9"/>
      <c r="AO551" s="9"/>
      <c r="AP551" s="9"/>
      <c r="AQ551" s="9"/>
      <c r="AR551" s="9"/>
      <c r="AS551" s="9"/>
      <c r="AT551" s="9"/>
    </row>
    <row r="552">
      <c r="A552" s="492"/>
      <c r="B552" s="254"/>
      <c r="C552" s="492"/>
      <c r="D552" s="254"/>
      <c r="E552" s="492"/>
      <c r="F552" s="254"/>
      <c r="G552" s="492"/>
      <c r="H552" s="254"/>
      <c r="I552" s="500"/>
      <c r="J552" s="181"/>
      <c r="K552" s="500"/>
      <c r="L552" s="181"/>
      <c r="M552" s="492"/>
      <c r="N552" s="254"/>
      <c r="O552" s="492"/>
      <c r="P552" s="254"/>
      <c r="Q552" s="492"/>
      <c r="R552" s="254"/>
      <c r="S552" s="528"/>
      <c r="T552" s="528"/>
      <c r="U552" s="492"/>
      <c r="V552" s="254"/>
      <c r="W552" s="492"/>
      <c r="X552" s="254"/>
      <c r="Y552" s="9"/>
      <c r="Z552" s="9"/>
      <c r="AA552" s="9"/>
      <c r="AB552" s="9"/>
      <c r="AC552" s="9"/>
      <c r="AD552" s="9"/>
      <c r="AE552" s="9"/>
      <c r="AF552" s="9"/>
      <c r="AG552" s="9"/>
      <c r="AH552" s="9"/>
      <c r="AI552" s="9"/>
      <c r="AJ552" s="9"/>
      <c r="AK552" s="9"/>
      <c r="AL552" s="9"/>
      <c r="AM552" s="9"/>
      <c r="AN552" s="9"/>
      <c r="AO552" s="9"/>
      <c r="AP552" s="9"/>
      <c r="AQ552" s="9"/>
      <c r="AR552" s="9"/>
      <c r="AS552" s="9"/>
      <c r="AT552" s="9"/>
    </row>
    <row r="553">
      <c r="A553" s="492"/>
      <c r="B553" s="254"/>
      <c r="C553" s="492"/>
      <c r="D553" s="254"/>
      <c r="E553" s="492"/>
      <c r="F553" s="254"/>
      <c r="G553" s="492"/>
      <c r="H553" s="254"/>
      <c r="I553" s="500"/>
      <c r="J553" s="181"/>
      <c r="K553" s="500"/>
      <c r="L553" s="181"/>
      <c r="M553" s="492"/>
      <c r="N553" s="254"/>
      <c r="O553" s="492"/>
      <c r="P553" s="254"/>
      <c r="Q553" s="492"/>
      <c r="R553" s="254"/>
      <c r="S553" s="528"/>
      <c r="T553" s="528"/>
      <c r="U553" s="492"/>
      <c r="V553" s="254"/>
      <c r="W553" s="492"/>
      <c r="X553" s="254"/>
      <c r="Y553" s="9"/>
      <c r="Z553" s="9"/>
      <c r="AA553" s="9"/>
      <c r="AB553" s="9"/>
      <c r="AC553" s="9"/>
      <c r="AD553" s="9"/>
      <c r="AE553" s="9"/>
      <c r="AF553" s="9"/>
      <c r="AG553" s="9"/>
      <c r="AH553" s="9"/>
      <c r="AI553" s="9"/>
      <c r="AJ553" s="9"/>
      <c r="AK553" s="9"/>
      <c r="AL553" s="9"/>
      <c r="AM553" s="9"/>
      <c r="AN553" s="9"/>
      <c r="AO553" s="9"/>
      <c r="AP553" s="9"/>
      <c r="AQ553" s="9"/>
      <c r="AR553" s="9"/>
      <c r="AS553" s="9"/>
      <c r="AT553" s="9"/>
    </row>
    <row r="554">
      <c r="A554" s="492"/>
      <c r="B554" s="254"/>
      <c r="C554" s="492"/>
      <c r="D554" s="254"/>
      <c r="E554" s="492"/>
      <c r="F554" s="254"/>
      <c r="G554" s="492"/>
      <c r="H554" s="254"/>
      <c r="I554" s="500"/>
      <c r="J554" s="181"/>
      <c r="K554" s="500"/>
      <c r="L554" s="181"/>
      <c r="M554" s="492"/>
      <c r="N554" s="254"/>
      <c r="O554" s="492"/>
      <c r="P554" s="254"/>
      <c r="Q554" s="492"/>
      <c r="R554" s="254"/>
      <c r="S554" s="528"/>
      <c r="T554" s="528"/>
      <c r="U554" s="492"/>
      <c r="V554" s="254"/>
      <c r="W554" s="492"/>
      <c r="X554" s="254"/>
      <c r="Y554" s="9"/>
      <c r="Z554" s="9"/>
      <c r="AA554" s="9"/>
      <c r="AB554" s="9"/>
      <c r="AC554" s="9"/>
      <c r="AD554" s="9"/>
      <c r="AE554" s="9"/>
      <c r="AF554" s="9"/>
      <c r="AG554" s="9"/>
      <c r="AH554" s="9"/>
      <c r="AI554" s="9"/>
      <c r="AJ554" s="9"/>
      <c r="AK554" s="9"/>
      <c r="AL554" s="9"/>
      <c r="AM554" s="9"/>
      <c r="AN554" s="9"/>
      <c r="AO554" s="9"/>
      <c r="AP554" s="9"/>
      <c r="AQ554" s="9"/>
      <c r="AR554" s="9"/>
      <c r="AS554" s="9"/>
      <c r="AT554" s="9"/>
    </row>
    <row r="555">
      <c r="A555" s="492"/>
      <c r="B555" s="254"/>
      <c r="C555" s="492"/>
      <c r="D555" s="254"/>
      <c r="E555" s="492"/>
      <c r="F555" s="254"/>
      <c r="G555" s="492"/>
      <c r="H555" s="254"/>
      <c r="I555" s="500"/>
      <c r="J555" s="181"/>
      <c r="K555" s="500"/>
      <c r="L555" s="181"/>
      <c r="M555" s="492"/>
      <c r="N555" s="254"/>
      <c r="O555" s="492"/>
      <c r="P555" s="254"/>
      <c r="Q555" s="492"/>
      <c r="R555" s="254"/>
      <c r="S555" s="528"/>
      <c r="T555" s="528"/>
      <c r="U555" s="492"/>
      <c r="V555" s="254"/>
      <c r="W555" s="492"/>
      <c r="X555" s="254"/>
      <c r="Y555" s="9"/>
      <c r="Z555" s="9"/>
      <c r="AA555" s="9"/>
      <c r="AB555" s="9"/>
      <c r="AC555" s="9"/>
      <c r="AD555" s="9"/>
      <c r="AE555" s="9"/>
      <c r="AF555" s="9"/>
      <c r="AG555" s="9"/>
      <c r="AH555" s="9"/>
      <c r="AI555" s="9"/>
      <c r="AJ555" s="9"/>
      <c r="AK555" s="9"/>
      <c r="AL555" s="9"/>
      <c r="AM555" s="9"/>
      <c r="AN555" s="9"/>
      <c r="AO555" s="9"/>
      <c r="AP555" s="9"/>
      <c r="AQ555" s="9"/>
      <c r="AR555" s="9"/>
      <c r="AS555" s="9"/>
      <c r="AT555" s="9"/>
    </row>
    <row r="556">
      <c r="A556" s="492"/>
      <c r="B556" s="254"/>
      <c r="C556" s="492"/>
      <c r="D556" s="254"/>
      <c r="E556" s="492"/>
      <c r="F556" s="254"/>
      <c r="G556" s="492"/>
      <c r="H556" s="254"/>
      <c r="I556" s="500"/>
      <c r="J556" s="181"/>
      <c r="K556" s="500"/>
      <c r="L556" s="181"/>
      <c r="M556" s="492"/>
      <c r="N556" s="254"/>
      <c r="O556" s="492"/>
      <c r="P556" s="254"/>
      <c r="Q556" s="492"/>
      <c r="R556" s="254"/>
      <c r="S556" s="528"/>
      <c r="T556" s="528"/>
      <c r="U556" s="492"/>
      <c r="V556" s="254"/>
      <c r="W556" s="492"/>
      <c r="X556" s="254"/>
      <c r="Y556" s="9"/>
      <c r="Z556" s="9"/>
      <c r="AA556" s="9"/>
      <c r="AB556" s="9"/>
      <c r="AC556" s="9"/>
      <c r="AD556" s="9"/>
      <c r="AE556" s="9"/>
      <c r="AF556" s="9"/>
      <c r="AG556" s="9"/>
      <c r="AH556" s="9"/>
      <c r="AI556" s="9"/>
      <c r="AJ556" s="9"/>
      <c r="AK556" s="9"/>
      <c r="AL556" s="9"/>
      <c r="AM556" s="9"/>
      <c r="AN556" s="9"/>
      <c r="AO556" s="9"/>
      <c r="AP556" s="9"/>
      <c r="AQ556" s="9"/>
      <c r="AR556" s="9"/>
      <c r="AS556" s="9"/>
      <c r="AT556" s="9"/>
    </row>
    <row r="557">
      <c r="A557" s="492"/>
      <c r="B557" s="254"/>
      <c r="C557" s="492"/>
      <c r="D557" s="254"/>
      <c r="E557" s="492"/>
      <c r="F557" s="254"/>
      <c r="G557" s="492"/>
      <c r="H557" s="254"/>
      <c r="I557" s="500"/>
      <c r="J557" s="181"/>
      <c r="K557" s="500"/>
      <c r="L557" s="181"/>
      <c r="M557" s="492"/>
      <c r="N557" s="254"/>
      <c r="O557" s="492"/>
      <c r="P557" s="254"/>
      <c r="Q557" s="492"/>
      <c r="R557" s="254"/>
      <c r="S557" s="528"/>
      <c r="T557" s="528"/>
      <c r="U557" s="492"/>
      <c r="V557" s="254"/>
      <c r="W557" s="492"/>
      <c r="X557" s="254"/>
      <c r="Y557" s="9"/>
      <c r="Z557" s="9"/>
      <c r="AA557" s="9"/>
      <c r="AB557" s="9"/>
      <c r="AC557" s="9"/>
      <c r="AD557" s="9"/>
      <c r="AE557" s="9"/>
      <c r="AF557" s="9"/>
      <c r="AG557" s="9"/>
      <c r="AH557" s="9"/>
      <c r="AI557" s="9"/>
      <c r="AJ557" s="9"/>
      <c r="AK557" s="9"/>
      <c r="AL557" s="9"/>
      <c r="AM557" s="9"/>
      <c r="AN557" s="9"/>
      <c r="AO557" s="9"/>
      <c r="AP557" s="9"/>
      <c r="AQ557" s="9"/>
      <c r="AR557" s="9"/>
      <c r="AS557" s="9"/>
      <c r="AT557" s="9"/>
    </row>
    <row r="558">
      <c r="A558" s="492"/>
      <c r="B558" s="254"/>
      <c r="C558" s="492"/>
      <c r="D558" s="254"/>
      <c r="E558" s="492"/>
      <c r="F558" s="254"/>
      <c r="G558" s="492"/>
      <c r="H558" s="254"/>
      <c r="I558" s="500"/>
      <c r="J558" s="181"/>
      <c r="K558" s="500"/>
      <c r="L558" s="181"/>
      <c r="M558" s="492"/>
      <c r="N558" s="254"/>
      <c r="O558" s="492"/>
      <c r="P558" s="254"/>
      <c r="Q558" s="492"/>
      <c r="R558" s="254"/>
      <c r="S558" s="528"/>
      <c r="T558" s="528"/>
      <c r="U558" s="492"/>
      <c r="V558" s="254"/>
      <c r="W558" s="492"/>
      <c r="X558" s="254"/>
      <c r="Y558" s="9"/>
      <c r="Z558" s="9"/>
      <c r="AA558" s="9"/>
      <c r="AB558" s="9"/>
      <c r="AC558" s="9"/>
      <c r="AD558" s="9"/>
      <c r="AE558" s="9"/>
      <c r="AF558" s="9"/>
      <c r="AG558" s="9"/>
      <c r="AH558" s="9"/>
      <c r="AI558" s="9"/>
      <c r="AJ558" s="9"/>
      <c r="AK558" s="9"/>
      <c r="AL558" s="9"/>
      <c r="AM558" s="9"/>
      <c r="AN558" s="9"/>
      <c r="AO558" s="9"/>
      <c r="AP558" s="9"/>
      <c r="AQ558" s="9"/>
      <c r="AR558" s="9"/>
      <c r="AS558" s="9"/>
      <c r="AT558" s="9"/>
    </row>
    <row r="559">
      <c r="A559" s="492"/>
      <c r="B559" s="254"/>
      <c r="C559" s="492"/>
      <c r="D559" s="254"/>
      <c r="E559" s="492"/>
      <c r="F559" s="254"/>
      <c r="G559" s="492"/>
      <c r="H559" s="254"/>
      <c r="I559" s="500"/>
      <c r="J559" s="181"/>
      <c r="K559" s="500"/>
      <c r="L559" s="181"/>
      <c r="M559" s="492"/>
      <c r="N559" s="254"/>
      <c r="O559" s="492"/>
      <c r="P559" s="254"/>
      <c r="Q559" s="492"/>
      <c r="R559" s="254"/>
      <c r="S559" s="528"/>
      <c r="T559" s="528"/>
      <c r="U559" s="492"/>
      <c r="V559" s="254"/>
      <c r="W559" s="492"/>
      <c r="X559" s="254"/>
      <c r="Y559" s="9"/>
      <c r="Z559" s="9"/>
      <c r="AA559" s="9"/>
      <c r="AB559" s="9"/>
      <c r="AC559" s="9"/>
      <c r="AD559" s="9"/>
      <c r="AE559" s="9"/>
      <c r="AF559" s="9"/>
      <c r="AG559" s="9"/>
      <c r="AH559" s="9"/>
      <c r="AI559" s="9"/>
      <c r="AJ559" s="9"/>
      <c r="AK559" s="9"/>
      <c r="AL559" s="9"/>
      <c r="AM559" s="9"/>
      <c r="AN559" s="9"/>
      <c r="AO559" s="9"/>
      <c r="AP559" s="9"/>
      <c r="AQ559" s="9"/>
      <c r="AR559" s="9"/>
      <c r="AS559" s="9"/>
      <c r="AT559" s="9"/>
    </row>
    <row r="560">
      <c r="A560" s="492"/>
      <c r="B560" s="254"/>
      <c r="C560" s="492"/>
      <c r="D560" s="254"/>
      <c r="E560" s="492"/>
      <c r="F560" s="254"/>
      <c r="G560" s="492"/>
      <c r="H560" s="254"/>
      <c r="I560" s="500"/>
      <c r="J560" s="181"/>
      <c r="K560" s="500"/>
      <c r="L560" s="181"/>
      <c r="M560" s="492"/>
      <c r="N560" s="254"/>
      <c r="O560" s="492"/>
      <c r="P560" s="254"/>
      <c r="Q560" s="492"/>
      <c r="R560" s="254"/>
      <c r="S560" s="528"/>
      <c r="T560" s="528"/>
      <c r="U560" s="492"/>
      <c r="V560" s="254"/>
      <c r="W560" s="492"/>
      <c r="X560" s="254"/>
      <c r="Y560" s="9"/>
      <c r="Z560" s="9"/>
      <c r="AA560" s="9"/>
      <c r="AB560" s="9"/>
      <c r="AC560" s="9"/>
      <c r="AD560" s="9"/>
      <c r="AE560" s="9"/>
      <c r="AF560" s="9"/>
      <c r="AG560" s="9"/>
      <c r="AH560" s="9"/>
      <c r="AI560" s="9"/>
      <c r="AJ560" s="9"/>
      <c r="AK560" s="9"/>
      <c r="AL560" s="9"/>
      <c r="AM560" s="9"/>
      <c r="AN560" s="9"/>
      <c r="AO560" s="9"/>
      <c r="AP560" s="9"/>
      <c r="AQ560" s="9"/>
      <c r="AR560" s="9"/>
      <c r="AS560" s="9"/>
      <c r="AT560" s="9"/>
    </row>
    <row r="561">
      <c r="A561" s="492"/>
      <c r="B561" s="254"/>
      <c r="C561" s="492"/>
      <c r="D561" s="254"/>
      <c r="E561" s="492"/>
      <c r="F561" s="254"/>
      <c r="G561" s="492"/>
      <c r="H561" s="254"/>
      <c r="I561" s="500"/>
      <c r="J561" s="181"/>
      <c r="K561" s="500"/>
      <c r="L561" s="181"/>
      <c r="M561" s="492"/>
      <c r="N561" s="254"/>
      <c r="O561" s="492"/>
      <c r="P561" s="254"/>
      <c r="Q561" s="492"/>
      <c r="R561" s="254"/>
      <c r="S561" s="528"/>
      <c r="T561" s="528"/>
      <c r="U561" s="492"/>
      <c r="V561" s="254"/>
      <c r="W561" s="492"/>
      <c r="X561" s="254"/>
      <c r="Y561" s="9"/>
      <c r="Z561" s="9"/>
      <c r="AA561" s="9"/>
      <c r="AB561" s="9"/>
      <c r="AC561" s="9"/>
      <c r="AD561" s="9"/>
      <c r="AE561" s="9"/>
      <c r="AF561" s="9"/>
      <c r="AG561" s="9"/>
      <c r="AH561" s="9"/>
      <c r="AI561" s="9"/>
      <c r="AJ561" s="9"/>
      <c r="AK561" s="9"/>
      <c r="AL561" s="9"/>
      <c r="AM561" s="9"/>
      <c r="AN561" s="9"/>
      <c r="AO561" s="9"/>
      <c r="AP561" s="9"/>
      <c r="AQ561" s="9"/>
      <c r="AR561" s="9"/>
      <c r="AS561" s="9"/>
      <c r="AT561" s="9"/>
    </row>
    <row r="562">
      <c r="A562" s="492"/>
      <c r="B562" s="254"/>
      <c r="C562" s="492"/>
      <c r="D562" s="254"/>
      <c r="E562" s="492"/>
      <c r="F562" s="254"/>
      <c r="G562" s="492"/>
      <c r="H562" s="254"/>
      <c r="I562" s="500"/>
      <c r="J562" s="181"/>
      <c r="K562" s="500"/>
      <c r="L562" s="181"/>
      <c r="M562" s="492"/>
      <c r="N562" s="254"/>
      <c r="O562" s="492"/>
      <c r="P562" s="254"/>
      <c r="Q562" s="492"/>
      <c r="R562" s="254"/>
      <c r="S562" s="528"/>
      <c r="T562" s="528"/>
      <c r="U562" s="492"/>
      <c r="V562" s="254"/>
      <c r="W562" s="492"/>
      <c r="X562" s="254"/>
      <c r="Y562" s="9"/>
      <c r="Z562" s="9"/>
      <c r="AA562" s="9"/>
      <c r="AB562" s="9"/>
      <c r="AC562" s="9"/>
      <c r="AD562" s="9"/>
      <c r="AE562" s="9"/>
      <c r="AF562" s="9"/>
      <c r="AG562" s="9"/>
      <c r="AH562" s="9"/>
      <c r="AI562" s="9"/>
      <c r="AJ562" s="9"/>
      <c r="AK562" s="9"/>
      <c r="AL562" s="9"/>
      <c r="AM562" s="9"/>
      <c r="AN562" s="9"/>
      <c r="AO562" s="9"/>
      <c r="AP562" s="9"/>
      <c r="AQ562" s="9"/>
      <c r="AR562" s="9"/>
      <c r="AS562" s="9"/>
      <c r="AT562" s="9"/>
    </row>
    <row r="563">
      <c r="A563" s="492"/>
      <c r="B563" s="254"/>
      <c r="C563" s="492"/>
      <c r="D563" s="254"/>
      <c r="E563" s="492"/>
      <c r="F563" s="254"/>
      <c r="G563" s="492"/>
      <c r="H563" s="254"/>
      <c r="I563" s="500"/>
      <c r="J563" s="181"/>
      <c r="K563" s="500"/>
      <c r="L563" s="181"/>
      <c r="M563" s="492"/>
      <c r="N563" s="254"/>
      <c r="O563" s="492"/>
      <c r="P563" s="254"/>
      <c r="Q563" s="492"/>
      <c r="R563" s="254"/>
      <c r="S563" s="528"/>
      <c r="T563" s="528"/>
      <c r="U563" s="492"/>
      <c r="V563" s="254"/>
      <c r="W563" s="492"/>
      <c r="X563" s="254"/>
      <c r="Y563" s="9"/>
      <c r="Z563" s="9"/>
      <c r="AA563" s="9"/>
      <c r="AB563" s="9"/>
      <c r="AC563" s="9"/>
      <c r="AD563" s="9"/>
      <c r="AE563" s="9"/>
      <c r="AF563" s="9"/>
      <c r="AG563" s="9"/>
      <c r="AH563" s="9"/>
      <c r="AI563" s="9"/>
      <c r="AJ563" s="9"/>
      <c r="AK563" s="9"/>
      <c r="AL563" s="9"/>
      <c r="AM563" s="9"/>
      <c r="AN563" s="9"/>
      <c r="AO563" s="9"/>
      <c r="AP563" s="9"/>
      <c r="AQ563" s="9"/>
      <c r="AR563" s="9"/>
      <c r="AS563" s="9"/>
      <c r="AT563" s="9"/>
    </row>
    <row r="564">
      <c r="A564" s="492"/>
      <c r="B564" s="254"/>
      <c r="C564" s="492"/>
      <c r="D564" s="254"/>
      <c r="E564" s="492"/>
      <c r="F564" s="254"/>
      <c r="G564" s="492"/>
      <c r="H564" s="254"/>
      <c r="I564" s="500"/>
      <c r="J564" s="181"/>
      <c r="K564" s="500"/>
      <c r="L564" s="181"/>
      <c r="M564" s="492"/>
      <c r="N564" s="254"/>
      <c r="O564" s="492"/>
      <c r="P564" s="254"/>
      <c r="Q564" s="492"/>
      <c r="R564" s="254"/>
      <c r="S564" s="528"/>
      <c r="T564" s="528"/>
      <c r="U564" s="492"/>
      <c r="V564" s="254"/>
      <c r="W564" s="492"/>
      <c r="X564" s="254"/>
      <c r="Y564" s="9"/>
      <c r="Z564" s="9"/>
      <c r="AA564" s="9"/>
      <c r="AB564" s="9"/>
      <c r="AC564" s="9"/>
      <c r="AD564" s="9"/>
      <c r="AE564" s="9"/>
      <c r="AF564" s="9"/>
      <c r="AG564" s="9"/>
      <c r="AH564" s="9"/>
      <c r="AI564" s="9"/>
      <c r="AJ564" s="9"/>
      <c r="AK564" s="9"/>
      <c r="AL564" s="9"/>
      <c r="AM564" s="9"/>
      <c r="AN564" s="9"/>
      <c r="AO564" s="9"/>
      <c r="AP564" s="9"/>
      <c r="AQ564" s="9"/>
      <c r="AR564" s="9"/>
      <c r="AS564" s="9"/>
      <c r="AT564" s="9"/>
    </row>
    <row r="565">
      <c r="A565" s="492"/>
      <c r="B565" s="254"/>
      <c r="C565" s="492"/>
      <c r="D565" s="254"/>
      <c r="E565" s="492"/>
      <c r="F565" s="254"/>
      <c r="G565" s="492"/>
      <c r="H565" s="254"/>
      <c r="I565" s="500"/>
      <c r="J565" s="181"/>
      <c r="K565" s="500"/>
      <c r="L565" s="181"/>
      <c r="M565" s="492"/>
      <c r="N565" s="254"/>
      <c r="O565" s="492"/>
      <c r="P565" s="254"/>
      <c r="Q565" s="492"/>
      <c r="R565" s="254"/>
      <c r="S565" s="528"/>
      <c r="T565" s="528"/>
      <c r="U565" s="492"/>
      <c r="V565" s="254"/>
      <c r="W565" s="492"/>
      <c r="X565" s="254"/>
      <c r="Y565" s="9"/>
      <c r="Z565" s="9"/>
      <c r="AA565" s="9"/>
      <c r="AB565" s="9"/>
      <c r="AC565" s="9"/>
      <c r="AD565" s="9"/>
      <c r="AE565" s="9"/>
      <c r="AF565" s="9"/>
      <c r="AG565" s="9"/>
      <c r="AH565" s="9"/>
      <c r="AI565" s="9"/>
      <c r="AJ565" s="9"/>
      <c r="AK565" s="9"/>
      <c r="AL565" s="9"/>
      <c r="AM565" s="9"/>
      <c r="AN565" s="9"/>
      <c r="AO565" s="9"/>
      <c r="AP565" s="9"/>
      <c r="AQ565" s="9"/>
      <c r="AR565" s="9"/>
      <c r="AS565" s="9"/>
      <c r="AT565" s="9"/>
    </row>
    <row r="566">
      <c r="A566" s="492"/>
      <c r="B566" s="254"/>
      <c r="C566" s="492"/>
      <c r="D566" s="254"/>
      <c r="E566" s="492"/>
      <c r="F566" s="254"/>
      <c r="G566" s="492"/>
      <c r="H566" s="254"/>
      <c r="I566" s="500"/>
      <c r="J566" s="181"/>
      <c r="K566" s="500"/>
      <c r="L566" s="181"/>
      <c r="M566" s="492"/>
      <c r="N566" s="254"/>
      <c r="O566" s="492"/>
      <c r="P566" s="254"/>
      <c r="Q566" s="492"/>
      <c r="R566" s="254"/>
      <c r="S566" s="528"/>
      <c r="T566" s="528"/>
      <c r="U566" s="492"/>
      <c r="V566" s="254"/>
      <c r="W566" s="492"/>
      <c r="X566" s="254"/>
      <c r="Y566" s="9"/>
      <c r="Z566" s="9"/>
      <c r="AA566" s="9"/>
      <c r="AB566" s="9"/>
      <c r="AC566" s="9"/>
      <c r="AD566" s="9"/>
      <c r="AE566" s="9"/>
      <c r="AF566" s="9"/>
      <c r="AG566" s="9"/>
      <c r="AH566" s="9"/>
      <c r="AI566" s="9"/>
      <c r="AJ566" s="9"/>
      <c r="AK566" s="9"/>
      <c r="AL566" s="9"/>
      <c r="AM566" s="9"/>
      <c r="AN566" s="9"/>
      <c r="AO566" s="9"/>
      <c r="AP566" s="9"/>
      <c r="AQ566" s="9"/>
      <c r="AR566" s="9"/>
      <c r="AS566" s="9"/>
      <c r="AT566" s="9"/>
    </row>
    <row r="567">
      <c r="A567" s="492"/>
      <c r="B567" s="254"/>
      <c r="C567" s="492"/>
      <c r="D567" s="254"/>
      <c r="E567" s="492"/>
      <c r="F567" s="254"/>
      <c r="G567" s="492"/>
      <c r="H567" s="254"/>
      <c r="I567" s="500"/>
      <c r="J567" s="181"/>
      <c r="K567" s="500"/>
      <c r="L567" s="181"/>
      <c r="M567" s="492"/>
      <c r="N567" s="254"/>
      <c r="O567" s="492"/>
      <c r="P567" s="254"/>
      <c r="Q567" s="492"/>
      <c r="R567" s="254"/>
      <c r="S567" s="528"/>
      <c r="T567" s="528"/>
      <c r="U567" s="492"/>
      <c r="V567" s="254"/>
      <c r="W567" s="492"/>
      <c r="X567" s="254"/>
      <c r="Y567" s="9"/>
      <c r="Z567" s="9"/>
      <c r="AA567" s="9"/>
      <c r="AB567" s="9"/>
      <c r="AC567" s="9"/>
      <c r="AD567" s="9"/>
      <c r="AE567" s="9"/>
      <c r="AF567" s="9"/>
      <c r="AG567" s="9"/>
      <c r="AH567" s="9"/>
      <c r="AI567" s="9"/>
      <c r="AJ567" s="9"/>
      <c r="AK567" s="9"/>
      <c r="AL567" s="9"/>
      <c r="AM567" s="9"/>
      <c r="AN567" s="9"/>
      <c r="AO567" s="9"/>
      <c r="AP567" s="9"/>
      <c r="AQ567" s="9"/>
      <c r="AR567" s="9"/>
      <c r="AS567" s="9"/>
      <c r="AT567" s="9"/>
    </row>
    <row r="568">
      <c r="A568" s="492"/>
      <c r="B568" s="254"/>
      <c r="C568" s="492"/>
      <c r="D568" s="254"/>
      <c r="E568" s="492"/>
      <c r="F568" s="254"/>
      <c r="G568" s="492"/>
      <c r="H568" s="254"/>
      <c r="I568" s="500"/>
      <c r="J568" s="181"/>
      <c r="K568" s="500"/>
      <c r="L568" s="181"/>
      <c r="M568" s="492"/>
      <c r="N568" s="254"/>
      <c r="O568" s="492"/>
      <c r="P568" s="254"/>
      <c r="Q568" s="492"/>
      <c r="R568" s="254"/>
      <c r="S568" s="528"/>
      <c r="T568" s="528"/>
      <c r="U568" s="492"/>
      <c r="V568" s="254"/>
      <c r="W568" s="492"/>
      <c r="X568" s="254"/>
      <c r="Y568" s="9"/>
      <c r="Z568" s="9"/>
      <c r="AA568" s="9"/>
      <c r="AB568" s="9"/>
      <c r="AC568" s="9"/>
      <c r="AD568" s="9"/>
      <c r="AE568" s="9"/>
      <c r="AF568" s="9"/>
      <c r="AG568" s="9"/>
      <c r="AH568" s="9"/>
      <c r="AI568" s="9"/>
      <c r="AJ568" s="9"/>
      <c r="AK568" s="9"/>
      <c r="AL568" s="9"/>
      <c r="AM568" s="9"/>
      <c r="AN568" s="9"/>
      <c r="AO568" s="9"/>
      <c r="AP568" s="9"/>
      <c r="AQ568" s="9"/>
      <c r="AR568" s="9"/>
      <c r="AS568" s="9"/>
      <c r="AT568" s="9"/>
    </row>
    <row r="569">
      <c r="A569" s="492"/>
      <c r="B569" s="254"/>
      <c r="C569" s="492"/>
      <c r="D569" s="254"/>
      <c r="E569" s="492"/>
      <c r="F569" s="254"/>
      <c r="G569" s="492"/>
      <c r="H569" s="254"/>
      <c r="I569" s="500"/>
      <c r="J569" s="181"/>
      <c r="K569" s="500"/>
      <c r="L569" s="181"/>
      <c r="M569" s="492"/>
      <c r="N569" s="254"/>
      <c r="O569" s="492"/>
      <c r="P569" s="254"/>
      <c r="Q569" s="492"/>
      <c r="R569" s="254"/>
      <c r="S569" s="528"/>
      <c r="T569" s="528"/>
      <c r="U569" s="492"/>
      <c r="V569" s="254"/>
      <c r="W569" s="492"/>
      <c r="X569" s="254"/>
      <c r="Y569" s="9"/>
      <c r="Z569" s="9"/>
      <c r="AA569" s="9"/>
      <c r="AB569" s="9"/>
      <c r="AC569" s="9"/>
      <c r="AD569" s="9"/>
      <c r="AE569" s="9"/>
      <c r="AF569" s="9"/>
      <c r="AG569" s="9"/>
      <c r="AH569" s="9"/>
      <c r="AI569" s="9"/>
      <c r="AJ569" s="9"/>
      <c r="AK569" s="9"/>
      <c r="AL569" s="9"/>
      <c r="AM569" s="9"/>
      <c r="AN569" s="9"/>
      <c r="AO569" s="9"/>
      <c r="AP569" s="9"/>
      <c r="AQ569" s="9"/>
      <c r="AR569" s="9"/>
      <c r="AS569" s="9"/>
      <c r="AT569" s="9"/>
    </row>
    <row r="570">
      <c r="A570" s="492"/>
      <c r="B570" s="254"/>
      <c r="C570" s="492"/>
      <c r="D570" s="254"/>
      <c r="E570" s="492"/>
      <c r="F570" s="254"/>
      <c r="G570" s="492"/>
      <c r="H570" s="254"/>
      <c r="I570" s="500"/>
      <c r="J570" s="181"/>
      <c r="K570" s="500"/>
      <c r="L570" s="181"/>
      <c r="M570" s="492"/>
      <c r="N570" s="254"/>
      <c r="O570" s="492"/>
      <c r="P570" s="254"/>
      <c r="Q570" s="492"/>
      <c r="R570" s="254"/>
      <c r="S570" s="528"/>
      <c r="T570" s="528"/>
      <c r="U570" s="492"/>
      <c r="V570" s="254"/>
      <c r="W570" s="492"/>
      <c r="X570" s="254"/>
      <c r="Y570" s="9"/>
      <c r="Z570" s="9"/>
      <c r="AA570" s="9"/>
      <c r="AB570" s="9"/>
      <c r="AC570" s="9"/>
      <c r="AD570" s="9"/>
      <c r="AE570" s="9"/>
      <c r="AF570" s="9"/>
      <c r="AG570" s="9"/>
      <c r="AH570" s="9"/>
      <c r="AI570" s="9"/>
      <c r="AJ570" s="9"/>
      <c r="AK570" s="9"/>
      <c r="AL570" s="9"/>
      <c r="AM570" s="9"/>
      <c r="AN570" s="9"/>
      <c r="AO570" s="9"/>
      <c r="AP570" s="9"/>
      <c r="AQ570" s="9"/>
      <c r="AR570" s="9"/>
      <c r="AS570" s="9"/>
      <c r="AT570" s="9"/>
    </row>
    <row r="571">
      <c r="A571" s="492"/>
      <c r="B571" s="254"/>
      <c r="C571" s="492"/>
      <c r="D571" s="254"/>
      <c r="E571" s="492"/>
      <c r="F571" s="254"/>
      <c r="G571" s="492"/>
      <c r="H571" s="254"/>
      <c r="I571" s="500"/>
      <c r="J571" s="181"/>
      <c r="K571" s="500"/>
      <c r="L571" s="181"/>
      <c r="M571" s="492"/>
      <c r="N571" s="254"/>
      <c r="O571" s="492"/>
      <c r="P571" s="254"/>
      <c r="Q571" s="492"/>
      <c r="R571" s="254"/>
      <c r="S571" s="528"/>
      <c r="T571" s="528"/>
      <c r="U571" s="492"/>
      <c r="V571" s="254"/>
      <c r="W571" s="492"/>
      <c r="X571" s="254"/>
      <c r="Y571" s="9"/>
      <c r="Z571" s="9"/>
      <c r="AA571" s="9"/>
      <c r="AB571" s="9"/>
      <c r="AC571" s="9"/>
      <c r="AD571" s="9"/>
      <c r="AE571" s="9"/>
      <c r="AF571" s="9"/>
      <c r="AG571" s="9"/>
      <c r="AH571" s="9"/>
      <c r="AI571" s="9"/>
      <c r="AJ571" s="9"/>
      <c r="AK571" s="9"/>
      <c r="AL571" s="9"/>
      <c r="AM571" s="9"/>
      <c r="AN571" s="9"/>
      <c r="AO571" s="9"/>
      <c r="AP571" s="9"/>
      <c r="AQ571" s="9"/>
      <c r="AR571" s="9"/>
      <c r="AS571" s="9"/>
      <c r="AT571" s="9"/>
    </row>
    <row r="572">
      <c r="A572" s="492"/>
      <c r="B572" s="254"/>
      <c r="C572" s="492"/>
      <c r="D572" s="254"/>
      <c r="E572" s="492"/>
      <c r="F572" s="254"/>
      <c r="G572" s="492"/>
      <c r="H572" s="254"/>
      <c r="I572" s="500"/>
      <c r="J572" s="181"/>
      <c r="K572" s="500"/>
      <c r="L572" s="181"/>
      <c r="M572" s="492"/>
      <c r="N572" s="254"/>
      <c r="O572" s="492"/>
      <c r="P572" s="254"/>
      <c r="Q572" s="492"/>
      <c r="R572" s="254"/>
      <c r="S572" s="528"/>
      <c r="T572" s="528"/>
      <c r="U572" s="492"/>
      <c r="V572" s="254"/>
      <c r="W572" s="492"/>
      <c r="X572" s="254"/>
      <c r="Y572" s="9"/>
      <c r="Z572" s="9"/>
      <c r="AA572" s="9"/>
      <c r="AB572" s="9"/>
      <c r="AC572" s="9"/>
      <c r="AD572" s="9"/>
      <c r="AE572" s="9"/>
      <c r="AF572" s="9"/>
      <c r="AG572" s="9"/>
      <c r="AH572" s="9"/>
      <c r="AI572" s="9"/>
      <c r="AJ572" s="9"/>
      <c r="AK572" s="9"/>
      <c r="AL572" s="9"/>
      <c r="AM572" s="9"/>
      <c r="AN572" s="9"/>
      <c r="AO572" s="9"/>
      <c r="AP572" s="9"/>
      <c r="AQ572" s="9"/>
      <c r="AR572" s="9"/>
      <c r="AS572" s="9"/>
      <c r="AT572" s="9"/>
    </row>
    <row r="573">
      <c r="A573" s="492"/>
      <c r="B573" s="254"/>
      <c r="C573" s="492"/>
      <c r="D573" s="254"/>
      <c r="E573" s="492"/>
      <c r="F573" s="254"/>
      <c r="G573" s="492"/>
      <c r="H573" s="254"/>
      <c r="I573" s="500"/>
      <c r="J573" s="181"/>
      <c r="K573" s="500"/>
      <c r="L573" s="181"/>
      <c r="M573" s="492"/>
      <c r="N573" s="254"/>
      <c r="O573" s="492"/>
      <c r="P573" s="254"/>
      <c r="Q573" s="492"/>
      <c r="R573" s="254"/>
      <c r="S573" s="528"/>
      <c r="T573" s="528"/>
      <c r="U573" s="492"/>
      <c r="V573" s="254"/>
      <c r="W573" s="492"/>
      <c r="X573" s="254"/>
      <c r="Y573" s="9"/>
      <c r="Z573" s="9"/>
      <c r="AA573" s="9"/>
      <c r="AB573" s="9"/>
      <c r="AC573" s="9"/>
      <c r="AD573" s="9"/>
      <c r="AE573" s="9"/>
      <c r="AF573" s="9"/>
      <c r="AG573" s="9"/>
      <c r="AH573" s="9"/>
      <c r="AI573" s="9"/>
      <c r="AJ573" s="9"/>
      <c r="AK573" s="9"/>
      <c r="AL573" s="9"/>
      <c r="AM573" s="9"/>
      <c r="AN573" s="9"/>
      <c r="AO573" s="9"/>
      <c r="AP573" s="9"/>
      <c r="AQ573" s="9"/>
      <c r="AR573" s="9"/>
      <c r="AS573" s="9"/>
      <c r="AT573" s="9"/>
    </row>
    <row r="574">
      <c r="A574" s="492"/>
      <c r="B574" s="254"/>
      <c r="C574" s="492"/>
      <c r="D574" s="254"/>
      <c r="E574" s="492"/>
      <c r="F574" s="254"/>
      <c r="G574" s="492"/>
      <c r="H574" s="254"/>
      <c r="I574" s="500"/>
      <c r="J574" s="181"/>
      <c r="K574" s="500"/>
      <c r="L574" s="181"/>
      <c r="M574" s="492"/>
      <c r="N574" s="254"/>
      <c r="O574" s="492"/>
      <c r="P574" s="254"/>
      <c r="Q574" s="492"/>
      <c r="R574" s="254"/>
      <c r="S574" s="528"/>
      <c r="T574" s="528"/>
      <c r="U574" s="492"/>
      <c r="V574" s="254"/>
      <c r="W574" s="492"/>
      <c r="X574" s="254"/>
      <c r="Y574" s="9"/>
      <c r="Z574" s="9"/>
      <c r="AA574" s="9"/>
      <c r="AB574" s="9"/>
      <c r="AC574" s="9"/>
      <c r="AD574" s="9"/>
      <c r="AE574" s="9"/>
      <c r="AF574" s="9"/>
      <c r="AG574" s="9"/>
      <c r="AH574" s="9"/>
      <c r="AI574" s="9"/>
      <c r="AJ574" s="9"/>
      <c r="AK574" s="9"/>
      <c r="AL574" s="9"/>
      <c r="AM574" s="9"/>
      <c r="AN574" s="9"/>
      <c r="AO574" s="9"/>
      <c r="AP574" s="9"/>
      <c r="AQ574" s="9"/>
      <c r="AR574" s="9"/>
      <c r="AS574" s="9"/>
      <c r="AT574" s="9"/>
    </row>
    <row r="575">
      <c r="A575" s="492"/>
      <c r="B575" s="254"/>
      <c r="C575" s="492"/>
      <c r="D575" s="254"/>
      <c r="E575" s="492"/>
      <c r="F575" s="254"/>
      <c r="G575" s="492"/>
      <c r="H575" s="254"/>
      <c r="I575" s="500"/>
      <c r="J575" s="181"/>
      <c r="K575" s="500"/>
      <c r="L575" s="181"/>
      <c r="M575" s="492"/>
      <c r="N575" s="254"/>
      <c r="O575" s="492"/>
      <c r="P575" s="254"/>
      <c r="Q575" s="492"/>
      <c r="R575" s="254"/>
      <c r="S575" s="528"/>
      <c r="T575" s="528"/>
      <c r="U575" s="492"/>
      <c r="V575" s="254"/>
      <c r="W575" s="492"/>
      <c r="X575" s="254"/>
      <c r="Y575" s="9"/>
      <c r="Z575" s="9"/>
      <c r="AA575" s="9"/>
      <c r="AB575" s="9"/>
      <c r="AC575" s="9"/>
      <c r="AD575" s="9"/>
      <c r="AE575" s="9"/>
      <c r="AF575" s="9"/>
      <c r="AG575" s="9"/>
      <c r="AH575" s="9"/>
      <c r="AI575" s="9"/>
      <c r="AJ575" s="9"/>
      <c r="AK575" s="9"/>
      <c r="AL575" s="9"/>
      <c r="AM575" s="9"/>
      <c r="AN575" s="9"/>
      <c r="AO575" s="9"/>
      <c r="AP575" s="9"/>
      <c r="AQ575" s="9"/>
      <c r="AR575" s="9"/>
      <c r="AS575" s="9"/>
      <c r="AT575" s="9"/>
    </row>
    <row r="576">
      <c r="A576" s="492"/>
      <c r="B576" s="254"/>
      <c r="C576" s="492"/>
      <c r="D576" s="254"/>
      <c r="E576" s="492"/>
      <c r="F576" s="254"/>
      <c r="G576" s="492"/>
      <c r="H576" s="254"/>
      <c r="I576" s="500"/>
      <c r="J576" s="181"/>
      <c r="K576" s="500"/>
      <c r="L576" s="181"/>
      <c r="M576" s="492"/>
      <c r="N576" s="254"/>
      <c r="O576" s="492"/>
      <c r="P576" s="254"/>
      <c r="Q576" s="492"/>
      <c r="R576" s="254"/>
      <c r="S576" s="528"/>
      <c r="T576" s="528"/>
      <c r="U576" s="492"/>
      <c r="V576" s="254"/>
      <c r="W576" s="492"/>
      <c r="X576" s="254"/>
      <c r="Y576" s="9"/>
      <c r="Z576" s="9"/>
      <c r="AA576" s="9"/>
      <c r="AB576" s="9"/>
      <c r="AC576" s="9"/>
      <c r="AD576" s="9"/>
      <c r="AE576" s="9"/>
      <c r="AF576" s="9"/>
      <c r="AG576" s="9"/>
      <c r="AH576" s="9"/>
      <c r="AI576" s="9"/>
      <c r="AJ576" s="9"/>
      <c r="AK576" s="9"/>
      <c r="AL576" s="9"/>
      <c r="AM576" s="9"/>
      <c r="AN576" s="9"/>
      <c r="AO576" s="9"/>
      <c r="AP576" s="9"/>
      <c r="AQ576" s="9"/>
      <c r="AR576" s="9"/>
      <c r="AS576" s="9"/>
      <c r="AT576" s="9"/>
    </row>
    <row r="577">
      <c r="A577" s="492"/>
      <c r="B577" s="254"/>
      <c r="C577" s="492"/>
      <c r="D577" s="254"/>
      <c r="E577" s="492"/>
      <c r="F577" s="254"/>
      <c r="G577" s="492"/>
      <c r="H577" s="254"/>
      <c r="I577" s="500"/>
      <c r="J577" s="181"/>
      <c r="K577" s="500"/>
      <c r="L577" s="181"/>
      <c r="M577" s="492"/>
      <c r="N577" s="254"/>
      <c r="O577" s="492"/>
      <c r="P577" s="254"/>
      <c r="Q577" s="492"/>
      <c r="R577" s="254"/>
      <c r="S577" s="528"/>
      <c r="T577" s="528"/>
      <c r="U577" s="492"/>
      <c r="V577" s="254"/>
      <c r="W577" s="492"/>
      <c r="X577" s="254"/>
      <c r="Y577" s="9"/>
      <c r="Z577" s="9"/>
      <c r="AA577" s="9"/>
      <c r="AB577" s="9"/>
      <c r="AC577" s="9"/>
      <c r="AD577" s="9"/>
      <c r="AE577" s="9"/>
      <c r="AF577" s="9"/>
      <c r="AG577" s="9"/>
      <c r="AH577" s="9"/>
      <c r="AI577" s="9"/>
      <c r="AJ577" s="9"/>
      <c r="AK577" s="9"/>
      <c r="AL577" s="9"/>
      <c r="AM577" s="9"/>
      <c r="AN577" s="9"/>
      <c r="AO577" s="9"/>
      <c r="AP577" s="9"/>
      <c r="AQ577" s="9"/>
      <c r="AR577" s="9"/>
      <c r="AS577" s="9"/>
      <c r="AT577" s="9"/>
    </row>
    <row r="578">
      <c r="A578" s="492"/>
      <c r="B578" s="254"/>
      <c r="C578" s="492"/>
      <c r="D578" s="254"/>
      <c r="E578" s="492"/>
      <c r="F578" s="254"/>
      <c r="G578" s="492"/>
      <c r="H578" s="254"/>
      <c r="I578" s="500"/>
      <c r="J578" s="181"/>
      <c r="K578" s="500"/>
      <c r="L578" s="181"/>
      <c r="M578" s="492"/>
      <c r="N578" s="254"/>
      <c r="O578" s="492"/>
      <c r="P578" s="254"/>
      <c r="Q578" s="492"/>
      <c r="R578" s="254"/>
      <c r="S578" s="528"/>
      <c r="T578" s="528"/>
      <c r="U578" s="492"/>
      <c r="V578" s="254"/>
      <c r="W578" s="492"/>
      <c r="X578" s="254"/>
      <c r="Y578" s="9"/>
      <c r="Z578" s="9"/>
      <c r="AA578" s="9"/>
      <c r="AB578" s="9"/>
      <c r="AC578" s="9"/>
      <c r="AD578" s="9"/>
      <c r="AE578" s="9"/>
      <c r="AF578" s="9"/>
      <c r="AG578" s="9"/>
      <c r="AH578" s="9"/>
      <c r="AI578" s="9"/>
      <c r="AJ578" s="9"/>
      <c r="AK578" s="9"/>
      <c r="AL578" s="9"/>
      <c r="AM578" s="9"/>
      <c r="AN578" s="9"/>
      <c r="AO578" s="9"/>
      <c r="AP578" s="9"/>
      <c r="AQ578" s="9"/>
      <c r="AR578" s="9"/>
      <c r="AS578" s="9"/>
      <c r="AT578" s="9"/>
    </row>
    <row r="579">
      <c r="A579" s="492"/>
      <c r="B579" s="254"/>
      <c r="C579" s="492"/>
      <c r="D579" s="254"/>
      <c r="E579" s="492"/>
      <c r="F579" s="254"/>
      <c r="G579" s="492"/>
      <c r="H579" s="254"/>
      <c r="I579" s="500"/>
      <c r="J579" s="181"/>
      <c r="K579" s="500"/>
      <c r="L579" s="181"/>
      <c r="M579" s="492"/>
      <c r="N579" s="254"/>
      <c r="O579" s="492"/>
      <c r="P579" s="254"/>
      <c r="Q579" s="492"/>
      <c r="R579" s="254"/>
      <c r="S579" s="528"/>
      <c r="T579" s="528"/>
      <c r="U579" s="492"/>
      <c r="V579" s="254"/>
      <c r="W579" s="492"/>
      <c r="X579" s="254"/>
      <c r="Y579" s="9"/>
      <c r="Z579" s="9"/>
      <c r="AA579" s="9"/>
      <c r="AB579" s="9"/>
      <c r="AC579" s="9"/>
      <c r="AD579" s="9"/>
      <c r="AE579" s="9"/>
      <c r="AF579" s="9"/>
      <c r="AG579" s="9"/>
      <c r="AH579" s="9"/>
      <c r="AI579" s="9"/>
      <c r="AJ579" s="9"/>
      <c r="AK579" s="9"/>
      <c r="AL579" s="9"/>
      <c r="AM579" s="9"/>
      <c r="AN579" s="9"/>
      <c r="AO579" s="9"/>
      <c r="AP579" s="9"/>
      <c r="AQ579" s="9"/>
      <c r="AR579" s="9"/>
      <c r="AS579" s="9"/>
      <c r="AT579" s="9"/>
    </row>
    <row r="580">
      <c r="A580" s="492"/>
      <c r="B580" s="254"/>
      <c r="C580" s="492"/>
      <c r="D580" s="254"/>
      <c r="E580" s="492"/>
      <c r="F580" s="254"/>
      <c r="G580" s="492"/>
      <c r="H580" s="254"/>
      <c r="I580" s="500"/>
      <c r="J580" s="181"/>
      <c r="K580" s="500"/>
      <c r="L580" s="181"/>
      <c r="M580" s="492"/>
      <c r="N580" s="254"/>
      <c r="O580" s="492"/>
      <c r="P580" s="254"/>
      <c r="Q580" s="492"/>
      <c r="R580" s="254"/>
      <c r="S580" s="528"/>
      <c r="T580" s="528"/>
      <c r="U580" s="492"/>
      <c r="V580" s="254"/>
      <c r="W580" s="492"/>
      <c r="X580" s="254"/>
      <c r="Y580" s="9"/>
      <c r="Z580" s="9"/>
      <c r="AA580" s="9"/>
      <c r="AB580" s="9"/>
      <c r="AC580" s="9"/>
      <c r="AD580" s="9"/>
      <c r="AE580" s="9"/>
      <c r="AF580" s="9"/>
      <c r="AG580" s="9"/>
      <c r="AH580" s="9"/>
      <c r="AI580" s="9"/>
      <c r="AJ580" s="9"/>
      <c r="AK580" s="9"/>
      <c r="AL580" s="9"/>
      <c r="AM580" s="9"/>
      <c r="AN580" s="9"/>
      <c r="AO580" s="9"/>
      <c r="AP580" s="9"/>
      <c r="AQ580" s="9"/>
      <c r="AR580" s="9"/>
      <c r="AS580" s="9"/>
      <c r="AT580" s="9"/>
    </row>
    <row r="581">
      <c r="A581" s="492"/>
      <c r="B581" s="254"/>
      <c r="C581" s="492"/>
      <c r="D581" s="254"/>
      <c r="E581" s="492"/>
      <c r="F581" s="254"/>
      <c r="G581" s="492"/>
      <c r="H581" s="254"/>
      <c r="I581" s="500"/>
      <c r="J581" s="181"/>
      <c r="K581" s="500"/>
      <c r="L581" s="181"/>
      <c r="M581" s="492"/>
      <c r="N581" s="254"/>
      <c r="O581" s="492"/>
      <c r="P581" s="254"/>
      <c r="Q581" s="492"/>
      <c r="R581" s="254"/>
      <c r="S581" s="528"/>
      <c r="T581" s="528"/>
      <c r="U581" s="492"/>
      <c r="V581" s="254"/>
      <c r="W581" s="492"/>
      <c r="X581" s="254"/>
      <c r="Y581" s="9"/>
      <c r="Z581" s="9"/>
      <c r="AA581" s="9"/>
      <c r="AB581" s="9"/>
      <c r="AC581" s="9"/>
      <c r="AD581" s="9"/>
      <c r="AE581" s="9"/>
      <c r="AF581" s="9"/>
      <c r="AG581" s="9"/>
      <c r="AH581" s="9"/>
      <c r="AI581" s="9"/>
      <c r="AJ581" s="9"/>
      <c r="AK581" s="9"/>
      <c r="AL581" s="9"/>
      <c r="AM581" s="9"/>
      <c r="AN581" s="9"/>
      <c r="AO581" s="9"/>
      <c r="AP581" s="9"/>
      <c r="AQ581" s="9"/>
      <c r="AR581" s="9"/>
      <c r="AS581" s="9"/>
      <c r="AT581" s="9"/>
    </row>
    <row r="582">
      <c r="A582" s="492"/>
      <c r="B582" s="254"/>
      <c r="C582" s="492"/>
      <c r="D582" s="254"/>
      <c r="E582" s="492"/>
      <c r="F582" s="254"/>
      <c r="G582" s="492"/>
      <c r="H582" s="254"/>
      <c r="I582" s="500"/>
      <c r="J582" s="181"/>
      <c r="K582" s="500"/>
      <c r="L582" s="181"/>
      <c r="M582" s="492"/>
      <c r="N582" s="254"/>
      <c r="O582" s="492"/>
      <c r="P582" s="254"/>
      <c r="Q582" s="492"/>
      <c r="R582" s="254"/>
      <c r="S582" s="528"/>
      <c r="T582" s="528"/>
      <c r="U582" s="492"/>
      <c r="V582" s="254"/>
      <c r="W582" s="492"/>
      <c r="X582" s="254"/>
      <c r="Y582" s="9"/>
      <c r="Z582" s="9"/>
      <c r="AA582" s="9"/>
      <c r="AB582" s="9"/>
      <c r="AC582" s="9"/>
      <c r="AD582" s="9"/>
      <c r="AE582" s="9"/>
      <c r="AF582" s="9"/>
      <c r="AG582" s="9"/>
      <c r="AH582" s="9"/>
      <c r="AI582" s="9"/>
      <c r="AJ582" s="9"/>
      <c r="AK582" s="9"/>
      <c r="AL582" s="9"/>
      <c r="AM582" s="9"/>
      <c r="AN582" s="9"/>
      <c r="AO582" s="9"/>
      <c r="AP582" s="9"/>
      <c r="AQ582" s="9"/>
      <c r="AR582" s="9"/>
      <c r="AS582" s="9"/>
      <c r="AT582" s="9"/>
    </row>
    <row r="583">
      <c r="A583" s="492"/>
      <c r="B583" s="254"/>
      <c r="C583" s="492"/>
      <c r="D583" s="254"/>
      <c r="E583" s="492"/>
      <c r="F583" s="254"/>
      <c r="G583" s="492"/>
      <c r="H583" s="254"/>
      <c r="I583" s="500"/>
      <c r="J583" s="181"/>
      <c r="K583" s="500"/>
      <c r="L583" s="181"/>
      <c r="M583" s="492"/>
      <c r="N583" s="254"/>
      <c r="O583" s="492"/>
      <c r="P583" s="254"/>
      <c r="Q583" s="492"/>
      <c r="R583" s="254"/>
      <c r="S583" s="528"/>
      <c r="T583" s="528"/>
      <c r="U583" s="492"/>
      <c r="V583" s="254"/>
      <c r="W583" s="492"/>
      <c r="X583" s="254"/>
      <c r="Y583" s="9"/>
      <c r="Z583" s="9"/>
      <c r="AA583" s="9"/>
      <c r="AB583" s="9"/>
      <c r="AC583" s="9"/>
      <c r="AD583" s="9"/>
      <c r="AE583" s="9"/>
      <c r="AF583" s="9"/>
      <c r="AG583" s="9"/>
      <c r="AH583" s="9"/>
      <c r="AI583" s="9"/>
      <c r="AJ583" s="9"/>
      <c r="AK583" s="9"/>
      <c r="AL583" s="9"/>
      <c r="AM583" s="9"/>
      <c r="AN583" s="9"/>
      <c r="AO583" s="9"/>
      <c r="AP583" s="9"/>
      <c r="AQ583" s="9"/>
      <c r="AR583" s="9"/>
      <c r="AS583" s="9"/>
      <c r="AT583" s="9"/>
    </row>
    <row r="584">
      <c r="A584" s="492"/>
      <c r="B584" s="254"/>
      <c r="C584" s="492"/>
      <c r="D584" s="254"/>
      <c r="E584" s="492"/>
      <c r="F584" s="254"/>
      <c r="G584" s="492"/>
      <c r="H584" s="254"/>
      <c r="I584" s="500"/>
      <c r="J584" s="181"/>
      <c r="K584" s="500"/>
      <c r="L584" s="181"/>
      <c r="M584" s="492"/>
      <c r="N584" s="254"/>
      <c r="O584" s="492"/>
      <c r="P584" s="254"/>
      <c r="Q584" s="492"/>
      <c r="R584" s="254"/>
      <c r="S584" s="528"/>
      <c r="T584" s="528"/>
      <c r="U584" s="492"/>
      <c r="V584" s="254"/>
      <c r="W584" s="492"/>
      <c r="X584" s="254"/>
      <c r="Y584" s="9"/>
      <c r="Z584" s="9"/>
      <c r="AA584" s="9"/>
      <c r="AB584" s="9"/>
      <c r="AC584" s="9"/>
      <c r="AD584" s="9"/>
      <c r="AE584" s="9"/>
      <c r="AF584" s="9"/>
      <c r="AG584" s="9"/>
      <c r="AH584" s="9"/>
      <c r="AI584" s="9"/>
      <c r="AJ584" s="9"/>
      <c r="AK584" s="9"/>
      <c r="AL584" s="9"/>
      <c r="AM584" s="9"/>
      <c r="AN584" s="9"/>
      <c r="AO584" s="9"/>
      <c r="AP584" s="9"/>
      <c r="AQ584" s="9"/>
      <c r="AR584" s="9"/>
      <c r="AS584" s="9"/>
      <c r="AT584" s="9"/>
    </row>
    <row r="585">
      <c r="A585" s="492"/>
      <c r="B585" s="254"/>
      <c r="C585" s="492"/>
      <c r="D585" s="254"/>
      <c r="E585" s="492"/>
      <c r="F585" s="254"/>
      <c r="G585" s="492"/>
      <c r="H585" s="254"/>
      <c r="I585" s="500"/>
      <c r="J585" s="181"/>
      <c r="K585" s="500"/>
      <c r="L585" s="181"/>
      <c r="M585" s="492"/>
      <c r="N585" s="254"/>
      <c r="O585" s="492"/>
      <c r="P585" s="254"/>
      <c r="Q585" s="492"/>
      <c r="R585" s="254"/>
      <c r="S585" s="528"/>
      <c r="T585" s="528"/>
      <c r="U585" s="492"/>
      <c r="V585" s="254"/>
      <c r="W585" s="492"/>
      <c r="X585" s="254"/>
      <c r="Y585" s="9"/>
      <c r="Z585" s="9"/>
      <c r="AA585" s="9"/>
      <c r="AB585" s="9"/>
      <c r="AC585" s="9"/>
      <c r="AD585" s="9"/>
      <c r="AE585" s="9"/>
      <c r="AF585" s="9"/>
      <c r="AG585" s="9"/>
      <c r="AH585" s="9"/>
      <c r="AI585" s="9"/>
      <c r="AJ585" s="9"/>
      <c r="AK585" s="9"/>
      <c r="AL585" s="9"/>
      <c r="AM585" s="9"/>
      <c r="AN585" s="9"/>
      <c r="AO585" s="9"/>
      <c r="AP585" s="9"/>
      <c r="AQ585" s="9"/>
      <c r="AR585" s="9"/>
      <c r="AS585" s="9"/>
      <c r="AT585" s="9"/>
    </row>
    <row r="586">
      <c r="A586" s="492"/>
      <c r="B586" s="254"/>
      <c r="C586" s="492"/>
      <c r="D586" s="254"/>
      <c r="E586" s="492"/>
      <c r="F586" s="254"/>
      <c r="G586" s="492"/>
      <c r="H586" s="254"/>
      <c r="I586" s="500"/>
      <c r="J586" s="181"/>
      <c r="K586" s="500"/>
      <c r="L586" s="181"/>
      <c r="M586" s="492"/>
      <c r="N586" s="254"/>
      <c r="O586" s="492"/>
      <c r="P586" s="254"/>
      <c r="Q586" s="492"/>
      <c r="R586" s="254"/>
      <c r="S586" s="528"/>
      <c r="T586" s="528"/>
      <c r="U586" s="492"/>
      <c r="V586" s="254"/>
      <c r="W586" s="492"/>
      <c r="X586" s="254"/>
      <c r="Y586" s="9"/>
      <c r="Z586" s="9"/>
      <c r="AA586" s="9"/>
      <c r="AB586" s="9"/>
      <c r="AC586" s="9"/>
      <c r="AD586" s="9"/>
      <c r="AE586" s="9"/>
      <c r="AF586" s="9"/>
      <c r="AG586" s="9"/>
      <c r="AH586" s="9"/>
      <c r="AI586" s="9"/>
      <c r="AJ586" s="9"/>
      <c r="AK586" s="9"/>
      <c r="AL586" s="9"/>
      <c r="AM586" s="9"/>
      <c r="AN586" s="9"/>
      <c r="AO586" s="9"/>
      <c r="AP586" s="9"/>
      <c r="AQ586" s="9"/>
      <c r="AR586" s="9"/>
      <c r="AS586" s="9"/>
      <c r="AT586" s="9"/>
    </row>
    <row r="587">
      <c r="A587" s="492"/>
      <c r="B587" s="254"/>
      <c r="C587" s="492"/>
      <c r="D587" s="254"/>
      <c r="E587" s="492"/>
      <c r="F587" s="254"/>
      <c r="G587" s="492"/>
      <c r="H587" s="254"/>
      <c r="I587" s="500"/>
      <c r="J587" s="181"/>
      <c r="K587" s="500"/>
      <c r="L587" s="181"/>
      <c r="M587" s="492"/>
      <c r="N587" s="254"/>
      <c r="O587" s="492"/>
      <c r="P587" s="254"/>
      <c r="Q587" s="492"/>
      <c r="R587" s="254"/>
      <c r="S587" s="528"/>
      <c r="T587" s="528"/>
      <c r="U587" s="492"/>
      <c r="V587" s="254"/>
      <c r="W587" s="492"/>
      <c r="X587" s="254"/>
      <c r="Y587" s="9"/>
      <c r="Z587" s="9"/>
      <c r="AA587" s="9"/>
      <c r="AB587" s="9"/>
      <c r="AC587" s="9"/>
      <c r="AD587" s="9"/>
      <c r="AE587" s="9"/>
      <c r="AF587" s="9"/>
      <c r="AG587" s="9"/>
      <c r="AH587" s="9"/>
      <c r="AI587" s="9"/>
      <c r="AJ587" s="9"/>
      <c r="AK587" s="9"/>
      <c r="AL587" s="9"/>
      <c r="AM587" s="9"/>
      <c r="AN587" s="9"/>
      <c r="AO587" s="9"/>
      <c r="AP587" s="9"/>
      <c r="AQ587" s="9"/>
      <c r="AR587" s="9"/>
      <c r="AS587" s="9"/>
      <c r="AT587" s="9"/>
    </row>
    <row r="588">
      <c r="A588" s="492"/>
      <c r="B588" s="254"/>
      <c r="C588" s="492"/>
      <c r="D588" s="254"/>
      <c r="E588" s="492"/>
      <c r="F588" s="254"/>
      <c r="G588" s="492"/>
      <c r="H588" s="254"/>
      <c r="I588" s="500"/>
      <c r="J588" s="181"/>
      <c r="K588" s="500"/>
      <c r="L588" s="181"/>
      <c r="M588" s="492"/>
      <c r="N588" s="254"/>
      <c r="O588" s="492"/>
      <c r="P588" s="254"/>
      <c r="Q588" s="492"/>
      <c r="R588" s="254"/>
      <c r="S588" s="528"/>
      <c r="T588" s="528"/>
      <c r="U588" s="492"/>
      <c r="V588" s="254"/>
      <c r="W588" s="492"/>
      <c r="X588" s="254"/>
      <c r="Y588" s="9"/>
      <c r="Z588" s="9"/>
      <c r="AA588" s="9"/>
      <c r="AB588" s="9"/>
      <c r="AC588" s="9"/>
      <c r="AD588" s="9"/>
      <c r="AE588" s="9"/>
      <c r="AF588" s="9"/>
      <c r="AG588" s="9"/>
      <c r="AH588" s="9"/>
      <c r="AI588" s="9"/>
      <c r="AJ588" s="9"/>
      <c r="AK588" s="9"/>
      <c r="AL588" s="9"/>
      <c r="AM588" s="9"/>
      <c r="AN588" s="9"/>
      <c r="AO588" s="9"/>
      <c r="AP588" s="9"/>
      <c r="AQ588" s="9"/>
      <c r="AR588" s="9"/>
      <c r="AS588" s="9"/>
      <c r="AT588" s="9"/>
    </row>
    <row r="589">
      <c r="A589" s="492"/>
      <c r="B589" s="254"/>
      <c r="C589" s="492"/>
      <c r="D589" s="254"/>
      <c r="E589" s="492"/>
      <c r="F589" s="254"/>
      <c r="G589" s="492"/>
      <c r="H589" s="254"/>
      <c r="I589" s="500"/>
      <c r="J589" s="181"/>
      <c r="K589" s="500"/>
      <c r="L589" s="181"/>
      <c r="M589" s="492"/>
      <c r="N589" s="254"/>
      <c r="O589" s="492"/>
      <c r="P589" s="254"/>
      <c r="Q589" s="492"/>
      <c r="R589" s="254"/>
      <c r="S589" s="528"/>
      <c r="T589" s="528"/>
      <c r="U589" s="492"/>
      <c r="V589" s="254"/>
      <c r="W589" s="492"/>
      <c r="X589" s="254"/>
      <c r="Y589" s="9"/>
      <c r="Z589" s="9"/>
      <c r="AA589" s="9"/>
      <c r="AB589" s="9"/>
      <c r="AC589" s="9"/>
      <c r="AD589" s="9"/>
      <c r="AE589" s="9"/>
      <c r="AF589" s="9"/>
      <c r="AG589" s="9"/>
      <c r="AH589" s="9"/>
      <c r="AI589" s="9"/>
      <c r="AJ589" s="9"/>
      <c r="AK589" s="9"/>
      <c r="AL589" s="9"/>
      <c r="AM589" s="9"/>
      <c r="AN589" s="9"/>
      <c r="AO589" s="9"/>
      <c r="AP589" s="9"/>
      <c r="AQ589" s="9"/>
      <c r="AR589" s="9"/>
      <c r="AS589" s="9"/>
      <c r="AT589" s="9"/>
    </row>
    <row r="590">
      <c r="A590" s="492"/>
      <c r="B590" s="254"/>
      <c r="C590" s="492"/>
      <c r="D590" s="254"/>
      <c r="E590" s="492"/>
      <c r="F590" s="254"/>
      <c r="G590" s="492"/>
      <c r="H590" s="254"/>
      <c r="I590" s="500"/>
      <c r="J590" s="181"/>
      <c r="K590" s="500"/>
      <c r="L590" s="181"/>
      <c r="M590" s="492"/>
      <c r="N590" s="254"/>
      <c r="O590" s="492"/>
      <c r="P590" s="254"/>
      <c r="Q590" s="492"/>
      <c r="R590" s="254"/>
      <c r="S590" s="528"/>
      <c r="T590" s="528"/>
      <c r="U590" s="492"/>
      <c r="V590" s="254"/>
      <c r="W590" s="492"/>
      <c r="X590" s="254"/>
      <c r="Y590" s="9"/>
      <c r="Z590" s="9"/>
      <c r="AA590" s="9"/>
      <c r="AB590" s="9"/>
      <c r="AC590" s="9"/>
      <c r="AD590" s="9"/>
      <c r="AE590" s="9"/>
      <c r="AF590" s="9"/>
      <c r="AG590" s="9"/>
      <c r="AH590" s="9"/>
      <c r="AI590" s="9"/>
      <c r="AJ590" s="9"/>
      <c r="AK590" s="9"/>
      <c r="AL590" s="9"/>
      <c r="AM590" s="9"/>
      <c r="AN590" s="9"/>
      <c r="AO590" s="9"/>
      <c r="AP590" s="9"/>
      <c r="AQ590" s="9"/>
      <c r="AR590" s="9"/>
      <c r="AS590" s="9"/>
      <c r="AT590" s="9"/>
    </row>
    <row r="591">
      <c r="A591" s="492"/>
      <c r="B591" s="254"/>
      <c r="C591" s="492"/>
      <c r="D591" s="254"/>
      <c r="E591" s="492"/>
      <c r="F591" s="254"/>
      <c r="G591" s="492"/>
      <c r="H591" s="254"/>
      <c r="I591" s="500"/>
      <c r="J591" s="181"/>
      <c r="K591" s="500"/>
      <c r="L591" s="181"/>
      <c r="M591" s="492"/>
      <c r="N591" s="254"/>
      <c r="O591" s="492"/>
      <c r="P591" s="254"/>
      <c r="Q591" s="492"/>
      <c r="R591" s="254"/>
      <c r="S591" s="528"/>
      <c r="T591" s="528"/>
      <c r="U591" s="492"/>
      <c r="V591" s="254"/>
      <c r="W591" s="492"/>
      <c r="X591" s="254"/>
      <c r="Y591" s="9"/>
      <c r="Z591" s="9"/>
      <c r="AA591" s="9"/>
      <c r="AB591" s="9"/>
      <c r="AC591" s="9"/>
      <c r="AD591" s="9"/>
      <c r="AE591" s="9"/>
      <c r="AF591" s="9"/>
      <c r="AG591" s="9"/>
      <c r="AH591" s="9"/>
      <c r="AI591" s="9"/>
      <c r="AJ591" s="9"/>
      <c r="AK591" s="9"/>
      <c r="AL591" s="9"/>
      <c r="AM591" s="9"/>
      <c r="AN591" s="9"/>
      <c r="AO591" s="9"/>
      <c r="AP591" s="9"/>
      <c r="AQ591" s="9"/>
      <c r="AR591" s="9"/>
      <c r="AS591" s="9"/>
      <c r="AT591" s="9"/>
    </row>
    <row r="592">
      <c r="A592" s="492"/>
      <c r="B592" s="254"/>
      <c r="C592" s="492"/>
      <c r="D592" s="254"/>
      <c r="E592" s="492"/>
      <c r="F592" s="254"/>
      <c r="G592" s="492"/>
      <c r="H592" s="254"/>
      <c r="I592" s="500"/>
      <c r="J592" s="181"/>
      <c r="K592" s="500"/>
      <c r="L592" s="181"/>
      <c r="M592" s="492"/>
      <c r="N592" s="254"/>
      <c r="O592" s="492"/>
      <c r="P592" s="254"/>
      <c r="Q592" s="492"/>
      <c r="R592" s="254"/>
      <c r="S592" s="528"/>
      <c r="T592" s="528"/>
      <c r="U592" s="492"/>
      <c r="V592" s="254"/>
      <c r="W592" s="492"/>
      <c r="X592" s="254"/>
      <c r="Y592" s="9"/>
      <c r="Z592" s="9"/>
      <c r="AA592" s="9"/>
      <c r="AB592" s="9"/>
      <c r="AC592" s="9"/>
      <c r="AD592" s="9"/>
      <c r="AE592" s="9"/>
      <c r="AF592" s="9"/>
      <c r="AG592" s="9"/>
      <c r="AH592" s="9"/>
      <c r="AI592" s="9"/>
      <c r="AJ592" s="9"/>
      <c r="AK592" s="9"/>
      <c r="AL592" s="9"/>
      <c r="AM592" s="9"/>
      <c r="AN592" s="9"/>
      <c r="AO592" s="9"/>
      <c r="AP592" s="9"/>
      <c r="AQ592" s="9"/>
      <c r="AR592" s="9"/>
      <c r="AS592" s="9"/>
      <c r="AT592" s="9"/>
    </row>
    <row r="593">
      <c r="A593" s="492"/>
      <c r="B593" s="254"/>
      <c r="C593" s="492"/>
      <c r="D593" s="254"/>
      <c r="E593" s="492"/>
      <c r="F593" s="254"/>
      <c r="G593" s="492"/>
      <c r="H593" s="254"/>
      <c r="I593" s="500"/>
      <c r="J593" s="181"/>
      <c r="K593" s="500"/>
      <c r="L593" s="181"/>
      <c r="M593" s="492"/>
      <c r="N593" s="254"/>
      <c r="O593" s="492"/>
      <c r="P593" s="254"/>
      <c r="Q593" s="492"/>
      <c r="R593" s="254"/>
      <c r="S593" s="528"/>
      <c r="T593" s="528"/>
      <c r="U593" s="492"/>
      <c r="V593" s="254"/>
      <c r="W593" s="492"/>
      <c r="X593" s="254"/>
      <c r="Y593" s="9"/>
      <c r="Z593" s="9"/>
      <c r="AA593" s="9"/>
      <c r="AB593" s="9"/>
      <c r="AC593" s="9"/>
      <c r="AD593" s="9"/>
      <c r="AE593" s="9"/>
      <c r="AF593" s="9"/>
      <c r="AG593" s="9"/>
      <c r="AH593" s="9"/>
      <c r="AI593" s="9"/>
      <c r="AJ593" s="9"/>
      <c r="AK593" s="9"/>
      <c r="AL593" s="9"/>
      <c r="AM593" s="9"/>
      <c r="AN593" s="9"/>
      <c r="AO593" s="9"/>
      <c r="AP593" s="9"/>
      <c r="AQ593" s="9"/>
      <c r="AR593" s="9"/>
      <c r="AS593" s="9"/>
      <c r="AT593" s="9"/>
    </row>
    <row r="594">
      <c r="A594" s="492"/>
      <c r="B594" s="254"/>
      <c r="C594" s="492"/>
      <c r="D594" s="254"/>
      <c r="E594" s="492"/>
      <c r="F594" s="254"/>
      <c r="G594" s="492"/>
      <c r="H594" s="254"/>
      <c r="I594" s="500"/>
      <c r="J594" s="181"/>
      <c r="K594" s="500"/>
      <c r="L594" s="181"/>
      <c r="M594" s="492"/>
      <c r="N594" s="254"/>
      <c r="O594" s="492"/>
      <c r="P594" s="254"/>
      <c r="Q594" s="492"/>
      <c r="R594" s="254"/>
      <c r="S594" s="528"/>
      <c r="T594" s="528"/>
      <c r="U594" s="492"/>
      <c r="V594" s="254"/>
      <c r="W594" s="492"/>
      <c r="X594" s="254"/>
      <c r="Y594" s="9"/>
      <c r="Z594" s="9"/>
      <c r="AA594" s="9"/>
      <c r="AB594" s="9"/>
      <c r="AC594" s="9"/>
      <c r="AD594" s="9"/>
      <c r="AE594" s="9"/>
      <c r="AF594" s="9"/>
      <c r="AG594" s="9"/>
      <c r="AH594" s="9"/>
      <c r="AI594" s="9"/>
      <c r="AJ594" s="9"/>
      <c r="AK594" s="9"/>
      <c r="AL594" s="9"/>
      <c r="AM594" s="9"/>
      <c r="AN594" s="9"/>
      <c r="AO594" s="9"/>
      <c r="AP594" s="9"/>
      <c r="AQ594" s="9"/>
      <c r="AR594" s="9"/>
      <c r="AS594" s="9"/>
      <c r="AT594" s="9"/>
    </row>
    <row r="595">
      <c r="A595" s="492"/>
      <c r="B595" s="254"/>
      <c r="C595" s="492"/>
      <c r="D595" s="254"/>
      <c r="E595" s="492"/>
      <c r="F595" s="254"/>
      <c r="G595" s="492"/>
      <c r="H595" s="254"/>
      <c r="I595" s="500"/>
      <c r="J595" s="181"/>
      <c r="K595" s="500"/>
      <c r="L595" s="181"/>
      <c r="M595" s="492"/>
      <c r="N595" s="254"/>
      <c r="O595" s="492"/>
      <c r="P595" s="254"/>
      <c r="Q595" s="492"/>
      <c r="R595" s="254"/>
      <c r="S595" s="528"/>
      <c r="T595" s="528"/>
      <c r="U595" s="492"/>
      <c r="V595" s="254"/>
      <c r="W595" s="492"/>
      <c r="X595" s="254"/>
      <c r="Y595" s="9"/>
      <c r="Z595" s="9"/>
      <c r="AA595" s="9"/>
      <c r="AB595" s="9"/>
      <c r="AC595" s="9"/>
      <c r="AD595" s="9"/>
      <c r="AE595" s="9"/>
      <c r="AF595" s="9"/>
      <c r="AG595" s="9"/>
      <c r="AH595" s="9"/>
      <c r="AI595" s="9"/>
      <c r="AJ595" s="9"/>
      <c r="AK595" s="9"/>
      <c r="AL595" s="9"/>
      <c r="AM595" s="9"/>
      <c r="AN595" s="9"/>
      <c r="AO595" s="9"/>
      <c r="AP595" s="9"/>
      <c r="AQ595" s="9"/>
      <c r="AR595" s="9"/>
      <c r="AS595" s="9"/>
      <c r="AT595" s="9"/>
    </row>
    <row r="596">
      <c r="A596" s="492"/>
      <c r="B596" s="254"/>
      <c r="C596" s="492"/>
      <c r="D596" s="254"/>
      <c r="E596" s="492"/>
      <c r="F596" s="254"/>
      <c r="G596" s="492"/>
      <c r="H596" s="254"/>
      <c r="I596" s="500"/>
      <c r="J596" s="181"/>
      <c r="K596" s="500"/>
      <c r="L596" s="181"/>
      <c r="M596" s="492"/>
      <c r="N596" s="254"/>
      <c r="O596" s="492"/>
      <c r="P596" s="254"/>
      <c r="Q596" s="492"/>
      <c r="R596" s="254"/>
      <c r="S596" s="528"/>
      <c r="T596" s="528"/>
      <c r="U596" s="492"/>
      <c r="V596" s="254"/>
      <c r="W596" s="492"/>
      <c r="X596" s="254"/>
      <c r="Y596" s="9"/>
      <c r="Z596" s="9"/>
      <c r="AA596" s="9"/>
      <c r="AB596" s="9"/>
      <c r="AC596" s="9"/>
      <c r="AD596" s="9"/>
      <c r="AE596" s="9"/>
      <c r="AF596" s="9"/>
      <c r="AG596" s="9"/>
      <c r="AH596" s="9"/>
      <c r="AI596" s="9"/>
      <c r="AJ596" s="9"/>
      <c r="AK596" s="9"/>
      <c r="AL596" s="9"/>
      <c r="AM596" s="9"/>
      <c r="AN596" s="9"/>
      <c r="AO596" s="9"/>
      <c r="AP596" s="9"/>
      <c r="AQ596" s="9"/>
      <c r="AR596" s="9"/>
      <c r="AS596" s="9"/>
      <c r="AT596" s="9"/>
    </row>
    <row r="597">
      <c r="A597" s="492"/>
      <c r="B597" s="254"/>
      <c r="C597" s="492"/>
      <c r="D597" s="254"/>
      <c r="E597" s="492"/>
      <c r="F597" s="254"/>
      <c r="G597" s="492"/>
      <c r="H597" s="254"/>
      <c r="I597" s="500"/>
      <c r="J597" s="181"/>
      <c r="K597" s="500"/>
      <c r="L597" s="181"/>
      <c r="M597" s="492"/>
      <c r="N597" s="254"/>
      <c r="O597" s="492"/>
      <c r="P597" s="254"/>
      <c r="Q597" s="492"/>
      <c r="R597" s="254"/>
      <c r="S597" s="528"/>
      <c r="T597" s="528"/>
      <c r="U597" s="492"/>
      <c r="V597" s="254"/>
      <c r="W597" s="492"/>
      <c r="X597" s="254"/>
      <c r="Y597" s="9"/>
      <c r="Z597" s="9"/>
      <c r="AA597" s="9"/>
      <c r="AB597" s="9"/>
      <c r="AC597" s="9"/>
      <c r="AD597" s="9"/>
      <c r="AE597" s="9"/>
      <c r="AF597" s="9"/>
      <c r="AG597" s="9"/>
      <c r="AH597" s="9"/>
      <c r="AI597" s="9"/>
      <c r="AJ597" s="9"/>
      <c r="AK597" s="9"/>
      <c r="AL597" s="9"/>
      <c r="AM597" s="9"/>
      <c r="AN597" s="9"/>
      <c r="AO597" s="9"/>
      <c r="AP597" s="9"/>
      <c r="AQ597" s="9"/>
      <c r="AR597" s="9"/>
      <c r="AS597" s="9"/>
      <c r="AT597" s="9"/>
    </row>
    <row r="598">
      <c r="A598" s="492"/>
      <c r="B598" s="254"/>
      <c r="C598" s="492"/>
      <c r="D598" s="254"/>
      <c r="E598" s="492"/>
      <c r="F598" s="254"/>
      <c r="G598" s="492"/>
      <c r="H598" s="254"/>
      <c r="I598" s="500"/>
      <c r="J598" s="181"/>
      <c r="K598" s="500"/>
      <c r="L598" s="181"/>
      <c r="M598" s="492"/>
      <c r="N598" s="254"/>
      <c r="O598" s="492"/>
      <c r="P598" s="254"/>
      <c r="Q598" s="492"/>
      <c r="R598" s="254"/>
      <c r="S598" s="528"/>
      <c r="T598" s="528"/>
      <c r="U598" s="492"/>
      <c r="V598" s="254"/>
      <c r="W598" s="492"/>
      <c r="X598" s="254"/>
      <c r="Y598" s="9"/>
      <c r="Z598" s="9"/>
      <c r="AA598" s="9"/>
      <c r="AB598" s="9"/>
      <c r="AC598" s="9"/>
      <c r="AD598" s="9"/>
      <c r="AE598" s="9"/>
      <c r="AF598" s="9"/>
      <c r="AG598" s="9"/>
      <c r="AH598" s="9"/>
      <c r="AI598" s="9"/>
      <c r="AJ598" s="9"/>
      <c r="AK598" s="9"/>
      <c r="AL598" s="9"/>
      <c r="AM598" s="9"/>
      <c r="AN598" s="9"/>
      <c r="AO598" s="9"/>
      <c r="AP598" s="9"/>
      <c r="AQ598" s="9"/>
      <c r="AR598" s="9"/>
      <c r="AS598" s="9"/>
      <c r="AT598" s="9"/>
    </row>
    <row r="599">
      <c r="A599" s="492"/>
      <c r="B599" s="254"/>
      <c r="C599" s="492"/>
      <c r="D599" s="254"/>
      <c r="E599" s="492"/>
      <c r="F599" s="254"/>
      <c r="G599" s="492"/>
      <c r="H599" s="254"/>
      <c r="I599" s="500"/>
      <c r="J599" s="181"/>
      <c r="K599" s="500"/>
      <c r="L599" s="181"/>
      <c r="M599" s="492"/>
      <c r="N599" s="254"/>
      <c r="O599" s="492"/>
      <c r="P599" s="254"/>
      <c r="Q599" s="492"/>
      <c r="R599" s="254"/>
      <c r="S599" s="528"/>
      <c r="T599" s="528"/>
      <c r="U599" s="492"/>
      <c r="V599" s="254"/>
      <c r="W599" s="492"/>
      <c r="X599" s="254"/>
      <c r="Y599" s="9"/>
      <c r="Z599" s="9"/>
      <c r="AA599" s="9"/>
      <c r="AB599" s="9"/>
      <c r="AC599" s="9"/>
      <c r="AD599" s="9"/>
      <c r="AE599" s="9"/>
      <c r="AF599" s="9"/>
      <c r="AG599" s="9"/>
      <c r="AH599" s="9"/>
      <c r="AI599" s="9"/>
      <c r="AJ599" s="9"/>
      <c r="AK599" s="9"/>
      <c r="AL599" s="9"/>
      <c r="AM599" s="9"/>
      <c r="AN599" s="9"/>
      <c r="AO599" s="9"/>
      <c r="AP599" s="9"/>
      <c r="AQ599" s="9"/>
      <c r="AR599" s="9"/>
      <c r="AS599" s="9"/>
      <c r="AT599" s="9"/>
    </row>
    <row r="600">
      <c r="A600" s="492"/>
      <c r="B600" s="254"/>
      <c r="C600" s="492"/>
      <c r="D600" s="254"/>
      <c r="E600" s="492"/>
      <c r="F600" s="254"/>
      <c r="G600" s="492"/>
      <c r="H600" s="254"/>
      <c r="I600" s="500"/>
      <c r="J600" s="181"/>
      <c r="K600" s="500"/>
      <c r="L600" s="181"/>
      <c r="M600" s="492"/>
      <c r="N600" s="254"/>
      <c r="O600" s="492"/>
      <c r="P600" s="254"/>
      <c r="Q600" s="492"/>
      <c r="R600" s="254"/>
      <c r="S600" s="528"/>
      <c r="T600" s="528"/>
      <c r="U600" s="492"/>
      <c r="V600" s="254"/>
      <c r="W600" s="492"/>
      <c r="X600" s="254"/>
      <c r="Y600" s="9"/>
      <c r="Z600" s="9"/>
      <c r="AA600" s="9"/>
      <c r="AB600" s="9"/>
      <c r="AC600" s="9"/>
      <c r="AD600" s="9"/>
      <c r="AE600" s="9"/>
      <c r="AF600" s="9"/>
      <c r="AG600" s="9"/>
      <c r="AH600" s="9"/>
      <c r="AI600" s="9"/>
      <c r="AJ600" s="9"/>
      <c r="AK600" s="9"/>
      <c r="AL600" s="9"/>
      <c r="AM600" s="9"/>
      <c r="AN600" s="9"/>
      <c r="AO600" s="9"/>
      <c r="AP600" s="9"/>
      <c r="AQ600" s="9"/>
      <c r="AR600" s="9"/>
      <c r="AS600" s="9"/>
      <c r="AT600" s="9"/>
    </row>
    <row r="601">
      <c r="A601" s="492"/>
      <c r="B601" s="254"/>
      <c r="C601" s="492"/>
      <c r="D601" s="254"/>
      <c r="E601" s="492"/>
      <c r="F601" s="254"/>
      <c r="G601" s="492"/>
      <c r="H601" s="254"/>
      <c r="I601" s="500"/>
      <c r="J601" s="181"/>
      <c r="K601" s="500"/>
      <c r="L601" s="181"/>
      <c r="M601" s="492"/>
      <c r="N601" s="254"/>
      <c r="O601" s="492"/>
      <c r="P601" s="254"/>
      <c r="Q601" s="492"/>
      <c r="R601" s="254"/>
      <c r="S601" s="528"/>
      <c r="T601" s="528"/>
      <c r="U601" s="492"/>
      <c r="V601" s="254"/>
      <c r="W601" s="492"/>
      <c r="X601" s="254"/>
      <c r="Y601" s="9"/>
      <c r="Z601" s="9"/>
      <c r="AA601" s="9"/>
      <c r="AB601" s="9"/>
      <c r="AC601" s="9"/>
      <c r="AD601" s="9"/>
      <c r="AE601" s="9"/>
      <c r="AF601" s="9"/>
      <c r="AG601" s="9"/>
      <c r="AH601" s="9"/>
      <c r="AI601" s="9"/>
      <c r="AJ601" s="9"/>
      <c r="AK601" s="9"/>
      <c r="AL601" s="9"/>
      <c r="AM601" s="9"/>
      <c r="AN601" s="9"/>
      <c r="AO601" s="9"/>
      <c r="AP601" s="9"/>
      <c r="AQ601" s="9"/>
      <c r="AR601" s="9"/>
      <c r="AS601" s="9"/>
      <c r="AT601" s="9"/>
    </row>
    <row r="602">
      <c r="A602" s="492"/>
      <c r="B602" s="254"/>
      <c r="C602" s="492"/>
      <c r="D602" s="254"/>
      <c r="E602" s="492"/>
      <c r="F602" s="254"/>
      <c r="G602" s="492"/>
      <c r="H602" s="254"/>
      <c r="I602" s="500"/>
      <c r="J602" s="181"/>
      <c r="K602" s="500"/>
      <c r="L602" s="181"/>
      <c r="M602" s="492"/>
      <c r="N602" s="254"/>
      <c r="O602" s="492"/>
      <c r="P602" s="254"/>
      <c r="Q602" s="492"/>
      <c r="R602" s="254"/>
      <c r="S602" s="528"/>
      <c r="T602" s="528"/>
      <c r="U602" s="492"/>
      <c r="V602" s="254"/>
      <c r="W602" s="492"/>
      <c r="X602" s="254"/>
      <c r="Y602" s="9"/>
      <c r="Z602" s="9"/>
      <c r="AA602" s="9"/>
      <c r="AB602" s="9"/>
      <c r="AC602" s="9"/>
      <c r="AD602" s="9"/>
      <c r="AE602" s="9"/>
      <c r="AF602" s="9"/>
      <c r="AG602" s="9"/>
      <c r="AH602" s="9"/>
      <c r="AI602" s="9"/>
      <c r="AJ602" s="9"/>
      <c r="AK602" s="9"/>
      <c r="AL602" s="9"/>
      <c r="AM602" s="9"/>
      <c r="AN602" s="9"/>
      <c r="AO602" s="9"/>
      <c r="AP602" s="9"/>
      <c r="AQ602" s="9"/>
      <c r="AR602" s="9"/>
      <c r="AS602" s="9"/>
      <c r="AT602" s="9"/>
    </row>
    <row r="603">
      <c r="A603" s="492"/>
      <c r="B603" s="254"/>
      <c r="C603" s="492"/>
      <c r="D603" s="254"/>
      <c r="E603" s="492"/>
      <c r="F603" s="254"/>
      <c r="G603" s="492"/>
      <c r="H603" s="254"/>
      <c r="I603" s="500"/>
      <c r="J603" s="181"/>
      <c r="K603" s="500"/>
      <c r="L603" s="181"/>
      <c r="M603" s="492"/>
      <c r="N603" s="254"/>
      <c r="O603" s="492"/>
      <c r="P603" s="254"/>
      <c r="Q603" s="492"/>
      <c r="R603" s="254"/>
      <c r="S603" s="528"/>
      <c r="T603" s="528"/>
      <c r="U603" s="492"/>
      <c r="V603" s="254"/>
      <c r="W603" s="492"/>
      <c r="X603" s="254"/>
      <c r="Y603" s="9"/>
      <c r="Z603" s="9"/>
      <c r="AA603" s="9"/>
      <c r="AB603" s="9"/>
      <c r="AC603" s="9"/>
      <c r="AD603" s="9"/>
      <c r="AE603" s="9"/>
      <c r="AF603" s="9"/>
      <c r="AG603" s="9"/>
      <c r="AH603" s="9"/>
      <c r="AI603" s="9"/>
      <c r="AJ603" s="9"/>
      <c r="AK603" s="9"/>
      <c r="AL603" s="9"/>
      <c r="AM603" s="9"/>
      <c r="AN603" s="9"/>
      <c r="AO603" s="9"/>
      <c r="AP603" s="9"/>
      <c r="AQ603" s="9"/>
      <c r="AR603" s="9"/>
      <c r="AS603" s="9"/>
      <c r="AT603" s="9"/>
    </row>
    <row r="604">
      <c r="A604" s="492"/>
      <c r="B604" s="254"/>
      <c r="C604" s="492"/>
      <c r="D604" s="254"/>
      <c r="E604" s="492"/>
      <c r="F604" s="254"/>
      <c r="G604" s="492"/>
      <c r="H604" s="254"/>
      <c r="I604" s="500"/>
      <c r="J604" s="181"/>
      <c r="K604" s="500"/>
      <c r="L604" s="181"/>
      <c r="M604" s="492"/>
      <c r="N604" s="254"/>
      <c r="O604" s="492"/>
      <c r="P604" s="254"/>
      <c r="Q604" s="492"/>
      <c r="R604" s="254"/>
      <c r="S604" s="528"/>
      <c r="T604" s="528"/>
      <c r="U604" s="492"/>
      <c r="V604" s="254"/>
      <c r="W604" s="492"/>
      <c r="X604" s="254"/>
      <c r="Y604" s="9"/>
      <c r="Z604" s="9"/>
      <c r="AA604" s="9"/>
      <c r="AB604" s="9"/>
      <c r="AC604" s="9"/>
      <c r="AD604" s="9"/>
      <c r="AE604" s="9"/>
      <c r="AF604" s="9"/>
      <c r="AG604" s="9"/>
      <c r="AH604" s="9"/>
      <c r="AI604" s="9"/>
      <c r="AJ604" s="9"/>
      <c r="AK604" s="9"/>
      <c r="AL604" s="9"/>
      <c r="AM604" s="9"/>
      <c r="AN604" s="9"/>
      <c r="AO604" s="9"/>
      <c r="AP604" s="9"/>
      <c r="AQ604" s="9"/>
      <c r="AR604" s="9"/>
      <c r="AS604" s="9"/>
      <c r="AT604" s="9"/>
    </row>
    <row r="605">
      <c r="A605" s="492"/>
      <c r="B605" s="254"/>
      <c r="C605" s="492"/>
      <c r="D605" s="254"/>
      <c r="E605" s="492"/>
      <c r="F605" s="254"/>
      <c r="G605" s="492"/>
      <c r="H605" s="254"/>
      <c r="I605" s="500"/>
      <c r="J605" s="181"/>
      <c r="K605" s="500"/>
      <c r="L605" s="181"/>
      <c r="M605" s="492"/>
      <c r="N605" s="254"/>
      <c r="O605" s="492"/>
      <c r="P605" s="254"/>
      <c r="Q605" s="492"/>
      <c r="R605" s="254"/>
      <c r="S605" s="528"/>
      <c r="T605" s="528"/>
      <c r="U605" s="492"/>
      <c r="V605" s="254"/>
      <c r="W605" s="492"/>
      <c r="X605" s="254"/>
      <c r="Y605" s="9"/>
      <c r="Z605" s="9"/>
      <c r="AA605" s="9"/>
      <c r="AB605" s="9"/>
      <c r="AC605" s="9"/>
      <c r="AD605" s="9"/>
      <c r="AE605" s="9"/>
      <c r="AF605" s="9"/>
      <c r="AG605" s="9"/>
      <c r="AH605" s="9"/>
      <c r="AI605" s="9"/>
      <c r="AJ605" s="9"/>
      <c r="AK605" s="9"/>
      <c r="AL605" s="9"/>
      <c r="AM605" s="9"/>
      <c r="AN605" s="9"/>
      <c r="AO605" s="9"/>
      <c r="AP605" s="9"/>
      <c r="AQ605" s="9"/>
      <c r="AR605" s="9"/>
      <c r="AS605" s="9"/>
      <c r="AT605" s="9"/>
    </row>
    <row r="606">
      <c r="A606" s="492"/>
      <c r="B606" s="254"/>
      <c r="C606" s="492"/>
      <c r="D606" s="254"/>
      <c r="E606" s="492"/>
      <c r="F606" s="254"/>
      <c r="G606" s="492"/>
      <c r="H606" s="254"/>
      <c r="I606" s="500"/>
      <c r="J606" s="181"/>
      <c r="K606" s="500"/>
      <c r="L606" s="181"/>
      <c r="M606" s="492"/>
      <c r="N606" s="254"/>
      <c r="O606" s="492"/>
      <c r="P606" s="254"/>
      <c r="Q606" s="492"/>
      <c r="R606" s="254"/>
      <c r="S606" s="528"/>
      <c r="T606" s="528"/>
      <c r="U606" s="492"/>
      <c r="V606" s="254"/>
      <c r="W606" s="492"/>
      <c r="X606" s="254"/>
      <c r="Y606" s="9"/>
      <c r="Z606" s="9"/>
      <c r="AA606" s="9"/>
      <c r="AB606" s="9"/>
      <c r="AC606" s="9"/>
      <c r="AD606" s="9"/>
      <c r="AE606" s="9"/>
      <c r="AF606" s="9"/>
      <c r="AG606" s="9"/>
      <c r="AH606" s="9"/>
      <c r="AI606" s="9"/>
      <c r="AJ606" s="9"/>
      <c r="AK606" s="9"/>
      <c r="AL606" s="9"/>
      <c r="AM606" s="9"/>
      <c r="AN606" s="9"/>
      <c r="AO606" s="9"/>
      <c r="AP606" s="9"/>
      <c r="AQ606" s="9"/>
      <c r="AR606" s="9"/>
      <c r="AS606" s="9"/>
      <c r="AT606" s="9"/>
    </row>
    <row r="607">
      <c r="A607" s="492"/>
      <c r="B607" s="254"/>
      <c r="C607" s="492"/>
      <c r="D607" s="254"/>
      <c r="E607" s="492"/>
      <c r="F607" s="254"/>
      <c r="G607" s="492"/>
      <c r="H607" s="254"/>
      <c r="I607" s="500"/>
      <c r="J607" s="181"/>
      <c r="K607" s="500"/>
      <c r="L607" s="181"/>
      <c r="M607" s="492"/>
      <c r="N607" s="254"/>
      <c r="O607" s="492"/>
      <c r="P607" s="254"/>
      <c r="Q607" s="492"/>
      <c r="R607" s="254"/>
      <c r="S607" s="528"/>
      <c r="T607" s="528"/>
      <c r="U607" s="492"/>
      <c r="V607" s="254"/>
      <c r="W607" s="492"/>
      <c r="X607" s="254"/>
      <c r="Y607" s="9"/>
      <c r="Z607" s="9"/>
      <c r="AA607" s="9"/>
      <c r="AB607" s="9"/>
      <c r="AC607" s="9"/>
      <c r="AD607" s="9"/>
      <c r="AE607" s="9"/>
      <c r="AF607" s="9"/>
      <c r="AG607" s="9"/>
      <c r="AH607" s="9"/>
      <c r="AI607" s="9"/>
      <c r="AJ607" s="9"/>
      <c r="AK607" s="9"/>
      <c r="AL607" s="9"/>
      <c r="AM607" s="9"/>
      <c r="AN607" s="9"/>
      <c r="AO607" s="9"/>
      <c r="AP607" s="9"/>
      <c r="AQ607" s="9"/>
      <c r="AR607" s="9"/>
      <c r="AS607" s="9"/>
      <c r="AT607" s="9"/>
    </row>
    <row r="608">
      <c r="A608" s="492"/>
      <c r="B608" s="254"/>
      <c r="C608" s="492"/>
      <c r="D608" s="254"/>
      <c r="E608" s="492"/>
      <c r="F608" s="254"/>
      <c r="G608" s="492"/>
      <c r="H608" s="254"/>
      <c r="I608" s="500"/>
      <c r="J608" s="181"/>
      <c r="K608" s="500"/>
      <c r="L608" s="181"/>
      <c r="M608" s="492"/>
      <c r="N608" s="254"/>
      <c r="O608" s="492"/>
      <c r="P608" s="254"/>
      <c r="Q608" s="492"/>
      <c r="R608" s="254"/>
      <c r="S608" s="528"/>
      <c r="T608" s="528"/>
      <c r="U608" s="492"/>
      <c r="V608" s="254"/>
      <c r="W608" s="492"/>
      <c r="X608" s="254"/>
      <c r="Y608" s="9"/>
      <c r="Z608" s="9"/>
      <c r="AA608" s="9"/>
      <c r="AB608" s="9"/>
      <c r="AC608" s="9"/>
      <c r="AD608" s="9"/>
      <c r="AE608" s="9"/>
      <c r="AF608" s="9"/>
      <c r="AG608" s="9"/>
      <c r="AH608" s="9"/>
      <c r="AI608" s="9"/>
      <c r="AJ608" s="9"/>
      <c r="AK608" s="9"/>
      <c r="AL608" s="9"/>
      <c r="AM608" s="9"/>
      <c r="AN608" s="9"/>
      <c r="AO608" s="9"/>
      <c r="AP608" s="9"/>
      <c r="AQ608" s="9"/>
      <c r="AR608" s="9"/>
      <c r="AS608" s="9"/>
      <c r="AT608" s="9"/>
    </row>
    <row r="609">
      <c r="A609" s="492"/>
      <c r="B609" s="254"/>
      <c r="C609" s="492"/>
      <c r="D609" s="254"/>
      <c r="E609" s="492"/>
      <c r="F609" s="254"/>
      <c r="G609" s="492"/>
      <c r="H609" s="254"/>
      <c r="I609" s="500"/>
      <c r="J609" s="181"/>
      <c r="K609" s="500"/>
      <c r="L609" s="181"/>
      <c r="M609" s="492"/>
      <c r="N609" s="254"/>
      <c r="O609" s="492"/>
      <c r="P609" s="254"/>
      <c r="Q609" s="492"/>
      <c r="R609" s="254"/>
      <c r="S609" s="528"/>
      <c r="T609" s="528"/>
      <c r="U609" s="492"/>
      <c r="V609" s="254"/>
      <c r="W609" s="492"/>
      <c r="X609" s="254"/>
      <c r="Y609" s="9"/>
      <c r="Z609" s="9"/>
      <c r="AA609" s="9"/>
      <c r="AB609" s="9"/>
      <c r="AC609" s="9"/>
      <c r="AD609" s="9"/>
      <c r="AE609" s="9"/>
      <c r="AF609" s="9"/>
      <c r="AG609" s="9"/>
      <c r="AH609" s="9"/>
      <c r="AI609" s="9"/>
      <c r="AJ609" s="9"/>
      <c r="AK609" s="9"/>
      <c r="AL609" s="9"/>
      <c r="AM609" s="9"/>
      <c r="AN609" s="9"/>
      <c r="AO609" s="9"/>
      <c r="AP609" s="9"/>
      <c r="AQ609" s="9"/>
      <c r="AR609" s="9"/>
      <c r="AS609" s="9"/>
      <c r="AT609" s="9"/>
    </row>
    <row r="610">
      <c r="A610" s="492"/>
      <c r="B610" s="254"/>
      <c r="C610" s="492"/>
      <c r="D610" s="254"/>
      <c r="E610" s="492"/>
      <c r="F610" s="254"/>
      <c r="G610" s="492"/>
      <c r="H610" s="254"/>
      <c r="I610" s="500"/>
      <c r="J610" s="181"/>
      <c r="K610" s="500"/>
      <c r="L610" s="181"/>
      <c r="M610" s="492"/>
      <c r="N610" s="254"/>
      <c r="O610" s="492"/>
      <c r="P610" s="254"/>
      <c r="Q610" s="492"/>
      <c r="R610" s="254"/>
      <c r="S610" s="528"/>
      <c r="T610" s="528"/>
      <c r="U610" s="492"/>
      <c r="V610" s="254"/>
      <c r="W610" s="492"/>
      <c r="X610" s="254"/>
      <c r="Y610" s="9"/>
      <c r="Z610" s="9"/>
      <c r="AA610" s="9"/>
      <c r="AB610" s="9"/>
      <c r="AC610" s="9"/>
      <c r="AD610" s="9"/>
      <c r="AE610" s="9"/>
      <c r="AF610" s="9"/>
      <c r="AG610" s="9"/>
      <c r="AH610" s="9"/>
      <c r="AI610" s="9"/>
      <c r="AJ610" s="9"/>
      <c r="AK610" s="9"/>
      <c r="AL610" s="9"/>
      <c r="AM610" s="9"/>
      <c r="AN610" s="9"/>
      <c r="AO610" s="9"/>
      <c r="AP610" s="9"/>
      <c r="AQ610" s="9"/>
      <c r="AR610" s="9"/>
      <c r="AS610" s="9"/>
      <c r="AT610" s="9"/>
    </row>
    <row r="611">
      <c r="A611" s="492"/>
      <c r="B611" s="254"/>
      <c r="C611" s="492"/>
      <c r="D611" s="254"/>
      <c r="E611" s="492"/>
      <c r="F611" s="254"/>
      <c r="G611" s="492"/>
      <c r="H611" s="254"/>
      <c r="I611" s="500"/>
      <c r="J611" s="181"/>
      <c r="K611" s="500"/>
      <c r="L611" s="181"/>
      <c r="M611" s="492"/>
      <c r="N611" s="254"/>
      <c r="O611" s="492"/>
      <c r="P611" s="254"/>
      <c r="Q611" s="492"/>
      <c r="R611" s="254"/>
      <c r="S611" s="528"/>
      <c r="T611" s="528"/>
      <c r="U611" s="492"/>
      <c r="V611" s="254"/>
      <c r="W611" s="492"/>
      <c r="X611" s="254"/>
      <c r="Y611" s="9"/>
      <c r="Z611" s="9"/>
      <c r="AA611" s="9"/>
      <c r="AB611" s="9"/>
      <c r="AC611" s="9"/>
      <c r="AD611" s="9"/>
      <c r="AE611" s="9"/>
      <c r="AF611" s="9"/>
      <c r="AG611" s="9"/>
      <c r="AH611" s="9"/>
      <c r="AI611" s="9"/>
      <c r="AJ611" s="9"/>
      <c r="AK611" s="9"/>
      <c r="AL611" s="9"/>
      <c r="AM611" s="9"/>
      <c r="AN611" s="9"/>
      <c r="AO611" s="9"/>
      <c r="AP611" s="9"/>
      <c r="AQ611" s="9"/>
      <c r="AR611" s="9"/>
      <c r="AS611" s="9"/>
      <c r="AT611" s="9"/>
    </row>
    <row r="612">
      <c r="A612" s="492"/>
      <c r="B612" s="254"/>
      <c r="C612" s="492"/>
      <c r="D612" s="254"/>
      <c r="E612" s="492"/>
      <c r="F612" s="254"/>
      <c r="G612" s="492"/>
      <c r="H612" s="254"/>
      <c r="I612" s="500"/>
      <c r="J612" s="181"/>
      <c r="K612" s="500"/>
      <c r="L612" s="181"/>
      <c r="M612" s="492"/>
      <c r="N612" s="254"/>
      <c r="O612" s="492"/>
      <c r="P612" s="254"/>
      <c r="Q612" s="492"/>
      <c r="R612" s="254"/>
      <c r="S612" s="528"/>
      <c r="T612" s="528"/>
      <c r="U612" s="492"/>
      <c r="V612" s="254"/>
      <c r="W612" s="492"/>
      <c r="X612" s="254"/>
      <c r="Y612" s="9"/>
      <c r="Z612" s="9"/>
      <c r="AA612" s="9"/>
      <c r="AB612" s="9"/>
      <c r="AC612" s="9"/>
      <c r="AD612" s="9"/>
      <c r="AE612" s="9"/>
      <c r="AF612" s="9"/>
      <c r="AG612" s="9"/>
      <c r="AH612" s="9"/>
      <c r="AI612" s="9"/>
      <c r="AJ612" s="9"/>
      <c r="AK612" s="9"/>
      <c r="AL612" s="9"/>
      <c r="AM612" s="9"/>
      <c r="AN612" s="9"/>
      <c r="AO612" s="9"/>
      <c r="AP612" s="9"/>
      <c r="AQ612" s="9"/>
      <c r="AR612" s="9"/>
      <c r="AS612" s="9"/>
      <c r="AT612" s="9"/>
    </row>
    <row r="613">
      <c r="A613" s="492"/>
      <c r="B613" s="254"/>
      <c r="C613" s="492"/>
      <c r="D613" s="254"/>
      <c r="E613" s="492"/>
      <c r="F613" s="254"/>
      <c r="G613" s="492"/>
      <c r="H613" s="254"/>
      <c r="I613" s="500"/>
      <c r="J613" s="181"/>
      <c r="K613" s="500"/>
      <c r="L613" s="181"/>
      <c r="M613" s="492"/>
      <c r="N613" s="254"/>
      <c r="O613" s="492"/>
      <c r="P613" s="254"/>
      <c r="Q613" s="492"/>
      <c r="R613" s="254"/>
      <c r="S613" s="528"/>
      <c r="T613" s="528"/>
      <c r="U613" s="492"/>
      <c r="V613" s="254"/>
      <c r="W613" s="492"/>
      <c r="X613" s="254"/>
      <c r="Y613" s="9"/>
      <c r="Z613" s="9"/>
      <c r="AA613" s="9"/>
      <c r="AB613" s="9"/>
      <c r="AC613" s="9"/>
      <c r="AD613" s="9"/>
      <c r="AE613" s="9"/>
      <c r="AF613" s="9"/>
      <c r="AG613" s="9"/>
      <c r="AH613" s="9"/>
      <c r="AI613" s="9"/>
      <c r="AJ613" s="9"/>
      <c r="AK613" s="9"/>
      <c r="AL613" s="9"/>
      <c r="AM613" s="9"/>
      <c r="AN613" s="9"/>
      <c r="AO613" s="9"/>
      <c r="AP613" s="9"/>
      <c r="AQ613" s="9"/>
      <c r="AR613" s="9"/>
      <c r="AS613" s="9"/>
      <c r="AT613" s="9"/>
    </row>
    <row r="614">
      <c r="A614" s="492"/>
      <c r="B614" s="254"/>
      <c r="C614" s="492"/>
      <c r="D614" s="254"/>
      <c r="E614" s="492"/>
      <c r="F614" s="254"/>
      <c r="G614" s="492"/>
      <c r="H614" s="254"/>
      <c r="I614" s="500"/>
      <c r="J614" s="181"/>
      <c r="K614" s="500"/>
      <c r="L614" s="181"/>
      <c r="M614" s="492"/>
      <c r="N614" s="254"/>
      <c r="O614" s="492"/>
      <c r="P614" s="254"/>
      <c r="Q614" s="492"/>
      <c r="R614" s="254"/>
      <c r="S614" s="528"/>
      <c r="T614" s="528"/>
      <c r="U614" s="492"/>
      <c r="V614" s="254"/>
      <c r="W614" s="492"/>
      <c r="X614" s="254"/>
      <c r="Y614" s="9"/>
      <c r="Z614" s="9"/>
      <c r="AA614" s="9"/>
      <c r="AB614" s="9"/>
      <c r="AC614" s="9"/>
      <c r="AD614" s="9"/>
      <c r="AE614" s="9"/>
      <c r="AF614" s="9"/>
      <c r="AG614" s="9"/>
      <c r="AH614" s="9"/>
      <c r="AI614" s="9"/>
      <c r="AJ614" s="9"/>
      <c r="AK614" s="9"/>
      <c r="AL614" s="9"/>
      <c r="AM614" s="9"/>
      <c r="AN614" s="9"/>
      <c r="AO614" s="9"/>
      <c r="AP614" s="9"/>
      <c r="AQ614" s="9"/>
      <c r="AR614" s="9"/>
      <c r="AS614" s="9"/>
      <c r="AT614" s="9"/>
    </row>
    <row r="615">
      <c r="A615" s="492"/>
      <c r="B615" s="254"/>
      <c r="C615" s="492"/>
      <c r="D615" s="254"/>
      <c r="E615" s="492"/>
      <c r="F615" s="254"/>
      <c r="G615" s="492"/>
      <c r="H615" s="254"/>
      <c r="I615" s="500"/>
      <c r="J615" s="181"/>
      <c r="K615" s="500"/>
      <c r="L615" s="181"/>
      <c r="M615" s="492"/>
      <c r="N615" s="254"/>
      <c r="O615" s="492"/>
      <c r="P615" s="254"/>
      <c r="Q615" s="492"/>
      <c r="R615" s="254"/>
      <c r="S615" s="528"/>
      <c r="T615" s="528"/>
      <c r="U615" s="492"/>
      <c r="V615" s="254"/>
      <c r="W615" s="492"/>
      <c r="X615" s="254"/>
      <c r="Y615" s="9"/>
      <c r="Z615" s="9"/>
      <c r="AA615" s="9"/>
      <c r="AB615" s="9"/>
      <c r="AC615" s="9"/>
      <c r="AD615" s="9"/>
      <c r="AE615" s="9"/>
      <c r="AF615" s="9"/>
      <c r="AG615" s="9"/>
      <c r="AH615" s="9"/>
      <c r="AI615" s="9"/>
      <c r="AJ615" s="9"/>
      <c r="AK615" s="9"/>
      <c r="AL615" s="9"/>
      <c r="AM615" s="9"/>
      <c r="AN615" s="9"/>
      <c r="AO615" s="9"/>
      <c r="AP615" s="9"/>
      <c r="AQ615" s="9"/>
      <c r="AR615" s="9"/>
      <c r="AS615" s="9"/>
      <c r="AT615" s="9"/>
    </row>
    <row r="616">
      <c r="A616" s="492"/>
      <c r="B616" s="254"/>
      <c r="C616" s="492"/>
      <c r="D616" s="254"/>
      <c r="E616" s="492"/>
      <c r="F616" s="254"/>
      <c r="G616" s="492"/>
      <c r="H616" s="254"/>
      <c r="I616" s="500"/>
      <c r="J616" s="181"/>
      <c r="K616" s="500"/>
      <c r="L616" s="181"/>
      <c r="M616" s="492"/>
      <c r="N616" s="254"/>
      <c r="O616" s="492"/>
      <c r="P616" s="254"/>
      <c r="Q616" s="492"/>
      <c r="R616" s="254"/>
      <c r="S616" s="528"/>
      <c r="T616" s="528"/>
      <c r="U616" s="492"/>
      <c r="V616" s="254"/>
      <c r="W616" s="492"/>
      <c r="X616" s="254"/>
      <c r="Y616" s="9"/>
      <c r="Z616" s="9"/>
      <c r="AA616" s="9"/>
      <c r="AB616" s="9"/>
      <c r="AC616" s="9"/>
      <c r="AD616" s="9"/>
      <c r="AE616" s="9"/>
      <c r="AF616" s="9"/>
      <c r="AG616" s="9"/>
      <c r="AH616" s="9"/>
      <c r="AI616" s="9"/>
      <c r="AJ616" s="9"/>
      <c r="AK616" s="9"/>
      <c r="AL616" s="9"/>
      <c r="AM616" s="9"/>
      <c r="AN616" s="9"/>
      <c r="AO616" s="9"/>
      <c r="AP616" s="9"/>
      <c r="AQ616" s="9"/>
      <c r="AR616" s="9"/>
      <c r="AS616" s="9"/>
      <c r="AT616" s="9"/>
    </row>
    <row r="617">
      <c r="A617" s="492"/>
      <c r="B617" s="254"/>
      <c r="C617" s="492"/>
      <c r="D617" s="254"/>
      <c r="E617" s="492"/>
      <c r="F617" s="254"/>
      <c r="G617" s="492"/>
      <c r="H617" s="254"/>
      <c r="I617" s="500"/>
      <c r="J617" s="181"/>
      <c r="K617" s="500"/>
      <c r="L617" s="181"/>
      <c r="M617" s="492"/>
      <c r="N617" s="254"/>
      <c r="O617" s="492"/>
      <c r="P617" s="254"/>
      <c r="Q617" s="492"/>
      <c r="R617" s="254"/>
      <c r="S617" s="528"/>
      <c r="T617" s="528"/>
      <c r="U617" s="492"/>
      <c r="V617" s="254"/>
      <c r="W617" s="492"/>
      <c r="X617" s="254"/>
      <c r="Y617" s="9"/>
      <c r="Z617" s="9"/>
      <c r="AA617" s="9"/>
      <c r="AB617" s="9"/>
      <c r="AC617" s="9"/>
      <c r="AD617" s="9"/>
      <c r="AE617" s="9"/>
      <c r="AF617" s="9"/>
      <c r="AG617" s="9"/>
      <c r="AH617" s="9"/>
      <c r="AI617" s="9"/>
      <c r="AJ617" s="9"/>
      <c r="AK617" s="9"/>
      <c r="AL617" s="9"/>
      <c r="AM617" s="9"/>
      <c r="AN617" s="9"/>
      <c r="AO617" s="9"/>
      <c r="AP617" s="9"/>
      <c r="AQ617" s="9"/>
      <c r="AR617" s="9"/>
      <c r="AS617" s="9"/>
      <c r="AT617" s="9"/>
    </row>
    <row r="618">
      <c r="A618" s="492"/>
      <c r="B618" s="254"/>
      <c r="C618" s="492"/>
      <c r="D618" s="254"/>
      <c r="E618" s="492"/>
      <c r="F618" s="254"/>
      <c r="G618" s="492"/>
      <c r="H618" s="254"/>
      <c r="I618" s="500"/>
      <c r="J618" s="181"/>
      <c r="K618" s="500"/>
      <c r="L618" s="181"/>
      <c r="M618" s="492"/>
      <c r="N618" s="254"/>
      <c r="O618" s="492"/>
      <c r="P618" s="254"/>
      <c r="Q618" s="492"/>
      <c r="R618" s="254"/>
      <c r="S618" s="528"/>
      <c r="T618" s="528"/>
      <c r="U618" s="492"/>
      <c r="V618" s="254"/>
      <c r="W618" s="492"/>
      <c r="X618" s="254"/>
      <c r="Y618" s="9"/>
      <c r="Z618" s="9"/>
      <c r="AA618" s="9"/>
      <c r="AB618" s="9"/>
      <c r="AC618" s="9"/>
      <c r="AD618" s="9"/>
      <c r="AE618" s="9"/>
      <c r="AF618" s="9"/>
      <c r="AG618" s="9"/>
      <c r="AH618" s="9"/>
      <c r="AI618" s="9"/>
      <c r="AJ618" s="9"/>
      <c r="AK618" s="9"/>
      <c r="AL618" s="9"/>
      <c r="AM618" s="9"/>
      <c r="AN618" s="9"/>
      <c r="AO618" s="9"/>
      <c r="AP618" s="9"/>
      <c r="AQ618" s="9"/>
      <c r="AR618" s="9"/>
      <c r="AS618" s="9"/>
      <c r="AT618" s="9"/>
    </row>
    <row r="619">
      <c r="A619" s="492"/>
      <c r="B619" s="254"/>
      <c r="C619" s="492"/>
      <c r="D619" s="254"/>
      <c r="E619" s="492"/>
      <c r="F619" s="254"/>
      <c r="G619" s="492"/>
      <c r="H619" s="254"/>
      <c r="I619" s="500"/>
      <c r="J619" s="181"/>
      <c r="K619" s="500"/>
      <c r="L619" s="181"/>
      <c r="M619" s="492"/>
      <c r="N619" s="254"/>
      <c r="O619" s="492"/>
      <c r="P619" s="254"/>
      <c r="Q619" s="492"/>
      <c r="R619" s="254"/>
      <c r="S619" s="528"/>
      <c r="T619" s="528"/>
      <c r="U619" s="492"/>
      <c r="V619" s="254"/>
      <c r="W619" s="492"/>
      <c r="X619" s="254"/>
      <c r="Y619" s="9"/>
      <c r="Z619" s="9"/>
      <c r="AA619" s="9"/>
      <c r="AB619" s="9"/>
      <c r="AC619" s="9"/>
      <c r="AD619" s="9"/>
      <c r="AE619" s="9"/>
      <c r="AF619" s="9"/>
      <c r="AG619" s="9"/>
      <c r="AH619" s="9"/>
      <c r="AI619" s="9"/>
      <c r="AJ619" s="9"/>
      <c r="AK619" s="9"/>
      <c r="AL619" s="9"/>
      <c r="AM619" s="9"/>
      <c r="AN619" s="9"/>
      <c r="AO619" s="9"/>
      <c r="AP619" s="9"/>
      <c r="AQ619" s="9"/>
      <c r="AR619" s="9"/>
      <c r="AS619" s="9"/>
      <c r="AT619" s="9"/>
    </row>
    <row r="620">
      <c r="A620" s="492"/>
      <c r="B620" s="254"/>
      <c r="C620" s="492"/>
      <c r="D620" s="254"/>
      <c r="E620" s="492"/>
      <c r="F620" s="254"/>
      <c r="G620" s="492"/>
      <c r="H620" s="254"/>
      <c r="I620" s="500"/>
      <c r="J620" s="181"/>
      <c r="K620" s="500"/>
      <c r="L620" s="181"/>
      <c r="M620" s="492"/>
      <c r="N620" s="254"/>
      <c r="O620" s="492"/>
      <c r="P620" s="254"/>
      <c r="Q620" s="492"/>
      <c r="R620" s="254"/>
      <c r="S620" s="528"/>
      <c r="T620" s="528"/>
      <c r="U620" s="492"/>
      <c r="V620" s="254"/>
      <c r="W620" s="492"/>
      <c r="X620" s="254"/>
      <c r="Y620" s="9"/>
      <c r="Z620" s="9"/>
      <c r="AA620" s="9"/>
      <c r="AB620" s="9"/>
      <c r="AC620" s="9"/>
      <c r="AD620" s="9"/>
      <c r="AE620" s="9"/>
      <c r="AF620" s="9"/>
      <c r="AG620" s="9"/>
      <c r="AH620" s="9"/>
      <c r="AI620" s="9"/>
      <c r="AJ620" s="9"/>
      <c r="AK620" s="9"/>
      <c r="AL620" s="9"/>
      <c r="AM620" s="9"/>
      <c r="AN620" s="9"/>
      <c r="AO620" s="9"/>
      <c r="AP620" s="9"/>
      <c r="AQ620" s="9"/>
      <c r="AR620" s="9"/>
      <c r="AS620" s="9"/>
      <c r="AT620" s="9"/>
    </row>
    <row r="621">
      <c r="A621" s="492"/>
      <c r="B621" s="254"/>
      <c r="C621" s="492"/>
      <c r="D621" s="254"/>
      <c r="E621" s="492"/>
      <c r="F621" s="254"/>
      <c r="G621" s="492"/>
      <c r="H621" s="254"/>
      <c r="I621" s="500"/>
      <c r="J621" s="181"/>
      <c r="K621" s="500"/>
      <c r="L621" s="181"/>
      <c r="M621" s="492"/>
      <c r="N621" s="254"/>
      <c r="O621" s="492"/>
      <c r="P621" s="254"/>
      <c r="Q621" s="492"/>
      <c r="R621" s="254"/>
      <c r="S621" s="528"/>
      <c r="T621" s="528"/>
      <c r="U621" s="492"/>
      <c r="V621" s="254"/>
      <c r="W621" s="492"/>
      <c r="X621" s="254"/>
      <c r="Y621" s="9"/>
      <c r="Z621" s="9"/>
      <c r="AA621" s="9"/>
      <c r="AB621" s="9"/>
      <c r="AC621" s="9"/>
      <c r="AD621" s="9"/>
      <c r="AE621" s="9"/>
      <c r="AF621" s="9"/>
      <c r="AG621" s="9"/>
      <c r="AH621" s="9"/>
      <c r="AI621" s="9"/>
      <c r="AJ621" s="9"/>
      <c r="AK621" s="9"/>
      <c r="AL621" s="9"/>
      <c r="AM621" s="9"/>
      <c r="AN621" s="9"/>
      <c r="AO621" s="9"/>
      <c r="AP621" s="9"/>
      <c r="AQ621" s="9"/>
      <c r="AR621" s="9"/>
      <c r="AS621" s="9"/>
      <c r="AT621" s="9"/>
    </row>
    <row r="622">
      <c r="A622" s="492"/>
      <c r="B622" s="254"/>
      <c r="C622" s="492"/>
      <c r="D622" s="254"/>
      <c r="E622" s="492"/>
      <c r="F622" s="254"/>
      <c r="G622" s="492"/>
      <c r="H622" s="254"/>
      <c r="I622" s="500"/>
      <c r="J622" s="181"/>
      <c r="K622" s="500"/>
      <c r="L622" s="181"/>
      <c r="M622" s="492"/>
      <c r="N622" s="254"/>
      <c r="O622" s="492"/>
      <c r="P622" s="254"/>
      <c r="Q622" s="492"/>
      <c r="R622" s="254"/>
      <c r="S622" s="528"/>
      <c r="T622" s="528"/>
      <c r="U622" s="492"/>
      <c r="V622" s="254"/>
      <c r="W622" s="492"/>
      <c r="X622" s="254"/>
      <c r="Y622" s="9"/>
      <c r="Z622" s="9"/>
      <c r="AA622" s="9"/>
      <c r="AB622" s="9"/>
      <c r="AC622" s="9"/>
      <c r="AD622" s="9"/>
      <c r="AE622" s="9"/>
      <c r="AF622" s="9"/>
      <c r="AG622" s="9"/>
      <c r="AH622" s="9"/>
      <c r="AI622" s="9"/>
      <c r="AJ622" s="9"/>
      <c r="AK622" s="9"/>
      <c r="AL622" s="9"/>
      <c r="AM622" s="9"/>
      <c r="AN622" s="9"/>
      <c r="AO622" s="9"/>
      <c r="AP622" s="9"/>
      <c r="AQ622" s="9"/>
      <c r="AR622" s="9"/>
      <c r="AS622" s="9"/>
      <c r="AT622" s="9"/>
    </row>
    <row r="623">
      <c r="A623" s="492"/>
      <c r="B623" s="254"/>
      <c r="C623" s="492"/>
      <c r="D623" s="254"/>
      <c r="E623" s="492"/>
      <c r="F623" s="254"/>
      <c r="G623" s="492"/>
      <c r="H623" s="254"/>
      <c r="I623" s="500"/>
      <c r="J623" s="181"/>
      <c r="K623" s="500"/>
      <c r="L623" s="181"/>
      <c r="M623" s="492"/>
      <c r="N623" s="254"/>
      <c r="O623" s="492"/>
      <c r="P623" s="254"/>
      <c r="Q623" s="492"/>
      <c r="R623" s="254"/>
      <c r="S623" s="528"/>
      <c r="T623" s="528"/>
      <c r="U623" s="492"/>
      <c r="V623" s="254"/>
      <c r="W623" s="492"/>
      <c r="X623" s="254"/>
      <c r="Y623" s="9"/>
      <c r="Z623" s="9"/>
      <c r="AA623" s="9"/>
      <c r="AB623" s="9"/>
      <c r="AC623" s="9"/>
      <c r="AD623" s="9"/>
      <c r="AE623" s="9"/>
      <c r="AF623" s="9"/>
      <c r="AG623" s="9"/>
      <c r="AH623" s="9"/>
      <c r="AI623" s="9"/>
      <c r="AJ623" s="9"/>
      <c r="AK623" s="9"/>
      <c r="AL623" s="9"/>
      <c r="AM623" s="9"/>
      <c r="AN623" s="9"/>
      <c r="AO623" s="9"/>
      <c r="AP623" s="9"/>
      <c r="AQ623" s="9"/>
      <c r="AR623" s="9"/>
      <c r="AS623" s="9"/>
      <c r="AT623" s="9"/>
    </row>
    <row r="624">
      <c r="A624" s="492"/>
      <c r="B624" s="254"/>
      <c r="C624" s="492"/>
      <c r="D624" s="254"/>
      <c r="E624" s="492"/>
      <c r="F624" s="254"/>
      <c r="G624" s="492"/>
      <c r="H624" s="254"/>
      <c r="I624" s="500"/>
      <c r="J624" s="181"/>
      <c r="K624" s="500"/>
      <c r="L624" s="181"/>
      <c r="M624" s="492"/>
      <c r="N624" s="254"/>
      <c r="O624" s="492"/>
      <c r="P624" s="254"/>
      <c r="Q624" s="492"/>
      <c r="R624" s="254"/>
      <c r="S624" s="528"/>
      <c r="T624" s="528"/>
      <c r="U624" s="492"/>
      <c r="V624" s="254"/>
      <c r="W624" s="492"/>
      <c r="X624" s="254"/>
      <c r="Y624" s="9"/>
      <c r="Z624" s="9"/>
      <c r="AA624" s="9"/>
      <c r="AB624" s="9"/>
      <c r="AC624" s="9"/>
      <c r="AD624" s="9"/>
      <c r="AE624" s="9"/>
      <c r="AF624" s="9"/>
      <c r="AG624" s="9"/>
      <c r="AH624" s="9"/>
      <c r="AI624" s="9"/>
      <c r="AJ624" s="9"/>
      <c r="AK624" s="9"/>
      <c r="AL624" s="9"/>
      <c r="AM624" s="9"/>
      <c r="AN624" s="9"/>
      <c r="AO624" s="9"/>
      <c r="AP624" s="9"/>
      <c r="AQ624" s="9"/>
      <c r="AR624" s="9"/>
      <c r="AS624" s="9"/>
      <c r="AT624" s="9"/>
    </row>
    <row r="625">
      <c r="A625" s="492"/>
      <c r="B625" s="254"/>
      <c r="C625" s="492"/>
      <c r="D625" s="254"/>
      <c r="E625" s="492"/>
      <c r="F625" s="254"/>
      <c r="G625" s="492"/>
      <c r="H625" s="254"/>
      <c r="I625" s="500"/>
      <c r="J625" s="181"/>
      <c r="K625" s="500"/>
      <c r="L625" s="181"/>
      <c r="M625" s="492"/>
      <c r="N625" s="254"/>
      <c r="O625" s="492"/>
      <c r="P625" s="254"/>
      <c r="Q625" s="492"/>
      <c r="R625" s="254"/>
      <c r="S625" s="528"/>
      <c r="T625" s="528"/>
      <c r="U625" s="492"/>
      <c r="V625" s="254"/>
      <c r="W625" s="492"/>
      <c r="X625" s="254"/>
      <c r="Y625" s="9"/>
      <c r="Z625" s="9"/>
      <c r="AA625" s="9"/>
      <c r="AB625" s="9"/>
      <c r="AC625" s="9"/>
      <c r="AD625" s="9"/>
      <c r="AE625" s="9"/>
      <c r="AF625" s="9"/>
      <c r="AG625" s="9"/>
      <c r="AH625" s="9"/>
      <c r="AI625" s="9"/>
      <c r="AJ625" s="9"/>
      <c r="AK625" s="9"/>
      <c r="AL625" s="9"/>
      <c r="AM625" s="9"/>
      <c r="AN625" s="9"/>
      <c r="AO625" s="9"/>
      <c r="AP625" s="9"/>
      <c r="AQ625" s="9"/>
      <c r="AR625" s="9"/>
      <c r="AS625" s="9"/>
      <c r="AT625" s="9"/>
    </row>
    <row r="626">
      <c r="A626" s="492"/>
      <c r="B626" s="254"/>
      <c r="C626" s="492"/>
      <c r="D626" s="254"/>
      <c r="E626" s="492"/>
      <c r="F626" s="254"/>
      <c r="G626" s="492"/>
      <c r="H626" s="254"/>
      <c r="I626" s="500"/>
      <c r="J626" s="181"/>
      <c r="K626" s="500"/>
      <c r="L626" s="181"/>
      <c r="M626" s="492"/>
      <c r="N626" s="254"/>
      <c r="O626" s="492"/>
      <c r="P626" s="254"/>
      <c r="Q626" s="492"/>
      <c r="R626" s="254"/>
      <c r="S626" s="528"/>
      <c r="T626" s="528"/>
      <c r="U626" s="492"/>
      <c r="V626" s="254"/>
      <c r="W626" s="492"/>
      <c r="X626" s="254"/>
      <c r="Y626" s="9"/>
      <c r="Z626" s="9"/>
      <c r="AA626" s="9"/>
      <c r="AB626" s="9"/>
      <c r="AC626" s="9"/>
      <c r="AD626" s="9"/>
      <c r="AE626" s="9"/>
      <c r="AF626" s="9"/>
      <c r="AG626" s="9"/>
      <c r="AH626" s="9"/>
      <c r="AI626" s="9"/>
      <c r="AJ626" s="9"/>
      <c r="AK626" s="9"/>
      <c r="AL626" s="9"/>
      <c r="AM626" s="9"/>
      <c r="AN626" s="9"/>
      <c r="AO626" s="9"/>
      <c r="AP626" s="9"/>
      <c r="AQ626" s="9"/>
      <c r="AR626" s="9"/>
      <c r="AS626" s="9"/>
      <c r="AT626" s="9"/>
    </row>
    <row r="627">
      <c r="A627" s="492"/>
      <c r="B627" s="254"/>
      <c r="C627" s="492"/>
      <c r="D627" s="254"/>
      <c r="E627" s="492"/>
      <c r="F627" s="254"/>
      <c r="G627" s="492"/>
      <c r="H627" s="254"/>
      <c r="I627" s="500"/>
      <c r="J627" s="181"/>
      <c r="K627" s="500"/>
      <c r="L627" s="181"/>
      <c r="M627" s="492"/>
      <c r="N627" s="254"/>
      <c r="O627" s="492"/>
      <c r="P627" s="254"/>
      <c r="Q627" s="492"/>
      <c r="R627" s="254"/>
      <c r="S627" s="528"/>
      <c r="T627" s="528"/>
      <c r="U627" s="492"/>
      <c r="V627" s="254"/>
      <c r="W627" s="492"/>
      <c r="X627" s="254"/>
      <c r="Y627" s="9"/>
      <c r="Z627" s="9"/>
      <c r="AA627" s="9"/>
      <c r="AB627" s="9"/>
      <c r="AC627" s="9"/>
      <c r="AD627" s="9"/>
      <c r="AE627" s="9"/>
      <c r="AF627" s="9"/>
      <c r="AG627" s="9"/>
      <c r="AH627" s="9"/>
      <c r="AI627" s="9"/>
      <c r="AJ627" s="9"/>
      <c r="AK627" s="9"/>
      <c r="AL627" s="9"/>
      <c r="AM627" s="9"/>
      <c r="AN627" s="9"/>
      <c r="AO627" s="9"/>
      <c r="AP627" s="9"/>
      <c r="AQ627" s="9"/>
      <c r="AR627" s="9"/>
      <c r="AS627" s="9"/>
      <c r="AT627" s="9"/>
    </row>
    <row r="628">
      <c r="A628" s="492"/>
      <c r="B628" s="254"/>
      <c r="C628" s="492"/>
      <c r="D628" s="254"/>
      <c r="E628" s="492"/>
      <c r="F628" s="254"/>
      <c r="G628" s="492"/>
      <c r="H628" s="254"/>
      <c r="I628" s="500"/>
      <c r="J628" s="181"/>
      <c r="K628" s="500"/>
      <c r="L628" s="181"/>
      <c r="M628" s="492"/>
      <c r="N628" s="254"/>
      <c r="O628" s="492"/>
      <c r="P628" s="254"/>
      <c r="Q628" s="492"/>
      <c r="R628" s="254"/>
      <c r="S628" s="528"/>
      <c r="T628" s="528"/>
      <c r="U628" s="492"/>
      <c r="V628" s="254"/>
      <c r="W628" s="492"/>
      <c r="X628" s="254"/>
      <c r="Y628" s="9"/>
      <c r="Z628" s="9"/>
      <c r="AA628" s="9"/>
      <c r="AB628" s="9"/>
      <c r="AC628" s="9"/>
      <c r="AD628" s="9"/>
      <c r="AE628" s="9"/>
      <c r="AF628" s="9"/>
      <c r="AG628" s="9"/>
      <c r="AH628" s="9"/>
      <c r="AI628" s="9"/>
      <c r="AJ628" s="9"/>
      <c r="AK628" s="9"/>
      <c r="AL628" s="9"/>
      <c r="AM628" s="9"/>
      <c r="AN628" s="9"/>
      <c r="AO628" s="9"/>
      <c r="AP628" s="9"/>
      <c r="AQ628" s="9"/>
      <c r="AR628" s="9"/>
      <c r="AS628" s="9"/>
      <c r="AT628" s="9"/>
    </row>
    <row r="629">
      <c r="A629" s="492"/>
      <c r="B629" s="254"/>
      <c r="C629" s="492"/>
      <c r="D629" s="254"/>
      <c r="E629" s="492"/>
      <c r="F629" s="254"/>
      <c r="G629" s="492"/>
      <c r="H629" s="254"/>
      <c r="I629" s="500"/>
      <c r="J629" s="181"/>
      <c r="K629" s="500"/>
      <c r="L629" s="181"/>
      <c r="M629" s="492"/>
      <c r="N629" s="254"/>
      <c r="O629" s="492"/>
      <c r="P629" s="254"/>
      <c r="Q629" s="492"/>
      <c r="R629" s="254"/>
      <c r="S629" s="528"/>
      <c r="T629" s="528"/>
      <c r="U629" s="492"/>
      <c r="V629" s="254"/>
      <c r="W629" s="492"/>
      <c r="X629" s="254"/>
      <c r="Y629" s="9"/>
      <c r="Z629" s="9"/>
      <c r="AA629" s="9"/>
      <c r="AB629" s="9"/>
      <c r="AC629" s="9"/>
      <c r="AD629" s="9"/>
      <c r="AE629" s="9"/>
      <c r="AF629" s="9"/>
      <c r="AG629" s="9"/>
      <c r="AH629" s="9"/>
      <c r="AI629" s="9"/>
      <c r="AJ629" s="9"/>
      <c r="AK629" s="9"/>
      <c r="AL629" s="9"/>
      <c r="AM629" s="9"/>
      <c r="AN629" s="9"/>
      <c r="AO629" s="9"/>
      <c r="AP629" s="9"/>
      <c r="AQ629" s="9"/>
      <c r="AR629" s="9"/>
      <c r="AS629" s="9"/>
      <c r="AT629" s="9"/>
    </row>
    <row r="630">
      <c r="A630" s="492"/>
      <c r="B630" s="254"/>
      <c r="C630" s="492"/>
      <c r="D630" s="254"/>
      <c r="E630" s="492"/>
      <c r="F630" s="254"/>
      <c r="G630" s="492"/>
      <c r="H630" s="254"/>
      <c r="I630" s="500"/>
      <c r="J630" s="181"/>
      <c r="K630" s="500"/>
      <c r="L630" s="181"/>
      <c r="M630" s="492"/>
      <c r="N630" s="254"/>
      <c r="O630" s="492"/>
      <c r="P630" s="254"/>
      <c r="Q630" s="492"/>
      <c r="R630" s="254"/>
      <c r="S630" s="528"/>
      <c r="T630" s="528"/>
      <c r="U630" s="492"/>
      <c r="V630" s="254"/>
      <c r="W630" s="492"/>
      <c r="X630" s="254"/>
      <c r="Y630" s="9"/>
      <c r="Z630" s="9"/>
      <c r="AA630" s="9"/>
      <c r="AB630" s="9"/>
      <c r="AC630" s="9"/>
      <c r="AD630" s="9"/>
      <c r="AE630" s="9"/>
      <c r="AF630" s="9"/>
      <c r="AG630" s="9"/>
      <c r="AH630" s="9"/>
      <c r="AI630" s="9"/>
      <c r="AJ630" s="9"/>
      <c r="AK630" s="9"/>
      <c r="AL630" s="9"/>
      <c r="AM630" s="9"/>
      <c r="AN630" s="9"/>
      <c r="AO630" s="9"/>
      <c r="AP630" s="9"/>
      <c r="AQ630" s="9"/>
      <c r="AR630" s="9"/>
      <c r="AS630" s="9"/>
      <c r="AT630" s="9"/>
    </row>
    <row r="631">
      <c r="A631" s="492"/>
      <c r="B631" s="254"/>
      <c r="C631" s="492"/>
      <c r="D631" s="254"/>
      <c r="E631" s="492"/>
      <c r="F631" s="254"/>
      <c r="G631" s="492"/>
      <c r="H631" s="254"/>
      <c r="I631" s="500"/>
      <c r="J631" s="181"/>
      <c r="K631" s="500"/>
      <c r="L631" s="181"/>
      <c r="M631" s="492"/>
      <c r="N631" s="254"/>
      <c r="O631" s="492"/>
      <c r="P631" s="254"/>
      <c r="Q631" s="492"/>
      <c r="R631" s="254"/>
      <c r="S631" s="528"/>
      <c r="T631" s="528"/>
      <c r="U631" s="492"/>
      <c r="V631" s="254"/>
      <c r="W631" s="492"/>
      <c r="X631" s="254"/>
      <c r="Y631" s="9"/>
      <c r="Z631" s="9"/>
      <c r="AA631" s="9"/>
      <c r="AB631" s="9"/>
      <c r="AC631" s="9"/>
      <c r="AD631" s="9"/>
      <c r="AE631" s="9"/>
      <c r="AF631" s="9"/>
      <c r="AG631" s="9"/>
      <c r="AH631" s="9"/>
      <c r="AI631" s="9"/>
      <c r="AJ631" s="9"/>
      <c r="AK631" s="9"/>
      <c r="AL631" s="9"/>
      <c r="AM631" s="9"/>
      <c r="AN631" s="9"/>
      <c r="AO631" s="9"/>
      <c r="AP631" s="9"/>
      <c r="AQ631" s="9"/>
      <c r="AR631" s="9"/>
      <c r="AS631" s="9"/>
      <c r="AT631" s="9"/>
    </row>
    <row r="632">
      <c r="A632" s="492"/>
      <c r="B632" s="254"/>
      <c r="C632" s="492"/>
      <c r="D632" s="254"/>
      <c r="E632" s="492"/>
      <c r="F632" s="254"/>
      <c r="G632" s="492"/>
      <c r="H632" s="254"/>
      <c r="I632" s="500"/>
      <c r="J632" s="181"/>
      <c r="K632" s="500"/>
      <c r="L632" s="181"/>
      <c r="M632" s="492"/>
      <c r="N632" s="254"/>
      <c r="O632" s="492"/>
      <c r="P632" s="254"/>
      <c r="Q632" s="492"/>
      <c r="R632" s="254"/>
      <c r="S632" s="528"/>
      <c r="T632" s="528"/>
      <c r="U632" s="492"/>
      <c r="V632" s="254"/>
      <c r="W632" s="492"/>
      <c r="X632" s="254"/>
      <c r="Y632" s="9"/>
      <c r="Z632" s="9"/>
      <c r="AA632" s="9"/>
      <c r="AB632" s="9"/>
      <c r="AC632" s="9"/>
      <c r="AD632" s="9"/>
      <c r="AE632" s="9"/>
      <c r="AF632" s="9"/>
      <c r="AG632" s="9"/>
      <c r="AH632" s="9"/>
      <c r="AI632" s="9"/>
      <c r="AJ632" s="9"/>
      <c r="AK632" s="9"/>
      <c r="AL632" s="9"/>
      <c r="AM632" s="9"/>
      <c r="AN632" s="9"/>
      <c r="AO632" s="9"/>
      <c r="AP632" s="9"/>
      <c r="AQ632" s="9"/>
      <c r="AR632" s="9"/>
      <c r="AS632" s="9"/>
      <c r="AT632" s="9"/>
    </row>
    <row r="633">
      <c r="A633" s="492"/>
      <c r="B633" s="254"/>
      <c r="C633" s="492"/>
      <c r="D633" s="254"/>
      <c r="E633" s="492"/>
      <c r="F633" s="254"/>
      <c r="G633" s="492"/>
      <c r="H633" s="254"/>
      <c r="I633" s="500"/>
      <c r="J633" s="181"/>
      <c r="K633" s="500"/>
      <c r="L633" s="181"/>
      <c r="M633" s="492"/>
      <c r="N633" s="254"/>
      <c r="O633" s="492"/>
      <c r="P633" s="254"/>
      <c r="Q633" s="492"/>
      <c r="R633" s="254"/>
      <c r="S633" s="528"/>
      <c r="T633" s="528"/>
      <c r="U633" s="492"/>
      <c r="V633" s="254"/>
      <c r="W633" s="492"/>
      <c r="X633" s="254"/>
      <c r="Y633" s="9"/>
      <c r="Z633" s="9"/>
      <c r="AA633" s="9"/>
      <c r="AB633" s="9"/>
      <c r="AC633" s="9"/>
      <c r="AD633" s="9"/>
      <c r="AE633" s="9"/>
      <c r="AF633" s="9"/>
      <c r="AG633" s="9"/>
      <c r="AH633" s="9"/>
      <c r="AI633" s="9"/>
      <c r="AJ633" s="9"/>
      <c r="AK633" s="9"/>
      <c r="AL633" s="9"/>
      <c r="AM633" s="9"/>
      <c r="AN633" s="9"/>
      <c r="AO633" s="9"/>
      <c r="AP633" s="9"/>
      <c r="AQ633" s="9"/>
      <c r="AR633" s="9"/>
      <c r="AS633" s="9"/>
      <c r="AT633" s="9"/>
    </row>
    <row r="634">
      <c r="A634" s="492"/>
      <c r="B634" s="254"/>
      <c r="C634" s="492"/>
      <c r="D634" s="254"/>
      <c r="E634" s="492"/>
      <c r="F634" s="254"/>
      <c r="G634" s="492"/>
      <c r="H634" s="254"/>
      <c r="I634" s="500"/>
      <c r="J634" s="181"/>
      <c r="K634" s="500"/>
      <c r="L634" s="181"/>
      <c r="M634" s="492"/>
      <c r="N634" s="254"/>
      <c r="O634" s="492"/>
      <c r="P634" s="254"/>
      <c r="Q634" s="492"/>
      <c r="R634" s="254"/>
      <c r="S634" s="528"/>
      <c r="T634" s="528"/>
      <c r="U634" s="492"/>
      <c r="V634" s="254"/>
      <c r="W634" s="492"/>
      <c r="X634" s="254"/>
      <c r="Y634" s="9"/>
      <c r="Z634" s="9"/>
      <c r="AA634" s="9"/>
      <c r="AB634" s="9"/>
      <c r="AC634" s="9"/>
      <c r="AD634" s="9"/>
      <c r="AE634" s="9"/>
      <c r="AF634" s="9"/>
      <c r="AG634" s="9"/>
      <c r="AH634" s="9"/>
      <c r="AI634" s="9"/>
      <c r="AJ634" s="9"/>
      <c r="AK634" s="9"/>
      <c r="AL634" s="9"/>
      <c r="AM634" s="9"/>
      <c r="AN634" s="9"/>
      <c r="AO634" s="9"/>
      <c r="AP634" s="9"/>
      <c r="AQ634" s="9"/>
      <c r="AR634" s="9"/>
      <c r="AS634" s="9"/>
      <c r="AT634" s="9"/>
    </row>
    <row r="635">
      <c r="A635" s="492"/>
      <c r="B635" s="254"/>
      <c r="C635" s="492"/>
      <c r="D635" s="254"/>
      <c r="E635" s="492"/>
      <c r="F635" s="254"/>
      <c r="G635" s="492"/>
      <c r="H635" s="254"/>
      <c r="I635" s="500"/>
      <c r="J635" s="181"/>
      <c r="K635" s="500"/>
      <c r="L635" s="181"/>
      <c r="M635" s="492"/>
      <c r="N635" s="254"/>
      <c r="O635" s="492"/>
      <c r="P635" s="254"/>
      <c r="Q635" s="492"/>
      <c r="R635" s="254"/>
      <c r="S635" s="528"/>
      <c r="T635" s="528"/>
      <c r="U635" s="492"/>
      <c r="V635" s="254"/>
      <c r="W635" s="492"/>
      <c r="X635" s="254"/>
      <c r="Y635" s="9"/>
      <c r="Z635" s="9"/>
      <c r="AA635" s="9"/>
      <c r="AB635" s="9"/>
      <c r="AC635" s="9"/>
      <c r="AD635" s="9"/>
      <c r="AE635" s="9"/>
      <c r="AF635" s="9"/>
      <c r="AG635" s="9"/>
      <c r="AH635" s="9"/>
      <c r="AI635" s="9"/>
      <c r="AJ635" s="9"/>
      <c r="AK635" s="9"/>
      <c r="AL635" s="9"/>
      <c r="AM635" s="9"/>
      <c r="AN635" s="9"/>
      <c r="AO635" s="9"/>
      <c r="AP635" s="9"/>
      <c r="AQ635" s="9"/>
      <c r="AR635" s="9"/>
      <c r="AS635" s="9"/>
      <c r="AT635" s="9"/>
    </row>
    <row r="636">
      <c r="A636" s="492"/>
      <c r="B636" s="254"/>
      <c r="C636" s="492"/>
      <c r="D636" s="254"/>
      <c r="E636" s="492"/>
      <c r="F636" s="254"/>
      <c r="G636" s="492"/>
      <c r="H636" s="254"/>
      <c r="I636" s="500"/>
      <c r="J636" s="181"/>
      <c r="K636" s="500"/>
      <c r="L636" s="181"/>
      <c r="M636" s="492"/>
      <c r="N636" s="254"/>
      <c r="O636" s="492"/>
      <c r="P636" s="254"/>
      <c r="Q636" s="492"/>
      <c r="R636" s="254"/>
      <c r="S636" s="528"/>
      <c r="T636" s="528"/>
      <c r="U636" s="492"/>
      <c r="V636" s="254"/>
      <c r="W636" s="492"/>
      <c r="X636" s="254"/>
      <c r="Y636" s="9"/>
      <c r="Z636" s="9"/>
      <c r="AA636" s="9"/>
      <c r="AB636" s="9"/>
      <c r="AC636" s="9"/>
      <c r="AD636" s="9"/>
      <c r="AE636" s="9"/>
      <c r="AF636" s="9"/>
      <c r="AG636" s="9"/>
      <c r="AH636" s="9"/>
      <c r="AI636" s="9"/>
      <c r="AJ636" s="9"/>
      <c r="AK636" s="9"/>
      <c r="AL636" s="9"/>
      <c r="AM636" s="9"/>
      <c r="AN636" s="9"/>
      <c r="AO636" s="9"/>
      <c r="AP636" s="9"/>
      <c r="AQ636" s="9"/>
      <c r="AR636" s="9"/>
      <c r="AS636" s="9"/>
      <c r="AT636" s="9"/>
    </row>
    <row r="637">
      <c r="A637" s="492"/>
      <c r="B637" s="254"/>
      <c r="C637" s="492"/>
      <c r="D637" s="254"/>
      <c r="E637" s="492"/>
      <c r="F637" s="254"/>
      <c r="G637" s="492"/>
      <c r="H637" s="254"/>
      <c r="I637" s="500"/>
      <c r="J637" s="181"/>
      <c r="K637" s="500"/>
      <c r="L637" s="181"/>
      <c r="M637" s="492"/>
      <c r="N637" s="254"/>
      <c r="O637" s="492"/>
      <c r="P637" s="254"/>
      <c r="Q637" s="492"/>
      <c r="R637" s="254"/>
      <c r="S637" s="528"/>
      <c r="T637" s="528"/>
      <c r="U637" s="492"/>
      <c r="V637" s="254"/>
      <c r="W637" s="492"/>
      <c r="X637" s="254"/>
      <c r="Y637" s="9"/>
      <c r="Z637" s="9"/>
      <c r="AA637" s="9"/>
      <c r="AB637" s="9"/>
      <c r="AC637" s="9"/>
      <c r="AD637" s="9"/>
      <c r="AE637" s="9"/>
      <c r="AF637" s="9"/>
      <c r="AG637" s="9"/>
      <c r="AH637" s="9"/>
      <c r="AI637" s="9"/>
      <c r="AJ637" s="9"/>
      <c r="AK637" s="9"/>
      <c r="AL637" s="9"/>
      <c r="AM637" s="9"/>
      <c r="AN637" s="9"/>
      <c r="AO637" s="9"/>
      <c r="AP637" s="9"/>
      <c r="AQ637" s="9"/>
      <c r="AR637" s="9"/>
      <c r="AS637" s="9"/>
      <c r="AT637" s="9"/>
    </row>
    <row r="638">
      <c r="A638" s="492"/>
      <c r="B638" s="254"/>
      <c r="C638" s="492"/>
      <c r="D638" s="254"/>
      <c r="E638" s="492"/>
      <c r="F638" s="254"/>
      <c r="G638" s="492"/>
      <c r="H638" s="254"/>
      <c r="I638" s="500"/>
      <c r="J638" s="181"/>
      <c r="K638" s="500"/>
      <c r="L638" s="181"/>
      <c r="M638" s="492"/>
      <c r="N638" s="254"/>
      <c r="O638" s="492"/>
      <c r="P638" s="254"/>
      <c r="Q638" s="492"/>
      <c r="R638" s="254"/>
      <c r="S638" s="528"/>
      <c r="T638" s="528"/>
      <c r="U638" s="492"/>
      <c r="V638" s="254"/>
      <c r="W638" s="492"/>
      <c r="X638" s="254"/>
      <c r="Y638" s="9"/>
      <c r="Z638" s="9"/>
      <c r="AA638" s="9"/>
      <c r="AB638" s="9"/>
      <c r="AC638" s="9"/>
      <c r="AD638" s="9"/>
      <c r="AE638" s="9"/>
      <c r="AF638" s="9"/>
      <c r="AG638" s="9"/>
      <c r="AH638" s="9"/>
      <c r="AI638" s="9"/>
      <c r="AJ638" s="9"/>
      <c r="AK638" s="9"/>
      <c r="AL638" s="9"/>
      <c r="AM638" s="9"/>
      <c r="AN638" s="9"/>
      <c r="AO638" s="9"/>
      <c r="AP638" s="9"/>
      <c r="AQ638" s="9"/>
      <c r="AR638" s="9"/>
      <c r="AS638" s="9"/>
      <c r="AT638" s="9"/>
    </row>
    <row r="639">
      <c r="A639" s="492"/>
      <c r="B639" s="254"/>
      <c r="C639" s="492"/>
      <c r="D639" s="254"/>
      <c r="E639" s="492"/>
      <c r="F639" s="254"/>
      <c r="G639" s="492"/>
      <c r="H639" s="254"/>
      <c r="I639" s="500"/>
      <c r="J639" s="181"/>
      <c r="K639" s="500"/>
      <c r="L639" s="181"/>
      <c r="M639" s="492"/>
      <c r="N639" s="254"/>
      <c r="O639" s="492"/>
      <c r="P639" s="254"/>
      <c r="Q639" s="492"/>
      <c r="R639" s="254"/>
      <c r="S639" s="528"/>
      <c r="T639" s="528"/>
      <c r="U639" s="492"/>
      <c r="V639" s="254"/>
      <c r="W639" s="492"/>
      <c r="X639" s="254"/>
      <c r="Y639" s="9"/>
      <c r="Z639" s="9"/>
      <c r="AA639" s="9"/>
      <c r="AB639" s="9"/>
      <c r="AC639" s="9"/>
      <c r="AD639" s="9"/>
      <c r="AE639" s="9"/>
      <c r="AF639" s="9"/>
      <c r="AG639" s="9"/>
      <c r="AH639" s="9"/>
      <c r="AI639" s="9"/>
      <c r="AJ639" s="9"/>
      <c r="AK639" s="9"/>
      <c r="AL639" s="9"/>
      <c r="AM639" s="9"/>
      <c r="AN639" s="9"/>
      <c r="AO639" s="9"/>
      <c r="AP639" s="9"/>
      <c r="AQ639" s="9"/>
      <c r="AR639" s="9"/>
      <c r="AS639" s="9"/>
      <c r="AT639" s="9"/>
    </row>
    <row r="640">
      <c r="A640" s="492"/>
      <c r="B640" s="254"/>
      <c r="C640" s="492"/>
      <c r="D640" s="254"/>
      <c r="E640" s="492"/>
      <c r="F640" s="254"/>
      <c r="G640" s="492"/>
      <c r="H640" s="254"/>
      <c r="I640" s="500"/>
      <c r="J640" s="181"/>
      <c r="K640" s="500"/>
      <c r="L640" s="181"/>
      <c r="M640" s="492"/>
      <c r="N640" s="254"/>
      <c r="O640" s="492"/>
      <c r="P640" s="254"/>
      <c r="Q640" s="492"/>
      <c r="R640" s="254"/>
      <c r="S640" s="528"/>
      <c r="T640" s="528"/>
      <c r="U640" s="492"/>
      <c r="V640" s="254"/>
      <c r="W640" s="492"/>
      <c r="X640" s="254"/>
      <c r="Y640" s="9"/>
      <c r="Z640" s="9"/>
      <c r="AA640" s="9"/>
      <c r="AB640" s="9"/>
      <c r="AC640" s="9"/>
      <c r="AD640" s="9"/>
      <c r="AE640" s="9"/>
      <c r="AF640" s="9"/>
      <c r="AG640" s="9"/>
      <c r="AH640" s="9"/>
      <c r="AI640" s="9"/>
      <c r="AJ640" s="9"/>
      <c r="AK640" s="9"/>
      <c r="AL640" s="9"/>
      <c r="AM640" s="9"/>
      <c r="AN640" s="9"/>
      <c r="AO640" s="9"/>
      <c r="AP640" s="9"/>
      <c r="AQ640" s="9"/>
      <c r="AR640" s="9"/>
      <c r="AS640" s="9"/>
      <c r="AT640" s="9"/>
    </row>
    <row r="641">
      <c r="A641" s="492"/>
      <c r="B641" s="254"/>
      <c r="C641" s="492"/>
      <c r="D641" s="254"/>
      <c r="E641" s="492"/>
      <c r="F641" s="254"/>
      <c r="G641" s="492"/>
      <c r="H641" s="254"/>
      <c r="I641" s="500"/>
      <c r="J641" s="181"/>
      <c r="K641" s="500"/>
      <c r="L641" s="181"/>
      <c r="M641" s="492"/>
      <c r="N641" s="254"/>
      <c r="O641" s="492"/>
      <c r="P641" s="254"/>
      <c r="Q641" s="492"/>
      <c r="R641" s="254"/>
      <c r="S641" s="528"/>
      <c r="T641" s="528"/>
      <c r="U641" s="492"/>
      <c r="V641" s="254"/>
      <c r="W641" s="492"/>
      <c r="X641" s="254"/>
      <c r="Y641" s="9"/>
      <c r="Z641" s="9"/>
      <c r="AA641" s="9"/>
      <c r="AB641" s="9"/>
      <c r="AC641" s="9"/>
      <c r="AD641" s="9"/>
      <c r="AE641" s="9"/>
      <c r="AF641" s="9"/>
      <c r="AG641" s="9"/>
      <c r="AH641" s="9"/>
      <c r="AI641" s="9"/>
      <c r="AJ641" s="9"/>
      <c r="AK641" s="9"/>
      <c r="AL641" s="9"/>
      <c r="AM641" s="9"/>
      <c r="AN641" s="9"/>
      <c r="AO641" s="9"/>
      <c r="AP641" s="9"/>
      <c r="AQ641" s="9"/>
      <c r="AR641" s="9"/>
      <c r="AS641" s="9"/>
      <c r="AT641" s="9"/>
    </row>
    <row r="642">
      <c r="A642" s="492"/>
      <c r="B642" s="254"/>
      <c r="C642" s="492"/>
      <c r="D642" s="254"/>
      <c r="E642" s="492"/>
      <c r="F642" s="254"/>
      <c r="G642" s="492"/>
      <c r="H642" s="254"/>
      <c r="I642" s="500"/>
      <c r="J642" s="181"/>
      <c r="K642" s="500"/>
      <c r="L642" s="181"/>
      <c r="M642" s="492"/>
      <c r="N642" s="254"/>
      <c r="O642" s="492"/>
      <c r="P642" s="254"/>
      <c r="Q642" s="492"/>
      <c r="R642" s="254"/>
      <c r="S642" s="528"/>
      <c r="T642" s="528"/>
      <c r="U642" s="492"/>
      <c r="V642" s="254"/>
      <c r="W642" s="492"/>
      <c r="X642" s="254"/>
      <c r="Y642" s="9"/>
      <c r="Z642" s="9"/>
      <c r="AA642" s="9"/>
      <c r="AB642" s="9"/>
      <c r="AC642" s="9"/>
      <c r="AD642" s="9"/>
      <c r="AE642" s="9"/>
      <c r="AF642" s="9"/>
      <c r="AG642" s="9"/>
      <c r="AH642" s="9"/>
      <c r="AI642" s="9"/>
      <c r="AJ642" s="9"/>
      <c r="AK642" s="9"/>
      <c r="AL642" s="9"/>
      <c r="AM642" s="9"/>
      <c r="AN642" s="9"/>
      <c r="AO642" s="9"/>
      <c r="AP642" s="9"/>
      <c r="AQ642" s="9"/>
      <c r="AR642" s="9"/>
      <c r="AS642" s="9"/>
      <c r="AT642" s="9"/>
    </row>
    <row r="643">
      <c r="A643" s="492"/>
      <c r="B643" s="254"/>
      <c r="C643" s="492"/>
      <c r="D643" s="254"/>
      <c r="E643" s="492"/>
      <c r="F643" s="254"/>
      <c r="G643" s="492"/>
      <c r="H643" s="254"/>
      <c r="I643" s="500"/>
      <c r="J643" s="181"/>
      <c r="K643" s="500"/>
      <c r="L643" s="181"/>
      <c r="M643" s="492"/>
      <c r="N643" s="254"/>
      <c r="O643" s="492"/>
      <c r="P643" s="254"/>
      <c r="Q643" s="492"/>
      <c r="R643" s="254"/>
      <c r="S643" s="528"/>
      <c r="T643" s="528"/>
      <c r="U643" s="492"/>
      <c r="V643" s="254"/>
      <c r="W643" s="492"/>
      <c r="X643" s="254"/>
      <c r="Y643" s="9"/>
      <c r="Z643" s="9"/>
      <c r="AA643" s="9"/>
      <c r="AB643" s="9"/>
      <c r="AC643" s="9"/>
      <c r="AD643" s="9"/>
      <c r="AE643" s="9"/>
      <c r="AF643" s="9"/>
      <c r="AG643" s="9"/>
      <c r="AH643" s="9"/>
      <c r="AI643" s="9"/>
      <c r="AJ643" s="9"/>
      <c r="AK643" s="9"/>
      <c r="AL643" s="9"/>
      <c r="AM643" s="9"/>
      <c r="AN643" s="9"/>
      <c r="AO643" s="9"/>
      <c r="AP643" s="9"/>
      <c r="AQ643" s="9"/>
      <c r="AR643" s="9"/>
      <c r="AS643" s="9"/>
      <c r="AT643" s="9"/>
    </row>
    <row r="644">
      <c r="A644" s="492"/>
      <c r="B644" s="254"/>
      <c r="C644" s="492"/>
      <c r="D644" s="254"/>
      <c r="E644" s="492"/>
      <c r="F644" s="254"/>
      <c r="G644" s="492"/>
      <c r="H644" s="254"/>
      <c r="I644" s="500"/>
      <c r="J644" s="181"/>
      <c r="K644" s="500"/>
      <c r="L644" s="181"/>
      <c r="M644" s="492"/>
      <c r="N644" s="254"/>
      <c r="O644" s="492"/>
      <c r="P644" s="254"/>
      <c r="Q644" s="492"/>
      <c r="R644" s="254"/>
      <c r="S644" s="528"/>
      <c r="T644" s="528"/>
      <c r="U644" s="492"/>
      <c r="V644" s="254"/>
      <c r="W644" s="492"/>
      <c r="X644" s="254"/>
      <c r="Y644" s="9"/>
      <c r="Z644" s="9"/>
      <c r="AA644" s="9"/>
      <c r="AB644" s="9"/>
      <c r="AC644" s="9"/>
      <c r="AD644" s="9"/>
      <c r="AE644" s="9"/>
      <c r="AF644" s="9"/>
      <c r="AG644" s="9"/>
      <c r="AH644" s="9"/>
      <c r="AI644" s="9"/>
      <c r="AJ644" s="9"/>
      <c r="AK644" s="9"/>
      <c r="AL644" s="9"/>
      <c r="AM644" s="9"/>
      <c r="AN644" s="9"/>
      <c r="AO644" s="9"/>
      <c r="AP644" s="9"/>
      <c r="AQ644" s="9"/>
      <c r="AR644" s="9"/>
      <c r="AS644" s="9"/>
      <c r="AT644" s="9"/>
    </row>
    <row r="645">
      <c r="A645" s="492"/>
      <c r="B645" s="254"/>
      <c r="C645" s="492"/>
      <c r="D645" s="254"/>
      <c r="E645" s="492"/>
      <c r="F645" s="254"/>
      <c r="G645" s="492"/>
      <c r="H645" s="254"/>
      <c r="I645" s="500"/>
      <c r="J645" s="181"/>
      <c r="K645" s="500"/>
      <c r="L645" s="181"/>
      <c r="M645" s="492"/>
      <c r="N645" s="254"/>
      <c r="O645" s="492"/>
      <c r="P645" s="254"/>
      <c r="Q645" s="492"/>
      <c r="R645" s="254"/>
      <c r="S645" s="528"/>
      <c r="T645" s="528"/>
      <c r="U645" s="492"/>
      <c r="V645" s="254"/>
      <c r="W645" s="492"/>
      <c r="X645" s="254"/>
      <c r="Y645" s="9"/>
      <c r="Z645" s="9"/>
      <c r="AA645" s="9"/>
      <c r="AB645" s="9"/>
      <c r="AC645" s="9"/>
      <c r="AD645" s="9"/>
      <c r="AE645" s="9"/>
      <c r="AF645" s="9"/>
      <c r="AG645" s="9"/>
      <c r="AH645" s="9"/>
      <c r="AI645" s="9"/>
      <c r="AJ645" s="9"/>
      <c r="AK645" s="9"/>
      <c r="AL645" s="9"/>
      <c r="AM645" s="9"/>
      <c r="AN645" s="9"/>
      <c r="AO645" s="9"/>
      <c r="AP645" s="9"/>
      <c r="AQ645" s="9"/>
      <c r="AR645" s="9"/>
      <c r="AS645" s="9"/>
      <c r="AT645" s="9"/>
    </row>
    <row r="646">
      <c r="A646" s="492"/>
      <c r="B646" s="254"/>
      <c r="C646" s="492"/>
      <c r="D646" s="254"/>
      <c r="E646" s="492"/>
      <c r="F646" s="254"/>
      <c r="G646" s="492"/>
      <c r="H646" s="254"/>
      <c r="I646" s="500"/>
      <c r="J646" s="181"/>
      <c r="K646" s="500"/>
      <c r="L646" s="181"/>
      <c r="M646" s="492"/>
      <c r="N646" s="254"/>
      <c r="O646" s="492"/>
      <c r="P646" s="254"/>
      <c r="Q646" s="492"/>
      <c r="R646" s="254"/>
      <c r="S646" s="528"/>
      <c r="T646" s="528"/>
      <c r="U646" s="492"/>
      <c r="V646" s="254"/>
      <c r="W646" s="492"/>
      <c r="X646" s="254"/>
      <c r="Y646" s="9"/>
      <c r="Z646" s="9"/>
      <c r="AA646" s="9"/>
      <c r="AB646" s="9"/>
      <c r="AC646" s="9"/>
      <c r="AD646" s="9"/>
      <c r="AE646" s="9"/>
      <c r="AF646" s="9"/>
      <c r="AG646" s="9"/>
      <c r="AH646" s="9"/>
      <c r="AI646" s="9"/>
      <c r="AJ646" s="9"/>
      <c r="AK646" s="9"/>
      <c r="AL646" s="9"/>
      <c r="AM646" s="9"/>
      <c r="AN646" s="9"/>
      <c r="AO646" s="9"/>
      <c r="AP646" s="9"/>
      <c r="AQ646" s="9"/>
      <c r="AR646" s="9"/>
      <c r="AS646" s="9"/>
      <c r="AT646" s="9"/>
    </row>
    <row r="647">
      <c r="A647" s="492"/>
      <c r="B647" s="254"/>
      <c r="C647" s="492"/>
      <c r="D647" s="254"/>
      <c r="E647" s="492"/>
      <c r="F647" s="254"/>
      <c r="G647" s="492"/>
      <c r="H647" s="254"/>
      <c r="I647" s="500"/>
      <c r="J647" s="181"/>
      <c r="K647" s="500"/>
      <c r="L647" s="181"/>
      <c r="M647" s="492"/>
      <c r="N647" s="254"/>
      <c r="O647" s="492"/>
      <c r="P647" s="254"/>
      <c r="Q647" s="492"/>
      <c r="R647" s="254"/>
      <c r="S647" s="528"/>
      <c r="T647" s="528"/>
      <c r="U647" s="492"/>
      <c r="V647" s="254"/>
      <c r="W647" s="492"/>
      <c r="X647" s="254"/>
      <c r="Y647" s="9"/>
      <c r="Z647" s="9"/>
      <c r="AA647" s="9"/>
      <c r="AB647" s="9"/>
      <c r="AC647" s="9"/>
      <c r="AD647" s="9"/>
      <c r="AE647" s="9"/>
      <c r="AF647" s="9"/>
      <c r="AG647" s="9"/>
      <c r="AH647" s="9"/>
      <c r="AI647" s="9"/>
      <c r="AJ647" s="9"/>
      <c r="AK647" s="9"/>
      <c r="AL647" s="9"/>
      <c r="AM647" s="9"/>
      <c r="AN647" s="9"/>
      <c r="AO647" s="9"/>
      <c r="AP647" s="9"/>
      <c r="AQ647" s="9"/>
      <c r="AR647" s="9"/>
      <c r="AS647" s="9"/>
      <c r="AT647" s="9"/>
    </row>
    <row r="648">
      <c r="A648" s="492"/>
      <c r="B648" s="254"/>
      <c r="C648" s="492"/>
      <c r="D648" s="254"/>
      <c r="E648" s="492"/>
      <c r="F648" s="254"/>
      <c r="G648" s="492"/>
      <c r="H648" s="254"/>
      <c r="I648" s="500"/>
      <c r="J648" s="181"/>
      <c r="K648" s="500"/>
      <c r="L648" s="181"/>
      <c r="M648" s="492"/>
      <c r="N648" s="254"/>
      <c r="O648" s="492"/>
      <c r="P648" s="254"/>
      <c r="Q648" s="492"/>
      <c r="R648" s="254"/>
      <c r="S648" s="528"/>
      <c r="T648" s="528"/>
      <c r="U648" s="492"/>
      <c r="V648" s="254"/>
      <c r="W648" s="492"/>
      <c r="X648" s="254"/>
      <c r="Y648" s="9"/>
      <c r="Z648" s="9"/>
      <c r="AA648" s="9"/>
      <c r="AB648" s="9"/>
      <c r="AC648" s="9"/>
      <c r="AD648" s="9"/>
      <c r="AE648" s="9"/>
      <c r="AF648" s="9"/>
      <c r="AG648" s="9"/>
      <c r="AH648" s="9"/>
      <c r="AI648" s="9"/>
      <c r="AJ648" s="9"/>
      <c r="AK648" s="9"/>
      <c r="AL648" s="9"/>
      <c r="AM648" s="9"/>
      <c r="AN648" s="9"/>
      <c r="AO648" s="9"/>
      <c r="AP648" s="9"/>
      <c r="AQ648" s="9"/>
      <c r="AR648" s="9"/>
      <c r="AS648" s="9"/>
      <c r="AT648" s="9"/>
    </row>
    <row r="649">
      <c r="A649" s="492"/>
      <c r="B649" s="254"/>
      <c r="C649" s="492"/>
      <c r="D649" s="254"/>
      <c r="E649" s="492"/>
      <c r="F649" s="254"/>
      <c r="G649" s="492"/>
      <c r="H649" s="254"/>
      <c r="I649" s="500"/>
      <c r="J649" s="181"/>
      <c r="K649" s="500"/>
      <c r="L649" s="181"/>
      <c r="M649" s="492"/>
      <c r="N649" s="254"/>
      <c r="O649" s="492"/>
      <c r="P649" s="254"/>
      <c r="Q649" s="492"/>
      <c r="R649" s="254"/>
      <c r="S649" s="528"/>
      <c r="T649" s="528"/>
      <c r="U649" s="492"/>
      <c r="V649" s="254"/>
      <c r="W649" s="492"/>
      <c r="X649" s="254"/>
      <c r="Y649" s="9"/>
      <c r="Z649" s="9"/>
      <c r="AA649" s="9"/>
      <c r="AB649" s="9"/>
      <c r="AC649" s="9"/>
      <c r="AD649" s="9"/>
      <c r="AE649" s="9"/>
      <c r="AF649" s="9"/>
      <c r="AG649" s="9"/>
      <c r="AH649" s="9"/>
      <c r="AI649" s="9"/>
      <c r="AJ649" s="9"/>
      <c r="AK649" s="9"/>
      <c r="AL649" s="9"/>
      <c r="AM649" s="9"/>
      <c r="AN649" s="9"/>
      <c r="AO649" s="9"/>
      <c r="AP649" s="9"/>
      <c r="AQ649" s="9"/>
      <c r="AR649" s="9"/>
      <c r="AS649" s="9"/>
      <c r="AT649" s="9"/>
    </row>
    <row r="650">
      <c r="A650" s="492"/>
      <c r="B650" s="254"/>
      <c r="C650" s="492"/>
      <c r="D650" s="254"/>
      <c r="E650" s="492"/>
      <c r="F650" s="254"/>
      <c r="G650" s="492"/>
      <c r="H650" s="254"/>
      <c r="I650" s="500"/>
      <c r="J650" s="181"/>
      <c r="K650" s="500"/>
      <c r="L650" s="181"/>
      <c r="M650" s="492"/>
      <c r="N650" s="254"/>
      <c r="O650" s="492"/>
      <c r="P650" s="254"/>
      <c r="Q650" s="492"/>
      <c r="R650" s="254"/>
      <c r="S650" s="528"/>
      <c r="T650" s="528"/>
      <c r="U650" s="492"/>
      <c r="V650" s="254"/>
      <c r="W650" s="492"/>
      <c r="X650" s="254"/>
      <c r="Y650" s="9"/>
      <c r="Z650" s="9"/>
      <c r="AA650" s="9"/>
      <c r="AB650" s="9"/>
      <c r="AC650" s="9"/>
      <c r="AD650" s="9"/>
      <c r="AE650" s="9"/>
      <c r="AF650" s="9"/>
      <c r="AG650" s="9"/>
      <c r="AH650" s="9"/>
      <c r="AI650" s="9"/>
      <c r="AJ650" s="9"/>
      <c r="AK650" s="9"/>
      <c r="AL650" s="9"/>
      <c r="AM650" s="9"/>
      <c r="AN650" s="9"/>
      <c r="AO650" s="9"/>
      <c r="AP650" s="9"/>
      <c r="AQ650" s="9"/>
      <c r="AR650" s="9"/>
      <c r="AS650" s="9"/>
      <c r="AT650" s="9"/>
    </row>
    <row r="651">
      <c r="A651" s="492"/>
      <c r="B651" s="254"/>
      <c r="C651" s="492"/>
      <c r="D651" s="254"/>
      <c r="E651" s="492"/>
      <c r="F651" s="254"/>
      <c r="G651" s="492"/>
      <c r="H651" s="254"/>
      <c r="I651" s="500"/>
      <c r="J651" s="181"/>
      <c r="K651" s="500"/>
      <c r="L651" s="181"/>
      <c r="M651" s="492"/>
      <c r="N651" s="254"/>
      <c r="O651" s="492"/>
      <c r="P651" s="254"/>
      <c r="Q651" s="492"/>
      <c r="R651" s="254"/>
      <c r="S651" s="528"/>
      <c r="T651" s="528"/>
      <c r="U651" s="492"/>
      <c r="V651" s="254"/>
      <c r="W651" s="492"/>
      <c r="X651" s="254"/>
      <c r="Y651" s="9"/>
      <c r="Z651" s="9"/>
      <c r="AA651" s="9"/>
      <c r="AB651" s="9"/>
      <c r="AC651" s="9"/>
      <c r="AD651" s="9"/>
      <c r="AE651" s="9"/>
      <c r="AF651" s="9"/>
      <c r="AG651" s="9"/>
      <c r="AH651" s="9"/>
      <c r="AI651" s="9"/>
      <c r="AJ651" s="9"/>
      <c r="AK651" s="9"/>
      <c r="AL651" s="9"/>
      <c r="AM651" s="9"/>
      <c r="AN651" s="9"/>
      <c r="AO651" s="9"/>
      <c r="AP651" s="9"/>
      <c r="AQ651" s="9"/>
      <c r="AR651" s="9"/>
      <c r="AS651" s="9"/>
      <c r="AT651" s="9"/>
    </row>
    <row r="652">
      <c r="A652" s="492"/>
      <c r="B652" s="254"/>
      <c r="C652" s="492"/>
      <c r="D652" s="254"/>
      <c r="E652" s="492"/>
      <c r="F652" s="254"/>
      <c r="G652" s="492"/>
      <c r="H652" s="254"/>
      <c r="I652" s="500"/>
      <c r="J652" s="181"/>
      <c r="K652" s="500"/>
      <c r="L652" s="181"/>
      <c r="M652" s="492"/>
      <c r="N652" s="254"/>
      <c r="O652" s="492"/>
      <c r="P652" s="254"/>
      <c r="Q652" s="492"/>
      <c r="R652" s="254"/>
      <c r="S652" s="528"/>
      <c r="T652" s="528"/>
      <c r="U652" s="492"/>
      <c r="V652" s="254"/>
      <c r="W652" s="492"/>
      <c r="X652" s="254"/>
      <c r="Y652" s="9"/>
      <c r="Z652" s="9"/>
      <c r="AA652" s="9"/>
      <c r="AB652" s="9"/>
      <c r="AC652" s="9"/>
      <c r="AD652" s="9"/>
      <c r="AE652" s="9"/>
      <c r="AF652" s="9"/>
      <c r="AG652" s="9"/>
      <c r="AH652" s="9"/>
      <c r="AI652" s="9"/>
      <c r="AJ652" s="9"/>
      <c r="AK652" s="9"/>
      <c r="AL652" s="9"/>
      <c r="AM652" s="9"/>
      <c r="AN652" s="9"/>
      <c r="AO652" s="9"/>
      <c r="AP652" s="9"/>
      <c r="AQ652" s="9"/>
      <c r="AR652" s="9"/>
      <c r="AS652" s="9"/>
      <c r="AT652" s="9"/>
    </row>
    <row r="653">
      <c r="A653" s="492"/>
      <c r="B653" s="254"/>
      <c r="C653" s="492"/>
      <c r="D653" s="254"/>
      <c r="E653" s="492"/>
      <c r="F653" s="254"/>
      <c r="G653" s="492"/>
      <c r="H653" s="254"/>
      <c r="I653" s="500"/>
      <c r="J653" s="181"/>
      <c r="K653" s="500"/>
      <c r="L653" s="181"/>
      <c r="M653" s="492"/>
      <c r="N653" s="254"/>
      <c r="O653" s="492"/>
      <c r="P653" s="254"/>
      <c r="Q653" s="492"/>
      <c r="R653" s="254"/>
      <c r="S653" s="528"/>
      <c r="T653" s="528"/>
      <c r="U653" s="492"/>
      <c r="V653" s="254"/>
      <c r="W653" s="492"/>
      <c r="X653" s="254"/>
      <c r="Y653" s="9"/>
      <c r="Z653" s="9"/>
      <c r="AA653" s="9"/>
      <c r="AB653" s="9"/>
      <c r="AC653" s="9"/>
      <c r="AD653" s="9"/>
      <c r="AE653" s="9"/>
      <c r="AF653" s="9"/>
      <c r="AG653" s="9"/>
      <c r="AH653" s="9"/>
      <c r="AI653" s="9"/>
      <c r="AJ653" s="9"/>
      <c r="AK653" s="9"/>
      <c r="AL653" s="9"/>
      <c r="AM653" s="9"/>
      <c r="AN653" s="9"/>
      <c r="AO653" s="9"/>
      <c r="AP653" s="9"/>
      <c r="AQ653" s="9"/>
      <c r="AR653" s="9"/>
      <c r="AS653" s="9"/>
      <c r="AT653" s="9"/>
    </row>
    <row r="654">
      <c r="A654" s="492"/>
      <c r="B654" s="254"/>
      <c r="C654" s="492"/>
      <c r="D654" s="254"/>
      <c r="E654" s="492"/>
      <c r="F654" s="254"/>
      <c r="G654" s="492"/>
      <c r="H654" s="254"/>
      <c r="I654" s="500"/>
      <c r="J654" s="181"/>
      <c r="K654" s="500"/>
      <c r="L654" s="181"/>
      <c r="M654" s="492"/>
      <c r="N654" s="254"/>
      <c r="O654" s="492"/>
      <c r="P654" s="254"/>
      <c r="Q654" s="492"/>
      <c r="R654" s="254"/>
      <c r="S654" s="528"/>
      <c r="T654" s="528"/>
      <c r="U654" s="492"/>
      <c r="V654" s="254"/>
      <c r="W654" s="492"/>
      <c r="X654" s="254"/>
      <c r="Y654" s="9"/>
      <c r="Z654" s="9"/>
      <c r="AA654" s="9"/>
      <c r="AB654" s="9"/>
      <c r="AC654" s="9"/>
      <c r="AD654" s="9"/>
      <c r="AE654" s="9"/>
      <c r="AF654" s="9"/>
      <c r="AG654" s="9"/>
      <c r="AH654" s="9"/>
      <c r="AI654" s="9"/>
      <c r="AJ654" s="9"/>
      <c r="AK654" s="9"/>
      <c r="AL654" s="9"/>
      <c r="AM654" s="9"/>
      <c r="AN654" s="9"/>
      <c r="AO654" s="9"/>
      <c r="AP654" s="9"/>
      <c r="AQ654" s="9"/>
      <c r="AR654" s="9"/>
      <c r="AS654" s="9"/>
      <c r="AT654" s="9"/>
    </row>
    <row r="655">
      <c r="A655" s="492"/>
      <c r="B655" s="254"/>
      <c r="C655" s="492"/>
      <c r="D655" s="254"/>
      <c r="E655" s="492"/>
      <c r="F655" s="254"/>
      <c r="G655" s="492"/>
      <c r="H655" s="254"/>
      <c r="I655" s="500"/>
      <c r="J655" s="181"/>
      <c r="K655" s="500"/>
      <c r="L655" s="181"/>
      <c r="M655" s="492"/>
      <c r="N655" s="254"/>
      <c r="O655" s="492"/>
      <c r="P655" s="254"/>
      <c r="Q655" s="492"/>
      <c r="R655" s="254"/>
      <c r="S655" s="528"/>
      <c r="T655" s="528"/>
      <c r="U655" s="492"/>
      <c r="V655" s="254"/>
      <c r="W655" s="492"/>
      <c r="X655" s="254"/>
      <c r="Y655" s="9"/>
      <c r="Z655" s="9"/>
      <c r="AA655" s="9"/>
      <c r="AB655" s="9"/>
      <c r="AC655" s="9"/>
      <c r="AD655" s="9"/>
      <c r="AE655" s="9"/>
      <c r="AF655" s="9"/>
      <c r="AG655" s="9"/>
      <c r="AH655" s="9"/>
      <c r="AI655" s="9"/>
      <c r="AJ655" s="9"/>
      <c r="AK655" s="9"/>
      <c r="AL655" s="9"/>
      <c r="AM655" s="9"/>
      <c r="AN655" s="9"/>
      <c r="AO655" s="9"/>
      <c r="AP655" s="9"/>
      <c r="AQ655" s="9"/>
      <c r="AR655" s="9"/>
      <c r="AS655" s="9"/>
      <c r="AT655" s="9"/>
    </row>
    <row r="656">
      <c r="A656" s="492"/>
      <c r="B656" s="254"/>
      <c r="C656" s="492"/>
      <c r="D656" s="254"/>
      <c r="E656" s="492"/>
      <c r="F656" s="254"/>
      <c r="G656" s="492"/>
      <c r="H656" s="254"/>
      <c r="I656" s="500"/>
      <c r="J656" s="181"/>
      <c r="K656" s="500"/>
      <c r="L656" s="181"/>
      <c r="M656" s="492"/>
      <c r="N656" s="254"/>
      <c r="O656" s="492"/>
      <c r="P656" s="254"/>
      <c r="Q656" s="492"/>
      <c r="R656" s="254"/>
      <c r="S656" s="528"/>
      <c r="T656" s="528"/>
      <c r="U656" s="492"/>
      <c r="V656" s="254"/>
      <c r="W656" s="492"/>
      <c r="X656" s="254"/>
      <c r="Y656" s="9"/>
      <c r="Z656" s="9"/>
      <c r="AA656" s="9"/>
      <c r="AB656" s="9"/>
      <c r="AC656" s="9"/>
      <c r="AD656" s="9"/>
      <c r="AE656" s="9"/>
      <c r="AF656" s="9"/>
      <c r="AG656" s="9"/>
      <c r="AH656" s="9"/>
      <c r="AI656" s="9"/>
      <c r="AJ656" s="9"/>
      <c r="AK656" s="9"/>
      <c r="AL656" s="9"/>
      <c r="AM656" s="9"/>
      <c r="AN656" s="9"/>
      <c r="AO656" s="9"/>
      <c r="AP656" s="9"/>
      <c r="AQ656" s="9"/>
      <c r="AR656" s="9"/>
      <c r="AS656" s="9"/>
      <c r="AT656" s="9"/>
    </row>
    <row r="657">
      <c r="A657" s="492"/>
      <c r="B657" s="254"/>
      <c r="C657" s="492"/>
      <c r="D657" s="254"/>
      <c r="E657" s="492"/>
      <c r="F657" s="254"/>
      <c r="G657" s="492"/>
      <c r="H657" s="254"/>
      <c r="I657" s="500"/>
      <c r="J657" s="181"/>
      <c r="K657" s="500"/>
      <c r="L657" s="181"/>
      <c r="M657" s="492"/>
      <c r="N657" s="254"/>
      <c r="O657" s="492"/>
      <c r="P657" s="254"/>
      <c r="Q657" s="492"/>
      <c r="R657" s="254"/>
      <c r="S657" s="528"/>
      <c r="T657" s="528"/>
      <c r="U657" s="492"/>
      <c r="V657" s="254"/>
      <c r="W657" s="492"/>
      <c r="X657" s="254"/>
      <c r="Y657" s="9"/>
      <c r="Z657" s="9"/>
      <c r="AA657" s="9"/>
      <c r="AB657" s="9"/>
      <c r="AC657" s="9"/>
      <c r="AD657" s="9"/>
      <c r="AE657" s="9"/>
      <c r="AF657" s="9"/>
      <c r="AG657" s="9"/>
      <c r="AH657" s="9"/>
      <c r="AI657" s="9"/>
      <c r="AJ657" s="9"/>
      <c r="AK657" s="9"/>
      <c r="AL657" s="9"/>
      <c r="AM657" s="9"/>
      <c r="AN657" s="9"/>
      <c r="AO657" s="9"/>
      <c r="AP657" s="9"/>
      <c r="AQ657" s="9"/>
      <c r="AR657" s="9"/>
      <c r="AS657" s="9"/>
      <c r="AT657" s="9"/>
    </row>
    <row r="658">
      <c r="A658" s="492"/>
      <c r="B658" s="254"/>
      <c r="C658" s="492"/>
      <c r="D658" s="254"/>
      <c r="E658" s="492"/>
      <c r="F658" s="254"/>
      <c r="G658" s="492"/>
      <c r="H658" s="254"/>
      <c r="I658" s="500"/>
      <c r="J658" s="181"/>
      <c r="K658" s="500"/>
      <c r="L658" s="181"/>
      <c r="M658" s="492"/>
      <c r="N658" s="254"/>
      <c r="O658" s="492"/>
      <c r="P658" s="254"/>
      <c r="Q658" s="492"/>
      <c r="R658" s="254"/>
      <c r="S658" s="528"/>
      <c r="T658" s="528"/>
      <c r="U658" s="492"/>
      <c r="V658" s="254"/>
      <c r="W658" s="492"/>
      <c r="X658" s="254"/>
      <c r="Y658" s="9"/>
      <c r="Z658" s="9"/>
      <c r="AA658" s="9"/>
      <c r="AB658" s="9"/>
      <c r="AC658" s="9"/>
      <c r="AD658" s="9"/>
      <c r="AE658" s="9"/>
      <c r="AF658" s="9"/>
      <c r="AG658" s="9"/>
      <c r="AH658" s="9"/>
      <c r="AI658" s="9"/>
      <c r="AJ658" s="9"/>
      <c r="AK658" s="9"/>
      <c r="AL658" s="9"/>
      <c r="AM658" s="9"/>
      <c r="AN658" s="9"/>
      <c r="AO658" s="9"/>
      <c r="AP658" s="9"/>
      <c r="AQ658" s="9"/>
      <c r="AR658" s="9"/>
      <c r="AS658" s="9"/>
      <c r="AT658" s="9"/>
    </row>
    <row r="659">
      <c r="A659" s="492"/>
      <c r="B659" s="254"/>
      <c r="C659" s="492"/>
      <c r="D659" s="254"/>
      <c r="E659" s="492"/>
      <c r="F659" s="254"/>
      <c r="G659" s="492"/>
      <c r="H659" s="254"/>
      <c r="I659" s="500"/>
      <c r="J659" s="181"/>
      <c r="K659" s="500"/>
      <c r="L659" s="181"/>
      <c r="M659" s="492"/>
      <c r="N659" s="254"/>
      <c r="O659" s="492"/>
      <c r="P659" s="254"/>
      <c r="Q659" s="492"/>
      <c r="R659" s="254"/>
      <c r="S659" s="528"/>
      <c r="T659" s="528"/>
      <c r="U659" s="492"/>
      <c r="V659" s="254"/>
      <c r="W659" s="492"/>
      <c r="X659" s="254"/>
      <c r="Y659" s="9"/>
      <c r="Z659" s="9"/>
      <c r="AA659" s="9"/>
      <c r="AB659" s="9"/>
      <c r="AC659" s="9"/>
      <c r="AD659" s="9"/>
      <c r="AE659" s="9"/>
      <c r="AF659" s="9"/>
      <c r="AG659" s="9"/>
      <c r="AH659" s="9"/>
      <c r="AI659" s="9"/>
      <c r="AJ659" s="9"/>
      <c r="AK659" s="9"/>
      <c r="AL659" s="9"/>
      <c r="AM659" s="9"/>
      <c r="AN659" s="9"/>
      <c r="AO659" s="9"/>
      <c r="AP659" s="9"/>
      <c r="AQ659" s="9"/>
      <c r="AR659" s="9"/>
      <c r="AS659" s="9"/>
      <c r="AT659" s="9"/>
    </row>
    <row r="660">
      <c r="A660" s="492"/>
      <c r="B660" s="254"/>
      <c r="C660" s="492"/>
      <c r="D660" s="254"/>
      <c r="E660" s="492"/>
      <c r="F660" s="254"/>
      <c r="G660" s="492"/>
      <c r="H660" s="254"/>
      <c r="I660" s="500"/>
      <c r="J660" s="181"/>
      <c r="K660" s="500"/>
      <c r="L660" s="181"/>
      <c r="M660" s="492"/>
      <c r="N660" s="254"/>
      <c r="O660" s="492"/>
      <c r="P660" s="254"/>
      <c r="Q660" s="492"/>
      <c r="R660" s="254"/>
      <c r="S660" s="528"/>
      <c r="T660" s="528"/>
      <c r="U660" s="492"/>
      <c r="V660" s="254"/>
      <c r="W660" s="492"/>
      <c r="X660" s="254"/>
      <c r="Y660" s="9"/>
      <c r="Z660" s="9"/>
      <c r="AA660" s="9"/>
      <c r="AB660" s="9"/>
      <c r="AC660" s="9"/>
      <c r="AD660" s="9"/>
      <c r="AE660" s="9"/>
      <c r="AF660" s="9"/>
      <c r="AG660" s="9"/>
      <c r="AH660" s="9"/>
      <c r="AI660" s="9"/>
      <c r="AJ660" s="9"/>
      <c r="AK660" s="9"/>
      <c r="AL660" s="9"/>
      <c r="AM660" s="9"/>
      <c r="AN660" s="9"/>
      <c r="AO660" s="9"/>
      <c r="AP660" s="9"/>
      <c r="AQ660" s="9"/>
      <c r="AR660" s="9"/>
      <c r="AS660" s="9"/>
      <c r="AT660" s="9"/>
    </row>
    <row r="661">
      <c r="A661" s="492"/>
      <c r="B661" s="254"/>
      <c r="C661" s="492"/>
      <c r="D661" s="254"/>
      <c r="E661" s="492"/>
      <c r="F661" s="254"/>
      <c r="G661" s="492"/>
      <c r="H661" s="254"/>
      <c r="I661" s="500"/>
      <c r="J661" s="181"/>
      <c r="K661" s="500"/>
      <c r="L661" s="181"/>
      <c r="M661" s="492"/>
      <c r="N661" s="254"/>
      <c r="O661" s="492"/>
      <c r="P661" s="254"/>
      <c r="Q661" s="492"/>
      <c r="R661" s="254"/>
      <c r="S661" s="528"/>
      <c r="T661" s="528"/>
      <c r="U661" s="492"/>
      <c r="V661" s="254"/>
      <c r="W661" s="492"/>
      <c r="X661" s="254"/>
      <c r="Y661" s="9"/>
      <c r="Z661" s="9"/>
      <c r="AA661" s="9"/>
      <c r="AB661" s="9"/>
      <c r="AC661" s="9"/>
      <c r="AD661" s="9"/>
      <c r="AE661" s="9"/>
      <c r="AF661" s="9"/>
      <c r="AG661" s="9"/>
      <c r="AH661" s="9"/>
      <c r="AI661" s="9"/>
      <c r="AJ661" s="9"/>
      <c r="AK661" s="9"/>
      <c r="AL661" s="9"/>
      <c r="AM661" s="9"/>
      <c r="AN661" s="9"/>
      <c r="AO661" s="9"/>
      <c r="AP661" s="9"/>
      <c r="AQ661" s="9"/>
      <c r="AR661" s="9"/>
      <c r="AS661" s="9"/>
      <c r="AT661" s="9"/>
    </row>
    <row r="662">
      <c r="A662" s="492"/>
      <c r="B662" s="254"/>
      <c r="C662" s="492"/>
      <c r="D662" s="254"/>
      <c r="E662" s="492"/>
      <c r="F662" s="254"/>
      <c r="G662" s="492"/>
      <c r="H662" s="254"/>
      <c r="I662" s="500"/>
      <c r="J662" s="181"/>
      <c r="K662" s="500"/>
      <c r="L662" s="181"/>
      <c r="M662" s="492"/>
      <c r="N662" s="254"/>
      <c r="O662" s="492"/>
      <c r="P662" s="254"/>
      <c r="Q662" s="492"/>
      <c r="R662" s="254"/>
      <c r="S662" s="528"/>
      <c r="T662" s="528"/>
      <c r="U662" s="492"/>
      <c r="V662" s="254"/>
      <c r="W662" s="492"/>
      <c r="X662" s="254"/>
      <c r="Y662" s="9"/>
      <c r="Z662" s="9"/>
      <c r="AA662" s="9"/>
      <c r="AB662" s="9"/>
      <c r="AC662" s="9"/>
      <c r="AD662" s="9"/>
      <c r="AE662" s="9"/>
      <c r="AF662" s="9"/>
      <c r="AG662" s="9"/>
      <c r="AH662" s="9"/>
      <c r="AI662" s="9"/>
      <c r="AJ662" s="9"/>
      <c r="AK662" s="9"/>
      <c r="AL662" s="9"/>
      <c r="AM662" s="9"/>
      <c r="AN662" s="9"/>
      <c r="AO662" s="9"/>
      <c r="AP662" s="9"/>
      <c r="AQ662" s="9"/>
      <c r="AR662" s="9"/>
      <c r="AS662" s="9"/>
      <c r="AT662" s="9"/>
    </row>
    <row r="663">
      <c r="A663" s="492"/>
      <c r="B663" s="254"/>
      <c r="C663" s="492"/>
      <c r="D663" s="254"/>
      <c r="E663" s="492"/>
      <c r="F663" s="254"/>
      <c r="G663" s="492"/>
      <c r="H663" s="254"/>
      <c r="I663" s="500"/>
      <c r="J663" s="181"/>
      <c r="K663" s="500"/>
      <c r="L663" s="181"/>
      <c r="M663" s="492"/>
      <c r="N663" s="254"/>
      <c r="O663" s="492"/>
      <c r="P663" s="254"/>
      <c r="Q663" s="492"/>
      <c r="R663" s="254"/>
      <c r="S663" s="528"/>
      <c r="T663" s="528"/>
      <c r="U663" s="492"/>
      <c r="V663" s="254"/>
      <c r="W663" s="492"/>
      <c r="X663" s="254"/>
      <c r="Y663" s="9"/>
      <c r="Z663" s="9"/>
      <c r="AA663" s="9"/>
      <c r="AB663" s="9"/>
      <c r="AC663" s="9"/>
      <c r="AD663" s="9"/>
      <c r="AE663" s="9"/>
      <c r="AF663" s="9"/>
      <c r="AG663" s="9"/>
      <c r="AH663" s="9"/>
      <c r="AI663" s="9"/>
      <c r="AJ663" s="9"/>
      <c r="AK663" s="9"/>
      <c r="AL663" s="9"/>
      <c r="AM663" s="9"/>
      <c r="AN663" s="9"/>
      <c r="AO663" s="9"/>
      <c r="AP663" s="9"/>
      <c r="AQ663" s="9"/>
      <c r="AR663" s="9"/>
      <c r="AS663" s="9"/>
      <c r="AT663" s="9"/>
    </row>
    <row r="664">
      <c r="A664" s="492"/>
      <c r="B664" s="254"/>
      <c r="C664" s="492"/>
      <c r="D664" s="254"/>
      <c r="E664" s="492"/>
      <c r="F664" s="254"/>
      <c r="G664" s="492"/>
      <c r="H664" s="254"/>
      <c r="I664" s="500"/>
      <c r="J664" s="181"/>
      <c r="K664" s="500"/>
      <c r="L664" s="181"/>
      <c r="M664" s="492"/>
      <c r="N664" s="254"/>
      <c r="O664" s="492"/>
      <c r="P664" s="254"/>
      <c r="Q664" s="492"/>
      <c r="R664" s="254"/>
      <c r="S664" s="528"/>
      <c r="T664" s="528"/>
      <c r="U664" s="492"/>
      <c r="V664" s="254"/>
      <c r="W664" s="492"/>
      <c r="X664" s="254"/>
      <c r="Y664" s="9"/>
      <c r="Z664" s="9"/>
      <c r="AA664" s="9"/>
      <c r="AB664" s="9"/>
      <c r="AC664" s="9"/>
      <c r="AD664" s="9"/>
      <c r="AE664" s="9"/>
      <c r="AF664" s="9"/>
      <c r="AG664" s="9"/>
      <c r="AH664" s="9"/>
      <c r="AI664" s="9"/>
      <c r="AJ664" s="9"/>
      <c r="AK664" s="9"/>
      <c r="AL664" s="9"/>
      <c r="AM664" s="9"/>
      <c r="AN664" s="9"/>
      <c r="AO664" s="9"/>
      <c r="AP664" s="9"/>
      <c r="AQ664" s="9"/>
      <c r="AR664" s="9"/>
      <c r="AS664" s="9"/>
      <c r="AT664" s="9"/>
    </row>
    <row r="665">
      <c r="A665" s="492"/>
      <c r="B665" s="254"/>
      <c r="C665" s="492"/>
      <c r="D665" s="254"/>
      <c r="E665" s="492"/>
      <c r="F665" s="254"/>
      <c r="G665" s="492"/>
      <c r="H665" s="254"/>
      <c r="I665" s="500"/>
      <c r="J665" s="181"/>
      <c r="K665" s="500"/>
      <c r="L665" s="181"/>
      <c r="M665" s="492"/>
      <c r="N665" s="254"/>
      <c r="O665" s="492"/>
      <c r="P665" s="254"/>
      <c r="Q665" s="492"/>
      <c r="R665" s="254"/>
      <c r="S665" s="528"/>
      <c r="T665" s="528"/>
      <c r="U665" s="492"/>
      <c r="V665" s="254"/>
      <c r="W665" s="492"/>
      <c r="X665" s="254"/>
      <c r="Y665" s="9"/>
      <c r="Z665" s="9"/>
      <c r="AA665" s="9"/>
      <c r="AB665" s="9"/>
      <c r="AC665" s="9"/>
      <c r="AD665" s="9"/>
      <c r="AE665" s="9"/>
      <c r="AF665" s="9"/>
      <c r="AG665" s="9"/>
      <c r="AH665" s="9"/>
      <c r="AI665" s="9"/>
      <c r="AJ665" s="9"/>
      <c r="AK665" s="9"/>
      <c r="AL665" s="9"/>
      <c r="AM665" s="9"/>
      <c r="AN665" s="9"/>
      <c r="AO665" s="9"/>
      <c r="AP665" s="9"/>
      <c r="AQ665" s="9"/>
      <c r="AR665" s="9"/>
      <c r="AS665" s="9"/>
      <c r="AT665" s="9"/>
    </row>
    <row r="666">
      <c r="A666" s="492"/>
      <c r="B666" s="254"/>
      <c r="C666" s="492"/>
      <c r="D666" s="254"/>
      <c r="E666" s="492"/>
      <c r="F666" s="254"/>
      <c r="G666" s="492"/>
      <c r="H666" s="254"/>
      <c r="I666" s="500"/>
      <c r="J666" s="181"/>
      <c r="K666" s="500"/>
      <c r="L666" s="181"/>
      <c r="M666" s="492"/>
      <c r="N666" s="254"/>
      <c r="O666" s="492"/>
      <c r="P666" s="254"/>
      <c r="Q666" s="492"/>
      <c r="R666" s="254"/>
      <c r="S666" s="528"/>
      <c r="T666" s="528"/>
      <c r="U666" s="492"/>
      <c r="V666" s="254"/>
      <c r="W666" s="492"/>
      <c r="X666" s="254"/>
      <c r="Y666" s="9"/>
      <c r="Z666" s="9"/>
      <c r="AA666" s="9"/>
      <c r="AB666" s="9"/>
      <c r="AC666" s="9"/>
      <c r="AD666" s="9"/>
      <c r="AE666" s="9"/>
      <c r="AF666" s="9"/>
      <c r="AG666" s="9"/>
      <c r="AH666" s="9"/>
      <c r="AI666" s="9"/>
      <c r="AJ666" s="9"/>
      <c r="AK666" s="9"/>
      <c r="AL666" s="9"/>
      <c r="AM666" s="9"/>
      <c r="AN666" s="9"/>
      <c r="AO666" s="9"/>
      <c r="AP666" s="9"/>
      <c r="AQ666" s="9"/>
      <c r="AR666" s="9"/>
      <c r="AS666" s="9"/>
      <c r="AT666" s="9"/>
    </row>
    <row r="667">
      <c r="A667" s="492"/>
      <c r="B667" s="254"/>
      <c r="C667" s="492"/>
      <c r="D667" s="254"/>
      <c r="E667" s="492"/>
      <c r="F667" s="254"/>
      <c r="G667" s="492"/>
      <c r="H667" s="254"/>
      <c r="I667" s="500"/>
      <c r="J667" s="181"/>
      <c r="K667" s="500"/>
      <c r="L667" s="181"/>
      <c r="M667" s="492"/>
      <c r="N667" s="254"/>
      <c r="O667" s="492"/>
      <c r="P667" s="254"/>
      <c r="Q667" s="492"/>
      <c r="R667" s="254"/>
      <c r="S667" s="528"/>
      <c r="T667" s="528"/>
      <c r="U667" s="492"/>
      <c r="V667" s="254"/>
      <c r="W667" s="492"/>
      <c r="X667" s="254"/>
      <c r="Y667" s="9"/>
      <c r="Z667" s="9"/>
      <c r="AA667" s="9"/>
      <c r="AB667" s="9"/>
      <c r="AC667" s="9"/>
      <c r="AD667" s="9"/>
      <c r="AE667" s="9"/>
      <c r="AF667" s="9"/>
      <c r="AG667" s="9"/>
      <c r="AH667" s="9"/>
      <c r="AI667" s="9"/>
      <c r="AJ667" s="9"/>
      <c r="AK667" s="9"/>
      <c r="AL667" s="9"/>
      <c r="AM667" s="9"/>
      <c r="AN667" s="9"/>
      <c r="AO667" s="9"/>
      <c r="AP667" s="9"/>
      <c r="AQ667" s="9"/>
      <c r="AR667" s="9"/>
      <c r="AS667" s="9"/>
      <c r="AT667" s="9"/>
    </row>
    <row r="668">
      <c r="A668" s="492"/>
      <c r="B668" s="254"/>
      <c r="C668" s="492"/>
      <c r="D668" s="254"/>
      <c r="E668" s="492"/>
      <c r="F668" s="254"/>
      <c r="G668" s="492"/>
      <c r="H668" s="254"/>
      <c r="I668" s="500"/>
      <c r="J668" s="181"/>
      <c r="K668" s="500"/>
      <c r="L668" s="181"/>
      <c r="M668" s="492"/>
      <c r="N668" s="254"/>
      <c r="O668" s="492"/>
      <c r="P668" s="254"/>
      <c r="Q668" s="492"/>
      <c r="R668" s="254"/>
      <c r="S668" s="528"/>
      <c r="T668" s="528"/>
      <c r="U668" s="492"/>
      <c r="V668" s="254"/>
      <c r="W668" s="492"/>
      <c r="X668" s="254"/>
      <c r="Y668" s="9"/>
      <c r="Z668" s="9"/>
      <c r="AA668" s="9"/>
      <c r="AB668" s="9"/>
      <c r="AC668" s="9"/>
      <c r="AD668" s="9"/>
      <c r="AE668" s="9"/>
      <c r="AF668" s="9"/>
      <c r="AG668" s="9"/>
      <c r="AH668" s="9"/>
      <c r="AI668" s="9"/>
      <c r="AJ668" s="9"/>
      <c r="AK668" s="9"/>
      <c r="AL668" s="9"/>
      <c r="AM668" s="9"/>
      <c r="AN668" s="9"/>
      <c r="AO668" s="9"/>
      <c r="AP668" s="9"/>
      <c r="AQ668" s="9"/>
      <c r="AR668" s="9"/>
      <c r="AS668" s="9"/>
      <c r="AT668" s="9"/>
    </row>
    <row r="669">
      <c r="A669" s="492"/>
      <c r="B669" s="254"/>
      <c r="C669" s="492"/>
      <c r="D669" s="254"/>
      <c r="E669" s="492"/>
      <c r="F669" s="254"/>
      <c r="G669" s="492"/>
      <c r="H669" s="254"/>
      <c r="I669" s="500"/>
      <c r="J669" s="181"/>
      <c r="K669" s="500"/>
      <c r="L669" s="181"/>
      <c r="M669" s="492"/>
      <c r="N669" s="254"/>
      <c r="O669" s="492"/>
      <c r="P669" s="254"/>
      <c r="Q669" s="492"/>
      <c r="R669" s="254"/>
      <c r="S669" s="528"/>
      <c r="T669" s="528"/>
      <c r="U669" s="492"/>
      <c r="V669" s="254"/>
      <c r="W669" s="492"/>
      <c r="X669" s="254"/>
      <c r="Y669" s="9"/>
      <c r="Z669" s="9"/>
      <c r="AA669" s="9"/>
      <c r="AB669" s="9"/>
      <c r="AC669" s="9"/>
      <c r="AD669" s="9"/>
      <c r="AE669" s="9"/>
      <c r="AF669" s="9"/>
      <c r="AG669" s="9"/>
      <c r="AH669" s="9"/>
      <c r="AI669" s="9"/>
      <c r="AJ669" s="9"/>
      <c r="AK669" s="9"/>
      <c r="AL669" s="9"/>
      <c r="AM669" s="9"/>
      <c r="AN669" s="9"/>
      <c r="AO669" s="9"/>
      <c r="AP669" s="9"/>
      <c r="AQ669" s="9"/>
      <c r="AR669" s="9"/>
      <c r="AS669" s="9"/>
      <c r="AT669" s="9"/>
    </row>
    <row r="670">
      <c r="A670" s="492"/>
      <c r="B670" s="254"/>
      <c r="C670" s="492"/>
      <c r="D670" s="254"/>
      <c r="E670" s="492"/>
      <c r="F670" s="254"/>
      <c r="G670" s="492"/>
      <c r="H670" s="254"/>
      <c r="I670" s="500"/>
      <c r="J670" s="181"/>
      <c r="K670" s="500"/>
      <c r="L670" s="181"/>
      <c r="M670" s="492"/>
      <c r="N670" s="254"/>
      <c r="O670" s="492"/>
      <c r="P670" s="254"/>
      <c r="Q670" s="492"/>
      <c r="R670" s="254"/>
      <c r="S670" s="528"/>
      <c r="T670" s="528"/>
      <c r="U670" s="492"/>
      <c r="V670" s="254"/>
      <c r="W670" s="492"/>
      <c r="X670" s="254"/>
      <c r="Y670" s="9"/>
      <c r="Z670" s="9"/>
      <c r="AA670" s="9"/>
      <c r="AB670" s="9"/>
      <c r="AC670" s="9"/>
      <c r="AD670" s="9"/>
      <c r="AE670" s="9"/>
      <c r="AF670" s="9"/>
      <c r="AG670" s="9"/>
      <c r="AH670" s="9"/>
      <c r="AI670" s="9"/>
      <c r="AJ670" s="9"/>
      <c r="AK670" s="9"/>
      <c r="AL670" s="9"/>
      <c r="AM670" s="9"/>
      <c r="AN670" s="9"/>
      <c r="AO670" s="9"/>
      <c r="AP670" s="9"/>
      <c r="AQ670" s="9"/>
      <c r="AR670" s="9"/>
      <c r="AS670" s="9"/>
      <c r="AT670" s="9"/>
    </row>
    <row r="671">
      <c r="A671" s="492"/>
      <c r="B671" s="254"/>
      <c r="C671" s="492"/>
      <c r="D671" s="254"/>
      <c r="E671" s="492"/>
      <c r="F671" s="254"/>
      <c r="G671" s="492"/>
      <c r="H671" s="254"/>
      <c r="I671" s="500"/>
      <c r="J671" s="181"/>
      <c r="K671" s="500"/>
      <c r="L671" s="181"/>
      <c r="M671" s="492"/>
      <c r="N671" s="254"/>
      <c r="O671" s="492"/>
      <c r="P671" s="254"/>
      <c r="Q671" s="492"/>
      <c r="R671" s="254"/>
      <c r="S671" s="528"/>
      <c r="T671" s="528"/>
      <c r="U671" s="492"/>
      <c r="V671" s="254"/>
      <c r="W671" s="492"/>
      <c r="X671" s="254"/>
      <c r="Y671" s="9"/>
      <c r="Z671" s="9"/>
      <c r="AA671" s="9"/>
      <c r="AB671" s="9"/>
      <c r="AC671" s="9"/>
      <c r="AD671" s="9"/>
      <c r="AE671" s="9"/>
      <c r="AF671" s="9"/>
      <c r="AG671" s="9"/>
      <c r="AH671" s="9"/>
      <c r="AI671" s="9"/>
      <c r="AJ671" s="9"/>
      <c r="AK671" s="9"/>
      <c r="AL671" s="9"/>
      <c r="AM671" s="9"/>
      <c r="AN671" s="9"/>
      <c r="AO671" s="9"/>
      <c r="AP671" s="9"/>
      <c r="AQ671" s="9"/>
      <c r="AR671" s="9"/>
      <c r="AS671" s="9"/>
      <c r="AT671" s="9"/>
    </row>
    <row r="672">
      <c r="A672" s="492"/>
      <c r="B672" s="254"/>
      <c r="C672" s="492"/>
      <c r="D672" s="254"/>
      <c r="E672" s="492"/>
      <c r="F672" s="254"/>
      <c r="G672" s="492"/>
      <c r="H672" s="254"/>
      <c r="I672" s="500"/>
      <c r="J672" s="181"/>
      <c r="K672" s="500"/>
      <c r="L672" s="181"/>
      <c r="M672" s="492"/>
      <c r="N672" s="254"/>
      <c r="O672" s="492"/>
      <c r="P672" s="254"/>
      <c r="Q672" s="492"/>
      <c r="R672" s="254"/>
      <c r="S672" s="528"/>
      <c r="T672" s="528"/>
      <c r="U672" s="492"/>
      <c r="V672" s="254"/>
      <c r="W672" s="492"/>
      <c r="X672" s="254"/>
      <c r="Y672" s="9"/>
      <c r="Z672" s="9"/>
      <c r="AA672" s="9"/>
      <c r="AB672" s="9"/>
      <c r="AC672" s="9"/>
      <c r="AD672" s="9"/>
      <c r="AE672" s="9"/>
      <c r="AF672" s="9"/>
      <c r="AG672" s="9"/>
      <c r="AH672" s="9"/>
      <c r="AI672" s="9"/>
      <c r="AJ672" s="9"/>
      <c r="AK672" s="9"/>
      <c r="AL672" s="9"/>
      <c r="AM672" s="9"/>
      <c r="AN672" s="9"/>
      <c r="AO672" s="9"/>
      <c r="AP672" s="9"/>
      <c r="AQ672" s="9"/>
      <c r="AR672" s="9"/>
      <c r="AS672" s="9"/>
      <c r="AT672" s="9"/>
    </row>
    <row r="673">
      <c r="A673" s="492"/>
      <c r="B673" s="254"/>
      <c r="C673" s="492"/>
      <c r="D673" s="254"/>
      <c r="E673" s="492"/>
      <c r="F673" s="254"/>
      <c r="G673" s="492"/>
      <c r="H673" s="254"/>
      <c r="I673" s="500"/>
      <c r="J673" s="181"/>
      <c r="K673" s="500"/>
      <c r="L673" s="181"/>
      <c r="M673" s="492"/>
      <c r="N673" s="254"/>
      <c r="O673" s="492"/>
      <c r="P673" s="254"/>
      <c r="Q673" s="492"/>
      <c r="R673" s="254"/>
      <c r="S673" s="528"/>
      <c r="T673" s="528"/>
      <c r="U673" s="492"/>
      <c r="V673" s="254"/>
      <c r="W673" s="492"/>
      <c r="X673" s="254"/>
      <c r="Y673" s="9"/>
      <c r="Z673" s="9"/>
      <c r="AA673" s="9"/>
      <c r="AB673" s="9"/>
      <c r="AC673" s="9"/>
      <c r="AD673" s="9"/>
      <c r="AE673" s="9"/>
      <c r="AF673" s="9"/>
      <c r="AG673" s="9"/>
      <c r="AH673" s="9"/>
      <c r="AI673" s="9"/>
      <c r="AJ673" s="9"/>
      <c r="AK673" s="9"/>
      <c r="AL673" s="9"/>
      <c r="AM673" s="9"/>
      <c r="AN673" s="9"/>
      <c r="AO673" s="9"/>
      <c r="AP673" s="9"/>
      <c r="AQ673" s="9"/>
      <c r="AR673" s="9"/>
      <c r="AS673" s="9"/>
      <c r="AT673" s="9"/>
    </row>
    <row r="674">
      <c r="A674" s="492"/>
      <c r="B674" s="254"/>
      <c r="C674" s="492"/>
      <c r="D674" s="254"/>
      <c r="E674" s="492"/>
      <c r="F674" s="254"/>
      <c r="G674" s="492"/>
      <c r="H674" s="254"/>
      <c r="I674" s="500"/>
      <c r="J674" s="181"/>
      <c r="K674" s="500"/>
      <c r="L674" s="181"/>
      <c r="M674" s="492"/>
      <c r="N674" s="254"/>
      <c r="O674" s="492"/>
      <c r="P674" s="254"/>
      <c r="Q674" s="492"/>
      <c r="R674" s="254"/>
      <c r="S674" s="528"/>
      <c r="T674" s="528"/>
      <c r="U674" s="492"/>
      <c r="V674" s="254"/>
      <c r="W674" s="492"/>
      <c r="X674" s="254"/>
      <c r="Y674" s="9"/>
      <c r="Z674" s="9"/>
      <c r="AA674" s="9"/>
      <c r="AB674" s="9"/>
      <c r="AC674" s="9"/>
      <c r="AD674" s="9"/>
      <c r="AE674" s="9"/>
      <c r="AF674" s="9"/>
      <c r="AG674" s="9"/>
      <c r="AH674" s="9"/>
      <c r="AI674" s="9"/>
      <c r="AJ674" s="9"/>
      <c r="AK674" s="9"/>
      <c r="AL674" s="9"/>
      <c r="AM674" s="9"/>
      <c r="AN674" s="9"/>
      <c r="AO674" s="9"/>
      <c r="AP674" s="9"/>
      <c r="AQ674" s="9"/>
      <c r="AR674" s="9"/>
      <c r="AS674" s="9"/>
      <c r="AT674" s="9"/>
    </row>
    <row r="675">
      <c r="A675" s="492"/>
      <c r="B675" s="254"/>
      <c r="C675" s="492"/>
      <c r="D675" s="254"/>
      <c r="E675" s="492"/>
      <c r="F675" s="254"/>
      <c r="G675" s="492"/>
      <c r="H675" s="254"/>
      <c r="I675" s="500"/>
      <c r="J675" s="181"/>
      <c r="K675" s="500"/>
      <c r="L675" s="181"/>
      <c r="M675" s="492"/>
      <c r="N675" s="254"/>
      <c r="O675" s="492"/>
      <c r="P675" s="254"/>
      <c r="Q675" s="492"/>
      <c r="R675" s="254"/>
      <c r="S675" s="528"/>
      <c r="T675" s="528"/>
      <c r="U675" s="492"/>
      <c r="V675" s="254"/>
      <c r="W675" s="492"/>
      <c r="X675" s="254"/>
      <c r="Y675" s="9"/>
      <c r="Z675" s="9"/>
      <c r="AA675" s="9"/>
      <c r="AB675" s="9"/>
      <c r="AC675" s="9"/>
      <c r="AD675" s="9"/>
      <c r="AE675" s="9"/>
      <c r="AF675" s="9"/>
      <c r="AG675" s="9"/>
      <c r="AH675" s="9"/>
      <c r="AI675" s="9"/>
      <c r="AJ675" s="9"/>
      <c r="AK675" s="9"/>
      <c r="AL675" s="9"/>
      <c r="AM675" s="9"/>
      <c r="AN675" s="9"/>
      <c r="AO675" s="9"/>
      <c r="AP675" s="9"/>
      <c r="AQ675" s="9"/>
      <c r="AR675" s="9"/>
      <c r="AS675" s="9"/>
      <c r="AT675" s="9"/>
    </row>
    <row r="676">
      <c r="A676" s="492"/>
      <c r="B676" s="254"/>
      <c r="C676" s="492"/>
      <c r="D676" s="254"/>
      <c r="E676" s="492"/>
      <c r="F676" s="254"/>
      <c r="G676" s="492"/>
      <c r="H676" s="254"/>
      <c r="I676" s="500"/>
      <c r="J676" s="181"/>
      <c r="K676" s="500"/>
      <c r="L676" s="181"/>
      <c r="M676" s="492"/>
      <c r="N676" s="254"/>
      <c r="O676" s="492"/>
      <c r="P676" s="254"/>
      <c r="Q676" s="492"/>
      <c r="R676" s="254"/>
      <c r="S676" s="528"/>
      <c r="T676" s="528"/>
      <c r="U676" s="492"/>
      <c r="V676" s="254"/>
      <c r="W676" s="492"/>
      <c r="X676" s="254"/>
      <c r="Y676" s="9"/>
      <c r="Z676" s="9"/>
      <c r="AA676" s="9"/>
      <c r="AB676" s="9"/>
      <c r="AC676" s="9"/>
      <c r="AD676" s="9"/>
      <c r="AE676" s="9"/>
      <c r="AF676" s="9"/>
      <c r="AG676" s="9"/>
      <c r="AH676" s="9"/>
      <c r="AI676" s="9"/>
      <c r="AJ676" s="9"/>
      <c r="AK676" s="9"/>
      <c r="AL676" s="9"/>
      <c r="AM676" s="9"/>
      <c r="AN676" s="9"/>
      <c r="AO676" s="9"/>
      <c r="AP676" s="9"/>
      <c r="AQ676" s="9"/>
      <c r="AR676" s="9"/>
      <c r="AS676" s="9"/>
      <c r="AT676" s="9"/>
    </row>
    <row r="677">
      <c r="A677" s="492"/>
      <c r="B677" s="254"/>
      <c r="C677" s="492"/>
      <c r="D677" s="254"/>
      <c r="E677" s="492"/>
      <c r="F677" s="254"/>
      <c r="G677" s="492"/>
      <c r="H677" s="254"/>
      <c r="I677" s="500"/>
      <c r="J677" s="181"/>
      <c r="K677" s="500"/>
      <c r="L677" s="181"/>
      <c r="M677" s="492"/>
      <c r="N677" s="254"/>
      <c r="O677" s="492"/>
      <c r="P677" s="254"/>
      <c r="Q677" s="492"/>
      <c r="R677" s="254"/>
      <c r="S677" s="528"/>
      <c r="T677" s="528"/>
      <c r="U677" s="492"/>
      <c r="V677" s="254"/>
      <c r="W677" s="492"/>
      <c r="X677" s="254"/>
      <c r="Y677" s="9"/>
      <c r="Z677" s="9"/>
      <c r="AA677" s="9"/>
      <c r="AB677" s="9"/>
      <c r="AC677" s="9"/>
      <c r="AD677" s="9"/>
      <c r="AE677" s="9"/>
      <c r="AF677" s="9"/>
      <c r="AG677" s="9"/>
      <c r="AH677" s="9"/>
      <c r="AI677" s="9"/>
      <c r="AJ677" s="9"/>
      <c r="AK677" s="9"/>
      <c r="AL677" s="9"/>
      <c r="AM677" s="9"/>
      <c r="AN677" s="9"/>
      <c r="AO677" s="9"/>
      <c r="AP677" s="9"/>
      <c r="AQ677" s="9"/>
      <c r="AR677" s="9"/>
      <c r="AS677" s="9"/>
      <c r="AT677" s="9"/>
    </row>
    <row r="678">
      <c r="A678" s="492"/>
      <c r="B678" s="254"/>
      <c r="C678" s="492"/>
      <c r="D678" s="254"/>
      <c r="E678" s="492"/>
      <c r="F678" s="254"/>
      <c r="G678" s="492"/>
      <c r="H678" s="254"/>
      <c r="I678" s="500"/>
      <c r="J678" s="181"/>
      <c r="K678" s="500"/>
      <c r="L678" s="181"/>
      <c r="M678" s="492"/>
      <c r="N678" s="254"/>
      <c r="O678" s="492"/>
      <c r="P678" s="254"/>
      <c r="Q678" s="492"/>
      <c r="R678" s="254"/>
      <c r="S678" s="528"/>
      <c r="T678" s="528"/>
      <c r="U678" s="492"/>
      <c r="V678" s="254"/>
      <c r="W678" s="492"/>
      <c r="X678" s="254"/>
      <c r="Y678" s="9"/>
      <c r="Z678" s="9"/>
      <c r="AA678" s="9"/>
      <c r="AB678" s="9"/>
      <c r="AC678" s="9"/>
      <c r="AD678" s="9"/>
      <c r="AE678" s="9"/>
      <c r="AF678" s="9"/>
      <c r="AG678" s="9"/>
      <c r="AH678" s="9"/>
      <c r="AI678" s="9"/>
      <c r="AJ678" s="9"/>
      <c r="AK678" s="9"/>
      <c r="AL678" s="9"/>
      <c r="AM678" s="9"/>
      <c r="AN678" s="9"/>
      <c r="AO678" s="9"/>
      <c r="AP678" s="9"/>
      <c r="AQ678" s="9"/>
      <c r="AR678" s="9"/>
      <c r="AS678" s="9"/>
      <c r="AT678" s="9"/>
    </row>
    <row r="679">
      <c r="A679" s="492"/>
      <c r="B679" s="254"/>
      <c r="C679" s="492"/>
      <c r="D679" s="254"/>
      <c r="E679" s="492"/>
      <c r="F679" s="254"/>
      <c r="G679" s="492"/>
      <c r="H679" s="254"/>
      <c r="I679" s="500"/>
      <c r="J679" s="181"/>
      <c r="K679" s="500"/>
      <c r="L679" s="181"/>
      <c r="M679" s="492"/>
      <c r="N679" s="254"/>
      <c r="O679" s="492"/>
      <c r="P679" s="254"/>
      <c r="Q679" s="492"/>
      <c r="R679" s="254"/>
      <c r="S679" s="528"/>
      <c r="T679" s="528"/>
      <c r="U679" s="492"/>
      <c r="V679" s="254"/>
      <c r="W679" s="492"/>
      <c r="X679" s="254"/>
      <c r="Y679" s="9"/>
      <c r="Z679" s="9"/>
      <c r="AA679" s="9"/>
      <c r="AB679" s="9"/>
      <c r="AC679" s="9"/>
      <c r="AD679" s="9"/>
      <c r="AE679" s="9"/>
      <c r="AF679" s="9"/>
      <c r="AG679" s="9"/>
      <c r="AH679" s="9"/>
      <c r="AI679" s="9"/>
      <c r="AJ679" s="9"/>
      <c r="AK679" s="9"/>
      <c r="AL679" s="9"/>
      <c r="AM679" s="9"/>
      <c r="AN679" s="9"/>
      <c r="AO679" s="9"/>
      <c r="AP679" s="9"/>
      <c r="AQ679" s="9"/>
      <c r="AR679" s="9"/>
      <c r="AS679" s="9"/>
      <c r="AT679" s="9"/>
    </row>
    <row r="680">
      <c r="A680" s="492"/>
      <c r="B680" s="254"/>
      <c r="C680" s="492"/>
      <c r="D680" s="254"/>
      <c r="E680" s="492"/>
      <c r="F680" s="254"/>
      <c r="G680" s="492"/>
      <c r="H680" s="254"/>
      <c r="I680" s="500"/>
      <c r="J680" s="181"/>
      <c r="K680" s="500"/>
      <c r="L680" s="181"/>
      <c r="M680" s="492"/>
      <c r="N680" s="254"/>
      <c r="O680" s="492"/>
      <c r="P680" s="254"/>
      <c r="Q680" s="492"/>
      <c r="R680" s="254"/>
      <c r="S680" s="528"/>
      <c r="T680" s="528"/>
      <c r="U680" s="492"/>
      <c r="V680" s="254"/>
      <c r="W680" s="492"/>
      <c r="X680" s="254"/>
      <c r="Y680" s="9"/>
      <c r="Z680" s="9"/>
      <c r="AA680" s="9"/>
      <c r="AB680" s="9"/>
      <c r="AC680" s="9"/>
      <c r="AD680" s="9"/>
      <c r="AE680" s="9"/>
      <c r="AF680" s="9"/>
      <c r="AG680" s="9"/>
      <c r="AH680" s="9"/>
      <c r="AI680" s="9"/>
      <c r="AJ680" s="9"/>
      <c r="AK680" s="9"/>
      <c r="AL680" s="9"/>
      <c r="AM680" s="9"/>
      <c r="AN680" s="9"/>
      <c r="AO680" s="9"/>
      <c r="AP680" s="9"/>
      <c r="AQ680" s="9"/>
      <c r="AR680" s="9"/>
      <c r="AS680" s="9"/>
      <c r="AT680" s="9"/>
    </row>
    <row r="681">
      <c r="A681" s="492"/>
      <c r="B681" s="254"/>
      <c r="C681" s="492"/>
      <c r="D681" s="254"/>
      <c r="E681" s="492"/>
      <c r="F681" s="254"/>
      <c r="G681" s="492"/>
      <c r="H681" s="254"/>
      <c r="I681" s="500"/>
      <c r="J681" s="181"/>
      <c r="K681" s="500"/>
      <c r="L681" s="181"/>
      <c r="M681" s="492"/>
      <c r="N681" s="254"/>
      <c r="O681" s="492"/>
      <c r="P681" s="254"/>
      <c r="Q681" s="492"/>
      <c r="R681" s="254"/>
      <c r="S681" s="528"/>
      <c r="T681" s="528"/>
      <c r="U681" s="492"/>
      <c r="V681" s="254"/>
      <c r="W681" s="492"/>
      <c r="X681" s="254"/>
      <c r="Y681" s="9"/>
      <c r="Z681" s="9"/>
      <c r="AA681" s="9"/>
      <c r="AB681" s="9"/>
      <c r="AC681" s="9"/>
      <c r="AD681" s="9"/>
      <c r="AE681" s="9"/>
      <c r="AF681" s="9"/>
      <c r="AG681" s="9"/>
      <c r="AH681" s="9"/>
      <c r="AI681" s="9"/>
      <c r="AJ681" s="9"/>
      <c r="AK681" s="9"/>
      <c r="AL681" s="9"/>
      <c r="AM681" s="9"/>
      <c r="AN681" s="9"/>
      <c r="AO681" s="9"/>
      <c r="AP681" s="9"/>
      <c r="AQ681" s="9"/>
      <c r="AR681" s="9"/>
      <c r="AS681" s="9"/>
      <c r="AT681" s="9"/>
    </row>
    <row r="682">
      <c r="A682" s="492"/>
      <c r="B682" s="254"/>
      <c r="C682" s="492"/>
      <c r="D682" s="254"/>
      <c r="E682" s="492"/>
      <c r="F682" s="254"/>
      <c r="G682" s="492"/>
      <c r="H682" s="254"/>
      <c r="I682" s="500"/>
      <c r="J682" s="181"/>
      <c r="K682" s="500"/>
      <c r="L682" s="181"/>
      <c r="M682" s="492"/>
      <c r="N682" s="254"/>
      <c r="O682" s="492"/>
      <c r="P682" s="254"/>
      <c r="Q682" s="492"/>
      <c r="R682" s="254"/>
      <c r="S682" s="528"/>
      <c r="T682" s="528"/>
      <c r="U682" s="492"/>
      <c r="V682" s="254"/>
      <c r="W682" s="492"/>
      <c r="X682" s="254"/>
      <c r="Y682" s="9"/>
      <c r="Z682" s="9"/>
      <c r="AA682" s="9"/>
      <c r="AB682" s="9"/>
      <c r="AC682" s="9"/>
      <c r="AD682" s="9"/>
      <c r="AE682" s="9"/>
      <c r="AF682" s="9"/>
      <c r="AG682" s="9"/>
      <c r="AH682" s="9"/>
      <c r="AI682" s="9"/>
      <c r="AJ682" s="9"/>
      <c r="AK682" s="9"/>
      <c r="AL682" s="9"/>
      <c r="AM682" s="9"/>
      <c r="AN682" s="9"/>
      <c r="AO682" s="9"/>
      <c r="AP682" s="9"/>
      <c r="AQ682" s="9"/>
      <c r="AR682" s="9"/>
      <c r="AS682" s="9"/>
      <c r="AT682" s="9"/>
    </row>
    <row r="683">
      <c r="A683" s="492"/>
      <c r="B683" s="254"/>
      <c r="C683" s="492"/>
      <c r="D683" s="254"/>
      <c r="E683" s="492"/>
      <c r="F683" s="254"/>
      <c r="G683" s="492"/>
      <c r="H683" s="254"/>
      <c r="I683" s="500"/>
      <c r="J683" s="181"/>
      <c r="K683" s="500"/>
      <c r="L683" s="181"/>
      <c r="M683" s="492"/>
      <c r="N683" s="254"/>
      <c r="O683" s="492"/>
      <c r="P683" s="254"/>
      <c r="Q683" s="492"/>
      <c r="R683" s="254"/>
      <c r="S683" s="528"/>
      <c r="T683" s="528"/>
      <c r="U683" s="492"/>
      <c r="V683" s="254"/>
      <c r="W683" s="492"/>
      <c r="X683" s="254"/>
      <c r="Y683" s="9"/>
      <c r="Z683" s="9"/>
      <c r="AA683" s="9"/>
      <c r="AB683" s="9"/>
      <c r="AC683" s="9"/>
      <c r="AD683" s="9"/>
      <c r="AE683" s="9"/>
      <c r="AF683" s="9"/>
      <c r="AG683" s="9"/>
      <c r="AH683" s="9"/>
      <c r="AI683" s="9"/>
      <c r="AJ683" s="9"/>
      <c r="AK683" s="9"/>
      <c r="AL683" s="9"/>
      <c r="AM683" s="9"/>
      <c r="AN683" s="9"/>
      <c r="AO683" s="9"/>
      <c r="AP683" s="9"/>
      <c r="AQ683" s="9"/>
      <c r="AR683" s="9"/>
      <c r="AS683" s="9"/>
      <c r="AT683" s="9"/>
    </row>
    <row r="684">
      <c r="A684" s="492"/>
      <c r="B684" s="254"/>
      <c r="C684" s="492"/>
      <c r="D684" s="254"/>
      <c r="E684" s="492"/>
      <c r="F684" s="254"/>
      <c r="G684" s="492"/>
      <c r="H684" s="254"/>
      <c r="I684" s="500"/>
      <c r="J684" s="181"/>
      <c r="K684" s="500"/>
      <c r="L684" s="181"/>
      <c r="M684" s="492"/>
      <c r="N684" s="254"/>
      <c r="O684" s="492"/>
      <c r="P684" s="254"/>
      <c r="Q684" s="492"/>
      <c r="R684" s="254"/>
      <c r="S684" s="528"/>
      <c r="T684" s="528"/>
      <c r="U684" s="492"/>
      <c r="V684" s="254"/>
      <c r="W684" s="492"/>
      <c r="X684" s="254"/>
      <c r="Y684" s="9"/>
      <c r="Z684" s="9"/>
      <c r="AA684" s="9"/>
      <c r="AB684" s="9"/>
      <c r="AC684" s="9"/>
      <c r="AD684" s="9"/>
      <c r="AE684" s="9"/>
      <c r="AF684" s="9"/>
      <c r="AG684" s="9"/>
      <c r="AH684" s="9"/>
      <c r="AI684" s="9"/>
      <c r="AJ684" s="9"/>
      <c r="AK684" s="9"/>
      <c r="AL684" s="9"/>
      <c r="AM684" s="9"/>
      <c r="AN684" s="9"/>
      <c r="AO684" s="9"/>
      <c r="AP684" s="9"/>
      <c r="AQ684" s="9"/>
      <c r="AR684" s="9"/>
      <c r="AS684" s="9"/>
      <c r="AT684" s="9"/>
    </row>
    <row r="685">
      <c r="A685" s="492"/>
      <c r="B685" s="254"/>
      <c r="C685" s="492"/>
      <c r="D685" s="254"/>
      <c r="E685" s="492"/>
      <c r="F685" s="254"/>
      <c r="G685" s="492"/>
      <c r="H685" s="254"/>
      <c r="I685" s="500"/>
      <c r="J685" s="181"/>
      <c r="K685" s="500"/>
      <c r="L685" s="181"/>
      <c r="M685" s="492"/>
      <c r="N685" s="254"/>
      <c r="O685" s="492"/>
      <c r="P685" s="254"/>
      <c r="Q685" s="492"/>
      <c r="R685" s="254"/>
      <c r="S685" s="528"/>
      <c r="T685" s="528"/>
      <c r="U685" s="492"/>
      <c r="V685" s="254"/>
      <c r="W685" s="492"/>
      <c r="X685" s="254"/>
      <c r="Y685" s="9"/>
      <c r="Z685" s="9"/>
      <c r="AA685" s="9"/>
      <c r="AB685" s="9"/>
      <c r="AC685" s="9"/>
      <c r="AD685" s="9"/>
      <c r="AE685" s="9"/>
      <c r="AF685" s="9"/>
      <c r="AG685" s="9"/>
      <c r="AH685" s="9"/>
      <c r="AI685" s="9"/>
      <c r="AJ685" s="9"/>
      <c r="AK685" s="9"/>
      <c r="AL685" s="9"/>
      <c r="AM685" s="9"/>
      <c r="AN685" s="9"/>
      <c r="AO685" s="9"/>
      <c r="AP685" s="9"/>
      <c r="AQ685" s="9"/>
      <c r="AR685" s="9"/>
      <c r="AS685" s="9"/>
      <c r="AT685" s="9"/>
    </row>
    <row r="686">
      <c r="A686" s="492"/>
      <c r="B686" s="254"/>
      <c r="C686" s="492"/>
      <c r="D686" s="254"/>
      <c r="E686" s="492"/>
      <c r="F686" s="254"/>
      <c r="G686" s="492"/>
      <c r="H686" s="254"/>
      <c r="I686" s="500"/>
      <c r="J686" s="181"/>
      <c r="K686" s="500"/>
      <c r="L686" s="181"/>
      <c r="M686" s="492"/>
      <c r="N686" s="254"/>
      <c r="O686" s="492"/>
      <c r="P686" s="254"/>
      <c r="Q686" s="492"/>
      <c r="R686" s="254"/>
      <c r="S686" s="528"/>
      <c r="T686" s="528"/>
      <c r="U686" s="492"/>
      <c r="V686" s="254"/>
      <c r="W686" s="492"/>
      <c r="X686" s="254"/>
      <c r="Y686" s="9"/>
      <c r="Z686" s="9"/>
      <c r="AA686" s="9"/>
      <c r="AB686" s="9"/>
      <c r="AC686" s="9"/>
      <c r="AD686" s="9"/>
      <c r="AE686" s="9"/>
      <c r="AF686" s="9"/>
      <c r="AG686" s="9"/>
      <c r="AH686" s="9"/>
      <c r="AI686" s="9"/>
      <c r="AJ686" s="9"/>
      <c r="AK686" s="9"/>
      <c r="AL686" s="9"/>
      <c r="AM686" s="9"/>
      <c r="AN686" s="9"/>
      <c r="AO686" s="9"/>
      <c r="AP686" s="9"/>
      <c r="AQ686" s="9"/>
      <c r="AR686" s="9"/>
      <c r="AS686" s="9"/>
      <c r="AT686" s="9"/>
    </row>
    <row r="687">
      <c r="A687" s="492"/>
      <c r="B687" s="254"/>
      <c r="C687" s="492"/>
      <c r="D687" s="254"/>
      <c r="E687" s="492"/>
      <c r="F687" s="254"/>
      <c r="G687" s="492"/>
      <c r="H687" s="254"/>
      <c r="I687" s="500"/>
      <c r="J687" s="181"/>
      <c r="K687" s="500"/>
      <c r="L687" s="181"/>
      <c r="M687" s="492"/>
      <c r="N687" s="254"/>
      <c r="O687" s="492"/>
      <c r="P687" s="254"/>
      <c r="Q687" s="492"/>
      <c r="R687" s="254"/>
      <c r="S687" s="528"/>
      <c r="T687" s="528"/>
      <c r="U687" s="492"/>
      <c r="V687" s="254"/>
      <c r="W687" s="492"/>
      <c r="X687" s="254"/>
      <c r="Y687" s="9"/>
      <c r="Z687" s="9"/>
      <c r="AA687" s="9"/>
      <c r="AB687" s="9"/>
      <c r="AC687" s="9"/>
      <c r="AD687" s="9"/>
      <c r="AE687" s="9"/>
      <c r="AF687" s="9"/>
      <c r="AG687" s="9"/>
      <c r="AH687" s="9"/>
      <c r="AI687" s="9"/>
      <c r="AJ687" s="9"/>
      <c r="AK687" s="9"/>
      <c r="AL687" s="9"/>
      <c r="AM687" s="9"/>
      <c r="AN687" s="9"/>
      <c r="AO687" s="9"/>
      <c r="AP687" s="9"/>
      <c r="AQ687" s="9"/>
      <c r="AR687" s="9"/>
      <c r="AS687" s="9"/>
      <c r="AT687" s="9"/>
    </row>
    <row r="688">
      <c r="A688" s="492"/>
      <c r="B688" s="254"/>
      <c r="C688" s="492"/>
      <c r="D688" s="254"/>
      <c r="E688" s="492"/>
      <c r="F688" s="254"/>
      <c r="G688" s="492"/>
      <c r="H688" s="254"/>
      <c r="I688" s="500"/>
      <c r="J688" s="181"/>
      <c r="K688" s="500"/>
      <c r="L688" s="181"/>
      <c r="M688" s="492"/>
      <c r="N688" s="254"/>
      <c r="O688" s="492"/>
      <c r="P688" s="254"/>
      <c r="Q688" s="492"/>
      <c r="R688" s="254"/>
      <c r="S688" s="528"/>
      <c r="T688" s="528"/>
      <c r="U688" s="492"/>
      <c r="V688" s="254"/>
      <c r="W688" s="492"/>
      <c r="X688" s="254"/>
      <c r="Y688" s="9"/>
      <c r="Z688" s="9"/>
      <c r="AA688" s="9"/>
      <c r="AB688" s="9"/>
      <c r="AC688" s="9"/>
      <c r="AD688" s="9"/>
      <c r="AE688" s="9"/>
      <c r="AF688" s="9"/>
      <c r="AG688" s="9"/>
      <c r="AH688" s="9"/>
      <c r="AI688" s="9"/>
      <c r="AJ688" s="9"/>
      <c r="AK688" s="9"/>
      <c r="AL688" s="9"/>
      <c r="AM688" s="9"/>
      <c r="AN688" s="9"/>
      <c r="AO688" s="9"/>
      <c r="AP688" s="9"/>
      <c r="AQ688" s="9"/>
      <c r="AR688" s="9"/>
      <c r="AS688" s="9"/>
      <c r="AT688" s="9"/>
    </row>
    <row r="689">
      <c r="A689" s="492"/>
      <c r="B689" s="254"/>
      <c r="C689" s="492"/>
      <c r="D689" s="254"/>
      <c r="E689" s="492"/>
      <c r="F689" s="254"/>
      <c r="G689" s="492"/>
      <c r="H689" s="254"/>
      <c r="I689" s="500"/>
      <c r="J689" s="181"/>
      <c r="K689" s="500"/>
      <c r="L689" s="181"/>
      <c r="M689" s="492"/>
      <c r="N689" s="254"/>
      <c r="O689" s="492"/>
      <c r="P689" s="254"/>
      <c r="Q689" s="492"/>
      <c r="R689" s="254"/>
      <c r="S689" s="528"/>
      <c r="T689" s="528"/>
      <c r="U689" s="492"/>
      <c r="V689" s="254"/>
      <c r="W689" s="492"/>
      <c r="X689" s="254"/>
      <c r="Y689" s="9"/>
      <c r="Z689" s="9"/>
      <c r="AA689" s="9"/>
      <c r="AB689" s="9"/>
      <c r="AC689" s="9"/>
      <c r="AD689" s="9"/>
      <c r="AE689" s="9"/>
      <c r="AF689" s="9"/>
      <c r="AG689" s="9"/>
      <c r="AH689" s="9"/>
      <c r="AI689" s="9"/>
      <c r="AJ689" s="9"/>
      <c r="AK689" s="9"/>
      <c r="AL689" s="9"/>
      <c r="AM689" s="9"/>
      <c r="AN689" s="9"/>
      <c r="AO689" s="9"/>
      <c r="AP689" s="9"/>
      <c r="AQ689" s="9"/>
      <c r="AR689" s="9"/>
      <c r="AS689" s="9"/>
      <c r="AT689" s="9"/>
    </row>
    <row r="690">
      <c r="A690" s="492"/>
      <c r="B690" s="254"/>
      <c r="C690" s="492"/>
      <c r="D690" s="254"/>
      <c r="E690" s="492"/>
      <c r="F690" s="254"/>
      <c r="G690" s="492"/>
      <c r="H690" s="254"/>
      <c r="I690" s="500"/>
      <c r="J690" s="181"/>
      <c r="K690" s="500"/>
      <c r="L690" s="181"/>
      <c r="M690" s="492"/>
      <c r="N690" s="254"/>
      <c r="O690" s="492"/>
      <c r="P690" s="254"/>
      <c r="Q690" s="492"/>
      <c r="R690" s="254"/>
      <c r="S690" s="528"/>
      <c r="T690" s="528"/>
      <c r="U690" s="492"/>
      <c r="V690" s="254"/>
      <c r="W690" s="492"/>
      <c r="X690" s="254"/>
      <c r="Y690" s="9"/>
      <c r="Z690" s="9"/>
      <c r="AA690" s="9"/>
      <c r="AB690" s="9"/>
      <c r="AC690" s="9"/>
      <c r="AD690" s="9"/>
      <c r="AE690" s="9"/>
      <c r="AF690" s="9"/>
      <c r="AG690" s="9"/>
      <c r="AH690" s="9"/>
      <c r="AI690" s="9"/>
      <c r="AJ690" s="9"/>
      <c r="AK690" s="9"/>
      <c r="AL690" s="9"/>
      <c r="AM690" s="9"/>
      <c r="AN690" s="9"/>
      <c r="AO690" s="9"/>
      <c r="AP690" s="9"/>
      <c r="AQ690" s="9"/>
      <c r="AR690" s="9"/>
      <c r="AS690" s="9"/>
      <c r="AT690" s="9"/>
    </row>
    <row r="691">
      <c r="A691" s="492"/>
      <c r="B691" s="254"/>
      <c r="C691" s="492"/>
      <c r="D691" s="254"/>
      <c r="E691" s="492"/>
      <c r="F691" s="254"/>
      <c r="G691" s="492"/>
      <c r="H691" s="254"/>
      <c r="I691" s="500"/>
      <c r="J691" s="181"/>
      <c r="K691" s="500"/>
      <c r="L691" s="181"/>
      <c r="M691" s="492"/>
      <c r="N691" s="254"/>
      <c r="O691" s="492"/>
      <c r="P691" s="254"/>
      <c r="Q691" s="492"/>
      <c r="R691" s="254"/>
      <c r="S691" s="528"/>
      <c r="T691" s="528"/>
      <c r="U691" s="492"/>
      <c r="V691" s="254"/>
      <c r="W691" s="492"/>
      <c r="X691" s="254"/>
      <c r="Y691" s="9"/>
      <c r="Z691" s="9"/>
      <c r="AA691" s="9"/>
      <c r="AB691" s="9"/>
      <c r="AC691" s="9"/>
      <c r="AD691" s="9"/>
      <c r="AE691" s="9"/>
      <c r="AF691" s="9"/>
      <c r="AG691" s="9"/>
      <c r="AH691" s="9"/>
      <c r="AI691" s="9"/>
      <c r="AJ691" s="9"/>
      <c r="AK691" s="9"/>
      <c r="AL691" s="9"/>
      <c r="AM691" s="9"/>
      <c r="AN691" s="9"/>
      <c r="AO691" s="9"/>
      <c r="AP691" s="9"/>
      <c r="AQ691" s="9"/>
      <c r="AR691" s="9"/>
      <c r="AS691" s="9"/>
      <c r="AT691" s="9"/>
    </row>
    <row r="692">
      <c r="A692" s="492"/>
      <c r="B692" s="254"/>
      <c r="C692" s="492"/>
      <c r="D692" s="254"/>
      <c r="E692" s="492"/>
      <c r="F692" s="254"/>
      <c r="G692" s="492"/>
      <c r="H692" s="254"/>
      <c r="I692" s="500"/>
      <c r="J692" s="181"/>
      <c r="K692" s="500"/>
      <c r="L692" s="181"/>
      <c r="M692" s="492"/>
      <c r="N692" s="254"/>
      <c r="O692" s="492"/>
      <c r="P692" s="254"/>
      <c r="Q692" s="492"/>
      <c r="R692" s="254"/>
      <c r="S692" s="528"/>
      <c r="T692" s="528"/>
      <c r="U692" s="492"/>
      <c r="V692" s="254"/>
      <c r="W692" s="492"/>
      <c r="X692" s="254"/>
      <c r="Y692" s="9"/>
      <c r="Z692" s="9"/>
      <c r="AA692" s="9"/>
      <c r="AB692" s="9"/>
      <c r="AC692" s="9"/>
      <c r="AD692" s="9"/>
      <c r="AE692" s="9"/>
      <c r="AF692" s="9"/>
      <c r="AG692" s="9"/>
      <c r="AH692" s="9"/>
      <c r="AI692" s="9"/>
      <c r="AJ692" s="9"/>
      <c r="AK692" s="9"/>
      <c r="AL692" s="9"/>
      <c r="AM692" s="9"/>
      <c r="AN692" s="9"/>
      <c r="AO692" s="9"/>
      <c r="AP692" s="9"/>
      <c r="AQ692" s="9"/>
      <c r="AR692" s="9"/>
      <c r="AS692" s="9"/>
      <c r="AT692" s="9"/>
    </row>
    <row r="693">
      <c r="A693" s="492"/>
      <c r="B693" s="254"/>
      <c r="C693" s="492"/>
      <c r="D693" s="254"/>
      <c r="E693" s="492"/>
      <c r="F693" s="254"/>
      <c r="G693" s="492"/>
      <c r="H693" s="254"/>
      <c r="I693" s="500"/>
      <c r="J693" s="181"/>
      <c r="K693" s="500"/>
      <c r="L693" s="181"/>
      <c r="M693" s="492"/>
      <c r="N693" s="254"/>
      <c r="O693" s="492"/>
      <c r="P693" s="254"/>
      <c r="Q693" s="492"/>
      <c r="R693" s="254"/>
      <c r="S693" s="528"/>
      <c r="T693" s="528"/>
      <c r="U693" s="492"/>
      <c r="V693" s="254"/>
      <c r="W693" s="492"/>
      <c r="X693" s="254"/>
      <c r="Y693" s="9"/>
      <c r="Z693" s="9"/>
      <c r="AA693" s="9"/>
      <c r="AB693" s="9"/>
      <c r="AC693" s="9"/>
      <c r="AD693" s="9"/>
      <c r="AE693" s="9"/>
      <c r="AF693" s="9"/>
      <c r="AG693" s="9"/>
      <c r="AH693" s="9"/>
      <c r="AI693" s="9"/>
      <c r="AJ693" s="9"/>
      <c r="AK693" s="9"/>
      <c r="AL693" s="9"/>
      <c r="AM693" s="9"/>
      <c r="AN693" s="9"/>
      <c r="AO693" s="9"/>
      <c r="AP693" s="9"/>
      <c r="AQ693" s="9"/>
      <c r="AR693" s="9"/>
      <c r="AS693" s="9"/>
      <c r="AT693" s="9"/>
    </row>
    <row r="694">
      <c r="A694" s="492"/>
      <c r="B694" s="254"/>
      <c r="C694" s="492"/>
      <c r="D694" s="254"/>
      <c r="E694" s="492"/>
      <c r="F694" s="254"/>
      <c r="G694" s="492"/>
      <c r="H694" s="254"/>
      <c r="I694" s="500"/>
      <c r="J694" s="181"/>
      <c r="K694" s="500"/>
      <c r="L694" s="181"/>
      <c r="M694" s="492"/>
      <c r="N694" s="254"/>
      <c r="O694" s="492"/>
      <c r="P694" s="254"/>
      <c r="Q694" s="492"/>
      <c r="R694" s="254"/>
      <c r="S694" s="528"/>
      <c r="T694" s="528"/>
      <c r="U694" s="492"/>
      <c r="V694" s="254"/>
      <c r="W694" s="492"/>
      <c r="X694" s="254"/>
      <c r="Y694" s="9"/>
      <c r="Z694" s="9"/>
      <c r="AA694" s="9"/>
      <c r="AB694" s="9"/>
      <c r="AC694" s="9"/>
      <c r="AD694" s="9"/>
      <c r="AE694" s="9"/>
      <c r="AF694" s="9"/>
      <c r="AG694" s="9"/>
      <c r="AH694" s="9"/>
      <c r="AI694" s="9"/>
      <c r="AJ694" s="9"/>
      <c r="AK694" s="9"/>
      <c r="AL694" s="9"/>
      <c r="AM694" s="9"/>
      <c r="AN694" s="9"/>
      <c r="AO694" s="9"/>
      <c r="AP694" s="9"/>
      <c r="AQ694" s="9"/>
      <c r="AR694" s="9"/>
      <c r="AS694" s="9"/>
      <c r="AT694" s="9"/>
    </row>
    <row r="695">
      <c r="A695" s="492"/>
      <c r="B695" s="254"/>
      <c r="C695" s="492"/>
      <c r="D695" s="254"/>
      <c r="E695" s="492"/>
      <c r="F695" s="254"/>
      <c r="G695" s="492"/>
      <c r="H695" s="254"/>
      <c r="I695" s="500"/>
      <c r="J695" s="181"/>
      <c r="K695" s="500"/>
      <c r="L695" s="181"/>
      <c r="M695" s="492"/>
      <c r="N695" s="254"/>
      <c r="O695" s="492"/>
      <c r="P695" s="254"/>
      <c r="Q695" s="492"/>
      <c r="R695" s="254"/>
      <c r="S695" s="528"/>
      <c r="T695" s="528"/>
      <c r="U695" s="492"/>
      <c r="V695" s="254"/>
      <c r="W695" s="492"/>
      <c r="X695" s="254"/>
      <c r="Y695" s="9"/>
      <c r="Z695" s="9"/>
      <c r="AA695" s="9"/>
      <c r="AB695" s="9"/>
      <c r="AC695" s="9"/>
      <c r="AD695" s="9"/>
      <c r="AE695" s="9"/>
      <c r="AF695" s="9"/>
      <c r="AG695" s="9"/>
      <c r="AH695" s="9"/>
      <c r="AI695" s="9"/>
      <c r="AJ695" s="9"/>
      <c r="AK695" s="9"/>
      <c r="AL695" s="9"/>
      <c r="AM695" s="9"/>
      <c r="AN695" s="9"/>
      <c r="AO695" s="9"/>
      <c r="AP695" s="9"/>
      <c r="AQ695" s="9"/>
      <c r="AR695" s="9"/>
      <c r="AS695" s="9"/>
      <c r="AT695" s="9"/>
    </row>
    <row r="696">
      <c r="A696" s="492"/>
      <c r="B696" s="254"/>
      <c r="C696" s="492"/>
      <c r="D696" s="254"/>
      <c r="E696" s="492"/>
      <c r="F696" s="254"/>
      <c r="G696" s="492"/>
      <c r="H696" s="254"/>
      <c r="I696" s="500"/>
      <c r="J696" s="181"/>
      <c r="K696" s="500"/>
      <c r="L696" s="181"/>
      <c r="M696" s="492"/>
      <c r="N696" s="254"/>
      <c r="O696" s="492"/>
      <c r="P696" s="254"/>
      <c r="Q696" s="492"/>
      <c r="R696" s="254"/>
      <c r="S696" s="528"/>
      <c r="T696" s="528"/>
      <c r="U696" s="492"/>
      <c r="V696" s="254"/>
      <c r="W696" s="492"/>
      <c r="X696" s="254"/>
      <c r="Y696" s="9"/>
      <c r="Z696" s="9"/>
      <c r="AA696" s="9"/>
      <c r="AB696" s="9"/>
      <c r="AC696" s="9"/>
      <c r="AD696" s="9"/>
      <c r="AE696" s="9"/>
      <c r="AF696" s="9"/>
      <c r="AG696" s="9"/>
      <c r="AH696" s="9"/>
      <c r="AI696" s="9"/>
      <c r="AJ696" s="9"/>
      <c r="AK696" s="9"/>
      <c r="AL696" s="9"/>
      <c r="AM696" s="9"/>
      <c r="AN696" s="9"/>
      <c r="AO696" s="9"/>
      <c r="AP696" s="9"/>
      <c r="AQ696" s="9"/>
      <c r="AR696" s="9"/>
      <c r="AS696" s="9"/>
      <c r="AT696" s="9"/>
    </row>
    <row r="697">
      <c r="A697" s="492"/>
      <c r="B697" s="254"/>
      <c r="C697" s="492"/>
      <c r="D697" s="254"/>
      <c r="E697" s="492"/>
      <c r="F697" s="254"/>
      <c r="G697" s="492"/>
      <c r="H697" s="254"/>
      <c r="I697" s="500"/>
      <c r="J697" s="181"/>
      <c r="K697" s="500"/>
      <c r="L697" s="181"/>
      <c r="M697" s="492"/>
      <c r="N697" s="254"/>
      <c r="O697" s="492"/>
      <c r="P697" s="254"/>
      <c r="Q697" s="492"/>
      <c r="R697" s="254"/>
      <c r="S697" s="528"/>
      <c r="T697" s="528"/>
      <c r="U697" s="492"/>
      <c r="V697" s="254"/>
      <c r="W697" s="492"/>
      <c r="X697" s="254"/>
      <c r="Y697" s="9"/>
      <c r="Z697" s="9"/>
      <c r="AA697" s="9"/>
      <c r="AB697" s="9"/>
      <c r="AC697" s="9"/>
      <c r="AD697" s="9"/>
      <c r="AE697" s="9"/>
      <c r="AF697" s="9"/>
      <c r="AG697" s="9"/>
      <c r="AH697" s="9"/>
      <c r="AI697" s="9"/>
      <c r="AJ697" s="9"/>
      <c r="AK697" s="9"/>
      <c r="AL697" s="9"/>
      <c r="AM697" s="9"/>
      <c r="AN697" s="9"/>
      <c r="AO697" s="9"/>
      <c r="AP697" s="9"/>
      <c r="AQ697" s="9"/>
      <c r="AR697" s="9"/>
      <c r="AS697" s="9"/>
      <c r="AT697" s="9"/>
    </row>
    <row r="698">
      <c r="A698" s="492"/>
      <c r="B698" s="254"/>
      <c r="C698" s="492"/>
      <c r="D698" s="254"/>
      <c r="E698" s="492"/>
      <c r="F698" s="254"/>
      <c r="G698" s="492"/>
      <c r="H698" s="254"/>
      <c r="I698" s="500"/>
      <c r="J698" s="181"/>
      <c r="K698" s="500"/>
      <c r="L698" s="181"/>
      <c r="M698" s="492"/>
      <c r="N698" s="254"/>
      <c r="O698" s="492"/>
      <c r="P698" s="254"/>
      <c r="Q698" s="492"/>
      <c r="R698" s="254"/>
      <c r="S698" s="528"/>
      <c r="T698" s="528"/>
      <c r="U698" s="492"/>
      <c r="V698" s="254"/>
      <c r="W698" s="492"/>
      <c r="X698" s="254"/>
      <c r="Y698" s="9"/>
      <c r="Z698" s="9"/>
      <c r="AA698" s="9"/>
      <c r="AB698" s="9"/>
      <c r="AC698" s="9"/>
      <c r="AD698" s="9"/>
      <c r="AE698" s="9"/>
      <c r="AF698" s="9"/>
      <c r="AG698" s="9"/>
      <c r="AH698" s="9"/>
      <c r="AI698" s="9"/>
      <c r="AJ698" s="9"/>
      <c r="AK698" s="9"/>
      <c r="AL698" s="9"/>
      <c r="AM698" s="9"/>
      <c r="AN698" s="9"/>
      <c r="AO698" s="9"/>
      <c r="AP698" s="9"/>
      <c r="AQ698" s="9"/>
      <c r="AR698" s="9"/>
      <c r="AS698" s="9"/>
      <c r="AT698" s="9"/>
    </row>
    <row r="699">
      <c r="A699" s="492"/>
      <c r="B699" s="254"/>
      <c r="C699" s="492"/>
      <c r="D699" s="254"/>
      <c r="E699" s="492"/>
      <c r="F699" s="254"/>
      <c r="G699" s="492"/>
      <c r="H699" s="254"/>
      <c r="I699" s="500"/>
      <c r="J699" s="181"/>
      <c r="K699" s="500"/>
      <c r="L699" s="181"/>
      <c r="M699" s="492"/>
      <c r="N699" s="254"/>
      <c r="O699" s="492"/>
      <c r="P699" s="254"/>
      <c r="Q699" s="492"/>
      <c r="R699" s="254"/>
      <c r="S699" s="528"/>
      <c r="T699" s="528"/>
      <c r="U699" s="492"/>
      <c r="V699" s="254"/>
      <c r="W699" s="492"/>
      <c r="X699" s="254"/>
      <c r="Y699" s="9"/>
      <c r="Z699" s="9"/>
      <c r="AA699" s="9"/>
      <c r="AB699" s="9"/>
      <c r="AC699" s="9"/>
      <c r="AD699" s="9"/>
      <c r="AE699" s="9"/>
      <c r="AF699" s="9"/>
      <c r="AG699" s="9"/>
      <c r="AH699" s="9"/>
      <c r="AI699" s="9"/>
      <c r="AJ699" s="9"/>
      <c r="AK699" s="9"/>
      <c r="AL699" s="9"/>
      <c r="AM699" s="9"/>
      <c r="AN699" s="9"/>
      <c r="AO699" s="9"/>
      <c r="AP699" s="9"/>
      <c r="AQ699" s="9"/>
      <c r="AR699" s="9"/>
      <c r="AS699" s="9"/>
      <c r="AT699" s="9"/>
    </row>
    <row r="700">
      <c r="A700" s="492"/>
      <c r="B700" s="254"/>
      <c r="C700" s="492"/>
      <c r="D700" s="254"/>
      <c r="E700" s="492"/>
      <c r="F700" s="254"/>
      <c r="G700" s="492"/>
      <c r="H700" s="254"/>
      <c r="I700" s="500"/>
      <c r="J700" s="181"/>
      <c r="K700" s="500"/>
      <c r="L700" s="181"/>
      <c r="M700" s="492"/>
      <c r="N700" s="254"/>
      <c r="O700" s="492"/>
      <c r="P700" s="254"/>
      <c r="Q700" s="492"/>
      <c r="R700" s="254"/>
      <c r="S700" s="528"/>
      <c r="T700" s="528"/>
      <c r="U700" s="492"/>
      <c r="V700" s="254"/>
      <c r="W700" s="492"/>
      <c r="X700" s="254"/>
      <c r="Y700" s="9"/>
      <c r="Z700" s="9"/>
      <c r="AA700" s="9"/>
      <c r="AB700" s="9"/>
      <c r="AC700" s="9"/>
      <c r="AD700" s="9"/>
      <c r="AE700" s="9"/>
      <c r="AF700" s="9"/>
      <c r="AG700" s="9"/>
      <c r="AH700" s="9"/>
      <c r="AI700" s="9"/>
      <c r="AJ700" s="9"/>
      <c r="AK700" s="9"/>
      <c r="AL700" s="9"/>
      <c r="AM700" s="9"/>
      <c r="AN700" s="9"/>
      <c r="AO700" s="9"/>
      <c r="AP700" s="9"/>
      <c r="AQ700" s="9"/>
      <c r="AR700" s="9"/>
      <c r="AS700" s="9"/>
      <c r="AT700" s="9"/>
    </row>
    <row r="701">
      <c r="A701" s="492"/>
      <c r="B701" s="254"/>
      <c r="C701" s="492"/>
      <c r="D701" s="254"/>
      <c r="E701" s="492"/>
      <c r="F701" s="254"/>
      <c r="G701" s="492"/>
      <c r="H701" s="254"/>
      <c r="I701" s="500"/>
      <c r="J701" s="181"/>
      <c r="K701" s="500"/>
      <c r="L701" s="181"/>
      <c r="M701" s="492"/>
      <c r="N701" s="254"/>
      <c r="O701" s="492"/>
      <c r="P701" s="254"/>
      <c r="Q701" s="492"/>
      <c r="R701" s="254"/>
      <c r="S701" s="528"/>
      <c r="T701" s="528"/>
      <c r="U701" s="492"/>
      <c r="V701" s="254"/>
      <c r="W701" s="492"/>
      <c r="X701" s="254"/>
      <c r="Y701" s="9"/>
      <c r="Z701" s="9"/>
      <c r="AA701" s="9"/>
      <c r="AB701" s="9"/>
      <c r="AC701" s="9"/>
      <c r="AD701" s="9"/>
      <c r="AE701" s="9"/>
      <c r="AF701" s="9"/>
      <c r="AG701" s="9"/>
      <c r="AH701" s="9"/>
      <c r="AI701" s="9"/>
      <c r="AJ701" s="9"/>
      <c r="AK701" s="9"/>
      <c r="AL701" s="9"/>
      <c r="AM701" s="9"/>
      <c r="AN701" s="9"/>
      <c r="AO701" s="9"/>
      <c r="AP701" s="9"/>
      <c r="AQ701" s="9"/>
      <c r="AR701" s="9"/>
      <c r="AS701" s="9"/>
      <c r="AT701" s="9"/>
    </row>
    <row r="702">
      <c r="A702" s="492"/>
      <c r="B702" s="254"/>
      <c r="C702" s="492"/>
      <c r="D702" s="254"/>
      <c r="E702" s="492"/>
      <c r="F702" s="254"/>
      <c r="G702" s="492"/>
      <c r="H702" s="254"/>
      <c r="I702" s="500"/>
      <c r="J702" s="181"/>
      <c r="K702" s="500"/>
      <c r="L702" s="181"/>
      <c r="M702" s="492"/>
      <c r="N702" s="254"/>
      <c r="O702" s="492"/>
      <c r="P702" s="254"/>
      <c r="Q702" s="492"/>
      <c r="R702" s="254"/>
      <c r="S702" s="528"/>
      <c r="T702" s="528"/>
      <c r="U702" s="492"/>
      <c r="V702" s="254"/>
      <c r="W702" s="492"/>
      <c r="X702" s="254"/>
      <c r="Y702" s="9"/>
      <c r="Z702" s="9"/>
      <c r="AA702" s="9"/>
      <c r="AB702" s="9"/>
      <c r="AC702" s="9"/>
      <c r="AD702" s="9"/>
      <c r="AE702" s="9"/>
      <c r="AF702" s="9"/>
      <c r="AG702" s="9"/>
      <c r="AH702" s="9"/>
      <c r="AI702" s="9"/>
      <c r="AJ702" s="9"/>
      <c r="AK702" s="9"/>
      <c r="AL702" s="9"/>
      <c r="AM702" s="9"/>
      <c r="AN702" s="9"/>
      <c r="AO702" s="9"/>
      <c r="AP702" s="9"/>
      <c r="AQ702" s="9"/>
      <c r="AR702" s="9"/>
      <c r="AS702" s="9"/>
      <c r="AT702" s="9"/>
    </row>
    <row r="703">
      <c r="A703" s="492"/>
      <c r="B703" s="254"/>
      <c r="C703" s="492"/>
      <c r="D703" s="254"/>
      <c r="E703" s="492"/>
      <c r="F703" s="254"/>
      <c r="G703" s="492"/>
      <c r="H703" s="254"/>
      <c r="I703" s="500"/>
      <c r="J703" s="181"/>
      <c r="K703" s="500"/>
      <c r="L703" s="181"/>
      <c r="M703" s="492"/>
      <c r="N703" s="254"/>
      <c r="O703" s="492"/>
      <c r="P703" s="254"/>
      <c r="Q703" s="492"/>
      <c r="R703" s="254"/>
      <c r="S703" s="528"/>
      <c r="T703" s="528"/>
      <c r="U703" s="492"/>
      <c r="V703" s="254"/>
      <c r="W703" s="492"/>
      <c r="X703" s="254"/>
      <c r="Y703" s="9"/>
      <c r="Z703" s="9"/>
      <c r="AA703" s="9"/>
      <c r="AB703" s="9"/>
      <c r="AC703" s="9"/>
      <c r="AD703" s="9"/>
      <c r="AE703" s="9"/>
      <c r="AF703" s="9"/>
      <c r="AG703" s="9"/>
      <c r="AH703" s="9"/>
      <c r="AI703" s="9"/>
      <c r="AJ703" s="9"/>
      <c r="AK703" s="9"/>
      <c r="AL703" s="9"/>
      <c r="AM703" s="9"/>
      <c r="AN703" s="9"/>
      <c r="AO703" s="9"/>
      <c r="AP703" s="9"/>
      <c r="AQ703" s="9"/>
      <c r="AR703" s="9"/>
      <c r="AS703" s="9"/>
      <c r="AT703" s="9"/>
    </row>
    <row r="704">
      <c r="A704" s="492"/>
      <c r="B704" s="254"/>
      <c r="C704" s="492"/>
      <c r="D704" s="254"/>
      <c r="E704" s="492"/>
      <c r="F704" s="254"/>
      <c r="G704" s="492"/>
      <c r="H704" s="254"/>
      <c r="I704" s="500"/>
      <c r="J704" s="181"/>
      <c r="K704" s="500"/>
      <c r="L704" s="181"/>
      <c r="M704" s="492"/>
      <c r="N704" s="254"/>
      <c r="O704" s="492"/>
      <c r="P704" s="254"/>
      <c r="Q704" s="492"/>
      <c r="R704" s="254"/>
      <c r="S704" s="528"/>
      <c r="T704" s="528"/>
      <c r="U704" s="492"/>
      <c r="V704" s="254"/>
      <c r="W704" s="492"/>
      <c r="X704" s="254"/>
      <c r="Y704" s="9"/>
      <c r="Z704" s="9"/>
      <c r="AA704" s="9"/>
      <c r="AB704" s="9"/>
      <c r="AC704" s="9"/>
      <c r="AD704" s="9"/>
      <c r="AE704" s="9"/>
      <c r="AF704" s="9"/>
      <c r="AG704" s="9"/>
      <c r="AH704" s="9"/>
      <c r="AI704" s="9"/>
      <c r="AJ704" s="9"/>
      <c r="AK704" s="9"/>
      <c r="AL704" s="9"/>
      <c r="AM704" s="9"/>
      <c r="AN704" s="9"/>
      <c r="AO704" s="9"/>
      <c r="AP704" s="9"/>
      <c r="AQ704" s="9"/>
      <c r="AR704" s="9"/>
      <c r="AS704" s="9"/>
      <c r="AT704" s="9"/>
    </row>
    <row r="705">
      <c r="A705" s="492"/>
      <c r="B705" s="254"/>
      <c r="C705" s="492"/>
      <c r="D705" s="254"/>
      <c r="E705" s="492"/>
      <c r="F705" s="254"/>
      <c r="G705" s="492"/>
      <c r="H705" s="254"/>
      <c r="I705" s="500"/>
      <c r="J705" s="181"/>
      <c r="K705" s="500"/>
      <c r="L705" s="181"/>
      <c r="M705" s="492"/>
      <c r="N705" s="254"/>
      <c r="O705" s="492"/>
      <c r="P705" s="254"/>
      <c r="Q705" s="492"/>
      <c r="R705" s="254"/>
      <c r="S705" s="528"/>
      <c r="T705" s="528"/>
      <c r="U705" s="492"/>
      <c r="V705" s="254"/>
      <c r="W705" s="492"/>
      <c r="X705" s="254"/>
      <c r="Y705" s="9"/>
      <c r="Z705" s="9"/>
      <c r="AA705" s="9"/>
      <c r="AB705" s="9"/>
      <c r="AC705" s="9"/>
      <c r="AD705" s="9"/>
      <c r="AE705" s="9"/>
      <c r="AF705" s="9"/>
      <c r="AG705" s="9"/>
      <c r="AH705" s="9"/>
      <c r="AI705" s="9"/>
      <c r="AJ705" s="9"/>
      <c r="AK705" s="9"/>
      <c r="AL705" s="9"/>
      <c r="AM705" s="9"/>
      <c r="AN705" s="9"/>
      <c r="AO705" s="9"/>
      <c r="AP705" s="9"/>
      <c r="AQ705" s="9"/>
      <c r="AR705" s="9"/>
      <c r="AS705" s="9"/>
      <c r="AT705" s="9"/>
    </row>
    <row r="706">
      <c r="A706" s="492"/>
      <c r="B706" s="254"/>
      <c r="C706" s="492"/>
      <c r="D706" s="254"/>
      <c r="E706" s="492"/>
      <c r="F706" s="254"/>
      <c r="G706" s="492"/>
      <c r="H706" s="254"/>
      <c r="I706" s="500"/>
      <c r="J706" s="181"/>
      <c r="K706" s="500"/>
      <c r="L706" s="181"/>
      <c r="M706" s="492"/>
      <c r="N706" s="254"/>
      <c r="O706" s="492"/>
      <c r="P706" s="254"/>
      <c r="Q706" s="492"/>
      <c r="R706" s="254"/>
      <c r="S706" s="528"/>
      <c r="T706" s="528"/>
      <c r="U706" s="492"/>
      <c r="V706" s="254"/>
      <c r="W706" s="492"/>
      <c r="X706" s="254"/>
      <c r="Y706" s="9"/>
      <c r="Z706" s="9"/>
      <c r="AA706" s="9"/>
      <c r="AB706" s="9"/>
      <c r="AC706" s="9"/>
      <c r="AD706" s="9"/>
      <c r="AE706" s="9"/>
      <c r="AF706" s="9"/>
      <c r="AG706" s="9"/>
      <c r="AH706" s="9"/>
      <c r="AI706" s="9"/>
      <c r="AJ706" s="9"/>
      <c r="AK706" s="9"/>
      <c r="AL706" s="9"/>
      <c r="AM706" s="9"/>
      <c r="AN706" s="9"/>
      <c r="AO706" s="9"/>
      <c r="AP706" s="9"/>
      <c r="AQ706" s="9"/>
      <c r="AR706" s="9"/>
      <c r="AS706" s="9"/>
      <c r="AT706" s="9"/>
    </row>
    <row r="707">
      <c r="A707" s="492"/>
      <c r="B707" s="254"/>
      <c r="C707" s="492"/>
      <c r="D707" s="254"/>
      <c r="E707" s="492"/>
      <c r="F707" s="254"/>
      <c r="G707" s="492"/>
      <c r="H707" s="254"/>
      <c r="I707" s="500"/>
      <c r="J707" s="181"/>
      <c r="K707" s="500"/>
      <c r="L707" s="181"/>
      <c r="M707" s="492"/>
      <c r="N707" s="254"/>
      <c r="O707" s="492"/>
      <c r="P707" s="254"/>
      <c r="Q707" s="492"/>
      <c r="R707" s="254"/>
      <c r="S707" s="528"/>
      <c r="T707" s="528"/>
      <c r="U707" s="492"/>
      <c r="V707" s="254"/>
      <c r="W707" s="492"/>
      <c r="X707" s="254"/>
      <c r="Y707" s="9"/>
      <c r="Z707" s="9"/>
      <c r="AA707" s="9"/>
      <c r="AB707" s="9"/>
      <c r="AC707" s="9"/>
      <c r="AD707" s="9"/>
      <c r="AE707" s="9"/>
      <c r="AF707" s="9"/>
      <c r="AG707" s="9"/>
      <c r="AH707" s="9"/>
      <c r="AI707" s="9"/>
      <c r="AJ707" s="9"/>
      <c r="AK707" s="9"/>
      <c r="AL707" s="9"/>
      <c r="AM707" s="9"/>
      <c r="AN707" s="9"/>
      <c r="AO707" s="9"/>
      <c r="AP707" s="9"/>
      <c r="AQ707" s="9"/>
      <c r="AR707" s="9"/>
      <c r="AS707" s="9"/>
      <c r="AT707" s="9"/>
    </row>
    <row r="708">
      <c r="A708" s="492"/>
      <c r="B708" s="254"/>
      <c r="C708" s="492"/>
      <c r="D708" s="254"/>
      <c r="E708" s="492"/>
      <c r="F708" s="254"/>
      <c r="G708" s="492"/>
      <c r="H708" s="254"/>
      <c r="I708" s="500"/>
      <c r="J708" s="181"/>
      <c r="K708" s="500"/>
      <c r="L708" s="181"/>
      <c r="M708" s="492"/>
      <c r="N708" s="254"/>
      <c r="O708" s="492"/>
      <c r="P708" s="254"/>
      <c r="Q708" s="492"/>
      <c r="R708" s="254"/>
      <c r="S708" s="528"/>
      <c r="T708" s="528"/>
      <c r="U708" s="492"/>
      <c r="V708" s="254"/>
      <c r="W708" s="492"/>
      <c r="X708" s="254"/>
      <c r="Y708" s="9"/>
      <c r="Z708" s="9"/>
      <c r="AA708" s="9"/>
      <c r="AB708" s="9"/>
      <c r="AC708" s="9"/>
      <c r="AD708" s="9"/>
      <c r="AE708" s="9"/>
      <c r="AF708" s="9"/>
      <c r="AG708" s="9"/>
      <c r="AH708" s="9"/>
      <c r="AI708" s="9"/>
      <c r="AJ708" s="9"/>
      <c r="AK708" s="9"/>
      <c r="AL708" s="9"/>
      <c r="AM708" s="9"/>
      <c r="AN708" s="9"/>
      <c r="AO708" s="9"/>
      <c r="AP708" s="9"/>
      <c r="AQ708" s="9"/>
      <c r="AR708" s="9"/>
      <c r="AS708" s="9"/>
      <c r="AT708" s="9"/>
    </row>
    <row r="709">
      <c r="A709" s="492"/>
      <c r="B709" s="254"/>
      <c r="C709" s="492"/>
      <c r="D709" s="254"/>
      <c r="E709" s="492"/>
      <c r="F709" s="254"/>
      <c r="G709" s="492"/>
      <c r="H709" s="254"/>
      <c r="I709" s="500"/>
      <c r="J709" s="181"/>
      <c r="K709" s="500"/>
      <c r="L709" s="181"/>
      <c r="M709" s="492"/>
      <c r="N709" s="254"/>
      <c r="O709" s="492"/>
      <c r="P709" s="254"/>
      <c r="Q709" s="492"/>
      <c r="R709" s="254"/>
      <c r="S709" s="528"/>
      <c r="T709" s="528"/>
      <c r="U709" s="492"/>
      <c r="V709" s="254"/>
      <c r="W709" s="492"/>
      <c r="X709" s="254"/>
      <c r="Y709" s="9"/>
      <c r="Z709" s="9"/>
      <c r="AA709" s="9"/>
      <c r="AB709" s="9"/>
      <c r="AC709" s="9"/>
      <c r="AD709" s="9"/>
      <c r="AE709" s="9"/>
      <c r="AF709" s="9"/>
      <c r="AG709" s="9"/>
      <c r="AH709" s="9"/>
      <c r="AI709" s="9"/>
      <c r="AJ709" s="9"/>
      <c r="AK709" s="9"/>
      <c r="AL709" s="9"/>
      <c r="AM709" s="9"/>
      <c r="AN709" s="9"/>
      <c r="AO709" s="9"/>
      <c r="AP709" s="9"/>
      <c r="AQ709" s="9"/>
      <c r="AR709" s="9"/>
      <c r="AS709" s="9"/>
      <c r="AT709" s="9"/>
    </row>
    <row r="710">
      <c r="A710" s="492"/>
      <c r="B710" s="254"/>
      <c r="C710" s="492"/>
      <c r="D710" s="254"/>
      <c r="E710" s="492"/>
      <c r="F710" s="254"/>
      <c r="G710" s="492"/>
      <c r="H710" s="254"/>
      <c r="I710" s="500"/>
      <c r="J710" s="181"/>
      <c r="K710" s="500"/>
      <c r="L710" s="181"/>
      <c r="M710" s="492"/>
      <c r="N710" s="254"/>
      <c r="O710" s="492"/>
      <c r="P710" s="254"/>
      <c r="Q710" s="492"/>
      <c r="R710" s="254"/>
      <c r="S710" s="528"/>
      <c r="T710" s="528"/>
      <c r="U710" s="492"/>
      <c r="V710" s="254"/>
      <c r="W710" s="492"/>
      <c r="X710" s="254"/>
      <c r="Y710" s="9"/>
      <c r="Z710" s="9"/>
      <c r="AA710" s="9"/>
      <c r="AB710" s="9"/>
      <c r="AC710" s="9"/>
      <c r="AD710" s="9"/>
      <c r="AE710" s="9"/>
      <c r="AF710" s="9"/>
      <c r="AG710" s="9"/>
      <c r="AH710" s="9"/>
      <c r="AI710" s="9"/>
      <c r="AJ710" s="9"/>
      <c r="AK710" s="9"/>
      <c r="AL710" s="9"/>
      <c r="AM710" s="9"/>
      <c r="AN710" s="9"/>
      <c r="AO710" s="9"/>
      <c r="AP710" s="9"/>
      <c r="AQ710" s="9"/>
      <c r="AR710" s="9"/>
      <c r="AS710" s="9"/>
      <c r="AT710" s="9"/>
    </row>
    <row r="711">
      <c r="A711" s="492"/>
      <c r="B711" s="254"/>
      <c r="C711" s="492"/>
      <c r="D711" s="254"/>
      <c r="E711" s="492"/>
      <c r="F711" s="254"/>
      <c r="G711" s="492"/>
      <c r="H711" s="254"/>
      <c r="I711" s="500"/>
      <c r="J711" s="181"/>
      <c r="K711" s="500"/>
      <c r="L711" s="181"/>
      <c r="M711" s="492"/>
      <c r="N711" s="254"/>
      <c r="O711" s="492"/>
      <c r="P711" s="254"/>
      <c r="Q711" s="492"/>
      <c r="R711" s="254"/>
      <c r="S711" s="528"/>
      <c r="T711" s="528"/>
      <c r="U711" s="492"/>
      <c r="V711" s="254"/>
      <c r="W711" s="492"/>
      <c r="X711" s="254"/>
      <c r="Y711" s="9"/>
      <c r="Z711" s="9"/>
      <c r="AA711" s="9"/>
      <c r="AB711" s="9"/>
      <c r="AC711" s="9"/>
      <c r="AD711" s="9"/>
      <c r="AE711" s="9"/>
      <c r="AF711" s="9"/>
      <c r="AG711" s="9"/>
      <c r="AH711" s="9"/>
      <c r="AI711" s="9"/>
      <c r="AJ711" s="9"/>
      <c r="AK711" s="9"/>
      <c r="AL711" s="9"/>
      <c r="AM711" s="9"/>
      <c r="AN711" s="9"/>
      <c r="AO711" s="9"/>
      <c r="AP711" s="9"/>
      <c r="AQ711" s="9"/>
      <c r="AR711" s="9"/>
      <c r="AS711" s="9"/>
      <c r="AT711" s="9"/>
    </row>
    <row r="712">
      <c r="A712" s="492"/>
      <c r="B712" s="254"/>
      <c r="C712" s="492"/>
      <c r="D712" s="254"/>
      <c r="E712" s="492"/>
      <c r="F712" s="254"/>
      <c r="G712" s="492"/>
      <c r="H712" s="254"/>
      <c r="I712" s="500"/>
      <c r="J712" s="181"/>
      <c r="K712" s="500"/>
      <c r="L712" s="181"/>
      <c r="M712" s="492"/>
      <c r="N712" s="254"/>
      <c r="O712" s="492"/>
      <c r="P712" s="254"/>
      <c r="Q712" s="492"/>
      <c r="R712" s="254"/>
      <c r="S712" s="528"/>
      <c r="T712" s="528"/>
      <c r="U712" s="492"/>
      <c r="V712" s="254"/>
      <c r="W712" s="492"/>
      <c r="X712" s="254"/>
      <c r="Y712" s="9"/>
      <c r="Z712" s="9"/>
      <c r="AA712" s="9"/>
      <c r="AB712" s="9"/>
      <c r="AC712" s="9"/>
      <c r="AD712" s="9"/>
      <c r="AE712" s="9"/>
      <c r="AF712" s="9"/>
      <c r="AG712" s="9"/>
      <c r="AH712" s="9"/>
      <c r="AI712" s="9"/>
      <c r="AJ712" s="9"/>
      <c r="AK712" s="9"/>
      <c r="AL712" s="9"/>
      <c r="AM712" s="9"/>
      <c r="AN712" s="9"/>
      <c r="AO712" s="9"/>
      <c r="AP712" s="9"/>
      <c r="AQ712" s="9"/>
      <c r="AR712" s="9"/>
      <c r="AS712" s="9"/>
      <c r="AT712" s="9"/>
    </row>
    <row r="713">
      <c r="A713" s="492"/>
      <c r="B713" s="254"/>
      <c r="C713" s="492"/>
      <c r="D713" s="254"/>
      <c r="E713" s="492"/>
      <c r="F713" s="254"/>
      <c r="G713" s="492"/>
      <c r="H713" s="254"/>
      <c r="I713" s="500"/>
      <c r="J713" s="181"/>
      <c r="K713" s="500"/>
      <c r="L713" s="181"/>
      <c r="M713" s="492"/>
      <c r="N713" s="254"/>
      <c r="O713" s="492"/>
      <c r="P713" s="254"/>
      <c r="Q713" s="492"/>
      <c r="R713" s="254"/>
      <c r="S713" s="528"/>
      <c r="T713" s="528"/>
      <c r="U713" s="492"/>
      <c r="V713" s="254"/>
      <c r="W713" s="492"/>
      <c r="X713" s="254"/>
      <c r="Y713" s="9"/>
      <c r="Z713" s="9"/>
      <c r="AA713" s="9"/>
      <c r="AB713" s="9"/>
      <c r="AC713" s="9"/>
      <c r="AD713" s="9"/>
      <c r="AE713" s="9"/>
      <c r="AF713" s="9"/>
      <c r="AG713" s="9"/>
      <c r="AH713" s="9"/>
      <c r="AI713" s="9"/>
      <c r="AJ713" s="9"/>
      <c r="AK713" s="9"/>
      <c r="AL713" s="9"/>
      <c r="AM713" s="9"/>
      <c r="AN713" s="9"/>
      <c r="AO713" s="9"/>
      <c r="AP713" s="9"/>
      <c r="AQ713" s="9"/>
      <c r="AR713" s="9"/>
      <c r="AS713" s="9"/>
      <c r="AT713" s="9"/>
    </row>
    <row r="714">
      <c r="A714" s="492"/>
      <c r="B714" s="254"/>
      <c r="C714" s="492"/>
      <c r="D714" s="254"/>
      <c r="E714" s="492"/>
      <c r="F714" s="254"/>
      <c r="G714" s="492"/>
      <c r="H714" s="254"/>
      <c r="I714" s="500"/>
      <c r="J714" s="181"/>
      <c r="K714" s="500"/>
      <c r="L714" s="181"/>
      <c r="M714" s="492"/>
      <c r="N714" s="254"/>
      <c r="O714" s="492"/>
      <c r="P714" s="254"/>
      <c r="Q714" s="492"/>
      <c r="R714" s="254"/>
      <c r="S714" s="528"/>
      <c r="T714" s="528"/>
      <c r="U714" s="492"/>
      <c r="V714" s="254"/>
      <c r="W714" s="492"/>
      <c r="X714" s="254"/>
      <c r="Y714" s="9"/>
      <c r="Z714" s="9"/>
      <c r="AA714" s="9"/>
      <c r="AB714" s="9"/>
      <c r="AC714" s="9"/>
      <c r="AD714" s="9"/>
      <c r="AE714" s="9"/>
      <c r="AF714" s="9"/>
      <c r="AG714" s="9"/>
      <c r="AH714" s="9"/>
      <c r="AI714" s="9"/>
      <c r="AJ714" s="9"/>
      <c r="AK714" s="9"/>
      <c r="AL714" s="9"/>
      <c r="AM714" s="9"/>
      <c r="AN714" s="9"/>
      <c r="AO714" s="9"/>
      <c r="AP714" s="9"/>
      <c r="AQ714" s="9"/>
      <c r="AR714" s="9"/>
      <c r="AS714" s="9"/>
      <c r="AT714" s="9"/>
    </row>
    <row r="715">
      <c r="A715" s="492"/>
      <c r="B715" s="254"/>
      <c r="C715" s="492"/>
      <c r="D715" s="254"/>
      <c r="E715" s="492"/>
      <c r="F715" s="254"/>
      <c r="G715" s="492"/>
      <c r="H715" s="254"/>
      <c r="I715" s="500"/>
      <c r="J715" s="181"/>
      <c r="K715" s="500"/>
      <c r="L715" s="181"/>
      <c r="M715" s="492"/>
      <c r="N715" s="254"/>
      <c r="O715" s="492"/>
      <c r="P715" s="254"/>
      <c r="Q715" s="492"/>
      <c r="R715" s="254"/>
      <c r="S715" s="528"/>
      <c r="T715" s="528"/>
      <c r="U715" s="492"/>
      <c r="V715" s="254"/>
      <c r="W715" s="492"/>
      <c r="X715" s="254"/>
      <c r="Y715" s="9"/>
      <c r="Z715" s="9"/>
      <c r="AA715" s="9"/>
      <c r="AB715" s="9"/>
      <c r="AC715" s="9"/>
      <c r="AD715" s="9"/>
      <c r="AE715" s="9"/>
      <c r="AF715" s="9"/>
      <c r="AG715" s="9"/>
      <c r="AH715" s="9"/>
      <c r="AI715" s="9"/>
      <c r="AJ715" s="9"/>
      <c r="AK715" s="9"/>
      <c r="AL715" s="9"/>
      <c r="AM715" s="9"/>
      <c r="AN715" s="9"/>
      <c r="AO715" s="9"/>
      <c r="AP715" s="9"/>
      <c r="AQ715" s="9"/>
      <c r="AR715" s="9"/>
      <c r="AS715" s="9"/>
      <c r="AT715" s="9"/>
    </row>
    <row r="716">
      <c r="A716" s="492"/>
      <c r="B716" s="254"/>
      <c r="C716" s="492"/>
      <c r="D716" s="254"/>
      <c r="E716" s="492"/>
      <c r="F716" s="254"/>
      <c r="G716" s="492"/>
      <c r="H716" s="254"/>
      <c r="I716" s="500"/>
      <c r="J716" s="181"/>
      <c r="K716" s="500"/>
      <c r="L716" s="181"/>
      <c r="M716" s="492"/>
      <c r="N716" s="254"/>
      <c r="O716" s="492"/>
      <c r="P716" s="254"/>
      <c r="Q716" s="492"/>
      <c r="R716" s="254"/>
      <c r="S716" s="528"/>
      <c r="T716" s="528"/>
      <c r="U716" s="492"/>
      <c r="V716" s="254"/>
      <c r="W716" s="492"/>
      <c r="X716" s="254"/>
      <c r="Y716" s="9"/>
      <c r="Z716" s="9"/>
      <c r="AA716" s="9"/>
      <c r="AB716" s="9"/>
      <c r="AC716" s="9"/>
      <c r="AD716" s="9"/>
      <c r="AE716" s="9"/>
      <c r="AF716" s="9"/>
      <c r="AG716" s="9"/>
      <c r="AH716" s="9"/>
      <c r="AI716" s="9"/>
      <c r="AJ716" s="9"/>
      <c r="AK716" s="9"/>
      <c r="AL716" s="9"/>
      <c r="AM716" s="9"/>
      <c r="AN716" s="9"/>
      <c r="AO716" s="9"/>
      <c r="AP716" s="9"/>
      <c r="AQ716" s="9"/>
      <c r="AR716" s="9"/>
      <c r="AS716" s="9"/>
      <c r="AT716" s="9"/>
    </row>
    <row r="717">
      <c r="A717" s="492"/>
      <c r="B717" s="254"/>
      <c r="C717" s="492"/>
      <c r="D717" s="254"/>
      <c r="E717" s="492"/>
      <c r="F717" s="254"/>
      <c r="G717" s="492"/>
      <c r="H717" s="254"/>
      <c r="I717" s="500"/>
      <c r="J717" s="181"/>
      <c r="K717" s="500"/>
      <c r="L717" s="181"/>
      <c r="M717" s="492"/>
      <c r="N717" s="254"/>
      <c r="O717" s="492"/>
      <c r="P717" s="254"/>
      <c r="Q717" s="492"/>
      <c r="R717" s="254"/>
      <c r="S717" s="528"/>
      <c r="T717" s="528"/>
      <c r="U717" s="492"/>
      <c r="V717" s="254"/>
      <c r="W717" s="492"/>
      <c r="X717" s="254"/>
      <c r="Y717" s="9"/>
      <c r="Z717" s="9"/>
      <c r="AA717" s="9"/>
      <c r="AB717" s="9"/>
      <c r="AC717" s="9"/>
      <c r="AD717" s="9"/>
      <c r="AE717" s="9"/>
      <c r="AF717" s="9"/>
      <c r="AG717" s="9"/>
      <c r="AH717" s="9"/>
      <c r="AI717" s="9"/>
      <c r="AJ717" s="9"/>
      <c r="AK717" s="9"/>
      <c r="AL717" s="9"/>
      <c r="AM717" s="9"/>
      <c r="AN717" s="9"/>
      <c r="AO717" s="9"/>
      <c r="AP717" s="9"/>
      <c r="AQ717" s="9"/>
      <c r="AR717" s="9"/>
      <c r="AS717" s="9"/>
      <c r="AT717" s="9"/>
    </row>
    <row r="718">
      <c r="A718" s="492"/>
      <c r="B718" s="254"/>
      <c r="C718" s="492"/>
      <c r="D718" s="254"/>
      <c r="E718" s="492"/>
      <c r="F718" s="254"/>
      <c r="G718" s="492"/>
      <c r="H718" s="254"/>
      <c r="I718" s="500"/>
      <c r="J718" s="181"/>
      <c r="K718" s="500"/>
      <c r="L718" s="181"/>
      <c r="M718" s="492"/>
      <c r="N718" s="254"/>
      <c r="O718" s="492"/>
      <c r="P718" s="254"/>
      <c r="Q718" s="492"/>
      <c r="R718" s="254"/>
      <c r="S718" s="528"/>
      <c r="T718" s="528"/>
      <c r="U718" s="492"/>
      <c r="V718" s="254"/>
      <c r="W718" s="492"/>
      <c r="X718" s="254"/>
      <c r="Y718" s="9"/>
      <c r="Z718" s="9"/>
      <c r="AA718" s="9"/>
      <c r="AB718" s="9"/>
      <c r="AC718" s="9"/>
      <c r="AD718" s="9"/>
      <c r="AE718" s="9"/>
      <c r="AF718" s="9"/>
      <c r="AG718" s="9"/>
      <c r="AH718" s="9"/>
      <c r="AI718" s="9"/>
      <c r="AJ718" s="9"/>
      <c r="AK718" s="9"/>
      <c r="AL718" s="9"/>
      <c r="AM718" s="9"/>
      <c r="AN718" s="9"/>
      <c r="AO718" s="9"/>
      <c r="AP718" s="9"/>
      <c r="AQ718" s="9"/>
      <c r="AR718" s="9"/>
      <c r="AS718" s="9"/>
      <c r="AT718" s="9"/>
    </row>
    <row r="719">
      <c r="A719" s="492"/>
      <c r="B719" s="254"/>
      <c r="C719" s="492"/>
      <c r="D719" s="254"/>
      <c r="E719" s="492"/>
      <c r="F719" s="254"/>
      <c r="G719" s="492"/>
      <c r="H719" s="254"/>
      <c r="I719" s="500"/>
      <c r="J719" s="181"/>
      <c r="K719" s="500"/>
      <c r="L719" s="181"/>
      <c r="M719" s="492"/>
      <c r="N719" s="254"/>
      <c r="O719" s="492"/>
      <c r="P719" s="254"/>
      <c r="Q719" s="492"/>
      <c r="R719" s="254"/>
      <c r="S719" s="528"/>
      <c r="T719" s="528"/>
      <c r="U719" s="492"/>
      <c r="V719" s="254"/>
      <c r="W719" s="492"/>
      <c r="X719" s="254"/>
      <c r="Y719" s="9"/>
      <c r="Z719" s="9"/>
      <c r="AA719" s="9"/>
      <c r="AB719" s="9"/>
      <c r="AC719" s="9"/>
      <c r="AD719" s="9"/>
      <c r="AE719" s="9"/>
      <c r="AF719" s="9"/>
      <c r="AG719" s="9"/>
      <c r="AH719" s="9"/>
      <c r="AI719" s="9"/>
      <c r="AJ719" s="9"/>
      <c r="AK719" s="9"/>
      <c r="AL719" s="9"/>
      <c r="AM719" s="9"/>
      <c r="AN719" s="9"/>
      <c r="AO719" s="9"/>
      <c r="AP719" s="9"/>
      <c r="AQ719" s="9"/>
      <c r="AR719" s="9"/>
      <c r="AS719" s="9"/>
      <c r="AT719" s="9"/>
    </row>
    <row r="720">
      <c r="A720" s="492"/>
      <c r="B720" s="254"/>
      <c r="C720" s="492"/>
      <c r="D720" s="254"/>
      <c r="E720" s="492"/>
      <c r="F720" s="254"/>
      <c r="G720" s="492"/>
      <c r="H720" s="254"/>
      <c r="I720" s="500"/>
      <c r="J720" s="181"/>
      <c r="K720" s="500"/>
      <c r="L720" s="181"/>
      <c r="M720" s="492"/>
      <c r="N720" s="254"/>
      <c r="O720" s="492"/>
      <c r="P720" s="254"/>
      <c r="Q720" s="492"/>
      <c r="R720" s="254"/>
      <c r="S720" s="528"/>
      <c r="T720" s="528"/>
      <c r="U720" s="492"/>
      <c r="V720" s="254"/>
      <c r="W720" s="492"/>
      <c r="X720" s="254"/>
      <c r="Y720" s="9"/>
      <c r="Z720" s="9"/>
      <c r="AA720" s="9"/>
      <c r="AB720" s="9"/>
      <c r="AC720" s="9"/>
      <c r="AD720" s="9"/>
      <c r="AE720" s="9"/>
      <c r="AF720" s="9"/>
      <c r="AG720" s="9"/>
      <c r="AH720" s="9"/>
      <c r="AI720" s="9"/>
      <c r="AJ720" s="9"/>
      <c r="AK720" s="9"/>
      <c r="AL720" s="9"/>
      <c r="AM720" s="9"/>
      <c r="AN720" s="9"/>
      <c r="AO720" s="9"/>
      <c r="AP720" s="9"/>
      <c r="AQ720" s="9"/>
      <c r="AR720" s="9"/>
      <c r="AS720" s="9"/>
      <c r="AT720" s="9"/>
    </row>
    <row r="721">
      <c r="A721" s="492"/>
      <c r="B721" s="254"/>
      <c r="C721" s="492"/>
      <c r="D721" s="254"/>
      <c r="E721" s="492"/>
      <c r="F721" s="254"/>
      <c r="G721" s="492"/>
      <c r="H721" s="254"/>
      <c r="I721" s="500"/>
      <c r="J721" s="181"/>
      <c r="K721" s="500"/>
      <c r="L721" s="181"/>
      <c r="M721" s="492"/>
      <c r="N721" s="254"/>
      <c r="O721" s="492"/>
      <c r="P721" s="254"/>
      <c r="Q721" s="492"/>
      <c r="R721" s="254"/>
      <c r="S721" s="528"/>
      <c r="T721" s="528"/>
      <c r="U721" s="492"/>
      <c r="V721" s="254"/>
      <c r="W721" s="492"/>
      <c r="X721" s="254"/>
      <c r="Y721" s="9"/>
      <c r="Z721" s="9"/>
      <c r="AA721" s="9"/>
      <c r="AB721" s="9"/>
      <c r="AC721" s="9"/>
      <c r="AD721" s="9"/>
      <c r="AE721" s="9"/>
      <c r="AF721" s="9"/>
      <c r="AG721" s="9"/>
      <c r="AH721" s="9"/>
      <c r="AI721" s="9"/>
      <c r="AJ721" s="9"/>
      <c r="AK721" s="9"/>
      <c r="AL721" s="9"/>
      <c r="AM721" s="9"/>
      <c r="AN721" s="9"/>
      <c r="AO721" s="9"/>
      <c r="AP721" s="9"/>
      <c r="AQ721" s="9"/>
      <c r="AR721" s="9"/>
      <c r="AS721" s="9"/>
      <c r="AT721" s="9"/>
    </row>
    <row r="722">
      <c r="A722" s="492"/>
      <c r="B722" s="254"/>
      <c r="C722" s="492"/>
      <c r="D722" s="254"/>
      <c r="E722" s="492"/>
      <c r="F722" s="254"/>
      <c r="G722" s="492"/>
      <c r="H722" s="254"/>
      <c r="I722" s="500"/>
      <c r="J722" s="181"/>
      <c r="K722" s="500"/>
      <c r="L722" s="181"/>
      <c r="M722" s="492"/>
      <c r="N722" s="254"/>
      <c r="O722" s="492"/>
      <c r="P722" s="254"/>
      <c r="Q722" s="492"/>
      <c r="R722" s="254"/>
      <c r="S722" s="528"/>
      <c r="T722" s="528"/>
      <c r="U722" s="492"/>
      <c r="V722" s="254"/>
      <c r="W722" s="492"/>
      <c r="X722" s="254"/>
      <c r="Y722" s="9"/>
      <c r="Z722" s="9"/>
      <c r="AA722" s="9"/>
      <c r="AB722" s="9"/>
      <c r="AC722" s="9"/>
      <c r="AD722" s="9"/>
      <c r="AE722" s="9"/>
      <c r="AF722" s="9"/>
      <c r="AG722" s="9"/>
      <c r="AH722" s="9"/>
      <c r="AI722" s="9"/>
      <c r="AJ722" s="9"/>
      <c r="AK722" s="9"/>
      <c r="AL722" s="9"/>
      <c r="AM722" s="9"/>
      <c r="AN722" s="9"/>
      <c r="AO722" s="9"/>
      <c r="AP722" s="9"/>
      <c r="AQ722" s="9"/>
      <c r="AR722" s="9"/>
      <c r="AS722" s="9"/>
      <c r="AT722" s="9"/>
    </row>
    <row r="723">
      <c r="A723" s="492"/>
      <c r="B723" s="254"/>
      <c r="C723" s="492"/>
      <c r="D723" s="254"/>
      <c r="E723" s="492"/>
      <c r="F723" s="254"/>
      <c r="G723" s="492"/>
      <c r="H723" s="254"/>
      <c r="I723" s="500"/>
      <c r="J723" s="181"/>
      <c r="K723" s="500"/>
      <c r="L723" s="181"/>
      <c r="M723" s="492"/>
      <c r="N723" s="254"/>
      <c r="O723" s="492"/>
      <c r="P723" s="254"/>
      <c r="Q723" s="492"/>
      <c r="R723" s="254"/>
      <c r="S723" s="528"/>
      <c r="T723" s="528"/>
      <c r="U723" s="492"/>
      <c r="V723" s="254"/>
      <c r="W723" s="492"/>
      <c r="X723" s="254"/>
      <c r="Y723" s="9"/>
      <c r="Z723" s="9"/>
      <c r="AA723" s="9"/>
      <c r="AB723" s="9"/>
      <c r="AC723" s="9"/>
      <c r="AD723" s="9"/>
      <c r="AE723" s="9"/>
      <c r="AF723" s="9"/>
      <c r="AG723" s="9"/>
      <c r="AH723" s="9"/>
      <c r="AI723" s="9"/>
      <c r="AJ723" s="9"/>
      <c r="AK723" s="9"/>
      <c r="AL723" s="9"/>
      <c r="AM723" s="9"/>
      <c r="AN723" s="9"/>
      <c r="AO723" s="9"/>
      <c r="AP723" s="9"/>
      <c r="AQ723" s="9"/>
      <c r="AR723" s="9"/>
      <c r="AS723" s="9"/>
      <c r="AT723" s="9"/>
    </row>
    <row r="724">
      <c r="A724" s="492"/>
      <c r="B724" s="254"/>
      <c r="C724" s="492"/>
      <c r="D724" s="254"/>
      <c r="E724" s="492"/>
      <c r="F724" s="254"/>
      <c r="G724" s="492"/>
      <c r="H724" s="254"/>
      <c r="I724" s="500"/>
      <c r="J724" s="181"/>
      <c r="K724" s="500"/>
      <c r="L724" s="181"/>
      <c r="M724" s="492"/>
      <c r="N724" s="254"/>
      <c r="O724" s="492"/>
      <c r="P724" s="254"/>
      <c r="Q724" s="492"/>
      <c r="R724" s="254"/>
      <c r="S724" s="528"/>
      <c r="T724" s="528"/>
      <c r="U724" s="492"/>
      <c r="V724" s="254"/>
      <c r="W724" s="492"/>
      <c r="X724" s="254"/>
      <c r="Y724" s="9"/>
      <c r="Z724" s="9"/>
      <c r="AA724" s="9"/>
      <c r="AB724" s="9"/>
      <c r="AC724" s="9"/>
      <c r="AD724" s="9"/>
      <c r="AE724" s="9"/>
      <c r="AF724" s="9"/>
      <c r="AG724" s="9"/>
      <c r="AH724" s="9"/>
      <c r="AI724" s="9"/>
      <c r="AJ724" s="9"/>
      <c r="AK724" s="9"/>
      <c r="AL724" s="9"/>
      <c r="AM724" s="9"/>
      <c r="AN724" s="9"/>
      <c r="AO724" s="9"/>
      <c r="AP724" s="9"/>
      <c r="AQ724" s="9"/>
      <c r="AR724" s="9"/>
      <c r="AS724" s="9"/>
      <c r="AT724" s="9"/>
    </row>
    <row r="725">
      <c r="A725" s="492"/>
      <c r="B725" s="254"/>
      <c r="C725" s="492"/>
      <c r="D725" s="254"/>
      <c r="E725" s="492"/>
      <c r="F725" s="254"/>
      <c r="G725" s="492"/>
      <c r="H725" s="254"/>
      <c r="I725" s="500"/>
      <c r="J725" s="181"/>
      <c r="K725" s="500"/>
      <c r="L725" s="181"/>
      <c r="M725" s="492"/>
      <c r="N725" s="254"/>
      <c r="O725" s="492"/>
      <c r="P725" s="254"/>
      <c r="Q725" s="492"/>
      <c r="R725" s="254"/>
      <c r="S725" s="528"/>
      <c r="T725" s="528"/>
      <c r="U725" s="492"/>
      <c r="V725" s="254"/>
      <c r="W725" s="492"/>
      <c r="X725" s="254"/>
      <c r="Y725" s="9"/>
      <c r="Z725" s="9"/>
      <c r="AA725" s="9"/>
      <c r="AB725" s="9"/>
      <c r="AC725" s="9"/>
      <c r="AD725" s="9"/>
      <c r="AE725" s="9"/>
      <c r="AF725" s="9"/>
      <c r="AG725" s="9"/>
      <c r="AH725" s="9"/>
      <c r="AI725" s="9"/>
      <c r="AJ725" s="9"/>
      <c r="AK725" s="9"/>
      <c r="AL725" s="9"/>
      <c r="AM725" s="9"/>
      <c r="AN725" s="9"/>
      <c r="AO725" s="9"/>
      <c r="AP725" s="9"/>
      <c r="AQ725" s="9"/>
      <c r="AR725" s="9"/>
      <c r="AS725" s="9"/>
      <c r="AT725" s="9"/>
    </row>
    <row r="726">
      <c r="A726" s="492"/>
      <c r="B726" s="254"/>
      <c r="C726" s="492"/>
      <c r="D726" s="254"/>
      <c r="E726" s="492"/>
      <c r="F726" s="254"/>
      <c r="G726" s="492"/>
      <c r="H726" s="254"/>
      <c r="I726" s="500"/>
      <c r="J726" s="181"/>
      <c r="K726" s="500"/>
      <c r="L726" s="181"/>
      <c r="M726" s="492"/>
      <c r="N726" s="254"/>
      <c r="O726" s="492"/>
      <c r="P726" s="254"/>
      <c r="Q726" s="492"/>
      <c r="R726" s="254"/>
      <c r="S726" s="528"/>
      <c r="T726" s="528"/>
      <c r="U726" s="492"/>
      <c r="V726" s="254"/>
      <c r="W726" s="492"/>
      <c r="X726" s="254"/>
      <c r="Y726" s="9"/>
      <c r="Z726" s="9"/>
      <c r="AA726" s="9"/>
      <c r="AB726" s="9"/>
      <c r="AC726" s="9"/>
      <c r="AD726" s="9"/>
      <c r="AE726" s="9"/>
      <c r="AF726" s="9"/>
      <c r="AG726" s="9"/>
      <c r="AH726" s="9"/>
      <c r="AI726" s="9"/>
      <c r="AJ726" s="9"/>
      <c r="AK726" s="9"/>
      <c r="AL726" s="9"/>
      <c r="AM726" s="9"/>
      <c r="AN726" s="9"/>
      <c r="AO726" s="9"/>
      <c r="AP726" s="9"/>
      <c r="AQ726" s="9"/>
      <c r="AR726" s="9"/>
      <c r="AS726" s="9"/>
      <c r="AT726" s="9"/>
    </row>
    <row r="727">
      <c r="A727" s="492"/>
      <c r="B727" s="254"/>
      <c r="C727" s="492"/>
      <c r="D727" s="254"/>
      <c r="E727" s="492"/>
      <c r="F727" s="254"/>
      <c r="G727" s="492"/>
      <c r="H727" s="254"/>
      <c r="I727" s="500"/>
      <c r="J727" s="181"/>
      <c r="K727" s="500"/>
      <c r="L727" s="181"/>
      <c r="M727" s="492"/>
      <c r="N727" s="254"/>
      <c r="O727" s="492"/>
      <c r="P727" s="254"/>
      <c r="Q727" s="492"/>
      <c r="R727" s="254"/>
      <c r="S727" s="528"/>
      <c r="T727" s="528"/>
      <c r="U727" s="492"/>
      <c r="V727" s="254"/>
      <c r="W727" s="492"/>
      <c r="X727" s="254"/>
      <c r="Y727" s="9"/>
      <c r="Z727" s="9"/>
      <c r="AA727" s="9"/>
      <c r="AB727" s="9"/>
      <c r="AC727" s="9"/>
      <c r="AD727" s="9"/>
      <c r="AE727" s="9"/>
      <c r="AF727" s="9"/>
      <c r="AG727" s="9"/>
      <c r="AH727" s="9"/>
      <c r="AI727" s="9"/>
      <c r="AJ727" s="9"/>
      <c r="AK727" s="9"/>
      <c r="AL727" s="9"/>
      <c r="AM727" s="9"/>
      <c r="AN727" s="9"/>
      <c r="AO727" s="9"/>
      <c r="AP727" s="9"/>
      <c r="AQ727" s="9"/>
      <c r="AR727" s="9"/>
      <c r="AS727" s="9"/>
      <c r="AT727" s="9"/>
    </row>
    <row r="728">
      <c r="A728" s="492"/>
      <c r="B728" s="254"/>
      <c r="C728" s="492"/>
      <c r="D728" s="254"/>
      <c r="E728" s="492"/>
      <c r="F728" s="254"/>
      <c r="G728" s="492"/>
      <c r="H728" s="254"/>
      <c r="I728" s="500"/>
      <c r="J728" s="181"/>
      <c r="K728" s="500"/>
      <c r="L728" s="181"/>
      <c r="M728" s="492"/>
      <c r="N728" s="254"/>
      <c r="O728" s="492"/>
      <c r="P728" s="254"/>
      <c r="Q728" s="492"/>
      <c r="R728" s="254"/>
      <c r="S728" s="528"/>
      <c r="T728" s="528"/>
      <c r="U728" s="492"/>
      <c r="V728" s="254"/>
      <c r="W728" s="492"/>
      <c r="X728" s="254"/>
      <c r="Y728" s="9"/>
      <c r="Z728" s="9"/>
      <c r="AA728" s="9"/>
      <c r="AB728" s="9"/>
      <c r="AC728" s="9"/>
      <c r="AD728" s="9"/>
      <c r="AE728" s="9"/>
      <c r="AF728" s="9"/>
      <c r="AG728" s="9"/>
      <c r="AH728" s="9"/>
      <c r="AI728" s="9"/>
      <c r="AJ728" s="9"/>
      <c r="AK728" s="9"/>
      <c r="AL728" s="9"/>
      <c r="AM728" s="9"/>
      <c r="AN728" s="9"/>
      <c r="AO728" s="9"/>
      <c r="AP728" s="9"/>
      <c r="AQ728" s="9"/>
      <c r="AR728" s="9"/>
      <c r="AS728" s="9"/>
      <c r="AT728" s="9"/>
    </row>
    <row r="729">
      <c r="A729" s="492"/>
      <c r="B729" s="254"/>
      <c r="C729" s="492"/>
      <c r="D729" s="254"/>
      <c r="E729" s="492"/>
      <c r="F729" s="254"/>
      <c r="G729" s="492"/>
      <c r="H729" s="254"/>
      <c r="I729" s="500"/>
      <c r="J729" s="181"/>
      <c r="K729" s="500"/>
      <c r="L729" s="181"/>
      <c r="M729" s="492"/>
      <c r="N729" s="254"/>
      <c r="O729" s="492"/>
      <c r="P729" s="254"/>
      <c r="Q729" s="492"/>
      <c r="R729" s="254"/>
      <c r="S729" s="528"/>
      <c r="T729" s="528"/>
      <c r="U729" s="492"/>
      <c r="V729" s="254"/>
      <c r="W729" s="492"/>
      <c r="X729" s="254"/>
      <c r="Y729" s="9"/>
      <c r="Z729" s="9"/>
      <c r="AA729" s="9"/>
      <c r="AB729" s="9"/>
      <c r="AC729" s="9"/>
      <c r="AD729" s="9"/>
      <c r="AE729" s="9"/>
      <c r="AF729" s="9"/>
      <c r="AG729" s="9"/>
      <c r="AH729" s="9"/>
      <c r="AI729" s="9"/>
      <c r="AJ729" s="9"/>
      <c r="AK729" s="9"/>
      <c r="AL729" s="9"/>
      <c r="AM729" s="9"/>
      <c r="AN729" s="9"/>
      <c r="AO729" s="9"/>
      <c r="AP729" s="9"/>
      <c r="AQ729" s="9"/>
      <c r="AR729" s="9"/>
      <c r="AS729" s="9"/>
      <c r="AT729" s="9"/>
    </row>
    <row r="730">
      <c r="A730" s="492"/>
      <c r="B730" s="254"/>
      <c r="C730" s="492"/>
      <c r="D730" s="254"/>
      <c r="E730" s="492"/>
      <c r="F730" s="254"/>
      <c r="G730" s="492"/>
      <c r="H730" s="254"/>
      <c r="I730" s="500"/>
      <c r="J730" s="181"/>
      <c r="K730" s="500"/>
      <c r="L730" s="181"/>
      <c r="M730" s="492"/>
      <c r="N730" s="254"/>
      <c r="O730" s="492"/>
      <c r="P730" s="254"/>
      <c r="Q730" s="492"/>
      <c r="R730" s="254"/>
      <c r="S730" s="528"/>
      <c r="T730" s="528"/>
      <c r="U730" s="492"/>
      <c r="V730" s="254"/>
      <c r="W730" s="492"/>
      <c r="X730" s="254"/>
      <c r="Y730" s="9"/>
      <c r="Z730" s="9"/>
      <c r="AA730" s="9"/>
      <c r="AB730" s="9"/>
      <c r="AC730" s="9"/>
      <c r="AD730" s="9"/>
      <c r="AE730" s="9"/>
      <c r="AF730" s="9"/>
      <c r="AG730" s="9"/>
      <c r="AH730" s="9"/>
      <c r="AI730" s="9"/>
      <c r="AJ730" s="9"/>
      <c r="AK730" s="9"/>
      <c r="AL730" s="9"/>
      <c r="AM730" s="9"/>
      <c r="AN730" s="9"/>
      <c r="AO730" s="9"/>
      <c r="AP730" s="9"/>
      <c r="AQ730" s="9"/>
      <c r="AR730" s="9"/>
      <c r="AS730" s="9"/>
      <c r="AT730" s="9"/>
    </row>
    <row r="731">
      <c r="A731" s="492"/>
      <c r="B731" s="254"/>
      <c r="C731" s="492"/>
      <c r="D731" s="254"/>
      <c r="E731" s="492"/>
      <c r="F731" s="254"/>
      <c r="G731" s="492"/>
      <c r="H731" s="254"/>
      <c r="I731" s="500"/>
      <c r="J731" s="181"/>
      <c r="K731" s="500"/>
      <c r="L731" s="181"/>
      <c r="M731" s="492"/>
      <c r="N731" s="254"/>
      <c r="O731" s="492"/>
      <c r="P731" s="254"/>
      <c r="Q731" s="492"/>
      <c r="R731" s="254"/>
      <c r="S731" s="528"/>
      <c r="T731" s="528"/>
      <c r="U731" s="492"/>
      <c r="V731" s="254"/>
      <c r="W731" s="492"/>
      <c r="X731" s="254"/>
      <c r="Y731" s="9"/>
      <c r="Z731" s="9"/>
      <c r="AA731" s="9"/>
      <c r="AB731" s="9"/>
      <c r="AC731" s="9"/>
      <c r="AD731" s="9"/>
      <c r="AE731" s="9"/>
      <c r="AF731" s="9"/>
      <c r="AG731" s="9"/>
      <c r="AH731" s="9"/>
      <c r="AI731" s="9"/>
      <c r="AJ731" s="9"/>
      <c r="AK731" s="9"/>
      <c r="AL731" s="9"/>
      <c r="AM731" s="9"/>
      <c r="AN731" s="9"/>
      <c r="AO731" s="9"/>
      <c r="AP731" s="9"/>
      <c r="AQ731" s="9"/>
      <c r="AR731" s="9"/>
      <c r="AS731" s="9"/>
      <c r="AT731" s="9"/>
    </row>
    <row r="732">
      <c r="A732" s="492"/>
      <c r="B732" s="254"/>
      <c r="C732" s="492"/>
      <c r="D732" s="254"/>
      <c r="E732" s="492"/>
      <c r="F732" s="254"/>
      <c r="G732" s="492"/>
      <c r="H732" s="254"/>
      <c r="I732" s="500"/>
      <c r="J732" s="181"/>
      <c r="K732" s="500"/>
      <c r="L732" s="181"/>
      <c r="M732" s="492"/>
      <c r="N732" s="254"/>
      <c r="O732" s="492"/>
      <c r="P732" s="254"/>
      <c r="Q732" s="492"/>
      <c r="R732" s="254"/>
      <c r="S732" s="528"/>
      <c r="T732" s="528"/>
      <c r="U732" s="492"/>
      <c r="V732" s="254"/>
      <c r="W732" s="492"/>
      <c r="X732" s="254"/>
      <c r="Y732" s="9"/>
      <c r="Z732" s="9"/>
      <c r="AA732" s="9"/>
      <c r="AB732" s="9"/>
      <c r="AC732" s="9"/>
      <c r="AD732" s="9"/>
      <c r="AE732" s="9"/>
      <c r="AF732" s="9"/>
      <c r="AG732" s="9"/>
      <c r="AH732" s="9"/>
      <c r="AI732" s="9"/>
      <c r="AJ732" s="9"/>
      <c r="AK732" s="9"/>
      <c r="AL732" s="9"/>
      <c r="AM732" s="9"/>
      <c r="AN732" s="9"/>
      <c r="AO732" s="9"/>
      <c r="AP732" s="9"/>
      <c r="AQ732" s="9"/>
      <c r="AR732" s="9"/>
      <c r="AS732" s="9"/>
      <c r="AT732" s="9"/>
    </row>
    <row r="733">
      <c r="A733" s="492"/>
      <c r="B733" s="254"/>
      <c r="C733" s="492"/>
      <c r="D733" s="254"/>
      <c r="E733" s="492"/>
      <c r="F733" s="254"/>
      <c r="G733" s="492"/>
      <c r="H733" s="254"/>
      <c r="I733" s="500"/>
      <c r="J733" s="181"/>
      <c r="K733" s="500"/>
      <c r="L733" s="181"/>
      <c r="M733" s="492"/>
      <c r="N733" s="254"/>
      <c r="O733" s="492"/>
      <c r="P733" s="254"/>
      <c r="Q733" s="492"/>
      <c r="R733" s="254"/>
      <c r="S733" s="528"/>
      <c r="T733" s="528"/>
      <c r="U733" s="492"/>
      <c r="V733" s="254"/>
      <c r="W733" s="492"/>
      <c r="X733" s="254"/>
      <c r="Y733" s="9"/>
      <c r="Z733" s="9"/>
      <c r="AA733" s="9"/>
      <c r="AB733" s="9"/>
      <c r="AC733" s="9"/>
      <c r="AD733" s="9"/>
      <c r="AE733" s="9"/>
      <c r="AF733" s="9"/>
      <c r="AG733" s="9"/>
      <c r="AH733" s="9"/>
      <c r="AI733" s="9"/>
      <c r="AJ733" s="9"/>
      <c r="AK733" s="9"/>
      <c r="AL733" s="9"/>
      <c r="AM733" s="9"/>
      <c r="AN733" s="9"/>
      <c r="AO733" s="9"/>
      <c r="AP733" s="9"/>
      <c r="AQ733" s="9"/>
      <c r="AR733" s="9"/>
      <c r="AS733" s="9"/>
      <c r="AT733" s="9"/>
    </row>
    <row r="734">
      <c r="A734" s="492"/>
      <c r="B734" s="254"/>
      <c r="C734" s="492"/>
      <c r="D734" s="254"/>
      <c r="E734" s="492"/>
      <c r="F734" s="254"/>
      <c r="G734" s="492"/>
      <c r="H734" s="254"/>
      <c r="I734" s="500"/>
      <c r="J734" s="181"/>
      <c r="K734" s="500"/>
      <c r="L734" s="181"/>
      <c r="M734" s="492"/>
      <c r="N734" s="254"/>
      <c r="O734" s="492"/>
      <c r="P734" s="254"/>
      <c r="Q734" s="492"/>
      <c r="R734" s="254"/>
      <c r="S734" s="528"/>
      <c r="T734" s="528"/>
      <c r="U734" s="492"/>
      <c r="V734" s="254"/>
      <c r="W734" s="492"/>
      <c r="X734" s="254"/>
      <c r="Y734" s="9"/>
      <c r="Z734" s="9"/>
      <c r="AA734" s="9"/>
      <c r="AB734" s="9"/>
      <c r="AC734" s="9"/>
      <c r="AD734" s="9"/>
      <c r="AE734" s="9"/>
      <c r="AF734" s="9"/>
      <c r="AG734" s="9"/>
      <c r="AH734" s="9"/>
      <c r="AI734" s="9"/>
      <c r="AJ734" s="9"/>
      <c r="AK734" s="9"/>
      <c r="AL734" s="9"/>
      <c r="AM734" s="9"/>
      <c r="AN734" s="9"/>
      <c r="AO734" s="9"/>
      <c r="AP734" s="9"/>
      <c r="AQ734" s="9"/>
      <c r="AR734" s="9"/>
      <c r="AS734" s="9"/>
      <c r="AT734" s="9"/>
    </row>
    <row r="735">
      <c r="A735" s="492"/>
      <c r="B735" s="254"/>
      <c r="C735" s="492"/>
      <c r="D735" s="254"/>
      <c r="E735" s="492"/>
      <c r="F735" s="254"/>
      <c r="G735" s="492"/>
      <c r="H735" s="254"/>
      <c r="I735" s="500"/>
      <c r="J735" s="181"/>
      <c r="K735" s="500"/>
      <c r="L735" s="181"/>
      <c r="M735" s="492"/>
      <c r="N735" s="254"/>
      <c r="O735" s="492"/>
      <c r="P735" s="254"/>
      <c r="Q735" s="492"/>
      <c r="R735" s="254"/>
      <c r="S735" s="528"/>
      <c r="T735" s="528"/>
      <c r="U735" s="492"/>
      <c r="V735" s="254"/>
      <c r="W735" s="492"/>
      <c r="X735" s="254"/>
      <c r="Y735" s="9"/>
      <c r="Z735" s="9"/>
      <c r="AA735" s="9"/>
      <c r="AB735" s="9"/>
      <c r="AC735" s="9"/>
      <c r="AD735" s="9"/>
      <c r="AE735" s="9"/>
      <c r="AF735" s="9"/>
      <c r="AG735" s="9"/>
      <c r="AH735" s="9"/>
      <c r="AI735" s="9"/>
      <c r="AJ735" s="9"/>
      <c r="AK735" s="9"/>
      <c r="AL735" s="9"/>
      <c r="AM735" s="9"/>
      <c r="AN735" s="9"/>
      <c r="AO735" s="9"/>
      <c r="AP735" s="9"/>
      <c r="AQ735" s="9"/>
      <c r="AR735" s="9"/>
      <c r="AS735" s="9"/>
      <c r="AT735" s="9"/>
    </row>
    <row r="736">
      <c r="A736" s="492"/>
      <c r="B736" s="254"/>
      <c r="C736" s="492"/>
      <c r="D736" s="254"/>
      <c r="E736" s="492"/>
      <c r="F736" s="254"/>
      <c r="G736" s="492"/>
      <c r="H736" s="254"/>
      <c r="I736" s="500"/>
      <c r="J736" s="181"/>
      <c r="K736" s="500"/>
      <c r="L736" s="181"/>
      <c r="M736" s="492"/>
      <c r="N736" s="254"/>
      <c r="O736" s="492"/>
      <c r="P736" s="254"/>
      <c r="Q736" s="492"/>
      <c r="R736" s="254"/>
      <c r="S736" s="528"/>
      <c r="T736" s="528"/>
      <c r="U736" s="492"/>
      <c r="V736" s="254"/>
      <c r="W736" s="492"/>
      <c r="X736" s="254"/>
      <c r="Y736" s="9"/>
      <c r="Z736" s="9"/>
      <c r="AA736" s="9"/>
      <c r="AB736" s="9"/>
      <c r="AC736" s="9"/>
      <c r="AD736" s="9"/>
      <c r="AE736" s="9"/>
      <c r="AF736" s="9"/>
      <c r="AG736" s="9"/>
      <c r="AH736" s="9"/>
      <c r="AI736" s="9"/>
      <c r="AJ736" s="9"/>
      <c r="AK736" s="9"/>
      <c r="AL736" s="9"/>
      <c r="AM736" s="9"/>
      <c r="AN736" s="9"/>
      <c r="AO736" s="9"/>
      <c r="AP736" s="9"/>
      <c r="AQ736" s="9"/>
      <c r="AR736" s="9"/>
      <c r="AS736" s="9"/>
      <c r="AT736" s="9"/>
    </row>
    <row r="737">
      <c r="A737" s="492"/>
      <c r="B737" s="254"/>
      <c r="C737" s="492"/>
      <c r="D737" s="254"/>
      <c r="E737" s="492"/>
      <c r="F737" s="254"/>
      <c r="G737" s="492"/>
      <c r="H737" s="254"/>
      <c r="I737" s="500"/>
      <c r="J737" s="181"/>
      <c r="K737" s="500"/>
      <c r="L737" s="181"/>
      <c r="M737" s="492"/>
      <c r="N737" s="254"/>
      <c r="O737" s="492"/>
      <c r="P737" s="254"/>
      <c r="Q737" s="492"/>
      <c r="R737" s="254"/>
      <c r="S737" s="528"/>
      <c r="T737" s="528"/>
      <c r="U737" s="492"/>
      <c r="V737" s="254"/>
      <c r="W737" s="492"/>
      <c r="X737" s="254"/>
      <c r="Y737" s="9"/>
      <c r="Z737" s="9"/>
      <c r="AA737" s="9"/>
      <c r="AB737" s="9"/>
      <c r="AC737" s="9"/>
      <c r="AD737" s="9"/>
      <c r="AE737" s="9"/>
      <c r="AF737" s="9"/>
      <c r="AG737" s="9"/>
      <c r="AH737" s="9"/>
      <c r="AI737" s="9"/>
      <c r="AJ737" s="9"/>
      <c r="AK737" s="9"/>
      <c r="AL737" s="9"/>
      <c r="AM737" s="9"/>
      <c r="AN737" s="9"/>
      <c r="AO737" s="9"/>
      <c r="AP737" s="9"/>
      <c r="AQ737" s="9"/>
      <c r="AR737" s="9"/>
      <c r="AS737" s="9"/>
      <c r="AT737" s="9"/>
    </row>
    <row r="738">
      <c r="A738" s="492"/>
      <c r="B738" s="254"/>
      <c r="C738" s="492"/>
      <c r="D738" s="254"/>
      <c r="E738" s="492"/>
      <c r="F738" s="254"/>
      <c r="G738" s="492"/>
      <c r="H738" s="254"/>
      <c r="I738" s="500"/>
      <c r="J738" s="181"/>
      <c r="K738" s="500"/>
      <c r="L738" s="181"/>
      <c r="M738" s="492"/>
      <c r="N738" s="254"/>
      <c r="O738" s="492"/>
      <c r="P738" s="254"/>
      <c r="Q738" s="492"/>
      <c r="R738" s="254"/>
      <c r="S738" s="528"/>
      <c r="T738" s="528"/>
      <c r="U738" s="492"/>
      <c r="V738" s="254"/>
      <c r="W738" s="492"/>
      <c r="X738" s="254"/>
      <c r="Y738" s="9"/>
      <c r="Z738" s="9"/>
      <c r="AA738" s="9"/>
      <c r="AB738" s="9"/>
      <c r="AC738" s="9"/>
      <c r="AD738" s="9"/>
      <c r="AE738" s="9"/>
      <c r="AF738" s="9"/>
      <c r="AG738" s="9"/>
      <c r="AH738" s="9"/>
      <c r="AI738" s="9"/>
      <c r="AJ738" s="9"/>
      <c r="AK738" s="9"/>
      <c r="AL738" s="9"/>
      <c r="AM738" s="9"/>
      <c r="AN738" s="9"/>
      <c r="AO738" s="9"/>
      <c r="AP738" s="9"/>
      <c r="AQ738" s="9"/>
      <c r="AR738" s="9"/>
      <c r="AS738" s="9"/>
      <c r="AT738" s="9"/>
    </row>
    <row r="739">
      <c r="A739" s="492"/>
      <c r="B739" s="254"/>
      <c r="C739" s="492"/>
      <c r="D739" s="254"/>
      <c r="E739" s="492"/>
      <c r="F739" s="254"/>
      <c r="G739" s="492"/>
      <c r="H739" s="254"/>
      <c r="I739" s="500"/>
      <c r="J739" s="181"/>
      <c r="K739" s="500"/>
      <c r="L739" s="181"/>
      <c r="M739" s="492"/>
      <c r="N739" s="254"/>
      <c r="O739" s="492"/>
      <c r="P739" s="254"/>
      <c r="Q739" s="492"/>
      <c r="R739" s="254"/>
      <c r="S739" s="528"/>
      <c r="T739" s="528"/>
      <c r="U739" s="492"/>
      <c r="V739" s="254"/>
      <c r="W739" s="492"/>
      <c r="X739" s="254"/>
      <c r="Y739" s="9"/>
      <c r="Z739" s="9"/>
      <c r="AA739" s="9"/>
      <c r="AB739" s="9"/>
      <c r="AC739" s="9"/>
      <c r="AD739" s="9"/>
      <c r="AE739" s="9"/>
      <c r="AF739" s="9"/>
      <c r="AG739" s="9"/>
      <c r="AH739" s="9"/>
      <c r="AI739" s="9"/>
      <c r="AJ739" s="9"/>
      <c r="AK739" s="9"/>
      <c r="AL739" s="9"/>
      <c r="AM739" s="9"/>
      <c r="AN739" s="9"/>
      <c r="AO739" s="9"/>
      <c r="AP739" s="9"/>
      <c r="AQ739" s="9"/>
      <c r="AR739" s="9"/>
      <c r="AS739" s="9"/>
      <c r="AT739" s="9"/>
    </row>
    <row r="740">
      <c r="A740" s="492"/>
      <c r="B740" s="254"/>
      <c r="C740" s="492"/>
      <c r="D740" s="254"/>
      <c r="E740" s="492"/>
      <c r="F740" s="254"/>
      <c r="G740" s="492"/>
      <c r="H740" s="254"/>
      <c r="I740" s="500"/>
      <c r="J740" s="181"/>
      <c r="K740" s="500"/>
      <c r="L740" s="181"/>
      <c r="M740" s="492"/>
      <c r="N740" s="254"/>
      <c r="O740" s="492"/>
      <c r="P740" s="254"/>
      <c r="Q740" s="492"/>
      <c r="R740" s="254"/>
      <c r="S740" s="528"/>
      <c r="T740" s="528"/>
      <c r="U740" s="492"/>
      <c r="V740" s="254"/>
      <c r="W740" s="492"/>
      <c r="X740" s="254"/>
      <c r="Y740" s="9"/>
      <c r="Z740" s="9"/>
      <c r="AA740" s="9"/>
      <c r="AB740" s="9"/>
      <c r="AC740" s="9"/>
      <c r="AD740" s="9"/>
      <c r="AE740" s="9"/>
      <c r="AF740" s="9"/>
      <c r="AG740" s="9"/>
      <c r="AH740" s="9"/>
      <c r="AI740" s="9"/>
      <c r="AJ740" s="9"/>
      <c r="AK740" s="9"/>
      <c r="AL740" s="9"/>
      <c r="AM740" s="9"/>
      <c r="AN740" s="9"/>
      <c r="AO740" s="9"/>
      <c r="AP740" s="9"/>
      <c r="AQ740" s="9"/>
      <c r="AR740" s="9"/>
      <c r="AS740" s="9"/>
      <c r="AT740" s="9"/>
    </row>
    <row r="741">
      <c r="A741" s="492"/>
      <c r="B741" s="254"/>
      <c r="C741" s="492"/>
      <c r="D741" s="254"/>
      <c r="E741" s="492"/>
      <c r="F741" s="254"/>
      <c r="G741" s="492"/>
      <c r="H741" s="254"/>
      <c r="I741" s="500"/>
      <c r="J741" s="181"/>
      <c r="K741" s="500"/>
      <c r="L741" s="181"/>
      <c r="M741" s="492"/>
      <c r="N741" s="254"/>
      <c r="O741" s="492"/>
      <c r="P741" s="254"/>
      <c r="Q741" s="492"/>
      <c r="R741" s="254"/>
      <c r="S741" s="528"/>
      <c r="T741" s="528"/>
      <c r="U741" s="492"/>
      <c r="V741" s="254"/>
      <c r="W741" s="492"/>
      <c r="X741" s="254"/>
      <c r="Y741" s="9"/>
      <c r="Z741" s="9"/>
      <c r="AA741" s="9"/>
      <c r="AB741" s="9"/>
      <c r="AC741" s="9"/>
      <c r="AD741" s="9"/>
      <c r="AE741" s="9"/>
      <c r="AF741" s="9"/>
      <c r="AG741" s="9"/>
      <c r="AH741" s="9"/>
      <c r="AI741" s="9"/>
      <c r="AJ741" s="9"/>
      <c r="AK741" s="9"/>
      <c r="AL741" s="9"/>
      <c r="AM741" s="9"/>
      <c r="AN741" s="9"/>
      <c r="AO741" s="9"/>
      <c r="AP741" s="9"/>
      <c r="AQ741" s="9"/>
      <c r="AR741" s="9"/>
      <c r="AS741" s="9"/>
      <c r="AT741" s="9"/>
    </row>
    <row r="742">
      <c r="A742" s="492"/>
      <c r="B742" s="254"/>
      <c r="C742" s="492"/>
      <c r="D742" s="254"/>
      <c r="E742" s="492"/>
      <c r="F742" s="254"/>
      <c r="G742" s="492"/>
      <c r="H742" s="254"/>
      <c r="I742" s="500"/>
      <c r="J742" s="181"/>
      <c r="K742" s="500"/>
      <c r="L742" s="181"/>
      <c r="M742" s="492"/>
      <c r="N742" s="254"/>
      <c r="O742" s="492"/>
      <c r="P742" s="254"/>
      <c r="Q742" s="492"/>
      <c r="R742" s="254"/>
      <c r="S742" s="528"/>
      <c r="T742" s="528"/>
      <c r="U742" s="492"/>
      <c r="V742" s="254"/>
      <c r="W742" s="492"/>
      <c r="X742" s="254"/>
      <c r="Y742" s="9"/>
      <c r="Z742" s="9"/>
      <c r="AA742" s="9"/>
      <c r="AB742" s="9"/>
      <c r="AC742" s="9"/>
      <c r="AD742" s="9"/>
      <c r="AE742" s="9"/>
      <c r="AF742" s="9"/>
      <c r="AG742" s="9"/>
      <c r="AH742" s="9"/>
      <c r="AI742" s="9"/>
      <c r="AJ742" s="9"/>
      <c r="AK742" s="9"/>
      <c r="AL742" s="9"/>
      <c r="AM742" s="9"/>
      <c r="AN742" s="9"/>
      <c r="AO742" s="9"/>
      <c r="AP742" s="9"/>
      <c r="AQ742" s="9"/>
      <c r="AR742" s="9"/>
      <c r="AS742" s="9"/>
      <c r="AT742" s="9"/>
    </row>
    <row r="743">
      <c r="A743" s="492"/>
      <c r="B743" s="254"/>
      <c r="C743" s="492"/>
      <c r="D743" s="254"/>
      <c r="E743" s="492"/>
      <c r="F743" s="254"/>
      <c r="G743" s="492"/>
      <c r="H743" s="254"/>
      <c r="I743" s="500"/>
      <c r="J743" s="181"/>
      <c r="K743" s="500"/>
      <c r="L743" s="181"/>
      <c r="M743" s="492"/>
      <c r="N743" s="254"/>
      <c r="O743" s="492"/>
      <c r="P743" s="254"/>
      <c r="Q743" s="492"/>
      <c r="R743" s="254"/>
      <c r="S743" s="528"/>
      <c r="T743" s="528"/>
      <c r="U743" s="492"/>
      <c r="V743" s="254"/>
      <c r="W743" s="492"/>
      <c r="X743" s="254"/>
      <c r="Y743" s="9"/>
      <c r="Z743" s="9"/>
      <c r="AA743" s="9"/>
      <c r="AB743" s="9"/>
      <c r="AC743" s="9"/>
      <c r="AD743" s="9"/>
      <c r="AE743" s="9"/>
      <c r="AF743" s="9"/>
      <c r="AG743" s="9"/>
      <c r="AH743" s="9"/>
      <c r="AI743" s="9"/>
      <c r="AJ743" s="9"/>
      <c r="AK743" s="9"/>
      <c r="AL743" s="9"/>
      <c r="AM743" s="9"/>
      <c r="AN743" s="9"/>
      <c r="AO743" s="9"/>
      <c r="AP743" s="9"/>
      <c r="AQ743" s="9"/>
      <c r="AR743" s="9"/>
      <c r="AS743" s="9"/>
      <c r="AT743" s="9"/>
    </row>
    <row r="744">
      <c r="A744" s="492"/>
      <c r="B744" s="254"/>
      <c r="C744" s="492"/>
      <c r="D744" s="254"/>
      <c r="E744" s="492"/>
      <c r="F744" s="254"/>
      <c r="G744" s="492"/>
      <c r="H744" s="254"/>
      <c r="I744" s="500"/>
      <c r="J744" s="181"/>
      <c r="K744" s="500"/>
      <c r="L744" s="181"/>
      <c r="M744" s="492"/>
      <c r="N744" s="254"/>
      <c r="O744" s="492"/>
      <c r="P744" s="254"/>
      <c r="Q744" s="492"/>
      <c r="R744" s="254"/>
      <c r="S744" s="528"/>
      <c r="T744" s="528"/>
      <c r="U744" s="492"/>
      <c r="V744" s="254"/>
      <c r="W744" s="492"/>
      <c r="X744" s="254"/>
      <c r="Y744" s="9"/>
      <c r="Z744" s="9"/>
      <c r="AA744" s="9"/>
      <c r="AB744" s="9"/>
      <c r="AC744" s="9"/>
      <c r="AD744" s="9"/>
      <c r="AE744" s="9"/>
      <c r="AF744" s="9"/>
      <c r="AG744" s="9"/>
      <c r="AH744" s="9"/>
      <c r="AI744" s="9"/>
      <c r="AJ744" s="9"/>
      <c r="AK744" s="9"/>
      <c r="AL744" s="9"/>
      <c r="AM744" s="9"/>
      <c r="AN744" s="9"/>
      <c r="AO744" s="9"/>
      <c r="AP744" s="9"/>
      <c r="AQ744" s="9"/>
      <c r="AR744" s="9"/>
      <c r="AS744" s="9"/>
      <c r="AT744" s="9"/>
    </row>
    <row r="745">
      <c r="A745" s="492"/>
      <c r="B745" s="254"/>
      <c r="C745" s="492"/>
      <c r="D745" s="254"/>
      <c r="E745" s="492"/>
      <c r="F745" s="254"/>
      <c r="G745" s="492"/>
      <c r="H745" s="254"/>
      <c r="I745" s="500"/>
      <c r="J745" s="181"/>
      <c r="K745" s="500"/>
      <c r="L745" s="181"/>
      <c r="M745" s="492"/>
      <c r="N745" s="254"/>
      <c r="O745" s="492"/>
      <c r="P745" s="254"/>
      <c r="Q745" s="492"/>
      <c r="R745" s="254"/>
      <c r="S745" s="528"/>
      <c r="T745" s="528"/>
      <c r="U745" s="492"/>
      <c r="V745" s="254"/>
      <c r="W745" s="492"/>
      <c r="X745" s="254"/>
      <c r="Y745" s="9"/>
      <c r="Z745" s="9"/>
      <c r="AA745" s="9"/>
      <c r="AB745" s="9"/>
      <c r="AC745" s="9"/>
      <c r="AD745" s="9"/>
      <c r="AE745" s="9"/>
      <c r="AF745" s="9"/>
      <c r="AG745" s="9"/>
      <c r="AH745" s="9"/>
      <c r="AI745" s="9"/>
      <c r="AJ745" s="9"/>
      <c r="AK745" s="9"/>
      <c r="AL745" s="9"/>
      <c r="AM745" s="9"/>
      <c r="AN745" s="9"/>
      <c r="AO745" s="9"/>
      <c r="AP745" s="9"/>
      <c r="AQ745" s="9"/>
      <c r="AR745" s="9"/>
      <c r="AS745" s="9"/>
      <c r="AT745" s="9"/>
    </row>
    <row r="746">
      <c r="A746" s="492"/>
      <c r="B746" s="254"/>
      <c r="C746" s="492"/>
      <c r="D746" s="254"/>
      <c r="E746" s="492"/>
      <c r="F746" s="254"/>
      <c r="G746" s="492"/>
      <c r="H746" s="254"/>
      <c r="I746" s="500"/>
      <c r="J746" s="181"/>
      <c r="K746" s="500"/>
      <c r="L746" s="181"/>
      <c r="M746" s="492"/>
      <c r="N746" s="254"/>
      <c r="O746" s="492"/>
      <c r="P746" s="254"/>
      <c r="Q746" s="492"/>
      <c r="R746" s="254"/>
      <c r="S746" s="528"/>
      <c r="T746" s="528"/>
      <c r="U746" s="492"/>
      <c r="V746" s="254"/>
      <c r="W746" s="492"/>
      <c r="X746" s="254"/>
      <c r="Y746" s="9"/>
      <c r="Z746" s="9"/>
      <c r="AA746" s="9"/>
      <c r="AB746" s="9"/>
      <c r="AC746" s="9"/>
      <c r="AD746" s="9"/>
      <c r="AE746" s="9"/>
      <c r="AF746" s="9"/>
      <c r="AG746" s="9"/>
      <c r="AH746" s="9"/>
      <c r="AI746" s="9"/>
      <c r="AJ746" s="9"/>
      <c r="AK746" s="9"/>
      <c r="AL746" s="9"/>
      <c r="AM746" s="9"/>
      <c r="AN746" s="9"/>
      <c r="AO746" s="9"/>
      <c r="AP746" s="9"/>
      <c r="AQ746" s="9"/>
      <c r="AR746" s="9"/>
      <c r="AS746" s="9"/>
      <c r="AT746" s="9"/>
    </row>
    <row r="747">
      <c r="A747" s="492"/>
      <c r="B747" s="254"/>
      <c r="C747" s="492"/>
      <c r="D747" s="254"/>
      <c r="E747" s="492"/>
      <c r="F747" s="254"/>
      <c r="G747" s="492"/>
      <c r="H747" s="254"/>
      <c r="I747" s="500"/>
      <c r="J747" s="181"/>
      <c r="K747" s="500"/>
      <c r="L747" s="181"/>
      <c r="M747" s="492"/>
      <c r="N747" s="254"/>
      <c r="O747" s="492"/>
      <c r="P747" s="254"/>
      <c r="Q747" s="492"/>
      <c r="R747" s="254"/>
      <c r="S747" s="528"/>
      <c r="T747" s="528"/>
      <c r="U747" s="492"/>
      <c r="V747" s="254"/>
      <c r="W747" s="492"/>
      <c r="X747" s="254"/>
      <c r="Y747" s="9"/>
      <c r="Z747" s="9"/>
      <c r="AA747" s="9"/>
      <c r="AB747" s="9"/>
      <c r="AC747" s="9"/>
      <c r="AD747" s="9"/>
      <c r="AE747" s="9"/>
      <c r="AF747" s="9"/>
      <c r="AG747" s="9"/>
      <c r="AH747" s="9"/>
      <c r="AI747" s="9"/>
      <c r="AJ747" s="9"/>
      <c r="AK747" s="9"/>
      <c r="AL747" s="9"/>
      <c r="AM747" s="9"/>
      <c r="AN747" s="9"/>
      <c r="AO747" s="9"/>
      <c r="AP747" s="9"/>
      <c r="AQ747" s="9"/>
      <c r="AR747" s="9"/>
      <c r="AS747" s="9"/>
      <c r="AT747" s="9"/>
    </row>
    <row r="748">
      <c r="A748" s="492"/>
      <c r="B748" s="254"/>
      <c r="C748" s="492"/>
      <c r="D748" s="254"/>
      <c r="E748" s="492"/>
      <c r="F748" s="254"/>
      <c r="G748" s="492"/>
      <c r="H748" s="254"/>
      <c r="I748" s="500"/>
      <c r="J748" s="181"/>
      <c r="K748" s="500"/>
      <c r="L748" s="181"/>
      <c r="M748" s="492"/>
      <c r="N748" s="254"/>
      <c r="O748" s="492"/>
      <c r="P748" s="254"/>
      <c r="Q748" s="492"/>
      <c r="R748" s="254"/>
      <c r="S748" s="528"/>
      <c r="T748" s="528"/>
      <c r="U748" s="492"/>
      <c r="V748" s="254"/>
      <c r="W748" s="492"/>
      <c r="X748" s="254"/>
      <c r="Y748" s="9"/>
      <c r="Z748" s="9"/>
      <c r="AA748" s="9"/>
      <c r="AB748" s="9"/>
      <c r="AC748" s="9"/>
      <c r="AD748" s="9"/>
      <c r="AE748" s="9"/>
      <c r="AF748" s="9"/>
      <c r="AG748" s="9"/>
      <c r="AH748" s="9"/>
      <c r="AI748" s="9"/>
      <c r="AJ748" s="9"/>
      <c r="AK748" s="9"/>
      <c r="AL748" s="9"/>
      <c r="AM748" s="9"/>
      <c r="AN748" s="9"/>
      <c r="AO748" s="9"/>
      <c r="AP748" s="9"/>
      <c r="AQ748" s="9"/>
      <c r="AR748" s="9"/>
      <c r="AS748" s="9"/>
      <c r="AT748" s="9"/>
    </row>
    <row r="749">
      <c r="A749" s="492"/>
      <c r="B749" s="254"/>
      <c r="C749" s="492"/>
      <c r="D749" s="254"/>
      <c r="E749" s="492"/>
      <c r="F749" s="254"/>
      <c r="G749" s="492"/>
      <c r="H749" s="254"/>
      <c r="I749" s="500"/>
      <c r="J749" s="181"/>
      <c r="K749" s="500"/>
      <c r="L749" s="181"/>
      <c r="M749" s="492"/>
      <c r="N749" s="254"/>
      <c r="O749" s="492"/>
      <c r="P749" s="254"/>
      <c r="Q749" s="492"/>
      <c r="R749" s="254"/>
      <c r="S749" s="528"/>
      <c r="T749" s="528"/>
      <c r="U749" s="492"/>
      <c r="V749" s="254"/>
      <c r="W749" s="492"/>
      <c r="X749" s="254"/>
      <c r="Y749" s="9"/>
      <c r="Z749" s="9"/>
      <c r="AA749" s="9"/>
      <c r="AB749" s="9"/>
      <c r="AC749" s="9"/>
      <c r="AD749" s="9"/>
      <c r="AE749" s="9"/>
      <c r="AF749" s="9"/>
      <c r="AG749" s="9"/>
      <c r="AH749" s="9"/>
      <c r="AI749" s="9"/>
      <c r="AJ749" s="9"/>
      <c r="AK749" s="9"/>
      <c r="AL749" s="9"/>
      <c r="AM749" s="9"/>
      <c r="AN749" s="9"/>
      <c r="AO749" s="9"/>
      <c r="AP749" s="9"/>
      <c r="AQ749" s="9"/>
      <c r="AR749" s="9"/>
      <c r="AS749" s="9"/>
      <c r="AT749" s="9"/>
    </row>
    <row r="750">
      <c r="A750" s="492"/>
      <c r="B750" s="254"/>
      <c r="C750" s="492"/>
      <c r="D750" s="254"/>
      <c r="E750" s="492"/>
      <c r="F750" s="254"/>
      <c r="G750" s="492"/>
      <c r="H750" s="254"/>
      <c r="I750" s="500"/>
      <c r="J750" s="181"/>
      <c r="K750" s="500"/>
      <c r="L750" s="181"/>
      <c r="M750" s="492"/>
      <c r="N750" s="254"/>
      <c r="O750" s="492"/>
      <c r="P750" s="254"/>
      <c r="Q750" s="492"/>
      <c r="R750" s="254"/>
      <c r="S750" s="528"/>
      <c r="T750" s="528"/>
      <c r="U750" s="492"/>
      <c r="V750" s="254"/>
      <c r="W750" s="492"/>
      <c r="X750" s="254"/>
      <c r="Y750" s="9"/>
      <c r="Z750" s="9"/>
      <c r="AA750" s="9"/>
      <c r="AB750" s="9"/>
      <c r="AC750" s="9"/>
      <c r="AD750" s="9"/>
      <c r="AE750" s="9"/>
      <c r="AF750" s="9"/>
      <c r="AG750" s="9"/>
      <c r="AH750" s="9"/>
      <c r="AI750" s="9"/>
      <c r="AJ750" s="9"/>
      <c r="AK750" s="9"/>
      <c r="AL750" s="9"/>
      <c r="AM750" s="9"/>
      <c r="AN750" s="9"/>
      <c r="AO750" s="9"/>
      <c r="AP750" s="9"/>
      <c r="AQ750" s="9"/>
      <c r="AR750" s="9"/>
      <c r="AS750" s="9"/>
      <c r="AT750" s="9"/>
    </row>
    <row r="751">
      <c r="A751" s="492"/>
      <c r="B751" s="254"/>
      <c r="C751" s="492"/>
      <c r="D751" s="254"/>
      <c r="E751" s="492"/>
      <c r="F751" s="254"/>
      <c r="G751" s="492"/>
      <c r="H751" s="254"/>
      <c r="I751" s="500"/>
      <c r="J751" s="181"/>
      <c r="K751" s="500"/>
      <c r="L751" s="181"/>
      <c r="M751" s="492"/>
      <c r="N751" s="254"/>
      <c r="O751" s="492"/>
      <c r="P751" s="254"/>
      <c r="Q751" s="492"/>
      <c r="R751" s="254"/>
      <c r="S751" s="528"/>
      <c r="T751" s="528"/>
      <c r="U751" s="492"/>
      <c r="V751" s="254"/>
      <c r="W751" s="492"/>
      <c r="X751" s="254"/>
      <c r="Y751" s="9"/>
      <c r="Z751" s="9"/>
      <c r="AA751" s="9"/>
      <c r="AB751" s="9"/>
      <c r="AC751" s="9"/>
      <c r="AD751" s="9"/>
      <c r="AE751" s="9"/>
      <c r="AF751" s="9"/>
      <c r="AG751" s="9"/>
      <c r="AH751" s="9"/>
      <c r="AI751" s="9"/>
      <c r="AJ751" s="9"/>
      <c r="AK751" s="9"/>
      <c r="AL751" s="9"/>
      <c r="AM751" s="9"/>
      <c r="AN751" s="9"/>
      <c r="AO751" s="9"/>
      <c r="AP751" s="9"/>
      <c r="AQ751" s="9"/>
      <c r="AR751" s="9"/>
      <c r="AS751" s="9"/>
      <c r="AT751" s="9"/>
    </row>
    <row r="752">
      <c r="A752" s="492"/>
      <c r="B752" s="254"/>
      <c r="C752" s="492"/>
      <c r="D752" s="254"/>
      <c r="E752" s="492"/>
      <c r="F752" s="254"/>
      <c r="G752" s="492"/>
      <c r="H752" s="254"/>
      <c r="I752" s="500"/>
      <c r="J752" s="181"/>
      <c r="K752" s="500"/>
      <c r="L752" s="181"/>
      <c r="M752" s="492"/>
      <c r="N752" s="254"/>
      <c r="O752" s="492"/>
      <c r="P752" s="254"/>
      <c r="Q752" s="492"/>
      <c r="R752" s="254"/>
      <c r="S752" s="528"/>
      <c r="T752" s="528"/>
      <c r="U752" s="492"/>
      <c r="V752" s="254"/>
      <c r="W752" s="492"/>
      <c r="X752" s="254"/>
      <c r="Y752" s="9"/>
      <c r="Z752" s="9"/>
      <c r="AA752" s="9"/>
      <c r="AB752" s="9"/>
      <c r="AC752" s="9"/>
      <c r="AD752" s="9"/>
      <c r="AE752" s="9"/>
      <c r="AF752" s="9"/>
      <c r="AG752" s="9"/>
      <c r="AH752" s="9"/>
      <c r="AI752" s="9"/>
      <c r="AJ752" s="9"/>
      <c r="AK752" s="9"/>
      <c r="AL752" s="9"/>
      <c r="AM752" s="9"/>
      <c r="AN752" s="9"/>
      <c r="AO752" s="9"/>
      <c r="AP752" s="9"/>
      <c r="AQ752" s="9"/>
      <c r="AR752" s="9"/>
      <c r="AS752" s="9"/>
      <c r="AT752" s="9"/>
    </row>
    <row r="753">
      <c r="A753" s="492"/>
      <c r="B753" s="254"/>
      <c r="C753" s="492"/>
      <c r="D753" s="254"/>
      <c r="E753" s="492"/>
      <c r="F753" s="254"/>
      <c r="G753" s="492"/>
      <c r="H753" s="254"/>
      <c r="I753" s="500"/>
      <c r="J753" s="181"/>
      <c r="K753" s="500"/>
      <c r="L753" s="181"/>
      <c r="M753" s="492"/>
      <c r="N753" s="254"/>
      <c r="O753" s="492"/>
      <c r="P753" s="254"/>
      <c r="Q753" s="492"/>
      <c r="R753" s="254"/>
      <c r="S753" s="528"/>
      <c r="T753" s="528"/>
      <c r="U753" s="492"/>
      <c r="V753" s="254"/>
      <c r="W753" s="492"/>
      <c r="X753" s="254"/>
      <c r="Y753" s="9"/>
      <c r="Z753" s="9"/>
      <c r="AA753" s="9"/>
      <c r="AB753" s="9"/>
      <c r="AC753" s="9"/>
      <c r="AD753" s="9"/>
      <c r="AE753" s="9"/>
      <c r="AF753" s="9"/>
      <c r="AG753" s="9"/>
      <c r="AH753" s="9"/>
      <c r="AI753" s="9"/>
      <c r="AJ753" s="9"/>
      <c r="AK753" s="9"/>
      <c r="AL753" s="9"/>
      <c r="AM753" s="9"/>
      <c r="AN753" s="9"/>
      <c r="AO753" s="9"/>
      <c r="AP753" s="9"/>
      <c r="AQ753" s="9"/>
      <c r="AR753" s="9"/>
      <c r="AS753" s="9"/>
      <c r="AT753" s="9"/>
    </row>
    <row r="754">
      <c r="A754" s="492"/>
      <c r="B754" s="254"/>
      <c r="C754" s="492"/>
      <c r="D754" s="254"/>
      <c r="E754" s="492"/>
      <c r="F754" s="254"/>
      <c r="G754" s="492"/>
      <c r="H754" s="254"/>
      <c r="I754" s="500"/>
      <c r="J754" s="181"/>
      <c r="K754" s="500"/>
      <c r="L754" s="181"/>
      <c r="M754" s="492"/>
      <c r="N754" s="254"/>
      <c r="O754" s="492"/>
      <c r="P754" s="254"/>
      <c r="Q754" s="492"/>
      <c r="R754" s="254"/>
      <c r="S754" s="528"/>
      <c r="T754" s="528"/>
      <c r="U754" s="492"/>
      <c r="V754" s="254"/>
      <c r="W754" s="492"/>
      <c r="X754" s="254"/>
      <c r="Y754" s="9"/>
      <c r="Z754" s="9"/>
      <c r="AA754" s="9"/>
      <c r="AB754" s="9"/>
      <c r="AC754" s="9"/>
      <c r="AD754" s="9"/>
      <c r="AE754" s="9"/>
      <c r="AF754" s="9"/>
      <c r="AG754" s="9"/>
      <c r="AH754" s="9"/>
      <c r="AI754" s="9"/>
      <c r="AJ754" s="9"/>
      <c r="AK754" s="9"/>
      <c r="AL754" s="9"/>
      <c r="AM754" s="9"/>
      <c r="AN754" s="9"/>
      <c r="AO754" s="9"/>
      <c r="AP754" s="9"/>
      <c r="AQ754" s="9"/>
      <c r="AR754" s="9"/>
      <c r="AS754" s="9"/>
      <c r="AT754" s="9"/>
    </row>
    <row r="755">
      <c r="A755" s="492"/>
      <c r="B755" s="254"/>
      <c r="C755" s="492"/>
      <c r="D755" s="254"/>
      <c r="E755" s="492"/>
      <c r="F755" s="254"/>
      <c r="G755" s="492"/>
      <c r="H755" s="254"/>
      <c r="I755" s="500"/>
      <c r="J755" s="181"/>
      <c r="K755" s="500"/>
      <c r="L755" s="181"/>
      <c r="M755" s="492"/>
      <c r="N755" s="254"/>
      <c r="O755" s="492"/>
      <c r="P755" s="254"/>
      <c r="Q755" s="492"/>
      <c r="R755" s="254"/>
      <c r="S755" s="528"/>
      <c r="T755" s="528"/>
      <c r="U755" s="492"/>
      <c r="V755" s="254"/>
      <c r="W755" s="492"/>
      <c r="X755" s="254"/>
      <c r="Y755" s="9"/>
      <c r="Z755" s="9"/>
      <c r="AA755" s="9"/>
      <c r="AB755" s="9"/>
      <c r="AC755" s="9"/>
      <c r="AD755" s="9"/>
      <c r="AE755" s="9"/>
      <c r="AF755" s="9"/>
      <c r="AG755" s="9"/>
      <c r="AH755" s="9"/>
      <c r="AI755" s="9"/>
      <c r="AJ755" s="9"/>
      <c r="AK755" s="9"/>
      <c r="AL755" s="9"/>
      <c r="AM755" s="9"/>
      <c r="AN755" s="9"/>
      <c r="AO755" s="9"/>
      <c r="AP755" s="9"/>
      <c r="AQ755" s="9"/>
      <c r="AR755" s="9"/>
      <c r="AS755" s="9"/>
      <c r="AT755" s="9"/>
    </row>
    <row r="756">
      <c r="A756" s="492"/>
      <c r="B756" s="254"/>
      <c r="C756" s="492"/>
      <c r="D756" s="254"/>
      <c r="E756" s="492"/>
      <c r="F756" s="254"/>
      <c r="G756" s="492"/>
      <c r="H756" s="254"/>
      <c r="I756" s="500"/>
      <c r="J756" s="181"/>
      <c r="K756" s="500"/>
      <c r="L756" s="181"/>
      <c r="M756" s="492"/>
      <c r="N756" s="254"/>
      <c r="O756" s="492"/>
      <c r="P756" s="254"/>
      <c r="Q756" s="492"/>
      <c r="R756" s="254"/>
      <c r="S756" s="528"/>
      <c r="T756" s="528"/>
      <c r="U756" s="492"/>
      <c r="V756" s="254"/>
      <c r="W756" s="492"/>
      <c r="X756" s="254"/>
      <c r="Y756" s="9"/>
      <c r="Z756" s="9"/>
      <c r="AA756" s="9"/>
      <c r="AB756" s="9"/>
      <c r="AC756" s="9"/>
      <c r="AD756" s="9"/>
      <c r="AE756" s="9"/>
      <c r="AF756" s="9"/>
      <c r="AG756" s="9"/>
      <c r="AH756" s="9"/>
      <c r="AI756" s="9"/>
      <c r="AJ756" s="9"/>
      <c r="AK756" s="9"/>
      <c r="AL756" s="9"/>
      <c r="AM756" s="9"/>
      <c r="AN756" s="9"/>
      <c r="AO756" s="9"/>
      <c r="AP756" s="9"/>
      <c r="AQ756" s="9"/>
      <c r="AR756" s="9"/>
      <c r="AS756" s="9"/>
      <c r="AT756" s="9"/>
    </row>
    <row r="757">
      <c r="A757" s="492"/>
      <c r="B757" s="254"/>
      <c r="C757" s="492"/>
      <c r="D757" s="254"/>
      <c r="E757" s="492"/>
      <c r="F757" s="254"/>
      <c r="G757" s="492"/>
      <c r="H757" s="254"/>
      <c r="I757" s="500"/>
      <c r="J757" s="181"/>
      <c r="K757" s="500"/>
      <c r="L757" s="181"/>
      <c r="M757" s="492"/>
      <c r="N757" s="254"/>
      <c r="O757" s="492"/>
      <c r="P757" s="254"/>
      <c r="Q757" s="492"/>
      <c r="R757" s="254"/>
      <c r="S757" s="528"/>
      <c r="T757" s="528"/>
      <c r="U757" s="492"/>
      <c r="V757" s="254"/>
      <c r="W757" s="492"/>
      <c r="X757" s="254"/>
      <c r="Y757" s="9"/>
      <c r="Z757" s="9"/>
      <c r="AA757" s="9"/>
      <c r="AB757" s="9"/>
      <c r="AC757" s="9"/>
      <c r="AD757" s="9"/>
      <c r="AE757" s="9"/>
      <c r="AF757" s="9"/>
      <c r="AG757" s="9"/>
      <c r="AH757" s="9"/>
      <c r="AI757" s="9"/>
      <c r="AJ757" s="9"/>
      <c r="AK757" s="9"/>
      <c r="AL757" s="9"/>
      <c r="AM757" s="9"/>
      <c r="AN757" s="9"/>
      <c r="AO757" s="9"/>
      <c r="AP757" s="9"/>
      <c r="AQ757" s="9"/>
      <c r="AR757" s="9"/>
      <c r="AS757" s="9"/>
      <c r="AT757" s="9"/>
    </row>
    <row r="758">
      <c r="A758" s="492"/>
      <c r="B758" s="254"/>
      <c r="C758" s="492"/>
      <c r="D758" s="254"/>
      <c r="E758" s="492"/>
      <c r="F758" s="254"/>
      <c r="G758" s="492"/>
      <c r="H758" s="254"/>
      <c r="I758" s="500"/>
      <c r="J758" s="181"/>
      <c r="K758" s="500"/>
      <c r="L758" s="181"/>
      <c r="M758" s="492"/>
      <c r="N758" s="254"/>
      <c r="O758" s="492"/>
      <c r="P758" s="254"/>
      <c r="Q758" s="492"/>
      <c r="R758" s="254"/>
      <c r="S758" s="528"/>
      <c r="T758" s="528"/>
      <c r="U758" s="492"/>
      <c r="V758" s="254"/>
      <c r="W758" s="492"/>
      <c r="X758" s="254"/>
      <c r="Y758" s="9"/>
      <c r="Z758" s="9"/>
      <c r="AA758" s="9"/>
      <c r="AB758" s="9"/>
      <c r="AC758" s="9"/>
      <c r="AD758" s="9"/>
      <c r="AE758" s="9"/>
      <c r="AF758" s="9"/>
      <c r="AG758" s="9"/>
      <c r="AH758" s="9"/>
      <c r="AI758" s="9"/>
      <c r="AJ758" s="9"/>
      <c r="AK758" s="9"/>
      <c r="AL758" s="9"/>
      <c r="AM758" s="9"/>
      <c r="AN758" s="9"/>
      <c r="AO758" s="9"/>
      <c r="AP758" s="9"/>
      <c r="AQ758" s="9"/>
      <c r="AR758" s="9"/>
      <c r="AS758" s="9"/>
      <c r="AT758" s="9"/>
    </row>
    <row r="759">
      <c r="A759" s="492"/>
      <c r="B759" s="254"/>
      <c r="C759" s="492"/>
      <c r="D759" s="254"/>
      <c r="E759" s="492"/>
      <c r="F759" s="254"/>
      <c r="G759" s="492"/>
      <c r="H759" s="254"/>
      <c r="I759" s="500"/>
      <c r="J759" s="181"/>
      <c r="K759" s="500"/>
      <c r="L759" s="181"/>
      <c r="M759" s="492"/>
      <c r="N759" s="254"/>
      <c r="O759" s="492"/>
      <c r="P759" s="254"/>
      <c r="Q759" s="492"/>
      <c r="R759" s="254"/>
      <c r="S759" s="528"/>
      <c r="T759" s="528"/>
      <c r="U759" s="492"/>
      <c r="V759" s="254"/>
      <c r="W759" s="492"/>
      <c r="X759" s="254"/>
      <c r="Y759" s="9"/>
      <c r="Z759" s="9"/>
      <c r="AA759" s="9"/>
      <c r="AB759" s="9"/>
      <c r="AC759" s="9"/>
      <c r="AD759" s="9"/>
      <c r="AE759" s="9"/>
      <c r="AF759" s="9"/>
      <c r="AG759" s="9"/>
      <c r="AH759" s="9"/>
      <c r="AI759" s="9"/>
      <c r="AJ759" s="9"/>
      <c r="AK759" s="9"/>
      <c r="AL759" s="9"/>
      <c r="AM759" s="9"/>
      <c r="AN759" s="9"/>
      <c r="AO759" s="9"/>
      <c r="AP759" s="9"/>
      <c r="AQ759" s="9"/>
      <c r="AR759" s="9"/>
      <c r="AS759" s="9"/>
      <c r="AT759" s="9"/>
    </row>
    <row r="760">
      <c r="A760" s="492"/>
      <c r="B760" s="254"/>
      <c r="C760" s="492"/>
      <c r="D760" s="254"/>
      <c r="E760" s="492"/>
      <c r="F760" s="254"/>
      <c r="G760" s="492"/>
      <c r="H760" s="254"/>
      <c r="I760" s="500"/>
      <c r="J760" s="181"/>
      <c r="K760" s="500"/>
      <c r="L760" s="181"/>
      <c r="M760" s="492"/>
      <c r="N760" s="254"/>
      <c r="O760" s="492"/>
      <c r="P760" s="254"/>
      <c r="Q760" s="492"/>
      <c r="R760" s="254"/>
      <c r="S760" s="528"/>
      <c r="T760" s="528"/>
      <c r="U760" s="492"/>
      <c r="V760" s="254"/>
      <c r="W760" s="492"/>
      <c r="X760" s="254"/>
      <c r="Y760" s="9"/>
      <c r="Z760" s="9"/>
      <c r="AA760" s="9"/>
      <c r="AB760" s="9"/>
      <c r="AC760" s="9"/>
      <c r="AD760" s="9"/>
      <c r="AE760" s="9"/>
      <c r="AF760" s="9"/>
      <c r="AG760" s="9"/>
      <c r="AH760" s="9"/>
      <c r="AI760" s="9"/>
      <c r="AJ760" s="9"/>
      <c r="AK760" s="9"/>
      <c r="AL760" s="9"/>
      <c r="AM760" s="9"/>
      <c r="AN760" s="9"/>
      <c r="AO760" s="9"/>
      <c r="AP760" s="9"/>
      <c r="AQ760" s="9"/>
      <c r="AR760" s="9"/>
      <c r="AS760" s="9"/>
      <c r="AT760" s="9"/>
    </row>
    <row r="761">
      <c r="A761" s="492"/>
      <c r="B761" s="254"/>
      <c r="C761" s="492"/>
      <c r="D761" s="254"/>
      <c r="E761" s="492"/>
      <c r="F761" s="254"/>
      <c r="G761" s="492"/>
      <c r="H761" s="254"/>
      <c r="I761" s="500"/>
      <c r="J761" s="181"/>
      <c r="K761" s="500"/>
      <c r="L761" s="181"/>
      <c r="M761" s="492"/>
      <c r="N761" s="254"/>
      <c r="O761" s="492"/>
      <c r="P761" s="254"/>
      <c r="Q761" s="492"/>
      <c r="R761" s="254"/>
      <c r="S761" s="528"/>
      <c r="T761" s="528"/>
      <c r="U761" s="492"/>
      <c r="V761" s="254"/>
      <c r="W761" s="492"/>
      <c r="X761" s="254"/>
      <c r="Y761" s="9"/>
      <c r="Z761" s="9"/>
      <c r="AA761" s="9"/>
      <c r="AB761" s="9"/>
      <c r="AC761" s="9"/>
      <c r="AD761" s="9"/>
      <c r="AE761" s="9"/>
      <c r="AF761" s="9"/>
      <c r="AG761" s="9"/>
      <c r="AH761" s="9"/>
      <c r="AI761" s="9"/>
      <c r="AJ761" s="9"/>
      <c r="AK761" s="9"/>
      <c r="AL761" s="9"/>
      <c r="AM761" s="9"/>
      <c r="AN761" s="9"/>
      <c r="AO761" s="9"/>
      <c r="AP761" s="9"/>
      <c r="AQ761" s="9"/>
      <c r="AR761" s="9"/>
      <c r="AS761" s="9"/>
      <c r="AT761" s="9"/>
    </row>
    <row r="762">
      <c r="A762" s="492"/>
      <c r="B762" s="254"/>
      <c r="C762" s="492"/>
      <c r="D762" s="254"/>
      <c r="E762" s="492"/>
      <c r="F762" s="254"/>
      <c r="G762" s="492"/>
      <c r="H762" s="254"/>
      <c r="I762" s="500"/>
      <c r="J762" s="181"/>
      <c r="K762" s="500"/>
      <c r="L762" s="181"/>
      <c r="M762" s="492"/>
      <c r="N762" s="254"/>
      <c r="O762" s="492"/>
      <c r="P762" s="254"/>
      <c r="Q762" s="492"/>
      <c r="R762" s="254"/>
      <c r="S762" s="528"/>
      <c r="T762" s="528"/>
      <c r="U762" s="492"/>
      <c r="V762" s="254"/>
      <c r="W762" s="492"/>
      <c r="X762" s="254"/>
      <c r="Y762" s="9"/>
      <c r="Z762" s="9"/>
      <c r="AA762" s="9"/>
      <c r="AB762" s="9"/>
      <c r="AC762" s="9"/>
      <c r="AD762" s="9"/>
      <c r="AE762" s="9"/>
      <c r="AF762" s="9"/>
      <c r="AG762" s="9"/>
      <c r="AH762" s="9"/>
      <c r="AI762" s="9"/>
      <c r="AJ762" s="9"/>
      <c r="AK762" s="9"/>
      <c r="AL762" s="9"/>
      <c r="AM762" s="9"/>
      <c r="AN762" s="9"/>
      <c r="AO762" s="9"/>
      <c r="AP762" s="9"/>
      <c r="AQ762" s="9"/>
      <c r="AR762" s="9"/>
      <c r="AS762" s="9"/>
      <c r="AT762" s="9"/>
    </row>
    <row r="763">
      <c r="A763" s="492"/>
      <c r="B763" s="254"/>
      <c r="C763" s="492"/>
      <c r="D763" s="254"/>
      <c r="E763" s="492"/>
      <c r="F763" s="254"/>
      <c r="G763" s="492"/>
      <c r="H763" s="254"/>
      <c r="I763" s="500"/>
      <c r="J763" s="181"/>
      <c r="K763" s="500"/>
      <c r="L763" s="181"/>
      <c r="M763" s="492"/>
      <c r="N763" s="254"/>
      <c r="O763" s="492"/>
      <c r="P763" s="254"/>
      <c r="Q763" s="492"/>
      <c r="R763" s="254"/>
      <c r="S763" s="528"/>
      <c r="T763" s="528"/>
      <c r="U763" s="492"/>
      <c r="V763" s="254"/>
      <c r="W763" s="492"/>
      <c r="X763" s="254"/>
      <c r="Y763" s="9"/>
      <c r="Z763" s="9"/>
      <c r="AA763" s="9"/>
      <c r="AB763" s="9"/>
      <c r="AC763" s="9"/>
      <c r="AD763" s="9"/>
      <c r="AE763" s="9"/>
      <c r="AF763" s="9"/>
      <c r="AG763" s="9"/>
      <c r="AH763" s="9"/>
      <c r="AI763" s="9"/>
      <c r="AJ763" s="9"/>
      <c r="AK763" s="9"/>
      <c r="AL763" s="9"/>
      <c r="AM763" s="9"/>
      <c r="AN763" s="9"/>
      <c r="AO763" s="9"/>
      <c r="AP763" s="9"/>
      <c r="AQ763" s="9"/>
      <c r="AR763" s="9"/>
      <c r="AS763" s="9"/>
      <c r="AT763" s="9"/>
    </row>
    <row r="764">
      <c r="A764" s="492"/>
      <c r="B764" s="254"/>
      <c r="C764" s="492"/>
      <c r="D764" s="254"/>
      <c r="E764" s="492"/>
      <c r="F764" s="254"/>
      <c r="G764" s="492"/>
      <c r="H764" s="254"/>
      <c r="I764" s="500"/>
      <c r="J764" s="181"/>
      <c r="K764" s="500"/>
      <c r="L764" s="181"/>
      <c r="M764" s="492"/>
      <c r="N764" s="254"/>
      <c r="O764" s="492"/>
      <c r="P764" s="254"/>
      <c r="Q764" s="492"/>
      <c r="R764" s="254"/>
      <c r="S764" s="528"/>
      <c r="T764" s="528"/>
      <c r="U764" s="492"/>
      <c r="V764" s="254"/>
      <c r="W764" s="492"/>
      <c r="X764" s="254"/>
      <c r="Y764" s="9"/>
      <c r="Z764" s="9"/>
      <c r="AA764" s="9"/>
      <c r="AB764" s="9"/>
      <c r="AC764" s="9"/>
      <c r="AD764" s="9"/>
      <c r="AE764" s="9"/>
      <c r="AF764" s="9"/>
      <c r="AG764" s="9"/>
      <c r="AH764" s="9"/>
      <c r="AI764" s="9"/>
      <c r="AJ764" s="9"/>
      <c r="AK764" s="9"/>
      <c r="AL764" s="9"/>
      <c r="AM764" s="9"/>
      <c r="AN764" s="9"/>
      <c r="AO764" s="9"/>
      <c r="AP764" s="9"/>
      <c r="AQ764" s="9"/>
      <c r="AR764" s="9"/>
      <c r="AS764" s="9"/>
      <c r="AT764" s="9"/>
    </row>
    <row r="765">
      <c r="A765" s="492"/>
      <c r="B765" s="254"/>
      <c r="C765" s="492"/>
      <c r="D765" s="254"/>
      <c r="E765" s="492"/>
      <c r="F765" s="254"/>
      <c r="G765" s="492"/>
      <c r="H765" s="254"/>
      <c r="I765" s="500"/>
      <c r="J765" s="181"/>
      <c r="K765" s="500"/>
      <c r="L765" s="181"/>
      <c r="M765" s="492"/>
      <c r="N765" s="254"/>
      <c r="O765" s="492"/>
      <c r="P765" s="254"/>
      <c r="Q765" s="492"/>
      <c r="R765" s="254"/>
      <c r="S765" s="528"/>
      <c r="T765" s="528"/>
      <c r="U765" s="492"/>
      <c r="V765" s="254"/>
      <c r="W765" s="492"/>
      <c r="X765" s="254"/>
      <c r="Y765" s="9"/>
      <c r="Z765" s="9"/>
      <c r="AA765" s="9"/>
      <c r="AB765" s="9"/>
      <c r="AC765" s="9"/>
      <c r="AD765" s="9"/>
      <c r="AE765" s="9"/>
      <c r="AF765" s="9"/>
      <c r="AG765" s="9"/>
      <c r="AH765" s="9"/>
      <c r="AI765" s="9"/>
      <c r="AJ765" s="9"/>
      <c r="AK765" s="9"/>
      <c r="AL765" s="9"/>
      <c r="AM765" s="9"/>
      <c r="AN765" s="9"/>
      <c r="AO765" s="9"/>
      <c r="AP765" s="9"/>
      <c r="AQ765" s="9"/>
      <c r="AR765" s="9"/>
      <c r="AS765" s="9"/>
      <c r="AT765" s="9"/>
    </row>
    <row r="766">
      <c r="A766" s="492"/>
      <c r="B766" s="254"/>
      <c r="C766" s="492"/>
      <c r="D766" s="254"/>
      <c r="E766" s="492"/>
      <c r="F766" s="254"/>
      <c r="G766" s="492"/>
      <c r="H766" s="254"/>
      <c r="I766" s="500"/>
      <c r="J766" s="181"/>
      <c r="K766" s="500"/>
      <c r="L766" s="181"/>
      <c r="M766" s="492"/>
      <c r="N766" s="254"/>
      <c r="O766" s="492"/>
      <c r="P766" s="254"/>
      <c r="Q766" s="492"/>
      <c r="R766" s="254"/>
      <c r="S766" s="528"/>
      <c r="T766" s="528"/>
      <c r="U766" s="492"/>
      <c r="V766" s="254"/>
      <c r="W766" s="492"/>
      <c r="X766" s="254"/>
      <c r="Y766" s="9"/>
      <c r="Z766" s="9"/>
      <c r="AA766" s="9"/>
      <c r="AB766" s="9"/>
      <c r="AC766" s="9"/>
      <c r="AD766" s="9"/>
      <c r="AE766" s="9"/>
      <c r="AF766" s="9"/>
      <c r="AG766" s="9"/>
      <c r="AH766" s="9"/>
      <c r="AI766" s="9"/>
      <c r="AJ766" s="9"/>
      <c r="AK766" s="9"/>
      <c r="AL766" s="9"/>
      <c r="AM766" s="9"/>
      <c r="AN766" s="9"/>
      <c r="AO766" s="9"/>
      <c r="AP766" s="9"/>
      <c r="AQ766" s="9"/>
      <c r="AR766" s="9"/>
      <c r="AS766" s="9"/>
      <c r="AT766" s="9"/>
    </row>
    <row r="767">
      <c r="A767" s="492"/>
      <c r="B767" s="254"/>
      <c r="C767" s="492"/>
      <c r="D767" s="254"/>
      <c r="E767" s="492"/>
      <c r="F767" s="254"/>
      <c r="G767" s="492"/>
      <c r="H767" s="254"/>
      <c r="I767" s="500"/>
      <c r="J767" s="181"/>
      <c r="K767" s="500"/>
      <c r="L767" s="181"/>
      <c r="M767" s="492"/>
      <c r="N767" s="254"/>
      <c r="O767" s="492"/>
      <c r="P767" s="254"/>
      <c r="Q767" s="492"/>
      <c r="R767" s="254"/>
      <c r="S767" s="528"/>
      <c r="T767" s="528"/>
      <c r="U767" s="492"/>
      <c r="V767" s="254"/>
      <c r="W767" s="492"/>
      <c r="X767" s="254"/>
      <c r="Y767" s="9"/>
      <c r="Z767" s="9"/>
      <c r="AA767" s="9"/>
      <c r="AB767" s="9"/>
      <c r="AC767" s="9"/>
      <c r="AD767" s="9"/>
      <c r="AE767" s="9"/>
      <c r="AF767" s="9"/>
      <c r="AG767" s="9"/>
      <c r="AH767" s="9"/>
      <c r="AI767" s="9"/>
      <c r="AJ767" s="9"/>
      <c r="AK767" s="9"/>
      <c r="AL767" s="9"/>
      <c r="AM767" s="9"/>
      <c r="AN767" s="9"/>
      <c r="AO767" s="9"/>
      <c r="AP767" s="9"/>
      <c r="AQ767" s="9"/>
      <c r="AR767" s="9"/>
      <c r="AS767" s="9"/>
      <c r="AT767" s="9"/>
    </row>
    <row r="768">
      <c r="A768" s="492"/>
      <c r="B768" s="254"/>
      <c r="C768" s="492"/>
      <c r="D768" s="254"/>
      <c r="E768" s="492"/>
      <c r="F768" s="254"/>
      <c r="G768" s="492"/>
      <c r="H768" s="254"/>
      <c r="I768" s="500"/>
      <c r="J768" s="181"/>
      <c r="K768" s="500"/>
      <c r="L768" s="181"/>
      <c r="M768" s="492"/>
      <c r="N768" s="254"/>
      <c r="O768" s="492"/>
      <c r="P768" s="254"/>
      <c r="Q768" s="492"/>
      <c r="R768" s="254"/>
      <c r="S768" s="528"/>
      <c r="T768" s="528"/>
      <c r="U768" s="492"/>
      <c r="V768" s="254"/>
      <c r="W768" s="492"/>
      <c r="X768" s="254"/>
      <c r="Y768" s="9"/>
      <c r="Z768" s="9"/>
      <c r="AA768" s="9"/>
      <c r="AB768" s="9"/>
      <c r="AC768" s="9"/>
      <c r="AD768" s="9"/>
      <c r="AE768" s="9"/>
      <c r="AF768" s="9"/>
      <c r="AG768" s="9"/>
      <c r="AH768" s="9"/>
      <c r="AI768" s="9"/>
      <c r="AJ768" s="9"/>
      <c r="AK768" s="9"/>
      <c r="AL768" s="9"/>
      <c r="AM768" s="9"/>
      <c r="AN768" s="9"/>
      <c r="AO768" s="9"/>
      <c r="AP768" s="9"/>
      <c r="AQ768" s="9"/>
      <c r="AR768" s="9"/>
      <c r="AS768" s="9"/>
      <c r="AT768" s="9"/>
    </row>
    <row r="769">
      <c r="A769" s="492"/>
      <c r="B769" s="254"/>
      <c r="C769" s="492"/>
      <c r="D769" s="254"/>
      <c r="E769" s="492"/>
      <c r="F769" s="254"/>
      <c r="G769" s="492"/>
      <c r="H769" s="254"/>
      <c r="I769" s="500"/>
      <c r="J769" s="181"/>
      <c r="K769" s="500"/>
      <c r="L769" s="181"/>
      <c r="M769" s="492"/>
      <c r="N769" s="254"/>
      <c r="O769" s="492"/>
      <c r="P769" s="254"/>
      <c r="Q769" s="492"/>
      <c r="R769" s="254"/>
      <c r="S769" s="528"/>
      <c r="T769" s="528"/>
      <c r="U769" s="492"/>
      <c r="V769" s="254"/>
      <c r="W769" s="492"/>
      <c r="X769" s="254"/>
      <c r="Y769" s="9"/>
      <c r="Z769" s="9"/>
      <c r="AA769" s="9"/>
      <c r="AB769" s="9"/>
      <c r="AC769" s="9"/>
      <c r="AD769" s="9"/>
      <c r="AE769" s="9"/>
      <c r="AF769" s="9"/>
      <c r="AG769" s="9"/>
      <c r="AH769" s="9"/>
      <c r="AI769" s="9"/>
      <c r="AJ769" s="9"/>
      <c r="AK769" s="9"/>
      <c r="AL769" s="9"/>
      <c r="AM769" s="9"/>
      <c r="AN769" s="9"/>
      <c r="AO769" s="9"/>
      <c r="AP769" s="9"/>
      <c r="AQ769" s="9"/>
      <c r="AR769" s="9"/>
      <c r="AS769" s="9"/>
      <c r="AT769" s="9"/>
    </row>
    <row r="770">
      <c r="A770" s="492"/>
      <c r="B770" s="254"/>
      <c r="C770" s="492"/>
      <c r="D770" s="254"/>
      <c r="E770" s="492"/>
      <c r="F770" s="254"/>
      <c r="G770" s="492"/>
      <c r="H770" s="254"/>
      <c r="I770" s="500"/>
      <c r="J770" s="181"/>
      <c r="K770" s="500"/>
      <c r="L770" s="181"/>
      <c r="M770" s="492"/>
      <c r="N770" s="254"/>
      <c r="O770" s="492"/>
      <c r="P770" s="254"/>
      <c r="Q770" s="492"/>
      <c r="R770" s="254"/>
      <c r="S770" s="528"/>
      <c r="T770" s="528"/>
      <c r="U770" s="492"/>
      <c r="V770" s="254"/>
      <c r="W770" s="492"/>
      <c r="X770" s="254"/>
      <c r="Y770" s="9"/>
      <c r="Z770" s="9"/>
      <c r="AA770" s="9"/>
      <c r="AB770" s="9"/>
      <c r="AC770" s="9"/>
      <c r="AD770" s="9"/>
      <c r="AE770" s="9"/>
      <c r="AF770" s="9"/>
      <c r="AG770" s="9"/>
      <c r="AH770" s="9"/>
      <c r="AI770" s="9"/>
      <c r="AJ770" s="9"/>
      <c r="AK770" s="9"/>
      <c r="AL770" s="9"/>
      <c r="AM770" s="9"/>
      <c r="AN770" s="9"/>
      <c r="AO770" s="9"/>
      <c r="AP770" s="9"/>
      <c r="AQ770" s="9"/>
      <c r="AR770" s="9"/>
      <c r="AS770" s="9"/>
      <c r="AT770" s="9"/>
    </row>
    <row r="771">
      <c r="A771" s="492"/>
      <c r="B771" s="254"/>
      <c r="C771" s="492"/>
      <c r="D771" s="254"/>
      <c r="E771" s="492"/>
      <c r="F771" s="254"/>
      <c r="G771" s="492"/>
      <c r="H771" s="254"/>
      <c r="I771" s="500"/>
      <c r="J771" s="181"/>
      <c r="K771" s="500"/>
      <c r="L771" s="181"/>
      <c r="M771" s="492"/>
      <c r="N771" s="254"/>
      <c r="O771" s="492"/>
      <c r="P771" s="254"/>
      <c r="Q771" s="492"/>
      <c r="R771" s="254"/>
      <c r="S771" s="528"/>
      <c r="T771" s="528"/>
      <c r="U771" s="492"/>
      <c r="V771" s="254"/>
      <c r="W771" s="492"/>
      <c r="X771" s="254"/>
      <c r="Y771" s="9"/>
      <c r="Z771" s="9"/>
      <c r="AA771" s="9"/>
      <c r="AB771" s="9"/>
      <c r="AC771" s="9"/>
      <c r="AD771" s="9"/>
      <c r="AE771" s="9"/>
      <c r="AF771" s="9"/>
      <c r="AG771" s="9"/>
      <c r="AH771" s="9"/>
      <c r="AI771" s="9"/>
      <c r="AJ771" s="9"/>
      <c r="AK771" s="9"/>
      <c r="AL771" s="9"/>
      <c r="AM771" s="9"/>
      <c r="AN771" s="9"/>
      <c r="AO771" s="9"/>
      <c r="AP771" s="9"/>
      <c r="AQ771" s="9"/>
      <c r="AR771" s="9"/>
      <c r="AS771" s="9"/>
      <c r="AT771" s="9"/>
    </row>
    <row r="772">
      <c r="A772" s="492"/>
      <c r="B772" s="254"/>
      <c r="C772" s="492"/>
      <c r="D772" s="254"/>
      <c r="E772" s="492"/>
      <c r="F772" s="254"/>
      <c r="G772" s="492"/>
      <c r="H772" s="254"/>
      <c r="I772" s="500"/>
      <c r="J772" s="181"/>
      <c r="K772" s="500"/>
      <c r="L772" s="181"/>
      <c r="M772" s="492"/>
      <c r="N772" s="254"/>
      <c r="O772" s="492"/>
      <c r="P772" s="254"/>
      <c r="Q772" s="492"/>
      <c r="R772" s="254"/>
      <c r="S772" s="528"/>
      <c r="T772" s="528"/>
      <c r="U772" s="492"/>
      <c r="V772" s="254"/>
      <c r="W772" s="492"/>
      <c r="X772" s="254"/>
      <c r="Y772" s="9"/>
      <c r="Z772" s="9"/>
      <c r="AA772" s="9"/>
      <c r="AB772" s="9"/>
      <c r="AC772" s="9"/>
      <c r="AD772" s="9"/>
      <c r="AE772" s="9"/>
      <c r="AF772" s="9"/>
      <c r="AG772" s="9"/>
      <c r="AH772" s="9"/>
      <c r="AI772" s="9"/>
      <c r="AJ772" s="9"/>
      <c r="AK772" s="9"/>
      <c r="AL772" s="9"/>
      <c r="AM772" s="9"/>
      <c r="AN772" s="9"/>
      <c r="AO772" s="9"/>
      <c r="AP772" s="9"/>
      <c r="AQ772" s="9"/>
      <c r="AR772" s="9"/>
      <c r="AS772" s="9"/>
      <c r="AT772" s="9"/>
    </row>
    <row r="773">
      <c r="A773" s="492"/>
      <c r="B773" s="254"/>
      <c r="C773" s="492"/>
      <c r="D773" s="254"/>
      <c r="E773" s="492"/>
      <c r="F773" s="254"/>
      <c r="G773" s="492"/>
      <c r="H773" s="254"/>
      <c r="I773" s="500"/>
      <c r="J773" s="181"/>
      <c r="K773" s="500"/>
      <c r="L773" s="181"/>
      <c r="M773" s="492"/>
      <c r="N773" s="254"/>
      <c r="O773" s="492"/>
      <c r="P773" s="254"/>
      <c r="Q773" s="492"/>
      <c r="R773" s="254"/>
      <c r="S773" s="528"/>
      <c r="T773" s="528"/>
      <c r="U773" s="492"/>
      <c r="V773" s="254"/>
      <c r="W773" s="492"/>
      <c r="X773" s="254"/>
      <c r="Y773" s="9"/>
      <c r="Z773" s="9"/>
      <c r="AA773" s="9"/>
      <c r="AB773" s="9"/>
      <c r="AC773" s="9"/>
      <c r="AD773" s="9"/>
      <c r="AE773" s="9"/>
      <c r="AF773" s="9"/>
      <c r="AG773" s="9"/>
      <c r="AH773" s="9"/>
      <c r="AI773" s="9"/>
      <c r="AJ773" s="9"/>
      <c r="AK773" s="9"/>
      <c r="AL773" s="9"/>
      <c r="AM773" s="9"/>
      <c r="AN773" s="9"/>
      <c r="AO773" s="9"/>
      <c r="AP773" s="9"/>
      <c r="AQ773" s="9"/>
      <c r="AR773" s="9"/>
      <c r="AS773" s="9"/>
      <c r="AT773" s="9"/>
    </row>
    <row r="774">
      <c r="A774" s="492"/>
      <c r="B774" s="254"/>
      <c r="C774" s="492"/>
      <c r="D774" s="254"/>
      <c r="E774" s="492"/>
      <c r="F774" s="254"/>
      <c r="G774" s="492"/>
      <c r="H774" s="254"/>
      <c r="I774" s="500"/>
      <c r="J774" s="181"/>
      <c r="K774" s="500"/>
      <c r="L774" s="181"/>
      <c r="M774" s="492"/>
      <c r="N774" s="254"/>
      <c r="O774" s="492"/>
      <c r="P774" s="254"/>
      <c r="Q774" s="492"/>
      <c r="R774" s="254"/>
      <c r="S774" s="528"/>
      <c r="T774" s="528"/>
      <c r="U774" s="492"/>
      <c r="V774" s="254"/>
      <c r="W774" s="492"/>
      <c r="X774" s="254"/>
      <c r="Y774" s="9"/>
      <c r="Z774" s="9"/>
      <c r="AA774" s="9"/>
      <c r="AB774" s="9"/>
      <c r="AC774" s="9"/>
      <c r="AD774" s="9"/>
      <c r="AE774" s="9"/>
      <c r="AF774" s="9"/>
      <c r="AG774" s="9"/>
      <c r="AH774" s="9"/>
      <c r="AI774" s="9"/>
      <c r="AJ774" s="9"/>
      <c r="AK774" s="9"/>
      <c r="AL774" s="9"/>
      <c r="AM774" s="9"/>
      <c r="AN774" s="9"/>
      <c r="AO774" s="9"/>
      <c r="AP774" s="9"/>
      <c r="AQ774" s="9"/>
      <c r="AR774" s="9"/>
      <c r="AS774" s="9"/>
      <c r="AT774" s="9"/>
    </row>
    <row r="775">
      <c r="A775" s="492"/>
      <c r="B775" s="254"/>
      <c r="C775" s="492"/>
      <c r="D775" s="254"/>
      <c r="E775" s="492"/>
      <c r="F775" s="254"/>
      <c r="G775" s="492"/>
      <c r="H775" s="254"/>
      <c r="I775" s="500"/>
      <c r="J775" s="181"/>
      <c r="K775" s="500"/>
      <c r="L775" s="181"/>
      <c r="M775" s="492"/>
      <c r="N775" s="254"/>
      <c r="O775" s="492"/>
      <c r="P775" s="254"/>
      <c r="Q775" s="492"/>
      <c r="R775" s="254"/>
      <c r="S775" s="528"/>
      <c r="T775" s="528"/>
      <c r="U775" s="492"/>
      <c r="V775" s="254"/>
      <c r="W775" s="492"/>
      <c r="X775" s="254"/>
      <c r="Y775" s="9"/>
      <c r="Z775" s="9"/>
      <c r="AA775" s="9"/>
      <c r="AB775" s="9"/>
      <c r="AC775" s="9"/>
      <c r="AD775" s="9"/>
      <c r="AE775" s="9"/>
      <c r="AF775" s="9"/>
      <c r="AG775" s="9"/>
      <c r="AH775" s="9"/>
      <c r="AI775" s="9"/>
      <c r="AJ775" s="9"/>
      <c r="AK775" s="9"/>
      <c r="AL775" s="9"/>
      <c r="AM775" s="9"/>
      <c r="AN775" s="9"/>
      <c r="AO775" s="9"/>
      <c r="AP775" s="9"/>
      <c r="AQ775" s="9"/>
      <c r="AR775" s="9"/>
      <c r="AS775" s="9"/>
      <c r="AT775" s="9"/>
    </row>
    <row r="776">
      <c r="A776" s="492"/>
      <c r="B776" s="254"/>
      <c r="C776" s="492"/>
      <c r="D776" s="254"/>
      <c r="E776" s="492"/>
      <c r="F776" s="254"/>
      <c r="G776" s="492"/>
      <c r="H776" s="254"/>
      <c r="I776" s="500"/>
      <c r="J776" s="181"/>
      <c r="K776" s="500"/>
      <c r="L776" s="181"/>
      <c r="M776" s="492"/>
      <c r="N776" s="254"/>
      <c r="O776" s="492"/>
      <c r="P776" s="254"/>
      <c r="Q776" s="492"/>
      <c r="R776" s="254"/>
      <c r="S776" s="528"/>
      <c r="T776" s="528"/>
      <c r="U776" s="492"/>
      <c r="V776" s="254"/>
      <c r="W776" s="492"/>
      <c r="X776" s="254"/>
      <c r="Y776" s="9"/>
      <c r="Z776" s="9"/>
      <c r="AA776" s="9"/>
      <c r="AB776" s="9"/>
      <c r="AC776" s="9"/>
      <c r="AD776" s="9"/>
      <c r="AE776" s="9"/>
      <c r="AF776" s="9"/>
      <c r="AG776" s="9"/>
      <c r="AH776" s="9"/>
      <c r="AI776" s="9"/>
      <c r="AJ776" s="9"/>
      <c r="AK776" s="9"/>
      <c r="AL776" s="9"/>
      <c r="AM776" s="9"/>
      <c r="AN776" s="9"/>
      <c r="AO776" s="9"/>
      <c r="AP776" s="9"/>
      <c r="AQ776" s="9"/>
      <c r="AR776" s="9"/>
      <c r="AS776" s="9"/>
      <c r="AT776" s="9"/>
    </row>
    <row r="777">
      <c r="A777" s="492"/>
      <c r="B777" s="254"/>
      <c r="C777" s="492"/>
      <c r="D777" s="254"/>
      <c r="E777" s="492"/>
      <c r="F777" s="254"/>
      <c r="G777" s="492"/>
      <c r="H777" s="254"/>
      <c r="I777" s="500"/>
      <c r="J777" s="181"/>
      <c r="K777" s="500"/>
      <c r="L777" s="181"/>
      <c r="M777" s="492"/>
      <c r="N777" s="254"/>
      <c r="O777" s="492"/>
      <c r="P777" s="254"/>
      <c r="Q777" s="492"/>
      <c r="R777" s="254"/>
      <c r="S777" s="528"/>
      <c r="T777" s="528"/>
      <c r="U777" s="492"/>
      <c r="V777" s="254"/>
      <c r="W777" s="492"/>
      <c r="X777" s="254"/>
      <c r="Y777" s="9"/>
      <c r="Z777" s="9"/>
      <c r="AA777" s="9"/>
      <c r="AB777" s="9"/>
      <c r="AC777" s="9"/>
      <c r="AD777" s="9"/>
      <c r="AE777" s="9"/>
      <c r="AF777" s="9"/>
      <c r="AG777" s="9"/>
      <c r="AH777" s="9"/>
      <c r="AI777" s="9"/>
      <c r="AJ777" s="9"/>
      <c r="AK777" s="9"/>
      <c r="AL777" s="9"/>
      <c r="AM777" s="9"/>
      <c r="AN777" s="9"/>
      <c r="AO777" s="9"/>
      <c r="AP777" s="9"/>
      <c r="AQ777" s="9"/>
      <c r="AR777" s="9"/>
      <c r="AS777" s="9"/>
      <c r="AT777" s="9"/>
    </row>
    <row r="778">
      <c r="A778" s="492"/>
      <c r="B778" s="254"/>
      <c r="C778" s="492"/>
      <c r="D778" s="254"/>
      <c r="E778" s="492"/>
      <c r="F778" s="254"/>
      <c r="G778" s="492"/>
      <c r="H778" s="254"/>
      <c r="I778" s="500"/>
      <c r="J778" s="181"/>
      <c r="K778" s="500"/>
      <c r="L778" s="181"/>
      <c r="M778" s="492"/>
      <c r="N778" s="254"/>
      <c r="O778" s="492"/>
      <c r="P778" s="254"/>
      <c r="Q778" s="492"/>
      <c r="R778" s="254"/>
      <c r="S778" s="528"/>
      <c r="T778" s="528"/>
      <c r="U778" s="492"/>
      <c r="V778" s="254"/>
      <c r="W778" s="492"/>
      <c r="X778" s="254"/>
      <c r="Y778" s="9"/>
      <c r="Z778" s="9"/>
      <c r="AA778" s="9"/>
      <c r="AB778" s="9"/>
      <c r="AC778" s="9"/>
      <c r="AD778" s="9"/>
      <c r="AE778" s="9"/>
      <c r="AF778" s="9"/>
      <c r="AG778" s="9"/>
      <c r="AH778" s="9"/>
      <c r="AI778" s="9"/>
      <c r="AJ778" s="9"/>
      <c r="AK778" s="9"/>
      <c r="AL778" s="9"/>
      <c r="AM778" s="9"/>
      <c r="AN778" s="9"/>
      <c r="AO778" s="9"/>
      <c r="AP778" s="9"/>
      <c r="AQ778" s="9"/>
      <c r="AR778" s="9"/>
      <c r="AS778" s="9"/>
      <c r="AT778" s="9"/>
    </row>
    <row r="779">
      <c r="A779" s="492"/>
      <c r="B779" s="254"/>
      <c r="C779" s="492"/>
      <c r="D779" s="254"/>
      <c r="E779" s="492"/>
      <c r="F779" s="254"/>
      <c r="G779" s="492"/>
      <c r="H779" s="254"/>
      <c r="I779" s="500"/>
      <c r="J779" s="181"/>
      <c r="K779" s="500"/>
      <c r="L779" s="181"/>
      <c r="M779" s="492"/>
      <c r="N779" s="254"/>
      <c r="O779" s="492"/>
      <c r="P779" s="254"/>
      <c r="Q779" s="492"/>
      <c r="R779" s="254"/>
      <c r="S779" s="528"/>
      <c r="T779" s="528"/>
      <c r="U779" s="492"/>
      <c r="V779" s="254"/>
      <c r="W779" s="492"/>
      <c r="X779" s="254"/>
      <c r="Y779" s="9"/>
      <c r="Z779" s="9"/>
      <c r="AA779" s="9"/>
      <c r="AB779" s="9"/>
      <c r="AC779" s="9"/>
      <c r="AD779" s="9"/>
      <c r="AE779" s="9"/>
      <c r="AF779" s="9"/>
      <c r="AG779" s="9"/>
      <c r="AH779" s="9"/>
      <c r="AI779" s="9"/>
      <c r="AJ779" s="9"/>
      <c r="AK779" s="9"/>
      <c r="AL779" s="9"/>
      <c r="AM779" s="9"/>
      <c r="AN779" s="9"/>
      <c r="AO779" s="9"/>
      <c r="AP779" s="9"/>
      <c r="AQ779" s="9"/>
      <c r="AR779" s="9"/>
      <c r="AS779" s="9"/>
      <c r="AT779" s="9"/>
    </row>
    <row r="780">
      <c r="A780" s="492"/>
      <c r="B780" s="254"/>
      <c r="C780" s="492"/>
      <c r="D780" s="254"/>
      <c r="E780" s="492"/>
      <c r="F780" s="254"/>
      <c r="G780" s="492"/>
      <c r="H780" s="254"/>
      <c r="I780" s="500"/>
      <c r="J780" s="181"/>
      <c r="K780" s="500"/>
      <c r="L780" s="181"/>
      <c r="M780" s="492"/>
      <c r="N780" s="254"/>
      <c r="O780" s="492"/>
      <c r="P780" s="254"/>
      <c r="Q780" s="492"/>
      <c r="R780" s="254"/>
      <c r="S780" s="528"/>
      <c r="T780" s="528"/>
      <c r="U780" s="492"/>
      <c r="V780" s="254"/>
      <c r="W780" s="492"/>
      <c r="X780" s="254"/>
      <c r="Y780" s="9"/>
      <c r="Z780" s="9"/>
      <c r="AA780" s="9"/>
      <c r="AB780" s="9"/>
      <c r="AC780" s="9"/>
      <c r="AD780" s="9"/>
      <c r="AE780" s="9"/>
      <c r="AF780" s="9"/>
      <c r="AG780" s="9"/>
      <c r="AH780" s="9"/>
      <c r="AI780" s="9"/>
      <c r="AJ780" s="9"/>
      <c r="AK780" s="9"/>
      <c r="AL780" s="9"/>
      <c r="AM780" s="9"/>
      <c r="AN780" s="9"/>
      <c r="AO780" s="9"/>
      <c r="AP780" s="9"/>
      <c r="AQ780" s="9"/>
      <c r="AR780" s="9"/>
      <c r="AS780" s="9"/>
      <c r="AT780" s="9"/>
    </row>
    <row r="781">
      <c r="A781" s="492"/>
      <c r="B781" s="254"/>
      <c r="C781" s="492"/>
      <c r="D781" s="254"/>
      <c r="E781" s="492"/>
      <c r="F781" s="254"/>
      <c r="G781" s="492"/>
      <c r="H781" s="254"/>
      <c r="I781" s="500"/>
      <c r="J781" s="181"/>
      <c r="K781" s="500"/>
      <c r="L781" s="181"/>
      <c r="M781" s="492"/>
      <c r="N781" s="254"/>
      <c r="O781" s="492"/>
      <c r="P781" s="254"/>
      <c r="Q781" s="492"/>
      <c r="R781" s="254"/>
      <c r="S781" s="528"/>
      <c r="T781" s="528"/>
      <c r="U781" s="492"/>
      <c r="V781" s="254"/>
      <c r="W781" s="492"/>
      <c r="X781" s="254"/>
      <c r="Y781" s="9"/>
      <c r="Z781" s="9"/>
      <c r="AA781" s="9"/>
      <c r="AB781" s="9"/>
      <c r="AC781" s="9"/>
      <c r="AD781" s="9"/>
      <c r="AE781" s="9"/>
      <c r="AF781" s="9"/>
      <c r="AG781" s="9"/>
      <c r="AH781" s="9"/>
      <c r="AI781" s="9"/>
      <c r="AJ781" s="9"/>
      <c r="AK781" s="9"/>
      <c r="AL781" s="9"/>
      <c r="AM781" s="9"/>
      <c r="AN781" s="9"/>
      <c r="AO781" s="9"/>
      <c r="AP781" s="9"/>
      <c r="AQ781" s="9"/>
      <c r="AR781" s="9"/>
      <c r="AS781" s="9"/>
      <c r="AT781" s="9"/>
    </row>
    <row r="782">
      <c r="A782" s="492"/>
      <c r="B782" s="254"/>
      <c r="C782" s="492"/>
      <c r="D782" s="254"/>
      <c r="E782" s="492"/>
      <c r="F782" s="254"/>
      <c r="G782" s="492"/>
      <c r="H782" s="254"/>
      <c r="I782" s="500"/>
      <c r="J782" s="181"/>
      <c r="K782" s="500"/>
      <c r="L782" s="181"/>
      <c r="M782" s="492"/>
      <c r="N782" s="254"/>
      <c r="O782" s="492"/>
      <c r="P782" s="254"/>
      <c r="Q782" s="492"/>
      <c r="R782" s="254"/>
      <c r="S782" s="528"/>
      <c r="T782" s="528"/>
      <c r="U782" s="492"/>
      <c r="V782" s="254"/>
      <c r="W782" s="492"/>
      <c r="X782" s="254"/>
      <c r="Y782" s="9"/>
      <c r="Z782" s="9"/>
      <c r="AA782" s="9"/>
      <c r="AB782" s="9"/>
      <c r="AC782" s="9"/>
      <c r="AD782" s="9"/>
      <c r="AE782" s="9"/>
      <c r="AF782" s="9"/>
      <c r="AG782" s="9"/>
      <c r="AH782" s="9"/>
      <c r="AI782" s="9"/>
      <c r="AJ782" s="9"/>
      <c r="AK782" s="9"/>
      <c r="AL782" s="9"/>
      <c r="AM782" s="9"/>
      <c r="AN782" s="9"/>
      <c r="AO782" s="9"/>
      <c r="AP782" s="9"/>
      <c r="AQ782" s="9"/>
      <c r="AR782" s="9"/>
      <c r="AS782" s="9"/>
      <c r="AT782" s="9"/>
    </row>
    <row r="783">
      <c r="A783" s="492"/>
      <c r="B783" s="254"/>
      <c r="C783" s="492"/>
      <c r="D783" s="254"/>
      <c r="E783" s="492"/>
      <c r="F783" s="254"/>
      <c r="G783" s="492"/>
      <c r="H783" s="254"/>
      <c r="I783" s="500"/>
      <c r="J783" s="181"/>
      <c r="K783" s="500"/>
      <c r="L783" s="181"/>
      <c r="M783" s="492"/>
      <c r="N783" s="254"/>
      <c r="O783" s="492"/>
      <c r="P783" s="254"/>
      <c r="Q783" s="492"/>
      <c r="R783" s="254"/>
      <c r="S783" s="528"/>
      <c r="T783" s="528"/>
      <c r="U783" s="492"/>
      <c r="V783" s="254"/>
      <c r="W783" s="492"/>
      <c r="X783" s="254"/>
      <c r="Y783" s="9"/>
      <c r="Z783" s="9"/>
      <c r="AA783" s="9"/>
      <c r="AB783" s="9"/>
      <c r="AC783" s="9"/>
      <c r="AD783" s="9"/>
      <c r="AE783" s="9"/>
      <c r="AF783" s="9"/>
      <c r="AG783" s="9"/>
      <c r="AH783" s="9"/>
      <c r="AI783" s="9"/>
      <c r="AJ783" s="9"/>
      <c r="AK783" s="9"/>
      <c r="AL783" s="9"/>
      <c r="AM783" s="9"/>
      <c r="AN783" s="9"/>
      <c r="AO783" s="9"/>
      <c r="AP783" s="9"/>
      <c r="AQ783" s="9"/>
      <c r="AR783" s="9"/>
      <c r="AS783" s="9"/>
      <c r="AT783" s="9"/>
    </row>
    <row r="784">
      <c r="A784" s="492"/>
      <c r="B784" s="254"/>
      <c r="C784" s="492"/>
      <c r="D784" s="254"/>
      <c r="E784" s="492"/>
      <c r="F784" s="254"/>
      <c r="G784" s="492"/>
      <c r="H784" s="254"/>
      <c r="I784" s="500"/>
      <c r="J784" s="181"/>
      <c r="K784" s="500"/>
      <c r="L784" s="181"/>
      <c r="M784" s="492"/>
      <c r="N784" s="254"/>
      <c r="O784" s="492"/>
      <c r="P784" s="254"/>
      <c r="Q784" s="492"/>
      <c r="R784" s="254"/>
      <c r="S784" s="528"/>
      <c r="T784" s="528"/>
      <c r="U784" s="492"/>
      <c r="V784" s="254"/>
      <c r="W784" s="492"/>
      <c r="X784" s="254"/>
      <c r="Y784" s="9"/>
      <c r="Z784" s="9"/>
      <c r="AA784" s="9"/>
      <c r="AB784" s="9"/>
      <c r="AC784" s="9"/>
      <c r="AD784" s="9"/>
      <c r="AE784" s="9"/>
      <c r="AF784" s="9"/>
      <c r="AG784" s="9"/>
      <c r="AH784" s="9"/>
      <c r="AI784" s="9"/>
      <c r="AJ784" s="9"/>
      <c r="AK784" s="9"/>
      <c r="AL784" s="9"/>
      <c r="AM784" s="9"/>
      <c r="AN784" s="9"/>
      <c r="AO784" s="9"/>
      <c r="AP784" s="9"/>
      <c r="AQ784" s="9"/>
      <c r="AR784" s="9"/>
      <c r="AS784" s="9"/>
      <c r="AT784" s="9"/>
    </row>
    <row r="785">
      <c r="A785" s="492"/>
      <c r="B785" s="254"/>
      <c r="C785" s="492"/>
      <c r="D785" s="254"/>
      <c r="E785" s="492"/>
      <c r="F785" s="254"/>
      <c r="G785" s="492"/>
      <c r="H785" s="254"/>
      <c r="I785" s="500"/>
      <c r="J785" s="181"/>
      <c r="K785" s="500"/>
      <c r="L785" s="181"/>
      <c r="M785" s="492"/>
      <c r="N785" s="254"/>
      <c r="O785" s="492"/>
      <c r="P785" s="254"/>
      <c r="Q785" s="492"/>
      <c r="R785" s="254"/>
      <c r="S785" s="528"/>
      <c r="T785" s="528"/>
      <c r="U785" s="492"/>
      <c r="V785" s="254"/>
      <c r="W785" s="492"/>
      <c r="X785" s="254"/>
      <c r="Y785" s="9"/>
      <c r="Z785" s="9"/>
      <c r="AA785" s="9"/>
      <c r="AB785" s="9"/>
      <c r="AC785" s="9"/>
      <c r="AD785" s="9"/>
      <c r="AE785" s="9"/>
      <c r="AF785" s="9"/>
      <c r="AG785" s="9"/>
      <c r="AH785" s="9"/>
      <c r="AI785" s="9"/>
      <c r="AJ785" s="9"/>
      <c r="AK785" s="9"/>
      <c r="AL785" s="9"/>
      <c r="AM785" s="9"/>
      <c r="AN785" s="9"/>
      <c r="AO785" s="9"/>
      <c r="AP785" s="9"/>
      <c r="AQ785" s="9"/>
      <c r="AR785" s="9"/>
      <c r="AS785" s="9"/>
      <c r="AT785" s="9"/>
    </row>
    <row r="786">
      <c r="A786" s="492"/>
      <c r="B786" s="254"/>
      <c r="C786" s="492"/>
      <c r="D786" s="254"/>
      <c r="E786" s="492"/>
      <c r="F786" s="254"/>
      <c r="G786" s="492"/>
      <c r="H786" s="254"/>
      <c r="I786" s="500"/>
      <c r="J786" s="181"/>
      <c r="K786" s="500"/>
      <c r="L786" s="181"/>
      <c r="M786" s="492"/>
      <c r="N786" s="254"/>
      <c r="O786" s="492"/>
      <c r="P786" s="254"/>
      <c r="Q786" s="492"/>
      <c r="R786" s="254"/>
      <c r="S786" s="528"/>
      <c r="T786" s="528"/>
      <c r="U786" s="492"/>
      <c r="V786" s="254"/>
      <c r="W786" s="492"/>
      <c r="X786" s="254"/>
      <c r="Y786" s="9"/>
      <c r="Z786" s="9"/>
      <c r="AA786" s="9"/>
      <c r="AB786" s="9"/>
      <c r="AC786" s="9"/>
      <c r="AD786" s="9"/>
      <c r="AE786" s="9"/>
      <c r="AF786" s="9"/>
      <c r="AG786" s="9"/>
      <c r="AH786" s="9"/>
      <c r="AI786" s="9"/>
      <c r="AJ786" s="9"/>
      <c r="AK786" s="9"/>
      <c r="AL786" s="9"/>
      <c r="AM786" s="9"/>
      <c r="AN786" s="9"/>
      <c r="AO786" s="9"/>
      <c r="AP786" s="9"/>
      <c r="AQ786" s="9"/>
      <c r="AR786" s="9"/>
      <c r="AS786" s="9"/>
      <c r="AT786" s="9"/>
    </row>
    <row r="787">
      <c r="A787" s="492"/>
      <c r="B787" s="254"/>
      <c r="C787" s="492"/>
      <c r="D787" s="254"/>
      <c r="E787" s="492"/>
      <c r="F787" s="254"/>
      <c r="G787" s="492"/>
      <c r="H787" s="254"/>
      <c r="I787" s="500"/>
      <c r="J787" s="181"/>
      <c r="K787" s="500"/>
      <c r="L787" s="181"/>
      <c r="M787" s="492"/>
      <c r="N787" s="254"/>
      <c r="O787" s="492"/>
      <c r="P787" s="254"/>
      <c r="Q787" s="492"/>
      <c r="R787" s="254"/>
      <c r="S787" s="528"/>
      <c r="T787" s="528"/>
      <c r="U787" s="492"/>
      <c r="V787" s="254"/>
      <c r="W787" s="492"/>
      <c r="X787" s="254"/>
      <c r="Y787" s="9"/>
      <c r="Z787" s="9"/>
      <c r="AA787" s="9"/>
      <c r="AB787" s="9"/>
      <c r="AC787" s="9"/>
      <c r="AD787" s="9"/>
      <c r="AE787" s="9"/>
      <c r="AF787" s="9"/>
      <c r="AG787" s="9"/>
      <c r="AH787" s="9"/>
      <c r="AI787" s="9"/>
      <c r="AJ787" s="9"/>
      <c r="AK787" s="9"/>
      <c r="AL787" s="9"/>
      <c r="AM787" s="9"/>
      <c r="AN787" s="9"/>
      <c r="AO787" s="9"/>
      <c r="AP787" s="9"/>
      <c r="AQ787" s="9"/>
      <c r="AR787" s="9"/>
      <c r="AS787" s="9"/>
      <c r="AT787" s="9"/>
    </row>
    <row r="788">
      <c r="A788" s="492"/>
      <c r="B788" s="254"/>
      <c r="C788" s="492"/>
      <c r="D788" s="254"/>
      <c r="E788" s="492"/>
      <c r="F788" s="254"/>
      <c r="G788" s="492"/>
      <c r="H788" s="254"/>
      <c r="I788" s="500"/>
      <c r="J788" s="181"/>
      <c r="K788" s="500"/>
      <c r="L788" s="181"/>
      <c r="M788" s="492"/>
      <c r="N788" s="254"/>
      <c r="O788" s="492"/>
      <c r="P788" s="254"/>
      <c r="Q788" s="492"/>
      <c r="R788" s="254"/>
      <c r="S788" s="528"/>
      <c r="T788" s="528"/>
      <c r="U788" s="492"/>
      <c r="V788" s="254"/>
      <c r="W788" s="492"/>
      <c r="X788" s="254"/>
      <c r="Y788" s="9"/>
      <c r="Z788" s="9"/>
      <c r="AA788" s="9"/>
      <c r="AB788" s="9"/>
      <c r="AC788" s="9"/>
      <c r="AD788" s="9"/>
      <c r="AE788" s="9"/>
      <c r="AF788" s="9"/>
      <c r="AG788" s="9"/>
      <c r="AH788" s="9"/>
      <c r="AI788" s="9"/>
      <c r="AJ788" s="9"/>
      <c r="AK788" s="9"/>
      <c r="AL788" s="9"/>
      <c r="AM788" s="9"/>
      <c r="AN788" s="9"/>
      <c r="AO788" s="9"/>
      <c r="AP788" s="9"/>
      <c r="AQ788" s="9"/>
      <c r="AR788" s="9"/>
      <c r="AS788" s="9"/>
      <c r="AT788" s="9"/>
    </row>
    <row r="789">
      <c r="A789" s="492"/>
      <c r="B789" s="254"/>
      <c r="C789" s="492"/>
      <c r="D789" s="254"/>
      <c r="E789" s="492"/>
      <c r="F789" s="254"/>
      <c r="G789" s="492"/>
      <c r="H789" s="254"/>
      <c r="I789" s="500"/>
      <c r="J789" s="181"/>
      <c r="K789" s="500"/>
      <c r="L789" s="181"/>
      <c r="M789" s="492"/>
      <c r="N789" s="254"/>
      <c r="O789" s="492"/>
      <c r="P789" s="254"/>
      <c r="Q789" s="492"/>
      <c r="R789" s="254"/>
      <c r="S789" s="528"/>
      <c r="T789" s="528"/>
      <c r="U789" s="492"/>
      <c r="V789" s="254"/>
      <c r="W789" s="492"/>
      <c r="X789" s="254"/>
      <c r="Y789" s="9"/>
      <c r="Z789" s="9"/>
      <c r="AA789" s="9"/>
      <c r="AB789" s="9"/>
      <c r="AC789" s="9"/>
      <c r="AD789" s="9"/>
      <c r="AE789" s="9"/>
      <c r="AF789" s="9"/>
      <c r="AG789" s="9"/>
      <c r="AH789" s="9"/>
      <c r="AI789" s="9"/>
      <c r="AJ789" s="9"/>
      <c r="AK789" s="9"/>
      <c r="AL789" s="9"/>
      <c r="AM789" s="9"/>
      <c r="AN789" s="9"/>
      <c r="AO789" s="9"/>
      <c r="AP789" s="9"/>
      <c r="AQ789" s="9"/>
      <c r="AR789" s="9"/>
      <c r="AS789" s="9"/>
      <c r="AT789" s="9"/>
    </row>
    <row r="790">
      <c r="A790" s="492"/>
      <c r="B790" s="254"/>
      <c r="C790" s="492"/>
      <c r="D790" s="254"/>
      <c r="E790" s="492"/>
      <c r="F790" s="254"/>
      <c r="G790" s="492"/>
      <c r="H790" s="254"/>
      <c r="I790" s="500"/>
      <c r="J790" s="181"/>
      <c r="K790" s="500"/>
      <c r="L790" s="181"/>
      <c r="M790" s="492"/>
      <c r="N790" s="254"/>
      <c r="O790" s="492"/>
      <c r="P790" s="254"/>
      <c r="Q790" s="492"/>
      <c r="R790" s="254"/>
      <c r="S790" s="528"/>
      <c r="T790" s="528"/>
      <c r="U790" s="492"/>
      <c r="V790" s="254"/>
      <c r="W790" s="492"/>
      <c r="X790" s="254"/>
      <c r="Y790" s="9"/>
      <c r="Z790" s="9"/>
      <c r="AA790" s="9"/>
      <c r="AB790" s="9"/>
      <c r="AC790" s="9"/>
      <c r="AD790" s="9"/>
      <c r="AE790" s="9"/>
      <c r="AF790" s="9"/>
      <c r="AG790" s="9"/>
      <c r="AH790" s="9"/>
      <c r="AI790" s="9"/>
      <c r="AJ790" s="9"/>
      <c r="AK790" s="9"/>
      <c r="AL790" s="9"/>
      <c r="AM790" s="9"/>
      <c r="AN790" s="9"/>
      <c r="AO790" s="9"/>
      <c r="AP790" s="9"/>
      <c r="AQ790" s="9"/>
      <c r="AR790" s="9"/>
      <c r="AS790" s="9"/>
      <c r="AT790" s="9"/>
    </row>
    <row r="791">
      <c r="A791" s="492"/>
      <c r="B791" s="254"/>
      <c r="C791" s="492"/>
      <c r="D791" s="254"/>
      <c r="E791" s="492"/>
      <c r="F791" s="254"/>
      <c r="G791" s="492"/>
      <c r="H791" s="254"/>
      <c r="I791" s="500"/>
      <c r="J791" s="181"/>
      <c r="K791" s="500"/>
      <c r="L791" s="181"/>
      <c r="M791" s="492"/>
      <c r="N791" s="254"/>
      <c r="O791" s="492"/>
      <c r="P791" s="254"/>
      <c r="Q791" s="492"/>
      <c r="R791" s="254"/>
      <c r="S791" s="528"/>
      <c r="T791" s="528"/>
      <c r="U791" s="492"/>
      <c r="V791" s="254"/>
      <c r="W791" s="492"/>
      <c r="X791" s="254"/>
      <c r="Y791" s="9"/>
      <c r="Z791" s="9"/>
      <c r="AA791" s="9"/>
      <c r="AB791" s="9"/>
      <c r="AC791" s="9"/>
      <c r="AD791" s="9"/>
      <c r="AE791" s="9"/>
      <c r="AF791" s="9"/>
      <c r="AG791" s="9"/>
      <c r="AH791" s="9"/>
      <c r="AI791" s="9"/>
      <c r="AJ791" s="9"/>
      <c r="AK791" s="9"/>
      <c r="AL791" s="9"/>
      <c r="AM791" s="9"/>
      <c r="AN791" s="9"/>
      <c r="AO791" s="9"/>
      <c r="AP791" s="9"/>
      <c r="AQ791" s="9"/>
      <c r="AR791" s="9"/>
      <c r="AS791" s="9"/>
      <c r="AT791" s="9"/>
    </row>
    <row r="792">
      <c r="A792" s="492"/>
      <c r="B792" s="254"/>
      <c r="C792" s="492"/>
      <c r="D792" s="254"/>
      <c r="E792" s="492"/>
      <c r="F792" s="254"/>
      <c r="G792" s="492"/>
      <c r="H792" s="254"/>
      <c r="I792" s="500"/>
      <c r="J792" s="181"/>
      <c r="K792" s="500"/>
      <c r="L792" s="181"/>
      <c r="M792" s="492"/>
      <c r="N792" s="254"/>
      <c r="O792" s="492"/>
      <c r="P792" s="254"/>
      <c r="Q792" s="492"/>
      <c r="R792" s="254"/>
      <c r="S792" s="528"/>
      <c r="T792" s="528"/>
      <c r="U792" s="492"/>
      <c r="V792" s="254"/>
      <c r="W792" s="492"/>
      <c r="X792" s="254"/>
      <c r="Y792" s="9"/>
      <c r="Z792" s="9"/>
      <c r="AA792" s="9"/>
      <c r="AB792" s="9"/>
      <c r="AC792" s="9"/>
      <c r="AD792" s="9"/>
      <c r="AE792" s="9"/>
      <c r="AF792" s="9"/>
      <c r="AG792" s="9"/>
      <c r="AH792" s="9"/>
      <c r="AI792" s="9"/>
      <c r="AJ792" s="9"/>
      <c r="AK792" s="9"/>
      <c r="AL792" s="9"/>
      <c r="AM792" s="9"/>
      <c r="AN792" s="9"/>
      <c r="AO792" s="9"/>
      <c r="AP792" s="9"/>
      <c r="AQ792" s="9"/>
      <c r="AR792" s="9"/>
      <c r="AS792" s="9"/>
      <c r="AT792" s="9"/>
    </row>
    <row r="793">
      <c r="A793" s="492"/>
      <c r="B793" s="254"/>
      <c r="C793" s="492"/>
      <c r="D793" s="254"/>
      <c r="E793" s="492"/>
      <c r="F793" s="254"/>
      <c r="G793" s="492"/>
      <c r="H793" s="254"/>
      <c r="I793" s="500"/>
      <c r="J793" s="181"/>
      <c r="K793" s="500"/>
      <c r="L793" s="181"/>
      <c r="M793" s="492"/>
      <c r="N793" s="254"/>
      <c r="O793" s="492"/>
      <c r="P793" s="254"/>
      <c r="Q793" s="492"/>
      <c r="R793" s="254"/>
      <c r="S793" s="528"/>
      <c r="T793" s="528"/>
      <c r="U793" s="492"/>
      <c r="V793" s="254"/>
      <c r="W793" s="492"/>
      <c r="X793" s="254"/>
      <c r="Y793" s="9"/>
      <c r="Z793" s="9"/>
      <c r="AA793" s="9"/>
      <c r="AB793" s="9"/>
      <c r="AC793" s="9"/>
      <c r="AD793" s="9"/>
      <c r="AE793" s="9"/>
      <c r="AF793" s="9"/>
      <c r="AG793" s="9"/>
      <c r="AH793" s="9"/>
      <c r="AI793" s="9"/>
      <c r="AJ793" s="9"/>
      <c r="AK793" s="9"/>
      <c r="AL793" s="9"/>
      <c r="AM793" s="9"/>
      <c r="AN793" s="9"/>
      <c r="AO793" s="9"/>
      <c r="AP793" s="9"/>
      <c r="AQ793" s="9"/>
      <c r="AR793" s="9"/>
      <c r="AS793" s="9"/>
      <c r="AT793" s="9"/>
    </row>
    <row r="794">
      <c r="A794" s="492"/>
      <c r="B794" s="254"/>
      <c r="C794" s="492"/>
      <c r="D794" s="254"/>
      <c r="E794" s="492"/>
      <c r="F794" s="254"/>
      <c r="G794" s="492"/>
      <c r="H794" s="254"/>
      <c r="I794" s="500"/>
      <c r="J794" s="181"/>
      <c r="K794" s="500"/>
      <c r="L794" s="181"/>
      <c r="M794" s="492"/>
      <c r="N794" s="254"/>
      <c r="O794" s="492"/>
      <c r="P794" s="254"/>
      <c r="Q794" s="492"/>
      <c r="R794" s="254"/>
      <c r="S794" s="528"/>
      <c r="T794" s="528"/>
      <c r="U794" s="492"/>
      <c r="V794" s="254"/>
      <c r="W794" s="492"/>
      <c r="X794" s="254"/>
      <c r="Y794" s="9"/>
      <c r="Z794" s="9"/>
      <c r="AA794" s="9"/>
      <c r="AB794" s="9"/>
      <c r="AC794" s="9"/>
      <c r="AD794" s="9"/>
      <c r="AE794" s="9"/>
      <c r="AF794" s="9"/>
      <c r="AG794" s="9"/>
      <c r="AH794" s="9"/>
      <c r="AI794" s="9"/>
      <c r="AJ794" s="9"/>
      <c r="AK794" s="9"/>
      <c r="AL794" s="9"/>
      <c r="AM794" s="9"/>
      <c r="AN794" s="9"/>
      <c r="AO794" s="9"/>
      <c r="AP794" s="9"/>
      <c r="AQ794" s="9"/>
      <c r="AR794" s="9"/>
      <c r="AS794" s="9"/>
      <c r="AT794" s="9"/>
    </row>
    <row r="795">
      <c r="A795" s="492"/>
      <c r="B795" s="254"/>
      <c r="C795" s="492"/>
      <c r="D795" s="254"/>
      <c r="E795" s="492"/>
      <c r="F795" s="254"/>
      <c r="G795" s="492"/>
      <c r="H795" s="254"/>
      <c r="I795" s="500"/>
      <c r="J795" s="181"/>
      <c r="K795" s="500"/>
      <c r="L795" s="181"/>
      <c r="M795" s="492"/>
      <c r="N795" s="254"/>
      <c r="O795" s="492"/>
      <c r="P795" s="254"/>
      <c r="Q795" s="492"/>
      <c r="R795" s="254"/>
      <c r="S795" s="528"/>
      <c r="T795" s="528"/>
      <c r="U795" s="492"/>
      <c r="V795" s="254"/>
      <c r="W795" s="492"/>
      <c r="X795" s="254"/>
      <c r="Y795" s="9"/>
      <c r="Z795" s="9"/>
      <c r="AA795" s="9"/>
      <c r="AB795" s="9"/>
      <c r="AC795" s="9"/>
      <c r="AD795" s="9"/>
      <c r="AE795" s="9"/>
      <c r="AF795" s="9"/>
      <c r="AG795" s="9"/>
      <c r="AH795" s="9"/>
      <c r="AI795" s="9"/>
      <c r="AJ795" s="9"/>
      <c r="AK795" s="9"/>
      <c r="AL795" s="9"/>
      <c r="AM795" s="9"/>
      <c r="AN795" s="9"/>
      <c r="AO795" s="9"/>
      <c r="AP795" s="9"/>
      <c r="AQ795" s="9"/>
      <c r="AR795" s="9"/>
      <c r="AS795" s="9"/>
      <c r="AT795" s="9"/>
    </row>
    <row r="796">
      <c r="A796" s="492"/>
      <c r="B796" s="254"/>
      <c r="C796" s="492"/>
      <c r="D796" s="254"/>
      <c r="E796" s="492"/>
      <c r="F796" s="254"/>
      <c r="G796" s="492"/>
      <c r="H796" s="254"/>
      <c r="I796" s="500"/>
      <c r="J796" s="181"/>
      <c r="K796" s="500"/>
      <c r="L796" s="181"/>
      <c r="M796" s="492"/>
      <c r="N796" s="254"/>
      <c r="O796" s="492"/>
      <c r="P796" s="254"/>
      <c r="Q796" s="492"/>
      <c r="R796" s="254"/>
      <c r="S796" s="528"/>
      <c r="T796" s="528"/>
      <c r="U796" s="492"/>
      <c r="V796" s="254"/>
      <c r="W796" s="492"/>
      <c r="X796" s="254"/>
      <c r="Y796" s="9"/>
      <c r="Z796" s="9"/>
      <c r="AA796" s="9"/>
      <c r="AB796" s="9"/>
      <c r="AC796" s="9"/>
      <c r="AD796" s="9"/>
      <c r="AE796" s="9"/>
      <c r="AF796" s="9"/>
      <c r="AG796" s="9"/>
      <c r="AH796" s="9"/>
      <c r="AI796" s="9"/>
      <c r="AJ796" s="9"/>
      <c r="AK796" s="9"/>
      <c r="AL796" s="9"/>
      <c r="AM796" s="9"/>
      <c r="AN796" s="9"/>
      <c r="AO796" s="9"/>
      <c r="AP796" s="9"/>
      <c r="AQ796" s="9"/>
      <c r="AR796" s="9"/>
      <c r="AS796" s="9"/>
      <c r="AT796" s="9"/>
    </row>
    <row r="797">
      <c r="A797" s="492"/>
      <c r="B797" s="254"/>
      <c r="C797" s="492"/>
      <c r="D797" s="254"/>
      <c r="E797" s="492"/>
      <c r="F797" s="254"/>
      <c r="G797" s="492"/>
      <c r="H797" s="254"/>
      <c r="I797" s="500"/>
      <c r="J797" s="181"/>
      <c r="K797" s="500"/>
      <c r="L797" s="181"/>
      <c r="M797" s="492"/>
      <c r="N797" s="254"/>
      <c r="O797" s="492"/>
      <c r="P797" s="254"/>
      <c r="Q797" s="492"/>
      <c r="R797" s="254"/>
      <c r="S797" s="528"/>
      <c r="T797" s="528"/>
      <c r="U797" s="492"/>
      <c r="V797" s="254"/>
      <c r="W797" s="492"/>
      <c r="X797" s="254"/>
      <c r="Y797" s="9"/>
      <c r="Z797" s="9"/>
      <c r="AA797" s="9"/>
      <c r="AB797" s="9"/>
      <c r="AC797" s="9"/>
      <c r="AD797" s="9"/>
      <c r="AE797" s="9"/>
      <c r="AF797" s="9"/>
      <c r="AG797" s="9"/>
      <c r="AH797" s="9"/>
      <c r="AI797" s="9"/>
      <c r="AJ797" s="9"/>
      <c r="AK797" s="9"/>
      <c r="AL797" s="9"/>
      <c r="AM797" s="9"/>
      <c r="AN797" s="9"/>
      <c r="AO797" s="9"/>
      <c r="AP797" s="9"/>
      <c r="AQ797" s="9"/>
      <c r="AR797" s="9"/>
      <c r="AS797" s="9"/>
      <c r="AT797" s="9"/>
    </row>
    <row r="798">
      <c r="A798" s="492"/>
      <c r="B798" s="254"/>
      <c r="C798" s="492"/>
      <c r="D798" s="254"/>
      <c r="E798" s="492"/>
      <c r="F798" s="254"/>
      <c r="G798" s="492"/>
      <c r="H798" s="254"/>
      <c r="I798" s="500"/>
      <c r="J798" s="181"/>
      <c r="K798" s="500"/>
      <c r="L798" s="181"/>
      <c r="M798" s="492"/>
      <c r="N798" s="254"/>
      <c r="O798" s="492"/>
      <c r="P798" s="254"/>
      <c r="Q798" s="492"/>
      <c r="R798" s="254"/>
      <c r="S798" s="528"/>
      <c r="T798" s="528"/>
      <c r="U798" s="492"/>
      <c r="V798" s="254"/>
      <c r="W798" s="492"/>
      <c r="X798" s="254"/>
      <c r="Y798" s="9"/>
      <c r="Z798" s="9"/>
      <c r="AA798" s="9"/>
      <c r="AB798" s="9"/>
      <c r="AC798" s="9"/>
      <c r="AD798" s="9"/>
      <c r="AE798" s="9"/>
      <c r="AF798" s="9"/>
      <c r="AG798" s="9"/>
      <c r="AH798" s="9"/>
      <c r="AI798" s="9"/>
      <c r="AJ798" s="9"/>
      <c r="AK798" s="9"/>
      <c r="AL798" s="9"/>
      <c r="AM798" s="9"/>
      <c r="AN798" s="9"/>
      <c r="AO798" s="9"/>
      <c r="AP798" s="9"/>
      <c r="AQ798" s="9"/>
      <c r="AR798" s="9"/>
      <c r="AS798" s="9"/>
      <c r="AT798" s="9"/>
    </row>
    <row r="799">
      <c r="A799" s="492"/>
      <c r="B799" s="254"/>
      <c r="C799" s="492"/>
      <c r="D799" s="254"/>
      <c r="E799" s="492"/>
      <c r="F799" s="254"/>
      <c r="G799" s="492"/>
      <c r="H799" s="254"/>
      <c r="I799" s="500"/>
      <c r="J799" s="181"/>
      <c r="K799" s="500"/>
      <c r="L799" s="181"/>
      <c r="M799" s="492"/>
      <c r="N799" s="254"/>
      <c r="O799" s="492"/>
      <c r="P799" s="254"/>
      <c r="Q799" s="492"/>
      <c r="R799" s="254"/>
      <c r="S799" s="528"/>
      <c r="T799" s="528"/>
      <c r="U799" s="492"/>
      <c r="V799" s="254"/>
      <c r="W799" s="492"/>
      <c r="X799" s="254"/>
      <c r="Y799" s="9"/>
      <c r="Z799" s="9"/>
      <c r="AA799" s="9"/>
      <c r="AB799" s="9"/>
      <c r="AC799" s="9"/>
      <c r="AD799" s="9"/>
      <c r="AE799" s="9"/>
      <c r="AF799" s="9"/>
      <c r="AG799" s="9"/>
      <c r="AH799" s="9"/>
      <c r="AI799" s="9"/>
      <c r="AJ799" s="9"/>
      <c r="AK799" s="9"/>
      <c r="AL799" s="9"/>
      <c r="AM799" s="9"/>
      <c r="AN799" s="9"/>
      <c r="AO799" s="9"/>
      <c r="AP799" s="9"/>
      <c r="AQ799" s="9"/>
      <c r="AR799" s="9"/>
      <c r="AS799" s="9"/>
      <c r="AT799" s="9"/>
    </row>
    <row r="800">
      <c r="A800" s="492"/>
      <c r="B800" s="254"/>
      <c r="C800" s="492"/>
      <c r="D800" s="254"/>
      <c r="E800" s="492"/>
      <c r="F800" s="254"/>
      <c r="G800" s="492"/>
      <c r="H800" s="254"/>
      <c r="I800" s="500"/>
      <c r="J800" s="181"/>
      <c r="K800" s="500"/>
      <c r="L800" s="181"/>
      <c r="M800" s="492"/>
      <c r="N800" s="254"/>
      <c r="O800" s="492"/>
      <c r="P800" s="254"/>
      <c r="Q800" s="492"/>
      <c r="R800" s="254"/>
      <c r="S800" s="528"/>
      <c r="T800" s="528"/>
      <c r="U800" s="492"/>
      <c r="V800" s="254"/>
      <c r="W800" s="492"/>
      <c r="X800" s="254"/>
      <c r="Y800" s="9"/>
      <c r="Z800" s="9"/>
      <c r="AA800" s="9"/>
      <c r="AB800" s="9"/>
      <c r="AC800" s="9"/>
      <c r="AD800" s="9"/>
      <c r="AE800" s="9"/>
      <c r="AF800" s="9"/>
      <c r="AG800" s="9"/>
      <c r="AH800" s="9"/>
      <c r="AI800" s="9"/>
      <c r="AJ800" s="9"/>
      <c r="AK800" s="9"/>
      <c r="AL800" s="9"/>
      <c r="AM800" s="9"/>
      <c r="AN800" s="9"/>
      <c r="AO800" s="9"/>
      <c r="AP800" s="9"/>
      <c r="AQ800" s="9"/>
      <c r="AR800" s="9"/>
      <c r="AS800" s="9"/>
      <c r="AT800" s="9"/>
    </row>
    <row r="801">
      <c r="A801" s="492"/>
      <c r="B801" s="254"/>
      <c r="C801" s="492"/>
      <c r="D801" s="254"/>
      <c r="E801" s="492"/>
      <c r="F801" s="254"/>
      <c r="G801" s="492"/>
      <c r="H801" s="254"/>
      <c r="I801" s="500"/>
      <c r="J801" s="181"/>
      <c r="K801" s="500"/>
      <c r="L801" s="181"/>
      <c r="M801" s="492"/>
      <c r="N801" s="254"/>
      <c r="O801" s="492"/>
      <c r="P801" s="254"/>
      <c r="Q801" s="492"/>
      <c r="R801" s="254"/>
      <c r="S801" s="528"/>
      <c r="T801" s="528"/>
      <c r="U801" s="492"/>
      <c r="V801" s="254"/>
      <c r="W801" s="492"/>
      <c r="X801" s="254"/>
      <c r="Y801" s="9"/>
      <c r="Z801" s="9"/>
      <c r="AA801" s="9"/>
      <c r="AB801" s="9"/>
      <c r="AC801" s="9"/>
      <c r="AD801" s="9"/>
      <c r="AE801" s="9"/>
      <c r="AF801" s="9"/>
      <c r="AG801" s="9"/>
      <c r="AH801" s="9"/>
      <c r="AI801" s="9"/>
      <c r="AJ801" s="9"/>
      <c r="AK801" s="9"/>
      <c r="AL801" s="9"/>
      <c r="AM801" s="9"/>
      <c r="AN801" s="9"/>
      <c r="AO801" s="9"/>
      <c r="AP801" s="9"/>
      <c r="AQ801" s="9"/>
      <c r="AR801" s="9"/>
      <c r="AS801" s="9"/>
      <c r="AT801" s="9"/>
    </row>
    <row r="802">
      <c r="A802" s="492"/>
      <c r="B802" s="254"/>
      <c r="C802" s="492"/>
      <c r="D802" s="254"/>
      <c r="E802" s="492"/>
      <c r="F802" s="254"/>
      <c r="G802" s="492"/>
      <c r="H802" s="254"/>
      <c r="I802" s="500"/>
      <c r="J802" s="181"/>
      <c r="K802" s="500"/>
      <c r="L802" s="181"/>
      <c r="M802" s="492"/>
      <c r="N802" s="254"/>
      <c r="O802" s="492"/>
      <c r="P802" s="254"/>
      <c r="Q802" s="492"/>
      <c r="R802" s="254"/>
      <c r="S802" s="528"/>
      <c r="T802" s="528"/>
      <c r="U802" s="492"/>
      <c r="V802" s="254"/>
      <c r="W802" s="492"/>
      <c r="X802" s="254"/>
      <c r="Y802" s="9"/>
      <c r="Z802" s="9"/>
      <c r="AA802" s="9"/>
      <c r="AB802" s="9"/>
      <c r="AC802" s="9"/>
      <c r="AD802" s="9"/>
      <c r="AE802" s="9"/>
      <c r="AF802" s="9"/>
      <c r="AG802" s="9"/>
      <c r="AH802" s="9"/>
      <c r="AI802" s="9"/>
      <c r="AJ802" s="9"/>
      <c r="AK802" s="9"/>
      <c r="AL802" s="9"/>
      <c r="AM802" s="9"/>
      <c r="AN802" s="9"/>
      <c r="AO802" s="9"/>
      <c r="AP802" s="9"/>
      <c r="AQ802" s="9"/>
      <c r="AR802" s="9"/>
      <c r="AS802" s="9"/>
      <c r="AT802" s="9"/>
    </row>
    <row r="803">
      <c r="A803" s="492"/>
      <c r="B803" s="254"/>
      <c r="C803" s="492"/>
      <c r="D803" s="254"/>
      <c r="E803" s="492"/>
      <c r="F803" s="254"/>
      <c r="G803" s="492"/>
      <c r="H803" s="254"/>
      <c r="I803" s="500"/>
      <c r="J803" s="181"/>
      <c r="K803" s="500"/>
      <c r="L803" s="181"/>
      <c r="M803" s="492"/>
      <c r="N803" s="254"/>
      <c r="O803" s="492"/>
      <c r="P803" s="254"/>
      <c r="Q803" s="492"/>
      <c r="R803" s="254"/>
      <c r="S803" s="528"/>
      <c r="T803" s="528"/>
      <c r="U803" s="492"/>
      <c r="V803" s="254"/>
      <c r="W803" s="492"/>
      <c r="X803" s="254"/>
      <c r="Y803" s="9"/>
      <c r="Z803" s="9"/>
      <c r="AA803" s="9"/>
      <c r="AB803" s="9"/>
      <c r="AC803" s="9"/>
      <c r="AD803" s="9"/>
      <c r="AE803" s="9"/>
      <c r="AF803" s="9"/>
      <c r="AG803" s="9"/>
      <c r="AH803" s="9"/>
      <c r="AI803" s="9"/>
      <c r="AJ803" s="9"/>
      <c r="AK803" s="9"/>
      <c r="AL803" s="9"/>
      <c r="AM803" s="9"/>
      <c r="AN803" s="9"/>
      <c r="AO803" s="9"/>
      <c r="AP803" s="9"/>
      <c r="AQ803" s="9"/>
      <c r="AR803" s="9"/>
      <c r="AS803" s="9"/>
      <c r="AT803" s="9"/>
    </row>
    <row r="804">
      <c r="A804" s="492"/>
      <c r="B804" s="254"/>
      <c r="C804" s="492"/>
      <c r="D804" s="254"/>
      <c r="E804" s="492"/>
      <c r="F804" s="254"/>
      <c r="G804" s="492"/>
      <c r="H804" s="254"/>
      <c r="I804" s="500"/>
      <c r="J804" s="181"/>
      <c r="K804" s="500"/>
      <c r="L804" s="181"/>
      <c r="M804" s="492"/>
      <c r="N804" s="254"/>
      <c r="O804" s="492"/>
      <c r="P804" s="254"/>
      <c r="Q804" s="492"/>
      <c r="R804" s="254"/>
      <c r="S804" s="528"/>
      <c r="T804" s="528"/>
      <c r="U804" s="492"/>
      <c r="V804" s="254"/>
      <c r="W804" s="492"/>
      <c r="X804" s="254"/>
      <c r="Y804" s="9"/>
      <c r="Z804" s="9"/>
      <c r="AA804" s="9"/>
      <c r="AB804" s="9"/>
      <c r="AC804" s="9"/>
      <c r="AD804" s="9"/>
      <c r="AE804" s="9"/>
      <c r="AF804" s="9"/>
      <c r="AG804" s="9"/>
      <c r="AH804" s="9"/>
      <c r="AI804" s="9"/>
      <c r="AJ804" s="9"/>
      <c r="AK804" s="9"/>
      <c r="AL804" s="9"/>
      <c r="AM804" s="9"/>
      <c r="AN804" s="9"/>
      <c r="AO804" s="9"/>
      <c r="AP804" s="9"/>
      <c r="AQ804" s="9"/>
      <c r="AR804" s="9"/>
      <c r="AS804" s="9"/>
      <c r="AT804" s="9"/>
    </row>
    <row r="805">
      <c r="A805" s="492"/>
      <c r="B805" s="254"/>
      <c r="C805" s="492"/>
      <c r="D805" s="254"/>
      <c r="E805" s="492"/>
      <c r="F805" s="254"/>
      <c r="G805" s="492"/>
      <c r="H805" s="254"/>
      <c r="I805" s="500"/>
      <c r="J805" s="181"/>
      <c r="K805" s="500"/>
      <c r="L805" s="181"/>
      <c r="M805" s="492"/>
      <c r="N805" s="254"/>
      <c r="O805" s="492"/>
      <c r="P805" s="254"/>
      <c r="Q805" s="492"/>
      <c r="R805" s="254"/>
      <c r="S805" s="528"/>
      <c r="T805" s="528"/>
      <c r="U805" s="492"/>
      <c r="V805" s="254"/>
      <c r="W805" s="492"/>
      <c r="X805" s="254"/>
      <c r="Y805" s="9"/>
      <c r="Z805" s="9"/>
      <c r="AA805" s="9"/>
      <c r="AB805" s="9"/>
      <c r="AC805" s="9"/>
      <c r="AD805" s="9"/>
      <c r="AE805" s="9"/>
      <c r="AF805" s="9"/>
      <c r="AG805" s="9"/>
      <c r="AH805" s="9"/>
      <c r="AI805" s="9"/>
      <c r="AJ805" s="9"/>
      <c r="AK805" s="9"/>
      <c r="AL805" s="9"/>
      <c r="AM805" s="9"/>
      <c r="AN805" s="9"/>
      <c r="AO805" s="9"/>
      <c r="AP805" s="9"/>
      <c r="AQ805" s="9"/>
      <c r="AR805" s="9"/>
      <c r="AS805" s="9"/>
      <c r="AT805" s="9"/>
    </row>
    <row r="806">
      <c r="A806" s="492"/>
      <c r="B806" s="254"/>
      <c r="C806" s="492"/>
      <c r="D806" s="254"/>
      <c r="E806" s="492"/>
      <c r="F806" s="254"/>
      <c r="G806" s="492"/>
      <c r="H806" s="254"/>
      <c r="I806" s="500"/>
      <c r="J806" s="181"/>
      <c r="K806" s="500"/>
      <c r="L806" s="181"/>
      <c r="M806" s="492"/>
      <c r="N806" s="254"/>
      <c r="O806" s="492"/>
      <c r="P806" s="254"/>
      <c r="Q806" s="492"/>
      <c r="R806" s="254"/>
      <c r="S806" s="528"/>
      <c r="T806" s="528"/>
      <c r="U806" s="492"/>
      <c r="V806" s="254"/>
      <c r="W806" s="492"/>
      <c r="X806" s="254"/>
      <c r="Y806" s="9"/>
      <c r="Z806" s="9"/>
      <c r="AA806" s="9"/>
      <c r="AB806" s="9"/>
      <c r="AC806" s="9"/>
      <c r="AD806" s="9"/>
      <c r="AE806" s="9"/>
      <c r="AF806" s="9"/>
      <c r="AG806" s="9"/>
      <c r="AH806" s="9"/>
      <c r="AI806" s="9"/>
      <c r="AJ806" s="9"/>
      <c r="AK806" s="9"/>
      <c r="AL806" s="9"/>
      <c r="AM806" s="9"/>
      <c r="AN806" s="9"/>
      <c r="AO806" s="9"/>
      <c r="AP806" s="9"/>
      <c r="AQ806" s="9"/>
      <c r="AR806" s="9"/>
      <c r="AS806" s="9"/>
      <c r="AT806" s="9"/>
    </row>
    <row r="807">
      <c r="A807" s="492"/>
      <c r="B807" s="254"/>
      <c r="C807" s="492"/>
      <c r="D807" s="254"/>
      <c r="E807" s="492"/>
      <c r="F807" s="254"/>
      <c r="G807" s="492"/>
      <c r="H807" s="254"/>
      <c r="I807" s="500"/>
      <c r="J807" s="181"/>
      <c r="K807" s="500"/>
      <c r="L807" s="181"/>
      <c r="M807" s="492"/>
      <c r="N807" s="254"/>
      <c r="O807" s="492"/>
      <c r="P807" s="254"/>
      <c r="Q807" s="492"/>
      <c r="R807" s="254"/>
      <c r="S807" s="528"/>
      <c r="T807" s="528"/>
      <c r="U807" s="492"/>
      <c r="V807" s="254"/>
      <c r="W807" s="492"/>
      <c r="X807" s="254"/>
      <c r="Y807" s="9"/>
      <c r="Z807" s="9"/>
      <c r="AA807" s="9"/>
      <c r="AB807" s="9"/>
      <c r="AC807" s="9"/>
      <c r="AD807" s="9"/>
      <c r="AE807" s="9"/>
      <c r="AF807" s="9"/>
      <c r="AG807" s="9"/>
      <c r="AH807" s="9"/>
      <c r="AI807" s="9"/>
      <c r="AJ807" s="9"/>
      <c r="AK807" s="9"/>
      <c r="AL807" s="9"/>
      <c r="AM807" s="9"/>
      <c r="AN807" s="9"/>
      <c r="AO807" s="9"/>
      <c r="AP807" s="9"/>
      <c r="AQ807" s="9"/>
      <c r="AR807" s="9"/>
      <c r="AS807" s="9"/>
      <c r="AT807" s="9"/>
    </row>
    <row r="808">
      <c r="A808" s="492"/>
      <c r="B808" s="254"/>
      <c r="C808" s="492"/>
      <c r="D808" s="254"/>
      <c r="E808" s="492"/>
      <c r="F808" s="254"/>
      <c r="G808" s="492"/>
      <c r="H808" s="254"/>
      <c r="I808" s="500"/>
      <c r="J808" s="181"/>
      <c r="K808" s="500"/>
      <c r="L808" s="181"/>
      <c r="M808" s="492"/>
      <c r="N808" s="254"/>
      <c r="O808" s="492"/>
      <c r="P808" s="254"/>
      <c r="Q808" s="492"/>
      <c r="R808" s="254"/>
      <c r="S808" s="528"/>
      <c r="T808" s="528"/>
      <c r="U808" s="492"/>
      <c r="V808" s="254"/>
      <c r="W808" s="492"/>
      <c r="X808" s="254"/>
      <c r="Y808" s="9"/>
      <c r="Z808" s="9"/>
      <c r="AA808" s="9"/>
      <c r="AB808" s="9"/>
      <c r="AC808" s="9"/>
      <c r="AD808" s="9"/>
      <c r="AE808" s="9"/>
      <c r="AF808" s="9"/>
      <c r="AG808" s="9"/>
      <c r="AH808" s="9"/>
      <c r="AI808" s="9"/>
      <c r="AJ808" s="9"/>
      <c r="AK808" s="9"/>
      <c r="AL808" s="9"/>
      <c r="AM808" s="9"/>
      <c r="AN808" s="9"/>
      <c r="AO808" s="9"/>
      <c r="AP808" s="9"/>
      <c r="AQ808" s="9"/>
      <c r="AR808" s="9"/>
      <c r="AS808" s="9"/>
      <c r="AT808" s="9"/>
    </row>
    <row r="809">
      <c r="A809" s="492"/>
      <c r="B809" s="254"/>
      <c r="C809" s="492"/>
      <c r="D809" s="254"/>
      <c r="E809" s="492"/>
      <c r="F809" s="254"/>
      <c r="G809" s="492"/>
      <c r="H809" s="254"/>
      <c r="I809" s="500"/>
      <c r="J809" s="181"/>
      <c r="K809" s="500"/>
      <c r="L809" s="181"/>
      <c r="M809" s="492"/>
      <c r="N809" s="254"/>
      <c r="O809" s="492"/>
      <c r="P809" s="254"/>
      <c r="Q809" s="492"/>
      <c r="R809" s="254"/>
      <c r="S809" s="528"/>
      <c r="T809" s="528"/>
      <c r="U809" s="492"/>
      <c r="V809" s="254"/>
      <c r="W809" s="492"/>
      <c r="X809" s="254"/>
      <c r="Y809" s="9"/>
      <c r="Z809" s="9"/>
      <c r="AA809" s="9"/>
      <c r="AB809" s="9"/>
      <c r="AC809" s="9"/>
      <c r="AD809" s="9"/>
      <c r="AE809" s="9"/>
      <c r="AF809" s="9"/>
      <c r="AG809" s="9"/>
      <c r="AH809" s="9"/>
      <c r="AI809" s="9"/>
      <c r="AJ809" s="9"/>
      <c r="AK809" s="9"/>
      <c r="AL809" s="9"/>
      <c r="AM809" s="9"/>
      <c r="AN809" s="9"/>
      <c r="AO809" s="9"/>
      <c r="AP809" s="9"/>
      <c r="AQ809" s="9"/>
      <c r="AR809" s="9"/>
      <c r="AS809" s="9"/>
      <c r="AT809" s="9"/>
    </row>
    <row r="810">
      <c r="A810" s="492"/>
      <c r="B810" s="254"/>
      <c r="C810" s="492"/>
      <c r="D810" s="254"/>
      <c r="E810" s="492"/>
      <c r="F810" s="254"/>
      <c r="G810" s="492"/>
      <c r="H810" s="254"/>
      <c r="I810" s="500"/>
      <c r="J810" s="181"/>
      <c r="K810" s="500"/>
      <c r="L810" s="181"/>
      <c r="M810" s="492"/>
      <c r="N810" s="254"/>
      <c r="O810" s="492"/>
      <c r="P810" s="254"/>
      <c r="Q810" s="492"/>
      <c r="R810" s="254"/>
      <c r="S810" s="528"/>
      <c r="T810" s="528"/>
      <c r="U810" s="492"/>
      <c r="V810" s="254"/>
      <c r="W810" s="492"/>
      <c r="X810" s="254"/>
      <c r="Y810" s="9"/>
      <c r="Z810" s="9"/>
      <c r="AA810" s="9"/>
      <c r="AB810" s="9"/>
      <c r="AC810" s="9"/>
      <c r="AD810" s="9"/>
      <c r="AE810" s="9"/>
      <c r="AF810" s="9"/>
      <c r="AG810" s="9"/>
      <c r="AH810" s="9"/>
      <c r="AI810" s="9"/>
      <c r="AJ810" s="9"/>
      <c r="AK810" s="9"/>
      <c r="AL810" s="9"/>
      <c r="AM810" s="9"/>
      <c r="AN810" s="9"/>
      <c r="AO810" s="9"/>
      <c r="AP810" s="9"/>
      <c r="AQ810" s="9"/>
      <c r="AR810" s="9"/>
      <c r="AS810" s="9"/>
      <c r="AT810" s="9"/>
    </row>
    <row r="811">
      <c r="A811" s="492"/>
      <c r="B811" s="254"/>
      <c r="C811" s="492"/>
      <c r="D811" s="254"/>
      <c r="E811" s="492"/>
      <c r="F811" s="254"/>
      <c r="G811" s="492"/>
      <c r="H811" s="254"/>
      <c r="I811" s="500"/>
      <c r="J811" s="181"/>
      <c r="K811" s="500"/>
      <c r="L811" s="181"/>
      <c r="M811" s="492"/>
      <c r="N811" s="254"/>
      <c r="O811" s="492"/>
      <c r="P811" s="254"/>
      <c r="Q811" s="492"/>
      <c r="R811" s="254"/>
      <c r="S811" s="528"/>
      <c r="T811" s="528"/>
      <c r="U811" s="492"/>
      <c r="V811" s="254"/>
      <c r="W811" s="492"/>
      <c r="X811" s="254"/>
      <c r="Y811" s="9"/>
      <c r="Z811" s="9"/>
      <c r="AA811" s="9"/>
      <c r="AB811" s="9"/>
      <c r="AC811" s="9"/>
      <c r="AD811" s="9"/>
      <c r="AE811" s="9"/>
      <c r="AF811" s="9"/>
      <c r="AG811" s="9"/>
      <c r="AH811" s="9"/>
      <c r="AI811" s="9"/>
      <c r="AJ811" s="9"/>
      <c r="AK811" s="9"/>
      <c r="AL811" s="9"/>
      <c r="AM811" s="9"/>
      <c r="AN811" s="9"/>
      <c r="AO811" s="9"/>
      <c r="AP811" s="9"/>
      <c r="AQ811" s="9"/>
      <c r="AR811" s="9"/>
      <c r="AS811" s="9"/>
      <c r="AT811" s="9"/>
    </row>
    <row r="812">
      <c r="A812" s="492"/>
      <c r="B812" s="254"/>
      <c r="C812" s="492"/>
      <c r="D812" s="254"/>
      <c r="E812" s="492"/>
      <c r="F812" s="254"/>
      <c r="G812" s="492"/>
      <c r="H812" s="254"/>
      <c r="I812" s="500"/>
      <c r="J812" s="181"/>
      <c r="K812" s="500"/>
      <c r="L812" s="181"/>
      <c r="M812" s="492"/>
      <c r="N812" s="254"/>
      <c r="O812" s="492"/>
      <c r="P812" s="254"/>
      <c r="Q812" s="492"/>
      <c r="R812" s="254"/>
      <c r="S812" s="528"/>
      <c r="T812" s="528"/>
      <c r="U812" s="492"/>
      <c r="V812" s="254"/>
      <c r="W812" s="492"/>
      <c r="X812" s="254"/>
      <c r="Y812" s="9"/>
      <c r="Z812" s="9"/>
      <c r="AA812" s="9"/>
      <c r="AB812" s="9"/>
      <c r="AC812" s="9"/>
      <c r="AD812" s="9"/>
      <c r="AE812" s="9"/>
      <c r="AF812" s="9"/>
      <c r="AG812" s="9"/>
      <c r="AH812" s="9"/>
      <c r="AI812" s="9"/>
      <c r="AJ812" s="9"/>
      <c r="AK812" s="9"/>
      <c r="AL812" s="9"/>
      <c r="AM812" s="9"/>
      <c r="AN812" s="9"/>
      <c r="AO812" s="9"/>
      <c r="AP812" s="9"/>
      <c r="AQ812" s="9"/>
      <c r="AR812" s="9"/>
      <c r="AS812" s="9"/>
      <c r="AT812" s="9"/>
    </row>
    <row r="813">
      <c r="A813" s="492"/>
      <c r="B813" s="254"/>
      <c r="C813" s="492"/>
      <c r="D813" s="254"/>
      <c r="E813" s="492"/>
      <c r="F813" s="254"/>
      <c r="G813" s="492"/>
      <c r="H813" s="254"/>
      <c r="I813" s="500"/>
      <c r="J813" s="181"/>
      <c r="K813" s="500"/>
      <c r="L813" s="181"/>
      <c r="M813" s="492"/>
      <c r="N813" s="254"/>
      <c r="O813" s="492"/>
      <c r="P813" s="254"/>
      <c r="Q813" s="492"/>
      <c r="R813" s="254"/>
      <c r="S813" s="528"/>
      <c r="T813" s="528"/>
      <c r="U813" s="492"/>
      <c r="V813" s="254"/>
      <c r="W813" s="492"/>
      <c r="X813" s="254"/>
      <c r="Y813" s="9"/>
      <c r="Z813" s="9"/>
      <c r="AA813" s="9"/>
      <c r="AB813" s="9"/>
      <c r="AC813" s="9"/>
      <c r="AD813" s="9"/>
      <c r="AE813" s="9"/>
      <c r="AF813" s="9"/>
      <c r="AG813" s="9"/>
      <c r="AH813" s="9"/>
      <c r="AI813" s="9"/>
      <c r="AJ813" s="9"/>
      <c r="AK813" s="9"/>
      <c r="AL813" s="9"/>
      <c r="AM813" s="9"/>
      <c r="AN813" s="9"/>
      <c r="AO813" s="9"/>
      <c r="AP813" s="9"/>
      <c r="AQ813" s="9"/>
      <c r="AR813" s="9"/>
      <c r="AS813" s="9"/>
      <c r="AT813" s="9"/>
    </row>
    <row r="814">
      <c r="A814" s="492"/>
      <c r="B814" s="254"/>
      <c r="C814" s="492"/>
      <c r="D814" s="254"/>
      <c r="E814" s="492"/>
      <c r="F814" s="254"/>
      <c r="G814" s="492"/>
      <c r="H814" s="254"/>
      <c r="I814" s="500"/>
      <c r="J814" s="181"/>
      <c r="K814" s="500"/>
      <c r="L814" s="181"/>
      <c r="M814" s="492"/>
      <c r="N814" s="254"/>
      <c r="O814" s="492"/>
      <c r="P814" s="254"/>
      <c r="Q814" s="492"/>
      <c r="R814" s="254"/>
      <c r="S814" s="528"/>
      <c r="T814" s="528"/>
      <c r="U814" s="492"/>
      <c r="V814" s="254"/>
      <c r="W814" s="492"/>
      <c r="X814" s="254"/>
      <c r="Y814" s="9"/>
      <c r="Z814" s="9"/>
      <c r="AA814" s="9"/>
      <c r="AB814" s="9"/>
      <c r="AC814" s="9"/>
      <c r="AD814" s="9"/>
      <c r="AE814" s="9"/>
      <c r="AF814" s="9"/>
      <c r="AG814" s="9"/>
      <c r="AH814" s="9"/>
      <c r="AI814" s="9"/>
      <c r="AJ814" s="9"/>
      <c r="AK814" s="9"/>
      <c r="AL814" s="9"/>
      <c r="AM814" s="9"/>
      <c r="AN814" s="9"/>
      <c r="AO814" s="9"/>
      <c r="AP814" s="9"/>
      <c r="AQ814" s="9"/>
      <c r="AR814" s="9"/>
      <c r="AS814" s="9"/>
      <c r="AT814" s="9"/>
    </row>
    <row r="815">
      <c r="A815" s="492"/>
      <c r="B815" s="254"/>
      <c r="C815" s="492"/>
      <c r="D815" s="254"/>
      <c r="E815" s="492"/>
      <c r="F815" s="254"/>
      <c r="G815" s="492"/>
      <c r="H815" s="254"/>
      <c r="I815" s="500"/>
      <c r="J815" s="181"/>
      <c r="K815" s="500"/>
      <c r="L815" s="181"/>
      <c r="M815" s="492"/>
      <c r="N815" s="254"/>
      <c r="O815" s="492"/>
      <c r="P815" s="254"/>
      <c r="Q815" s="492"/>
      <c r="R815" s="254"/>
      <c r="S815" s="528"/>
      <c r="T815" s="528"/>
      <c r="U815" s="492"/>
      <c r="V815" s="254"/>
      <c r="W815" s="492"/>
      <c r="X815" s="254"/>
      <c r="Y815" s="9"/>
      <c r="Z815" s="9"/>
      <c r="AA815" s="9"/>
      <c r="AB815" s="9"/>
      <c r="AC815" s="9"/>
      <c r="AD815" s="9"/>
      <c r="AE815" s="9"/>
      <c r="AF815" s="9"/>
      <c r="AG815" s="9"/>
      <c r="AH815" s="9"/>
      <c r="AI815" s="9"/>
      <c r="AJ815" s="9"/>
      <c r="AK815" s="9"/>
      <c r="AL815" s="9"/>
      <c r="AM815" s="9"/>
      <c r="AN815" s="9"/>
      <c r="AO815" s="9"/>
      <c r="AP815" s="9"/>
      <c r="AQ815" s="9"/>
      <c r="AR815" s="9"/>
      <c r="AS815" s="9"/>
      <c r="AT815" s="9"/>
    </row>
    <row r="816">
      <c r="A816" s="492"/>
      <c r="B816" s="254"/>
      <c r="C816" s="492"/>
      <c r="D816" s="254"/>
      <c r="E816" s="492"/>
      <c r="F816" s="254"/>
      <c r="G816" s="492"/>
      <c r="H816" s="254"/>
      <c r="I816" s="500"/>
      <c r="J816" s="181"/>
      <c r="K816" s="500"/>
      <c r="L816" s="181"/>
      <c r="M816" s="492"/>
      <c r="N816" s="254"/>
      <c r="O816" s="492"/>
      <c r="P816" s="254"/>
      <c r="Q816" s="492"/>
      <c r="R816" s="254"/>
      <c r="S816" s="528"/>
      <c r="T816" s="528"/>
      <c r="U816" s="492"/>
      <c r="V816" s="254"/>
      <c r="W816" s="492"/>
      <c r="X816" s="254"/>
      <c r="Y816" s="9"/>
      <c r="Z816" s="9"/>
      <c r="AA816" s="9"/>
      <c r="AB816" s="9"/>
      <c r="AC816" s="9"/>
      <c r="AD816" s="9"/>
      <c r="AE816" s="9"/>
      <c r="AF816" s="9"/>
      <c r="AG816" s="9"/>
      <c r="AH816" s="9"/>
      <c r="AI816" s="9"/>
      <c r="AJ816" s="9"/>
      <c r="AK816" s="9"/>
      <c r="AL816" s="9"/>
      <c r="AM816" s="9"/>
      <c r="AN816" s="9"/>
      <c r="AO816" s="9"/>
      <c r="AP816" s="9"/>
      <c r="AQ816" s="9"/>
      <c r="AR816" s="9"/>
      <c r="AS816" s="9"/>
      <c r="AT816" s="9"/>
    </row>
    <row r="817">
      <c r="A817" s="492"/>
      <c r="B817" s="254"/>
      <c r="C817" s="492"/>
      <c r="D817" s="254"/>
      <c r="E817" s="492"/>
      <c r="F817" s="254"/>
      <c r="G817" s="492"/>
      <c r="H817" s="254"/>
      <c r="I817" s="500"/>
      <c r="J817" s="181"/>
      <c r="K817" s="500"/>
      <c r="L817" s="181"/>
      <c r="M817" s="492"/>
      <c r="N817" s="254"/>
      <c r="O817" s="492"/>
      <c r="P817" s="254"/>
      <c r="Q817" s="492"/>
      <c r="R817" s="254"/>
      <c r="S817" s="528"/>
      <c r="T817" s="528"/>
      <c r="U817" s="492"/>
      <c r="V817" s="254"/>
      <c r="W817" s="492"/>
      <c r="X817" s="254"/>
      <c r="Y817" s="9"/>
      <c r="Z817" s="9"/>
      <c r="AA817" s="9"/>
      <c r="AB817" s="9"/>
      <c r="AC817" s="9"/>
      <c r="AD817" s="9"/>
      <c r="AE817" s="9"/>
      <c r="AF817" s="9"/>
      <c r="AG817" s="9"/>
      <c r="AH817" s="9"/>
      <c r="AI817" s="9"/>
      <c r="AJ817" s="9"/>
      <c r="AK817" s="9"/>
      <c r="AL817" s="9"/>
      <c r="AM817" s="9"/>
      <c r="AN817" s="9"/>
      <c r="AO817" s="9"/>
      <c r="AP817" s="9"/>
      <c r="AQ817" s="9"/>
      <c r="AR817" s="9"/>
      <c r="AS817" s="9"/>
      <c r="AT817" s="9"/>
    </row>
    <row r="818">
      <c r="A818" s="492"/>
      <c r="B818" s="254"/>
      <c r="C818" s="492"/>
      <c r="D818" s="254"/>
      <c r="E818" s="492"/>
      <c r="F818" s="254"/>
      <c r="G818" s="492"/>
      <c r="H818" s="254"/>
      <c r="I818" s="500"/>
      <c r="J818" s="181"/>
      <c r="K818" s="500"/>
      <c r="L818" s="181"/>
      <c r="M818" s="492"/>
      <c r="N818" s="254"/>
      <c r="O818" s="492"/>
      <c r="P818" s="254"/>
      <c r="Q818" s="492"/>
      <c r="R818" s="254"/>
      <c r="S818" s="528"/>
      <c r="T818" s="528"/>
      <c r="U818" s="492"/>
      <c r="V818" s="254"/>
      <c r="W818" s="492"/>
      <c r="X818" s="254"/>
      <c r="Y818" s="9"/>
      <c r="Z818" s="9"/>
      <c r="AA818" s="9"/>
      <c r="AB818" s="9"/>
      <c r="AC818" s="9"/>
      <c r="AD818" s="9"/>
      <c r="AE818" s="9"/>
      <c r="AF818" s="9"/>
      <c r="AG818" s="9"/>
      <c r="AH818" s="9"/>
      <c r="AI818" s="9"/>
      <c r="AJ818" s="9"/>
      <c r="AK818" s="9"/>
      <c r="AL818" s="9"/>
      <c r="AM818" s="9"/>
      <c r="AN818" s="9"/>
      <c r="AO818" s="9"/>
      <c r="AP818" s="9"/>
      <c r="AQ818" s="9"/>
      <c r="AR818" s="9"/>
      <c r="AS818" s="9"/>
      <c r="AT818" s="9"/>
    </row>
    <row r="819">
      <c r="A819" s="492"/>
      <c r="B819" s="254"/>
      <c r="C819" s="492"/>
      <c r="D819" s="254"/>
      <c r="E819" s="492"/>
      <c r="F819" s="254"/>
      <c r="G819" s="492"/>
      <c r="H819" s="254"/>
      <c r="I819" s="500"/>
      <c r="J819" s="181"/>
      <c r="K819" s="500"/>
      <c r="L819" s="181"/>
      <c r="M819" s="492"/>
      <c r="N819" s="254"/>
      <c r="O819" s="492"/>
      <c r="P819" s="254"/>
      <c r="Q819" s="492"/>
      <c r="R819" s="254"/>
      <c r="S819" s="528"/>
      <c r="T819" s="528"/>
      <c r="U819" s="492"/>
      <c r="V819" s="254"/>
      <c r="W819" s="492"/>
      <c r="X819" s="254"/>
      <c r="Y819" s="9"/>
      <c r="Z819" s="9"/>
      <c r="AA819" s="9"/>
      <c r="AB819" s="9"/>
      <c r="AC819" s="9"/>
      <c r="AD819" s="9"/>
      <c r="AE819" s="9"/>
      <c r="AF819" s="9"/>
      <c r="AG819" s="9"/>
      <c r="AH819" s="9"/>
      <c r="AI819" s="9"/>
      <c r="AJ819" s="9"/>
      <c r="AK819" s="9"/>
      <c r="AL819" s="9"/>
      <c r="AM819" s="9"/>
      <c r="AN819" s="9"/>
      <c r="AO819" s="9"/>
      <c r="AP819" s="9"/>
      <c r="AQ819" s="9"/>
      <c r="AR819" s="9"/>
      <c r="AS819" s="9"/>
      <c r="AT819" s="9"/>
    </row>
    <row r="820">
      <c r="A820" s="492"/>
      <c r="B820" s="254"/>
      <c r="C820" s="492"/>
      <c r="D820" s="254"/>
      <c r="E820" s="492"/>
      <c r="F820" s="254"/>
      <c r="G820" s="492"/>
      <c r="H820" s="254"/>
      <c r="I820" s="500"/>
      <c r="J820" s="181"/>
      <c r="K820" s="500"/>
      <c r="L820" s="181"/>
      <c r="M820" s="492"/>
      <c r="N820" s="254"/>
      <c r="O820" s="492"/>
      <c r="P820" s="254"/>
      <c r="Q820" s="492"/>
      <c r="R820" s="254"/>
      <c r="S820" s="528"/>
      <c r="T820" s="528"/>
      <c r="U820" s="492"/>
      <c r="V820" s="254"/>
      <c r="W820" s="492"/>
      <c r="X820" s="254"/>
      <c r="Y820" s="9"/>
      <c r="Z820" s="9"/>
      <c r="AA820" s="9"/>
      <c r="AB820" s="9"/>
      <c r="AC820" s="9"/>
      <c r="AD820" s="9"/>
      <c r="AE820" s="9"/>
      <c r="AF820" s="9"/>
      <c r="AG820" s="9"/>
      <c r="AH820" s="9"/>
      <c r="AI820" s="9"/>
      <c r="AJ820" s="9"/>
      <c r="AK820" s="9"/>
      <c r="AL820" s="9"/>
      <c r="AM820" s="9"/>
      <c r="AN820" s="9"/>
      <c r="AO820" s="9"/>
      <c r="AP820" s="9"/>
      <c r="AQ820" s="9"/>
      <c r="AR820" s="9"/>
      <c r="AS820" s="9"/>
      <c r="AT820" s="9"/>
    </row>
    <row r="821">
      <c r="A821" s="492"/>
      <c r="B821" s="254"/>
      <c r="C821" s="492"/>
      <c r="D821" s="254"/>
      <c r="E821" s="492"/>
      <c r="F821" s="254"/>
      <c r="G821" s="492"/>
      <c r="H821" s="254"/>
      <c r="I821" s="500"/>
      <c r="J821" s="181"/>
      <c r="K821" s="500"/>
      <c r="L821" s="181"/>
      <c r="M821" s="492"/>
      <c r="N821" s="254"/>
      <c r="O821" s="492"/>
      <c r="P821" s="254"/>
      <c r="Q821" s="492"/>
      <c r="R821" s="254"/>
      <c r="S821" s="528"/>
      <c r="T821" s="528"/>
      <c r="U821" s="492"/>
      <c r="V821" s="254"/>
      <c r="W821" s="492"/>
      <c r="X821" s="254"/>
      <c r="Y821" s="9"/>
      <c r="Z821" s="9"/>
      <c r="AA821" s="9"/>
      <c r="AB821" s="9"/>
      <c r="AC821" s="9"/>
      <c r="AD821" s="9"/>
      <c r="AE821" s="9"/>
      <c r="AF821" s="9"/>
      <c r="AG821" s="9"/>
      <c r="AH821" s="9"/>
      <c r="AI821" s="9"/>
      <c r="AJ821" s="9"/>
      <c r="AK821" s="9"/>
      <c r="AL821" s="9"/>
      <c r="AM821" s="9"/>
      <c r="AN821" s="9"/>
      <c r="AO821" s="9"/>
      <c r="AP821" s="9"/>
      <c r="AQ821" s="9"/>
      <c r="AR821" s="9"/>
      <c r="AS821" s="9"/>
      <c r="AT821" s="9"/>
    </row>
    <row r="822">
      <c r="A822" s="492"/>
      <c r="B822" s="254"/>
      <c r="C822" s="492"/>
      <c r="D822" s="254"/>
      <c r="E822" s="492"/>
      <c r="F822" s="254"/>
      <c r="G822" s="492"/>
      <c r="H822" s="254"/>
      <c r="I822" s="500"/>
      <c r="J822" s="181"/>
      <c r="K822" s="500"/>
      <c r="L822" s="181"/>
      <c r="M822" s="492"/>
      <c r="N822" s="254"/>
      <c r="O822" s="492"/>
      <c r="P822" s="254"/>
      <c r="Q822" s="492"/>
      <c r="R822" s="254"/>
      <c r="S822" s="528"/>
      <c r="T822" s="528"/>
      <c r="U822" s="492"/>
      <c r="V822" s="254"/>
      <c r="W822" s="492"/>
      <c r="X822" s="254"/>
      <c r="Y822" s="9"/>
      <c r="Z822" s="9"/>
      <c r="AA822" s="9"/>
      <c r="AB822" s="9"/>
      <c r="AC822" s="9"/>
      <c r="AD822" s="9"/>
      <c r="AE822" s="9"/>
      <c r="AF822" s="9"/>
      <c r="AG822" s="9"/>
      <c r="AH822" s="9"/>
      <c r="AI822" s="9"/>
      <c r="AJ822" s="9"/>
      <c r="AK822" s="9"/>
      <c r="AL822" s="9"/>
      <c r="AM822" s="9"/>
      <c r="AN822" s="9"/>
      <c r="AO822" s="9"/>
      <c r="AP822" s="9"/>
      <c r="AQ822" s="9"/>
      <c r="AR822" s="9"/>
      <c r="AS822" s="9"/>
      <c r="AT822" s="9"/>
    </row>
    <row r="823">
      <c r="A823" s="492"/>
      <c r="B823" s="254"/>
      <c r="C823" s="492"/>
      <c r="D823" s="254"/>
      <c r="E823" s="492"/>
      <c r="F823" s="254"/>
      <c r="G823" s="492"/>
      <c r="H823" s="254"/>
      <c r="I823" s="500"/>
      <c r="J823" s="181"/>
      <c r="K823" s="500"/>
      <c r="L823" s="181"/>
      <c r="M823" s="492"/>
      <c r="N823" s="254"/>
      <c r="O823" s="492"/>
      <c r="P823" s="254"/>
      <c r="Q823" s="492"/>
      <c r="R823" s="254"/>
      <c r="S823" s="528"/>
      <c r="T823" s="528"/>
      <c r="U823" s="492"/>
      <c r="V823" s="254"/>
      <c r="W823" s="492"/>
      <c r="X823" s="254"/>
      <c r="Y823" s="9"/>
      <c r="Z823" s="9"/>
      <c r="AA823" s="9"/>
      <c r="AB823" s="9"/>
      <c r="AC823" s="9"/>
      <c r="AD823" s="9"/>
      <c r="AE823" s="9"/>
      <c r="AF823" s="9"/>
      <c r="AG823" s="9"/>
      <c r="AH823" s="9"/>
      <c r="AI823" s="9"/>
      <c r="AJ823" s="9"/>
      <c r="AK823" s="9"/>
      <c r="AL823" s="9"/>
      <c r="AM823" s="9"/>
      <c r="AN823" s="9"/>
      <c r="AO823" s="9"/>
      <c r="AP823" s="9"/>
      <c r="AQ823" s="9"/>
      <c r="AR823" s="9"/>
      <c r="AS823" s="9"/>
      <c r="AT823" s="9"/>
    </row>
    <row r="824">
      <c r="A824" s="492"/>
      <c r="B824" s="254"/>
      <c r="C824" s="492"/>
      <c r="D824" s="254"/>
      <c r="E824" s="492"/>
      <c r="F824" s="254"/>
      <c r="G824" s="492"/>
      <c r="H824" s="254"/>
      <c r="I824" s="500"/>
      <c r="J824" s="181"/>
      <c r="K824" s="500"/>
      <c r="L824" s="181"/>
      <c r="M824" s="492"/>
      <c r="N824" s="254"/>
      <c r="O824" s="492"/>
      <c r="P824" s="254"/>
      <c r="Q824" s="492"/>
      <c r="R824" s="254"/>
      <c r="S824" s="528"/>
      <c r="T824" s="528"/>
      <c r="U824" s="492"/>
      <c r="V824" s="254"/>
      <c r="W824" s="492"/>
      <c r="X824" s="254"/>
      <c r="Y824" s="9"/>
      <c r="Z824" s="9"/>
      <c r="AA824" s="9"/>
      <c r="AB824" s="9"/>
      <c r="AC824" s="9"/>
      <c r="AD824" s="9"/>
      <c r="AE824" s="9"/>
      <c r="AF824" s="9"/>
      <c r="AG824" s="9"/>
      <c r="AH824" s="9"/>
      <c r="AI824" s="9"/>
      <c r="AJ824" s="9"/>
      <c r="AK824" s="9"/>
      <c r="AL824" s="9"/>
      <c r="AM824" s="9"/>
      <c r="AN824" s="9"/>
      <c r="AO824" s="9"/>
      <c r="AP824" s="9"/>
      <c r="AQ824" s="9"/>
      <c r="AR824" s="9"/>
      <c r="AS824" s="9"/>
      <c r="AT824" s="9"/>
    </row>
    <row r="825">
      <c r="A825" s="492"/>
      <c r="B825" s="254"/>
      <c r="C825" s="492"/>
      <c r="D825" s="254"/>
      <c r="E825" s="492"/>
      <c r="F825" s="254"/>
      <c r="G825" s="492"/>
      <c r="H825" s="254"/>
      <c r="I825" s="500"/>
      <c r="J825" s="181"/>
      <c r="K825" s="500"/>
      <c r="L825" s="181"/>
      <c r="M825" s="492"/>
      <c r="N825" s="254"/>
      <c r="O825" s="492"/>
      <c r="P825" s="254"/>
      <c r="Q825" s="492"/>
      <c r="R825" s="254"/>
      <c r="S825" s="528"/>
      <c r="T825" s="528"/>
      <c r="U825" s="492"/>
      <c r="V825" s="254"/>
      <c r="W825" s="492"/>
      <c r="X825" s="254"/>
      <c r="Y825" s="9"/>
      <c r="Z825" s="9"/>
      <c r="AA825" s="9"/>
      <c r="AB825" s="9"/>
      <c r="AC825" s="9"/>
      <c r="AD825" s="9"/>
      <c r="AE825" s="9"/>
      <c r="AF825" s="9"/>
      <c r="AG825" s="9"/>
      <c r="AH825" s="9"/>
      <c r="AI825" s="9"/>
      <c r="AJ825" s="9"/>
      <c r="AK825" s="9"/>
      <c r="AL825" s="9"/>
      <c r="AM825" s="9"/>
      <c r="AN825" s="9"/>
      <c r="AO825" s="9"/>
      <c r="AP825" s="9"/>
      <c r="AQ825" s="9"/>
      <c r="AR825" s="9"/>
      <c r="AS825" s="9"/>
      <c r="AT825" s="9"/>
    </row>
    <row r="826">
      <c r="A826" s="492"/>
      <c r="B826" s="254"/>
      <c r="C826" s="492"/>
      <c r="D826" s="254"/>
      <c r="E826" s="492"/>
      <c r="F826" s="254"/>
      <c r="G826" s="492"/>
      <c r="H826" s="254"/>
      <c r="I826" s="500"/>
      <c r="J826" s="181"/>
      <c r="K826" s="500"/>
      <c r="L826" s="181"/>
      <c r="M826" s="492"/>
      <c r="N826" s="254"/>
      <c r="O826" s="492"/>
      <c r="P826" s="254"/>
      <c r="Q826" s="492"/>
      <c r="R826" s="254"/>
      <c r="S826" s="528"/>
      <c r="T826" s="528"/>
      <c r="U826" s="492"/>
      <c r="V826" s="254"/>
      <c r="W826" s="492"/>
      <c r="X826" s="254"/>
      <c r="Y826" s="9"/>
      <c r="Z826" s="9"/>
      <c r="AA826" s="9"/>
      <c r="AB826" s="9"/>
      <c r="AC826" s="9"/>
      <c r="AD826" s="9"/>
      <c r="AE826" s="9"/>
      <c r="AF826" s="9"/>
      <c r="AG826" s="9"/>
      <c r="AH826" s="9"/>
      <c r="AI826" s="9"/>
      <c r="AJ826" s="9"/>
      <c r="AK826" s="9"/>
      <c r="AL826" s="9"/>
      <c r="AM826" s="9"/>
      <c r="AN826" s="9"/>
      <c r="AO826" s="9"/>
      <c r="AP826" s="9"/>
      <c r="AQ826" s="9"/>
      <c r="AR826" s="9"/>
      <c r="AS826" s="9"/>
      <c r="AT826" s="9"/>
    </row>
    <row r="827">
      <c r="A827" s="492"/>
      <c r="B827" s="254"/>
      <c r="C827" s="492"/>
      <c r="D827" s="254"/>
      <c r="E827" s="492"/>
      <c r="F827" s="254"/>
      <c r="G827" s="492"/>
      <c r="H827" s="254"/>
      <c r="I827" s="500"/>
      <c r="J827" s="181"/>
      <c r="K827" s="500"/>
      <c r="L827" s="181"/>
      <c r="M827" s="492"/>
      <c r="N827" s="254"/>
      <c r="O827" s="492"/>
      <c r="P827" s="254"/>
      <c r="Q827" s="492"/>
      <c r="R827" s="254"/>
      <c r="S827" s="528"/>
      <c r="T827" s="528"/>
      <c r="U827" s="492"/>
      <c r="V827" s="254"/>
      <c r="W827" s="492"/>
      <c r="X827" s="254"/>
      <c r="Y827" s="9"/>
      <c r="Z827" s="9"/>
      <c r="AA827" s="9"/>
      <c r="AB827" s="9"/>
      <c r="AC827" s="9"/>
      <c r="AD827" s="9"/>
      <c r="AE827" s="9"/>
      <c r="AF827" s="9"/>
      <c r="AG827" s="9"/>
      <c r="AH827" s="9"/>
      <c r="AI827" s="9"/>
      <c r="AJ827" s="9"/>
      <c r="AK827" s="9"/>
      <c r="AL827" s="9"/>
      <c r="AM827" s="9"/>
      <c r="AN827" s="9"/>
      <c r="AO827" s="9"/>
      <c r="AP827" s="9"/>
      <c r="AQ827" s="9"/>
      <c r="AR827" s="9"/>
      <c r="AS827" s="9"/>
      <c r="AT827" s="9"/>
    </row>
    <row r="828">
      <c r="A828" s="492"/>
      <c r="B828" s="254"/>
      <c r="C828" s="492"/>
      <c r="D828" s="254"/>
      <c r="E828" s="492"/>
      <c r="F828" s="254"/>
      <c r="G828" s="492"/>
      <c r="H828" s="254"/>
      <c r="I828" s="500"/>
      <c r="J828" s="181"/>
      <c r="K828" s="500"/>
      <c r="L828" s="181"/>
      <c r="M828" s="492"/>
      <c r="N828" s="254"/>
      <c r="O828" s="492"/>
      <c r="P828" s="254"/>
      <c r="Q828" s="492"/>
      <c r="R828" s="254"/>
      <c r="S828" s="528"/>
      <c r="T828" s="528"/>
      <c r="U828" s="492"/>
      <c r="V828" s="254"/>
      <c r="W828" s="492"/>
      <c r="X828" s="254"/>
      <c r="Y828" s="9"/>
      <c r="Z828" s="9"/>
      <c r="AA828" s="9"/>
      <c r="AB828" s="9"/>
      <c r="AC828" s="9"/>
      <c r="AD828" s="9"/>
      <c r="AE828" s="9"/>
      <c r="AF828" s="9"/>
      <c r="AG828" s="9"/>
      <c r="AH828" s="9"/>
      <c r="AI828" s="9"/>
      <c r="AJ828" s="9"/>
      <c r="AK828" s="9"/>
      <c r="AL828" s="9"/>
      <c r="AM828" s="9"/>
      <c r="AN828" s="9"/>
      <c r="AO828" s="9"/>
      <c r="AP828" s="9"/>
      <c r="AQ828" s="9"/>
      <c r="AR828" s="9"/>
      <c r="AS828" s="9"/>
      <c r="AT828" s="9"/>
    </row>
    <row r="829">
      <c r="A829" s="492"/>
      <c r="B829" s="254"/>
      <c r="C829" s="492"/>
      <c r="D829" s="254"/>
      <c r="E829" s="492"/>
      <c r="F829" s="254"/>
      <c r="G829" s="492"/>
      <c r="H829" s="254"/>
      <c r="I829" s="500"/>
      <c r="J829" s="181"/>
      <c r="K829" s="500"/>
      <c r="L829" s="181"/>
      <c r="M829" s="492"/>
      <c r="N829" s="254"/>
      <c r="O829" s="492"/>
      <c r="P829" s="254"/>
      <c r="Q829" s="492"/>
      <c r="R829" s="254"/>
      <c r="S829" s="528"/>
      <c r="T829" s="528"/>
      <c r="U829" s="492"/>
      <c r="V829" s="254"/>
      <c r="W829" s="492"/>
      <c r="X829" s="254"/>
      <c r="Y829" s="9"/>
      <c r="Z829" s="9"/>
      <c r="AA829" s="9"/>
      <c r="AB829" s="9"/>
      <c r="AC829" s="9"/>
      <c r="AD829" s="9"/>
      <c r="AE829" s="9"/>
      <c r="AF829" s="9"/>
      <c r="AG829" s="9"/>
      <c r="AH829" s="9"/>
      <c r="AI829" s="9"/>
      <c r="AJ829" s="9"/>
      <c r="AK829" s="9"/>
      <c r="AL829" s="9"/>
      <c r="AM829" s="9"/>
      <c r="AN829" s="9"/>
      <c r="AO829" s="9"/>
      <c r="AP829" s="9"/>
      <c r="AQ829" s="9"/>
      <c r="AR829" s="9"/>
      <c r="AS829" s="9"/>
      <c r="AT829" s="9"/>
    </row>
    <row r="830">
      <c r="A830" s="492"/>
      <c r="B830" s="254"/>
      <c r="C830" s="492"/>
      <c r="D830" s="254"/>
      <c r="E830" s="492"/>
      <c r="F830" s="254"/>
      <c r="G830" s="492"/>
      <c r="H830" s="254"/>
      <c r="I830" s="500"/>
      <c r="J830" s="181"/>
      <c r="K830" s="500"/>
      <c r="L830" s="181"/>
      <c r="M830" s="492"/>
      <c r="N830" s="254"/>
      <c r="O830" s="492"/>
      <c r="P830" s="254"/>
      <c r="Q830" s="492"/>
      <c r="R830" s="254"/>
      <c r="S830" s="528"/>
      <c r="T830" s="528"/>
      <c r="U830" s="492"/>
      <c r="V830" s="254"/>
      <c r="W830" s="492"/>
      <c r="X830" s="254"/>
      <c r="Y830" s="9"/>
      <c r="Z830" s="9"/>
      <c r="AA830" s="9"/>
      <c r="AB830" s="9"/>
      <c r="AC830" s="9"/>
      <c r="AD830" s="9"/>
      <c r="AE830" s="9"/>
      <c r="AF830" s="9"/>
      <c r="AG830" s="9"/>
      <c r="AH830" s="9"/>
      <c r="AI830" s="9"/>
      <c r="AJ830" s="9"/>
      <c r="AK830" s="9"/>
      <c r="AL830" s="9"/>
      <c r="AM830" s="9"/>
      <c r="AN830" s="9"/>
      <c r="AO830" s="9"/>
      <c r="AP830" s="9"/>
      <c r="AQ830" s="9"/>
      <c r="AR830" s="9"/>
      <c r="AS830" s="9"/>
      <c r="AT830" s="9"/>
    </row>
    <row r="831">
      <c r="A831" s="492"/>
      <c r="B831" s="254"/>
      <c r="C831" s="492"/>
      <c r="D831" s="254"/>
      <c r="E831" s="492"/>
      <c r="F831" s="254"/>
      <c r="G831" s="492"/>
      <c r="H831" s="254"/>
      <c r="I831" s="500"/>
      <c r="J831" s="181"/>
      <c r="K831" s="500"/>
      <c r="L831" s="181"/>
      <c r="M831" s="492"/>
      <c r="N831" s="254"/>
      <c r="O831" s="492"/>
      <c r="P831" s="254"/>
      <c r="Q831" s="492"/>
      <c r="R831" s="254"/>
      <c r="S831" s="528"/>
      <c r="T831" s="528"/>
      <c r="U831" s="492"/>
      <c r="V831" s="254"/>
      <c r="W831" s="492"/>
      <c r="X831" s="254"/>
      <c r="Y831" s="9"/>
      <c r="Z831" s="9"/>
      <c r="AA831" s="9"/>
      <c r="AB831" s="9"/>
      <c r="AC831" s="9"/>
      <c r="AD831" s="9"/>
      <c r="AE831" s="9"/>
      <c r="AF831" s="9"/>
      <c r="AG831" s="9"/>
      <c r="AH831" s="9"/>
      <c r="AI831" s="9"/>
      <c r="AJ831" s="9"/>
      <c r="AK831" s="9"/>
      <c r="AL831" s="9"/>
      <c r="AM831" s="9"/>
      <c r="AN831" s="9"/>
      <c r="AO831" s="9"/>
      <c r="AP831" s="9"/>
      <c r="AQ831" s="9"/>
      <c r="AR831" s="9"/>
      <c r="AS831" s="9"/>
      <c r="AT831" s="9"/>
    </row>
    <row r="832">
      <c r="A832" s="492"/>
      <c r="B832" s="254"/>
      <c r="C832" s="492"/>
      <c r="D832" s="254"/>
      <c r="E832" s="492"/>
      <c r="F832" s="254"/>
      <c r="G832" s="492"/>
      <c r="H832" s="254"/>
      <c r="I832" s="500"/>
      <c r="J832" s="181"/>
      <c r="K832" s="500"/>
      <c r="L832" s="181"/>
      <c r="M832" s="492"/>
      <c r="N832" s="254"/>
      <c r="O832" s="492"/>
      <c r="P832" s="254"/>
      <c r="Q832" s="492"/>
      <c r="R832" s="254"/>
      <c r="S832" s="528"/>
      <c r="T832" s="528"/>
      <c r="U832" s="492"/>
      <c r="V832" s="254"/>
      <c r="W832" s="492"/>
      <c r="X832" s="254"/>
      <c r="Y832" s="9"/>
      <c r="Z832" s="9"/>
      <c r="AA832" s="9"/>
      <c r="AB832" s="9"/>
      <c r="AC832" s="9"/>
      <c r="AD832" s="9"/>
      <c r="AE832" s="9"/>
      <c r="AF832" s="9"/>
      <c r="AG832" s="9"/>
      <c r="AH832" s="9"/>
      <c r="AI832" s="9"/>
      <c r="AJ832" s="9"/>
      <c r="AK832" s="9"/>
      <c r="AL832" s="9"/>
      <c r="AM832" s="9"/>
      <c r="AN832" s="9"/>
      <c r="AO832" s="9"/>
      <c r="AP832" s="9"/>
      <c r="AQ832" s="9"/>
      <c r="AR832" s="9"/>
      <c r="AS832" s="9"/>
      <c r="AT832" s="9"/>
    </row>
    <row r="833">
      <c r="A833" s="492"/>
      <c r="B833" s="254"/>
      <c r="C833" s="492"/>
      <c r="D833" s="254"/>
      <c r="E833" s="492"/>
      <c r="F833" s="254"/>
      <c r="G833" s="492"/>
      <c r="H833" s="254"/>
      <c r="I833" s="500"/>
      <c r="J833" s="181"/>
      <c r="K833" s="500"/>
      <c r="L833" s="181"/>
      <c r="M833" s="492"/>
      <c r="N833" s="254"/>
      <c r="O833" s="492"/>
      <c r="P833" s="254"/>
      <c r="Q833" s="492"/>
      <c r="R833" s="254"/>
      <c r="S833" s="528"/>
      <c r="T833" s="528"/>
      <c r="U833" s="492"/>
      <c r="V833" s="254"/>
      <c r="W833" s="492"/>
      <c r="X833" s="254"/>
      <c r="Y833" s="9"/>
      <c r="Z833" s="9"/>
      <c r="AA833" s="9"/>
      <c r="AB833" s="9"/>
      <c r="AC833" s="9"/>
      <c r="AD833" s="9"/>
      <c r="AE833" s="9"/>
      <c r="AF833" s="9"/>
      <c r="AG833" s="9"/>
      <c r="AH833" s="9"/>
      <c r="AI833" s="9"/>
      <c r="AJ833" s="9"/>
      <c r="AK833" s="9"/>
      <c r="AL833" s="9"/>
      <c r="AM833" s="9"/>
      <c r="AN833" s="9"/>
      <c r="AO833" s="9"/>
      <c r="AP833" s="9"/>
      <c r="AQ833" s="9"/>
      <c r="AR833" s="9"/>
      <c r="AS833" s="9"/>
      <c r="AT833" s="9"/>
    </row>
    <row r="834">
      <c r="A834" s="492"/>
      <c r="B834" s="254"/>
      <c r="C834" s="492"/>
      <c r="D834" s="254"/>
      <c r="E834" s="492"/>
      <c r="F834" s="254"/>
      <c r="G834" s="492"/>
      <c r="H834" s="254"/>
      <c r="I834" s="500"/>
      <c r="J834" s="181"/>
      <c r="K834" s="500"/>
      <c r="L834" s="181"/>
      <c r="M834" s="492"/>
      <c r="N834" s="254"/>
      <c r="O834" s="492"/>
      <c r="P834" s="254"/>
      <c r="Q834" s="492"/>
      <c r="R834" s="254"/>
      <c r="S834" s="528"/>
      <c r="T834" s="528"/>
      <c r="U834" s="492"/>
      <c r="V834" s="254"/>
      <c r="W834" s="492"/>
      <c r="X834" s="254"/>
      <c r="Y834" s="9"/>
      <c r="Z834" s="9"/>
      <c r="AA834" s="9"/>
      <c r="AB834" s="9"/>
      <c r="AC834" s="9"/>
      <c r="AD834" s="9"/>
      <c r="AE834" s="9"/>
      <c r="AF834" s="9"/>
      <c r="AG834" s="9"/>
      <c r="AH834" s="9"/>
      <c r="AI834" s="9"/>
      <c r="AJ834" s="9"/>
      <c r="AK834" s="9"/>
      <c r="AL834" s="9"/>
      <c r="AM834" s="9"/>
      <c r="AN834" s="9"/>
      <c r="AO834" s="9"/>
      <c r="AP834" s="9"/>
      <c r="AQ834" s="9"/>
      <c r="AR834" s="9"/>
      <c r="AS834" s="9"/>
      <c r="AT834" s="9"/>
    </row>
    <row r="835">
      <c r="A835" s="492"/>
      <c r="B835" s="254"/>
      <c r="C835" s="492"/>
      <c r="D835" s="254"/>
      <c r="E835" s="492"/>
      <c r="F835" s="254"/>
      <c r="G835" s="492"/>
      <c r="H835" s="254"/>
      <c r="I835" s="500"/>
      <c r="J835" s="181"/>
      <c r="K835" s="500"/>
      <c r="L835" s="181"/>
      <c r="M835" s="492"/>
      <c r="N835" s="254"/>
      <c r="O835" s="492"/>
      <c r="P835" s="254"/>
      <c r="Q835" s="492"/>
      <c r="R835" s="254"/>
      <c r="S835" s="528"/>
      <c r="T835" s="528"/>
      <c r="U835" s="492"/>
      <c r="V835" s="254"/>
      <c r="W835" s="492"/>
      <c r="X835" s="254"/>
      <c r="Y835" s="9"/>
      <c r="Z835" s="9"/>
      <c r="AA835" s="9"/>
      <c r="AB835" s="9"/>
      <c r="AC835" s="9"/>
      <c r="AD835" s="9"/>
      <c r="AE835" s="9"/>
      <c r="AF835" s="9"/>
      <c r="AG835" s="9"/>
      <c r="AH835" s="9"/>
      <c r="AI835" s="9"/>
      <c r="AJ835" s="9"/>
      <c r="AK835" s="9"/>
      <c r="AL835" s="9"/>
      <c r="AM835" s="9"/>
      <c r="AN835" s="9"/>
      <c r="AO835" s="9"/>
      <c r="AP835" s="9"/>
      <c r="AQ835" s="9"/>
      <c r="AR835" s="9"/>
      <c r="AS835" s="9"/>
      <c r="AT835" s="9"/>
    </row>
    <row r="836">
      <c r="A836" s="492"/>
      <c r="B836" s="254"/>
      <c r="C836" s="492"/>
      <c r="D836" s="254"/>
      <c r="E836" s="492"/>
      <c r="F836" s="254"/>
      <c r="G836" s="492"/>
      <c r="H836" s="254"/>
      <c r="I836" s="500"/>
      <c r="J836" s="181"/>
      <c r="K836" s="500"/>
      <c r="L836" s="181"/>
      <c r="M836" s="492"/>
      <c r="N836" s="254"/>
      <c r="O836" s="492"/>
      <c r="P836" s="254"/>
      <c r="Q836" s="492"/>
      <c r="R836" s="254"/>
      <c r="S836" s="528"/>
      <c r="T836" s="528"/>
      <c r="U836" s="492"/>
      <c r="V836" s="254"/>
      <c r="W836" s="492"/>
      <c r="X836" s="254"/>
      <c r="Y836" s="9"/>
      <c r="Z836" s="9"/>
      <c r="AA836" s="9"/>
      <c r="AB836" s="9"/>
      <c r="AC836" s="9"/>
      <c r="AD836" s="9"/>
      <c r="AE836" s="9"/>
      <c r="AF836" s="9"/>
      <c r="AG836" s="9"/>
      <c r="AH836" s="9"/>
      <c r="AI836" s="9"/>
      <c r="AJ836" s="9"/>
      <c r="AK836" s="9"/>
      <c r="AL836" s="9"/>
      <c r="AM836" s="9"/>
      <c r="AN836" s="9"/>
      <c r="AO836" s="9"/>
      <c r="AP836" s="9"/>
      <c r="AQ836" s="9"/>
      <c r="AR836" s="9"/>
      <c r="AS836" s="9"/>
      <c r="AT836" s="9"/>
    </row>
    <row r="837">
      <c r="A837" s="492"/>
      <c r="B837" s="254"/>
      <c r="C837" s="492"/>
      <c r="D837" s="254"/>
      <c r="E837" s="492"/>
      <c r="F837" s="254"/>
      <c r="G837" s="492"/>
      <c r="H837" s="254"/>
      <c r="I837" s="500"/>
      <c r="J837" s="181"/>
      <c r="K837" s="500"/>
      <c r="L837" s="181"/>
      <c r="M837" s="492"/>
      <c r="N837" s="254"/>
      <c r="O837" s="492"/>
      <c r="P837" s="254"/>
      <c r="Q837" s="492"/>
      <c r="R837" s="254"/>
      <c r="S837" s="528"/>
      <c r="T837" s="528"/>
      <c r="U837" s="492"/>
      <c r="V837" s="254"/>
      <c r="W837" s="492"/>
      <c r="X837" s="254"/>
      <c r="Y837" s="9"/>
      <c r="Z837" s="9"/>
      <c r="AA837" s="9"/>
      <c r="AB837" s="9"/>
      <c r="AC837" s="9"/>
      <c r="AD837" s="9"/>
      <c r="AE837" s="9"/>
      <c r="AF837" s="9"/>
      <c r="AG837" s="9"/>
      <c r="AH837" s="9"/>
      <c r="AI837" s="9"/>
      <c r="AJ837" s="9"/>
      <c r="AK837" s="9"/>
      <c r="AL837" s="9"/>
      <c r="AM837" s="9"/>
      <c r="AN837" s="9"/>
      <c r="AO837" s="9"/>
      <c r="AP837" s="9"/>
      <c r="AQ837" s="9"/>
      <c r="AR837" s="9"/>
      <c r="AS837" s="9"/>
      <c r="AT837" s="9"/>
    </row>
    <row r="838">
      <c r="A838" s="492"/>
      <c r="B838" s="254"/>
      <c r="C838" s="492"/>
      <c r="D838" s="254"/>
      <c r="E838" s="492"/>
      <c r="F838" s="254"/>
      <c r="G838" s="492"/>
      <c r="H838" s="254"/>
      <c r="I838" s="500"/>
      <c r="J838" s="181"/>
      <c r="K838" s="500"/>
      <c r="L838" s="181"/>
      <c r="M838" s="492"/>
      <c r="N838" s="254"/>
      <c r="O838" s="492"/>
      <c r="P838" s="254"/>
      <c r="Q838" s="492"/>
      <c r="R838" s="254"/>
      <c r="S838" s="528"/>
      <c r="T838" s="528"/>
      <c r="U838" s="492"/>
      <c r="V838" s="254"/>
      <c r="W838" s="492"/>
      <c r="X838" s="254"/>
      <c r="Y838" s="9"/>
      <c r="Z838" s="9"/>
      <c r="AA838" s="9"/>
      <c r="AB838" s="9"/>
      <c r="AC838" s="9"/>
      <c r="AD838" s="9"/>
      <c r="AE838" s="9"/>
      <c r="AF838" s="9"/>
      <c r="AG838" s="9"/>
      <c r="AH838" s="9"/>
      <c r="AI838" s="9"/>
      <c r="AJ838" s="9"/>
      <c r="AK838" s="9"/>
      <c r="AL838" s="9"/>
      <c r="AM838" s="9"/>
      <c r="AN838" s="9"/>
      <c r="AO838" s="9"/>
      <c r="AP838" s="9"/>
      <c r="AQ838" s="9"/>
      <c r="AR838" s="9"/>
      <c r="AS838" s="9"/>
      <c r="AT838" s="9"/>
    </row>
    <row r="839">
      <c r="A839" s="492"/>
      <c r="B839" s="254"/>
      <c r="C839" s="492"/>
      <c r="D839" s="254"/>
      <c r="E839" s="492"/>
      <c r="F839" s="254"/>
      <c r="G839" s="492"/>
      <c r="H839" s="254"/>
      <c r="I839" s="500"/>
      <c r="J839" s="181"/>
      <c r="K839" s="500"/>
      <c r="L839" s="181"/>
      <c r="M839" s="492"/>
      <c r="N839" s="254"/>
      <c r="O839" s="492"/>
      <c r="P839" s="254"/>
      <c r="Q839" s="492"/>
      <c r="R839" s="254"/>
      <c r="S839" s="528"/>
      <c r="T839" s="528"/>
      <c r="U839" s="492"/>
      <c r="V839" s="254"/>
      <c r="W839" s="492"/>
      <c r="X839" s="254"/>
      <c r="Y839" s="9"/>
      <c r="Z839" s="9"/>
      <c r="AA839" s="9"/>
      <c r="AB839" s="9"/>
      <c r="AC839" s="9"/>
      <c r="AD839" s="9"/>
      <c r="AE839" s="9"/>
      <c r="AF839" s="9"/>
      <c r="AG839" s="9"/>
      <c r="AH839" s="9"/>
      <c r="AI839" s="9"/>
      <c r="AJ839" s="9"/>
      <c r="AK839" s="9"/>
      <c r="AL839" s="9"/>
      <c r="AM839" s="9"/>
      <c r="AN839" s="9"/>
      <c r="AO839" s="9"/>
      <c r="AP839" s="9"/>
      <c r="AQ839" s="9"/>
      <c r="AR839" s="9"/>
      <c r="AS839" s="9"/>
      <c r="AT839" s="9"/>
    </row>
    <row r="840">
      <c r="A840" s="492"/>
      <c r="B840" s="254"/>
      <c r="C840" s="492"/>
      <c r="D840" s="254"/>
      <c r="E840" s="492"/>
      <c r="F840" s="254"/>
      <c r="G840" s="492"/>
      <c r="H840" s="254"/>
      <c r="I840" s="500"/>
      <c r="J840" s="181"/>
      <c r="K840" s="500"/>
      <c r="L840" s="181"/>
      <c r="M840" s="492"/>
      <c r="N840" s="254"/>
      <c r="O840" s="492"/>
      <c r="P840" s="254"/>
      <c r="Q840" s="492"/>
      <c r="R840" s="254"/>
      <c r="S840" s="528"/>
      <c r="T840" s="528"/>
      <c r="U840" s="492"/>
      <c r="V840" s="254"/>
      <c r="W840" s="492"/>
      <c r="X840" s="254"/>
      <c r="Y840" s="9"/>
      <c r="Z840" s="9"/>
      <c r="AA840" s="9"/>
      <c r="AB840" s="9"/>
      <c r="AC840" s="9"/>
      <c r="AD840" s="9"/>
      <c r="AE840" s="9"/>
      <c r="AF840" s="9"/>
      <c r="AG840" s="9"/>
      <c r="AH840" s="9"/>
      <c r="AI840" s="9"/>
      <c r="AJ840" s="9"/>
      <c r="AK840" s="9"/>
      <c r="AL840" s="9"/>
      <c r="AM840" s="9"/>
      <c r="AN840" s="9"/>
      <c r="AO840" s="9"/>
      <c r="AP840" s="9"/>
      <c r="AQ840" s="9"/>
      <c r="AR840" s="9"/>
      <c r="AS840" s="9"/>
      <c r="AT840" s="9"/>
    </row>
    <row r="841">
      <c r="A841" s="492"/>
      <c r="B841" s="254"/>
      <c r="C841" s="492"/>
      <c r="D841" s="254"/>
      <c r="E841" s="492"/>
      <c r="F841" s="254"/>
      <c r="G841" s="492"/>
      <c r="H841" s="254"/>
      <c r="I841" s="500"/>
      <c r="J841" s="181"/>
      <c r="K841" s="500"/>
      <c r="L841" s="181"/>
      <c r="M841" s="492"/>
      <c r="N841" s="254"/>
      <c r="O841" s="492"/>
      <c r="P841" s="254"/>
      <c r="Q841" s="492"/>
      <c r="R841" s="254"/>
      <c r="S841" s="528"/>
      <c r="T841" s="528"/>
      <c r="U841" s="492"/>
      <c r="V841" s="254"/>
      <c r="W841" s="492"/>
      <c r="X841" s="254"/>
      <c r="Y841" s="9"/>
      <c r="Z841" s="9"/>
      <c r="AA841" s="9"/>
      <c r="AB841" s="9"/>
      <c r="AC841" s="9"/>
      <c r="AD841" s="9"/>
      <c r="AE841" s="9"/>
      <c r="AF841" s="9"/>
      <c r="AG841" s="9"/>
      <c r="AH841" s="9"/>
      <c r="AI841" s="9"/>
      <c r="AJ841" s="9"/>
      <c r="AK841" s="9"/>
      <c r="AL841" s="9"/>
      <c r="AM841" s="9"/>
      <c r="AN841" s="9"/>
      <c r="AO841" s="9"/>
      <c r="AP841" s="9"/>
      <c r="AQ841" s="9"/>
      <c r="AR841" s="9"/>
      <c r="AS841" s="9"/>
      <c r="AT841" s="9"/>
    </row>
    <row r="842">
      <c r="A842" s="492"/>
      <c r="B842" s="254"/>
      <c r="C842" s="492"/>
      <c r="D842" s="254"/>
      <c r="E842" s="492"/>
      <c r="F842" s="254"/>
      <c r="G842" s="492"/>
      <c r="H842" s="254"/>
      <c r="I842" s="500"/>
      <c r="J842" s="181"/>
      <c r="K842" s="500"/>
      <c r="L842" s="181"/>
      <c r="M842" s="492"/>
      <c r="N842" s="254"/>
      <c r="O842" s="492"/>
      <c r="P842" s="254"/>
      <c r="Q842" s="492"/>
      <c r="R842" s="254"/>
      <c r="S842" s="528"/>
      <c r="T842" s="528"/>
      <c r="U842" s="492"/>
      <c r="V842" s="254"/>
      <c r="W842" s="492"/>
      <c r="X842" s="254"/>
      <c r="Y842" s="9"/>
      <c r="Z842" s="9"/>
      <c r="AA842" s="9"/>
      <c r="AB842" s="9"/>
      <c r="AC842" s="9"/>
      <c r="AD842" s="9"/>
      <c r="AE842" s="9"/>
      <c r="AF842" s="9"/>
      <c r="AG842" s="9"/>
      <c r="AH842" s="9"/>
      <c r="AI842" s="9"/>
      <c r="AJ842" s="9"/>
      <c r="AK842" s="9"/>
      <c r="AL842" s="9"/>
      <c r="AM842" s="9"/>
      <c r="AN842" s="9"/>
      <c r="AO842" s="9"/>
      <c r="AP842" s="9"/>
      <c r="AQ842" s="9"/>
      <c r="AR842" s="9"/>
      <c r="AS842" s="9"/>
      <c r="AT842" s="9"/>
    </row>
    <row r="843">
      <c r="A843" s="492"/>
      <c r="B843" s="254"/>
      <c r="C843" s="492"/>
      <c r="D843" s="254"/>
      <c r="E843" s="492"/>
      <c r="F843" s="254"/>
      <c r="G843" s="492"/>
      <c r="H843" s="254"/>
      <c r="I843" s="500"/>
      <c r="J843" s="181"/>
      <c r="K843" s="500"/>
      <c r="L843" s="181"/>
      <c r="M843" s="492"/>
      <c r="N843" s="254"/>
      <c r="O843" s="492"/>
      <c r="P843" s="254"/>
      <c r="Q843" s="492"/>
      <c r="R843" s="254"/>
      <c r="S843" s="528"/>
      <c r="T843" s="528"/>
      <c r="U843" s="492"/>
      <c r="V843" s="254"/>
      <c r="W843" s="492"/>
      <c r="X843" s="254"/>
      <c r="Y843" s="9"/>
      <c r="Z843" s="9"/>
      <c r="AA843" s="9"/>
      <c r="AB843" s="9"/>
      <c r="AC843" s="9"/>
      <c r="AD843" s="9"/>
      <c r="AE843" s="9"/>
      <c r="AF843" s="9"/>
      <c r="AG843" s="9"/>
      <c r="AH843" s="9"/>
      <c r="AI843" s="9"/>
      <c r="AJ843" s="9"/>
      <c r="AK843" s="9"/>
      <c r="AL843" s="9"/>
      <c r="AM843" s="9"/>
      <c r="AN843" s="9"/>
      <c r="AO843" s="9"/>
      <c r="AP843" s="9"/>
      <c r="AQ843" s="9"/>
      <c r="AR843" s="9"/>
      <c r="AS843" s="9"/>
      <c r="AT843" s="9"/>
    </row>
    <row r="844">
      <c r="A844" s="492"/>
      <c r="B844" s="254"/>
      <c r="C844" s="492"/>
      <c r="D844" s="254"/>
      <c r="E844" s="492"/>
      <c r="F844" s="254"/>
      <c r="G844" s="492"/>
      <c r="H844" s="254"/>
      <c r="I844" s="500"/>
      <c r="J844" s="181"/>
      <c r="K844" s="500"/>
      <c r="L844" s="181"/>
      <c r="M844" s="492"/>
      <c r="N844" s="254"/>
      <c r="O844" s="492"/>
      <c r="P844" s="254"/>
      <c r="Q844" s="492"/>
      <c r="R844" s="254"/>
      <c r="S844" s="528"/>
      <c r="T844" s="528"/>
      <c r="U844" s="492"/>
      <c r="V844" s="254"/>
      <c r="W844" s="492"/>
      <c r="X844" s="254"/>
      <c r="Y844" s="9"/>
      <c r="Z844" s="9"/>
      <c r="AA844" s="9"/>
      <c r="AB844" s="9"/>
      <c r="AC844" s="9"/>
      <c r="AD844" s="9"/>
      <c r="AE844" s="9"/>
      <c r="AF844" s="9"/>
      <c r="AG844" s="9"/>
      <c r="AH844" s="9"/>
      <c r="AI844" s="9"/>
      <c r="AJ844" s="9"/>
      <c r="AK844" s="9"/>
      <c r="AL844" s="9"/>
      <c r="AM844" s="9"/>
      <c r="AN844" s="9"/>
      <c r="AO844" s="9"/>
      <c r="AP844" s="9"/>
      <c r="AQ844" s="9"/>
      <c r="AR844" s="9"/>
      <c r="AS844" s="9"/>
      <c r="AT844" s="9"/>
    </row>
    <row r="845">
      <c r="A845" s="492"/>
      <c r="B845" s="254"/>
      <c r="C845" s="492"/>
      <c r="D845" s="254"/>
      <c r="E845" s="492"/>
      <c r="F845" s="254"/>
      <c r="G845" s="492"/>
      <c r="H845" s="254"/>
      <c r="I845" s="500"/>
      <c r="J845" s="181"/>
      <c r="K845" s="500"/>
      <c r="L845" s="181"/>
      <c r="M845" s="492"/>
      <c r="N845" s="254"/>
      <c r="O845" s="492"/>
      <c r="P845" s="254"/>
      <c r="Q845" s="492"/>
      <c r="R845" s="254"/>
      <c r="S845" s="528"/>
      <c r="T845" s="528"/>
      <c r="U845" s="492"/>
      <c r="V845" s="254"/>
      <c r="W845" s="492"/>
      <c r="X845" s="254"/>
      <c r="Y845" s="9"/>
      <c r="Z845" s="9"/>
      <c r="AA845" s="9"/>
      <c r="AB845" s="9"/>
      <c r="AC845" s="9"/>
      <c r="AD845" s="9"/>
      <c r="AE845" s="9"/>
      <c r="AF845" s="9"/>
      <c r="AG845" s="9"/>
      <c r="AH845" s="9"/>
      <c r="AI845" s="9"/>
      <c r="AJ845" s="9"/>
      <c r="AK845" s="9"/>
      <c r="AL845" s="9"/>
      <c r="AM845" s="9"/>
      <c r="AN845" s="9"/>
      <c r="AO845" s="9"/>
      <c r="AP845" s="9"/>
      <c r="AQ845" s="9"/>
      <c r="AR845" s="9"/>
      <c r="AS845" s="9"/>
      <c r="AT845" s="9"/>
    </row>
    <row r="846">
      <c r="A846" s="492"/>
      <c r="B846" s="254"/>
      <c r="C846" s="492"/>
      <c r="D846" s="254"/>
      <c r="E846" s="492"/>
      <c r="F846" s="254"/>
      <c r="G846" s="492"/>
      <c r="H846" s="254"/>
      <c r="I846" s="500"/>
      <c r="J846" s="181"/>
      <c r="K846" s="500"/>
      <c r="L846" s="181"/>
      <c r="M846" s="492"/>
      <c r="N846" s="254"/>
      <c r="O846" s="492"/>
      <c r="P846" s="254"/>
      <c r="Q846" s="492"/>
      <c r="R846" s="254"/>
      <c r="S846" s="528"/>
      <c r="T846" s="528"/>
      <c r="U846" s="492"/>
      <c r="V846" s="254"/>
      <c r="W846" s="492"/>
      <c r="X846" s="254"/>
      <c r="Y846" s="9"/>
      <c r="Z846" s="9"/>
      <c r="AA846" s="9"/>
      <c r="AB846" s="9"/>
      <c r="AC846" s="9"/>
      <c r="AD846" s="9"/>
      <c r="AE846" s="9"/>
      <c r="AF846" s="9"/>
      <c r="AG846" s="9"/>
      <c r="AH846" s="9"/>
      <c r="AI846" s="9"/>
      <c r="AJ846" s="9"/>
      <c r="AK846" s="9"/>
      <c r="AL846" s="9"/>
      <c r="AM846" s="9"/>
      <c r="AN846" s="9"/>
      <c r="AO846" s="9"/>
      <c r="AP846" s="9"/>
      <c r="AQ846" s="9"/>
      <c r="AR846" s="9"/>
      <c r="AS846" s="9"/>
      <c r="AT846" s="9"/>
    </row>
    <row r="847">
      <c r="A847" s="492"/>
      <c r="B847" s="254"/>
      <c r="C847" s="492"/>
      <c r="D847" s="254"/>
      <c r="E847" s="492"/>
      <c r="F847" s="254"/>
      <c r="G847" s="492"/>
      <c r="H847" s="254"/>
      <c r="I847" s="500"/>
      <c r="J847" s="181"/>
      <c r="K847" s="500"/>
      <c r="L847" s="181"/>
      <c r="M847" s="492"/>
      <c r="N847" s="254"/>
      <c r="O847" s="492"/>
      <c r="P847" s="254"/>
      <c r="Q847" s="492"/>
      <c r="R847" s="254"/>
      <c r="S847" s="528"/>
      <c r="T847" s="528"/>
      <c r="U847" s="492"/>
      <c r="V847" s="254"/>
      <c r="W847" s="492"/>
      <c r="X847" s="254"/>
      <c r="Y847" s="9"/>
      <c r="Z847" s="9"/>
      <c r="AA847" s="9"/>
      <c r="AB847" s="9"/>
      <c r="AC847" s="9"/>
      <c r="AD847" s="9"/>
      <c r="AE847" s="9"/>
      <c r="AF847" s="9"/>
      <c r="AG847" s="9"/>
      <c r="AH847" s="9"/>
      <c r="AI847" s="9"/>
      <c r="AJ847" s="9"/>
      <c r="AK847" s="9"/>
      <c r="AL847" s="9"/>
      <c r="AM847" s="9"/>
      <c r="AN847" s="9"/>
      <c r="AO847" s="9"/>
      <c r="AP847" s="9"/>
      <c r="AQ847" s="9"/>
      <c r="AR847" s="9"/>
      <c r="AS847" s="9"/>
      <c r="AT847" s="9"/>
    </row>
    <row r="848">
      <c r="A848" s="492"/>
      <c r="B848" s="254"/>
      <c r="C848" s="492"/>
      <c r="D848" s="254"/>
      <c r="E848" s="492"/>
      <c r="F848" s="254"/>
      <c r="G848" s="492"/>
      <c r="H848" s="254"/>
      <c r="I848" s="500"/>
      <c r="J848" s="181"/>
      <c r="K848" s="500"/>
      <c r="L848" s="181"/>
      <c r="M848" s="492"/>
      <c r="N848" s="254"/>
      <c r="O848" s="492"/>
      <c r="P848" s="254"/>
      <c r="Q848" s="492"/>
      <c r="R848" s="254"/>
      <c r="S848" s="528"/>
      <c r="T848" s="528"/>
      <c r="U848" s="492"/>
      <c r="V848" s="254"/>
      <c r="W848" s="492"/>
      <c r="X848" s="254"/>
      <c r="Y848" s="9"/>
      <c r="Z848" s="9"/>
      <c r="AA848" s="9"/>
      <c r="AB848" s="9"/>
      <c r="AC848" s="9"/>
      <c r="AD848" s="9"/>
      <c r="AE848" s="9"/>
      <c r="AF848" s="9"/>
      <c r="AG848" s="9"/>
      <c r="AH848" s="9"/>
      <c r="AI848" s="9"/>
      <c r="AJ848" s="9"/>
      <c r="AK848" s="9"/>
      <c r="AL848" s="9"/>
      <c r="AM848" s="9"/>
      <c r="AN848" s="9"/>
      <c r="AO848" s="9"/>
      <c r="AP848" s="9"/>
      <c r="AQ848" s="9"/>
      <c r="AR848" s="9"/>
      <c r="AS848" s="9"/>
      <c r="AT848" s="9"/>
    </row>
    <row r="849">
      <c r="A849" s="492"/>
      <c r="B849" s="254"/>
      <c r="C849" s="492"/>
      <c r="D849" s="254"/>
      <c r="E849" s="492"/>
      <c r="F849" s="254"/>
      <c r="G849" s="492"/>
      <c r="H849" s="254"/>
      <c r="I849" s="500"/>
      <c r="J849" s="181"/>
      <c r="K849" s="500"/>
      <c r="L849" s="181"/>
      <c r="M849" s="492"/>
      <c r="N849" s="254"/>
      <c r="O849" s="492"/>
      <c r="P849" s="254"/>
      <c r="Q849" s="492"/>
      <c r="R849" s="254"/>
      <c r="S849" s="528"/>
      <c r="T849" s="528"/>
      <c r="U849" s="492"/>
      <c r="V849" s="254"/>
      <c r="W849" s="492"/>
      <c r="X849" s="254"/>
      <c r="Y849" s="9"/>
      <c r="Z849" s="9"/>
      <c r="AA849" s="9"/>
      <c r="AB849" s="9"/>
      <c r="AC849" s="9"/>
      <c r="AD849" s="9"/>
      <c r="AE849" s="9"/>
      <c r="AF849" s="9"/>
      <c r="AG849" s="9"/>
      <c r="AH849" s="9"/>
      <c r="AI849" s="9"/>
      <c r="AJ849" s="9"/>
      <c r="AK849" s="9"/>
      <c r="AL849" s="9"/>
      <c r="AM849" s="9"/>
      <c r="AN849" s="9"/>
      <c r="AO849" s="9"/>
      <c r="AP849" s="9"/>
      <c r="AQ849" s="9"/>
      <c r="AR849" s="9"/>
      <c r="AS849" s="9"/>
      <c r="AT849" s="9"/>
    </row>
    <row r="850">
      <c r="A850" s="492"/>
      <c r="B850" s="254"/>
      <c r="C850" s="492"/>
      <c r="D850" s="254"/>
      <c r="E850" s="492"/>
      <c r="F850" s="254"/>
      <c r="G850" s="492"/>
      <c r="H850" s="254"/>
      <c r="I850" s="500"/>
      <c r="J850" s="181"/>
      <c r="K850" s="500"/>
      <c r="L850" s="181"/>
      <c r="M850" s="492"/>
      <c r="N850" s="254"/>
      <c r="O850" s="492"/>
      <c r="P850" s="254"/>
      <c r="Q850" s="492"/>
      <c r="R850" s="254"/>
      <c r="S850" s="528"/>
      <c r="T850" s="528"/>
      <c r="U850" s="492"/>
      <c r="V850" s="254"/>
      <c r="W850" s="492"/>
      <c r="X850" s="254"/>
      <c r="Y850" s="9"/>
      <c r="Z850" s="9"/>
      <c r="AA850" s="9"/>
      <c r="AB850" s="9"/>
      <c r="AC850" s="9"/>
      <c r="AD850" s="9"/>
      <c r="AE850" s="9"/>
      <c r="AF850" s="9"/>
      <c r="AG850" s="9"/>
      <c r="AH850" s="9"/>
      <c r="AI850" s="9"/>
      <c r="AJ850" s="9"/>
      <c r="AK850" s="9"/>
      <c r="AL850" s="9"/>
      <c r="AM850" s="9"/>
      <c r="AN850" s="9"/>
      <c r="AO850" s="9"/>
      <c r="AP850" s="9"/>
      <c r="AQ850" s="9"/>
      <c r="AR850" s="9"/>
      <c r="AS850" s="9"/>
      <c r="AT850" s="9"/>
    </row>
    <row r="851">
      <c r="A851" s="492"/>
      <c r="B851" s="254"/>
      <c r="C851" s="492"/>
      <c r="D851" s="254"/>
      <c r="E851" s="492"/>
      <c r="F851" s="254"/>
      <c r="G851" s="492"/>
      <c r="H851" s="254"/>
      <c r="I851" s="500"/>
      <c r="J851" s="181"/>
      <c r="K851" s="500"/>
      <c r="L851" s="181"/>
      <c r="M851" s="492"/>
      <c r="N851" s="254"/>
      <c r="O851" s="492"/>
      <c r="P851" s="254"/>
      <c r="Q851" s="492"/>
      <c r="R851" s="254"/>
      <c r="S851" s="528"/>
      <c r="T851" s="528"/>
      <c r="U851" s="492"/>
      <c r="V851" s="254"/>
      <c r="W851" s="492"/>
      <c r="X851" s="254"/>
      <c r="Y851" s="9"/>
      <c r="Z851" s="9"/>
      <c r="AA851" s="9"/>
      <c r="AB851" s="9"/>
      <c r="AC851" s="9"/>
      <c r="AD851" s="9"/>
      <c r="AE851" s="9"/>
      <c r="AF851" s="9"/>
      <c r="AG851" s="9"/>
      <c r="AH851" s="9"/>
      <c r="AI851" s="9"/>
      <c r="AJ851" s="9"/>
      <c r="AK851" s="9"/>
      <c r="AL851" s="9"/>
      <c r="AM851" s="9"/>
      <c r="AN851" s="9"/>
      <c r="AO851" s="9"/>
      <c r="AP851" s="9"/>
      <c r="AQ851" s="9"/>
      <c r="AR851" s="9"/>
      <c r="AS851" s="9"/>
      <c r="AT851" s="9"/>
    </row>
    <row r="852">
      <c r="A852" s="492"/>
      <c r="B852" s="254"/>
      <c r="C852" s="492"/>
      <c r="D852" s="254"/>
      <c r="E852" s="492"/>
      <c r="F852" s="254"/>
      <c r="G852" s="492"/>
      <c r="H852" s="254"/>
      <c r="I852" s="500"/>
      <c r="J852" s="181"/>
      <c r="K852" s="500"/>
      <c r="L852" s="181"/>
      <c r="M852" s="492"/>
      <c r="N852" s="254"/>
      <c r="O852" s="492"/>
      <c r="P852" s="254"/>
      <c r="Q852" s="492"/>
      <c r="R852" s="254"/>
      <c r="S852" s="528"/>
      <c r="T852" s="528"/>
      <c r="U852" s="492"/>
      <c r="V852" s="254"/>
      <c r="W852" s="492"/>
      <c r="X852" s="254"/>
      <c r="Y852" s="9"/>
      <c r="Z852" s="9"/>
      <c r="AA852" s="9"/>
      <c r="AB852" s="9"/>
      <c r="AC852" s="9"/>
      <c r="AD852" s="9"/>
      <c r="AE852" s="9"/>
      <c r="AF852" s="9"/>
      <c r="AG852" s="9"/>
      <c r="AH852" s="9"/>
      <c r="AI852" s="9"/>
      <c r="AJ852" s="9"/>
      <c r="AK852" s="9"/>
      <c r="AL852" s="9"/>
      <c r="AM852" s="9"/>
      <c r="AN852" s="9"/>
      <c r="AO852" s="9"/>
      <c r="AP852" s="9"/>
      <c r="AQ852" s="9"/>
      <c r="AR852" s="9"/>
      <c r="AS852" s="9"/>
      <c r="AT852" s="9"/>
    </row>
    <row r="853">
      <c r="A853" s="492"/>
      <c r="B853" s="254"/>
      <c r="C853" s="492"/>
      <c r="D853" s="254"/>
      <c r="E853" s="492"/>
      <c r="F853" s="254"/>
      <c r="G853" s="492"/>
      <c r="H853" s="254"/>
      <c r="I853" s="500"/>
      <c r="J853" s="181"/>
      <c r="K853" s="500"/>
      <c r="L853" s="181"/>
      <c r="M853" s="492"/>
      <c r="N853" s="254"/>
      <c r="O853" s="492"/>
      <c r="P853" s="254"/>
      <c r="Q853" s="492"/>
      <c r="R853" s="254"/>
      <c r="S853" s="528"/>
      <c r="T853" s="528"/>
      <c r="U853" s="492"/>
      <c r="V853" s="254"/>
      <c r="W853" s="492"/>
      <c r="X853" s="254"/>
      <c r="Y853" s="9"/>
      <c r="Z853" s="9"/>
      <c r="AA853" s="9"/>
      <c r="AB853" s="9"/>
      <c r="AC853" s="9"/>
      <c r="AD853" s="9"/>
      <c r="AE853" s="9"/>
      <c r="AF853" s="9"/>
      <c r="AG853" s="9"/>
      <c r="AH853" s="9"/>
      <c r="AI853" s="9"/>
      <c r="AJ853" s="9"/>
      <c r="AK853" s="9"/>
      <c r="AL853" s="9"/>
      <c r="AM853" s="9"/>
      <c r="AN853" s="9"/>
      <c r="AO853" s="9"/>
      <c r="AP853" s="9"/>
      <c r="AQ853" s="9"/>
      <c r="AR853" s="9"/>
      <c r="AS853" s="9"/>
      <c r="AT853" s="9"/>
    </row>
    <row r="854">
      <c r="A854" s="492"/>
      <c r="B854" s="254"/>
      <c r="C854" s="492"/>
      <c r="D854" s="254"/>
      <c r="E854" s="492"/>
      <c r="F854" s="254"/>
      <c r="G854" s="492"/>
      <c r="H854" s="254"/>
      <c r="I854" s="500"/>
      <c r="J854" s="181"/>
      <c r="K854" s="500"/>
      <c r="L854" s="181"/>
      <c r="M854" s="492"/>
      <c r="N854" s="254"/>
      <c r="O854" s="492"/>
      <c r="P854" s="254"/>
      <c r="Q854" s="492"/>
      <c r="R854" s="254"/>
      <c r="S854" s="528"/>
      <c r="T854" s="528"/>
      <c r="U854" s="492"/>
      <c r="V854" s="254"/>
      <c r="W854" s="492"/>
      <c r="X854" s="254"/>
      <c r="Y854" s="9"/>
      <c r="Z854" s="9"/>
      <c r="AA854" s="9"/>
      <c r="AB854" s="9"/>
      <c r="AC854" s="9"/>
      <c r="AD854" s="9"/>
      <c r="AE854" s="9"/>
      <c r="AF854" s="9"/>
      <c r="AG854" s="9"/>
      <c r="AH854" s="9"/>
      <c r="AI854" s="9"/>
      <c r="AJ854" s="9"/>
      <c r="AK854" s="9"/>
      <c r="AL854" s="9"/>
      <c r="AM854" s="9"/>
      <c r="AN854" s="9"/>
      <c r="AO854" s="9"/>
      <c r="AP854" s="9"/>
      <c r="AQ854" s="9"/>
      <c r="AR854" s="9"/>
      <c r="AS854" s="9"/>
      <c r="AT854" s="9"/>
    </row>
    <row r="855">
      <c r="A855" s="492"/>
      <c r="B855" s="254"/>
      <c r="C855" s="492"/>
      <c r="D855" s="254"/>
      <c r="E855" s="492"/>
      <c r="F855" s="254"/>
      <c r="G855" s="492"/>
      <c r="H855" s="254"/>
      <c r="I855" s="500"/>
      <c r="J855" s="181"/>
      <c r="K855" s="500"/>
      <c r="L855" s="181"/>
      <c r="M855" s="492"/>
      <c r="N855" s="254"/>
      <c r="O855" s="492"/>
      <c r="P855" s="254"/>
      <c r="Q855" s="492"/>
      <c r="R855" s="254"/>
      <c r="S855" s="528"/>
      <c r="T855" s="528"/>
      <c r="U855" s="492"/>
      <c r="V855" s="254"/>
      <c r="W855" s="492"/>
      <c r="X855" s="254"/>
      <c r="Y855" s="9"/>
      <c r="Z855" s="9"/>
      <c r="AA855" s="9"/>
      <c r="AB855" s="9"/>
      <c r="AC855" s="9"/>
      <c r="AD855" s="9"/>
      <c r="AE855" s="9"/>
      <c r="AF855" s="9"/>
      <c r="AG855" s="9"/>
      <c r="AH855" s="9"/>
      <c r="AI855" s="9"/>
      <c r="AJ855" s="9"/>
      <c r="AK855" s="9"/>
      <c r="AL855" s="9"/>
      <c r="AM855" s="9"/>
      <c r="AN855" s="9"/>
      <c r="AO855" s="9"/>
      <c r="AP855" s="9"/>
      <c r="AQ855" s="9"/>
      <c r="AR855" s="9"/>
      <c r="AS855" s="9"/>
      <c r="AT855" s="9"/>
    </row>
    <row r="856">
      <c r="A856" s="492"/>
      <c r="B856" s="254"/>
      <c r="C856" s="492"/>
      <c r="D856" s="254"/>
      <c r="E856" s="492"/>
      <c r="F856" s="254"/>
      <c r="G856" s="492"/>
      <c r="H856" s="254"/>
      <c r="I856" s="500"/>
      <c r="J856" s="181"/>
      <c r="K856" s="500"/>
      <c r="L856" s="181"/>
      <c r="M856" s="492"/>
      <c r="N856" s="254"/>
      <c r="O856" s="492"/>
      <c r="P856" s="254"/>
      <c r="Q856" s="492"/>
      <c r="R856" s="254"/>
      <c r="S856" s="528"/>
      <c r="T856" s="528"/>
      <c r="U856" s="492"/>
      <c r="V856" s="254"/>
      <c r="W856" s="492"/>
      <c r="X856" s="254"/>
      <c r="Y856" s="9"/>
      <c r="Z856" s="9"/>
      <c r="AA856" s="9"/>
      <c r="AB856" s="9"/>
      <c r="AC856" s="9"/>
      <c r="AD856" s="9"/>
      <c r="AE856" s="9"/>
      <c r="AF856" s="9"/>
      <c r="AG856" s="9"/>
      <c r="AH856" s="9"/>
      <c r="AI856" s="9"/>
      <c r="AJ856" s="9"/>
      <c r="AK856" s="9"/>
      <c r="AL856" s="9"/>
      <c r="AM856" s="9"/>
      <c r="AN856" s="9"/>
      <c r="AO856" s="9"/>
      <c r="AP856" s="9"/>
      <c r="AQ856" s="9"/>
      <c r="AR856" s="9"/>
      <c r="AS856" s="9"/>
      <c r="AT856" s="9"/>
    </row>
    <row r="857">
      <c r="A857" s="492"/>
      <c r="B857" s="254"/>
      <c r="C857" s="492"/>
      <c r="D857" s="254"/>
      <c r="E857" s="492"/>
      <c r="F857" s="254"/>
      <c r="G857" s="492"/>
      <c r="H857" s="254"/>
      <c r="I857" s="500"/>
      <c r="J857" s="181"/>
      <c r="K857" s="500"/>
      <c r="L857" s="181"/>
      <c r="M857" s="492"/>
      <c r="N857" s="254"/>
      <c r="O857" s="492"/>
      <c r="P857" s="254"/>
      <c r="Q857" s="492"/>
      <c r="R857" s="254"/>
      <c r="S857" s="528"/>
      <c r="T857" s="528"/>
      <c r="U857" s="492"/>
      <c r="V857" s="254"/>
      <c r="W857" s="492"/>
      <c r="X857" s="254"/>
      <c r="Y857" s="9"/>
      <c r="Z857" s="9"/>
      <c r="AA857" s="9"/>
      <c r="AB857" s="9"/>
      <c r="AC857" s="9"/>
      <c r="AD857" s="9"/>
      <c r="AE857" s="9"/>
      <c r="AF857" s="9"/>
      <c r="AG857" s="9"/>
      <c r="AH857" s="9"/>
      <c r="AI857" s="9"/>
      <c r="AJ857" s="9"/>
      <c r="AK857" s="9"/>
      <c r="AL857" s="9"/>
      <c r="AM857" s="9"/>
      <c r="AN857" s="9"/>
      <c r="AO857" s="9"/>
      <c r="AP857" s="9"/>
      <c r="AQ857" s="9"/>
      <c r="AR857" s="9"/>
      <c r="AS857" s="9"/>
      <c r="AT857" s="9"/>
    </row>
    <row r="858">
      <c r="A858" s="492"/>
      <c r="B858" s="254"/>
      <c r="C858" s="492"/>
      <c r="D858" s="254"/>
      <c r="E858" s="492"/>
      <c r="F858" s="254"/>
      <c r="G858" s="492"/>
      <c r="H858" s="254"/>
      <c r="I858" s="500"/>
      <c r="J858" s="181"/>
      <c r="K858" s="500"/>
      <c r="L858" s="181"/>
      <c r="M858" s="492"/>
      <c r="N858" s="254"/>
      <c r="O858" s="492"/>
      <c r="P858" s="254"/>
      <c r="Q858" s="492"/>
      <c r="R858" s="254"/>
      <c r="S858" s="528"/>
      <c r="T858" s="528"/>
      <c r="U858" s="492"/>
      <c r="V858" s="254"/>
      <c r="W858" s="492"/>
      <c r="X858" s="254"/>
      <c r="Y858" s="9"/>
      <c r="Z858" s="9"/>
      <c r="AA858" s="9"/>
      <c r="AB858" s="9"/>
      <c r="AC858" s="9"/>
      <c r="AD858" s="9"/>
      <c r="AE858" s="9"/>
      <c r="AF858" s="9"/>
      <c r="AG858" s="9"/>
      <c r="AH858" s="9"/>
      <c r="AI858" s="9"/>
      <c r="AJ858" s="9"/>
      <c r="AK858" s="9"/>
      <c r="AL858" s="9"/>
      <c r="AM858" s="9"/>
      <c r="AN858" s="9"/>
      <c r="AO858" s="9"/>
      <c r="AP858" s="9"/>
      <c r="AQ858" s="9"/>
      <c r="AR858" s="9"/>
      <c r="AS858" s="9"/>
      <c r="AT858" s="9"/>
    </row>
    <row r="859">
      <c r="A859" s="492"/>
      <c r="B859" s="254"/>
      <c r="C859" s="492"/>
      <c r="D859" s="254"/>
      <c r="E859" s="492"/>
      <c r="F859" s="254"/>
      <c r="G859" s="492"/>
      <c r="H859" s="254"/>
      <c r="I859" s="500"/>
      <c r="J859" s="181"/>
      <c r="K859" s="500"/>
      <c r="L859" s="181"/>
      <c r="M859" s="492"/>
      <c r="N859" s="254"/>
      <c r="O859" s="492"/>
      <c r="P859" s="254"/>
      <c r="Q859" s="492"/>
      <c r="R859" s="254"/>
      <c r="S859" s="528"/>
      <c r="T859" s="528"/>
      <c r="U859" s="492"/>
      <c r="V859" s="254"/>
      <c r="W859" s="492"/>
      <c r="X859" s="254"/>
      <c r="Y859" s="9"/>
      <c r="Z859" s="9"/>
      <c r="AA859" s="9"/>
      <c r="AB859" s="9"/>
      <c r="AC859" s="9"/>
      <c r="AD859" s="9"/>
      <c r="AE859" s="9"/>
      <c r="AF859" s="9"/>
      <c r="AG859" s="9"/>
      <c r="AH859" s="9"/>
      <c r="AI859" s="9"/>
      <c r="AJ859" s="9"/>
      <c r="AK859" s="9"/>
      <c r="AL859" s="9"/>
      <c r="AM859" s="9"/>
      <c r="AN859" s="9"/>
      <c r="AO859" s="9"/>
      <c r="AP859" s="9"/>
      <c r="AQ859" s="9"/>
      <c r="AR859" s="9"/>
      <c r="AS859" s="9"/>
      <c r="AT859" s="9"/>
    </row>
    <row r="860">
      <c r="A860" s="492"/>
      <c r="B860" s="254"/>
      <c r="C860" s="492"/>
      <c r="D860" s="254"/>
      <c r="E860" s="492"/>
      <c r="F860" s="254"/>
      <c r="G860" s="492"/>
      <c r="H860" s="254"/>
      <c r="I860" s="500"/>
      <c r="J860" s="181"/>
      <c r="K860" s="500"/>
      <c r="L860" s="181"/>
      <c r="M860" s="492"/>
      <c r="N860" s="254"/>
      <c r="O860" s="492"/>
      <c r="P860" s="254"/>
      <c r="Q860" s="492"/>
      <c r="R860" s="254"/>
      <c r="S860" s="528"/>
      <c r="T860" s="528"/>
      <c r="U860" s="492"/>
      <c r="V860" s="254"/>
      <c r="W860" s="492"/>
      <c r="X860" s="254"/>
      <c r="Y860" s="9"/>
      <c r="Z860" s="9"/>
      <c r="AA860" s="9"/>
      <c r="AB860" s="9"/>
      <c r="AC860" s="9"/>
      <c r="AD860" s="9"/>
      <c r="AE860" s="9"/>
      <c r="AF860" s="9"/>
      <c r="AG860" s="9"/>
      <c r="AH860" s="9"/>
      <c r="AI860" s="9"/>
      <c r="AJ860" s="9"/>
      <c r="AK860" s="9"/>
      <c r="AL860" s="9"/>
      <c r="AM860" s="9"/>
      <c r="AN860" s="9"/>
      <c r="AO860" s="9"/>
      <c r="AP860" s="9"/>
      <c r="AQ860" s="9"/>
      <c r="AR860" s="9"/>
      <c r="AS860" s="9"/>
      <c r="AT860" s="9"/>
    </row>
    <row r="861">
      <c r="A861" s="492"/>
      <c r="B861" s="254"/>
      <c r="C861" s="492"/>
      <c r="D861" s="254"/>
      <c r="E861" s="492"/>
      <c r="F861" s="254"/>
      <c r="G861" s="492"/>
      <c r="H861" s="254"/>
      <c r="I861" s="500"/>
      <c r="J861" s="181"/>
      <c r="K861" s="500"/>
      <c r="L861" s="181"/>
      <c r="M861" s="492"/>
      <c r="N861" s="254"/>
      <c r="O861" s="492"/>
      <c r="P861" s="254"/>
      <c r="Q861" s="492"/>
      <c r="R861" s="254"/>
      <c r="S861" s="528"/>
      <c r="T861" s="528"/>
      <c r="U861" s="492"/>
      <c r="V861" s="254"/>
      <c r="W861" s="492"/>
      <c r="X861" s="254"/>
      <c r="Y861" s="9"/>
      <c r="Z861" s="9"/>
      <c r="AA861" s="9"/>
      <c r="AB861" s="9"/>
      <c r="AC861" s="9"/>
      <c r="AD861" s="9"/>
      <c r="AE861" s="9"/>
      <c r="AF861" s="9"/>
      <c r="AG861" s="9"/>
      <c r="AH861" s="9"/>
      <c r="AI861" s="9"/>
      <c r="AJ861" s="9"/>
      <c r="AK861" s="9"/>
      <c r="AL861" s="9"/>
      <c r="AM861" s="9"/>
      <c r="AN861" s="9"/>
      <c r="AO861" s="9"/>
      <c r="AP861" s="9"/>
      <c r="AQ861" s="9"/>
      <c r="AR861" s="9"/>
      <c r="AS861" s="9"/>
      <c r="AT861" s="9"/>
    </row>
    <row r="862">
      <c r="A862" s="492"/>
      <c r="B862" s="254"/>
      <c r="C862" s="492"/>
      <c r="D862" s="254"/>
      <c r="E862" s="492"/>
      <c r="F862" s="254"/>
      <c r="G862" s="492"/>
      <c r="H862" s="254"/>
      <c r="I862" s="500"/>
      <c r="J862" s="181"/>
      <c r="K862" s="500"/>
      <c r="L862" s="181"/>
      <c r="M862" s="492"/>
      <c r="N862" s="254"/>
      <c r="O862" s="492"/>
      <c r="P862" s="254"/>
      <c r="Q862" s="492"/>
      <c r="R862" s="254"/>
      <c r="S862" s="528"/>
      <c r="T862" s="528"/>
      <c r="U862" s="492"/>
      <c r="V862" s="254"/>
      <c r="W862" s="492"/>
      <c r="X862" s="254"/>
      <c r="Y862" s="9"/>
      <c r="Z862" s="9"/>
      <c r="AA862" s="9"/>
      <c r="AB862" s="9"/>
      <c r="AC862" s="9"/>
      <c r="AD862" s="9"/>
      <c r="AE862" s="9"/>
      <c r="AF862" s="9"/>
      <c r="AG862" s="9"/>
      <c r="AH862" s="9"/>
      <c r="AI862" s="9"/>
      <c r="AJ862" s="9"/>
      <c r="AK862" s="9"/>
      <c r="AL862" s="9"/>
      <c r="AM862" s="9"/>
      <c r="AN862" s="9"/>
      <c r="AO862" s="9"/>
      <c r="AP862" s="9"/>
      <c r="AQ862" s="9"/>
      <c r="AR862" s="9"/>
      <c r="AS862" s="9"/>
      <c r="AT862" s="9"/>
    </row>
    <row r="863">
      <c r="A863" s="492"/>
      <c r="B863" s="254"/>
      <c r="C863" s="492"/>
      <c r="D863" s="254"/>
      <c r="E863" s="492"/>
      <c r="F863" s="254"/>
      <c r="G863" s="492"/>
      <c r="H863" s="254"/>
      <c r="I863" s="500"/>
      <c r="J863" s="181"/>
      <c r="K863" s="500"/>
      <c r="L863" s="181"/>
      <c r="M863" s="492"/>
      <c r="N863" s="254"/>
      <c r="O863" s="492"/>
      <c r="P863" s="254"/>
      <c r="Q863" s="492"/>
      <c r="R863" s="254"/>
      <c r="S863" s="528"/>
      <c r="T863" s="528"/>
      <c r="U863" s="492"/>
      <c r="V863" s="254"/>
      <c r="W863" s="492"/>
      <c r="X863" s="254"/>
      <c r="Y863" s="9"/>
      <c r="Z863" s="9"/>
      <c r="AA863" s="9"/>
      <c r="AB863" s="9"/>
      <c r="AC863" s="9"/>
      <c r="AD863" s="9"/>
      <c r="AE863" s="9"/>
      <c r="AF863" s="9"/>
      <c r="AG863" s="9"/>
      <c r="AH863" s="9"/>
      <c r="AI863" s="9"/>
      <c r="AJ863" s="9"/>
      <c r="AK863" s="9"/>
      <c r="AL863" s="9"/>
      <c r="AM863" s="9"/>
      <c r="AN863" s="9"/>
      <c r="AO863" s="9"/>
      <c r="AP863" s="9"/>
      <c r="AQ863" s="9"/>
      <c r="AR863" s="9"/>
      <c r="AS863" s="9"/>
      <c r="AT863" s="9"/>
    </row>
    <row r="864">
      <c r="A864" s="492"/>
      <c r="B864" s="254"/>
      <c r="C864" s="492"/>
      <c r="D864" s="254"/>
      <c r="E864" s="492"/>
      <c r="F864" s="254"/>
      <c r="G864" s="492"/>
      <c r="H864" s="254"/>
      <c r="I864" s="500"/>
      <c r="J864" s="181"/>
      <c r="K864" s="500"/>
      <c r="L864" s="181"/>
      <c r="M864" s="492"/>
      <c r="N864" s="254"/>
      <c r="O864" s="492"/>
      <c r="P864" s="254"/>
      <c r="Q864" s="492"/>
      <c r="R864" s="254"/>
      <c r="S864" s="528"/>
      <c r="T864" s="528"/>
      <c r="U864" s="492"/>
      <c r="V864" s="254"/>
      <c r="W864" s="492"/>
      <c r="X864" s="254"/>
      <c r="Y864" s="9"/>
      <c r="Z864" s="9"/>
      <c r="AA864" s="9"/>
      <c r="AB864" s="9"/>
      <c r="AC864" s="9"/>
      <c r="AD864" s="9"/>
      <c r="AE864" s="9"/>
      <c r="AF864" s="9"/>
      <c r="AG864" s="9"/>
      <c r="AH864" s="9"/>
      <c r="AI864" s="9"/>
      <c r="AJ864" s="9"/>
      <c r="AK864" s="9"/>
      <c r="AL864" s="9"/>
      <c r="AM864" s="9"/>
      <c r="AN864" s="9"/>
      <c r="AO864" s="9"/>
      <c r="AP864" s="9"/>
      <c r="AQ864" s="9"/>
      <c r="AR864" s="9"/>
      <c r="AS864" s="9"/>
      <c r="AT864" s="9"/>
    </row>
    <row r="865">
      <c r="A865" s="492"/>
      <c r="B865" s="254"/>
      <c r="C865" s="492"/>
      <c r="D865" s="254"/>
      <c r="E865" s="492"/>
      <c r="F865" s="254"/>
      <c r="G865" s="492"/>
      <c r="H865" s="254"/>
      <c r="I865" s="500"/>
      <c r="J865" s="181"/>
      <c r="K865" s="500"/>
      <c r="L865" s="181"/>
      <c r="M865" s="492"/>
      <c r="N865" s="254"/>
      <c r="O865" s="492"/>
      <c r="P865" s="254"/>
      <c r="Q865" s="492"/>
      <c r="R865" s="254"/>
      <c r="S865" s="528"/>
      <c r="T865" s="528"/>
      <c r="U865" s="492"/>
      <c r="V865" s="254"/>
      <c r="W865" s="492"/>
      <c r="X865" s="254"/>
      <c r="Y865" s="9"/>
      <c r="Z865" s="9"/>
      <c r="AA865" s="9"/>
      <c r="AB865" s="9"/>
      <c r="AC865" s="9"/>
      <c r="AD865" s="9"/>
      <c r="AE865" s="9"/>
      <c r="AF865" s="9"/>
      <c r="AG865" s="9"/>
      <c r="AH865" s="9"/>
      <c r="AI865" s="9"/>
      <c r="AJ865" s="9"/>
      <c r="AK865" s="9"/>
      <c r="AL865" s="9"/>
      <c r="AM865" s="9"/>
      <c r="AN865" s="9"/>
      <c r="AO865" s="9"/>
      <c r="AP865" s="9"/>
      <c r="AQ865" s="9"/>
      <c r="AR865" s="9"/>
      <c r="AS865" s="9"/>
      <c r="AT865" s="9"/>
    </row>
    <row r="866">
      <c r="A866" s="492"/>
      <c r="B866" s="254"/>
      <c r="C866" s="492"/>
      <c r="D866" s="254"/>
      <c r="E866" s="492"/>
      <c r="F866" s="254"/>
      <c r="G866" s="492"/>
      <c r="H866" s="254"/>
      <c r="I866" s="500"/>
      <c r="J866" s="181"/>
      <c r="K866" s="500"/>
      <c r="L866" s="181"/>
      <c r="M866" s="492"/>
      <c r="N866" s="254"/>
      <c r="O866" s="492"/>
      <c r="P866" s="254"/>
      <c r="Q866" s="492"/>
      <c r="R866" s="254"/>
      <c r="S866" s="528"/>
      <c r="T866" s="528"/>
      <c r="U866" s="492"/>
      <c r="V866" s="254"/>
      <c r="W866" s="492"/>
      <c r="X866" s="254"/>
      <c r="Y866" s="9"/>
      <c r="Z866" s="9"/>
      <c r="AA866" s="9"/>
      <c r="AB866" s="9"/>
      <c r="AC866" s="9"/>
      <c r="AD866" s="9"/>
      <c r="AE866" s="9"/>
      <c r="AF866" s="9"/>
      <c r="AG866" s="9"/>
      <c r="AH866" s="9"/>
      <c r="AI866" s="9"/>
      <c r="AJ866" s="9"/>
      <c r="AK866" s="9"/>
      <c r="AL866" s="9"/>
      <c r="AM866" s="9"/>
      <c r="AN866" s="9"/>
      <c r="AO866" s="9"/>
      <c r="AP866" s="9"/>
      <c r="AQ866" s="9"/>
      <c r="AR866" s="9"/>
      <c r="AS866" s="9"/>
      <c r="AT866" s="9"/>
    </row>
    <row r="867">
      <c r="A867" s="492"/>
      <c r="B867" s="254"/>
      <c r="C867" s="492"/>
      <c r="D867" s="254"/>
      <c r="E867" s="492"/>
      <c r="F867" s="254"/>
      <c r="G867" s="492"/>
      <c r="H867" s="254"/>
      <c r="I867" s="500"/>
      <c r="J867" s="181"/>
      <c r="K867" s="500"/>
      <c r="L867" s="181"/>
      <c r="M867" s="492"/>
      <c r="N867" s="254"/>
      <c r="O867" s="492"/>
      <c r="P867" s="254"/>
      <c r="Q867" s="492"/>
      <c r="R867" s="254"/>
      <c r="S867" s="528"/>
      <c r="T867" s="528"/>
      <c r="U867" s="492"/>
      <c r="V867" s="254"/>
      <c r="W867" s="492"/>
      <c r="X867" s="254"/>
      <c r="Y867" s="9"/>
      <c r="Z867" s="9"/>
      <c r="AA867" s="9"/>
      <c r="AB867" s="9"/>
      <c r="AC867" s="9"/>
      <c r="AD867" s="9"/>
      <c r="AE867" s="9"/>
      <c r="AF867" s="9"/>
      <c r="AG867" s="9"/>
      <c r="AH867" s="9"/>
      <c r="AI867" s="9"/>
      <c r="AJ867" s="9"/>
      <c r="AK867" s="9"/>
      <c r="AL867" s="9"/>
      <c r="AM867" s="9"/>
      <c r="AN867" s="9"/>
      <c r="AO867" s="9"/>
      <c r="AP867" s="9"/>
      <c r="AQ867" s="9"/>
      <c r="AR867" s="9"/>
      <c r="AS867" s="9"/>
      <c r="AT867" s="9"/>
    </row>
    <row r="868">
      <c r="A868" s="492"/>
      <c r="B868" s="254"/>
      <c r="C868" s="492"/>
      <c r="D868" s="254"/>
      <c r="E868" s="492"/>
      <c r="F868" s="254"/>
      <c r="G868" s="492"/>
      <c r="H868" s="254"/>
      <c r="I868" s="500"/>
      <c r="J868" s="181"/>
      <c r="K868" s="500"/>
      <c r="L868" s="181"/>
      <c r="M868" s="492"/>
      <c r="N868" s="254"/>
      <c r="O868" s="492"/>
      <c r="P868" s="254"/>
      <c r="Q868" s="492"/>
      <c r="R868" s="254"/>
      <c r="S868" s="528"/>
      <c r="T868" s="528"/>
      <c r="U868" s="492"/>
      <c r="V868" s="254"/>
      <c r="W868" s="492"/>
      <c r="X868" s="254"/>
      <c r="Y868" s="9"/>
      <c r="Z868" s="9"/>
      <c r="AA868" s="9"/>
      <c r="AB868" s="9"/>
      <c r="AC868" s="9"/>
      <c r="AD868" s="9"/>
      <c r="AE868" s="9"/>
      <c r="AF868" s="9"/>
      <c r="AG868" s="9"/>
      <c r="AH868" s="9"/>
      <c r="AI868" s="9"/>
      <c r="AJ868" s="9"/>
      <c r="AK868" s="9"/>
      <c r="AL868" s="9"/>
      <c r="AM868" s="9"/>
      <c r="AN868" s="9"/>
      <c r="AO868" s="9"/>
      <c r="AP868" s="9"/>
      <c r="AQ868" s="9"/>
      <c r="AR868" s="9"/>
      <c r="AS868" s="9"/>
      <c r="AT868" s="9"/>
    </row>
    <row r="869">
      <c r="A869" s="492"/>
      <c r="B869" s="254"/>
      <c r="C869" s="492"/>
      <c r="D869" s="254"/>
      <c r="E869" s="492"/>
      <c r="F869" s="254"/>
      <c r="G869" s="492"/>
      <c r="H869" s="254"/>
      <c r="I869" s="500"/>
      <c r="J869" s="181"/>
      <c r="K869" s="500"/>
      <c r="L869" s="181"/>
      <c r="M869" s="492"/>
      <c r="N869" s="254"/>
      <c r="O869" s="492"/>
      <c r="P869" s="254"/>
      <c r="Q869" s="492"/>
      <c r="R869" s="254"/>
      <c r="S869" s="528"/>
      <c r="T869" s="528"/>
      <c r="U869" s="492"/>
      <c r="V869" s="254"/>
      <c r="W869" s="492"/>
      <c r="X869" s="254"/>
      <c r="Y869" s="9"/>
      <c r="Z869" s="9"/>
      <c r="AA869" s="9"/>
      <c r="AB869" s="9"/>
      <c r="AC869" s="9"/>
      <c r="AD869" s="9"/>
      <c r="AE869" s="9"/>
      <c r="AF869" s="9"/>
      <c r="AG869" s="9"/>
      <c r="AH869" s="9"/>
      <c r="AI869" s="9"/>
      <c r="AJ869" s="9"/>
      <c r="AK869" s="9"/>
      <c r="AL869" s="9"/>
      <c r="AM869" s="9"/>
      <c r="AN869" s="9"/>
      <c r="AO869" s="9"/>
      <c r="AP869" s="9"/>
      <c r="AQ869" s="9"/>
      <c r="AR869" s="9"/>
      <c r="AS869" s="9"/>
      <c r="AT869" s="9"/>
    </row>
    <row r="870">
      <c r="A870" s="492"/>
      <c r="B870" s="254"/>
      <c r="C870" s="492"/>
      <c r="D870" s="254"/>
      <c r="E870" s="492"/>
      <c r="F870" s="254"/>
      <c r="G870" s="492"/>
      <c r="H870" s="254"/>
      <c r="I870" s="500"/>
      <c r="J870" s="181"/>
      <c r="K870" s="500"/>
      <c r="L870" s="181"/>
      <c r="M870" s="492"/>
      <c r="N870" s="254"/>
      <c r="O870" s="492"/>
      <c r="P870" s="254"/>
      <c r="Q870" s="492"/>
      <c r="R870" s="254"/>
      <c r="S870" s="528"/>
      <c r="T870" s="528"/>
      <c r="U870" s="492"/>
      <c r="V870" s="254"/>
      <c r="W870" s="492"/>
      <c r="X870" s="254"/>
      <c r="Y870" s="9"/>
      <c r="Z870" s="9"/>
      <c r="AA870" s="9"/>
      <c r="AB870" s="9"/>
      <c r="AC870" s="9"/>
      <c r="AD870" s="9"/>
      <c r="AE870" s="9"/>
      <c r="AF870" s="9"/>
      <c r="AG870" s="9"/>
      <c r="AH870" s="9"/>
      <c r="AI870" s="9"/>
      <c r="AJ870" s="9"/>
      <c r="AK870" s="9"/>
      <c r="AL870" s="9"/>
      <c r="AM870" s="9"/>
      <c r="AN870" s="9"/>
      <c r="AO870" s="9"/>
      <c r="AP870" s="9"/>
      <c r="AQ870" s="9"/>
      <c r="AR870" s="9"/>
      <c r="AS870" s="9"/>
      <c r="AT870" s="9"/>
    </row>
    <row r="871">
      <c r="A871" s="492"/>
      <c r="B871" s="254"/>
      <c r="C871" s="492"/>
      <c r="D871" s="254"/>
      <c r="E871" s="492"/>
      <c r="F871" s="254"/>
      <c r="G871" s="492"/>
      <c r="H871" s="254"/>
      <c r="I871" s="500"/>
      <c r="J871" s="181"/>
      <c r="K871" s="500"/>
      <c r="L871" s="181"/>
      <c r="M871" s="492"/>
      <c r="N871" s="254"/>
      <c r="O871" s="492"/>
      <c r="P871" s="254"/>
      <c r="Q871" s="492"/>
      <c r="R871" s="254"/>
      <c r="S871" s="528"/>
      <c r="T871" s="528"/>
      <c r="U871" s="492"/>
      <c r="V871" s="254"/>
      <c r="W871" s="492"/>
      <c r="X871" s="254"/>
      <c r="Y871" s="9"/>
      <c r="Z871" s="9"/>
      <c r="AA871" s="9"/>
      <c r="AB871" s="9"/>
      <c r="AC871" s="9"/>
      <c r="AD871" s="9"/>
      <c r="AE871" s="9"/>
      <c r="AF871" s="9"/>
      <c r="AG871" s="9"/>
      <c r="AH871" s="9"/>
      <c r="AI871" s="9"/>
      <c r="AJ871" s="9"/>
      <c r="AK871" s="9"/>
      <c r="AL871" s="9"/>
      <c r="AM871" s="9"/>
      <c r="AN871" s="9"/>
      <c r="AO871" s="9"/>
      <c r="AP871" s="9"/>
      <c r="AQ871" s="9"/>
      <c r="AR871" s="9"/>
      <c r="AS871" s="9"/>
      <c r="AT871" s="9"/>
    </row>
    <row r="872">
      <c r="A872" s="492"/>
      <c r="B872" s="254"/>
      <c r="C872" s="492"/>
      <c r="D872" s="254"/>
      <c r="E872" s="492"/>
      <c r="F872" s="254"/>
      <c r="G872" s="492"/>
      <c r="H872" s="254"/>
      <c r="I872" s="500"/>
      <c r="J872" s="181"/>
      <c r="K872" s="500"/>
      <c r="L872" s="181"/>
      <c r="M872" s="492"/>
      <c r="N872" s="254"/>
      <c r="O872" s="492"/>
      <c r="P872" s="254"/>
      <c r="Q872" s="492"/>
      <c r="R872" s="254"/>
      <c r="S872" s="528"/>
      <c r="T872" s="528"/>
      <c r="U872" s="492"/>
      <c r="V872" s="254"/>
      <c r="W872" s="492"/>
      <c r="X872" s="254"/>
      <c r="Y872" s="9"/>
      <c r="Z872" s="9"/>
      <c r="AA872" s="9"/>
      <c r="AB872" s="9"/>
      <c r="AC872" s="9"/>
      <c r="AD872" s="9"/>
      <c r="AE872" s="9"/>
      <c r="AF872" s="9"/>
      <c r="AG872" s="9"/>
      <c r="AH872" s="9"/>
      <c r="AI872" s="9"/>
      <c r="AJ872" s="9"/>
      <c r="AK872" s="9"/>
      <c r="AL872" s="9"/>
      <c r="AM872" s="9"/>
      <c r="AN872" s="9"/>
      <c r="AO872" s="9"/>
      <c r="AP872" s="9"/>
      <c r="AQ872" s="9"/>
      <c r="AR872" s="9"/>
      <c r="AS872" s="9"/>
      <c r="AT872" s="9"/>
    </row>
    <row r="873">
      <c r="A873" s="492"/>
      <c r="B873" s="254"/>
      <c r="C873" s="492"/>
      <c r="D873" s="254"/>
      <c r="E873" s="492"/>
      <c r="F873" s="254"/>
      <c r="G873" s="492"/>
      <c r="H873" s="254"/>
      <c r="I873" s="500"/>
      <c r="J873" s="181"/>
      <c r="K873" s="500"/>
      <c r="L873" s="181"/>
      <c r="M873" s="492"/>
      <c r="N873" s="254"/>
      <c r="O873" s="492"/>
      <c r="P873" s="254"/>
      <c r="Q873" s="492"/>
      <c r="R873" s="254"/>
      <c r="S873" s="528"/>
      <c r="T873" s="528"/>
      <c r="U873" s="492"/>
      <c r="V873" s="254"/>
      <c r="W873" s="492"/>
      <c r="X873" s="254"/>
      <c r="Y873" s="9"/>
      <c r="Z873" s="9"/>
      <c r="AA873" s="9"/>
      <c r="AB873" s="9"/>
      <c r="AC873" s="9"/>
      <c r="AD873" s="9"/>
      <c r="AE873" s="9"/>
      <c r="AF873" s="9"/>
      <c r="AG873" s="9"/>
      <c r="AH873" s="9"/>
      <c r="AI873" s="9"/>
      <c r="AJ873" s="9"/>
      <c r="AK873" s="9"/>
      <c r="AL873" s="9"/>
      <c r="AM873" s="9"/>
      <c r="AN873" s="9"/>
      <c r="AO873" s="9"/>
      <c r="AP873" s="9"/>
      <c r="AQ873" s="9"/>
      <c r="AR873" s="9"/>
      <c r="AS873" s="9"/>
      <c r="AT873" s="9"/>
    </row>
    <row r="874">
      <c r="A874" s="492"/>
      <c r="B874" s="254"/>
      <c r="C874" s="492"/>
      <c r="D874" s="254"/>
      <c r="E874" s="492"/>
      <c r="F874" s="254"/>
      <c r="G874" s="492"/>
      <c r="H874" s="254"/>
      <c r="I874" s="500"/>
      <c r="J874" s="181"/>
      <c r="K874" s="500"/>
      <c r="L874" s="181"/>
      <c r="M874" s="492"/>
      <c r="N874" s="254"/>
      <c r="O874" s="492"/>
      <c r="P874" s="254"/>
      <c r="Q874" s="492"/>
      <c r="R874" s="254"/>
      <c r="S874" s="528"/>
      <c r="T874" s="528"/>
      <c r="U874" s="492"/>
      <c r="V874" s="254"/>
      <c r="W874" s="492"/>
      <c r="X874" s="254"/>
      <c r="Y874" s="9"/>
      <c r="Z874" s="9"/>
      <c r="AA874" s="9"/>
      <c r="AB874" s="9"/>
      <c r="AC874" s="9"/>
      <c r="AD874" s="9"/>
      <c r="AE874" s="9"/>
      <c r="AF874" s="9"/>
      <c r="AG874" s="9"/>
      <c r="AH874" s="9"/>
      <c r="AI874" s="9"/>
      <c r="AJ874" s="9"/>
      <c r="AK874" s="9"/>
      <c r="AL874" s="9"/>
      <c r="AM874" s="9"/>
      <c r="AN874" s="9"/>
      <c r="AO874" s="9"/>
      <c r="AP874" s="9"/>
      <c r="AQ874" s="9"/>
      <c r="AR874" s="9"/>
      <c r="AS874" s="9"/>
      <c r="AT874" s="9"/>
    </row>
    <row r="875">
      <c r="A875" s="492"/>
      <c r="B875" s="254"/>
      <c r="C875" s="492"/>
      <c r="D875" s="254"/>
      <c r="E875" s="492"/>
      <c r="F875" s="254"/>
      <c r="G875" s="492"/>
      <c r="H875" s="254"/>
      <c r="I875" s="500"/>
      <c r="J875" s="181"/>
      <c r="K875" s="500"/>
      <c r="L875" s="181"/>
      <c r="M875" s="492"/>
      <c r="N875" s="254"/>
      <c r="O875" s="492"/>
      <c r="P875" s="254"/>
      <c r="Q875" s="492"/>
      <c r="R875" s="254"/>
      <c r="S875" s="528"/>
      <c r="T875" s="528"/>
      <c r="U875" s="492"/>
      <c r="V875" s="254"/>
      <c r="W875" s="492"/>
      <c r="X875" s="254"/>
      <c r="Y875" s="9"/>
      <c r="Z875" s="9"/>
      <c r="AA875" s="9"/>
      <c r="AB875" s="9"/>
      <c r="AC875" s="9"/>
      <c r="AD875" s="9"/>
      <c r="AE875" s="9"/>
      <c r="AF875" s="9"/>
      <c r="AG875" s="9"/>
      <c r="AH875" s="9"/>
      <c r="AI875" s="9"/>
      <c r="AJ875" s="9"/>
      <c r="AK875" s="9"/>
      <c r="AL875" s="9"/>
      <c r="AM875" s="9"/>
      <c r="AN875" s="9"/>
      <c r="AO875" s="9"/>
      <c r="AP875" s="9"/>
      <c r="AQ875" s="9"/>
      <c r="AR875" s="9"/>
      <c r="AS875" s="9"/>
      <c r="AT875" s="9"/>
    </row>
    <row r="876">
      <c r="A876" s="492"/>
      <c r="B876" s="254"/>
      <c r="C876" s="492"/>
      <c r="D876" s="254"/>
      <c r="E876" s="492"/>
      <c r="F876" s="254"/>
      <c r="G876" s="492"/>
      <c r="H876" s="254"/>
      <c r="I876" s="500"/>
      <c r="J876" s="181"/>
      <c r="K876" s="500"/>
      <c r="L876" s="181"/>
      <c r="M876" s="492"/>
      <c r="N876" s="254"/>
      <c r="O876" s="492"/>
      <c r="P876" s="254"/>
      <c r="Q876" s="492"/>
      <c r="R876" s="254"/>
      <c r="S876" s="528"/>
      <c r="T876" s="528"/>
      <c r="U876" s="492"/>
      <c r="V876" s="254"/>
      <c r="W876" s="492"/>
      <c r="X876" s="254"/>
      <c r="Y876" s="9"/>
      <c r="Z876" s="9"/>
      <c r="AA876" s="9"/>
      <c r="AB876" s="9"/>
      <c r="AC876" s="9"/>
      <c r="AD876" s="9"/>
      <c r="AE876" s="9"/>
      <c r="AF876" s="9"/>
      <c r="AG876" s="9"/>
      <c r="AH876" s="9"/>
      <c r="AI876" s="9"/>
      <c r="AJ876" s="9"/>
      <c r="AK876" s="9"/>
      <c r="AL876" s="9"/>
      <c r="AM876" s="9"/>
      <c r="AN876" s="9"/>
      <c r="AO876" s="9"/>
      <c r="AP876" s="9"/>
      <c r="AQ876" s="9"/>
      <c r="AR876" s="9"/>
      <c r="AS876" s="9"/>
      <c r="AT876" s="9"/>
    </row>
    <row r="877">
      <c r="A877" s="492"/>
      <c r="B877" s="254"/>
      <c r="C877" s="492"/>
      <c r="D877" s="254"/>
      <c r="E877" s="492"/>
      <c r="F877" s="254"/>
      <c r="G877" s="492"/>
      <c r="H877" s="254"/>
      <c r="I877" s="500"/>
      <c r="J877" s="181"/>
      <c r="K877" s="500"/>
      <c r="L877" s="181"/>
      <c r="M877" s="492"/>
      <c r="N877" s="254"/>
      <c r="O877" s="492"/>
      <c r="P877" s="254"/>
      <c r="Q877" s="492"/>
      <c r="R877" s="254"/>
      <c r="S877" s="528"/>
      <c r="T877" s="528"/>
      <c r="U877" s="492"/>
      <c r="V877" s="254"/>
      <c r="W877" s="492"/>
      <c r="X877" s="254"/>
      <c r="Y877" s="9"/>
      <c r="Z877" s="9"/>
      <c r="AA877" s="9"/>
      <c r="AB877" s="9"/>
      <c r="AC877" s="9"/>
      <c r="AD877" s="9"/>
      <c r="AE877" s="9"/>
      <c r="AF877" s="9"/>
      <c r="AG877" s="9"/>
      <c r="AH877" s="9"/>
      <c r="AI877" s="9"/>
      <c r="AJ877" s="9"/>
      <c r="AK877" s="9"/>
      <c r="AL877" s="9"/>
      <c r="AM877" s="9"/>
      <c r="AN877" s="9"/>
      <c r="AO877" s="9"/>
      <c r="AP877" s="9"/>
      <c r="AQ877" s="9"/>
      <c r="AR877" s="9"/>
      <c r="AS877" s="9"/>
      <c r="AT877" s="9"/>
    </row>
    <row r="878">
      <c r="A878" s="492"/>
      <c r="B878" s="254"/>
      <c r="C878" s="492"/>
      <c r="D878" s="254"/>
      <c r="E878" s="492"/>
      <c r="F878" s="254"/>
      <c r="G878" s="492"/>
      <c r="H878" s="254"/>
      <c r="I878" s="500"/>
      <c r="J878" s="181"/>
      <c r="K878" s="500"/>
      <c r="L878" s="181"/>
      <c r="M878" s="492"/>
      <c r="N878" s="254"/>
      <c r="O878" s="492"/>
      <c r="P878" s="254"/>
      <c r="Q878" s="492"/>
      <c r="R878" s="254"/>
      <c r="S878" s="528"/>
      <c r="T878" s="528"/>
      <c r="U878" s="492"/>
      <c r="V878" s="254"/>
      <c r="W878" s="492"/>
      <c r="X878" s="254"/>
      <c r="Y878" s="9"/>
      <c r="Z878" s="9"/>
      <c r="AA878" s="9"/>
      <c r="AB878" s="9"/>
      <c r="AC878" s="9"/>
      <c r="AD878" s="9"/>
      <c r="AE878" s="9"/>
      <c r="AF878" s="9"/>
      <c r="AG878" s="9"/>
      <c r="AH878" s="9"/>
      <c r="AI878" s="9"/>
      <c r="AJ878" s="9"/>
      <c r="AK878" s="9"/>
      <c r="AL878" s="9"/>
      <c r="AM878" s="9"/>
      <c r="AN878" s="9"/>
      <c r="AO878" s="9"/>
      <c r="AP878" s="9"/>
      <c r="AQ878" s="9"/>
      <c r="AR878" s="9"/>
      <c r="AS878" s="9"/>
      <c r="AT878" s="9"/>
    </row>
    <row r="879">
      <c r="A879" s="492"/>
      <c r="B879" s="254"/>
      <c r="C879" s="492"/>
      <c r="D879" s="254"/>
      <c r="E879" s="492"/>
      <c r="F879" s="254"/>
      <c r="G879" s="492"/>
      <c r="H879" s="254"/>
      <c r="I879" s="500"/>
      <c r="J879" s="181"/>
      <c r="K879" s="500"/>
      <c r="L879" s="181"/>
      <c r="M879" s="492"/>
      <c r="N879" s="254"/>
      <c r="O879" s="492"/>
      <c r="P879" s="254"/>
      <c r="Q879" s="492"/>
      <c r="R879" s="254"/>
      <c r="S879" s="528"/>
      <c r="T879" s="528"/>
      <c r="U879" s="492"/>
      <c r="V879" s="254"/>
      <c r="W879" s="492"/>
      <c r="X879" s="254"/>
      <c r="Y879" s="9"/>
      <c r="Z879" s="9"/>
      <c r="AA879" s="9"/>
      <c r="AB879" s="9"/>
      <c r="AC879" s="9"/>
      <c r="AD879" s="9"/>
      <c r="AE879" s="9"/>
      <c r="AF879" s="9"/>
      <c r="AG879" s="9"/>
      <c r="AH879" s="9"/>
      <c r="AI879" s="9"/>
      <c r="AJ879" s="9"/>
      <c r="AK879" s="9"/>
      <c r="AL879" s="9"/>
      <c r="AM879" s="9"/>
      <c r="AN879" s="9"/>
      <c r="AO879" s="9"/>
      <c r="AP879" s="9"/>
      <c r="AQ879" s="9"/>
      <c r="AR879" s="9"/>
      <c r="AS879" s="9"/>
      <c r="AT879" s="9"/>
    </row>
    <row r="880">
      <c r="A880" s="492"/>
      <c r="B880" s="254"/>
      <c r="C880" s="492"/>
      <c r="D880" s="254"/>
      <c r="E880" s="492"/>
      <c r="F880" s="254"/>
      <c r="G880" s="492"/>
      <c r="H880" s="254"/>
      <c r="I880" s="500"/>
      <c r="J880" s="181"/>
      <c r="K880" s="500"/>
      <c r="L880" s="181"/>
      <c r="M880" s="492"/>
      <c r="N880" s="254"/>
      <c r="O880" s="492"/>
      <c r="P880" s="254"/>
      <c r="Q880" s="492"/>
      <c r="R880" s="254"/>
      <c r="S880" s="528"/>
      <c r="T880" s="528"/>
      <c r="U880" s="492"/>
      <c r="V880" s="254"/>
      <c r="W880" s="492"/>
      <c r="X880" s="254"/>
      <c r="Y880" s="9"/>
      <c r="Z880" s="9"/>
      <c r="AA880" s="9"/>
      <c r="AB880" s="9"/>
      <c r="AC880" s="9"/>
      <c r="AD880" s="9"/>
      <c r="AE880" s="9"/>
      <c r="AF880" s="9"/>
      <c r="AG880" s="9"/>
      <c r="AH880" s="9"/>
      <c r="AI880" s="9"/>
      <c r="AJ880" s="9"/>
      <c r="AK880" s="9"/>
      <c r="AL880" s="9"/>
      <c r="AM880" s="9"/>
      <c r="AN880" s="9"/>
      <c r="AO880" s="9"/>
      <c r="AP880" s="9"/>
      <c r="AQ880" s="9"/>
      <c r="AR880" s="9"/>
      <c r="AS880" s="9"/>
      <c r="AT880" s="9"/>
    </row>
    <row r="881">
      <c r="A881" s="492"/>
      <c r="B881" s="254"/>
      <c r="C881" s="492"/>
      <c r="D881" s="254"/>
      <c r="E881" s="492"/>
      <c r="F881" s="254"/>
      <c r="G881" s="492"/>
      <c r="H881" s="254"/>
      <c r="I881" s="500"/>
      <c r="J881" s="181"/>
      <c r="K881" s="500"/>
      <c r="L881" s="181"/>
      <c r="M881" s="492"/>
      <c r="N881" s="254"/>
      <c r="O881" s="492"/>
      <c r="P881" s="254"/>
      <c r="Q881" s="492"/>
      <c r="R881" s="254"/>
      <c r="S881" s="528"/>
      <c r="T881" s="528"/>
      <c r="U881" s="492"/>
      <c r="V881" s="254"/>
      <c r="W881" s="492"/>
      <c r="X881" s="254"/>
      <c r="Y881" s="9"/>
      <c r="Z881" s="9"/>
      <c r="AA881" s="9"/>
      <c r="AB881" s="9"/>
      <c r="AC881" s="9"/>
      <c r="AD881" s="9"/>
      <c r="AE881" s="9"/>
      <c r="AF881" s="9"/>
      <c r="AG881" s="9"/>
      <c r="AH881" s="9"/>
      <c r="AI881" s="9"/>
      <c r="AJ881" s="9"/>
      <c r="AK881" s="9"/>
      <c r="AL881" s="9"/>
      <c r="AM881" s="9"/>
      <c r="AN881" s="9"/>
      <c r="AO881" s="9"/>
      <c r="AP881" s="9"/>
      <c r="AQ881" s="9"/>
      <c r="AR881" s="9"/>
      <c r="AS881" s="9"/>
      <c r="AT881" s="9"/>
    </row>
    <row r="882">
      <c r="A882" s="492"/>
      <c r="B882" s="254"/>
      <c r="C882" s="492"/>
      <c r="D882" s="254"/>
      <c r="E882" s="492"/>
      <c r="F882" s="254"/>
      <c r="G882" s="492"/>
      <c r="H882" s="254"/>
      <c r="I882" s="500"/>
      <c r="J882" s="181"/>
      <c r="K882" s="500"/>
      <c r="L882" s="181"/>
      <c r="M882" s="492"/>
      <c r="N882" s="254"/>
      <c r="O882" s="492"/>
      <c r="P882" s="254"/>
      <c r="Q882" s="492"/>
      <c r="R882" s="254"/>
      <c r="S882" s="528"/>
      <c r="T882" s="528"/>
      <c r="U882" s="492"/>
      <c r="V882" s="254"/>
      <c r="W882" s="492"/>
      <c r="X882" s="254"/>
      <c r="Y882" s="9"/>
      <c r="Z882" s="9"/>
      <c r="AA882" s="9"/>
      <c r="AB882" s="9"/>
      <c r="AC882" s="9"/>
      <c r="AD882" s="9"/>
      <c r="AE882" s="9"/>
      <c r="AF882" s="9"/>
      <c r="AG882" s="9"/>
      <c r="AH882" s="9"/>
      <c r="AI882" s="9"/>
      <c r="AJ882" s="9"/>
      <c r="AK882" s="9"/>
      <c r="AL882" s="9"/>
      <c r="AM882" s="9"/>
      <c r="AN882" s="9"/>
      <c r="AO882" s="9"/>
      <c r="AP882" s="9"/>
      <c r="AQ882" s="9"/>
      <c r="AR882" s="9"/>
      <c r="AS882" s="9"/>
      <c r="AT882" s="9"/>
    </row>
    <row r="883">
      <c r="A883" s="492"/>
      <c r="B883" s="254"/>
      <c r="C883" s="492"/>
      <c r="D883" s="254"/>
      <c r="E883" s="492"/>
      <c r="F883" s="254"/>
      <c r="G883" s="492"/>
      <c r="H883" s="254"/>
      <c r="I883" s="500"/>
      <c r="J883" s="181"/>
      <c r="K883" s="500"/>
      <c r="L883" s="181"/>
      <c r="M883" s="492"/>
      <c r="N883" s="254"/>
      <c r="O883" s="492"/>
      <c r="P883" s="254"/>
      <c r="Q883" s="492"/>
      <c r="R883" s="254"/>
      <c r="S883" s="528"/>
      <c r="T883" s="528"/>
      <c r="U883" s="492"/>
      <c r="V883" s="254"/>
      <c r="W883" s="492"/>
      <c r="X883" s="254"/>
      <c r="Y883" s="9"/>
      <c r="Z883" s="9"/>
      <c r="AA883" s="9"/>
      <c r="AB883" s="9"/>
      <c r="AC883" s="9"/>
      <c r="AD883" s="9"/>
      <c r="AE883" s="9"/>
      <c r="AF883" s="9"/>
      <c r="AG883" s="9"/>
      <c r="AH883" s="9"/>
      <c r="AI883" s="9"/>
      <c r="AJ883" s="9"/>
      <c r="AK883" s="9"/>
      <c r="AL883" s="9"/>
      <c r="AM883" s="9"/>
      <c r="AN883" s="9"/>
      <c r="AO883" s="9"/>
      <c r="AP883" s="9"/>
      <c r="AQ883" s="9"/>
      <c r="AR883" s="9"/>
      <c r="AS883" s="9"/>
      <c r="AT883" s="9"/>
    </row>
    <row r="884">
      <c r="A884" s="492"/>
      <c r="B884" s="254"/>
      <c r="C884" s="492"/>
      <c r="D884" s="254"/>
      <c r="E884" s="492"/>
      <c r="F884" s="254"/>
      <c r="G884" s="492"/>
      <c r="H884" s="254"/>
      <c r="I884" s="500"/>
      <c r="J884" s="181"/>
      <c r="K884" s="500"/>
      <c r="L884" s="181"/>
      <c r="M884" s="492"/>
      <c r="N884" s="254"/>
      <c r="O884" s="492"/>
      <c r="P884" s="254"/>
      <c r="Q884" s="492"/>
      <c r="R884" s="254"/>
      <c r="S884" s="528"/>
      <c r="T884" s="528"/>
      <c r="U884" s="492"/>
      <c r="V884" s="254"/>
      <c r="W884" s="492"/>
      <c r="X884" s="254"/>
      <c r="Y884" s="9"/>
      <c r="Z884" s="9"/>
      <c r="AA884" s="9"/>
      <c r="AB884" s="9"/>
      <c r="AC884" s="9"/>
      <c r="AD884" s="9"/>
      <c r="AE884" s="9"/>
      <c r="AF884" s="9"/>
      <c r="AG884" s="9"/>
      <c r="AH884" s="9"/>
      <c r="AI884" s="9"/>
      <c r="AJ884" s="9"/>
      <c r="AK884" s="9"/>
      <c r="AL884" s="9"/>
      <c r="AM884" s="9"/>
      <c r="AN884" s="9"/>
      <c r="AO884" s="9"/>
      <c r="AP884" s="9"/>
      <c r="AQ884" s="9"/>
      <c r="AR884" s="9"/>
      <c r="AS884" s="9"/>
      <c r="AT884" s="9"/>
    </row>
    <row r="885">
      <c r="A885" s="492"/>
      <c r="B885" s="254"/>
      <c r="C885" s="492"/>
      <c r="D885" s="254"/>
      <c r="E885" s="492"/>
      <c r="F885" s="254"/>
      <c r="G885" s="492"/>
      <c r="H885" s="254"/>
      <c r="I885" s="500"/>
      <c r="J885" s="181"/>
      <c r="K885" s="500"/>
      <c r="L885" s="181"/>
      <c r="M885" s="492"/>
      <c r="N885" s="254"/>
      <c r="O885" s="492"/>
      <c r="P885" s="254"/>
      <c r="Q885" s="492"/>
      <c r="R885" s="254"/>
      <c r="S885" s="528"/>
      <c r="T885" s="528"/>
      <c r="U885" s="492"/>
      <c r="V885" s="254"/>
      <c r="W885" s="492"/>
      <c r="X885" s="254"/>
      <c r="Y885" s="9"/>
      <c r="Z885" s="9"/>
      <c r="AA885" s="9"/>
      <c r="AB885" s="9"/>
      <c r="AC885" s="9"/>
      <c r="AD885" s="9"/>
      <c r="AE885" s="9"/>
      <c r="AF885" s="9"/>
      <c r="AG885" s="9"/>
      <c r="AH885" s="9"/>
      <c r="AI885" s="9"/>
      <c r="AJ885" s="9"/>
      <c r="AK885" s="9"/>
      <c r="AL885" s="9"/>
      <c r="AM885" s="9"/>
      <c r="AN885" s="9"/>
      <c r="AO885" s="9"/>
      <c r="AP885" s="9"/>
      <c r="AQ885" s="9"/>
      <c r="AR885" s="9"/>
      <c r="AS885" s="9"/>
      <c r="AT885" s="9"/>
    </row>
    <row r="886">
      <c r="A886" s="492"/>
      <c r="B886" s="254"/>
      <c r="C886" s="492"/>
      <c r="D886" s="254"/>
      <c r="E886" s="492"/>
      <c r="F886" s="254"/>
      <c r="G886" s="492"/>
      <c r="H886" s="254"/>
      <c r="I886" s="500"/>
      <c r="J886" s="181"/>
      <c r="K886" s="500"/>
      <c r="L886" s="181"/>
      <c r="M886" s="492"/>
      <c r="N886" s="254"/>
      <c r="O886" s="492"/>
      <c r="P886" s="254"/>
      <c r="Q886" s="492"/>
      <c r="R886" s="254"/>
      <c r="S886" s="528"/>
      <c r="T886" s="528"/>
      <c r="U886" s="492"/>
      <c r="V886" s="254"/>
      <c r="W886" s="492"/>
      <c r="X886" s="254"/>
      <c r="Y886" s="9"/>
      <c r="Z886" s="9"/>
      <c r="AA886" s="9"/>
      <c r="AB886" s="9"/>
      <c r="AC886" s="9"/>
      <c r="AD886" s="9"/>
      <c r="AE886" s="9"/>
      <c r="AF886" s="9"/>
      <c r="AG886" s="9"/>
      <c r="AH886" s="9"/>
      <c r="AI886" s="9"/>
      <c r="AJ886" s="9"/>
      <c r="AK886" s="9"/>
      <c r="AL886" s="9"/>
      <c r="AM886" s="9"/>
      <c r="AN886" s="9"/>
      <c r="AO886" s="9"/>
      <c r="AP886" s="9"/>
      <c r="AQ886" s="9"/>
      <c r="AR886" s="9"/>
      <c r="AS886" s="9"/>
      <c r="AT886" s="9"/>
    </row>
    <row r="887">
      <c r="A887" s="492"/>
      <c r="B887" s="254"/>
      <c r="C887" s="492"/>
      <c r="D887" s="254"/>
      <c r="E887" s="492"/>
      <c r="F887" s="254"/>
      <c r="G887" s="492"/>
      <c r="H887" s="254"/>
      <c r="I887" s="500"/>
      <c r="J887" s="181"/>
      <c r="K887" s="500"/>
      <c r="L887" s="181"/>
      <c r="M887" s="492"/>
      <c r="N887" s="254"/>
      <c r="O887" s="492"/>
      <c r="P887" s="254"/>
      <c r="Q887" s="492"/>
      <c r="R887" s="254"/>
      <c r="S887" s="528"/>
      <c r="T887" s="528"/>
      <c r="U887" s="492"/>
      <c r="V887" s="254"/>
      <c r="W887" s="492"/>
      <c r="X887" s="254"/>
      <c r="Y887" s="9"/>
      <c r="Z887" s="9"/>
      <c r="AA887" s="9"/>
      <c r="AB887" s="9"/>
      <c r="AC887" s="9"/>
      <c r="AD887" s="9"/>
      <c r="AE887" s="9"/>
      <c r="AF887" s="9"/>
      <c r="AG887" s="9"/>
      <c r="AH887" s="9"/>
      <c r="AI887" s="9"/>
      <c r="AJ887" s="9"/>
      <c r="AK887" s="9"/>
      <c r="AL887" s="9"/>
      <c r="AM887" s="9"/>
      <c r="AN887" s="9"/>
      <c r="AO887" s="9"/>
      <c r="AP887" s="9"/>
      <c r="AQ887" s="9"/>
      <c r="AR887" s="9"/>
      <c r="AS887" s="9"/>
      <c r="AT887" s="9"/>
    </row>
    <row r="888">
      <c r="A888" s="492"/>
      <c r="B888" s="254"/>
      <c r="C888" s="492"/>
      <c r="D888" s="254"/>
      <c r="E888" s="492"/>
      <c r="F888" s="254"/>
      <c r="G888" s="492"/>
      <c r="H888" s="254"/>
      <c r="I888" s="500"/>
      <c r="J888" s="181"/>
      <c r="K888" s="500"/>
      <c r="L888" s="181"/>
      <c r="M888" s="492"/>
      <c r="N888" s="254"/>
      <c r="O888" s="492"/>
      <c r="P888" s="254"/>
      <c r="Q888" s="492"/>
      <c r="R888" s="254"/>
      <c r="S888" s="528"/>
      <c r="T888" s="528"/>
      <c r="U888" s="492"/>
      <c r="V888" s="254"/>
      <c r="W888" s="492"/>
      <c r="X888" s="254"/>
      <c r="Y888" s="9"/>
      <c r="Z888" s="9"/>
      <c r="AA888" s="9"/>
      <c r="AB888" s="9"/>
      <c r="AC888" s="9"/>
      <c r="AD888" s="9"/>
      <c r="AE888" s="9"/>
      <c r="AF888" s="9"/>
      <c r="AG888" s="9"/>
      <c r="AH888" s="9"/>
      <c r="AI888" s="9"/>
      <c r="AJ888" s="9"/>
      <c r="AK888" s="9"/>
      <c r="AL888" s="9"/>
      <c r="AM888" s="9"/>
      <c r="AN888" s="9"/>
      <c r="AO888" s="9"/>
      <c r="AP888" s="9"/>
      <c r="AQ888" s="9"/>
      <c r="AR888" s="9"/>
      <c r="AS888" s="9"/>
      <c r="AT888" s="9"/>
    </row>
    <row r="889">
      <c r="A889" s="492"/>
      <c r="B889" s="254"/>
      <c r="C889" s="492"/>
      <c r="D889" s="254"/>
      <c r="E889" s="492"/>
      <c r="F889" s="254"/>
      <c r="G889" s="492"/>
      <c r="H889" s="254"/>
      <c r="I889" s="500"/>
      <c r="J889" s="181"/>
      <c r="K889" s="500"/>
      <c r="L889" s="181"/>
      <c r="M889" s="492"/>
      <c r="N889" s="254"/>
      <c r="O889" s="492"/>
      <c r="P889" s="254"/>
      <c r="Q889" s="492"/>
      <c r="R889" s="254"/>
      <c r="S889" s="528"/>
      <c r="T889" s="528"/>
      <c r="U889" s="492"/>
      <c r="V889" s="254"/>
      <c r="W889" s="492"/>
      <c r="X889" s="254"/>
      <c r="Y889" s="9"/>
      <c r="Z889" s="9"/>
      <c r="AA889" s="9"/>
      <c r="AB889" s="9"/>
      <c r="AC889" s="9"/>
      <c r="AD889" s="9"/>
      <c r="AE889" s="9"/>
      <c r="AF889" s="9"/>
      <c r="AG889" s="9"/>
      <c r="AH889" s="9"/>
      <c r="AI889" s="9"/>
      <c r="AJ889" s="9"/>
      <c r="AK889" s="9"/>
      <c r="AL889" s="9"/>
      <c r="AM889" s="9"/>
      <c r="AN889" s="9"/>
      <c r="AO889" s="9"/>
      <c r="AP889" s="9"/>
      <c r="AQ889" s="9"/>
      <c r="AR889" s="9"/>
      <c r="AS889" s="9"/>
      <c r="AT889" s="9"/>
    </row>
    <row r="890">
      <c r="A890" s="492"/>
      <c r="B890" s="254"/>
      <c r="C890" s="492"/>
      <c r="D890" s="254"/>
      <c r="E890" s="492"/>
      <c r="F890" s="254"/>
      <c r="G890" s="492"/>
      <c r="H890" s="254"/>
      <c r="I890" s="500"/>
      <c r="J890" s="181"/>
      <c r="K890" s="500"/>
      <c r="L890" s="181"/>
      <c r="M890" s="492"/>
      <c r="N890" s="254"/>
      <c r="O890" s="492"/>
      <c r="P890" s="254"/>
      <c r="Q890" s="492"/>
      <c r="R890" s="254"/>
      <c r="S890" s="528"/>
      <c r="T890" s="528"/>
      <c r="U890" s="492"/>
      <c r="V890" s="254"/>
      <c r="W890" s="492"/>
      <c r="X890" s="254"/>
      <c r="Y890" s="9"/>
      <c r="Z890" s="9"/>
      <c r="AA890" s="9"/>
      <c r="AB890" s="9"/>
      <c r="AC890" s="9"/>
      <c r="AD890" s="9"/>
      <c r="AE890" s="9"/>
      <c r="AF890" s="9"/>
      <c r="AG890" s="9"/>
      <c r="AH890" s="9"/>
      <c r="AI890" s="9"/>
      <c r="AJ890" s="9"/>
      <c r="AK890" s="9"/>
      <c r="AL890" s="9"/>
      <c r="AM890" s="9"/>
      <c r="AN890" s="9"/>
      <c r="AO890" s="9"/>
      <c r="AP890" s="9"/>
      <c r="AQ890" s="9"/>
      <c r="AR890" s="9"/>
      <c r="AS890" s="9"/>
      <c r="AT890" s="9"/>
    </row>
    <row r="891">
      <c r="A891" s="492"/>
      <c r="B891" s="254"/>
      <c r="C891" s="492"/>
      <c r="D891" s="254"/>
      <c r="E891" s="492"/>
      <c r="F891" s="254"/>
      <c r="G891" s="492"/>
      <c r="H891" s="254"/>
      <c r="I891" s="500"/>
      <c r="J891" s="181"/>
      <c r="K891" s="500"/>
      <c r="L891" s="181"/>
      <c r="M891" s="492"/>
      <c r="N891" s="254"/>
      <c r="O891" s="492"/>
      <c r="P891" s="254"/>
      <c r="Q891" s="492"/>
      <c r="R891" s="254"/>
      <c r="S891" s="528"/>
      <c r="T891" s="528"/>
      <c r="U891" s="492"/>
      <c r="V891" s="254"/>
      <c r="W891" s="492"/>
      <c r="X891" s="254"/>
      <c r="Y891" s="9"/>
      <c r="Z891" s="9"/>
      <c r="AA891" s="9"/>
      <c r="AB891" s="9"/>
      <c r="AC891" s="9"/>
      <c r="AD891" s="9"/>
      <c r="AE891" s="9"/>
      <c r="AF891" s="9"/>
      <c r="AG891" s="9"/>
      <c r="AH891" s="9"/>
      <c r="AI891" s="9"/>
      <c r="AJ891" s="9"/>
      <c r="AK891" s="9"/>
      <c r="AL891" s="9"/>
      <c r="AM891" s="9"/>
      <c r="AN891" s="9"/>
      <c r="AO891" s="9"/>
      <c r="AP891" s="9"/>
      <c r="AQ891" s="9"/>
      <c r="AR891" s="9"/>
      <c r="AS891" s="9"/>
      <c r="AT891" s="9"/>
    </row>
    <row r="892">
      <c r="A892" s="492"/>
      <c r="B892" s="254"/>
      <c r="C892" s="492"/>
      <c r="D892" s="254"/>
      <c r="E892" s="492"/>
      <c r="F892" s="254"/>
      <c r="G892" s="492"/>
      <c r="H892" s="254"/>
      <c r="I892" s="500"/>
      <c r="J892" s="181"/>
      <c r="K892" s="500"/>
      <c r="L892" s="181"/>
      <c r="M892" s="492"/>
      <c r="N892" s="254"/>
      <c r="O892" s="492"/>
      <c r="P892" s="254"/>
      <c r="Q892" s="492"/>
      <c r="R892" s="254"/>
      <c r="S892" s="528"/>
      <c r="T892" s="528"/>
      <c r="U892" s="492"/>
      <c r="V892" s="254"/>
      <c r="W892" s="492"/>
      <c r="X892" s="254"/>
      <c r="Y892" s="9"/>
      <c r="Z892" s="9"/>
      <c r="AA892" s="9"/>
      <c r="AB892" s="9"/>
      <c r="AC892" s="9"/>
      <c r="AD892" s="9"/>
      <c r="AE892" s="9"/>
      <c r="AF892" s="9"/>
      <c r="AG892" s="9"/>
      <c r="AH892" s="9"/>
      <c r="AI892" s="9"/>
      <c r="AJ892" s="9"/>
      <c r="AK892" s="9"/>
      <c r="AL892" s="9"/>
      <c r="AM892" s="9"/>
      <c r="AN892" s="9"/>
      <c r="AO892" s="9"/>
      <c r="AP892" s="9"/>
      <c r="AQ892" s="9"/>
      <c r="AR892" s="9"/>
      <c r="AS892" s="9"/>
      <c r="AT892" s="9"/>
    </row>
    <row r="893">
      <c r="A893" s="492"/>
      <c r="B893" s="254"/>
      <c r="C893" s="492"/>
      <c r="D893" s="254"/>
      <c r="E893" s="492"/>
      <c r="F893" s="254"/>
      <c r="G893" s="492"/>
      <c r="H893" s="254"/>
      <c r="I893" s="500"/>
      <c r="J893" s="181"/>
      <c r="K893" s="500"/>
      <c r="L893" s="181"/>
      <c r="M893" s="492"/>
      <c r="N893" s="254"/>
      <c r="O893" s="492"/>
      <c r="P893" s="254"/>
      <c r="Q893" s="492"/>
      <c r="R893" s="254"/>
      <c r="S893" s="528"/>
      <c r="T893" s="528"/>
      <c r="U893" s="492"/>
      <c r="V893" s="254"/>
      <c r="W893" s="492"/>
      <c r="X893" s="254"/>
      <c r="Y893" s="9"/>
      <c r="Z893" s="9"/>
      <c r="AA893" s="9"/>
      <c r="AB893" s="9"/>
      <c r="AC893" s="9"/>
      <c r="AD893" s="9"/>
      <c r="AE893" s="9"/>
      <c r="AF893" s="9"/>
      <c r="AG893" s="9"/>
      <c r="AH893" s="9"/>
      <c r="AI893" s="9"/>
      <c r="AJ893" s="9"/>
      <c r="AK893" s="9"/>
      <c r="AL893" s="9"/>
      <c r="AM893" s="9"/>
      <c r="AN893" s="9"/>
      <c r="AO893" s="9"/>
      <c r="AP893" s="9"/>
      <c r="AQ893" s="9"/>
      <c r="AR893" s="9"/>
      <c r="AS893" s="9"/>
      <c r="AT893" s="9"/>
    </row>
    <row r="894">
      <c r="A894" s="492"/>
      <c r="B894" s="254"/>
      <c r="C894" s="492"/>
      <c r="D894" s="254"/>
      <c r="E894" s="492"/>
      <c r="F894" s="254"/>
      <c r="G894" s="492"/>
      <c r="H894" s="254"/>
      <c r="I894" s="500"/>
      <c r="J894" s="181"/>
      <c r="K894" s="500"/>
      <c r="L894" s="181"/>
      <c r="M894" s="492"/>
      <c r="N894" s="254"/>
      <c r="O894" s="492"/>
      <c r="P894" s="254"/>
      <c r="Q894" s="492"/>
      <c r="R894" s="254"/>
      <c r="S894" s="528"/>
      <c r="T894" s="528"/>
      <c r="U894" s="492"/>
      <c r="V894" s="254"/>
      <c r="W894" s="492"/>
      <c r="X894" s="254"/>
      <c r="Y894" s="9"/>
      <c r="Z894" s="9"/>
      <c r="AA894" s="9"/>
      <c r="AB894" s="9"/>
      <c r="AC894" s="9"/>
      <c r="AD894" s="9"/>
      <c r="AE894" s="9"/>
      <c r="AF894" s="9"/>
      <c r="AG894" s="9"/>
      <c r="AH894" s="9"/>
      <c r="AI894" s="9"/>
      <c r="AJ894" s="9"/>
      <c r="AK894" s="9"/>
      <c r="AL894" s="9"/>
      <c r="AM894" s="9"/>
      <c r="AN894" s="9"/>
      <c r="AO894" s="9"/>
      <c r="AP894" s="9"/>
      <c r="AQ894" s="9"/>
      <c r="AR894" s="9"/>
      <c r="AS894" s="9"/>
      <c r="AT894" s="9"/>
    </row>
    <row r="895">
      <c r="A895" s="492"/>
      <c r="B895" s="254"/>
      <c r="C895" s="492"/>
      <c r="D895" s="254"/>
      <c r="E895" s="492"/>
      <c r="F895" s="254"/>
      <c r="G895" s="492"/>
      <c r="H895" s="254"/>
      <c r="I895" s="500"/>
      <c r="J895" s="181"/>
      <c r="K895" s="500"/>
      <c r="L895" s="181"/>
      <c r="M895" s="492"/>
      <c r="N895" s="254"/>
      <c r="O895" s="492"/>
      <c r="P895" s="254"/>
      <c r="Q895" s="492"/>
      <c r="R895" s="254"/>
      <c r="S895" s="528"/>
      <c r="T895" s="528"/>
      <c r="U895" s="492"/>
      <c r="V895" s="254"/>
      <c r="W895" s="492"/>
      <c r="X895" s="254"/>
      <c r="Y895" s="9"/>
      <c r="Z895" s="9"/>
      <c r="AA895" s="9"/>
      <c r="AB895" s="9"/>
      <c r="AC895" s="9"/>
      <c r="AD895" s="9"/>
      <c r="AE895" s="9"/>
      <c r="AF895" s="9"/>
      <c r="AG895" s="9"/>
      <c r="AH895" s="9"/>
      <c r="AI895" s="9"/>
      <c r="AJ895" s="9"/>
      <c r="AK895" s="9"/>
      <c r="AL895" s="9"/>
      <c r="AM895" s="9"/>
      <c r="AN895" s="9"/>
      <c r="AO895" s="9"/>
      <c r="AP895" s="9"/>
      <c r="AQ895" s="9"/>
      <c r="AR895" s="9"/>
      <c r="AS895" s="9"/>
      <c r="AT895" s="9"/>
    </row>
    <row r="896">
      <c r="A896" s="492"/>
      <c r="B896" s="254"/>
      <c r="C896" s="492"/>
      <c r="D896" s="254"/>
      <c r="E896" s="492"/>
      <c r="F896" s="254"/>
      <c r="G896" s="492"/>
      <c r="H896" s="254"/>
      <c r="I896" s="500"/>
      <c r="J896" s="181"/>
      <c r="K896" s="500"/>
      <c r="L896" s="181"/>
      <c r="M896" s="492"/>
      <c r="N896" s="254"/>
      <c r="O896" s="492"/>
      <c r="P896" s="254"/>
      <c r="Q896" s="492"/>
      <c r="R896" s="254"/>
      <c r="S896" s="528"/>
      <c r="T896" s="528"/>
      <c r="U896" s="492"/>
      <c r="V896" s="254"/>
      <c r="W896" s="492"/>
      <c r="X896" s="254"/>
      <c r="Y896" s="9"/>
      <c r="Z896" s="9"/>
      <c r="AA896" s="9"/>
      <c r="AB896" s="9"/>
      <c r="AC896" s="9"/>
      <c r="AD896" s="9"/>
      <c r="AE896" s="9"/>
      <c r="AF896" s="9"/>
      <c r="AG896" s="9"/>
      <c r="AH896" s="9"/>
      <c r="AI896" s="9"/>
      <c r="AJ896" s="9"/>
      <c r="AK896" s="9"/>
      <c r="AL896" s="9"/>
      <c r="AM896" s="9"/>
      <c r="AN896" s="9"/>
      <c r="AO896" s="9"/>
      <c r="AP896" s="9"/>
      <c r="AQ896" s="9"/>
      <c r="AR896" s="9"/>
      <c r="AS896" s="9"/>
      <c r="AT896" s="9"/>
    </row>
    <row r="897">
      <c r="A897" s="492"/>
      <c r="B897" s="254"/>
      <c r="C897" s="492"/>
      <c r="D897" s="254"/>
      <c r="E897" s="492"/>
      <c r="F897" s="254"/>
      <c r="G897" s="492"/>
      <c r="H897" s="254"/>
      <c r="I897" s="500"/>
      <c r="J897" s="181"/>
      <c r="K897" s="500"/>
      <c r="L897" s="181"/>
      <c r="M897" s="492"/>
      <c r="N897" s="254"/>
      <c r="O897" s="492"/>
      <c r="P897" s="254"/>
      <c r="Q897" s="492"/>
      <c r="R897" s="254"/>
      <c r="S897" s="528"/>
      <c r="T897" s="528"/>
      <c r="U897" s="492"/>
      <c r="V897" s="254"/>
      <c r="W897" s="492"/>
      <c r="X897" s="254"/>
      <c r="Y897" s="9"/>
      <c r="Z897" s="9"/>
      <c r="AA897" s="9"/>
      <c r="AB897" s="9"/>
      <c r="AC897" s="9"/>
      <c r="AD897" s="9"/>
      <c r="AE897" s="9"/>
      <c r="AF897" s="9"/>
      <c r="AG897" s="9"/>
      <c r="AH897" s="9"/>
      <c r="AI897" s="9"/>
      <c r="AJ897" s="9"/>
      <c r="AK897" s="9"/>
      <c r="AL897" s="9"/>
      <c r="AM897" s="9"/>
      <c r="AN897" s="9"/>
      <c r="AO897" s="9"/>
      <c r="AP897" s="9"/>
      <c r="AQ897" s="9"/>
      <c r="AR897" s="9"/>
      <c r="AS897" s="9"/>
      <c r="AT897" s="9"/>
    </row>
    <row r="898">
      <c r="A898" s="492"/>
      <c r="B898" s="254"/>
      <c r="C898" s="492"/>
      <c r="D898" s="254"/>
      <c r="E898" s="492"/>
      <c r="F898" s="254"/>
      <c r="G898" s="492"/>
      <c r="H898" s="254"/>
      <c r="I898" s="500"/>
      <c r="J898" s="181"/>
      <c r="K898" s="500"/>
      <c r="L898" s="181"/>
      <c r="M898" s="492"/>
      <c r="N898" s="254"/>
      <c r="O898" s="492"/>
      <c r="P898" s="254"/>
      <c r="Q898" s="492"/>
      <c r="R898" s="254"/>
      <c r="S898" s="528"/>
      <c r="T898" s="528"/>
      <c r="U898" s="492"/>
      <c r="V898" s="254"/>
      <c r="W898" s="492"/>
      <c r="X898" s="254"/>
      <c r="Y898" s="9"/>
      <c r="Z898" s="9"/>
      <c r="AA898" s="9"/>
      <c r="AB898" s="9"/>
      <c r="AC898" s="9"/>
      <c r="AD898" s="9"/>
      <c r="AE898" s="9"/>
      <c r="AF898" s="9"/>
      <c r="AG898" s="9"/>
      <c r="AH898" s="9"/>
      <c r="AI898" s="9"/>
      <c r="AJ898" s="9"/>
      <c r="AK898" s="9"/>
      <c r="AL898" s="9"/>
      <c r="AM898" s="9"/>
      <c r="AN898" s="9"/>
      <c r="AO898" s="9"/>
      <c r="AP898" s="9"/>
      <c r="AQ898" s="9"/>
      <c r="AR898" s="9"/>
      <c r="AS898" s="9"/>
      <c r="AT898" s="9"/>
    </row>
    <row r="899">
      <c r="A899" s="492"/>
      <c r="B899" s="254"/>
      <c r="C899" s="492"/>
      <c r="D899" s="254"/>
      <c r="E899" s="492"/>
      <c r="F899" s="254"/>
      <c r="G899" s="492"/>
      <c r="H899" s="254"/>
      <c r="I899" s="500"/>
      <c r="J899" s="181"/>
      <c r="K899" s="500"/>
      <c r="L899" s="181"/>
      <c r="M899" s="492"/>
      <c r="N899" s="254"/>
      <c r="O899" s="492"/>
      <c r="P899" s="254"/>
      <c r="Q899" s="492"/>
      <c r="R899" s="254"/>
      <c r="S899" s="528"/>
      <c r="T899" s="528"/>
      <c r="U899" s="492"/>
      <c r="V899" s="254"/>
      <c r="W899" s="492"/>
      <c r="X899" s="254"/>
      <c r="Y899" s="9"/>
      <c r="Z899" s="9"/>
      <c r="AA899" s="9"/>
      <c r="AB899" s="9"/>
      <c r="AC899" s="9"/>
      <c r="AD899" s="9"/>
      <c r="AE899" s="9"/>
      <c r="AF899" s="9"/>
      <c r="AG899" s="9"/>
      <c r="AH899" s="9"/>
      <c r="AI899" s="9"/>
      <c r="AJ899" s="9"/>
      <c r="AK899" s="9"/>
      <c r="AL899" s="9"/>
      <c r="AM899" s="9"/>
      <c r="AN899" s="9"/>
      <c r="AO899" s="9"/>
      <c r="AP899" s="9"/>
      <c r="AQ899" s="9"/>
      <c r="AR899" s="9"/>
      <c r="AS899" s="9"/>
      <c r="AT899" s="9"/>
    </row>
    <row r="900">
      <c r="A900" s="492"/>
      <c r="B900" s="254"/>
      <c r="C900" s="492"/>
      <c r="D900" s="254"/>
      <c r="E900" s="492"/>
      <c r="F900" s="254"/>
      <c r="G900" s="492"/>
      <c r="H900" s="254"/>
      <c r="I900" s="500"/>
      <c r="J900" s="181"/>
      <c r="K900" s="500"/>
      <c r="L900" s="181"/>
      <c r="M900" s="492"/>
      <c r="N900" s="254"/>
      <c r="O900" s="492"/>
      <c r="P900" s="254"/>
      <c r="Q900" s="492"/>
      <c r="R900" s="254"/>
      <c r="S900" s="528"/>
      <c r="T900" s="528"/>
      <c r="U900" s="492"/>
      <c r="V900" s="254"/>
      <c r="W900" s="492"/>
      <c r="X900" s="254"/>
      <c r="Y900" s="9"/>
      <c r="Z900" s="9"/>
      <c r="AA900" s="9"/>
      <c r="AB900" s="9"/>
      <c r="AC900" s="9"/>
      <c r="AD900" s="9"/>
      <c r="AE900" s="9"/>
      <c r="AF900" s="9"/>
      <c r="AG900" s="9"/>
      <c r="AH900" s="9"/>
      <c r="AI900" s="9"/>
      <c r="AJ900" s="9"/>
      <c r="AK900" s="9"/>
      <c r="AL900" s="9"/>
      <c r="AM900" s="9"/>
      <c r="AN900" s="9"/>
      <c r="AO900" s="9"/>
      <c r="AP900" s="9"/>
      <c r="AQ900" s="9"/>
      <c r="AR900" s="9"/>
      <c r="AS900" s="9"/>
      <c r="AT900" s="9"/>
    </row>
    <row r="901">
      <c r="A901" s="492"/>
      <c r="B901" s="254"/>
      <c r="C901" s="492"/>
      <c r="D901" s="254"/>
      <c r="E901" s="492"/>
      <c r="F901" s="254"/>
      <c r="G901" s="492"/>
      <c r="H901" s="254"/>
      <c r="I901" s="500"/>
      <c r="J901" s="181"/>
      <c r="K901" s="500"/>
      <c r="L901" s="181"/>
      <c r="M901" s="492"/>
      <c r="N901" s="254"/>
      <c r="O901" s="492"/>
      <c r="P901" s="254"/>
      <c r="Q901" s="492"/>
      <c r="R901" s="254"/>
      <c r="S901" s="528"/>
      <c r="T901" s="528"/>
      <c r="U901" s="492"/>
      <c r="V901" s="254"/>
      <c r="W901" s="492"/>
      <c r="X901" s="254"/>
      <c r="Y901" s="9"/>
      <c r="Z901" s="9"/>
      <c r="AA901" s="9"/>
      <c r="AB901" s="9"/>
      <c r="AC901" s="9"/>
      <c r="AD901" s="9"/>
      <c r="AE901" s="9"/>
      <c r="AF901" s="9"/>
      <c r="AG901" s="9"/>
      <c r="AH901" s="9"/>
      <c r="AI901" s="9"/>
      <c r="AJ901" s="9"/>
      <c r="AK901" s="9"/>
      <c r="AL901" s="9"/>
      <c r="AM901" s="9"/>
      <c r="AN901" s="9"/>
      <c r="AO901" s="9"/>
      <c r="AP901" s="9"/>
      <c r="AQ901" s="9"/>
      <c r="AR901" s="9"/>
      <c r="AS901" s="9"/>
      <c r="AT901" s="9"/>
    </row>
    <row r="902">
      <c r="A902" s="492"/>
      <c r="B902" s="254"/>
      <c r="C902" s="492"/>
      <c r="D902" s="254"/>
      <c r="E902" s="492"/>
      <c r="F902" s="254"/>
      <c r="G902" s="492"/>
      <c r="H902" s="254"/>
      <c r="I902" s="500"/>
      <c r="J902" s="181"/>
      <c r="K902" s="500"/>
      <c r="L902" s="181"/>
      <c r="M902" s="492"/>
      <c r="N902" s="254"/>
      <c r="O902" s="492"/>
      <c r="P902" s="254"/>
      <c r="Q902" s="492"/>
      <c r="R902" s="254"/>
      <c r="S902" s="528"/>
      <c r="T902" s="528"/>
      <c r="U902" s="492"/>
      <c r="V902" s="254"/>
      <c r="W902" s="492"/>
      <c r="X902" s="254"/>
      <c r="Y902" s="9"/>
      <c r="Z902" s="9"/>
      <c r="AA902" s="9"/>
      <c r="AB902" s="9"/>
      <c r="AC902" s="9"/>
      <c r="AD902" s="9"/>
      <c r="AE902" s="9"/>
      <c r="AF902" s="9"/>
      <c r="AG902" s="9"/>
      <c r="AH902" s="9"/>
      <c r="AI902" s="9"/>
      <c r="AJ902" s="9"/>
      <c r="AK902" s="9"/>
      <c r="AL902" s="9"/>
      <c r="AM902" s="9"/>
      <c r="AN902" s="9"/>
      <c r="AO902" s="9"/>
      <c r="AP902" s="9"/>
      <c r="AQ902" s="9"/>
      <c r="AR902" s="9"/>
      <c r="AS902" s="9"/>
      <c r="AT902" s="9"/>
    </row>
    <row r="903">
      <c r="A903" s="492"/>
      <c r="B903" s="254"/>
      <c r="C903" s="492"/>
      <c r="D903" s="254"/>
      <c r="E903" s="492"/>
      <c r="F903" s="254"/>
      <c r="G903" s="492"/>
      <c r="H903" s="254"/>
      <c r="I903" s="500"/>
      <c r="J903" s="181"/>
      <c r="K903" s="500"/>
      <c r="L903" s="181"/>
      <c r="M903" s="492"/>
      <c r="N903" s="254"/>
      <c r="O903" s="492"/>
      <c r="P903" s="254"/>
      <c r="Q903" s="492"/>
      <c r="R903" s="254"/>
      <c r="S903" s="528"/>
      <c r="T903" s="528"/>
      <c r="U903" s="492"/>
      <c r="V903" s="254"/>
      <c r="W903" s="492"/>
      <c r="X903" s="254"/>
      <c r="Y903" s="9"/>
      <c r="Z903" s="9"/>
      <c r="AA903" s="9"/>
      <c r="AB903" s="9"/>
      <c r="AC903" s="9"/>
      <c r="AD903" s="9"/>
      <c r="AE903" s="9"/>
      <c r="AF903" s="9"/>
      <c r="AG903" s="9"/>
      <c r="AH903" s="9"/>
      <c r="AI903" s="9"/>
      <c r="AJ903" s="9"/>
      <c r="AK903" s="9"/>
      <c r="AL903" s="9"/>
      <c r="AM903" s="9"/>
      <c r="AN903" s="9"/>
      <c r="AO903" s="9"/>
      <c r="AP903" s="9"/>
      <c r="AQ903" s="9"/>
      <c r="AR903" s="9"/>
      <c r="AS903" s="9"/>
      <c r="AT903" s="9"/>
    </row>
    <row r="904">
      <c r="A904" s="492"/>
      <c r="B904" s="254"/>
      <c r="C904" s="492"/>
      <c r="D904" s="254"/>
      <c r="E904" s="492"/>
      <c r="F904" s="254"/>
      <c r="G904" s="492"/>
      <c r="H904" s="254"/>
      <c r="I904" s="500"/>
      <c r="J904" s="181"/>
      <c r="K904" s="500"/>
      <c r="L904" s="181"/>
      <c r="M904" s="492"/>
      <c r="N904" s="254"/>
      <c r="O904" s="492"/>
      <c r="P904" s="254"/>
      <c r="Q904" s="492"/>
      <c r="R904" s="254"/>
      <c r="S904" s="528"/>
      <c r="T904" s="528"/>
      <c r="U904" s="492"/>
      <c r="V904" s="254"/>
      <c r="W904" s="492"/>
      <c r="X904" s="254"/>
      <c r="Y904" s="9"/>
      <c r="Z904" s="9"/>
      <c r="AA904" s="9"/>
      <c r="AB904" s="9"/>
      <c r="AC904" s="9"/>
      <c r="AD904" s="9"/>
      <c r="AE904" s="9"/>
      <c r="AF904" s="9"/>
      <c r="AG904" s="9"/>
      <c r="AH904" s="9"/>
      <c r="AI904" s="9"/>
      <c r="AJ904" s="9"/>
      <c r="AK904" s="9"/>
      <c r="AL904" s="9"/>
      <c r="AM904" s="9"/>
      <c r="AN904" s="9"/>
      <c r="AO904" s="9"/>
      <c r="AP904" s="9"/>
      <c r="AQ904" s="9"/>
      <c r="AR904" s="9"/>
      <c r="AS904" s="9"/>
      <c r="AT904" s="9"/>
    </row>
    <row r="905">
      <c r="A905" s="492"/>
      <c r="B905" s="254"/>
      <c r="C905" s="492"/>
      <c r="D905" s="254"/>
      <c r="E905" s="492"/>
      <c r="F905" s="254"/>
      <c r="G905" s="492"/>
      <c r="H905" s="254"/>
      <c r="I905" s="500"/>
      <c r="J905" s="181"/>
      <c r="K905" s="500"/>
      <c r="L905" s="181"/>
      <c r="M905" s="492"/>
      <c r="N905" s="254"/>
      <c r="O905" s="492"/>
      <c r="P905" s="254"/>
      <c r="Q905" s="492"/>
      <c r="R905" s="254"/>
      <c r="S905" s="528"/>
      <c r="T905" s="528"/>
      <c r="U905" s="492"/>
      <c r="V905" s="254"/>
      <c r="W905" s="492"/>
      <c r="X905" s="254"/>
      <c r="Y905" s="9"/>
      <c r="Z905" s="9"/>
      <c r="AA905" s="9"/>
      <c r="AB905" s="9"/>
      <c r="AC905" s="9"/>
      <c r="AD905" s="9"/>
      <c r="AE905" s="9"/>
      <c r="AF905" s="9"/>
      <c r="AG905" s="9"/>
      <c r="AH905" s="9"/>
      <c r="AI905" s="9"/>
      <c r="AJ905" s="9"/>
      <c r="AK905" s="9"/>
      <c r="AL905" s="9"/>
      <c r="AM905" s="9"/>
      <c r="AN905" s="9"/>
      <c r="AO905" s="9"/>
      <c r="AP905" s="9"/>
      <c r="AQ905" s="9"/>
      <c r="AR905" s="9"/>
      <c r="AS905" s="9"/>
      <c r="AT905" s="9"/>
    </row>
    <row r="906">
      <c r="A906" s="492"/>
      <c r="B906" s="254"/>
      <c r="C906" s="492"/>
      <c r="D906" s="254"/>
      <c r="E906" s="492"/>
      <c r="F906" s="254"/>
      <c r="G906" s="492"/>
      <c r="H906" s="254"/>
      <c r="I906" s="500"/>
      <c r="J906" s="181"/>
      <c r="K906" s="500"/>
      <c r="L906" s="181"/>
      <c r="M906" s="492"/>
      <c r="N906" s="254"/>
      <c r="O906" s="492"/>
      <c r="P906" s="254"/>
      <c r="Q906" s="492"/>
      <c r="R906" s="254"/>
      <c r="S906" s="528"/>
      <c r="T906" s="528"/>
      <c r="U906" s="492"/>
      <c r="V906" s="254"/>
      <c r="W906" s="492"/>
      <c r="X906" s="254"/>
      <c r="Y906" s="9"/>
      <c r="Z906" s="9"/>
      <c r="AA906" s="9"/>
      <c r="AB906" s="9"/>
      <c r="AC906" s="9"/>
      <c r="AD906" s="9"/>
      <c r="AE906" s="9"/>
      <c r="AF906" s="9"/>
      <c r="AG906" s="9"/>
      <c r="AH906" s="9"/>
      <c r="AI906" s="9"/>
      <c r="AJ906" s="9"/>
      <c r="AK906" s="9"/>
      <c r="AL906" s="9"/>
      <c r="AM906" s="9"/>
      <c r="AN906" s="9"/>
      <c r="AO906" s="9"/>
      <c r="AP906" s="9"/>
      <c r="AQ906" s="9"/>
      <c r="AR906" s="9"/>
      <c r="AS906" s="9"/>
      <c r="AT906" s="9"/>
    </row>
    <row r="907">
      <c r="A907" s="492"/>
      <c r="B907" s="254"/>
      <c r="C907" s="492"/>
      <c r="D907" s="254"/>
      <c r="E907" s="492"/>
      <c r="F907" s="254"/>
      <c r="G907" s="492"/>
      <c r="H907" s="254"/>
      <c r="I907" s="500"/>
      <c r="J907" s="181"/>
      <c r="K907" s="500"/>
      <c r="L907" s="181"/>
      <c r="M907" s="492"/>
      <c r="N907" s="254"/>
      <c r="O907" s="492"/>
      <c r="P907" s="254"/>
      <c r="Q907" s="492"/>
      <c r="R907" s="254"/>
      <c r="S907" s="528"/>
      <c r="T907" s="528"/>
      <c r="U907" s="492"/>
      <c r="V907" s="254"/>
      <c r="W907" s="492"/>
      <c r="X907" s="254"/>
      <c r="Y907" s="9"/>
      <c r="Z907" s="9"/>
      <c r="AA907" s="9"/>
      <c r="AB907" s="9"/>
      <c r="AC907" s="9"/>
      <c r="AD907" s="9"/>
      <c r="AE907" s="9"/>
      <c r="AF907" s="9"/>
      <c r="AG907" s="9"/>
      <c r="AH907" s="9"/>
      <c r="AI907" s="9"/>
      <c r="AJ907" s="9"/>
      <c r="AK907" s="9"/>
      <c r="AL907" s="9"/>
      <c r="AM907" s="9"/>
      <c r="AN907" s="9"/>
      <c r="AO907" s="9"/>
      <c r="AP907" s="9"/>
      <c r="AQ907" s="9"/>
      <c r="AR907" s="9"/>
      <c r="AS907" s="9"/>
      <c r="AT907" s="9"/>
    </row>
    <row r="908">
      <c r="A908" s="492"/>
      <c r="B908" s="254"/>
      <c r="C908" s="492"/>
      <c r="D908" s="254"/>
      <c r="E908" s="492"/>
      <c r="F908" s="254"/>
      <c r="G908" s="492"/>
      <c r="H908" s="254"/>
      <c r="I908" s="500"/>
      <c r="J908" s="181"/>
      <c r="K908" s="500"/>
      <c r="L908" s="181"/>
      <c r="M908" s="492"/>
      <c r="N908" s="254"/>
      <c r="O908" s="492"/>
      <c r="P908" s="254"/>
      <c r="Q908" s="492"/>
      <c r="R908" s="254"/>
      <c r="S908" s="528"/>
      <c r="T908" s="528"/>
      <c r="U908" s="492"/>
      <c r="V908" s="254"/>
      <c r="W908" s="492"/>
      <c r="X908" s="254"/>
      <c r="Y908" s="9"/>
      <c r="Z908" s="9"/>
      <c r="AA908" s="9"/>
      <c r="AB908" s="9"/>
      <c r="AC908" s="9"/>
      <c r="AD908" s="9"/>
      <c r="AE908" s="9"/>
      <c r="AF908" s="9"/>
      <c r="AG908" s="9"/>
      <c r="AH908" s="9"/>
      <c r="AI908" s="9"/>
      <c r="AJ908" s="9"/>
      <c r="AK908" s="9"/>
      <c r="AL908" s="9"/>
      <c r="AM908" s="9"/>
      <c r="AN908" s="9"/>
      <c r="AO908" s="9"/>
      <c r="AP908" s="9"/>
      <c r="AQ908" s="9"/>
      <c r="AR908" s="9"/>
      <c r="AS908" s="9"/>
      <c r="AT908" s="9"/>
    </row>
    <row r="909">
      <c r="A909" s="492"/>
      <c r="B909" s="254"/>
      <c r="C909" s="492"/>
      <c r="D909" s="254"/>
      <c r="E909" s="492"/>
      <c r="F909" s="254"/>
      <c r="G909" s="492"/>
      <c r="H909" s="254"/>
      <c r="I909" s="500"/>
      <c r="J909" s="181"/>
      <c r="K909" s="500"/>
      <c r="L909" s="181"/>
      <c r="M909" s="492"/>
      <c r="N909" s="254"/>
      <c r="O909" s="492"/>
      <c r="P909" s="254"/>
      <c r="Q909" s="492"/>
      <c r="R909" s="254"/>
      <c r="S909" s="528"/>
      <c r="T909" s="528"/>
      <c r="U909" s="492"/>
      <c r="V909" s="254"/>
      <c r="W909" s="492"/>
      <c r="X909" s="254"/>
      <c r="Y909" s="9"/>
      <c r="Z909" s="9"/>
      <c r="AA909" s="9"/>
      <c r="AB909" s="9"/>
      <c r="AC909" s="9"/>
      <c r="AD909" s="9"/>
      <c r="AE909" s="9"/>
      <c r="AF909" s="9"/>
      <c r="AG909" s="9"/>
      <c r="AH909" s="9"/>
      <c r="AI909" s="9"/>
      <c r="AJ909" s="9"/>
      <c r="AK909" s="9"/>
      <c r="AL909" s="9"/>
      <c r="AM909" s="9"/>
      <c r="AN909" s="9"/>
      <c r="AO909" s="9"/>
      <c r="AP909" s="9"/>
      <c r="AQ909" s="9"/>
      <c r="AR909" s="9"/>
      <c r="AS909" s="9"/>
      <c r="AT909" s="9"/>
    </row>
    <row r="910">
      <c r="A910" s="492"/>
      <c r="B910" s="254"/>
      <c r="C910" s="492"/>
      <c r="D910" s="254"/>
      <c r="E910" s="492"/>
      <c r="F910" s="254"/>
      <c r="G910" s="492"/>
      <c r="H910" s="254"/>
      <c r="I910" s="500"/>
      <c r="J910" s="181"/>
      <c r="K910" s="500"/>
      <c r="L910" s="181"/>
      <c r="M910" s="492"/>
      <c r="N910" s="254"/>
      <c r="O910" s="492"/>
      <c r="P910" s="254"/>
      <c r="Q910" s="492"/>
      <c r="R910" s="254"/>
      <c r="S910" s="528"/>
      <c r="T910" s="528"/>
      <c r="U910" s="492"/>
      <c r="V910" s="254"/>
      <c r="W910" s="492"/>
      <c r="X910" s="254"/>
      <c r="Y910" s="9"/>
      <c r="Z910" s="9"/>
      <c r="AA910" s="9"/>
      <c r="AB910" s="9"/>
      <c r="AC910" s="9"/>
      <c r="AD910" s="9"/>
      <c r="AE910" s="9"/>
      <c r="AF910" s="9"/>
      <c r="AG910" s="9"/>
      <c r="AH910" s="9"/>
      <c r="AI910" s="9"/>
      <c r="AJ910" s="9"/>
      <c r="AK910" s="9"/>
      <c r="AL910" s="9"/>
      <c r="AM910" s="9"/>
      <c r="AN910" s="9"/>
      <c r="AO910" s="9"/>
      <c r="AP910" s="9"/>
      <c r="AQ910" s="9"/>
      <c r="AR910" s="9"/>
      <c r="AS910" s="9"/>
      <c r="AT910" s="9"/>
    </row>
    <row r="911">
      <c r="A911" s="492"/>
      <c r="B911" s="254"/>
      <c r="C911" s="492"/>
      <c r="D911" s="254"/>
      <c r="E911" s="492"/>
      <c r="F911" s="254"/>
      <c r="G911" s="492"/>
      <c r="H911" s="254"/>
      <c r="I911" s="500"/>
      <c r="J911" s="181"/>
      <c r="K911" s="500"/>
      <c r="L911" s="181"/>
      <c r="M911" s="492"/>
      <c r="N911" s="254"/>
      <c r="O911" s="492"/>
      <c r="P911" s="254"/>
      <c r="Q911" s="492"/>
      <c r="R911" s="254"/>
      <c r="S911" s="528"/>
      <c r="T911" s="528"/>
      <c r="U911" s="492"/>
      <c r="V911" s="254"/>
      <c r="W911" s="492"/>
      <c r="X911" s="254"/>
      <c r="Y911" s="9"/>
      <c r="Z911" s="9"/>
      <c r="AA911" s="9"/>
      <c r="AB911" s="9"/>
      <c r="AC911" s="9"/>
      <c r="AD911" s="9"/>
      <c r="AE911" s="9"/>
      <c r="AF911" s="9"/>
      <c r="AG911" s="9"/>
      <c r="AH911" s="9"/>
      <c r="AI911" s="9"/>
      <c r="AJ911" s="9"/>
      <c r="AK911" s="9"/>
      <c r="AL911" s="9"/>
      <c r="AM911" s="9"/>
      <c r="AN911" s="9"/>
      <c r="AO911" s="9"/>
      <c r="AP911" s="9"/>
      <c r="AQ911" s="9"/>
      <c r="AR911" s="9"/>
      <c r="AS911" s="9"/>
      <c r="AT911" s="9"/>
    </row>
    <row r="912">
      <c r="A912" s="492"/>
      <c r="B912" s="254"/>
      <c r="C912" s="492"/>
      <c r="D912" s="254"/>
      <c r="E912" s="492"/>
      <c r="F912" s="254"/>
      <c r="G912" s="492"/>
      <c r="H912" s="254"/>
      <c r="I912" s="500"/>
      <c r="J912" s="181"/>
      <c r="K912" s="500"/>
      <c r="L912" s="181"/>
      <c r="M912" s="492"/>
      <c r="N912" s="254"/>
      <c r="O912" s="492"/>
      <c r="P912" s="254"/>
      <c r="Q912" s="492"/>
      <c r="R912" s="254"/>
      <c r="S912" s="528"/>
      <c r="T912" s="528"/>
      <c r="U912" s="492"/>
      <c r="V912" s="254"/>
      <c r="W912" s="492"/>
      <c r="X912" s="254"/>
      <c r="Y912" s="9"/>
      <c r="Z912" s="9"/>
      <c r="AA912" s="9"/>
      <c r="AB912" s="9"/>
      <c r="AC912" s="9"/>
      <c r="AD912" s="9"/>
      <c r="AE912" s="9"/>
      <c r="AF912" s="9"/>
      <c r="AG912" s="9"/>
      <c r="AH912" s="9"/>
      <c r="AI912" s="9"/>
      <c r="AJ912" s="9"/>
      <c r="AK912" s="9"/>
      <c r="AL912" s="9"/>
      <c r="AM912" s="9"/>
      <c r="AN912" s="9"/>
      <c r="AO912" s="9"/>
      <c r="AP912" s="9"/>
      <c r="AQ912" s="9"/>
      <c r="AR912" s="9"/>
      <c r="AS912" s="9"/>
      <c r="AT912" s="9"/>
    </row>
    <row r="913">
      <c r="A913" s="492"/>
      <c r="B913" s="254"/>
      <c r="C913" s="492"/>
      <c r="D913" s="254"/>
      <c r="E913" s="492"/>
      <c r="F913" s="254"/>
      <c r="G913" s="492"/>
      <c r="H913" s="254"/>
      <c r="I913" s="500"/>
      <c r="J913" s="181"/>
      <c r="K913" s="500"/>
      <c r="L913" s="181"/>
      <c r="M913" s="492"/>
      <c r="N913" s="254"/>
      <c r="O913" s="492"/>
      <c r="P913" s="254"/>
      <c r="Q913" s="492"/>
      <c r="R913" s="254"/>
      <c r="S913" s="528"/>
      <c r="T913" s="528"/>
      <c r="U913" s="492"/>
      <c r="V913" s="254"/>
      <c r="W913" s="492"/>
      <c r="X913" s="254"/>
      <c r="Y913" s="9"/>
      <c r="Z913" s="9"/>
      <c r="AA913" s="9"/>
      <c r="AB913" s="9"/>
      <c r="AC913" s="9"/>
      <c r="AD913" s="9"/>
      <c r="AE913" s="9"/>
      <c r="AF913" s="9"/>
      <c r="AG913" s="9"/>
      <c r="AH913" s="9"/>
      <c r="AI913" s="9"/>
      <c r="AJ913" s="9"/>
      <c r="AK913" s="9"/>
      <c r="AL913" s="9"/>
      <c r="AM913" s="9"/>
      <c r="AN913" s="9"/>
      <c r="AO913" s="9"/>
      <c r="AP913" s="9"/>
      <c r="AQ913" s="9"/>
      <c r="AR913" s="9"/>
      <c r="AS913" s="9"/>
      <c r="AT913" s="9"/>
    </row>
    <row r="914">
      <c r="A914" s="492"/>
      <c r="B914" s="254"/>
      <c r="C914" s="492"/>
      <c r="D914" s="254"/>
      <c r="E914" s="492"/>
      <c r="F914" s="254"/>
      <c r="G914" s="492"/>
      <c r="H914" s="254"/>
      <c r="I914" s="500"/>
      <c r="J914" s="181"/>
      <c r="K914" s="500"/>
      <c r="L914" s="181"/>
      <c r="M914" s="492"/>
      <c r="N914" s="254"/>
      <c r="O914" s="492"/>
      <c r="P914" s="254"/>
      <c r="Q914" s="492"/>
      <c r="R914" s="254"/>
      <c r="S914" s="528"/>
      <c r="T914" s="528"/>
      <c r="U914" s="492"/>
      <c r="V914" s="254"/>
      <c r="W914" s="492"/>
      <c r="X914" s="254"/>
      <c r="Y914" s="9"/>
      <c r="Z914" s="9"/>
      <c r="AA914" s="9"/>
      <c r="AB914" s="9"/>
      <c r="AC914" s="9"/>
      <c r="AD914" s="9"/>
      <c r="AE914" s="9"/>
      <c r="AF914" s="9"/>
      <c r="AG914" s="9"/>
      <c r="AH914" s="9"/>
      <c r="AI914" s="9"/>
      <c r="AJ914" s="9"/>
      <c r="AK914" s="9"/>
      <c r="AL914" s="9"/>
      <c r="AM914" s="9"/>
      <c r="AN914" s="9"/>
      <c r="AO914" s="9"/>
      <c r="AP914" s="9"/>
      <c r="AQ914" s="9"/>
      <c r="AR914" s="9"/>
      <c r="AS914" s="9"/>
      <c r="AT914" s="9"/>
    </row>
    <row r="915">
      <c r="A915" s="492"/>
      <c r="B915" s="254"/>
      <c r="C915" s="492"/>
      <c r="D915" s="254"/>
      <c r="E915" s="492"/>
      <c r="F915" s="254"/>
      <c r="G915" s="492"/>
      <c r="H915" s="254"/>
      <c r="I915" s="500"/>
      <c r="J915" s="181"/>
      <c r="K915" s="500"/>
      <c r="L915" s="181"/>
      <c r="M915" s="492"/>
      <c r="N915" s="254"/>
      <c r="O915" s="492"/>
      <c r="P915" s="254"/>
      <c r="Q915" s="492"/>
      <c r="R915" s="254"/>
      <c r="S915" s="528"/>
      <c r="T915" s="528"/>
      <c r="U915" s="492"/>
      <c r="V915" s="254"/>
      <c r="W915" s="492"/>
      <c r="X915" s="254"/>
      <c r="Y915" s="9"/>
      <c r="Z915" s="9"/>
      <c r="AA915" s="9"/>
      <c r="AB915" s="9"/>
      <c r="AC915" s="9"/>
      <c r="AD915" s="9"/>
      <c r="AE915" s="9"/>
      <c r="AF915" s="9"/>
      <c r="AG915" s="9"/>
      <c r="AH915" s="9"/>
      <c r="AI915" s="9"/>
      <c r="AJ915" s="9"/>
      <c r="AK915" s="9"/>
      <c r="AL915" s="9"/>
      <c r="AM915" s="9"/>
      <c r="AN915" s="9"/>
      <c r="AO915" s="9"/>
      <c r="AP915" s="9"/>
      <c r="AQ915" s="9"/>
      <c r="AR915" s="9"/>
      <c r="AS915" s="9"/>
      <c r="AT915" s="9"/>
    </row>
    <row r="916">
      <c r="A916" s="492"/>
      <c r="B916" s="254"/>
      <c r="C916" s="492"/>
      <c r="D916" s="254"/>
      <c r="E916" s="492"/>
      <c r="F916" s="254"/>
      <c r="G916" s="492"/>
      <c r="H916" s="254"/>
      <c r="I916" s="500"/>
      <c r="J916" s="181"/>
      <c r="K916" s="500"/>
      <c r="L916" s="181"/>
      <c r="M916" s="492"/>
      <c r="N916" s="254"/>
      <c r="O916" s="492"/>
      <c r="P916" s="254"/>
      <c r="Q916" s="492"/>
      <c r="R916" s="254"/>
      <c r="S916" s="528"/>
      <c r="T916" s="528"/>
      <c r="U916" s="492"/>
      <c r="V916" s="254"/>
      <c r="W916" s="492"/>
      <c r="X916" s="254"/>
      <c r="Y916" s="9"/>
      <c r="Z916" s="9"/>
      <c r="AA916" s="9"/>
      <c r="AB916" s="9"/>
      <c r="AC916" s="9"/>
      <c r="AD916" s="9"/>
      <c r="AE916" s="9"/>
      <c r="AF916" s="9"/>
      <c r="AG916" s="9"/>
      <c r="AH916" s="9"/>
      <c r="AI916" s="9"/>
      <c r="AJ916" s="9"/>
      <c r="AK916" s="9"/>
      <c r="AL916" s="9"/>
      <c r="AM916" s="9"/>
      <c r="AN916" s="9"/>
      <c r="AO916" s="9"/>
      <c r="AP916" s="9"/>
      <c r="AQ916" s="9"/>
      <c r="AR916" s="9"/>
      <c r="AS916" s="9"/>
      <c r="AT916" s="9"/>
    </row>
    <row r="917">
      <c r="A917" s="492"/>
      <c r="B917" s="254"/>
      <c r="C917" s="492"/>
      <c r="D917" s="254"/>
      <c r="E917" s="492"/>
      <c r="F917" s="254"/>
      <c r="G917" s="492"/>
      <c r="H917" s="254"/>
      <c r="I917" s="500"/>
      <c r="J917" s="181"/>
      <c r="K917" s="500"/>
      <c r="L917" s="181"/>
      <c r="M917" s="492"/>
      <c r="N917" s="254"/>
      <c r="O917" s="492"/>
      <c r="P917" s="254"/>
      <c r="Q917" s="492"/>
      <c r="R917" s="254"/>
      <c r="S917" s="528"/>
      <c r="T917" s="528"/>
      <c r="U917" s="492"/>
      <c r="V917" s="254"/>
      <c r="W917" s="492"/>
      <c r="X917" s="254"/>
      <c r="Y917" s="9"/>
      <c r="Z917" s="9"/>
      <c r="AA917" s="9"/>
      <c r="AB917" s="9"/>
      <c r="AC917" s="9"/>
      <c r="AD917" s="9"/>
      <c r="AE917" s="9"/>
      <c r="AF917" s="9"/>
      <c r="AG917" s="9"/>
      <c r="AH917" s="9"/>
      <c r="AI917" s="9"/>
      <c r="AJ917" s="9"/>
      <c r="AK917" s="9"/>
      <c r="AL917" s="9"/>
      <c r="AM917" s="9"/>
      <c r="AN917" s="9"/>
      <c r="AO917" s="9"/>
      <c r="AP917" s="9"/>
      <c r="AQ917" s="9"/>
      <c r="AR917" s="9"/>
      <c r="AS917" s="9"/>
      <c r="AT917" s="9"/>
    </row>
    <row r="918">
      <c r="A918" s="492"/>
      <c r="B918" s="254"/>
      <c r="C918" s="492"/>
      <c r="D918" s="254"/>
      <c r="E918" s="492"/>
      <c r="F918" s="254"/>
      <c r="G918" s="492"/>
      <c r="H918" s="254"/>
      <c r="I918" s="500"/>
      <c r="J918" s="181"/>
      <c r="K918" s="500"/>
      <c r="L918" s="181"/>
      <c r="M918" s="492"/>
      <c r="N918" s="254"/>
      <c r="O918" s="492"/>
      <c r="P918" s="254"/>
      <c r="Q918" s="492"/>
      <c r="R918" s="254"/>
      <c r="S918" s="528"/>
      <c r="T918" s="528"/>
      <c r="U918" s="492"/>
      <c r="V918" s="254"/>
      <c r="W918" s="492"/>
      <c r="X918" s="254"/>
      <c r="Y918" s="9"/>
      <c r="Z918" s="9"/>
      <c r="AA918" s="9"/>
      <c r="AB918" s="9"/>
      <c r="AC918" s="9"/>
      <c r="AD918" s="9"/>
      <c r="AE918" s="9"/>
      <c r="AF918" s="9"/>
      <c r="AG918" s="9"/>
      <c r="AH918" s="9"/>
      <c r="AI918" s="9"/>
      <c r="AJ918" s="9"/>
      <c r="AK918" s="9"/>
      <c r="AL918" s="9"/>
      <c r="AM918" s="9"/>
      <c r="AN918" s="9"/>
      <c r="AO918" s="9"/>
      <c r="AP918" s="9"/>
      <c r="AQ918" s="9"/>
      <c r="AR918" s="9"/>
      <c r="AS918" s="9"/>
      <c r="AT918" s="9"/>
    </row>
    <row r="919">
      <c r="A919" s="492"/>
      <c r="B919" s="254"/>
      <c r="C919" s="492"/>
      <c r="D919" s="254"/>
      <c r="E919" s="492"/>
      <c r="F919" s="254"/>
      <c r="G919" s="492"/>
      <c r="H919" s="254"/>
      <c r="I919" s="500"/>
      <c r="J919" s="181"/>
      <c r="K919" s="500"/>
      <c r="L919" s="181"/>
      <c r="M919" s="492"/>
      <c r="N919" s="254"/>
      <c r="O919" s="492"/>
      <c r="P919" s="254"/>
      <c r="Q919" s="492"/>
      <c r="R919" s="254"/>
      <c r="S919" s="528"/>
      <c r="T919" s="528"/>
      <c r="U919" s="492"/>
      <c r="V919" s="254"/>
      <c r="W919" s="492"/>
      <c r="X919" s="254"/>
      <c r="Y919" s="9"/>
      <c r="Z919" s="9"/>
      <c r="AA919" s="9"/>
      <c r="AB919" s="9"/>
      <c r="AC919" s="9"/>
      <c r="AD919" s="9"/>
      <c r="AE919" s="9"/>
      <c r="AF919" s="9"/>
      <c r="AG919" s="9"/>
      <c r="AH919" s="9"/>
      <c r="AI919" s="9"/>
      <c r="AJ919" s="9"/>
      <c r="AK919" s="9"/>
      <c r="AL919" s="9"/>
      <c r="AM919" s="9"/>
      <c r="AN919" s="9"/>
      <c r="AO919" s="9"/>
      <c r="AP919" s="9"/>
      <c r="AQ919" s="9"/>
      <c r="AR919" s="9"/>
      <c r="AS919" s="9"/>
      <c r="AT919" s="9"/>
    </row>
    <row r="920">
      <c r="A920" s="492"/>
      <c r="B920" s="254"/>
      <c r="C920" s="492"/>
      <c r="D920" s="254"/>
      <c r="E920" s="492"/>
      <c r="F920" s="254"/>
      <c r="G920" s="492"/>
      <c r="H920" s="254"/>
      <c r="I920" s="500"/>
      <c r="J920" s="181"/>
      <c r="K920" s="500"/>
      <c r="L920" s="181"/>
      <c r="M920" s="492"/>
      <c r="N920" s="254"/>
      <c r="O920" s="492"/>
      <c r="P920" s="254"/>
      <c r="Q920" s="492"/>
      <c r="R920" s="254"/>
      <c r="S920" s="528"/>
      <c r="T920" s="528"/>
      <c r="U920" s="492"/>
      <c r="V920" s="254"/>
      <c r="W920" s="492"/>
      <c r="X920" s="254"/>
      <c r="Y920" s="9"/>
      <c r="Z920" s="9"/>
      <c r="AA920" s="9"/>
      <c r="AB920" s="9"/>
      <c r="AC920" s="9"/>
      <c r="AD920" s="9"/>
      <c r="AE920" s="9"/>
      <c r="AF920" s="9"/>
      <c r="AG920" s="9"/>
      <c r="AH920" s="9"/>
      <c r="AI920" s="9"/>
      <c r="AJ920" s="9"/>
      <c r="AK920" s="9"/>
      <c r="AL920" s="9"/>
      <c r="AM920" s="9"/>
      <c r="AN920" s="9"/>
      <c r="AO920" s="9"/>
      <c r="AP920" s="9"/>
      <c r="AQ920" s="9"/>
      <c r="AR920" s="9"/>
      <c r="AS920" s="9"/>
      <c r="AT920" s="9"/>
    </row>
    <row r="921">
      <c r="A921" s="492"/>
      <c r="B921" s="254"/>
      <c r="C921" s="492"/>
      <c r="D921" s="254"/>
      <c r="E921" s="492"/>
      <c r="F921" s="254"/>
      <c r="G921" s="492"/>
      <c r="H921" s="254"/>
      <c r="I921" s="500"/>
      <c r="J921" s="181"/>
      <c r="K921" s="500"/>
      <c r="L921" s="181"/>
      <c r="M921" s="492"/>
      <c r="N921" s="254"/>
      <c r="O921" s="492"/>
      <c r="P921" s="254"/>
      <c r="Q921" s="492"/>
      <c r="R921" s="254"/>
      <c r="S921" s="528"/>
      <c r="T921" s="528"/>
      <c r="U921" s="492"/>
      <c r="V921" s="254"/>
      <c r="W921" s="492"/>
      <c r="X921" s="254"/>
      <c r="Y921" s="9"/>
      <c r="Z921" s="9"/>
      <c r="AA921" s="9"/>
      <c r="AB921" s="9"/>
      <c r="AC921" s="9"/>
      <c r="AD921" s="9"/>
      <c r="AE921" s="9"/>
      <c r="AF921" s="9"/>
      <c r="AG921" s="9"/>
      <c r="AH921" s="9"/>
      <c r="AI921" s="9"/>
      <c r="AJ921" s="9"/>
      <c r="AK921" s="9"/>
      <c r="AL921" s="9"/>
      <c r="AM921" s="9"/>
      <c r="AN921" s="9"/>
      <c r="AO921" s="9"/>
      <c r="AP921" s="9"/>
      <c r="AQ921" s="9"/>
      <c r="AR921" s="9"/>
      <c r="AS921" s="9"/>
      <c r="AT921" s="9"/>
    </row>
    <row r="922">
      <c r="A922" s="492"/>
      <c r="B922" s="254"/>
      <c r="C922" s="492"/>
      <c r="D922" s="254"/>
      <c r="E922" s="492"/>
      <c r="F922" s="254"/>
      <c r="G922" s="492"/>
      <c r="H922" s="254"/>
      <c r="I922" s="500"/>
      <c r="J922" s="181"/>
      <c r="K922" s="500"/>
      <c r="L922" s="181"/>
      <c r="M922" s="492"/>
      <c r="N922" s="254"/>
      <c r="O922" s="492"/>
      <c r="P922" s="254"/>
      <c r="Q922" s="492"/>
      <c r="R922" s="254"/>
      <c r="S922" s="528"/>
      <c r="T922" s="528"/>
      <c r="U922" s="492"/>
      <c r="V922" s="254"/>
      <c r="W922" s="492"/>
      <c r="X922" s="254"/>
      <c r="Y922" s="9"/>
      <c r="Z922" s="9"/>
      <c r="AA922" s="9"/>
      <c r="AB922" s="9"/>
      <c r="AC922" s="9"/>
      <c r="AD922" s="9"/>
      <c r="AE922" s="9"/>
      <c r="AF922" s="9"/>
      <c r="AG922" s="9"/>
      <c r="AH922" s="9"/>
      <c r="AI922" s="9"/>
      <c r="AJ922" s="9"/>
      <c r="AK922" s="9"/>
      <c r="AL922" s="9"/>
      <c r="AM922" s="9"/>
      <c r="AN922" s="9"/>
      <c r="AO922" s="9"/>
      <c r="AP922" s="9"/>
      <c r="AQ922" s="9"/>
      <c r="AR922" s="9"/>
      <c r="AS922" s="9"/>
      <c r="AT922" s="9"/>
    </row>
    <row r="923">
      <c r="A923" s="492"/>
      <c r="B923" s="254"/>
      <c r="C923" s="492"/>
      <c r="D923" s="254"/>
      <c r="E923" s="492"/>
      <c r="F923" s="254"/>
      <c r="G923" s="492"/>
      <c r="H923" s="254"/>
      <c r="I923" s="500"/>
      <c r="J923" s="181"/>
      <c r="K923" s="500"/>
      <c r="L923" s="181"/>
      <c r="M923" s="492"/>
      <c r="N923" s="254"/>
      <c r="O923" s="492"/>
      <c r="P923" s="254"/>
      <c r="Q923" s="492"/>
      <c r="R923" s="254"/>
      <c r="S923" s="528"/>
      <c r="T923" s="528"/>
      <c r="U923" s="492"/>
      <c r="V923" s="254"/>
      <c r="W923" s="492"/>
      <c r="X923" s="254"/>
      <c r="Y923" s="9"/>
      <c r="Z923" s="9"/>
      <c r="AA923" s="9"/>
      <c r="AB923" s="9"/>
      <c r="AC923" s="9"/>
      <c r="AD923" s="9"/>
      <c r="AE923" s="9"/>
      <c r="AF923" s="9"/>
      <c r="AG923" s="9"/>
      <c r="AH923" s="9"/>
      <c r="AI923" s="9"/>
      <c r="AJ923" s="9"/>
      <c r="AK923" s="9"/>
      <c r="AL923" s="9"/>
      <c r="AM923" s="9"/>
      <c r="AN923" s="9"/>
      <c r="AO923" s="9"/>
      <c r="AP923" s="9"/>
      <c r="AQ923" s="9"/>
      <c r="AR923" s="9"/>
      <c r="AS923" s="9"/>
      <c r="AT923" s="9"/>
    </row>
    <row r="924">
      <c r="A924" s="492"/>
      <c r="B924" s="254"/>
      <c r="C924" s="492"/>
      <c r="D924" s="254"/>
      <c r="E924" s="492"/>
      <c r="F924" s="254"/>
      <c r="G924" s="492"/>
      <c r="H924" s="254"/>
      <c r="I924" s="500"/>
      <c r="J924" s="181"/>
      <c r="K924" s="500"/>
      <c r="L924" s="181"/>
      <c r="M924" s="492"/>
      <c r="N924" s="254"/>
      <c r="O924" s="492"/>
      <c r="P924" s="254"/>
      <c r="Q924" s="492"/>
      <c r="R924" s="254"/>
      <c r="S924" s="528"/>
      <c r="T924" s="528"/>
      <c r="U924" s="492"/>
      <c r="V924" s="254"/>
      <c r="W924" s="492"/>
      <c r="X924" s="254"/>
      <c r="Y924" s="9"/>
      <c r="Z924" s="9"/>
      <c r="AA924" s="9"/>
      <c r="AB924" s="9"/>
      <c r="AC924" s="9"/>
      <c r="AD924" s="9"/>
      <c r="AE924" s="9"/>
      <c r="AF924" s="9"/>
      <c r="AG924" s="9"/>
      <c r="AH924" s="9"/>
      <c r="AI924" s="9"/>
      <c r="AJ924" s="9"/>
      <c r="AK924" s="9"/>
      <c r="AL924" s="9"/>
      <c r="AM924" s="9"/>
      <c r="AN924" s="9"/>
      <c r="AO924" s="9"/>
      <c r="AP924" s="9"/>
      <c r="AQ924" s="9"/>
      <c r="AR924" s="9"/>
      <c r="AS924" s="9"/>
      <c r="AT924" s="9"/>
    </row>
    <row r="925">
      <c r="A925" s="492"/>
      <c r="B925" s="254"/>
      <c r="C925" s="492"/>
      <c r="D925" s="254"/>
      <c r="E925" s="492"/>
      <c r="F925" s="254"/>
      <c r="G925" s="492"/>
      <c r="H925" s="254"/>
      <c r="I925" s="500"/>
      <c r="J925" s="181"/>
      <c r="K925" s="500"/>
      <c r="L925" s="181"/>
      <c r="M925" s="492"/>
      <c r="N925" s="254"/>
      <c r="O925" s="492"/>
      <c r="P925" s="254"/>
      <c r="Q925" s="492"/>
      <c r="R925" s="254"/>
      <c r="S925" s="528"/>
      <c r="T925" s="528"/>
      <c r="U925" s="492"/>
      <c r="V925" s="254"/>
      <c r="W925" s="492"/>
      <c r="X925" s="254"/>
      <c r="Y925" s="9"/>
      <c r="Z925" s="9"/>
      <c r="AA925" s="9"/>
      <c r="AB925" s="9"/>
      <c r="AC925" s="9"/>
      <c r="AD925" s="9"/>
      <c r="AE925" s="9"/>
      <c r="AF925" s="9"/>
      <c r="AG925" s="9"/>
      <c r="AH925" s="9"/>
      <c r="AI925" s="9"/>
      <c r="AJ925" s="9"/>
      <c r="AK925" s="9"/>
      <c r="AL925" s="9"/>
      <c r="AM925" s="9"/>
      <c r="AN925" s="9"/>
      <c r="AO925" s="9"/>
      <c r="AP925" s="9"/>
      <c r="AQ925" s="9"/>
      <c r="AR925" s="9"/>
      <c r="AS925" s="9"/>
      <c r="AT925" s="9"/>
    </row>
    <row r="926">
      <c r="A926" s="492"/>
      <c r="B926" s="254"/>
      <c r="C926" s="492"/>
      <c r="D926" s="254"/>
      <c r="E926" s="492"/>
      <c r="F926" s="254"/>
      <c r="G926" s="492"/>
      <c r="H926" s="254"/>
      <c r="I926" s="500"/>
      <c r="J926" s="181"/>
      <c r="K926" s="500"/>
      <c r="L926" s="181"/>
      <c r="M926" s="492"/>
      <c r="N926" s="254"/>
      <c r="O926" s="492"/>
      <c r="P926" s="254"/>
      <c r="Q926" s="492"/>
      <c r="R926" s="254"/>
      <c r="S926" s="528"/>
      <c r="T926" s="528"/>
      <c r="U926" s="492"/>
      <c r="V926" s="254"/>
      <c r="W926" s="492"/>
      <c r="X926" s="254"/>
      <c r="Y926" s="9"/>
      <c r="Z926" s="9"/>
      <c r="AA926" s="9"/>
      <c r="AB926" s="9"/>
      <c r="AC926" s="9"/>
      <c r="AD926" s="9"/>
      <c r="AE926" s="9"/>
      <c r="AF926" s="9"/>
      <c r="AG926" s="9"/>
      <c r="AH926" s="9"/>
      <c r="AI926" s="9"/>
      <c r="AJ926" s="9"/>
      <c r="AK926" s="9"/>
      <c r="AL926" s="9"/>
      <c r="AM926" s="9"/>
      <c r="AN926" s="9"/>
      <c r="AO926" s="9"/>
      <c r="AP926" s="9"/>
      <c r="AQ926" s="9"/>
      <c r="AR926" s="9"/>
      <c r="AS926" s="9"/>
      <c r="AT926" s="9"/>
    </row>
    <row r="927">
      <c r="A927" s="492"/>
      <c r="B927" s="254"/>
      <c r="C927" s="492"/>
      <c r="D927" s="254"/>
      <c r="E927" s="492"/>
      <c r="F927" s="254"/>
      <c r="G927" s="492"/>
      <c r="H927" s="254"/>
      <c r="I927" s="500"/>
      <c r="J927" s="181"/>
      <c r="K927" s="500"/>
      <c r="L927" s="181"/>
      <c r="M927" s="492"/>
      <c r="N927" s="254"/>
      <c r="O927" s="492"/>
      <c r="P927" s="254"/>
      <c r="Q927" s="492"/>
      <c r="R927" s="254"/>
      <c r="S927" s="528"/>
      <c r="T927" s="528"/>
      <c r="U927" s="492"/>
      <c r="V927" s="254"/>
      <c r="W927" s="492"/>
      <c r="X927" s="254"/>
      <c r="Y927" s="9"/>
      <c r="Z927" s="9"/>
      <c r="AA927" s="9"/>
      <c r="AB927" s="9"/>
      <c r="AC927" s="9"/>
      <c r="AD927" s="9"/>
      <c r="AE927" s="9"/>
      <c r="AF927" s="9"/>
      <c r="AG927" s="9"/>
      <c r="AH927" s="9"/>
      <c r="AI927" s="9"/>
      <c r="AJ927" s="9"/>
      <c r="AK927" s="9"/>
      <c r="AL927" s="9"/>
      <c r="AM927" s="9"/>
      <c r="AN927" s="9"/>
      <c r="AO927" s="9"/>
      <c r="AP927" s="9"/>
      <c r="AQ927" s="9"/>
      <c r="AR927" s="9"/>
      <c r="AS927" s="9"/>
      <c r="AT927" s="9"/>
    </row>
    <row r="928">
      <c r="A928" s="492"/>
      <c r="B928" s="254"/>
      <c r="C928" s="492"/>
      <c r="D928" s="254"/>
      <c r="E928" s="492"/>
      <c r="F928" s="254"/>
      <c r="G928" s="492"/>
      <c r="H928" s="254"/>
      <c r="I928" s="500"/>
      <c r="J928" s="181"/>
      <c r="K928" s="500"/>
      <c r="L928" s="181"/>
      <c r="M928" s="492"/>
      <c r="N928" s="254"/>
      <c r="O928" s="492"/>
      <c r="P928" s="254"/>
      <c r="Q928" s="492"/>
      <c r="R928" s="254"/>
      <c r="S928" s="528"/>
      <c r="T928" s="528"/>
      <c r="U928" s="492"/>
      <c r="V928" s="254"/>
      <c r="W928" s="492"/>
      <c r="X928" s="254"/>
      <c r="Y928" s="9"/>
      <c r="Z928" s="9"/>
      <c r="AA928" s="9"/>
      <c r="AB928" s="9"/>
      <c r="AC928" s="9"/>
      <c r="AD928" s="9"/>
      <c r="AE928" s="9"/>
      <c r="AF928" s="9"/>
      <c r="AG928" s="9"/>
      <c r="AH928" s="9"/>
      <c r="AI928" s="9"/>
      <c r="AJ928" s="9"/>
      <c r="AK928" s="9"/>
      <c r="AL928" s="9"/>
      <c r="AM928" s="9"/>
      <c r="AN928" s="9"/>
      <c r="AO928" s="9"/>
      <c r="AP928" s="9"/>
      <c r="AQ928" s="9"/>
      <c r="AR928" s="9"/>
      <c r="AS928" s="9"/>
      <c r="AT928" s="9"/>
    </row>
    <row r="929">
      <c r="A929" s="492"/>
      <c r="B929" s="254"/>
      <c r="C929" s="492"/>
      <c r="D929" s="254"/>
      <c r="E929" s="492"/>
      <c r="F929" s="254"/>
      <c r="G929" s="492"/>
      <c r="H929" s="254"/>
      <c r="I929" s="500"/>
      <c r="J929" s="181"/>
      <c r="K929" s="500"/>
      <c r="L929" s="181"/>
      <c r="M929" s="492"/>
      <c r="N929" s="254"/>
      <c r="O929" s="492"/>
      <c r="P929" s="254"/>
      <c r="Q929" s="492"/>
      <c r="R929" s="254"/>
      <c r="S929" s="528"/>
      <c r="T929" s="528"/>
      <c r="U929" s="492"/>
      <c r="V929" s="254"/>
      <c r="W929" s="492"/>
      <c r="X929" s="254"/>
      <c r="Y929" s="9"/>
      <c r="Z929" s="9"/>
      <c r="AA929" s="9"/>
      <c r="AB929" s="9"/>
      <c r="AC929" s="9"/>
      <c r="AD929" s="9"/>
      <c r="AE929" s="9"/>
      <c r="AF929" s="9"/>
      <c r="AG929" s="9"/>
      <c r="AH929" s="9"/>
      <c r="AI929" s="9"/>
      <c r="AJ929" s="9"/>
      <c r="AK929" s="9"/>
      <c r="AL929" s="9"/>
      <c r="AM929" s="9"/>
      <c r="AN929" s="9"/>
      <c r="AO929" s="9"/>
      <c r="AP929" s="9"/>
      <c r="AQ929" s="9"/>
      <c r="AR929" s="9"/>
      <c r="AS929" s="9"/>
      <c r="AT929" s="9"/>
    </row>
    <row r="930">
      <c r="A930" s="492"/>
      <c r="B930" s="254"/>
      <c r="C930" s="492"/>
      <c r="D930" s="254"/>
      <c r="E930" s="492"/>
      <c r="F930" s="254"/>
      <c r="G930" s="492"/>
      <c r="H930" s="254"/>
      <c r="I930" s="500"/>
      <c r="J930" s="181"/>
      <c r="K930" s="500"/>
      <c r="L930" s="181"/>
      <c r="M930" s="492"/>
      <c r="N930" s="254"/>
      <c r="O930" s="492"/>
      <c r="P930" s="254"/>
      <c r="Q930" s="492"/>
      <c r="R930" s="254"/>
      <c r="S930" s="528"/>
      <c r="T930" s="528"/>
      <c r="U930" s="492"/>
      <c r="V930" s="254"/>
      <c r="W930" s="492"/>
      <c r="X930" s="254"/>
      <c r="Y930" s="9"/>
      <c r="Z930" s="9"/>
      <c r="AA930" s="9"/>
      <c r="AB930" s="9"/>
      <c r="AC930" s="9"/>
      <c r="AD930" s="9"/>
      <c r="AE930" s="9"/>
      <c r="AF930" s="9"/>
      <c r="AG930" s="9"/>
      <c r="AH930" s="9"/>
      <c r="AI930" s="9"/>
      <c r="AJ930" s="9"/>
      <c r="AK930" s="9"/>
      <c r="AL930" s="9"/>
      <c r="AM930" s="9"/>
      <c r="AN930" s="9"/>
      <c r="AO930" s="9"/>
      <c r="AP930" s="9"/>
      <c r="AQ930" s="9"/>
      <c r="AR930" s="9"/>
      <c r="AS930" s="9"/>
      <c r="AT930" s="9"/>
    </row>
    <row r="931">
      <c r="A931" s="492"/>
      <c r="B931" s="254"/>
      <c r="C931" s="492"/>
      <c r="D931" s="254"/>
      <c r="E931" s="492"/>
      <c r="F931" s="254"/>
      <c r="G931" s="492"/>
      <c r="H931" s="254"/>
      <c r="I931" s="500"/>
      <c r="J931" s="181"/>
      <c r="K931" s="500"/>
      <c r="L931" s="181"/>
      <c r="M931" s="492"/>
      <c r="N931" s="254"/>
      <c r="O931" s="492"/>
      <c r="P931" s="254"/>
      <c r="Q931" s="492"/>
      <c r="R931" s="254"/>
      <c r="S931" s="528"/>
      <c r="T931" s="528"/>
      <c r="U931" s="492"/>
      <c r="V931" s="254"/>
      <c r="W931" s="492"/>
      <c r="X931" s="254"/>
      <c r="Y931" s="9"/>
      <c r="Z931" s="9"/>
      <c r="AA931" s="9"/>
      <c r="AB931" s="9"/>
      <c r="AC931" s="9"/>
      <c r="AD931" s="9"/>
      <c r="AE931" s="9"/>
      <c r="AF931" s="9"/>
      <c r="AG931" s="9"/>
      <c r="AH931" s="9"/>
      <c r="AI931" s="9"/>
      <c r="AJ931" s="9"/>
      <c r="AK931" s="9"/>
      <c r="AL931" s="9"/>
      <c r="AM931" s="9"/>
      <c r="AN931" s="9"/>
      <c r="AO931" s="9"/>
      <c r="AP931" s="9"/>
      <c r="AQ931" s="9"/>
      <c r="AR931" s="9"/>
      <c r="AS931" s="9"/>
      <c r="AT931" s="9"/>
    </row>
    <row r="932">
      <c r="A932" s="492"/>
      <c r="B932" s="254"/>
      <c r="C932" s="492"/>
      <c r="D932" s="254"/>
      <c r="E932" s="492"/>
      <c r="F932" s="254"/>
      <c r="G932" s="492"/>
      <c r="H932" s="254"/>
      <c r="I932" s="500"/>
      <c r="J932" s="181"/>
      <c r="K932" s="500"/>
      <c r="L932" s="181"/>
      <c r="M932" s="492"/>
      <c r="N932" s="254"/>
      <c r="O932" s="492"/>
      <c r="P932" s="254"/>
      <c r="Q932" s="492"/>
      <c r="R932" s="254"/>
      <c r="S932" s="528"/>
      <c r="T932" s="528"/>
      <c r="U932" s="492"/>
      <c r="V932" s="254"/>
      <c r="W932" s="492"/>
      <c r="X932" s="254"/>
      <c r="Y932" s="9"/>
      <c r="Z932" s="9"/>
      <c r="AA932" s="9"/>
      <c r="AB932" s="9"/>
      <c r="AC932" s="9"/>
      <c r="AD932" s="9"/>
      <c r="AE932" s="9"/>
      <c r="AF932" s="9"/>
      <c r="AG932" s="9"/>
      <c r="AH932" s="9"/>
      <c r="AI932" s="9"/>
      <c r="AJ932" s="9"/>
      <c r="AK932" s="9"/>
      <c r="AL932" s="9"/>
      <c r="AM932" s="9"/>
      <c r="AN932" s="9"/>
      <c r="AO932" s="9"/>
      <c r="AP932" s="9"/>
      <c r="AQ932" s="9"/>
      <c r="AR932" s="9"/>
      <c r="AS932" s="9"/>
      <c r="AT932" s="9"/>
    </row>
    <row r="933">
      <c r="A933" s="492"/>
      <c r="B933" s="254"/>
      <c r="C933" s="492"/>
      <c r="D933" s="254"/>
      <c r="E933" s="492"/>
      <c r="F933" s="254"/>
      <c r="G933" s="492"/>
      <c r="H933" s="254"/>
      <c r="I933" s="500"/>
      <c r="J933" s="181"/>
      <c r="K933" s="500"/>
      <c r="L933" s="181"/>
      <c r="M933" s="492"/>
      <c r="N933" s="254"/>
      <c r="O933" s="492"/>
      <c r="P933" s="254"/>
      <c r="Q933" s="492"/>
      <c r="R933" s="254"/>
      <c r="S933" s="528"/>
      <c r="T933" s="528"/>
      <c r="U933" s="492"/>
      <c r="V933" s="254"/>
      <c r="W933" s="492"/>
      <c r="X933" s="254"/>
      <c r="Y933" s="9"/>
      <c r="Z933" s="9"/>
      <c r="AA933" s="9"/>
      <c r="AB933" s="9"/>
      <c r="AC933" s="9"/>
      <c r="AD933" s="9"/>
      <c r="AE933" s="9"/>
      <c r="AF933" s="9"/>
      <c r="AG933" s="9"/>
      <c r="AH933" s="9"/>
      <c r="AI933" s="9"/>
      <c r="AJ933" s="9"/>
      <c r="AK933" s="9"/>
      <c r="AL933" s="9"/>
      <c r="AM933" s="9"/>
      <c r="AN933" s="9"/>
      <c r="AO933" s="9"/>
      <c r="AP933" s="9"/>
      <c r="AQ933" s="9"/>
      <c r="AR933" s="9"/>
      <c r="AS933" s="9"/>
      <c r="AT933" s="9"/>
    </row>
    <row r="934">
      <c r="A934" s="492"/>
      <c r="B934" s="254"/>
      <c r="C934" s="492"/>
      <c r="D934" s="254"/>
      <c r="E934" s="492"/>
      <c r="F934" s="254"/>
      <c r="G934" s="492"/>
      <c r="H934" s="254"/>
      <c r="I934" s="500"/>
      <c r="J934" s="181"/>
      <c r="K934" s="500"/>
      <c r="L934" s="181"/>
      <c r="M934" s="492"/>
      <c r="N934" s="254"/>
      <c r="O934" s="492"/>
      <c r="P934" s="254"/>
      <c r="Q934" s="492"/>
      <c r="R934" s="254"/>
      <c r="S934" s="528"/>
      <c r="T934" s="528"/>
      <c r="U934" s="492"/>
      <c r="V934" s="254"/>
      <c r="W934" s="492"/>
      <c r="X934" s="254"/>
      <c r="Y934" s="9"/>
      <c r="Z934" s="9"/>
      <c r="AA934" s="9"/>
      <c r="AB934" s="9"/>
      <c r="AC934" s="9"/>
      <c r="AD934" s="9"/>
      <c r="AE934" s="9"/>
      <c r="AF934" s="9"/>
      <c r="AG934" s="9"/>
      <c r="AH934" s="9"/>
      <c r="AI934" s="9"/>
      <c r="AJ934" s="9"/>
      <c r="AK934" s="9"/>
      <c r="AL934" s="9"/>
      <c r="AM934" s="9"/>
      <c r="AN934" s="9"/>
      <c r="AO934" s="9"/>
      <c r="AP934" s="9"/>
      <c r="AQ934" s="9"/>
      <c r="AR934" s="9"/>
      <c r="AS934" s="9"/>
      <c r="AT934" s="9"/>
    </row>
    <row r="935">
      <c r="A935" s="492"/>
      <c r="B935" s="254"/>
      <c r="C935" s="492"/>
      <c r="D935" s="254"/>
      <c r="E935" s="492"/>
      <c r="F935" s="254"/>
      <c r="G935" s="492"/>
      <c r="H935" s="254"/>
      <c r="I935" s="500"/>
      <c r="J935" s="181"/>
      <c r="K935" s="500"/>
      <c r="L935" s="181"/>
      <c r="M935" s="492"/>
      <c r="N935" s="254"/>
      <c r="O935" s="492"/>
      <c r="P935" s="254"/>
      <c r="Q935" s="492"/>
      <c r="R935" s="254"/>
      <c r="S935" s="528"/>
      <c r="T935" s="528"/>
      <c r="U935" s="492"/>
      <c r="V935" s="254"/>
      <c r="W935" s="492"/>
      <c r="X935" s="254"/>
      <c r="Y935" s="9"/>
      <c r="Z935" s="9"/>
      <c r="AA935" s="9"/>
      <c r="AB935" s="9"/>
      <c r="AC935" s="9"/>
      <c r="AD935" s="9"/>
      <c r="AE935" s="9"/>
      <c r="AF935" s="9"/>
      <c r="AG935" s="9"/>
      <c r="AH935" s="9"/>
      <c r="AI935" s="9"/>
      <c r="AJ935" s="9"/>
      <c r="AK935" s="9"/>
      <c r="AL935" s="9"/>
      <c r="AM935" s="9"/>
      <c r="AN935" s="9"/>
      <c r="AO935" s="9"/>
      <c r="AP935" s="9"/>
      <c r="AQ935" s="9"/>
      <c r="AR935" s="9"/>
      <c r="AS935" s="9"/>
      <c r="AT935" s="9"/>
    </row>
    <row r="936">
      <c r="A936" s="492"/>
      <c r="B936" s="254"/>
      <c r="C936" s="492"/>
      <c r="D936" s="254"/>
      <c r="E936" s="492"/>
      <c r="F936" s="254"/>
      <c r="G936" s="492"/>
      <c r="H936" s="254"/>
      <c r="I936" s="500"/>
      <c r="J936" s="181"/>
      <c r="K936" s="500"/>
      <c r="L936" s="181"/>
      <c r="M936" s="492"/>
      <c r="N936" s="254"/>
      <c r="O936" s="492"/>
      <c r="P936" s="254"/>
      <c r="Q936" s="492"/>
      <c r="R936" s="254"/>
      <c r="S936" s="528"/>
      <c r="T936" s="528"/>
      <c r="U936" s="492"/>
      <c r="V936" s="254"/>
      <c r="W936" s="492"/>
      <c r="X936" s="254"/>
      <c r="Y936" s="9"/>
      <c r="Z936" s="9"/>
      <c r="AA936" s="9"/>
      <c r="AB936" s="9"/>
      <c r="AC936" s="9"/>
      <c r="AD936" s="9"/>
      <c r="AE936" s="9"/>
      <c r="AF936" s="9"/>
      <c r="AG936" s="9"/>
      <c r="AH936" s="9"/>
      <c r="AI936" s="9"/>
      <c r="AJ936" s="9"/>
      <c r="AK936" s="9"/>
      <c r="AL936" s="9"/>
      <c r="AM936" s="9"/>
      <c r="AN936" s="9"/>
      <c r="AO936" s="9"/>
      <c r="AP936" s="9"/>
      <c r="AQ936" s="9"/>
      <c r="AR936" s="9"/>
      <c r="AS936" s="9"/>
      <c r="AT936" s="9"/>
    </row>
    <row r="937">
      <c r="A937" s="492"/>
      <c r="B937" s="254"/>
      <c r="C937" s="492"/>
      <c r="D937" s="254"/>
      <c r="E937" s="492"/>
      <c r="F937" s="254"/>
      <c r="G937" s="492"/>
      <c r="H937" s="254"/>
      <c r="I937" s="500"/>
      <c r="J937" s="181"/>
      <c r="K937" s="500"/>
      <c r="L937" s="181"/>
      <c r="M937" s="492"/>
      <c r="N937" s="254"/>
      <c r="O937" s="492"/>
      <c r="P937" s="254"/>
      <c r="Q937" s="492"/>
      <c r="R937" s="254"/>
      <c r="S937" s="528"/>
      <c r="T937" s="528"/>
      <c r="U937" s="492"/>
      <c r="V937" s="254"/>
      <c r="W937" s="492"/>
      <c r="X937" s="254"/>
      <c r="Y937" s="9"/>
      <c r="Z937" s="9"/>
      <c r="AA937" s="9"/>
      <c r="AB937" s="9"/>
      <c r="AC937" s="9"/>
      <c r="AD937" s="9"/>
      <c r="AE937" s="9"/>
      <c r="AF937" s="9"/>
      <c r="AG937" s="9"/>
      <c r="AH937" s="9"/>
      <c r="AI937" s="9"/>
      <c r="AJ937" s="9"/>
      <c r="AK937" s="9"/>
      <c r="AL937" s="9"/>
      <c r="AM937" s="9"/>
      <c r="AN937" s="9"/>
      <c r="AO937" s="9"/>
      <c r="AP937" s="9"/>
      <c r="AQ937" s="9"/>
      <c r="AR937" s="9"/>
      <c r="AS937" s="9"/>
      <c r="AT937" s="9"/>
    </row>
    <row r="938">
      <c r="A938" s="492"/>
      <c r="B938" s="254"/>
      <c r="C938" s="492"/>
      <c r="D938" s="254"/>
      <c r="E938" s="492"/>
      <c r="F938" s="254"/>
      <c r="G938" s="492"/>
      <c r="H938" s="254"/>
      <c r="I938" s="500"/>
      <c r="J938" s="181"/>
      <c r="K938" s="500"/>
      <c r="L938" s="181"/>
      <c r="M938" s="492"/>
      <c r="N938" s="254"/>
      <c r="O938" s="492"/>
      <c r="P938" s="254"/>
      <c r="Q938" s="492"/>
      <c r="R938" s="254"/>
      <c r="S938" s="528"/>
      <c r="T938" s="528"/>
      <c r="U938" s="492"/>
      <c r="V938" s="254"/>
      <c r="W938" s="492"/>
      <c r="X938" s="254"/>
      <c r="Y938" s="9"/>
      <c r="Z938" s="9"/>
      <c r="AA938" s="9"/>
      <c r="AB938" s="9"/>
      <c r="AC938" s="9"/>
      <c r="AD938" s="9"/>
      <c r="AE938" s="9"/>
      <c r="AF938" s="9"/>
      <c r="AG938" s="9"/>
      <c r="AH938" s="9"/>
      <c r="AI938" s="9"/>
      <c r="AJ938" s="9"/>
      <c r="AK938" s="9"/>
      <c r="AL938" s="9"/>
      <c r="AM938" s="9"/>
      <c r="AN938" s="9"/>
      <c r="AO938" s="9"/>
      <c r="AP938" s="9"/>
      <c r="AQ938" s="9"/>
      <c r="AR938" s="9"/>
      <c r="AS938" s="9"/>
      <c r="AT938" s="9"/>
    </row>
    <row r="939">
      <c r="A939" s="492"/>
      <c r="B939" s="254"/>
      <c r="C939" s="492"/>
      <c r="D939" s="254"/>
      <c r="E939" s="492"/>
      <c r="F939" s="254"/>
      <c r="G939" s="492"/>
      <c r="H939" s="254"/>
      <c r="I939" s="500"/>
      <c r="J939" s="181"/>
      <c r="K939" s="500"/>
      <c r="L939" s="181"/>
      <c r="M939" s="492"/>
      <c r="N939" s="254"/>
      <c r="O939" s="492"/>
      <c r="P939" s="254"/>
      <c r="Q939" s="492"/>
      <c r="R939" s="254"/>
      <c r="S939" s="528"/>
      <c r="T939" s="528"/>
      <c r="U939" s="492"/>
      <c r="V939" s="254"/>
      <c r="W939" s="492"/>
      <c r="X939" s="254"/>
      <c r="Y939" s="9"/>
      <c r="Z939" s="9"/>
      <c r="AA939" s="9"/>
      <c r="AB939" s="9"/>
      <c r="AC939" s="9"/>
      <c r="AD939" s="9"/>
      <c r="AE939" s="9"/>
      <c r="AF939" s="9"/>
      <c r="AG939" s="9"/>
      <c r="AH939" s="9"/>
      <c r="AI939" s="9"/>
      <c r="AJ939" s="9"/>
      <c r="AK939" s="9"/>
      <c r="AL939" s="9"/>
      <c r="AM939" s="9"/>
      <c r="AN939" s="9"/>
      <c r="AO939" s="9"/>
      <c r="AP939" s="9"/>
      <c r="AQ939" s="9"/>
      <c r="AR939" s="9"/>
      <c r="AS939" s="9"/>
      <c r="AT939" s="9"/>
    </row>
    <row r="940">
      <c r="A940" s="492"/>
      <c r="B940" s="254"/>
      <c r="C940" s="492"/>
      <c r="D940" s="254"/>
      <c r="E940" s="492"/>
      <c r="F940" s="254"/>
      <c r="G940" s="492"/>
      <c r="H940" s="254"/>
      <c r="I940" s="500"/>
      <c r="J940" s="181"/>
      <c r="K940" s="500"/>
      <c r="L940" s="181"/>
      <c r="M940" s="492"/>
      <c r="N940" s="254"/>
      <c r="O940" s="492"/>
      <c r="P940" s="254"/>
      <c r="Q940" s="492"/>
      <c r="R940" s="254"/>
      <c r="S940" s="528"/>
      <c r="T940" s="528"/>
      <c r="U940" s="492"/>
      <c r="V940" s="254"/>
      <c r="W940" s="492"/>
      <c r="X940" s="254"/>
      <c r="Y940" s="9"/>
      <c r="Z940" s="9"/>
      <c r="AA940" s="9"/>
      <c r="AB940" s="9"/>
      <c r="AC940" s="9"/>
      <c r="AD940" s="9"/>
      <c r="AE940" s="9"/>
      <c r="AF940" s="9"/>
      <c r="AG940" s="9"/>
      <c r="AH940" s="9"/>
      <c r="AI940" s="9"/>
      <c r="AJ940" s="9"/>
      <c r="AK940" s="9"/>
      <c r="AL940" s="9"/>
      <c r="AM940" s="9"/>
      <c r="AN940" s="9"/>
      <c r="AO940" s="9"/>
      <c r="AP940" s="9"/>
      <c r="AQ940" s="9"/>
      <c r="AR940" s="9"/>
      <c r="AS940" s="9"/>
      <c r="AT940" s="9"/>
    </row>
    <row r="941">
      <c r="A941" s="492"/>
      <c r="B941" s="254"/>
      <c r="C941" s="492"/>
      <c r="D941" s="254"/>
      <c r="E941" s="492"/>
      <c r="F941" s="254"/>
      <c r="G941" s="492"/>
      <c r="H941" s="254"/>
      <c r="I941" s="500"/>
      <c r="J941" s="181"/>
      <c r="K941" s="500"/>
      <c r="L941" s="181"/>
      <c r="M941" s="492"/>
      <c r="N941" s="254"/>
      <c r="O941" s="492"/>
      <c r="P941" s="254"/>
      <c r="Q941" s="492"/>
      <c r="R941" s="254"/>
      <c r="S941" s="528"/>
      <c r="T941" s="528"/>
      <c r="U941" s="492"/>
      <c r="V941" s="254"/>
      <c r="W941" s="492"/>
      <c r="X941" s="254"/>
      <c r="Y941" s="9"/>
      <c r="Z941" s="9"/>
      <c r="AA941" s="9"/>
      <c r="AB941" s="9"/>
      <c r="AC941" s="9"/>
      <c r="AD941" s="9"/>
      <c r="AE941" s="9"/>
      <c r="AF941" s="9"/>
      <c r="AG941" s="9"/>
      <c r="AH941" s="9"/>
      <c r="AI941" s="9"/>
      <c r="AJ941" s="9"/>
      <c r="AK941" s="9"/>
      <c r="AL941" s="9"/>
      <c r="AM941" s="9"/>
      <c r="AN941" s="9"/>
      <c r="AO941" s="9"/>
      <c r="AP941" s="9"/>
      <c r="AQ941" s="9"/>
      <c r="AR941" s="9"/>
      <c r="AS941" s="9"/>
      <c r="AT941" s="9"/>
    </row>
    <row r="942">
      <c r="A942" s="492"/>
      <c r="B942" s="254"/>
      <c r="C942" s="492"/>
      <c r="D942" s="254"/>
      <c r="E942" s="492"/>
      <c r="F942" s="254"/>
      <c r="G942" s="492"/>
      <c r="H942" s="254"/>
      <c r="I942" s="500"/>
      <c r="J942" s="181"/>
      <c r="K942" s="500"/>
      <c r="L942" s="181"/>
      <c r="M942" s="492"/>
      <c r="N942" s="254"/>
      <c r="O942" s="492"/>
      <c r="P942" s="254"/>
      <c r="Q942" s="492"/>
      <c r="R942" s="254"/>
      <c r="S942" s="528"/>
      <c r="T942" s="528"/>
      <c r="U942" s="492"/>
      <c r="V942" s="254"/>
      <c r="W942" s="492"/>
      <c r="X942" s="254"/>
      <c r="Y942" s="9"/>
      <c r="Z942" s="9"/>
      <c r="AA942" s="9"/>
      <c r="AB942" s="9"/>
      <c r="AC942" s="9"/>
      <c r="AD942" s="9"/>
      <c r="AE942" s="9"/>
      <c r="AF942" s="9"/>
      <c r="AG942" s="9"/>
      <c r="AH942" s="9"/>
      <c r="AI942" s="9"/>
      <c r="AJ942" s="9"/>
      <c r="AK942" s="9"/>
      <c r="AL942" s="9"/>
      <c r="AM942" s="9"/>
      <c r="AN942" s="9"/>
      <c r="AO942" s="9"/>
      <c r="AP942" s="9"/>
      <c r="AQ942" s="9"/>
      <c r="AR942" s="9"/>
      <c r="AS942" s="9"/>
      <c r="AT942" s="9"/>
    </row>
    <row r="943">
      <c r="A943" s="492"/>
      <c r="B943" s="254"/>
      <c r="C943" s="492"/>
      <c r="D943" s="254"/>
      <c r="E943" s="492"/>
      <c r="F943" s="254"/>
      <c r="G943" s="492"/>
      <c r="H943" s="254"/>
      <c r="I943" s="500"/>
      <c r="J943" s="181"/>
      <c r="K943" s="500"/>
      <c r="L943" s="181"/>
      <c r="M943" s="492"/>
      <c r="N943" s="254"/>
      <c r="O943" s="492"/>
      <c r="P943" s="254"/>
      <c r="Q943" s="492"/>
      <c r="R943" s="254"/>
      <c r="S943" s="528"/>
      <c r="T943" s="528"/>
      <c r="U943" s="492"/>
      <c r="V943" s="254"/>
      <c r="W943" s="492"/>
      <c r="X943" s="254"/>
      <c r="Y943" s="9"/>
      <c r="Z943" s="9"/>
      <c r="AA943" s="9"/>
      <c r="AB943" s="9"/>
      <c r="AC943" s="9"/>
      <c r="AD943" s="9"/>
      <c r="AE943" s="9"/>
      <c r="AF943" s="9"/>
      <c r="AG943" s="9"/>
      <c r="AH943" s="9"/>
      <c r="AI943" s="9"/>
      <c r="AJ943" s="9"/>
      <c r="AK943" s="9"/>
      <c r="AL943" s="9"/>
      <c r="AM943" s="9"/>
      <c r="AN943" s="9"/>
      <c r="AO943" s="9"/>
      <c r="AP943" s="9"/>
      <c r="AQ943" s="9"/>
      <c r="AR943" s="9"/>
      <c r="AS943" s="9"/>
      <c r="AT943" s="9"/>
    </row>
    <row r="944">
      <c r="A944" s="492"/>
      <c r="B944" s="254"/>
      <c r="C944" s="492"/>
      <c r="D944" s="254"/>
      <c r="E944" s="492"/>
      <c r="F944" s="254"/>
      <c r="G944" s="492"/>
      <c r="H944" s="254"/>
      <c r="I944" s="500"/>
      <c r="J944" s="181"/>
      <c r="K944" s="500"/>
      <c r="L944" s="181"/>
      <c r="M944" s="492"/>
      <c r="N944" s="254"/>
      <c r="O944" s="492"/>
      <c r="P944" s="254"/>
      <c r="Q944" s="492"/>
      <c r="R944" s="254"/>
      <c r="S944" s="528"/>
      <c r="T944" s="528"/>
      <c r="U944" s="492"/>
      <c r="V944" s="254"/>
      <c r="W944" s="492"/>
      <c r="X944" s="254"/>
      <c r="Y944" s="9"/>
      <c r="Z944" s="9"/>
      <c r="AA944" s="9"/>
      <c r="AB944" s="9"/>
      <c r="AC944" s="9"/>
      <c r="AD944" s="9"/>
      <c r="AE944" s="9"/>
      <c r="AF944" s="9"/>
      <c r="AG944" s="9"/>
      <c r="AH944" s="9"/>
      <c r="AI944" s="9"/>
      <c r="AJ944" s="9"/>
      <c r="AK944" s="9"/>
      <c r="AL944" s="9"/>
      <c r="AM944" s="9"/>
      <c r="AN944" s="9"/>
      <c r="AO944" s="9"/>
      <c r="AP944" s="9"/>
      <c r="AQ944" s="9"/>
      <c r="AR944" s="9"/>
      <c r="AS944" s="9"/>
      <c r="AT944" s="9"/>
    </row>
    <row r="945">
      <c r="A945" s="492"/>
      <c r="B945" s="254"/>
      <c r="C945" s="492"/>
      <c r="D945" s="254"/>
      <c r="E945" s="492"/>
      <c r="F945" s="254"/>
      <c r="G945" s="492"/>
      <c r="H945" s="254"/>
      <c r="I945" s="500"/>
      <c r="J945" s="181"/>
      <c r="K945" s="500"/>
      <c r="L945" s="181"/>
      <c r="M945" s="492"/>
      <c r="N945" s="254"/>
      <c r="O945" s="492"/>
      <c r="P945" s="254"/>
      <c r="Q945" s="492"/>
      <c r="R945" s="254"/>
      <c r="S945" s="528"/>
      <c r="T945" s="528"/>
      <c r="U945" s="492"/>
      <c r="V945" s="254"/>
      <c r="W945" s="492"/>
      <c r="X945" s="254"/>
      <c r="Y945" s="9"/>
      <c r="Z945" s="9"/>
      <c r="AA945" s="9"/>
      <c r="AB945" s="9"/>
      <c r="AC945" s="9"/>
      <c r="AD945" s="9"/>
      <c r="AE945" s="9"/>
      <c r="AF945" s="9"/>
      <c r="AG945" s="9"/>
      <c r="AH945" s="9"/>
      <c r="AI945" s="9"/>
      <c r="AJ945" s="9"/>
      <c r="AK945" s="9"/>
      <c r="AL945" s="9"/>
      <c r="AM945" s="9"/>
      <c r="AN945" s="9"/>
      <c r="AO945" s="9"/>
      <c r="AP945" s="9"/>
      <c r="AQ945" s="9"/>
      <c r="AR945" s="9"/>
      <c r="AS945" s="9"/>
      <c r="AT945" s="9"/>
    </row>
    <row r="946">
      <c r="A946" s="492"/>
      <c r="B946" s="254"/>
      <c r="C946" s="492"/>
      <c r="D946" s="254"/>
      <c r="E946" s="492"/>
      <c r="F946" s="254"/>
      <c r="G946" s="492"/>
      <c r="H946" s="254"/>
      <c r="I946" s="500"/>
      <c r="J946" s="181"/>
      <c r="K946" s="500"/>
      <c r="L946" s="181"/>
      <c r="M946" s="492"/>
      <c r="N946" s="254"/>
      <c r="O946" s="492"/>
      <c r="P946" s="254"/>
      <c r="Q946" s="492"/>
      <c r="R946" s="254"/>
      <c r="S946" s="528"/>
      <c r="T946" s="528"/>
      <c r="U946" s="492"/>
      <c r="V946" s="254"/>
      <c r="W946" s="492"/>
      <c r="X946" s="254"/>
      <c r="Y946" s="9"/>
      <c r="Z946" s="9"/>
      <c r="AA946" s="9"/>
      <c r="AB946" s="9"/>
      <c r="AC946" s="9"/>
      <c r="AD946" s="9"/>
      <c r="AE946" s="9"/>
      <c r="AF946" s="9"/>
      <c r="AG946" s="9"/>
      <c r="AH946" s="9"/>
      <c r="AI946" s="9"/>
      <c r="AJ946" s="9"/>
      <c r="AK946" s="9"/>
      <c r="AL946" s="9"/>
      <c r="AM946" s="9"/>
      <c r="AN946" s="9"/>
      <c r="AO946" s="9"/>
      <c r="AP946" s="9"/>
      <c r="AQ946" s="9"/>
      <c r="AR946" s="9"/>
      <c r="AS946" s="9"/>
      <c r="AT946" s="9"/>
    </row>
    <row r="947">
      <c r="A947" s="492"/>
      <c r="B947" s="254"/>
      <c r="C947" s="492"/>
      <c r="D947" s="254"/>
      <c r="E947" s="492"/>
      <c r="F947" s="254"/>
      <c r="G947" s="492"/>
      <c r="H947" s="254"/>
      <c r="I947" s="500"/>
      <c r="J947" s="181"/>
      <c r="K947" s="500"/>
      <c r="L947" s="181"/>
      <c r="M947" s="492"/>
      <c r="N947" s="254"/>
      <c r="O947" s="492"/>
      <c r="P947" s="254"/>
      <c r="Q947" s="492"/>
      <c r="R947" s="254"/>
      <c r="S947" s="528"/>
      <c r="T947" s="528"/>
      <c r="U947" s="492"/>
      <c r="V947" s="254"/>
      <c r="W947" s="492"/>
      <c r="X947" s="254"/>
      <c r="Y947" s="9"/>
      <c r="Z947" s="9"/>
      <c r="AA947" s="9"/>
      <c r="AB947" s="9"/>
      <c r="AC947" s="9"/>
      <c r="AD947" s="9"/>
      <c r="AE947" s="9"/>
      <c r="AF947" s="9"/>
      <c r="AG947" s="9"/>
      <c r="AH947" s="9"/>
      <c r="AI947" s="9"/>
      <c r="AJ947" s="9"/>
      <c r="AK947" s="9"/>
      <c r="AL947" s="9"/>
      <c r="AM947" s="9"/>
      <c r="AN947" s="9"/>
      <c r="AO947" s="9"/>
      <c r="AP947" s="9"/>
      <c r="AQ947" s="9"/>
      <c r="AR947" s="9"/>
      <c r="AS947" s="9"/>
      <c r="AT947" s="9"/>
    </row>
    <row r="948">
      <c r="A948" s="492"/>
      <c r="B948" s="254"/>
      <c r="C948" s="492"/>
      <c r="D948" s="254"/>
      <c r="E948" s="492"/>
      <c r="F948" s="254"/>
      <c r="G948" s="492"/>
      <c r="H948" s="254"/>
      <c r="I948" s="500"/>
      <c r="J948" s="181"/>
      <c r="K948" s="500"/>
      <c r="L948" s="181"/>
      <c r="M948" s="492"/>
      <c r="N948" s="254"/>
      <c r="O948" s="492"/>
      <c r="P948" s="254"/>
      <c r="Q948" s="492"/>
      <c r="R948" s="254"/>
      <c r="S948" s="528"/>
      <c r="T948" s="528"/>
      <c r="U948" s="492"/>
      <c r="V948" s="254"/>
      <c r="W948" s="492"/>
      <c r="X948" s="254"/>
      <c r="Y948" s="9"/>
      <c r="Z948" s="9"/>
      <c r="AA948" s="9"/>
      <c r="AB948" s="9"/>
      <c r="AC948" s="9"/>
      <c r="AD948" s="9"/>
      <c r="AE948" s="9"/>
      <c r="AF948" s="9"/>
      <c r="AG948" s="9"/>
      <c r="AH948" s="9"/>
      <c r="AI948" s="9"/>
      <c r="AJ948" s="9"/>
      <c r="AK948" s="9"/>
      <c r="AL948" s="9"/>
      <c r="AM948" s="9"/>
      <c r="AN948" s="9"/>
      <c r="AO948" s="9"/>
      <c r="AP948" s="9"/>
      <c r="AQ948" s="9"/>
      <c r="AR948" s="9"/>
      <c r="AS948" s="9"/>
      <c r="AT948" s="9"/>
    </row>
    <row r="949">
      <c r="A949" s="492"/>
      <c r="B949" s="254"/>
      <c r="C949" s="492"/>
      <c r="D949" s="254"/>
      <c r="E949" s="492"/>
      <c r="F949" s="254"/>
      <c r="G949" s="492"/>
      <c r="H949" s="254"/>
      <c r="I949" s="500"/>
      <c r="J949" s="181"/>
      <c r="K949" s="500"/>
      <c r="L949" s="181"/>
      <c r="M949" s="492"/>
      <c r="N949" s="254"/>
      <c r="O949" s="492"/>
      <c r="P949" s="254"/>
      <c r="Q949" s="492"/>
      <c r="R949" s="254"/>
      <c r="S949" s="528"/>
      <c r="T949" s="528"/>
      <c r="U949" s="492"/>
      <c r="V949" s="254"/>
      <c r="W949" s="492"/>
      <c r="X949" s="254"/>
      <c r="Y949" s="9"/>
      <c r="Z949" s="9"/>
      <c r="AA949" s="9"/>
      <c r="AB949" s="9"/>
      <c r="AC949" s="9"/>
      <c r="AD949" s="9"/>
      <c r="AE949" s="9"/>
      <c r="AF949" s="9"/>
      <c r="AG949" s="9"/>
      <c r="AH949" s="9"/>
      <c r="AI949" s="9"/>
      <c r="AJ949" s="9"/>
      <c r="AK949" s="9"/>
      <c r="AL949" s="9"/>
      <c r="AM949" s="9"/>
      <c r="AN949" s="9"/>
      <c r="AO949" s="9"/>
      <c r="AP949" s="9"/>
      <c r="AQ949" s="9"/>
      <c r="AR949" s="9"/>
      <c r="AS949" s="9"/>
      <c r="AT949" s="9"/>
    </row>
    <row r="950">
      <c r="A950" s="492"/>
      <c r="B950" s="254"/>
      <c r="C950" s="492"/>
      <c r="D950" s="254"/>
      <c r="E950" s="492"/>
      <c r="F950" s="254"/>
      <c r="G950" s="492"/>
      <c r="H950" s="254"/>
      <c r="I950" s="500"/>
      <c r="J950" s="181"/>
      <c r="K950" s="500"/>
      <c r="L950" s="181"/>
      <c r="M950" s="492"/>
      <c r="N950" s="254"/>
      <c r="O950" s="492"/>
      <c r="P950" s="254"/>
      <c r="Q950" s="492"/>
      <c r="R950" s="254"/>
      <c r="S950" s="528"/>
      <c r="T950" s="528"/>
      <c r="U950" s="492"/>
      <c r="V950" s="254"/>
      <c r="W950" s="492"/>
      <c r="X950" s="254"/>
      <c r="Y950" s="9"/>
      <c r="Z950" s="9"/>
      <c r="AA950" s="9"/>
      <c r="AB950" s="9"/>
      <c r="AC950" s="9"/>
      <c r="AD950" s="9"/>
      <c r="AE950" s="9"/>
      <c r="AF950" s="9"/>
      <c r="AG950" s="9"/>
      <c r="AH950" s="9"/>
      <c r="AI950" s="9"/>
      <c r="AJ950" s="9"/>
      <c r="AK950" s="9"/>
      <c r="AL950" s="9"/>
      <c r="AM950" s="9"/>
      <c r="AN950" s="9"/>
      <c r="AO950" s="9"/>
      <c r="AP950" s="9"/>
      <c r="AQ950" s="9"/>
      <c r="AR950" s="9"/>
      <c r="AS950" s="9"/>
      <c r="AT950" s="9"/>
    </row>
    <row r="951">
      <c r="A951" s="492"/>
      <c r="B951" s="254"/>
      <c r="C951" s="492"/>
      <c r="D951" s="254"/>
      <c r="E951" s="492"/>
      <c r="F951" s="254"/>
      <c r="G951" s="492"/>
      <c r="H951" s="254"/>
      <c r="I951" s="500"/>
      <c r="J951" s="181"/>
      <c r="K951" s="500"/>
      <c r="L951" s="181"/>
      <c r="M951" s="492"/>
      <c r="N951" s="254"/>
      <c r="O951" s="492"/>
      <c r="P951" s="254"/>
      <c r="Q951" s="492"/>
      <c r="R951" s="254"/>
      <c r="S951" s="528"/>
      <c r="T951" s="528"/>
      <c r="U951" s="492"/>
      <c r="V951" s="254"/>
      <c r="W951" s="492"/>
      <c r="X951" s="254"/>
      <c r="Y951" s="9"/>
      <c r="Z951" s="9"/>
      <c r="AA951" s="9"/>
      <c r="AB951" s="9"/>
      <c r="AC951" s="9"/>
      <c r="AD951" s="9"/>
      <c r="AE951" s="9"/>
      <c r="AF951" s="9"/>
      <c r="AG951" s="9"/>
      <c r="AH951" s="9"/>
      <c r="AI951" s="9"/>
      <c r="AJ951" s="9"/>
      <c r="AK951" s="9"/>
      <c r="AL951" s="9"/>
      <c r="AM951" s="9"/>
      <c r="AN951" s="9"/>
      <c r="AO951" s="9"/>
      <c r="AP951" s="9"/>
      <c r="AQ951" s="9"/>
      <c r="AR951" s="9"/>
      <c r="AS951" s="9"/>
      <c r="AT951" s="9"/>
    </row>
    <row r="952">
      <c r="A952" s="492"/>
      <c r="B952" s="254"/>
      <c r="C952" s="492"/>
      <c r="D952" s="254"/>
      <c r="E952" s="492"/>
      <c r="F952" s="254"/>
      <c r="G952" s="492"/>
      <c r="H952" s="254"/>
      <c r="I952" s="500"/>
      <c r="J952" s="181"/>
      <c r="K952" s="500"/>
      <c r="L952" s="181"/>
      <c r="M952" s="492"/>
      <c r="N952" s="254"/>
      <c r="O952" s="492"/>
      <c r="P952" s="254"/>
      <c r="Q952" s="492"/>
      <c r="R952" s="254"/>
      <c r="S952" s="528"/>
      <c r="T952" s="528"/>
      <c r="U952" s="492"/>
      <c r="V952" s="254"/>
      <c r="W952" s="492"/>
      <c r="X952" s="254"/>
      <c r="Y952" s="9"/>
      <c r="Z952" s="9"/>
      <c r="AA952" s="9"/>
      <c r="AB952" s="9"/>
      <c r="AC952" s="9"/>
      <c r="AD952" s="9"/>
      <c r="AE952" s="9"/>
      <c r="AF952" s="9"/>
      <c r="AG952" s="9"/>
      <c r="AH952" s="9"/>
      <c r="AI952" s="9"/>
      <c r="AJ952" s="9"/>
      <c r="AK952" s="9"/>
      <c r="AL952" s="9"/>
      <c r="AM952" s="9"/>
      <c r="AN952" s="9"/>
      <c r="AO952" s="9"/>
      <c r="AP952" s="9"/>
      <c r="AQ952" s="9"/>
      <c r="AR952" s="9"/>
      <c r="AS952" s="9"/>
      <c r="AT952" s="9"/>
    </row>
    <row r="953">
      <c r="A953" s="492"/>
      <c r="B953" s="254"/>
      <c r="C953" s="492"/>
      <c r="D953" s="254"/>
      <c r="E953" s="492"/>
      <c r="F953" s="254"/>
      <c r="G953" s="492"/>
      <c r="H953" s="254"/>
      <c r="I953" s="500"/>
      <c r="J953" s="181"/>
      <c r="K953" s="500"/>
      <c r="L953" s="181"/>
      <c r="M953" s="492"/>
      <c r="N953" s="254"/>
      <c r="O953" s="492"/>
      <c r="P953" s="254"/>
      <c r="Q953" s="492"/>
      <c r="R953" s="254"/>
      <c r="S953" s="528"/>
      <c r="T953" s="528"/>
      <c r="U953" s="492"/>
      <c r="V953" s="254"/>
      <c r="W953" s="492"/>
      <c r="X953" s="254"/>
      <c r="Y953" s="9"/>
      <c r="Z953" s="9"/>
      <c r="AA953" s="9"/>
      <c r="AB953" s="9"/>
      <c r="AC953" s="9"/>
      <c r="AD953" s="9"/>
      <c r="AE953" s="9"/>
      <c r="AF953" s="9"/>
      <c r="AG953" s="9"/>
      <c r="AH953" s="9"/>
      <c r="AI953" s="9"/>
      <c r="AJ953" s="9"/>
      <c r="AK953" s="9"/>
      <c r="AL953" s="9"/>
      <c r="AM953" s="9"/>
      <c r="AN953" s="9"/>
      <c r="AO953" s="9"/>
      <c r="AP953" s="9"/>
      <c r="AQ953" s="9"/>
      <c r="AR953" s="9"/>
      <c r="AS953" s="9"/>
      <c r="AT953" s="9"/>
    </row>
    <row r="954">
      <c r="A954" s="492"/>
      <c r="B954" s="254"/>
      <c r="C954" s="492"/>
      <c r="D954" s="254"/>
      <c r="E954" s="492"/>
      <c r="F954" s="254"/>
      <c r="G954" s="492"/>
      <c r="H954" s="254"/>
      <c r="I954" s="500"/>
      <c r="J954" s="181"/>
      <c r="K954" s="500"/>
      <c r="L954" s="181"/>
      <c r="M954" s="492"/>
      <c r="N954" s="254"/>
      <c r="O954" s="492"/>
      <c r="P954" s="254"/>
      <c r="Q954" s="492"/>
      <c r="R954" s="254"/>
      <c r="S954" s="528"/>
      <c r="T954" s="528"/>
      <c r="U954" s="492"/>
      <c r="V954" s="254"/>
      <c r="W954" s="492"/>
      <c r="X954" s="254"/>
      <c r="Y954" s="9"/>
      <c r="Z954" s="9"/>
      <c r="AA954" s="9"/>
      <c r="AB954" s="9"/>
      <c r="AC954" s="9"/>
      <c r="AD954" s="9"/>
      <c r="AE954" s="9"/>
      <c r="AF954" s="9"/>
      <c r="AG954" s="9"/>
      <c r="AH954" s="9"/>
      <c r="AI954" s="9"/>
      <c r="AJ954" s="9"/>
      <c r="AK954" s="9"/>
      <c r="AL954" s="9"/>
      <c r="AM954" s="9"/>
      <c r="AN954" s="9"/>
      <c r="AO954" s="9"/>
      <c r="AP954" s="9"/>
      <c r="AQ954" s="9"/>
      <c r="AR954" s="9"/>
      <c r="AS954" s="9"/>
      <c r="AT954" s="9"/>
    </row>
    <row r="955">
      <c r="A955" s="492"/>
      <c r="B955" s="254"/>
      <c r="C955" s="492"/>
      <c r="D955" s="254"/>
      <c r="E955" s="492"/>
      <c r="F955" s="254"/>
      <c r="G955" s="492"/>
      <c r="H955" s="254"/>
      <c r="I955" s="500"/>
      <c r="J955" s="181"/>
      <c r="K955" s="500"/>
      <c r="L955" s="181"/>
      <c r="M955" s="492"/>
      <c r="N955" s="254"/>
      <c r="O955" s="492"/>
      <c r="P955" s="254"/>
      <c r="Q955" s="492"/>
      <c r="R955" s="254"/>
      <c r="S955" s="528"/>
      <c r="T955" s="528"/>
      <c r="U955" s="492"/>
      <c r="V955" s="254"/>
      <c r="W955" s="492"/>
      <c r="X955" s="254"/>
      <c r="Y955" s="9"/>
      <c r="Z955" s="9"/>
      <c r="AA955" s="9"/>
      <c r="AB955" s="9"/>
      <c r="AC955" s="9"/>
      <c r="AD955" s="9"/>
      <c r="AE955" s="9"/>
      <c r="AF955" s="9"/>
      <c r="AG955" s="9"/>
      <c r="AH955" s="9"/>
      <c r="AI955" s="9"/>
      <c r="AJ955" s="9"/>
      <c r="AK955" s="9"/>
      <c r="AL955" s="9"/>
      <c r="AM955" s="9"/>
      <c r="AN955" s="9"/>
      <c r="AO955" s="9"/>
      <c r="AP955" s="9"/>
      <c r="AQ955" s="9"/>
      <c r="AR955" s="9"/>
      <c r="AS955" s="9"/>
      <c r="AT955" s="9"/>
    </row>
    <row r="956">
      <c r="A956" s="492"/>
      <c r="B956" s="254"/>
      <c r="C956" s="492"/>
      <c r="D956" s="254"/>
      <c r="E956" s="492"/>
      <c r="F956" s="254"/>
      <c r="G956" s="492"/>
      <c r="H956" s="254"/>
      <c r="I956" s="500"/>
      <c r="J956" s="181"/>
      <c r="K956" s="500"/>
      <c r="L956" s="181"/>
      <c r="M956" s="492"/>
      <c r="N956" s="254"/>
      <c r="O956" s="492"/>
      <c r="P956" s="254"/>
      <c r="Q956" s="492"/>
      <c r="R956" s="254"/>
      <c r="S956" s="528"/>
      <c r="T956" s="528"/>
      <c r="U956" s="492"/>
      <c r="V956" s="254"/>
      <c r="W956" s="492"/>
      <c r="X956" s="254"/>
      <c r="Y956" s="9"/>
      <c r="Z956" s="9"/>
      <c r="AA956" s="9"/>
      <c r="AB956" s="9"/>
      <c r="AC956" s="9"/>
      <c r="AD956" s="9"/>
      <c r="AE956" s="9"/>
      <c r="AF956" s="9"/>
      <c r="AG956" s="9"/>
      <c r="AH956" s="9"/>
      <c r="AI956" s="9"/>
      <c r="AJ956" s="9"/>
      <c r="AK956" s="9"/>
      <c r="AL956" s="9"/>
      <c r="AM956" s="9"/>
      <c r="AN956" s="9"/>
      <c r="AO956" s="9"/>
      <c r="AP956" s="9"/>
      <c r="AQ956" s="9"/>
      <c r="AR956" s="9"/>
      <c r="AS956" s="9"/>
      <c r="AT956" s="9"/>
    </row>
    <row r="957">
      <c r="A957" s="492"/>
      <c r="B957" s="254"/>
      <c r="C957" s="492"/>
      <c r="D957" s="254"/>
      <c r="E957" s="492"/>
      <c r="F957" s="254"/>
      <c r="G957" s="492"/>
      <c r="H957" s="254"/>
      <c r="I957" s="500"/>
      <c r="J957" s="181"/>
      <c r="K957" s="500"/>
      <c r="L957" s="181"/>
      <c r="M957" s="492"/>
      <c r="N957" s="254"/>
      <c r="O957" s="492"/>
      <c r="P957" s="254"/>
      <c r="Q957" s="492"/>
      <c r="R957" s="254"/>
      <c r="S957" s="528"/>
      <c r="T957" s="528"/>
      <c r="U957" s="492"/>
      <c r="V957" s="254"/>
      <c r="W957" s="492"/>
      <c r="X957" s="254"/>
      <c r="Y957" s="9"/>
      <c r="Z957" s="9"/>
      <c r="AA957" s="9"/>
      <c r="AB957" s="9"/>
      <c r="AC957" s="9"/>
      <c r="AD957" s="9"/>
      <c r="AE957" s="9"/>
      <c r="AF957" s="9"/>
      <c r="AG957" s="9"/>
      <c r="AH957" s="9"/>
      <c r="AI957" s="9"/>
      <c r="AJ957" s="9"/>
      <c r="AK957" s="9"/>
      <c r="AL957" s="9"/>
      <c r="AM957" s="9"/>
      <c r="AN957" s="9"/>
      <c r="AO957" s="9"/>
      <c r="AP957" s="9"/>
      <c r="AQ957" s="9"/>
      <c r="AR957" s="9"/>
      <c r="AS957" s="9"/>
      <c r="AT957" s="9"/>
    </row>
    <row r="958">
      <c r="A958" s="492"/>
      <c r="B958" s="254"/>
      <c r="C958" s="492"/>
      <c r="D958" s="254"/>
      <c r="E958" s="492"/>
      <c r="F958" s="254"/>
      <c r="G958" s="492"/>
      <c r="H958" s="254"/>
      <c r="I958" s="500"/>
      <c r="J958" s="181"/>
      <c r="K958" s="500"/>
      <c r="L958" s="181"/>
      <c r="M958" s="492"/>
      <c r="N958" s="254"/>
      <c r="O958" s="492"/>
      <c r="P958" s="254"/>
      <c r="Q958" s="492"/>
      <c r="R958" s="254"/>
      <c r="S958" s="528"/>
      <c r="T958" s="528"/>
      <c r="U958" s="492"/>
      <c r="V958" s="254"/>
      <c r="W958" s="492"/>
      <c r="X958" s="254"/>
      <c r="Y958" s="9"/>
      <c r="Z958" s="9"/>
      <c r="AA958" s="9"/>
      <c r="AB958" s="9"/>
      <c r="AC958" s="9"/>
      <c r="AD958" s="9"/>
      <c r="AE958" s="9"/>
      <c r="AF958" s="9"/>
      <c r="AG958" s="9"/>
      <c r="AH958" s="9"/>
      <c r="AI958" s="9"/>
      <c r="AJ958" s="9"/>
      <c r="AK958" s="9"/>
      <c r="AL958" s="9"/>
      <c r="AM958" s="9"/>
      <c r="AN958" s="9"/>
      <c r="AO958" s="9"/>
      <c r="AP958" s="9"/>
      <c r="AQ958" s="9"/>
      <c r="AR958" s="9"/>
      <c r="AS958" s="9"/>
      <c r="AT958" s="9"/>
    </row>
    <row r="959">
      <c r="A959" s="492"/>
      <c r="B959" s="254"/>
      <c r="C959" s="492"/>
      <c r="D959" s="254"/>
      <c r="E959" s="492"/>
      <c r="F959" s="254"/>
      <c r="G959" s="492"/>
      <c r="H959" s="254"/>
      <c r="I959" s="500"/>
      <c r="J959" s="181"/>
      <c r="K959" s="500"/>
      <c r="L959" s="181"/>
      <c r="M959" s="492"/>
      <c r="N959" s="254"/>
      <c r="O959" s="492"/>
      <c r="P959" s="254"/>
      <c r="Q959" s="492"/>
      <c r="R959" s="254"/>
      <c r="S959" s="528"/>
      <c r="T959" s="528"/>
      <c r="U959" s="492"/>
      <c r="V959" s="254"/>
      <c r="W959" s="492"/>
      <c r="X959" s="254"/>
      <c r="Y959" s="9"/>
      <c r="Z959" s="9"/>
      <c r="AA959" s="9"/>
      <c r="AB959" s="9"/>
      <c r="AC959" s="9"/>
      <c r="AD959" s="9"/>
      <c r="AE959" s="9"/>
      <c r="AF959" s="9"/>
      <c r="AG959" s="9"/>
      <c r="AH959" s="9"/>
      <c r="AI959" s="9"/>
      <c r="AJ959" s="9"/>
      <c r="AK959" s="9"/>
      <c r="AL959" s="9"/>
      <c r="AM959" s="9"/>
      <c r="AN959" s="9"/>
      <c r="AO959" s="9"/>
      <c r="AP959" s="9"/>
      <c r="AQ959" s="9"/>
      <c r="AR959" s="9"/>
      <c r="AS959" s="9"/>
      <c r="AT959" s="9"/>
    </row>
    <row r="960">
      <c r="A960" s="492"/>
      <c r="B960" s="254"/>
      <c r="C960" s="492"/>
      <c r="D960" s="254"/>
      <c r="E960" s="492"/>
      <c r="F960" s="254"/>
      <c r="G960" s="492"/>
      <c r="H960" s="254"/>
      <c r="I960" s="500"/>
      <c r="J960" s="181"/>
      <c r="K960" s="500"/>
      <c r="L960" s="181"/>
      <c r="M960" s="492"/>
      <c r="N960" s="254"/>
      <c r="O960" s="492"/>
      <c r="P960" s="254"/>
      <c r="Q960" s="492"/>
      <c r="R960" s="254"/>
      <c r="S960" s="528"/>
      <c r="T960" s="528"/>
      <c r="U960" s="492"/>
      <c r="V960" s="254"/>
      <c r="W960" s="492"/>
      <c r="X960" s="254"/>
      <c r="Y960" s="9"/>
      <c r="Z960" s="9"/>
      <c r="AA960" s="9"/>
      <c r="AB960" s="9"/>
      <c r="AC960" s="9"/>
      <c r="AD960" s="9"/>
      <c r="AE960" s="9"/>
      <c r="AF960" s="9"/>
      <c r="AG960" s="9"/>
      <c r="AH960" s="9"/>
      <c r="AI960" s="9"/>
      <c r="AJ960" s="9"/>
      <c r="AK960" s="9"/>
      <c r="AL960" s="9"/>
      <c r="AM960" s="9"/>
      <c r="AN960" s="9"/>
      <c r="AO960" s="9"/>
      <c r="AP960" s="9"/>
      <c r="AQ960" s="9"/>
      <c r="AR960" s="9"/>
      <c r="AS960" s="9"/>
      <c r="AT960" s="9"/>
    </row>
    <row r="961">
      <c r="A961" s="492"/>
      <c r="B961" s="254"/>
      <c r="C961" s="492"/>
      <c r="D961" s="254"/>
      <c r="E961" s="492"/>
      <c r="F961" s="254"/>
      <c r="G961" s="492"/>
      <c r="H961" s="254"/>
      <c r="I961" s="500"/>
      <c r="J961" s="181"/>
      <c r="K961" s="500"/>
      <c r="L961" s="181"/>
      <c r="M961" s="492"/>
      <c r="N961" s="254"/>
      <c r="O961" s="492"/>
      <c r="P961" s="254"/>
      <c r="Q961" s="492"/>
      <c r="R961" s="254"/>
      <c r="S961" s="528"/>
      <c r="T961" s="528"/>
      <c r="U961" s="492"/>
      <c r="V961" s="254"/>
      <c r="W961" s="492"/>
      <c r="X961" s="254"/>
      <c r="Y961" s="9"/>
      <c r="Z961" s="9"/>
      <c r="AA961" s="9"/>
      <c r="AB961" s="9"/>
      <c r="AC961" s="9"/>
      <c r="AD961" s="9"/>
      <c r="AE961" s="9"/>
      <c r="AF961" s="9"/>
      <c r="AG961" s="9"/>
      <c r="AH961" s="9"/>
      <c r="AI961" s="9"/>
      <c r="AJ961" s="9"/>
      <c r="AK961" s="9"/>
      <c r="AL961" s="9"/>
      <c r="AM961" s="9"/>
      <c r="AN961" s="9"/>
      <c r="AO961" s="9"/>
      <c r="AP961" s="9"/>
      <c r="AQ961" s="9"/>
      <c r="AR961" s="9"/>
      <c r="AS961" s="9"/>
      <c r="AT961" s="9"/>
    </row>
    <row r="962">
      <c r="A962" s="492"/>
      <c r="B962" s="254"/>
      <c r="C962" s="492"/>
      <c r="D962" s="254"/>
      <c r="E962" s="492"/>
      <c r="F962" s="254"/>
      <c r="G962" s="492"/>
      <c r="H962" s="254"/>
      <c r="I962" s="500"/>
      <c r="J962" s="181"/>
      <c r="K962" s="500"/>
      <c r="L962" s="181"/>
      <c r="M962" s="492"/>
      <c r="N962" s="254"/>
      <c r="O962" s="492"/>
      <c r="P962" s="254"/>
      <c r="Q962" s="492"/>
      <c r="R962" s="254"/>
      <c r="S962" s="528"/>
      <c r="T962" s="528"/>
      <c r="U962" s="492"/>
      <c r="V962" s="254"/>
      <c r="W962" s="492"/>
      <c r="X962" s="254"/>
      <c r="Y962" s="9"/>
      <c r="Z962" s="9"/>
      <c r="AA962" s="9"/>
      <c r="AB962" s="9"/>
      <c r="AC962" s="9"/>
      <c r="AD962" s="9"/>
      <c r="AE962" s="9"/>
      <c r="AF962" s="9"/>
      <c r="AG962" s="9"/>
      <c r="AH962" s="9"/>
      <c r="AI962" s="9"/>
      <c r="AJ962" s="9"/>
      <c r="AK962" s="9"/>
      <c r="AL962" s="9"/>
      <c r="AM962" s="9"/>
      <c r="AN962" s="9"/>
      <c r="AO962" s="9"/>
      <c r="AP962" s="9"/>
      <c r="AQ962" s="9"/>
      <c r="AR962" s="9"/>
      <c r="AS962" s="9"/>
      <c r="AT962" s="9"/>
    </row>
    <row r="963">
      <c r="A963" s="492"/>
      <c r="B963" s="254"/>
      <c r="C963" s="492"/>
      <c r="D963" s="254"/>
      <c r="E963" s="492"/>
      <c r="F963" s="254"/>
      <c r="G963" s="492"/>
      <c r="H963" s="254"/>
      <c r="I963" s="500"/>
      <c r="J963" s="181"/>
      <c r="K963" s="500"/>
      <c r="L963" s="181"/>
      <c r="M963" s="492"/>
      <c r="N963" s="254"/>
      <c r="O963" s="492"/>
      <c r="P963" s="254"/>
      <c r="Q963" s="492"/>
      <c r="R963" s="254"/>
      <c r="S963" s="528"/>
      <c r="T963" s="528"/>
      <c r="U963" s="492"/>
      <c r="V963" s="254"/>
      <c r="W963" s="492"/>
      <c r="X963" s="254"/>
      <c r="Y963" s="9"/>
      <c r="Z963" s="9"/>
      <c r="AA963" s="9"/>
      <c r="AB963" s="9"/>
      <c r="AC963" s="9"/>
      <c r="AD963" s="9"/>
      <c r="AE963" s="9"/>
      <c r="AF963" s="9"/>
      <c r="AG963" s="9"/>
      <c r="AH963" s="9"/>
      <c r="AI963" s="9"/>
      <c r="AJ963" s="9"/>
      <c r="AK963" s="9"/>
      <c r="AL963" s="9"/>
      <c r="AM963" s="9"/>
      <c r="AN963" s="9"/>
      <c r="AO963" s="9"/>
      <c r="AP963" s="9"/>
      <c r="AQ963" s="9"/>
      <c r="AR963" s="9"/>
      <c r="AS963" s="9"/>
      <c r="AT963" s="9"/>
    </row>
    <row r="964">
      <c r="A964" s="492"/>
      <c r="B964" s="254"/>
      <c r="C964" s="492"/>
      <c r="D964" s="254"/>
      <c r="E964" s="492"/>
      <c r="F964" s="254"/>
      <c r="G964" s="492"/>
      <c r="H964" s="254"/>
      <c r="I964" s="500"/>
      <c r="J964" s="181"/>
      <c r="K964" s="500"/>
      <c r="L964" s="181"/>
      <c r="M964" s="492"/>
      <c r="N964" s="254"/>
      <c r="O964" s="492"/>
      <c r="P964" s="254"/>
      <c r="Q964" s="492"/>
      <c r="R964" s="254"/>
      <c r="S964" s="528"/>
      <c r="T964" s="528"/>
      <c r="U964" s="492"/>
      <c r="V964" s="254"/>
      <c r="W964" s="492"/>
      <c r="X964" s="254"/>
      <c r="Y964" s="9"/>
      <c r="Z964" s="9"/>
      <c r="AA964" s="9"/>
      <c r="AB964" s="9"/>
      <c r="AC964" s="9"/>
      <c r="AD964" s="9"/>
      <c r="AE964" s="9"/>
      <c r="AF964" s="9"/>
      <c r="AG964" s="9"/>
      <c r="AH964" s="9"/>
      <c r="AI964" s="9"/>
      <c r="AJ964" s="9"/>
      <c r="AK964" s="9"/>
      <c r="AL964" s="9"/>
      <c r="AM964" s="9"/>
      <c r="AN964" s="9"/>
      <c r="AO964" s="9"/>
      <c r="AP964" s="9"/>
      <c r="AQ964" s="9"/>
      <c r="AR964" s="9"/>
      <c r="AS964" s="9"/>
      <c r="AT964" s="9"/>
    </row>
    <row r="965">
      <c r="A965" s="492"/>
      <c r="B965" s="254"/>
      <c r="C965" s="492"/>
      <c r="D965" s="254"/>
      <c r="E965" s="492"/>
      <c r="F965" s="254"/>
      <c r="G965" s="492"/>
      <c r="H965" s="254"/>
      <c r="I965" s="500"/>
      <c r="J965" s="181"/>
      <c r="K965" s="500"/>
      <c r="L965" s="181"/>
      <c r="M965" s="492"/>
      <c r="N965" s="254"/>
      <c r="O965" s="492"/>
      <c r="P965" s="254"/>
      <c r="Q965" s="492"/>
      <c r="R965" s="254"/>
      <c r="S965" s="528"/>
      <c r="T965" s="528"/>
      <c r="U965" s="492"/>
      <c r="V965" s="254"/>
      <c r="W965" s="492"/>
      <c r="X965" s="254"/>
      <c r="Y965" s="9"/>
      <c r="Z965" s="9"/>
      <c r="AA965" s="9"/>
      <c r="AB965" s="9"/>
      <c r="AC965" s="9"/>
      <c r="AD965" s="9"/>
      <c r="AE965" s="9"/>
      <c r="AF965" s="9"/>
      <c r="AG965" s="9"/>
      <c r="AH965" s="9"/>
      <c r="AI965" s="9"/>
      <c r="AJ965" s="9"/>
      <c r="AK965" s="9"/>
      <c r="AL965" s="9"/>
      <c r="AM965" s="9"/>
      <c r="AN965" s="9"/>
      <c r="AO965" s="9"/>
      <c r="AP965" s="9"/>
      <c r="AQ965" s="9"/>
      <c r="AR965" s="9"/>
      <c r="AS965" s="9"/>
      <c r="AT965" s="9"/>
    </row>
    <row r="966">
      <c r="A966" s="492"/>
      <c r="B966" s="254"/>
      <c r="C966" s="492"/>
      <c r="D966" s="254"/>
      <c r="E966" s="492"/>
      <c r="F966" s="254"/>
      <c r="G966" s="492"/>
      <c r="H966" s="254"/>
      <c r="I966" s="500"/>
      <c r="J966" s="181"/>
      <c r="K966" s="500"/>
      <c r="L966" s="181"/>
      <c r="M966" s="492"/>
      <c r="N966" s="254"/>
      <c r="O966" s="492"/>
      <c r="P966" s="254"/>
      <c r="Q966" s="492"/>
      <c r="R966" s="254"/>
      <c r="S966" s="528"/>
      <c r="T966" s="528"/>
      <c r="U966" s="492"/>
      <c r="V966" s="254"/>
      <c r="W966" s="492"/>
      <c r="X966" s="254"/>
      <c r="Y966" s="9"/>
      <c r="Z966" s="9"/>
      <c r="AA966" s="9"/>
      <c r="AB966" s="9"/>
      <c r="AC966" s="9"/>
      <c r="AD966" s="9"/>
      <c r="AE966" s="9"/>
      <c r="AF966" s="9"/>
      <c r="AG966" s="9"/>
      <c r="AH966" s="9"/>
      <c r="AI966" s="9"/>
      <c r="AJ966" s="9"/>
      <c r="AK966" s="9"/>
      <c r="AL966" s="9"/>
      <c r="AM966" s="9"/>
      <c r="AN966" s="9"/>
      <c r="AO966" s="9"/>
      <c r="AP966" s="9"/>
      <c r="AQ966" s="9"/>
      <c r="AR966" s="9"/>
      <c r="AS966" s="9"/>
      <c r="AT966" s="9"/>
    </row>
    <row r="967">
      <c r="A967" s="492"/>
      <c r="B967" s="254"/>
      <c r="C967" s="492"/>
      <c r="D967" s="254"/>
      <c r="E967" s="492"/>
      <c r="F967" s="254"/>
      <c r="G967" s="492"/>
      <c r="H967" s="254"/>
      <c r="I967" s="500"/>
      <c r="J967" s="181"/>
      <c r="K967" s="500"/>
      <c r="L967" s="181"/>
      <c r="M967" s="492"/>
      <c r="N967" s="254"/>
      <c r="O967" s="492"/>
      <c r="P967" s="254"/>
      <c r="Q967" s="492"/>
      <c r="R967" s="254"/>
      <c r="S967" s="528"/>
      <c r="T967" s="528"/>
      <c r="U967" s="492"/>
      <c r="V967" s="254"/>
      <c r="W967" s="492"/>
      <c r="X967" s="254"/>
      <c r="Y967" s="9"/>
      <c r="Z967" s="9"/>
      <c r="AA967" s="9"/>
      <c r="AB967" s="9"/>
      <c r="AC967" s="9"/>
      <c r="AD967" s="9"/>
      <c r="AE967" s="9"/>
      <c r="AF967" s="9"/>
      <c r="AG967" s="9"/>
      <c r="AH967" s="9"/>
      <c r="AI967" s="9"/>
      <c r="AJ967" s="9"/>
      <c r="AK967" s="9"/>
      <c r="AL967" s="9"/>
      <c r="AM967" s="9"/>
      <c r="AN967" s="9"/>
      <c r="AO967" s="9"/>
      <c r="AP967" s="9"/>
      <c r="AQ967" s="9"/>
      <c r="AR967" s="9"/>
      <c r="AS967" s="9"/>
      <c r="AT967" s="9"/>
    </row>
    <row r="968">
      <c r="A968" s="492"/>
      <c r="B968" s="254"/>
      <c r="C968" s="492"/>
      <c r="D968" s="254"/>
      <c r="E968" s="492"/>
      <c r="F968" s="254"/>
      <c r="G968" s="492"/>
      <c r="H968" s="254"/>
      <c r="I968" s="500"/>
      <c r="J968" s="181"/>
      <c r="K968" s="500"/>
      <c r="L968" s="181"/>
      <c r="M968" s="492"/>
      <c r="N968" s="254"/>
      <c r="O968" s="492"/>
      <c r="P968" s="254"/>
      <c r="Q968" s="492"/>
      <c r="R968" s="254"/>
      <c r="S968" s="528"/>
      <c r="T968" s="528"/>
      <c r="U968" s="492"/>
      <c r="V968" s="254"/>
      <c r="W968" s="492"/>
      <c r="X968" s="254"/>
      <c r="Y968" s="9"/>
      <c r="Z968" s="9"/>
      <c r="AA968" s="9"/>
      <c r="AB968" s="9"/>
      <c r="AC968" s="9"/>
      <c r="AD968" s="9"/>
      <c r="AE968" s="9"/>
      <c r="AF968" s="9"/>
      <c r="AG968" s="9"/>
      <c r="AH968" s="9"/>
      <c r="AI968" s="9"/>
      <c r="AJ968" s="9"/>
      <c r="AK968" s="9"/>
      <c r="AL968" s="9"/>
      <c r="AM968" s="9"/>
      <c r="AN968" s="9"/>
      <c r="AO968" s="9"/>
      <c r="AP968" s="9"/>
      <c r="AQ968" s="9"/>
      <c r="AR968" s="9"/>
      <c r="AS968" s="9"/>
      <c r="AT968" s="9"/>
    </row>
    <row r="969">
      <c r="A969" s="492"/>
      <c r="B969" s="254"/>
      <c r="C969" s="492"/>
      <c r="D969" s="254"/>
      <c r="E969" s="492"/>
      <c r="F969" s="254"/>
      <c r="G969" s="492"/>
      <c r="H969" s="254"/>
      <c r="I969" s="500"/>
      <c r="J969" s="181"/>
      <c r="K969" s="500"/>
      <c r="L969" s="181"/>
      <c r="M969" s="492"/>
      <c r="N969" s="254"/>
      <c r="O969" s="492"/>
      <c r="P969" s="254"/>
      <c r="Q969" s="492"/>
      <c r="R969" s="254"/>
      <c r="S969" s="528"/>
      <c r="T969" s="528"/>
      <c r="U969" s="492"/>
      <c r="V969" s="254"/>
      <c r="W969" s="492"/>
      <c r="X969" s="254"/>
      <c r="Y969" s="9"/>
      <c r="Z969" s="9"/>
      <c r="AA969" s="9"/>
      <c r="AB969" s="9"/>
      <c r="AC969" s="9"/>
      <c r="AD969" s="9"/>
      <c r="AE969" s="9"/>
      <c r="AF969" s="9"/>
      <c r="AG969" s="9"/>
      <c r="AH969" s="9"/>
      <c r="AI969" s="9"/>
      <c r="AJ969" s="9"/>
      <c r="AK969" s="9"/>
      <c r="AL969" s="9"/>
      <c r="AM969" s="9"/>
      <c r="AN969" s="9"/>
      <c r="AO969" s="9"/>
      <c r="AP969" s="9"/>
      <c r="AQ969" s="9"/>
      <c r="AR969" s="9"/>
      <c r="AS969" s="9"/>
      <c r="AT969" s="9"/>
    </row>
    <row r="970">
      <c r="A970" s="492"/>
      <c r="B970" s="254"/>
      <c r="C970" s="492"/>
      <c r="D970" s="254"/>
      <c r="E970" s="492"/>
      <c r="F970" s="254"/>
      <c r="G970" s="492"/>
      <c r="H970" s="254"/>
      <c r="I970" s="500"/>
      <c r="J970" s="181"/>
      <c r="K970" s="500"/>
      <c r="L970" s="181"/>
      <c r="M970" s="492"/>
      <c r="N970" s="254"/>
      <c r="O970" s="492"/>
      <c r="P970" s="254"/>
      <c r="Q970" s="492"/>
      <c r="R970" s="254"/>
      <c r="S970" s="528"/>
      <c r="T970" s="528"/>
      <c r="U970" s="492"/>
      <c r="V970" s="254"/>
      <c r="W970" s="492"/>
      <c r="X970" s="254"/>
      <c r="Y970" s="9"/>
      <c r="Z970" s="9"/>
      <c r="AA970" s="9"/>
      <c r="AB970" s="9"/>
      <c r="AC970" s="9"/>
      <c r="AD970" s="9"/>
      <c r="AE970" s="9"/>
      <c r="AF970" s="9"/>
      <c r="AG970" s="9"/>
      <c r="AH970" s="9"/>
      <c r="AI970" s="9"/>
      <c r="AJ970" s="9"/>
      <c r="AK970" s="9"/>
      <c r="AL970" s="9"/>
      <c r="AM970" s="9"/>
      <c r="AN970" s="9"/>
      <c r="AO970" s="9"/>
      <c r="AP970" s="9"/>
      <c r="AQ970" s="9"/>
      <c r="AR970" s="9"/>
      <c r="AS970" s="9"/>
      <c r="AT970" s="9"/>
    </row>
    <row r="971">
      <c r="A971" s="492"/>
      <c r="B971" s="254"/>
      <c r="C971" s="492"/>
      <c r="D971" s="254"/>
      <c r="E971" s="492"/>
      <c r="F971" s="254"/>
      <c r="G971" s="492"/>
      <c r="H971" s="254"/>
      <c r="I971" s="500"/>
      <c r="J971" s="181"/>
      <c r="K971" s="500"/>
      <c r="L971" s="181"/>
      <c r="M971" s="492"/>
      <c r="N971" s="254"/>
      <c r="O971" s="492"/>
      <c r="P971" s="254"/>
      <c r="Q971" s="492"/>
      <c r="R971" s="254"/>
      <c r="S971" s="528"/>
      <c r="T971" s="528"/>
      <c r="U971" s="492"/>
      <c r="V971" s="254"/>
      <c r="W971" s="492"/>
      <c r="X971" s="254"/>
      <c r="Y971" s="9"/>
      <c r="Z971" s="9"/>
      <c r="AA971" s="9"/>
      <c r="AB971" s="9"/>
      <c r="AC971" s="9"/>
      <c r="AD971" s="9"/>
      <c r="AE971" s="9"/>
      <c r="AF971" s="9"/>
      <c r="AG971" s="9"/>
      <c r="AH971" s="9"/>
      <c r="AI971" s="9"/>
      <c r="AJ971" s="9"/>
      <c r="AK971" s="9"/>
      <c r="AL971" s="9"/>
      <c r="AM971" s="9"/>
      <c r="AN971" s="9"/>
      <c r="AO971" s="9"/>
      <c r="AP971" s="9"/>
      <c r="AQ971" s="9"/>
      <c r="AR971" s="9"/>
      <c r="AS971" s="9"/>
      <c r="AT971" s="9"/>
    </row>
    <row r="972">
      <c r="A972" s="492"/>
      <c r="B972" s="254"/>
      <c r="C972" s="492"/>
      <c r="D972" s="254"/>
      <c r="E972" s="492"/>
      <c r="F972" s="254"/>
      <c r="G972" s="492"/>
      <c r="H972" s="254"/>
      <c r="I972" s="500"/>
      <c r="J972" s="181"/>
      <c r="K972" s="500"/>
      <c r="L972" s="181"/>
      <c r="M972" s="492"/>
      <c r="N972" s="254"/>
      <c r="O972" s="492"/>
      <c r="P972" s="254"/>
      <c r="Q972" s="492"/>
      <c r="R972" s="254"/>
      <c r="S972" s="528"/>
      <c r="T972" s="528"/>
      <c r="U972" s="492"/>
      <c r="V972" s="254"/>
      <c r="W972" s="492"/>
      <c r="X972" s="254"/>
      <c r="Y972" s="9"/>
      <c r="Z972" s="9"/>
      <c r="AA972" s="9"/>
      <c r="AB972" s="9"/>
      <c r="AC972" s="9"/>
      <c r="AD972" s="9"/>
      <c r="AE972" s="9"/>
      <c r="AF972" s="9"/>
      <c r="AG972" s="9"/>
      <c r="AH972" s="9"/>
      <c r="AI972" s="9"/>
      <c r="AJ972" s="9"/>
      <c r="AK972" s="9"/>
      <c r="AL972" s="9"/>
      <c r="AM972" s="9"/>
      <c r="AN972" s="9"/>
      <c r="AO972" s="9"/>
      <c r="AP972" s="9"/>
      <c r="AQ972" s="9"/>
      <c r="AR972" s="9"/>
      <c r="AS972" s="9"/>
      <c r="AT972" s="9"/>
    </row>
    <row r="973">
      <c r="A973" s="492"/>
      <c r="B973" s="254"/>
      <c r="C973" s="492"/>
      <c r="D973" s="254"/>
      <c r="E973" s="492"/>
      <c r="F973" s="254"/>
      <c r="G973" s="492"/>
      <c r="H973" s="254"/>
      <c r="I973" s="500"/>
      <c r="J973" s="181"/>
      <c r="K973" s="500"/>
      <c r="L973" s="181"/>
      <c r="M973" s="492"/>
      <c r="N973" s="254"/>
      <c r="O973" s="492"/>
      <c r="P973" s="254"/>
      <c r="Q973" s="492"/>
      <c r="R973" s="254"/>
      <c r="S973" s="528"/>
      <c r="T973" s="528"/>
      <c r="U973" s="492"/>
      <c r="V973" s="254"/>
      <c r="W973" s="492"/>
      <c r="X973" s="254"/>
      <c r="Y973" s="9"/>
      <c r="Z973" s="9"/>
      <c r="AA973" s="9"/>
      <c r="AB973" s="9"/>
      <c r="AC973" s="9"/>
      <c r="AD973" s="9"/>
      <c r="AE973" s="9"/>
      <c r="AF973" s="9"/>
      <c r="AG973" s="9"/>
      <c r="AH973" s="9"/>
      <c r="AI973" s="9"/>
      <c r="AJ973" s="9"/>
      <c r="AK973" s="9"/>
      <c r="AL973" s="9"/>
      <c r="AM973" s="9"/>
      <c r="AN973" s="9"/>
      <c r="AO973" s="9"/>
      <c r="AP973" s="9"/>
      <c r="AQ973" s="9"/>
      <c r="AR973" s="9"/>
      <c r="AS973" s="9"/>
      <c r="AT973" s="9"/>
    </row>
    <row r="974">
      <c r="A974" s="492"/>
      <c r="B974" s="254"/>
      <c r="C974" s="492"/>
      <c r="D974" s="254"/>
      <c r="E974" s="492"/>
      <c r="F974" s="254"/>
      <c r="G974" s="492"/>
      <c r="H974" s="254"/>
      <c r="I974" s="500"/>
      <c r="J974" s="181"/>
      <c r="K974" s="500"/>
      <c r="L974" s="181"/>
      <c r="M974" s="492"/>
      <c r="N974" s="254"/>
      <c r="O974" s="492"/>
      <c r="P974" s="254"/>
      <c r="Q974" s="492"/>
      <c r="R974" s="254"/>
      <c r="S974" s="528"/>
      <c r="T974" s="528"/>
      <c r="U974" s="492"/>
      <c r="V974" s="254"/>
      <c r="W974" s="492"/>
      <c r="X974" s="254"/>
      <c r="Y974" s="9"/>
      <c r="Z974" s="9"/>
      <c r="AA974" s="9"/>
      <c r="AB974" s="9"/>
      <c r="AC974" s="9"/>
      <c r="AD974" s="9"/>
      <c r="AE974" s="9"/>
      <c r="AF974" s="9"/>
      <c r="AG974" s="9"/>
      <c r="AH974" s="9"/>
      <c r="AI974" s="9"/>
      <c r="AJ974" s="9"/>
      <c r="AK974" s="9"/>
      <c r="AL974" s="9"/>
      <c r="AM974" s="9"/>
      <c r="AN974" s="9"/>
      <c r="AO974" s="9"/>
      <c r="AP974" s="9"/>
      <c r="AQ974" s="9"/>
      <c r="AR974" s="9"/>
      <c r="AS974" s="9"/>
      <c r="AT974" s="9"/>
    </row>
    <row r="975">
      <c r="A975" s="492"/>
      <c r="B975" s="254"/>
      <c r="C975" s="492"/>
      <c r="D975" s="254"/>
      <c r="E975" s="492"/>
      <c r="F975" s="254"/>
      <c r="G975" s="492"/>
      <c r="H975" s="254"/>
      <c r="I975" s="500"/>
      <c r="J975" s="181"/>
      <c r="K975" s="500"/>
      <c r="L975" s="181"/>
      <c r="M975" s="492"/>
      <c r="N975" s="254"/>
      <c r="O975" s="492"/>
      <c r="P975" s="254"/>
      <c r="Q975" s="492"/>
      <c r="R975" s="254"/>
      <c r="S975" s="528"/>
      <c r="T975" s="528"/>
      <c r="U975" s="492"/>
      <c r="V975" s="254"/>
      <c r="W975" s="492"/>
      <c r="X975" s="254"/>
      <c r="Y975" s="9"/>
      <c r="Z975" s="9"/>
      <c r="AA975" s="9"/>
      <c r="AB975" s="9"/>
      <c r="AC975" s="9"/>
      <c r="AD975" s="9"/>
      <c r="AE975" s="9"/>
      <c r="AF975" s="9"/>
      <c r="AG975" s="9"/>
      <c r="AH975" s="9"/>
      <c r="AI975" s="9"/>
      <c r="AJ975" s="9"/>
      <c r="AK975" s="9"/>
      <c r="AL975" s="9"/>
      <c r="AM975" s="9"/>
      <c r="AN975" s="9"/>
      <c r="AO975" s="9"/>
      <c r="AP975" s="9"/>
      <c r="AQ975" s="9"/>
      <c r="AR975" s="9"/>
      <c r="AS975" s="9"/>
      <c r="AT975" s="9"/>
    </row>
    <row r="976">
      <c r="A976" s="492"/>
      <c r="B976" s="254"/>
      <c r="C976" s="492"/>
      <c r="D976" s="254"/>
      <c r="E976" s="492"/>
      <c r="F976" s="254"/>
      <c r="G976" s="492"/>
      <c r="H976" s="254"/>
      <c r="I976" s="500"/>
      <c r="J976" s="181"/>
      <c r="K976" s="500"/>
      <c r="L976" s="181"/>
      <c r="M976" s="492"/>
      <c r="N976" s="254"/>
      <c r="O976" s="492"/>
      <c r="P976" s="254"/>
      <c r="Q976" s="492"/>
      <c r="R976" s="254"/>
      <c r="S976" s="528"/>
      <c r="T976" s="528"/>
      <c r="U976" s="492"/>
      <c r="V976" s="254"/>
      <c r="W976" s="492"/>
      <c r="X976" s="254"/>
      <c r="Y976" s="9"/>
      <c r="Z976" s="9"/>
      <c r="AA976" s="9"/>
      <c r="AB976" s="9"/>
      <c r="AC976" s="9"/>
      <c r="AD976" s="9"/>
      <c r="AE976" s="9"/>
      <c r="AF976" s="9"/>
      <c r="AG976" s="9"/>
      <c r="AH976" s="9"/>
      <c r="AI976" s="9"/>
      <c r="AJ976" s="9"/>
      <c r="AK976" s="9"/>
      <c r="AL976" s="9"/>
      <c r="AM976" s="9"/>
      <c r="AN976" s="9"/>
      <c r="AO976" s="9"/>
      <c r="AP976" s="9"/>
      <c r="AQ976" s="9"/>
      <c r="AR976" s="9"/>
      <c r="AS976" s="9"/>
      <c r="AT976" s="9"/>
    </row>
    <row r="977">
      <c r="A977" s="492"/>
      <c r="B977" s="254"/>
      <c r="C977" s="492"/>
      <c r="D977" s="254"/>
      <c r="E977" s="492"/>
      <c r="F977" s="254"/>
      <c r="G977" s="492"/>
      <c r="H977" s="254"/>
      <c r="I977" s="500"/>
      <c r="J977" s="181"/>
      <c r="K977" s="500"/>
      <c r="L977" s="181"/>
      <c r="M977" s="492"/>
      <c r="N977" s="254"/>
      <c r="O977" s="492"/>
      <c r="P977" s="254"/>
      <c r="Q977" s="492"/>
      <c r="R977" s="254"/>
      <c r="S977" s="528"/>
      <c r="T977" s="528"/>
      <c r="U977" s="492"/>
      <c r="V977" s="254"/>
      <c r="W977" s="492"/>
      <c r="X977" s="254"/>
      <c r="Y977" s="9"/>
      <c r="Z977" s="9"/>
      <c r="AA977" s="9"/>
      <c r="AB977" s="9"/>
      <c r="AC977" s="9"/>
      <c r="AD977" s="9"/>
      <c r="AE977" s="9"/>
      <c r="AF977" s="9"/>
      <c r="AG977" s="9"/>
      <c r="AH977" s="9"/>
      <c r="AI977" s="9"/>
      <c r="AJ977" s="9"/>
      <c r="AK977" s="9"/>
      <c r="AL977" s="9"/>
      <c r="AM977" s="9"/>
      <c r="AN977" s="9"/>
      <c r="AO977" s="9"/>
      <c r="AP977" s="9"/>
      <c r="AQ977" s="9"/>
      <c r="AR977" s="9"/>
      <c r="AS977" s="9"/>
      <c r="AT977" s="9"/>
    </row>
    <row r="978">
      <c r="A978" s="492"/>
      <c r="B978" s="254"/>
      <c r="C978" s="492"/>
      <c r="D978" s="254"/>
      <c r="E978" s="492"/>
      <c r="F978" s="254"/>
      <c r="G978" s="492"/>
      <c r="H978" s="254"/>
      <c r="I978" s="500"/>
      <c r="J978" s="181"/>
      <c r="K978" s="500"/>
      <c r="L978" s="181"/>
      <c r="M978" s="492"/>
      <c r="N978" s="254"/>
      <c r="O978" s="492"/>
      <c r="P978" s="254"/>
      <c r="Q978" s="492"/>
      <c r="R978" s="254"/>
      <c r="S978" s="528"/>
      <c r="T978" s="528"/>
      <c r="U978" s="492"/>
      <c r="V978" s="254"/>
      <c r="W978" s="492"/>
      <c r="X978" s="254"/>
      <c r="Y978" s="9"/>
      <c r="Z978" s="9"/>
      <c r="AA978" s="9"/>
      <c r="AB978" s="9"/>
      <c r="AC978" s="9"/>
      <c r="AD978" s="9"/>
      <c r="AE978" s="9"/>
      <c r="AF978" s="9"/>
      <c r="AG978" s="9"/>
      <c r="AH978" s="9"/>
      <c r="AI978" s="9"/>
      <c r="AJ978" s="9"/>
      <c r="AK978" s="9"/>
      <c r="AL978" s="9"/>
      <c r="AM978" s="9"/>
      <c r="AN978" s="9"/>
      <c r="AO978" s="9"/>
      <c r="AP978" s="9"/>
      <c r="AQ978" s="9"/>
      <c r="AR978" s="9"/>
      <c r="AS978" s="9"/>
      <c r="AT978" s="9"/>
    </row>
    <row r="979">
      <c r="A979" s="492"/>
      <c r="B979" s="254"/>
      <c r="C979" s="492"/>
      <c r="D979" s="254"/>
      <c r="E979" s="492"/>
      <c r="F979" s="254"/>
      <c r="G979" s="492"/>
      <c r="H979" s="254"/>
      <c r="I979" s="500"/>
      <c r="J979" s="181"/>
      <c r="K979" s="500"/>
      <c r="L979" s="181"/>
      <c r="M979" s="492"/>
      <c r="N979" s="254"/>
      <c r="O979" s="492"/>
      <c r="P979" s="254"/>
      <c r="Q979" s="492"/>
      <c r="R979" s="254"/>
      <c r="S979" s="528"/>
      <c r="T979" s="528"/>
      <c r="U979" s="492"/>
      <c r="V979" s="254"/>
      <c r="W979" s="492"/>
      <c r="X979" s="254"/>
      <c r="Y979" s="9"/>
      <c r="Z979" s="9"/>
      <c r="AA979" s="9"/>
      <c r="AB979" s="9"/>
      <c r="AC979" s="9"/>
      <c r="AD979" s="9"/>
      <c r="AE979" s="9"/>
      <c r="AF979" s="9"/>
      <c r="AG979" s="9"/>
      <c r="AH979" s="9"/>
      <c r="AI979" s="9"/>
      <c r="AJ979" s="9"/>
      <c r="AK979" s="9"/>
      <c r="AL979" s="9"/>
      <c r="AM979" s="9"/>
      <c r="AN979" s="9"/>
      <c r="AO979" s="9"/>
      <c r="AP979" s="9"/>
      <c r="AQ979" s="9"/>
      <c r="AR979" s="9"/>
      <c r="AS979" s="9"/>
      <c r="AT979" s="9"/>
    </row>
    <row r="980">
      <c r="A980" s="492"/>
      <c r="B980" s="254"/>
      <c r="C980" s="492"/>
      <c r="D980" s="254"/>
      <c r="E980" s="492"/>
      <c r="F980" s="254"/>
      <c r="G980" s="492"/>
      <c r="H980" s="254"/>
      <c r="I980" s="500"/>
      <c r="J980" s="181"/>
      <c r="K980" s="500"/>
      <c r="L980" s="181"/>
      <c r="M980" s="492"/>
      <c r="N980" s="254"/>
      <c r="O980" s="492"/>
      <c r="P980" s="254"/>
      <c r="Q980" s="492"/>
      <c r="R980" s="254"/>
      <c r="S980" s="528"/>
      <c r="T980" s="528"/>
      <c r="U980" s="492"/>
      <c r="V980" s="254"/>
      <c r="W980" s="492"/>
      <c r="X980" s="254"/>
      <c r="Y980" s="9"/>
      <c r="Z980" s="9"/>
      <c r="AA980" s="9"/>
      <c r="AB980" s="9"/>
      <c r="AC980" s="9"/>
      <c r="AD980" s="9"/>
      <c r="AE980" s="9"/>
      <c r="AF980" s="9"/>
      <c r="AG980" s="9"/>
      <c r="AH980" s="9"/>
      <c r="AI980" s="9"/>
      <c r="AJ980" s="9"/>
      <c r="AK980" s="9"/>
      <c r="AL980" s="9"/>
      <c r="AM980" s="9"/>
      <c r="AN980" s="9"/>
      <c r="AO980" s="9"/>
      <c r="AP980" s="9"/>
      <c r="AQ980" s="9"/>
      <c r="AR980" s="9"/>
      <c r="AS980" s="9"/>
      <c r="AT980" s="9"/>
    </row>
    <row r="981">
      <c r="A981" s="492"/>
      <c r="B981" s="254"/>
      <c r="C981" s="492"/>
      <c r="D981" s="254"/>
      <c r="E981" s="492"/>
      <c r="F981" s="254"/>
      <c r="G981" s="492"/>
      <c r="H981" s="254"/>
      <c r="I981" s="500"/>
      <c r="J981" s="181"/>
      <c r="K981" s="500"/>
      <c r="L981" s="181"/>
      <c r="M981" s="492"/>
      <c r="N981" s="254"/>
      <c r="O981" s="492"/>
      <c r="P981" s="254"/>
      <c r="Q981" s="492"/>
      <c r="R981" s="254"/>
      <c r="S981" s="528"/>
      <c r="T981" s="528"/>
      <c r="U981" s="492"/>
      <c r="V981" s="254"/>
      <c r="W981" s="492"/>
      <c r="X981" s="254"/>
      <c r="Y981" s="9"/>
      <c r="Z981" s="9"/>
      <c r="AA981" s="9"/>
      <c r="AB981" s="9"/>
      <c r="AC981" s="9"/>
      <c r="AD981" s="9"/>
      <c r="AE981" s="9"/>
      <c r="AF981" s="9"/>
      <c r="AG981" s="9"/>
      <c r="AH981" s="9"/>
      <c r="AI981" s="9"/>
      <c r="AJ981" s="9"/>
      <c r="AK981" s="9"/>
      <c r="AL981" s="9"/>
      <c r="AM981" s="9"/>
      <c r="AN981" s="9"/>
      <c r="AO981" s="9"/>
      <c r="AP981" s="9"/>
      <c r="AQ981" s="9"/>
      <c r="AR981" s="9"/>
      <c r="AS981" s="9"/>
      <c r="AT981" s="9"/>
    </row>
    <row r="982">
      <c r="A982" s="492"/>
      <c r="B982" s="254"/>
      <c r="C982" s="492"/>
      <c r="D982" s="254"/>
      <c r="E982" s="492"/>
      <c r="F982" s="254"/>
      <c r="G982" s="492"/>
      <c r="H982" s="254"/>
      <c r="I982" s="500"/>
      <c r="J982" s="181"/>
      <c r="K982" s="500"/>
      <c r="L982" s="181"/>
      <c r="M982" s="492"/>
      <c r="N982" s="254"/>
      <c r="O982" s="492"/>
      <c r="P982" s="254"/>
      <c r="Q982" s="492"/>
      <c r="R982" s="254"/>
      <c r="S982" s="528"/>
      <c r="T982" s="528"/>
      <c r="U982" s="492"/>
      <c r="V982" s="254"/>
      <c r="W982" s="492"/>
      <c r="X982" s="254"/>
      <c r="Y982" s="9"/>
      <c r="Z982" s="9"/>
      <c r="AA982" s="9"/>
      <c r="AB982" s="9"/>
      <c r="AC982" s="9"/>
      <c r="AD982" s="9"/>
      <c r="AE982" s="9"/>
      <c r="AF982" s="9"/>
      <c r="AG982" s="9"/>
      <c r="AH982" s="9"/>
      <c r="AI982" s="9"/>
      <c r="AJ982" s="9"/>
      <c r="AK982" s="9"/>
      <c r="AL982" s="9"/>
      <c r="AM982" s="9"/>
      <c r="AN982" s="9"/>
      <c r="AO982" s="9"/>
      <c r="AP982" s="9"/>
      <c r="AQ982" s="9"/>
      <c r="AR982" s="9"/>
      <c r="AS982" s="9"/>
      <c r="AT982" s="9"/>
    </row>
    <row r="983">
      <c r="A983" s="492"/>
      <c r="B983" s="254"/>
      <c r="C983" s="492"/>
      <c r="D983" s="254"/>
      <c r="E983" s="492"/>
      <c r="F983" s="254"/>
      <c r="G983" s="492"/>
      <c r="H983" s="254"/>
      <c r="I983" s="500"/>
      <c r="J983" s="181"/>
      <c r="K983" s="500"/>
      <c r="L983" s="181"/>
      <c r="M983" s="492"/>
      <c r="N983" s="254"/>
      <c r="O983" s="492"/>
      <c r="P983" s="254"/>
      <c r="Q983" s="492"/>
      <c r="R983" s="254"/>
      <c r="S983" s="528"/>
      <c r="T983" s="528"/>
      <c r="U983" s="492"/>
      <c r="V983" s="254"/>
      <c r="W983" s="492"/>
      <c r="X983" s="254"/>
      <c r="Y983" s="9"/>
      <c r="Z983" s="9"/>
      <c r="AA983" s="9"/>
      <c r="AB983" s="9"/>
      <c r="AC983" s="9"/>
      <c r="AD983" s="9"/>
      <c r="AE983" s="9"/>
      <c r="AF983" s="9"/>
      <c r="AG983" s="9"/>
      <c r="AH983" s="9"/>
      <c r="AI983" s="9"/>
      <c r="AJ983" s="9"/>
      <c r="AK983" s="9"/>
      <c r="AL983" s="9"/>
      <c r="AM983" s="9"/>
      <c r="AN983" s="9"/>
      <c r="AO983" s="9"/>
      <c r="AP983" s="9"/>
      <c r="AQ983" s="9"/>
      <c r="AR983" s="9"/>
      <c r="AS983" s="9"/>
      <c r="AT983" s="9"/>
    </row>
    <row r="984">
      <c r="A984" s="492"/>
      <c r="B984" s="254"/>
      <c r="C984" s="492"/>
      <c r="D984" s="254"/>
      <c r="E984" s="492"/>
      <c r="F984" s="254"/>
      <c r="G984" s="492"/>
      <c r="H984" s="254"/>
      <c r="I984" s="500"/>
      <c r="J984" s="181"/>
      <c r="K984" s="500"/>
      <c r="L984" s="181"/>
      <c r="M984" s="492"/>
      <c r="N984" s="254"/>
      <c r="O984" s="492"/>
      <c r="P984" s="254"/>
      <c r="Q984" s="492"/>
      <c r="R984" s="254"/>
      <c r="S984" s="528"/>
      <c r="T984" s="528"/>
      <c r="U984" s="492"/>
      <c r="V984" s="254"/>
      <c r="W984" s="492"/>
      <c r="X984" s="254"/>
      <c r="Y984" s="9"/>
      <c r="Z984" s="9"/>
      <c r="AA984" s="9"/>
      <c r="AB984" s="9"/>
      <c r="AC984" s="9"/>
      <c r="AD984" s="9"/>
      <c r="AE984" s="9"/>
      <c r="AF984" s="9"/>
      <c r="AG984" s="9"/>
      <c r="AH984" s="9"/>
      <c r="AI984" s="9"/>
      <c r="AJ984" s="9"/>
      <c r="AK984" s="9"/>
      <c r="AL984" s="9"/>
      <c r="AM984" s="9"/>
      <c r="AN984" s="9"/>
      <c r="AO984" s="9"/>
      <c r="AP984" s="9"/>
      <c r="AQ984" s="9"/>
      <c r="AR984" s="9"/>
      <c r="AS984" s="9"/>
      <c r="AT984" s="9"/>
    </row>
    <row r="985">
      <c r="A985" s="492"/>
      <c r="B985" s="254"/>
      <c r="C985" s="492"/>
      <c r="D985" s="254"/>
      <c r="E985" s="492"/>
      <c r="F985" s="254"/>
      <c r="G985" s="492"/>
      <c r="H985" s="254"/>
      <c r="I985" s="500"/>
      <c r="J985" s="181"/>
      <c r="K985" s="500"/>
      <c r="L985" s="181"/>
      <c r="M985" s="492"/>
      <c r="N985" s="254"/>
      <c r="O985" s="492"/>
      <c r="P985" s="254"/>
      <c r="Q985" s="492"/>
      <c r="R985" s="254"/>
      <c r="S985" s="528"/>
      <c r="T985" s="528"/>
      <c r="U985" s="492"/>
      <c r="V985" s="254"/>
      <c r="W985" s="492"/>
      <c r="X985" s="254"/>
      <c r="Y985" s="9"/>
      <c r="Z985" s="9"/>
      <c r="AA985" s="9"/>
      <c r="AB985" s="9"/>
      <c r="AC985" s="9"/>
      <c r="AD985" s="9"/>
      <c r="AE985" s="9"/>
      <c r="AF985" s="9"/>
      <c r="AG985" s="9"/>
      <c r="AH985" s="9"/>
      <c r="AI985" s="9"/>
      <c r="AJ985" s="9"/>
      <c r="AK985" s="9"/>
      <c r="AL985" s="9"/>
      <c r="AM985" s="9"/>
      <c r="AN985" s="9"/>
      <c r="AO985" s="9"/>
      <c r="AP985" s="9"/>
      <c r="AQ985" s="9"/>
      <c r="AR985" s="9"/>
      <c r="AS985" s="9"/>
      <c r="AT985" s="9"/>
    </row>
    <row r="986">
      <c r="A986" s="492"/>
      <c r="B986" s="254"/>
      <c r="C986" s="492"/>
      <c r="D986" s="254"/>
      <c r="E986" s="492"/>
      <c r="F986" s="254"/>
      <c r="G986" s="492"/>
      <c r="H986" s="254"/>
      <c r="I986" s="500"/>
      <c r="J986" s="181"/>
      <c r="K986" s="500"/>
      <c r="L986" s="181"/>
      <c r="M986" s="492"/>
      <c r="N986" s="254"/>
      <c r="O986" s="492"/>
      <c r="P986" s="254"/>
      <c r="Q986" s="492"/>
      <c r="R986" s="254"/>
      <c r="S986" s="528"/>
      <c r="T986" s="528"/>
      <c r="U986" s="492"/>
      <c r="V986" s="254"/>
      <c r="W986" s="492"/>
      <c r="X986" s="254"/>
      <c r="Y986" s="9"/>
      <c r="Z986" s="9"/>
      <c r="AA986" s="9"/>
      <c r="AB986" s="9"/>
      <c r="AC986" s="9"/>
      <c r="AD986" s="9"/>
      <c r="AE986" s="9"/>
      <c r="AF986" s="9"/>
      <c r="AG986" s="9"/>
      <c r="AH986" s="9"/>
      <c r="AI986" s="9"/>
      <c r="AJ986" s="9"/>
      <c r="AK986" s="9"/>
      <c r="AL986" s="9"/>
      <c r="AM986" s="9"/>
      <c r="AN986" s="9"/>
      <c r="AO986" s="9"/>
      <c r="AP986" s="9"/>
      <c r="AQ986" s="9"/>
      <c r="AR986" s="9"/>
      <c r="AS986" s="9"/>
      <c r="AT986" s="9"/>
    </row>
    <row r="987">
      <c r="A987" s="492"/>
      <c r="B987" s="254"/>
      <c r="C987" s="492"/>
      <c r="D987" s="254"/>
      <c r="E987" s="492"/>
      <c r="F987" s="254"/>
      <c r="G987" s="492"/>
      <c r="H987" s="254"/>
      <c r="I987" s="500"/>
      <c r="J987" s="181"/>
      <c r="K987" s="500"/>
      <c r="L987" s="181"/>
      <c r="M987" s="492"/>
      <c r="N987" s="254"/>
      <c r="O987" s="492"/>
      <c r="P987" s="254"/>
      <c r="Q987" s="492"/>
      <c r="R987" s="254"/>
      <c r="S987" s="528"/>
      <c r="T987" s="528"/>
      <c r="U987" s="492"/>
      <c r="V987" s="254"/>
      <c r="W987" s="492"/>
      <c r="X987" s="254"/>
      <c r="Y987" s="9"/>
      <c r="Z987" s="9"/>
      <c r="AA987" s="9"/>
      <c r="AB987" s="9"/>
      <c r="AC987" s="9"/>
      <c r="AD987" s="9"/>
      <c r="AE987" s="9"/>
      <c r="AF987" s="9"/>
      <c r="AG987" s="9"/>
      <c r="AH987" s="9"/>
      <c r="AI987" s="9"/>
      <c r="AJ987" s="9"/>
      <c r="AK987" s="9"/>
      <c r="AL987" s="9"/>
      <c r="AM987" s="9"/>
      <c r="AN987" s="9"/>
      <c r="AO987" s="9"/>
      <c r="AP987" s="9"/>
      <c r="AQ987" s="9"/>
      <c r="AR987" s="9"/>
      <c r="AS987" s="9"/>
      <c r="AT987" s="9"/>
    </row>
    <row r="988">
      <c r="A988" s="492"/>
      <c r="B988" s="254"/>
      <c r="C988" s="492"/>
      <c r="D988" s="254"/>
      <c r="E988" s="492"/>
      <c r="F988" s="254"/>
      <c r="G988" s="492"/>
      <c r="H988" s="254"/>
      <c r="I988" s="500"/>
      <c r="J988" s="181"/>
      <c r="K988" s="500"/>
      <c r="L988" s="181"/>
      <c r="M988" s="492"/>
      <c r="N988" s="254"/>
      <c r="O988" s="492"/>
      <c r="P988" s="254"/>
      <c r="Q988" s="492"/>
      <c r="R988" s="254"/>
      <c r="S988" s="528"/>
      <c r="T988" s="528"/>
      <c r="U988" s="492"/>
      <c r="V988" s="254"/>
      <c r="W988" s="492"/>
      <c r="X988" s="254"/>
      <c r="Y988" s="9"/>
      <c r="Z988" s="9"/>
      <c r="AA988" s="9"/>
      <c r="AB988" s="9"/>
      <c r="AC988" s="9"/>
      <c r="AD988" s="9"/>
      <c r="AE988" s="9"/>
      <c r="AF988" s="9"/>
      <c r="AG988" s="9"/>
      <c r="AH988" s="9"/>
      <c r="AI988" s="9"/>
      <c r="AJ988" s="9"/>
      <c r="AK988" s="9"/>
      <c r="AL988" s="9"/>
      <c r="AM988" s="9"/>
      <c r="AN988" s="9"/>
      <c r="AO988" s="9"/>
      <c r="AP988" s="9"/>
      <c r="AQ988" s="9"/>
      <c r="AR988" s="9"/>
      <c r="AS988" s="9"/>
      <c r="AT988" s="9"/>
    </row>
    <row r="989">
      <c r="A989" s="492"/>
      <c r="B989" s="254"/>
      <c r="C989" s="492"/>
      <c r="D989" s="254"/>
      <c r="E989" s="492"/>
      <c r="F989" s="254"/>
      <c r="G989" s="492"/>
      <c r="H989" s="254"/>
      <c r="I989" s="500"/>
      <c r="J989" s="181"/>
      <c r="K989" s="500"/>
      <c r="L989" s="181"/>
      <c r="M989" s="492"/>
      <c r="N989" s="254"/>
      <c r="O989" s="492"/>
      <c r="P989" s="254"/>
      <c r="Q989" s="492"/>
      <c r="R989" s="254"/>
      <c r="S989" s="528"/>
      <c r="T989" s="528"/>
      <c r="U989" s="492"/>
      <c r="V989" s="254"/>
      <c r="W989" s="492"/>
      <c r="X989" s="254"/>
      <c r="Y989" s="9"/>
      <c r="Z989" s="9"/>
      <c r="AA989" s="9"/>
      <c r="AB989" s="9"/>
      <c r="AC989" s="9"/>
      <c r="AD989" s="9"/>
      <c r="AE989" s="9"/>
      <c r="AF989" s="9"/>
      <c r="AG989" s="9"/>
      <c r="AH989" s="9"/>
      <c r="AI989" s="9"/>
      <c r="AJ989" s="9"/>
      <c r="AK989" s="9"/>
      <c r="AL989" s="9"/>
      <c r="AM989" s="9"/>
      <c r="AN989" s="9"/>
      <c r="AO989" s="9"/>
      <c r="AP989" s="9"/>
      <c r="AQ989" s="9"/>
      <c r="AR989" s="9"/>
      <c r="AS989" s="9"/>
      <c r="AT989" s="9"/>
    </row>
    <row r="990">
      <c r="A990" s="492"/>
      <c r="B990" s="254"/>
      <c r="C990" s="492"/>
      <c r="D990" s="254"/>
      <c r="E990" s="492"/>
      <c r="F990" s="254"/>
      <c r="G990" s="492"/>
      <c r="H990" s="254"/>
      <c r="I990" s="500"/>
      <c r="J990" s="181"/>
      <c r="K990" s="500"/>
      <c r="L990" s="181"/>
      <c r="M990" s="492"/>
      <c r="N990" s="254"/>
      <c r="O990" s="492"/>
      <c r="P990" s="254"/>
      <c r="Q990" s="492"/>
      <c r="R990" s="254"/>
      <c r="S990" s="528"/>
      <c r="T990" s="528"/>
      <c r="U990" s="492"/>
      <c r="V990" s="254"/>
      <c r="W990" s="492"/>
      <c r="X990" s="254"/>
      <c r="Y990" s="9"/>
      <c r="Z990" s="9"/>
      <c r="AA990" s="9"/>
      <c r="AB990" s="9"/>
      <c r="AC990" s="9"/>
      <c r="AD990" s="9"/>
      <c r="AE990" s="9"/>
      <c r="AF990" s="9"/>
      <c r="AG990" s="9"/>
      <c r="AH990" s="9"/>
      <c r="AI990" s="9"/>
      <c r="AJ990" s="9"/>
      <c r="AK990" s="9"/>
      <c r="AL990" s="9"/>
      <c r="AM990" s="9"/>
      <c r="AN990" s="9"/>
      <c r="AO990" s="9"/>
      <c r="AP990" s="9"/>
      <c r="AQ990" s="9"/>
      <c r="AR990" s="9"/>
      <c r="AS990" s="9"/>
      <c r="AT990" s="9"/>
    </row>
    <row r="991">
      <c r="A991" s="492"/>
      <c r="B991" s="254"/>
      <c r="C991" s="492"/>
      <c r="D991" s="254"/>
      <c r="E991" s="492"/>
      <c r="F991" s="254"/>
      <c r="G991" s="492"/>
      <c r="H991" s="254"/>
      <c r="I991" s="500"/>
      <c r="J991" s="181"/>
      <c r="K991" s="500"/>
      <c r="L991" s="181"/>
      <c r="M991" s="492"/>
      <c r="N991" s="254"/>
      <c r="O991" s="492"/>
      <c r="P991" s="254"/>
      <c r="Q991" s="492"/>
      <c r="R991" s="254"/>
      <c r="S991" s="528"/>
      <c r="T991" s="528"/>
      <c r="U991" s="492"/>
      <c r="V991" s="254"/>
      <c r="W991" s="492"/>
      <c r="X991" s="254"/>
      <c r="Y991" s="9"/>
      <c r="Z991" s="9"/>
      <c r="AA991" s="9"/>
      <c r="AB991" s="9"/>
      <c r="AC991" s="9"/>
      <c r="AD991" s="9"/>
      <c r="AE991" s="9"/>
      <c r="AF991" s="9"/>
      <c r="AG991" s="9"/>
      <c r="AH991" s="9"/>
      <c r="AI991" s="9"/>
      <c r="AJ991" s="9"/>
      <c r="AK991" s="9"/>
      <c r="AL991" s="9"/>
      <c r="AM991" s="9"/>
      <c r="AN991" s="9"/>
      <c r="AO991" s="9"/>
      <c r="AP991" s="9"/>
      <c r="AQ991" s="9"/>
      <c r="AR991" s="9"/>
      <c r="AS991" s="9"/>
      <c r="AT991" s="9"/>
    </row>
    <row r="992">
      <c r="A992" s="492"/>
      <c r="B992" s="254"/>
      <c r="C992" s="492"/>
      <c r="D992" s="254"/>
      <c r="E992" s="492"/>
      <c r="F992" s="254"/>
      <c r="G992" s="492"/>
      <c r="H992" s="254"/>
      <c r="I992" s="500"/>
      <c r="J992" s="181"/>
      <c r="K992" s="500"/>
      <c r="L992" s="181"/>
      <c r="M992" s="492"/>
      <c r="N992" s="254"/>
      <c r="O992" s="492"/>
      <c r="P992" s="254"/>
      <c r="Q992" s="492"/>
      <c r="R992" s="254"/>
      <c r="S992" s="528"/>
      <c r="T992" s="528"/>
      <c r="U992" s="492"/>
      <c r="V992" s="254"/>
      <c r="W992" s="492"/>
      <c r="X992" s="254"/>
      <c r="Y992" s="9"/>
      <c r="Z992" s="9"/>
      <c r="AA992" s="9"/>
      <c r="AB992" s="9"/>
      <c r="AC992" s="9"/>
      <c r="AD992" s="9"/>
      <c r="AE992" s="9"/>
      <c r="AF992" s="9"/>
      <c r="AG992" s="9"/>
      <c r="AH992" s="9"/>
      <c r="AI992" s="9"/>
      <c r="AJ992" s="9"/>
      <c r="AK992" s="9"/>
      <c r="AL992" s="9"/>
      <c r="AM992" s="9"/>
      <c r="AN992" s="9"/>
      <c r="AO992" s="9"/>
      <c r="AP992" s="9"/>
      <c r="AQ992" s="9"/>
      <c r="AR992" s="9"/>
      <c r="AS992" s="9"/>
      <c r="AT992" s="9"/>
    </row>
    <row r="993">
      <c r="A993" s="492"/>
      <c r="B993" s="254"/>
      <c r="C993" s="492"/>
      <c r="D993" s="254"/>
      <c r="E993" s="492"/>
      <c r="F993" s="254"/>
      <c r="G993" s="492"/>
      <c r="H993" s="254"/>
      <c r="I993" s="500"/>
      <c r="J993" s="181"/>
      <c r="K993" s="500"/>
      <c r="L993" s="181"/>
      <c r="M993" s="492"/>
      <c r="N993" s="254"/>
      <c r="O993" s="492"/>
      <c r="P993" s="254"/>
      <c r="Q993" s="492"/>
      <c r="R993" s="254"/>
      <c r="S993" s="528"/>
      <c r="T993" s="528"/>
      <c r="U993" s="492"/>
      <c r="V993" s="254"/>
      <c r="W993" s="492"/>
      <c r="X993" s="254"/>
      <c r="Y993" s="9"/>
      <c r="Z993" s="9"/>
      <c r="AA993" s="9"/>
      <c r="AB993" s="9"/>
      <c r="AC993" s="9"/>
      <c r="AD993" s="9"/>
      <c r="AE993" s="9"/>
      <c r="AF993" s="9"/>
      <c r="AG993" s="9"/>
      <c r="AH993" s="9"/>
      <c r="AI993" s="9"/>
      <c r="AJ993" s="9"/>
      <c r="AK993" s="9"/>
      <c r="AL993" s="9"/>
      <c r="AM993" s="9"/>
      <c r="AN993" s="9"/>
      <c r="AO993" s="9"/>
      <c r="AP993" s="9"/>
      <c r="AQ993" s="9"/>
      <c r="AR993" s="9"/>
      <c r="AS993" s="9"/>
      <c r="AT993" s="9"/>
    </row>
    <row r="994">
      <c r="A994" s="492"/>
      <c r="B994" s="254"/>
      <c r="C994" s="492"/>
      <c r="D994" s="254"/>
      <c r="E994" s="492"/>
      <c r="F994" s="254"/>
      <c r="G994" s="492"/>
      <c r="H994" s="254"/>
      <c r="I994" s="500"/>
      <c r="J994" s="181"/>
      <c r="K994" s="500"/>
      <c r="L994" s="181"/>
      <c r="M994" s="492"/>
      <c r="N994" s="254"/>
      <c r="O994" s="492"/>
      <c r="P994" s="254"/>
      <c r="Q994" s="492"/>
      <c r="R994" s="254"/>
      <c r="S994" s="528"/>
      <c r="T994" s="528"/>
      <c r="U994" s="492"/>
      <c r="V994" s="254"/>
      <c r="W994" s="492"/>
      <c r="X994" s="254"/>
      <c r="Y994" s="9"/>
      <c r="Z994" s="9"/>
      <c r="AA994" s="9"/>
      <c r="AB994" s="9"/>
      <c r="AC994" s="9"/>
      <c r="AD994" s="9"/>
      <c r="AE994" s="9"/>
      <c r="AF994" s="9"/>
      <c r="AG994" s="9"/>
      <c r="AH994" s="9"/>
      <c r="AI994" s="9"/>
      <c r="AJ994" s="9"/>
      <c r="AK994" s="9"/>
      <c r="AL994" s="9"/>
      <c r="AM994" s="9"/>
      <c r="AN994" s="9"/>
      <c r="AO994" s="9"/>
      <c r="AP994" s="9"/>
      <c r="AQ994" s="9"/>
      <c r="AR994" s="9"/>
      <c r="AS994" s="9"/>
      <c r="AT994" s="9"/>
    </row>
    <row r="995">
      <c r="A995" s="492"/>
      <c r="B995" s="254"/>
      <c r="C995" s="492"/>
      <c r="D995" s="254"/>
      <c r="E995" s="492"/>
      <c r="F995" s="254"/>
      <c r="G995" s="492"/>
      <c r="H995" s="254"/>
      <c r="I995" s="500"/>
      <c r="J995" s="181"/>
      <c r="K995" s="500"/>
      <c r="L995" s="181"/>
      <c r="M995" s="492"/>
      <c r="N995" s="254"/>
      <c r="O995" s="492"/>
      <c r="P995" s="254"/>
      <c r="Q995" s="492"/>
      <c r="R995" s="254"/>
      <c r="S995" s="528"/>
      <c r="T995" s="528"/>
      <c r="U995" s="492"/>
      <c r="V995" s="254"/>
      <c r="W995" s="492"/>
      <c r="X995" s="254"/>
      <c r="Y995" s="9"/>
      <c r="Z995" s="9"/>
      <c r="AA995" s="9"/>
      <c r="AB995" s="9"/>
      <c r="AC995" s="9"/>
      <c r="AD995" s="9"/>
      <c r="AE995" s="9"/>
      <c r="AF995" s="9"/>
      <c r="AG995" s="9"/>
      <c r="AH995" s="9"/>
      <c r="AI995" s="9"/>
      <c r="AJ995" s="9"/>
      <c r="AK995" s="9"/>
      <c r="AL995" s="9"/>
      <c r="AM995" s="9"/>
      <c r="AN995" s="9"/>
      <c r="AO995" s="9"/>
      <c r="AP995" s="9"/>
      <c r="AQ995" s="9"/>
      <c r="AR995" s="9"/>
      <c r="AS995" s="9"/>
      <c r="AT995" s="9"/>
    </row>
    <row r="996">
      <c r="A996" s="492"/>
      <c r="B996" s="254"/>
      <c r="C996" s="492"/>
      <c r="D996" s="254"/>
      <c r="E996" s="492"/>
      <c r="F996" s="254"/>
      <c r="G996" s="492"/>
      <c r="H996" s="254"/>
      <c r="I996" s="500"/>
      <c r="J996" s="181"/>
      <c r="K996" s="500"/>
      <c r="L996" s="181"/>
      <c r="M996" s="492"/>
      <c r="N996" s="254"/>
      <c r="O996" s="492"/>
      <c r="P996" s="254"/>
      <c r="Q996" s="492"/>
      <c r="R996" s="254"/>
      <c r="S996" s="528"/>
      <c r="T996" s="528"/>
      <c r="U996" s="492"/>
      <c r="V996" s="254"/>
      <c r="W996" s="492"/>
      <c r="X996" s="254"/>
      <c r="Y996" s="9"/>
      <c r="Z996" s="9"/>
      <c r="AA996" s="9"/>
      <c r="AB996" s="9"/>
      <c r="AC996" s="9"/>
      <c r="AD996" s="9"/>
      <c r="AE996" s="9"/>
      <c r="AF996" s="9"/>
      <c r="AG996" s="9"/>
      <c r="AH996" s="9"/>
      <c r="AI996" s="9"/>
      <c r="AJ996" s="9"/>
      <c r="AK996" s="9"/>
      <c r="AL996" s="9"/>
      <c r="AM996" s="9"/>
      <c r="AN996" s="9"/>
      <c r="AO996" s="9"/>
      <c r="AP996" s="9"/>
      <c r="AQ996" s="9"/>
      <c r="AR996" s="9"/>
      <c r="AS996" s="9"/>
      <c r="AT996" s="9"/>
    </row>
    <row r="997">
      <c r="A997" s="492"/>
      <c r="B997" s="254"/>
      <c r="C997" s="492"/>
      <c r="D997" s="254"/>
      <c r="E997" s="492"/>
      <c r="F997" s="254"/>
      <c r="G997" s="492"/>
      <c r="H997" s="254"/>
      <c r="I997" s="500"/>
      <c r="J997" s="181"/>
      <c r="K997" s="500"/>
      <c r="L997" s="181"/>
      <c r="M997" s="492"/>
      <c r="N997" s="254"/>
      <c r="O997" s="492"/>
      <c r="P997" s="254"/>
      <c r="Q997" s="492"/>
      <c r="R997" s="254"/>
      <c r="S997" s="528"/>
      <c r="T997" s="528"/>
      <c r="U997" s="492"/>
      <c r="V997" s="254"/>
      <c r="W997" s="492"/>
      <c r="X997" s="254"/>
      <c r="Y997" s="9"/>
      <c r="Z997" s="9"/>
      <c r="AA997" s="9"/>
      <c r="AB997" s="9"/>
      <c r="AC997" s="9"/>
      <c r="AD997" s="9"/>
      <c r="AE997" s="9"/>
      <c r="AF997" s="9"/>
      <c r="AG997" s="9"/>
      <c r="AH997" s="9"/>
      <c r="AI997" s="9"/>
      <c r="AJ997" s="9"/>
      <c r="AK997" s="9"/>
      <c r="AL997" s="9"/>
      <c r="AM997" s="9"/>
      <c r="AN997" s="9"/>
      <c r="AO997" s="9"/>
      <c r="AP997" s="9"/>
      <c r="AQ997" s="9"/>
      <c r="AR997" s="9"/>
      <c r="AS997" s="9"/>
      <c r="AT997" s="9"/>
    </row>
    <row r="998">
      <c r="A998" s="492"/>
      <c r="B998" s="254"/>
      <c r="C998" s="492"/>
      <c r="D998" s="254"/>
      <c r="E998" s="492"/>
      <c r="F998" s="254"/>
      <c r="G998" s="492"/>
      <c r="H998" s="254"/>
      <c r="I998" s="500"/>
      <c r="J998" s="181"/>
      <c r="K998" s="500"/>
      <c r="L998" s="181"/>
      <c r="M998" s="492"/>
      <c r="N998" s="254"/>
      <c r="O998" s="492"/>
      <c r="P998" s="254"/>
      <c r="Q998" s="492"/>
      <c r="R998" s="254"/>
      <c r="S998" s="528"/>
      <c r="T998" s="528"/>
      <c r="U998" s="492"/>
      <c r="V998" s="254"/>
      <c r="W998" s="492"/>
      <c r="X998" s="254"/>
      <c r="Y998" s="9"/>
      <c r="Z998" s="9"/>
      <c r="AA998" s="9"/>
      <c r="AB998" s="9"/>
      <c r="AC998" s="9"/>
      <c r="AD998" s="9"/>
      <c r="AE998" s="9"/>
      <c r="AF998" s="9"/>
      <c r="AG998" s="9"/>
      <c r="AH998" s="9"/>
      <c r="AI998" s="9"/>
      <c r="AJ998" s="9"/>
      <c r="AK998" s="9"/>
      <c r="AL998" s="9"/>
      <c r="AM998" s="9"/>
      <c r="AN998" s="9"/>
      <c r="AO998" s="9"/>
      <c r="AP998" s="9"/>
      <c r="AQ998" s="9"/>
      <c r="AR998" s="9"/>
      <c r="AS998" s="9"/>
      <c r="AT998" s="9"/>
    </row>
    <row r="999">
      <c r="A999" s="492"/>
      <c r="B999" s="254"/>
      <c r="C999" s="492"/>
      <c r="D999" s="254"/>
      <c r="E999" s="492"/>
      <c r="F999" s="254"/>
      <c r="G999" s="492"/>
      <c r="H999" s="254"/>
      <c r="I999" s="500"/>
      <c r="J999" s="181"/>
      <c r="K999" s="500"/>
      <c r="L999" s="181"/>
      <c r="M999" s="492"/>
      <c r="N999" s="254"/>
      <c r="O999" s="492"/>
      <c r="P999" s="254"/>
      <c r="Q999" s="492"/>
      <c r="R999" s="254"/>
      <c r="S999" s="528"/>
      <c r="T999" s="528"/>
      <c r="U999" s="492"/>
      <c r="V999" s="254"/>
      <c r="W999" s="492"/>
      <c r="X999" s="254"/>
      <c r="Y999" s="9"/>
      <c r="Z999" s="9"/>
      <c r="AA999" s="9"/>
      <c r="AB999" s="9"/>
      <c r="AC999" s="9"/>
      <c r="AD999" s="9"/>
      <c r="AE999" s="9"/>
      <c r="AF999" s="9"/>
      <c r="AG999" s="9"/>
      <c r="AH999" s="9"/>
      <c r="AI999" s="9"/>
      <c r="AJ999" s="9"/>
      <c r="AK999" s="9"/>
      <c r="AL999" s="9"/>
      <c r="AM999" s="9"/>
      <c r="AN999" s="9"/>
      <c r="AO999" s="9"/>
      <c r="AP999" s="9"/>
      <c r="AQ999" s="9"/>
      <c r="AR999" s="9"/>
      <c r="AS999" s="9"/>
      <c r="AT999" s="9"/>
    </row>
    <row r="1000">
      <c r="A1000" s="492"/>
      <c r="B1000" s="254"/>
      <c r="C1000" s="492"/>
      <c r="D1000" s="254"/>
      <c r="E1000" s="492"/>
      <c r="F1000" s="254"/>
      <c r="G1000" s="492"/>
      <c r="H1000" s="254"/>
      <c r="I1000" s="500"/>
      <c r="J1000" s="181"/>
      <c r="K1000" s="500"/>
      <c r="L1000" s="181"/>
      <c r="M1000" s="492"/>
      <c r="N1000" s="254"/>
      <c r="O1000" s="492"/>
      <c r="P1000" s="254"/>
      <c r="Q1000" s="492"/>
      <c r="R1000" s="254"/>
      <c r="S1000" s="528"/>
      <c r="T1000" s="528"/>
      <c r="U1000" s="492"/>
      <c r="V1000" s="254"/>
      <c r="W1000" s="492"/>
      <c r="X1000" s="254"/>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row>
    <row r="1001">
      <c r="A1001" s="492"/>
      <c r="B1001" s="254"/>
      <c r="C1001" s="492"/>
      <c r="D1001" s="254"/>
      <c r="E1001" s="492"/>
      <c r="F1001" s="254"/>
      <c r="G1001" s="492"/>
      <c r="H1001" s="254"/>
      <c r="I1001" s="500"/>
      <c r="J1001" s="181"/>
      <c r="K1001" s="500"/>
      <c r="L1001" s="181"/>
      <c r="M1001" s="492"/>
      <c r="N1001" s="254"/>
      <c r="O1001" s="492"/>
      <c r="P1001" s="254"/>
      <c r="Q1001" s="492"/>
      <c r="R1001" s="254"/>
      <c r="S1001" s="528"/>
      <c r="T1001" s="528"/>
      <c r="U1001" s="492"/>
      <c r="V1001" s="254"/>
      <c r="W1001" s="492"/>
      <c r="X1001" s="254"/>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row>
    <row r="1002">
      <c r="A1002" s="492"/>
      <c r="B1002" s="254"/>
      <c r="C1002" s="492"/>
      <c r="D1002" s="254"/>
      <c r="E1002" s="492"/>
      <c r="F1002" s="254"/>
      <c r="G1002" s="492"/>
      <c r="H1002" s="254"/>
      <c r="I1002" s="500"/>
      <c r="J1002" s="181"/>
      <c r="K1002" s="500"/>
      <c r="L1002" s="181"/>
      <c r="M1002" s="492"/>
      <c r="N1002" s="254"/>
      <c r="O1002" s="492"/>
      <c r="P1002" s="254"/>
      <c r="Q1002" s="492"/>
      <c r="R1002" s="254"/>
      <c r="S1002" s="528"/>
      <c r="T1002" s="528"/>
      <c r="U1002" s="492"/>
      <c r="V1002" s="254"/>
      <c r="W1002" s="492"/>
      <c r="X1002" s="254"/>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row>
    <row r="1003">
      <c r="A1003" s="492"/>
      <c r="B1003" s="254"/>
      <c r="C1003" s="492"/>
      <c r="D1003" s="254"/>
      <c r="E1003" s="492"/>
      <c r="F1003" s="254"/>
      <c r="G1003" s="492"/>
      <c r="H1003" s="254"/>
      <c r="I1003" s="500"/>
      <c r="J1003" s="181"/>
      <c r="K1003" s="500"/>
      <c r="L1003" s="181"/>
      <c r="M1003" s="492"/>
      <c r="N1003" s="254"/>
      <c r="O1003" s="492"/>
      <c r="P1003" s="254"/>
      <c r="Q1003" s="492"/>
      <c r="R1003" s="254"/>
      <c r="S1003" s="528"/>
      <c r="T1003" s="528"/>
      <c r="U1003" s="492"/>
      <c r="V1003" s="254"/>
      <c r="W1003" s="492"/>
      <c r="X1003" s="254"/>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row>
    <row r="1004">
      <c r="A1004" s="492"/>
      <c r="B1004" s="254"/>
      <c r="C1004" s="492"/>
      <c r="D1004" s="254"/>
      <c r="E1004" s="492"/>
      <c r="F1004" s="254"/>
      <c r="G1004" s="492"/>
      <c r="H1004" s="254"/>
      <c r="I1004" s="500"/>
      <c r="J1004" s="181"/>
      <c r="K1004" s="500"/>
      <c r="L1004" s="181"/>
      <c r="M1004" s="492"/>
      <c r="N1004" s="254"/>
      <c r="O1004" s="492"/>
      <c r="P1004" s="254"/>
      <c r="Q1004" s="492"/>
      <c r="R1004" s="254"/>
      <c r="S1004" s="528"/>
      <c r="T1004" s="528"/>
      <c r="U1004" s="492"/>
      <c r="V1004" s="254"/>
      <c r="W1004" s="492"/>
      <c r="X1004" s="254"/>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row>
    <row r="1005">
      <c r="A1005" s="492"/>
      <c r="B1005" s="254"/>
      <c r="C1005" s="492"/>
      <c r="D1005" s="254"/>
      <c r="E1005" s="492"/>
      <c r="F1005" s="254"/>
      <c r="G1005" s="492"/>
      <c r="H1005" s="254"/>
      <c r="I1005" s="500"/>
      <c r="J1005" s="181"/>
      <c r="K1005" s="500"/>
      <c r="L1005" s="181"/>
      <c r="M1005" s="492"/>
      <c r="N1005" s="254"/>
      <c r="O1005" s="492"/>
      <c r="P1005" s="254"/>
      <c r="Q1005" s="492"/>
      <c r="R1005" s="254"/>
      <c r="S1005" s="528"/>
      <c r="T1005" s="528"/>
      <c r="U1005" s="492"/>
      <c r="V1005" s="254"/>
      <c r="W1005" s="492"/>
      <c r="X1005" s="254"/>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row>
    <row r="1006">
      <c r="A1006" s="492"/>
      <c r="B1006" s="254"/>
      <c r="C1006" s="492"/>
      <c r="D1006" s="254"/>
      <c r="E1006" s="492"/>
      <c r="F1006" s="254"/>
      <c r="G1006" s="492"/>
      <c r="H1006" s="254"/>
      <c r="I1006" s="500"/>
      <c r="J1006" s="181"/>
      <c r="K1006" s="500"/>
      <c r="L1006" s="181"/>
      <c r="M1006" s="492"/>
      <c r="N1006" s="254"/>
      <c r="O1006" s="492"/>
      <c r="P1006" s="254"/>
      <c r="Q1006" s="492"/>
      <c r="R1006" s="254"/>
      <c r="S1006" s="528"/>
      <c r="T1006" s="528"/>
      <c r="U1006" s="492"/>
      <c r="V1006" s="254"/>
      <c r="W1006" s="492"/>
      <c r="X1006" s="254"/>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row>
    <row r="1007">
      <c r="A1007" s="492"/>
      <c r="B1007" s="254"/>
      <c r="C1007" s="492"/>
      <c r="D1007" s="254"/>
      <c r="E1007" s="492"/>
      <c r="F1007" s="254"/>
      <c r="G1007" s="492"/>
      <c r="H1007" s="254"/>
      <c r="I1007" s="500"/>
      <c r="J1007" s="181"/>
      <c r="K1007" s="500"/>
      <c r="L1007" s="181"/>
      <c r="M1007" s="492"/>
      <c r="N1007" s="254"/>
      <c r="O1007" s="492"/>
      <c r="P1007" s="254"/>
      <c r="Q1007" s="492"/>
      <c r="R1007" s="254"/>
      <c r="S1007" s="528"/>
      <c r="T1007" s="528"/>
      <c r="U1007" s="492"/>
      <c r="V1007" s="254"/>
      <c r="W1007" s="492"/>
      <c r="X1007" s="254"/>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row>
    <row r="1008">
      <c r="A1008" s="492"/>
      <c r="B1008" s="254"/>
      <c r="C1008" s="492"/>
      <c r="D1008" s="254"/>
      <c r="E1008" s="492"/>
      <c r="F1008" s="254"/>
      <c r="G1008" s="492"/>
      <c r="H1008" s="254"/>
      <c r="I1008" s="500"/>
      <c r="J1008" s="181"/>
      <c r="K1008" s="500"/>
      <c r="L1008" s="181"/>
      <c r="M1008" s="492"/>
      <c r="N1008" s="254"/>
      <c r="O1008" s="492"/>
      <c r="P1008" s="254"/>
      <c r="Q1008" s="492"/>
      <c r="R1008" s="254"/>
      <c r="S1008" s="528"/>
      <c r="T1008" s="528"/>
      <c r="U1008" s="492"/>
      <c r="V1008" s="254"/>
      <c r="W1008" s="492"/>
      <c r="X1008" s="254"/>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row>
    <row r="1009">
      <c r="A1009" s="492"/>
      <c r="B1009" s="254"/>
      <c r="C1009" s="492"/>
      <c r="D1009" s="254"/>
      <c r="E1009" s="492"/>
      <c r="F1009" s="254"/>
      <c r="G1009" s="492"/>
      <c r="H1009" s="254"/>
      <c r="I1009" s="500"/>
      <c r="J1009" s="181"/>
      <c r="K1009" s="500"/>
      <c r="L1009" s="181"/>
      <c r="M1009" s="492"/>
      <c r="N1009" s="254"/>
      <c r="O1009" s="492"/>
      <c r="P1009" s="254"/>
      <c r="Q1009" s="492"/>
      <c r="R1009" s="254"/>
      <c r="S1009" s="528"/>
      <c r="T1009" s="528"/>
      <c r="U1009" s="492"/>
      <c r="V1009" s="254"/>
      <c r="W1009" s="492"/>
      <c r="X1009" s="254"/>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row>
    <row r="1010">
      <c r="A1010" s="492"/>
      <c r="B1010" s="254"/>
      <c r="C1010" s="492"/>
      <c r="D1010" s="254"/>
      <c r="E1010" s="492"/>
      <c r="F1010" s="254"/>
      <c r="G1010" s="492"/>
      <c r="H1010" s="254"/>
      <c r="I1010" s="500"/>
      <c r="J1010" s="181"/>
      <c r="K1010" s="500"/>
      <c r="L1010" s="181"/>
      <c r="M1010" s="492"/>
      <c r="N1010" s="254"/>
      <c r="O1010" s="492"/>
      <c r="P1010" s="254"/>
      <c r="Q1010" s="492"/>
      <c r="R1010" s="254"/>
      <c r="S1010" s="528"/>
      <c r="T1010" s="528"/>
      <c r="U1010" s="492"/>
      <c r="V1010" s="254"/>
      <c r="W1010" s="492"/>
      <c r="X1010" s="254"/>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row>
    <row r="1011">
      <c r="A1011" s="492"/>
      <c r="B1011" s="254"/>
      <c r="C1011" s="492"/>
      <c r="D1011" s="254"/>
      <c r="E1011" s="492"/>
      <c r="F1011" s="254"/>
      <c r="G1011" s="492"/>
      <c r="H1011" s="254"/>
      <c r="I1011" s="500"/>
      <c r="J1011" s="181"/>
      <c r="K1011" s="500"/>
      <c r="L1011" s="181"/>
      <c r="M1011" s="492"/>
      <c r="N1011" s="254"/>
      <c r="O1011" s="492"/>
      <c r="P1011" s="254"/>
      <c r="Q1011" s="492"/>
      <c r="R1011" s="254"/>
      <c r="S1011" s="528"/>
      <c r="T1011" s="528"/>
      <c r="U1011" s="492"/>
      <c r="V1011" s="254"/>
      <c r="W1011" s="492"/>
      <c r="X1011" s="254"/>
    </row>
    <row r="1012">
      <c r="A1012" s="492"/>
      <c r="B1012" s="254"/>
      <c r="C1012" s="492"/>
      <c r="D1012" s="254"/>
      <c r="E1012" s="492"/>
      <c r="F1012" s="254"/>
      <c r="G1012" s="492"/>
      <c r="H1012" s="254"/>
      <c r="I1012" s="500"/>
      <c r="J1012" s="181"/>
      <c r="K1012" s="500"/>
      <c r="L1012" s="181"/>
      <c r="M1012" s="492"/>
      <c r="N1012" s="254"/>
      <c r="O1012" s="492"/>
      <c r="P1012" s="254"/>
      <c r="Q1012" s="492"/>
      <c r="R1012" s="254"/>
      <c r="S1012" s="528"/>
      <c r="T1012" s="528"/>
      <c r="U1012" s="492"/>
      <c r="V1012" s="254"/>
      <c r="W1012" s="492"/>
      <c r="X1012" s="254"/>
    </row>
    <row r="1013">
      <c r="A1013" s="492"/>
      <c r="B1013" s="254"/>
      <c r="C1013" s="492"/>
      <c r="D1013" s="254"/>
      <c r="E1013" s="492"/>
      <c r="F1013" s="254"/>
      <c r="G1013" s="492"/>
      <c r="H1013" s="254"/>
      <c r="I1013" s="500"/>
      <c r="J1013" s="181"/>
      <c r="K1013" s="500"/>
      <c r="L1013" s="181"/>
      <c r="M1013" s="492"/>
      <c r="N1013" s="254"/>
      <c r="O1013" s="492"/>
      <c r="P1013" s="254"/>
      <c r="Q1013" s="492"/>
      <c r="R1013" s="254"/>
      <c r="S1013" s="528"/>
      <c r="T1013" s="528"/>
      <c r="U1013" s="492"/>
      <c r="V1013" s="254"/>
      <c r="W1013" s="492"/>
      <c r="X1013" s="254"/>
    </row>
    <row r="1014">
      <c r="A1014" s="492"/>
      <c r="B1014" s="254"/>
      <c r="C1014" s="492"/>
      <c r="D1014" s="254"/>
      <c r="E1014" s="492"/>
      <c r="F1014" s="254"/>
      <c r="G1014" s="492"/>
      <c r="H1014" s="254"/>
      <c r="I1014" s="500"/>
      <c r="J1014" s="181"/>
      <c r="K1014" s="500"/>
      <c r="L1014" s="181"/>
      <c r="M1014" s="492"/>
      <c r="N1014" s="254"/>
      <c r="O1014" s="492"/>
      <c r="P1014" s="254"/>
      <c r="Q1014" s="492"/>
      <c r="R1014" s="254"/>
      <c r="S1014" s="528"/>
      <c r="T1014" s="528"/>
      <c r="U1014" s="492"/>
      <c r="V1014" s="254"/>
      <c r="W1014" s="492"/>
      <c r="X1014" s="254"/>
    </row>
    <row r="1015">
      <c r="A1015" s="492"/>
      <c r="B1015" s="254"/>
      <c r="C1015" s="492"/>
      <c r="D1015" s="254"/>
      <c r="E1015" s="492"/>
      <c r="F1015" s="254"/>
      <c r="G1015" s="492"/>
      <c r="H1015" s="254"/>
      <c r="I1015" s="500"/>
      <c r="J1015" s="181"/>
      <c r="K1015" s="500"/>
      <c r="L1015" s="181"/>
      <c r="M1015" s="492"/>
      <c r="N1015" s="254"/>
      <c r="O1015" s="492"/>
      <c r="P1015" s="254"/>
      <c r="Q1015" s="492"/>
      <c r="R1015" s="254"/>
      <c r="S1015" s="528"/>
      <c r="T1015" s="528"/>
      <c r="U1015" s="492"/>
      <c r="V1015" s="254"/>
      <c r="W1015" s="492"/>
      <c r="X1015" s="254"/>
    </row>
    <row r="1016">
      <c r="A1016" s="492"/>
      <c r="B1016" s="254"/>
      <c r="C1016" s="492"/>
      <c r="D1016" s="254"/>
      <c r="E1016" s="492"/>
      <c r="F1016" s="254"/>
      <c r="G1016" s="492"/>
      <c r="H1016" s="254"/>
      <c r="I1016" s="500"/>
      <c r="J1016" s="181"/>
      <c r="K1016" s="500"/>
      <c r="L1016" s="181"/>
      <c r="M1016" s="492"/>
      <c r="N1016" s="254"/>
      <c r="O1016" s="492"/>
      <c r="P1016" s="254"/>
      <c r="Q1016" s="492"/>
      <c r="R1016" s="254"/>
      <c r="S1016" s="528"/>
      <c r="T1016" s="528"/>
      <c r="U1016" s="492"/>
      <c r="V1016" s="254"/>
      <c r="W1016" s="492"/>
      <c r="X1016" s="254"/>
    </row>
    <row r="1017">
      <c r="A1017" s="492"/>
      <c r="B1017" s="254"/>
      <c r="C1017" s="492"/>
      <c r="D1017" s="254"/>
      <c r="E1017" s="492"/>
      <c r="F1017" s="254"/>
      <c r="G1017" s="492"/>
      <c r="H1017" s="254"/>
      <c r="I1017" s="500"/>
      <c r="J1017" s="181"/>
      <c r="K1017" s="500"/>
      <c r="L1017" s="181"/>
      <c r="M1017" s="492"/>
      <c r="N1017" s="254"/>
      <c r="O1017" s="492"/>
      <c r="P1017" s="254"/>
      <c r="Q1017" s="492"/>
      <c r="R1017" s="254"/>
      <c r="S1017" s="528"/>
      <c r="T1017" s="528"/>
      <c r="U1017" s="492"/>
      <c r="V1017" s="254"/>
      <c r="W1017" s="492"/>
      <c r="X1017" s="254"/>
    </row>
    <row r="1018">
      <c r="A1018" s="492"/>
      <c r="B1018" s="254"/>
      <c r="C1018" s="492"/>
      <c r="D1018" s="254"/>
      <c r="E1018" s="492"/>
      <c r="F1018" s="254"/>
      <c r="G1018" s="492"/>
      <c r="H1018" s="254"/>
      <c r="I1018" s="500"/>
      <c r="J1018" s="181"/>
      <c r="K1018" s="500"/>
      <c r="L1018" s="181"/>
      <c r="M1018" s="492"/>
      <c r="N1018" s="254"/>
      <c r="O1018" s="492"/>
      <c r="P1018" s="254"/>
      <c r="Q1018" s="492"/>
      <c r="R1018" s="254"/>
      <c r="S1018" s="492"/>
      <c r="T1018" s="254"/>
      <c r="U1018" s="492"/>
      <c r="V1018" s="254"/>
      <c r="W1018" s="492"/>
      <c r="X1018" s="254"/>
    </row>
    <row r="1019">
      <c r="A1019" s="492"/>
      <c r="B1019" s="254"/>
      <c r="C1019" s="492"/>
      <c r="D1019" s="254"/>
      <c r="E1019" s="492"/>
      <c r="F1019" s="254"/>
      <c r="G1019" s="492"/>
      <c r="H1019" s="254"/>
      <c r="I1019" s="500"/>
      <c r="J1019" s="181"/>
      <c r="K1019" s="500"/>
      <c r="L1019" s="181"/>
      <c r="M1019" s="529"/>
      <c r="O1019" s="492"/>
      <c r="P1019" s="254"/>
      <c r="Q1019" s="492"/>
      <c r="R1019" s="254"/>
      <c r="S1019" s="492"/>
      <c r="T1019" s="254"/>
      <c r="W1019" s="529"/>
    </row>
  </sheetData>
  <mergeCells count="72">
    <mergeCell ref="O37:P37"/>
    <mergeCell ref="Q37:R37"/>
    <mergeCell ref="S37:T37"/>
    <mergeCell ref="U37:V37"/>
    <mergeCell ref="W37:X37"/>
    <mergeCell ref="A37:B37"/>
    <mergeCell ref="C37:D37"/>
    <mergeCell ref="E37:F37"/>
    <mergeCell ref="G37:H37"/>
    <mergeCell ref="I37:J37"/>
    <mergeCell ref="K37:L37"/>
    <mergeCell ref="M37:N37"/>
    <mergeCell ref="O62:P62"/>
    <mergeCell ref="Q62:R62"/>
    <mergeCell ref="S62:T62"/>
    <mergeCell ref="U62:V62"/>
    <mergeCell ref="W62:X62"/>
    <mergeCell ref="A62:B62"/>
    <mergeCell ref="C62:D62"/>
    <mergeCell ref="E62:F62"/>
    <mergeCell ref="G62:H62"/>
    <mergeCell ref="I62:J62"/>
    <mergeCell ref="K62:L62"/>
    <mergeCell ref="M62:N62"/>
    <mergeCell ref="O2:P2"/>
    <mergeCell ref="Q2:R2"/>
    <mergeCell ref="S2:T2"/>
    <mergeCell ref="U2:V2"/>
    <mergeCell ref="W2:X2"/>
    <mergeCell ref="A2:B2"/>
    <mergeCell ref="C2:D2"/>
    <mergeCell ref="E2:F2"/>
    <mergeCell ref="G2:H2"/>
    <mergeCell ref="I2:J2"/>
    <mergeCell ref="K2:L2"/>
    <mergeCell ref="M2:N2"/>
    <mergeCell ref="O14:P14"/>
    <mergeCell ref="Q14:R14"/>
    <mergeCell ref="S14:T14"/>
    <mergeCell ref="U14:V14"/>
    <mergeCell ref="W14:X14"/>
    <mergeCell ref="A14:B14"/>
    <mergeCell ref="C14:D14"/>
    <mergeCell ref="E14:F14"/>
    <mergeCell ref="G14:H14"/>
    <mergeCell ref="I14:J14"/>
    <mergeCell ref="K14:L14"/>
    <mergeCell ref="M14:N14"/>
    <mergeCell ref="O24:P24"/>
    <mergeCell ref="Q24:R24"/>
    <mergeCell ref="S24:T24"/>
    <mergeCell ref="U24:V24"/>
    <mergeCell ref="W24:X24"/>
    <mergeCell ref="A24:B24"/>
    <mergeCell ref="C24:D24"/>
    <mergeCell ref="E24:F24"/>
    <mergeCell ref="G24:H24"/>
    <mergeCell ref="I24:J24"/>
    <mergeCell ref="K24:L24"/>
    <mergeCell ref="M24:N24"/>
    <mergeCell ref="O68:P68"/>
    <mergeCell ref="Q68:R68"/>
    <mergeCell ref="S68:T68"/>
    <mergeCell ref="U68:V68"/>
    <mergeCell ref="W68:X68"/>
    <mergeCell ref="A68:B68"/>
    <mergeCell ref="C68:D68"/>
    <mergeCell ref="E68:F68"/>
    <mergeCell ref="G68:H68"/>
    <mergeCell ref="I68:J68"/>
    <mergeCell ref="K68:L68"/>
    <mergeCell ref="M68:N6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1.75"/>
    <col customWidth="1" min="36" max="36" width="32.0"/>
    <col customWidth="1" min="38" max="40" width="13.0"/>
    <col customWidth="1" min="41" max="41" width="32.0"/>
    <col customWidth="1" min="43" max="45" width="13.0"/>
    <col customWidth="1" min="46" max="46" width="31.75"/>
    <col customWidth="1" min="48" max="50" width="13.0"/>
    <col customWidth="1" min="51" max="51" width="32.75"/>
    <col customWidth="1" min="52" max="60" width="13.0"/>
  </cols>
  <sheetData>
    <row r="1" ht="75.0" customHeight="1">
      <c r="A1" s="258" t="s">
        <v>11721</v>
      </c>
      <c r="B1" s="530" t="s">
        <v>760</v>
      </c>
      <c r="C1" s="531" t="s">
        <v>11722</v>
      </c>
      <c r="F1" s="258" t="s">
        <v>11723</v>
      </c>
      <c r="G1" s="530" t="s">
        <v>760</v>
      </c>
      <c r="H1" s="532" t="s">
        <v>11724</v>
      </c>
      <c r="K1" s="258" t="s">
        <v>11725</v>
      </c>
      <c r="L1" s="530" t="s">
        <v>760</v>
      </c>
      <c r="M1" s="533" t="s">
        <v>11726</v>
      </c>
      <c r="P1" s="258" t="str">
        <f>IFERROR(__xludf.DUMMYFUNCTION("GOOGLETRANSLATE(A1,""zh-tw"",""zh"")"),"吃饱效果(夜袭时间延长)")</f>
        <v>吃饱效果(夜袭时间延长)</v>
      </c>
      <c r="Q1" s="530" t="str">
        <f>IFERROR(__xludf.DUMMYFUNCTION("GOOGLETRANSLATE(B1,""zh-tw"",""zh"")"),"A")</f>
        <v>A</v>
      </c>
      <c r="R1" s="181"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258" t="str">
        <f>IFERROR(__xludf.DUMMYFUNCTION("GOOGLETRANSLATE(A1,""zh-tw"",""es-MX"")"),"El efecto de estar bien alimentado (prolonga la duración de las incursiones nocturnas)")</f>
        <v>El efecto de estar bien alimentado (prolonga la duración de las incursiones nocturnas)</v>
      </c>
      <c r="V1" s="530" t="s">
        <v>760</v>
      </c>
      <c r="W1" s="534" t="str">
        <f>IFERROR(__xludf.DUMMYFUNCTION("GOOGLETRANSLATE(C1,""zh-tw"",""es-MX"")"),"Ejemplos de ingredientes: Los ingredientes solo se ponderan y tienen cierto grado de probabilidad y frecuencia, por lo que el éxito no está garantizado siempre.
Por ejemplo, el ingrediente zanahoria contiene simultáneamente las etiquetas Zanahoria, Verdu"&amp;"ra y Rojo.
Además, el mismo conjunto de ingredientes puede dar lugar a platos diferentes.
A cada plato se le pueden añadir chiles, por lo que existe la posibilidad de que resulte más picante. Asimismo, cada chile adicional aumenta la probabilidad de que"&amp;" el plato sea picante.")</f>
        <v>Ejemplos de ingredientes: Los ingredientes solo se ponderan y tienen cierto grado de probabilidad y frecuencia, por lo que el éxito no está garantizado siempre.
Por ejemplo, el ingrediente zanahoria contiene simultáneamente las etiquetas Zanahoria, Verdura y Rojo.
Además, el mismo conjunto de ingredientes puede dar lugar a platos diferentes.
A cada plato se le pueden añadir chiles, por lo que existe la posibilidad de que resulte más picante. Asimismo, cada chile adicional aumenta la probabilidad de que el plato sea picante.</v>
      </c>
      <c r="Z1" s="258" t="str">
        <f>IFERROR(__xludf.DUMMYFUNCTION("GOOGLETRANSLATE(A1,""zh-tw"",""KO"")"),"영양 상태가 좋으면 야간 습격 지속 시간이 길어지는 효과가 있습니다.")</f>
        <v>영양 상태가 좋으면 야간 습격 지속 시간이 길어지는 효과가 있습니다.</v>
      </c>
      <c r="AA1" s="530" t="s">
        <v>760</v>
      </c>
      <c r="AB1" s="534"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258" t="s">
        <v>11727</v>
      </c>
      <c r="AF1" s="530" t="s">
        <v>11728</v>
      </c>
      <c r="AG1" s="535" t="s">
        <v>11729</v>
      </c>
      <c r="AJ1" s="258" t="s">
        <v>11730</v>
      </c>
      <c r="AK1" s="530" t="s">
        <v>11728</v>
      </c>
      <c r="AL1" s="536" t="s">
        <v>11731</v>
      </c>
      <c r="AO1" s="232" t="s">
        <v>11732</v>
      </c>
      <c r="AP1" s="530" t="s">
        <v>760</v>
      </c>
      <c r="AQ1" s="531" t="s">
        <v>11733</v>
      </c>
      <c r="AT1" s="537" t="s">
        <v>11734</v>
      </c>
      <c r="AU1" s="538" t="s">
        <v>760</v>
      </c>
      <c r="AV1" s="539" t="s">
        <v>11735</v>
      </c>
      <c r="AY1" s="258" t="s">
        <v>11736</v>
      </c>
      <c r="AZ1" s="530" t="s">
        <v>760</v>
      </c>
      <c r="BA1" s="534" t="s">
        <v>11737</v>
      </c>
      <c r="BD1" s="534"/>
      <c r="BE1" s="534"/>
      <c r="BF1" s="534"/>
      <c r="BG1" s="534"/>
      <c r="BH1" s="534"/>
    </row>
    <row r="2" ht="75.0" customHeight="1">
      <c r="A2" s="258" t="s">
        <v>11738</v>
      </c>
      <c r="B2" s="530" t="s">
        <v>1729</v>
      </c>
      <c r="F2" s="258" t="s">
        <v>11739</v>
      </c>
      <c r="G2" s="530" t="s">
        <v>1729</v>
      </c>
      <c r="K2" s="258" t="s">
        <v>11740</v>
      </c>
      <c r="L2" s="530" t="s">
        <v>1729</v>
      </c>
      <c r="P2" s="258" t="str">
        <f>IFERROR(__xludf.DUMMYFUNCTION("GOOGLETRANSLATE(A2,""zh-tw"",""zh"")"),"妹妹辣到哭了(机率触发)")</f>
        <v>妹妹辣到哭了(机率触发)</v>
      </c>
      <c r="Q2" s="530" t="str">
        <f>IFERROR(__xludf.DUMMYFUNCTION("GOOGLETRANSLATE(B2,""zh-tw"",""zh"")"),"B")</f>
        <v>B</v>
      </c>
      <c r="U2" s="258" t="str">
        <f>IFERROR(__xludf.DUMMYFUNCTION("GOOGLETRANSLATE(A2,""zh-tw"",""es-MX"")"),"Mi hermana lloró porque la comida estaba muy picante (un desencadenante aleatorio).")</f>
        <v>Mi hermana lloró porque la comida estaba muy picante (un desencadenante aleatorio).</v>
      </c>
      <c r="V2" s="530" t="s">
        <v>1729</v>
      </c>
      <c r="Z2" s="258" t="str">
        <f>IFERROR(__xludf.DUMMYFUNCTION("GOOGLETRANSLATE(A2,""zh-tw"",""KO"")"),"내 여동생은 음식이 너무 매워서 울었어요 (우연한 계기).")</f>
        <v>내 여동생은 음식이 너무 매워서 울었어요 (우연한 계기).</v>
      </c>
      <c r="AA2" s="530" t="s">
        <v>1729</v>
      </c>
      <c r="AE2" s="258" t="s">
        <v>11741</v>
      </c>
      <c r="AF2" s="530" t="s">
        <v>11742</v>
      </c>
      <c r="AJ2" s="258" t="s">
        <v>11743</v>
      </c>
      <c r="AK2" s="530" t="s">
        <v>11742</v>
      </c>
      <c r="AO2" s="232" t="s">
        <v>11744</v>
      </c>
      <c r="AP2" s="530" t="s">
        <v>1729</v>
      </c>
      <c r="AT2" s="540" t="s">
        <v>11745</v>
      </c>
      <c r="AU2" s="541" t="s">
        <v>1729</v>
      </c>
      <c r="AY2" s="258" t="s">
        <v>11746</v>
      </c>
      <c r="AZ2" s="530" t="s">
        <v>1729</v>
      </c>
      <c r="BD2" s="534"/>
      <c r="BE2" s="534"/>
      <c r="BF2" s="534"/>
      <c r="BG2" s="534"/>
      <c r="BH2" s="534"/>
    </row>
    <row r="3">
      <c r="A3" s="542" t="s">
        <v>11747</v>
      </c>
      <c r="B3" s="543" t="s">
        <v>10614</v>
      </c>
      <c r="F3" s="542" t="str">
        <f>IFERROR(__xludf.DUMMYFUNCTION("GOOGLETRANSLATE(A3,""zh-tw"",""ja"")"),"料理名")</f>
        <v>料理名</v>
      </c>
      <c r="G3" s="543" t="str">
        <f>IFERROR(__xludf.DUMMYFUNCTION("GOOGLETRANSLATE(B3,""zh-tw"",""ja"")"),"効果")</f>
        <v>効果</v>
      </c>
      <c r="K3" s="542" t="s">
        <v>11748</v>
      </c>
      <c r="L3" s="543" t="s">
        <v>11749</v>
      </c>
      <c r="P3" s="542" t="str">
        <f>IFERROR(__xludf.DUMMYFUNCTION("GOOGLETRANSLATE(A3,""zh-tw"",""zh"")"),"料理名")</f>
        <v>料理名</v>
      </c>
      <c r="Q3" s="543" t="str">
        <f>IFERROR(__xludf.DUMMYFUNCTION("GOOGLETRANSLATE(B3,""zh-tw"",""zh"")"),"效果")</f>
        <v>效果</v>
      </c>
      <c r="U3" s="542" t="str">
        <f>IFERROR(__xludf.DUMMYFUNCTION("GOOGLETRANSLATE(A3,""zh-tw"",""es-MX"")"),"Nombre del plato")</f>
        <v>Nombre del plato</v>
      </c>
      <c r="V3" s="544" t="str">
        <f>IFERROR(__xludf.DUMMYFUNCTION("GOOGLETRANSLATE(B3,""zh-tw"",""es-MX"")"),"Efecto")</f>
        <v>Efecto</v>
      </c>
      <c r="Z3" s="542" t="str">
        <f>IFERROR(__xludf.DUMMYFUNCTION("GOOGLETRANSLATE(A3,""zh-tw"",""KO"")"),"요리 이름")</f>
        <v>요리 이름</v>
      </c>
      <c r="AA3" s="545" t="str">
        <f>IFERROR(__xludf.DUMMYFUNCTION("GOOGLETRANSLATE(B3,""zh-tw"",""KO"")"),"효과")</f>
        <v>효과</v>
      </c>
      <c r="AE3" s="542" t="s">
        <v>11750</v>
      </c>
      <c r="AF3" s="544" t="s">
        <v>10617</v>
      </c>
      <c r="AJ3" s="542" t="s">
        <v>11751</v>
      </c>
      <c r="AK3" s="544" t="s">
        <v>10618</v>
      </c>
      <c r="AO3" s="546" t="s">
        <v>11752</v>
      </c>
      <c r="AP3" s="545" t="s">
        <v>11753</v>
      </c>
      <c r="AT3" s="547" t="s">
        <v>11754</v>
      </c>
      <c r="AU3" s="548" t="s">
        <v>8348</v>
      </c>
      <c r="AY3" s="542" t="s">
        <v>11755</v>
      </c>
      <c r="AZ3" s="543" t="s">
        <v>10624</v>
      </c>
      <c r="BD3" s="534"/>
      <c r="BE3" s="534"/>
      <c r="BF3" s="534"/>
      <c r="BG3" s="534"/>
      <c r="BH3" s="534"/>
    </row>
    <row r="4">
      <c r="A4" s="189" t="s">
        <v>11756</v>
      </c>
      <c r="B4" s="549"/>
      <c r="C4" s="271" t="s">
        <v>11757</v>
      </c>
      <c r="D4" s="181"/>
      <c r="E4" s="181"/>
      <c r="F4" s="189" t="s">
        <v>11758</v>
      </c>
      <c r="G4" s="549"/>
      <c r="H4" s="271" t="s">
        <v>11759</v>
      </c>
      <c r="I4" s="181"/>
      <c r="J4" s="181"/>
      <c r="K4" s="270" t="s">
        <v>11760</v>
      </c>
      <c r="L4" s="549"/>
      <c r="M4" s="205" t="s">
        <v>11761</v>
      </c>
      <c r="N4" s="254"/>
      <c r="O4" s="254"/>
      <c r="P4" s="270" t="str">
        <f>IFERROR(__xludf.DUMMYFUNCTION("GOOGLETRANSLATE(A4,""zh-tw"",""zh"")"),"史莱姆果冻")</f>
        <v>史莱姆果冻</v>
      </c>
      <c r="Q4" s="530"/>
      <c r="R4" s="271" t="str">
        <f>IFERROR(__xludf.DUMMYFUNCTION("GOOGLETRANSLATE(C4,""zh-tw"",""zh"")"),"史莱姆黏液")</f>
        <v>史莱姆黏液</v>
      </c>
      <c r="S4" s="271"/>
      <c r="T4" s="271"/>
      <c r="U4" s="189" t="str">
        <f>IFERROR(__xludf.DUMMYFUNCTION("GOOGLETRANSLATE(A4,""zh-tw"",""es-MX"")"),"Gelatina viscosa")</f>
        <v>Gelatina viscosa</v>
      </c>
      <c r="V4" s="544"/>
      <c r="W4" s="271" t="str">
        <f>IFERROR(__xludf.DUMMYFUNCTION("GOOGLETRANSLATE(C4,""zh-tw"",""es-MX"")"),"limo")</f>
        <v>limo</v>
      </c>
      <c r="X4" s="271"/>
      <c r="Y4" s="271"/>
      <c r="Z4" s="550" t="str">
        <f>IFERROR(__xludf.DUMMYFUNCTION("GOOGLETRANSLATE(A4,""zh-tw"",""KO"")"),"슬라임 젤리")</f>
        <v>슬라임 젤리</v>
      </c>
      <c r="AA4" s="545"/>
      <c r="AB4" s="205" t="s">
        <v>11762</v>
      </c>
      <c r="AC4" s="181"/>
      <c r="AD4" s="181"/>
      <c r="AE4" s="189" t="s">
        <v>11763</v>
      </c>
      <c r="AF4" s="551"/>
      <c r="AG4" s="271" t="s">
        <v>11764</v>
      </c>
      <c r="AH4" s="267"/>
      <c r="AI4" s="267"/>
      <c r="AJ4" s="550" t="s">
        <v>11765</v>
      </c>
      <c r="AK4" s="285"/>
      <c r="AL4" s="271" t="s">
        <v>11766</v>
      </c>
      <c r="AM4" s="552"/>
      <c r="AN4" s="552"/>
      <c r="AO4" s="275" t="s">
        <v>11767</v>
      </c>
      <c r="AP4" s="545"/>
      <c r="AQ4" s="205" t="s">
        <v>11768</v>
      </c>
      <c r="AR4" s="254"/>
      <c r="AS4" s="254"/>
      <c r="AT4" s="264" t="s">
        <v>11769</v>
      </c>
      <c r="AU4" s="553"/>
      <c r="AV4" s="266" t="s">
        <v>11770</v>
      </c>
      <c r="AW4" s="539"/>
      <c r="AX4" s="539"/>
      <c r="AY4" s="231" t="s">
        <v>11771</v>
      </c>
      <c r="AZ4" s="554"/>
      <c r="BA4" s="254" t="s">
        <v>11772</v>
      </c>
      <c r="BB4" s="101"/>
      <c r="BC4" s="101"/>
      <c r="BD4" s="101"/>
      <c r="BE4" s="101"/>
      <c r="BF4" s="101"/>
      <c r="BG4" s="101"/>
      <c r="BH4" s="101"/>
    </row>
    <row r="5">
      <c r="A5" s="189" t="s">
        <v>11773</v>
      </c>
      <c r="B5" s="549"/>
      <c r="C5" s="271" t="s">
        <v>11774</v>
      </c>
      <c r="D5" s="271" t="s">
        <v>11775</v>
      </c>
      <c r="E5" s="181"/>
      <c r="F5" s="189" t="s">
        <v>11776</v>
      </c>
      <c r="G5" s="549"/>
      <c r="H5" s="271" t="s">
        <v>11777</v>
      </c>
      <c r="I5" s="271" t="s">
        <v>11778</v>
      </c>
      <c r="J5" s="181"/>
      <c r="K5" s="240" t="s">
        <v>11779</v>
      </c>
      <c r="L5" s="549"/>
      <c r="M5" s="205" t="s">
        <v>11780</v>
      </c>
      <c r="N5" s="205" t="s">
        <v>11781</v>
      </c>
      <c r="O5" s="254"/>
      <c r="P5" s="270" t="str">
        <f>IFERROR(__xludf.DUMMYFUNCTION("GOOGLETRANSLATE(A5,""zh-tw"",""zh"")"),"咖喱饭")</f>
        <v>咖喱饭</v>
      </c>
      <c r="Q5" s="530"/>
      <c r="R5" s="271" t="str">
        <f>IFERROR(__xludf.DUMMYFUNCTION("GOOGLETRANSLATE(C5,""zh-tw"",""zh"")"),"白米饭")</f>
        <v>白米饭</v>
      </c>
      <c r="S5" s="271" t="str">
        <f>IFERROR(__xludf.DUMMYFUNCTION("GOOGLETRANSLATE(D5,""zh-tw"",""zh"")"),"咖喱块")</f>
        <v>咖喱块</v>
      </c>
      <c r="T5" s="271"/>
      <c r="U5" s="189" t="str">
        <f>IFERROR(__xludf.DUMMYFUNCTION("GOOGLETRANSLATE(A5,""zh-tw"",""es-MX"")"),"Arroz al curry")</f>
        <v>Arroz al curry</v>
      </c>
      <c r="V5" s="544"/>
      <c r="W5" s="271" t="str">
        <f>IFERROR(__xludf.DUMMYFUNCTION("GOOGLETRANSLATE(C5,""zh-tw"",""es-MX"")"),"arroz blanco")</f>
        <v>arroz blanco</v>
      </c>
      <c r="X5" s="271" t="str">
        <f>IFERROR(__xludf.DUMMYFUNCTION("GOOGLETRANSLATE(D5,""zh-tw"",""es-MX"")"),"cubos de curry")</f>
        <v>cubos de curry</v>
      </c>
      <c r="Y5" s="271"/>
      <c r="Z5" s="550" t="str">
        <f>IFERROR(__xludf.DUMMYFUNCTION("GOOGLETRANSLATE(A5,""zh-tw"",""KO"")"),"카레라이스")</f>
        <v>카레라이스</v>
      </c>
      <c r="AA5" s="545"/>
      <c r="AB5" s="254" t="str">
        <f>IFERROR(__xludf.DUMMYFUNCTION("GOOGLETRANSLATE(C5,""zh-tw"",""KO"")"),"흰쌀")</f>
        <v>흰쌀</v>
      </c>
      <c r="AC5" s="205" t="s">
        <v>11782</v>
      </c>
      <c r="AD5" s="254"/>
      <c r="AE5" s="189" t="s">
        <v>11783</v>
      </c>
      <c r="AF5" s="551"/>
      <c r="AG5" s="271" t="s">
        <v>11784</v>
      </c>
      <c r="AH5" s="271" t="s">
        <v>11785</v>
      </c>
      <c r="AI5" s="267"/>
      <c r="AJ5" s="550" t="s">
        <v>11786</v>
      </c>
      <c r="AK5" s="285"/>
      <c r="AL5" s="271" t="s">
        <v>11784</v>
      </c>
      <c r="AM5" s="271" t="s">
        <v>11787</v>
      </c>
      <c r="AN5" s="552"/>
      <c r="AO5" s="275" t="s">
        <v>11788</v>
      </c>
      <c r="AP5" s="545"/>
      <c r="AQ5" s="205" t="s">
        <v>11789</v>
      </c>
      <c r="AR5" s="205" t="s">
        <v>11790</v>
      </c>
      <c r="AS5" s="254"/>
      <c r="AT5" s="167" t="s">
        <v>11791</v>
      </c>
      <c r="AU5" s="553"/>
      <c r="AV5" s="266" t="s">
        <v>11792</v>
      </c>
      <c r="AW5" s="266" t="s">
        <v>11793</v>
      </c>
      <c r="AX5" s="539"/>
      <c r="AY5" s="189" t="s">
        <v>11794</v>
      </c>
      <c r="AZ5" s="554"/>
      <c r="BA5" s="254" t="s">
        <v>11795</v>
      </c>
      <c r="BB5" s="205" t="s">
        <v>11796</v>
      </c>
      <c r="BC5" s="101"/>
      <c r="BD5" s="101"/>
      <c r="BE5" s="101"/>
      <c r="BF5" s="101"/>
      <c r="BG5" s="101"/>
      <c r="BH5" s="101"/>
    </row>
    <row r="6">
      <c r="A6" s="189" t="s">
        <v>11797</v>
      </c>
      <c r="B6" s="549"/>
      <c r="C6" s="271" t="s">
        <v>8116</v>
      </c>
      <c r="D6" s="271" t="s">
        <v>11798</v>
      </c>
      <c r="E6" s="181"/>
      <c r="F6" s="189" t="s">
        <v>11799</v>
      </c>
      <c r="G6" s="549"/>
      <c r="H6" s="271" t="s">
        <v>8117</v>
      </c>
      <c r="I6" s="271" t="s">
        <v>11800</v>
      </c>
      <c r="J6" s="181"/>
      <c r="K6" s="270" t="s">
        <v>11801</v>
      </c>
      <c r="L6" s="549"/>
      <c r="M6" s="205" t="s">
        <v>8118</v>
      </c>
      <c r="N6" s="205" t="s">
        <v>11802</v>
      </c>
      <c r="O6" s="254"/>
      <c r="P6" s="270" t="str">
        <f>IFERROR(__xludf.DUMMYFUNCTION("GOOGLETRANSLATE(A6,""zh-tw"",""zh"")"),"苹果派")</f>
        <v>苹果派</v>
      </c>
      <c r="Q6" s="530"/>
      <c r="R6" s="271" t="str">
        <f>IFERROR(__xludf.DUMMYFUNCTION("GOOGLETRANSLATE(C6,""zh-tw"",""zh"")"),"苹果")</f>
        <v>苹果</v>
      </c>
      <c r="S6" s="271" t="str">
        <f>IFERROR(__xludf.DUMMYFUNCTION("GOOGLETRANSLATE(D6,""zh-tw"",""zh"")"),"小麦粉")</f>
        <v>小麦粉</v>
      </c>
      <c r="T6" s="271"/>
      <c r="U6" s="189" t="str">
        <f>IFERROR(__xludf.DUMMYFUNCTION("GOOGLETRANSLATE(A6,""zh-tw"",""es-MX"")"),"Tarta de manzana")</f>
        <v>Tarta de manzana</v>
      </c>
      <c r="V6" s="544"/>
      <c r="W6" s="271" t="str">
        <f>IFERROR(__xludf.DUMMYFUNCTION("GOOGLETRANSLATE(C6,""zh-tw"",""es-MX"")"),"manzana")</f>
        <v>manzana</v>
      </c>
      <c r="X6" s="271" t="str">
        <f>IFERROR(__xludf.DUMMYFUNCTION("GOOGLETRANSLATE(D6,""zh-tw"",""es-MX"")"),"harina de trigo")</f>
        <v>harina de trigo</v>
      </c>
      <c r="Y6" s="271"/>
      <c r="Z6" s="550" t="str">
        <f>IFERROR(__xludf.DUMMYFUNCTION("GOOGLETRANSLATE(A6,""zh-tw"",""KO"")"),"애플파이")</f>
        <v>애플파이</v>
      </c>
      <c r="AA6" s="545"/>
      <c r="AB6" s="254" t="str">
        <f>IFERROR(__xludf.DUMMYFUNCTION("GOOGLETRANSLATE(C6,""zh-tw"",""KO"")"),"사과")</f>
        <v>사과</v>
      </c>
      <c r="AC6" s="254" t="str">
        <f>IFERROR(__xludf.DUMMYFUNCTION("GOOGLETRANSLATE(D6,""zh-tw"",""KO"")"),"밀가루")</f>
        <v>밀가루</v>
      </c>
      <c r="AD6" s="254"/>
      <c r="AE6" s="189" t="s">
        <v>11803</v>
      </c>
      <c r="AF6" s="551"/>
      <c r="AG6" s="271" t="s">
        <v>8120</v>
      </c>
      <c r="AH6" s="271" t="s">
        <v>11804</v>
      </c>
      <c r="AI6" s="267"/>
      <c r="AJ6" s="550" t="s">
        <v>11805</v>
      </c>
      <c r="AK6" s="285"/>
      <c r="AL6" s="271" t="s">
        <v>8120</v>
      </c>
      <c r="AM6" s="271" t="s">
        <v>11806</v>
      </c>
      <c r="AN6" s="552"/>
      <c r="AO6" s="275" t="s">
        <v>11807</v>
      </c>
      <c r="AP6" s="545"/>
      <c r="AQ6" s="205" t="s">
        <v>8121</v>
      </c>
      <c r="AR6" s="205" t="s">
        <v>11808</v>
      </c>
      <c r="AS6" s="254"/>
      <c r="AT6" s="264" t="s">
        <v>11809</v>
      </c>
      <c r="AU6" s="553"/>
      <c r="AV6" s="266" t="s">
        <v>8122</v>
      </c>
      <c r="AW6" s="266" t="s">
        <v>11810</v>
      </c>
      <c r="AX6" s="539"/>
      <c r="AY6" s="189" t="s">
        <v>11811</v>
      </c>
      <c r="AZ6" s="554"/>
      <c r="BA6" s="254" t="s">
        <v>8123</v>
      </c>
      <c r="BB6" s="254" t="s">
        <v>11812</v>
      </c>
      <c r="BC6" s="101"/>
      <c r="BD6" s="101"/>
      <c r="BE6" s="101"/>
      <c r="BF6" s="101"/>
      <c r="BG6" s="101"/>
      <c r="BH6" s="101"/>
    </row>
    <row r="7">
      <c r="A7" s="189" t="s">
        <v>11813</v>
      </c>
      <c r="B7" s="549"/>
      <c r="C7" s="271" t="s">
        <v>8116</v>
      </c>
      <c r="D7" s="181"/>
      <c r="E7" s="181"/>
      <c r="F7" s="189" t="s">
        <v>11814</v>
      </c>
      <c r="G7" s="549"/>
      <c r="H7" s="271" t="s">
        <v>8117</v>
      </c>
      <c r="I7" s="181"/>
      <c r="J7" s="181"/>
      <c r="K7" s="270" t="s">
        <v>11815</v>
      </c>
      <c r="L7" s="549"/>
      <c r="M7" s="205" t="s">
        <v>8118</v>
      </c>
      <c r="N7" s="254"/>
      <c r="O7" s="254"/>
      <c r="P7" s="270" t="str">
        <f>IFERROR(__xludf.DUMMYFUNCTION("GOOGLETRANSLATE(A7,""zh-tw"",""zh"")"),"烤苹果")</f>
        <v>烤苹果</v>
      </c>
      <c r="Q7" s="530"/>
      <c r="R7" s="271" t="str">
        <f>IFERROR(__xludf.DUMMYFUNCTION("GOOGLETRANSLATE(C7,""zh-tw"",""zh"")"),"苹果")</f>
        <v>苹果</v>
      </c>
      <c r="S7" s="271"/>
      <c r="T7" s="271"/>
      <c r="U7" s="189" t="str">
        <f>IFERROR(__xludf.DUMMYFUNCTION("GOOGLETRANSLATE(A7,""zh-tw"",""es-MX"")"),"Manzanas asadas")</f>
        <v>Manzanas asadas</v>
      </c>
      <c r="V7" s="544"/>
      <c r="W7" s="271" t="str">
        <f>IFERROR(__xludf.DUMMYFUNCTION("GOOGLETRANSLATE(C7,""zh-tw"",""es-MX"")"),"manzana")</f>
        <v>manzana</v>
      </c>
      <c r="X7" s="271"/>
      <c r="Y7" s="271"/>
      <c r="Z7" s="550" t="str">
        <f>IFERROR(__xludf.DUMMYFUNCTION("GOOGLETRANSLATE(A7,""zh-tw"",""KO"")"),"구운 사과")</f>
        <v>구운 사과</v>
      </c>
      <c r="AA7" s="545"/>
      <c r="AB7" s="254" t="str">
        <f>IFERROR(__xludf.DUMMYFUNCTION("GOOGLETRANSLATE(C7,""zh-tw"",""KO"")"),"사과")</f>
        <v>사과</v>
      </c>
      <c r="AC7" s="254"/>
      <c r="AD7" s="254"/>
      <c r="AE7" s="189" t="s">
        <v>11816</v>
      </c>
      <c r="AF7" s="551"/>
      <c r="AG7" s="271" t="s">
        <v>8119</v>
      </c>
      <c r="AH7" s="267"/>
      <c r="AI7" s="267"/>
      <c r="AJ7" s="550" t="s">
        <v>11817</v>
      </c>
      <c r="AK7" s="285"/>
      <c r="AL7" s="271" t="s">
        <v>8120</v>
      </c>
      <c r="AM7" s="552"/>
      <c r="AN7" s="552"/>
      <c r="AO7" s="275" t="s">
        <v>11818</v>
      </c>
      <c r="AP7" s="545"/>
      <c r="AQ7" s="205" t="s">
        <v>8121</v>
      </c>
      <c r="AR7" s="254"/>
      <c r="AS7" s="254"/>
      <c r="AT7" s="264" t="s">
        <v>11819</v>
      </c>
      <c r="AU7" s="553"/>
      <c r="AV7" s="266" t="s">
        <v>8122</v>
      </c>
      <c r="AW7" s="539"/>
      <c r="AX7" s="539"/>
      <c r="AY7" s="231" t="s">
        <v>11820</v>
      </c>
      <c r="AZ7" s="554"/>
      <c r="BA7" s="254" t="s">
        <v>8123</v>
      </c>
      <c r="BB7" s="101"/>
      <c r="BC7" s="101"/>
      <c r="BD7" s="101"/>
      <c r="BE7" s="101"/>
      <c r="BF7" s="101"/>
      <c r="BG7" s="101"/>
      <c r="BH7" s="101"/>
    </row>
    <row r="8">
      <c r="A8" s="189" t="s">
        <v>11821</v>
      </c>
      <c r="B8" s="549"/>
      <c r="C8" s="271" t="s">
        <v>11822</v>
      </c>
      <c r="F8" s="189" t="s">
        <v>11823</v>
      </c>
      <c r="G8" s="549"/>
      <c r="H8" s="271" t="s">
        <v>1292</v>
      </c>
      <c r="I8" s="181"/>
      <c r="J8" s="181"/>
      <c r="K8" s="270" t="s">
        <v>11824</v>
      </c>
      <c r="L8" s="549"/>
      <c r="M8" s="205" t="s">
        <v>11825</v>
      </c>
      <c r="N8" s="254"/>
      <c r="O8" s="254"/>
      <c r="P8" s="270" t="str">
        <f>IFERROR(__xludf.DUMMYFUNCTION("GOOGLETRANSLATE(A8,""zh-tw"",""zh"")"),"炒贝类")</f>
        <v>炒贝类</v>
      </c>
      <c r="Q8" s="530"/>
      <c r="R8" s="271" t="str">
        <f>IFERROR(__xludf.DUMMYFUNCTION("GOOGLETRANSLATE(C8,""zh-tw"",""zh"")"),"未实装(之后河边炸鱼可以炸出贝壳)")</f>
        <v>未实装(之后河边炸鱼可以炸出贝壳)</v>
      </c>
      <c r="U8" s="189" t="str">
        <f>IFERROR(__xludf.DUMMYFUNCTION("GOOGLETRANSLATE(A8,""zh-tw"",""es-MX"")"),"Mariscos salteados")</f>
        <v>Mariscos salteados</v>
      </c>
      <c r="V8" s="544"/>
      <c r="W8" s="271" t="str">
        <f>IFERROR(__xludf.DUMMYFUNCTION("GOOGLETRANSLATE(C8,""zh-tw"",""es-MX"")"),"Aún no implementado (más adelante, podrás disparar a los peces en el río y obtener conchas marinas).")</f>
        <v>Aún no implementado (más adelante, podrás disparar a los peces en el río y obtener conchas marinas).</v>
      </c>
      <c r="Z8" s="275" t="s">
        <v>11826</v>
      </c>
      <c r="AA8" s="545"/>
      <c r="AB8" s="205" t="s">
        <v>1301</v>
      </c>
      <c r="AE8" s="189" t="s">
        <v>11827</v>
      </c>
      <c r="AF8" s="551"/>
      <c r="AG8" s="271" t="s">
        <v>11828</v>
      </c>
      <c r="AJ8" s="550" t="s">
        <v>11829</v>
      </c>
      <c r="AK8" s="285"/>
      <c r="AL8" s="271" t="s">
        <v>11830</v>
      </c>
      <c r="AO8" s="275" t="s">
        <v>11831</v>
      </c>
      <c r="AP8" s="545"/>
      <c r="AQ8" s="205" t="s">
        <v>11832</v>
      </c>
      <c r="AT8" s="167" t="s">
        <v>11833</v>
      </c>
      <c r="AU8" s="553"/>
      <c r="AV8" s="266" t="s">
        <v>1673</v>
      </c>
      <c r="AW8" s="539"/>
      <c r="AX8" s="539"/>
      <c r="AY8" s="189" t="s">
        <v>11834</v>
      </c>
      <c r="AZ8" s="554"/>
      <c r="BA8" s="254" t="s">
        <v>1676</v>
      </c>
      <c r="BB8" s="101"/>
      <c r="BC8" s="101"/>
      <c r="BD8" s="101"/>
      <c r="BE8" s="101"/>
      <c r="BF8" s="101"/>
      <c r="BG8" s="101"/>
      <c r="BH8" s="101"/>
    </row>
    <row r="9">
      <c r="A9" s="189" t="s">
        <v>11835</v>
      </c>
      <c r="B9" s="549"/>
      <c r="C9" s="271" t="s">
        <v>11836</v>
      </c>
      <c r="D9" s="181"/>
      <c r="E9" s="181"/>
      <c r="F9" s="189" t="s">
        <v>11837</v>
      </c>
      <c r="G9" s="549"/>
      <c r="H9" s="271" t="s">
        <v>11836</v>
      </c>
      <c r="I9" s="181"/>
      <c r="J9" s="181"/>
      <c r="K9" s="270" t="s">
        <v>11838</v>
      </c>
      <c r="L9" s="549"/>
      <c r="M9" s="205" t="s">
        <v>11839</v>
      </c>
      <c r="N9" s="254"/>
      <c r="O9" s="254"/>
      <c r="P9" s="270" t="str">
        <f>IFERROR(__xludf.DUMMYFUNCTION("GOOGLETRANSLATE(A9,""zh-tw"",""zh"")"),"煎鱼")</f>
        <v>煎鱼</v>
      </c>
      <c r="Q9" s="530"/>
      <c r="R9" s="271" t="str">
        <f>IFERROR(__xludf.DUMMYFUNCTION("GOOGLETRANSLATE(C9,""zh-tw"",""zh"")"),"鱼类")</f>
        <v>鱼类</v>
      </c>
      <c r="S9" s="271"/>
      <c r="T9" s="271"/>
      <c r="U9" s="189" t="str">
        <f>IFERROR(__xludf.DUMMYFUNCTION("GOOGLETRANSLATE(A9,""zh-tw"",""es-MX"")"),"Pescado frito")</f>
        <v>Pescado frito</v>
      </c>
      <c r="V9" s="544"/>
      <c r="W9" s="271" t="str">
        <f>IFERROR(__xludf.DUMMYFUNCTION("GOOGLETRANSLATE(C9,""zh-tw"",""es-MX"")"),"pez")</f>
        <v>pez</v>
      </c>
      <c r="X9" s="271"/>
      <c r="Y9" s="271"/>
      <c r="Z9" s="275" t="s">
        <v>11840</v>
      </c>
      <c r="AA9" s="545"/>
      <c r="AB9" s="254" t="str">
        <f>IFERROR(__xludf.DUMMYFUNCTION("GOOGLETRANSLATE(C9,""zh-tw"",""KO"")"),"물고기")</f>
        <v>물고기</v>
      </c>
      <c r="AC9" s="254"/>
      <c r="AD9" s="254"/>
      <c r="AE9" s="189" t="s">
        <v>11841</v>
      </c>
      <c r="AF9" s="551"/>
      <c r="AG9" s="271" t="s">
        <v>11842</v>
      </c>
      <c r="AH9" s="267"/>
      <c r="AI9" s="267"/>
      <c r="AJ9" s="550" t="s">
        <v>11843</v>
      </c>
      <c r="AK9" s="285"/>
      <c r="AL9" s="271" t="s">
        <v>11844</v>
      </c>
      <c r="AM9" s="552"/>
      <c r="AN9" s="552"/>
      <c r="AO9" s="275" t="s">
        <v>11845</v>
      </c>
      <c r="AP9" s="545"/>
      <c r="AQ9" s="205" t="s">
        <v>11846</v>
      </c>
      <c r="AR9" s="254"/>
      <c r="AS9" s="254"/>
      <c r="AT9" s="264" t="s">
        <v>11847</v>
      </c>
      <c r="AU9" s="553"/>
      <c r="AV9" s="266" t="s">
        <v>11848</v>
      </c>
      <c r="AW9" s="539"/>
      <c r="AX9" s="539"/>
      <c r="AY9" s="189" t="s">
        <v>11849</v>
      </c>
      <c r="AZ9" s="554"/>
      <c r="BA9" s="254" t="s">
        <v>11850</v>
      </c>
      <c r="BB9" s="101"/>
      <c r="BC9" s="101"/>
      <c r="BD9" s="101"/>
      <c r="BE9" s="101"/>
      <c r="BF9" s="101"/>
      <c r="BG9" s="101"/>
      <c r="BH9" s="101"/>
    </row>
    <row r="10">
      <c r="A10" s="189" t="s">
        <v>11851</v>
      </c>
      <c r="B10" s="549"/>
      <c r="C10" s="271" t="s">
        <v>11852</v>
      </c>
      <c r="D10" s="271" t="s">
        <v>11852</v>
      </c>
      <c r="E10" s="271" t="s">
        <v>11852</v>
      </c>
      <c r="F10" s="189" t="s">
        <v>11853</v>
      </c>
      <c r="G10" s="549"/>
      <c r="H10" s="271" t="s">
        <v>11854</v>
      </c>
      <c r="I10" s="271" t="s">
        <v>11854</v>
      </c>
      <c r="J10" s="271" t="s">
        <v>11854</v>
      </c>
      <c r="K10" s="270" t="s">
        <v>11855</v>
      </c>
      <c r="L10" s="549"/>
      <c r="M10" s="205" t="s">
        <v>11856</v>
      </c>
      <c r="N10" s="205" t="s">
        <v>11856</v>
      </c>
      <c r="O10" s="205" t="s">
        <v>11856</v>
      </c>
      <c r="P10" s="270" t="str">
        <f>IFERROR(__xludf.DUMMYFUNCTION("GOOGLETRANSLATE(A10,""zh-tw"",""zh"")"),"炒蘑菇")</f>
        <v>炒蘑菇</v>
      </c>
      <c r="Q10" s="530"/>
      <c r="R10" s="271" t="str">
        <f>IFERROR(__xludf.DUMMYFUNCTION("GOOGLETRANSLATE(C10,""zh-tw"",""zh"")"),"香菇")</f>
        <v>香菇</v>
      </c>
      <c r="S10" s="271" t="str">
        <f>IFERROR(__xludf.DUMMYFUNCTION("GOOGLETRANSLATE(D10,""zh-tw"",""zh"")"),"香菇")</f>
        <v>香菇</v>
      </c>
      <c r="T10" s="271" t="str">
        <f>IFERROR(__xludf.DUMMYFUNCTION("GOOGLETRANSLATE(E10,""zh-tw"",""zh"")"),"香菇")</f>
        <v>香菇</v>
      </c>
      <c r="U10" s="189" t="str">
        <f>IFERROR(__xludf.DUMMYFUNCTION("GOOGLETRANSLATE(A10,""zh-tw"",""es-MX"")"),"Champiñones salteados")</f>
        <v>Champiñones salteados</v>
      </c>
      <c r="V10" s="544"/>
      <c r="W10" s="271" t="str">
        <f>IFERROR(__xludf.DUMMYFUNCTION("GOOGLETRANSLATE(C10,""zh-tw"",""es-MX"")"),"champiñón")</f>
        <v>champiñón</v>
      </c>
      <c r="X10" s="271" t="str">
        <f>IFERROR(__xludf.DUMMYFUNCTION("GOOGLETRANSLATE(D10,""zh-tw"",""es-MX"")"),"champiñón")</f>
        <v>champiñón</v>
      </c>
      <c r="Y10" s="271" t="str">
        <f>IFERROR(__xludf.DUMMYFUNCTION("GOOGLETRANSLATE(E10,""zh-tw"",""es-MX"")"),"champiñón")</f>
        <v>champiñón</v>
      </c>
      <c r="Z10" s="275" t="s">
        <v>11857</v>
      </c>
      <c r="AA10" s="545"/>
      <c r="AB10" s="254" t="str">
        <f>IFERROR(__xludf.DUMMYFUNCTION("GOOGLETRANSLATE(C10,""zh-tw"",""KO"")"),"버섯")</f>
        <v>버섯</v>
      </c>
      <c r="AC10" s="254" t="str">
        <f>IFERROR(__xludf.DUMMYFUNCTION("GOOGLETRANSLATE(D10,""zh-tw"",""KO"")"),"버섯")</f>
        <v>버섯</v>
      </c>
      <c r="AD10" s="254" t="str">
        <f>IFERROR(__xludf.DUMMYFUNCTION("GOOGLETRANSLATE(E10,""zh-tw"",""KO"")"),"버섯")</f>
        <v>버섯</v>
      </c>
      <c r="AE10" s="189" t="s">
        <v>11858</v>
      </c>
      <c r="AF10" s="551"/>
      <c r="AG10" s="271" t="s">
        <v>11859</v>
      </c>
      <c r="AH10" s="271" t="s">
        <v>11859</v>
      </c>
      <c r="AI10" s="271" t="s">
        <v>11859</v>
      </c>
      <c r="AJ10" s="275" t="s">
        <v>11860</v>
      </c>
      <c r="AK10" s="285"/>
      <c r="AL10" s="271" t="s">
        <v>11859</v>
      </c>
      <c r="AM10" s="271" t="s">
        <v>11859</v>
      </c>
      <c r="AN10" s="271" t="s">
        <v>11859</v>
      </c>
      <c r="AO10" s="275" t="s">
        <v>11861</v>
      </c>
      <c r="AP10" s="545"/>
      <c r="AQ10" s="205" t="s">
        <v>11862</v>
      </c>
      <c r="AR10" s="205" t="s">
        <v>11862</v>
      </c>
      <c r="AS10" s="205" t="s">
        <v>11862</v>
      </c>
      <c r="AT10" s="167" t="s">
        <v>11863</v>
      </c>
      <c r="AU10" s="553"/>
      <c r="AV10" s="266" t="s">
        <v>11864</v>
      </c>
      <c r="AW10" s="266" t="s">
        <v>11864</v>
      </c>
      <c r="AX10" s="266" t="s">
        <v>11864</v>
      </c>
      <c r="AY10" s="189" t="s">
        <v>11865</v>
      </c>
      <c r="AZ10" s="554"/>
      <c r="BA10" s="254" t="s">
        <v>11866</v>
      </c>
      <c r="BB10" s="254" t="s">
        <v>11866</v>
      </c>
      <c r="BC10" s="254" t="s">
        <v>11866</v>
      </c>
      <c r="BD10" s="254"/>
      <c r="BE10" s="254"/>
      <c r="BF10" s="254"/>
      <c r="BG10" s="254"/>
      <c r="BH10" s="254"/>
    </row>
    <row r="11">
      <c r="A11" s="231" t="s">
        <v>11867</v>
      </c>
      <c r="B11" s="549"/>
      <c r="C11" s="271" t="s">
        <v>11868</v>
      </c>
      <c r="D11" s="271" t="s">
        <v>8151</v>
      </c>
      <c r="E11" s="181"/>
      <c r="F11" s="189" t="s">
        <v>11869</v>
      </c>
      <c r="G11" s="549"/>
      <c r="H11" s="271" t="s">
        <v>11870</v>
      </c>
      <c r="I11" s="271" t="s">
        <v>11871</v>
      </c>
      <c r="J11" s="181"/>
      <c r="K11" s="270" t="s">
        <v>11872</v>
      </c>
      <c r="L11" s="549"/>
      <c r="M11" s="205" t="s">
        <v>11873</v>
      </c>
      <c r="N11" s="205" t="s">
        <v>8153</v>
      </c>
      <c r="O11" s="254"/>
      <c r="P11" s="270" t="str">
        <f>IFERROR(__xludf.DUMMYFUNCTION("GOOGLETRANSLATE(A11,""zh-tw"",""zh"")"),"烤串")</f>
        <v>烤串</v>
      </c>
      <c r="Q11" s="530"/>
      <c r="R11" s="271" t="str">
        <f>IFERROR(__xludf.DUMMYFUNCTION("GOOGLETRANSLATE(C11,""zh-tw"",""zh"")"),"大块兽肉")</f>
        <v>大块兽肉</v>
      </c>
      <c r="S11" s="271" t="str">
        <f>IFERROR(__xludf.DUMMYFUNCTION("GOOGLETRANSLATE(D11,""zh-tw"",""zh"")"),"土豆")</f>
        <v>土豆</v>
      </c>
      <c r="T11" s="271"/>
      <c r="U11" s="189" t="str">
        <f>IFERROR(__xludf.DUMMYFUNCTION("GOOGLETRANSLATE(A11,""zh-tw"",""es-MX"")"),"Brochetas a la parrilla")</f>
        <v>Brochetas a la parrilla</v>
      </c>
      <c r="V11" s="544"/>
      <c r="W11" s="271" t="str">
        <f>IFERROR(__xludf.DUMMYFUNCTION("GOOGLETRANSLATE(C11,""zh-tw"",""es-MX"")"),"Grandes trozos de carne")</f>
        <v>Grandes trozos de carne</v>
      </c>
      <c r="X11" s="271" t="str">
        <f>IFERROR(__xludf.DUMMYFUNCTION("GOOGLETRANSLATE(D11,""zh-tw"",""es-MX"")"),"Papa")</f>
        <v>Papa</v>
      </c>
      <c r="Y11" s="271"/>
      <c r="Z11" s="275" t="s">
        <v>11874</v>
      </c>
      <c r="AA11" s="545"/>
      <c r="AB11" s="205" t="s">
        <v>11875</v>
      </c>
      <c r="AC11" s="254" t="str">
        <f>IFERROR(__xludf.DUMMYFUNCTION("GOOGLETRANSLATE(D11,""zh-tw"",""KO"")"),"감자")</f>
        <v>감자</v>
      </c>
      <c r="AD11" s="254"/>
      <c r="AE11" s="145" t="s">
        <v>11876</v>
      </c>
      <c r="AF11" s="551"/>
      <c r="AG11" s="271" t="s">
        <v>11877</v>
      </c>
      <c r="AH11" s="271" t="s">
        <v>8156</v>
      </c>
      <c r="AI11" s="267"/>
      <c r="AJ11" s="550" t="s">
        <v>11878</v>
      </c>
      <c r="AK11" s="285"/>
      <c r="AL11" s="271" t="s">
        <v>11879</v>
      </c>
      <c r="AM11" s="271" t="s">
        <v>8158</v>
      </c>
      <c r="AN11" s="552"/>
      <c r="AO11" s="275" t="s">
        <v>11880</v>
      </c>
      <c r="AP11" s="545"/>
      <c r="AQ11" s="205" t="s">
        <v>11881</v>
      </c>
      <c r="AR11" s="205" t="s">
        <v>8160</v>
      </c>
      <c r="AS11" s="254"/>
      <c r="AT11" s="167" t="s">
        <v>11882</v>
      </c>
      <c r="AU11" s="553"/>
      <c r="AV11" s="266" t="s">
        <v>11883</v>
      </c>
      <c r="AW11" s="266" t="s">
        <v>8162</v>
      </c>
      <c r="AX11" s="539"/>
      <c r="AY11" s="189" t="s">
        <v>11872</v>
      </c>
      <c r="AZ11" s="554"/>
      <c r="BA11" s="254" t="s">
        <v>11884</v>
      </c>
      <c r="BB11" s="254" t="s">
        <v>8164</v>
      </c>
      <c r="BC11" s="101"/>
      <c r="BD11" s="101"/>
      <c r="BE11" s="101"/>
      <c r="BF11" s="101"/>
      <c r="BG11" s="101"/>
      <c r="BH11" s="101"/>
    </row>
    <row r="12">
      <c r="A12" s="189" t="s">
        <v>11885</v>
      </c>
      <c r="B12" s="549"/>
      <c r="C12" s="271" t="s">
        <v>11774</v>
      </c>
      <c r="D12" s="181"/>
      <c r="E12" s="181"/>
      <c r="F12" s="189" t="s">
        <v>11886</v>
      </c>
      <c r="G12" s="549"/>
      <c r="H12" s="271" t="s">
        <v>11777</v>
      </c>
      <c r="I12" s="181"/>
      <c r="J12" s="181"/>
      <c r="K12" s="270" t="s">
        <v>11887</v>
      </c>
      <c r="L12" s="549"/>
      <c r="M12" s="205" t="s">
        <v>11780</v>
      </c>
      <c r="N12" s="254"/>
      <c r="O12" s="254"/>
      <c r="P12" s="270" t="str">
        <f>IFERROR(__xludf.DUMMYFUNCTION("GOOGLETRANSLATE(A12,""zh-tw"",""zh"")"),"饭团")</f>
        <v>饭团</v>
      </c>
      <c r="Q12" s="530"/>
      <c r="R12" s="271" t="str">
        <f>IFERROR(__xludf.DUMMYFUNCTION("GOOGLETRANSLATE(C12,""zh-tw"",""zh"")"),"白米饭")</f>
        <v>白米饭</v>
      </c>
      <c r="S12" s="271"/>
      <c r="T12" s="271"/>
      <c r="U12" s="189" t="str">
        <f>IFERROR(__xludf.DUMMYFUNCTION("GOOGLETRANSLATE(A12,""zh-tw"",""es-MX"")"),"Bola de arroz")</f>
        <v>Bola de arroz</v>
      </c>
      <c r="V12" s="544"/>
      <c r="W12" s="271" t="str">
        <f>IFERROR(__xludf.DUMMYFUNCTION("GOOGLETRANSLATE(C12,""zh-tw"",""es-MX"")"),"arroz blanco")</f>
        <v>arroz blanco</v>
      </c>
      <c r="X12" s="271"/>
      <c r="Y12" s="271"/>
      <c r="Z12" s="550" t="str">
        <f>IFERROR(__xludf.DUMMYFUNCTION("GOOGLETRANSLATE(A12,""zh-tw"",""KO"")"),"주먹밥")</f>
        <v>주먹밥</v>
      </c>
      <c r="AA12" s="545"/>
      <c r="AB12" s="254" t="str">
        <f>IFERROR(__xludf.DUMMYFUNCTION("GOOGLETRANSLATE(C12,""zh-tw"",""KO"")"),"흰쌀")</f>
        <v>흰쌀</v>
      </c>
      <c r="AC12" s="254"/>
      <c r="AD12" s="254"/>
      <c r="AE12" s="189" t="s">
        <v>11888</v>
      </c>
      <c r="AF12" s="551"/>
      <c r="AG12" s="271" t="s">
        <v>11784</v>
      </c>
      <c r="AH12" s="267"/>
      <c r="AI12" s="267"/>
      <c r="AJ12" s="550" t="s">
        <v>11889</v>
      </c>
      <c r="AK12" s="285"/>
      <c r="AL12" s="271" t="s">
        <v>11784</v>
      </c>
      <c r="AM12" s="552"/>
      <c r="AN12" s="552"/>
      <c r="AO12" s="275" t="s">
        <v>11890</v>
      </c>
      <c r="AP12" s="545"/>
      <c r="AQ12" s="205" t="s">
        <v>11789</v>
      </c>
      <c r="AR12" s="254"/>
      <c r="AS12" s="254"/>
      <c r="AT12" s="264" t="s">
        <v>11891</v>
      </c>
      <c r="AU12" s="553"/>
      <c r="AV12" s="266" t="s">
        <v>11792</v>
      </c>
      <c r="AW12" s="539"/>
      <c r="AX12" s="539"/>
      <c r="AY12" s="189" t="s">
        <v>11887</v>
      </c>
      <c r="AZ12" s="554"/>
      <c r="BA12" s="254" t="s">
        <v>11795</v>
      </c>
      <c r="BB12" s="101"/>
      <c r="BC12" s="101"/>
      <c r="BD12" s="101"/>
      <c r="BE12" s="101"/>
      <c r="BF12" s="101"/>
      <c r="BG12" s="101"/>
      <c r="BH12" s="101"/>
    </row>
    <row r="13">
      <c r="A13" s="189" t="s">
        <v>11892</v>
      </c>
      <c r="B13" s="549"/>
      <c r="C13" s="271" t="s">
        <v>11774</v>
      </c>
      <c r="D13" s="271" t="s">
        <v>11775</v>
      </c>
      <c r="E13" s="271" t="s">
        <v>11868</v>
      </c>
      <c r="F13" s="189" t="s">
        <v>11893</v>
      </c>
      <c r="G13" s="549"/>
      <c r="H13" s="271" t="s">
        <v>11777</v>
      </c>
      <c r="I13" s="271" t="s">
        <v>11778</v>
      </c>
      <c r="J13" s="271" t="s">
        <v>11870</v>
      </c>
      <c r="K13" s="240" t="s">
        <v>11894</v>
      </c>
      <c r="L13" s="549"/>
      <c r="M13" s="205" t="s">
        <v>11780</v>
      </c>
      <c r="N13" s="205" t="s">
        <v>11781</v>
      </c>
      <c r="O13" s="205" t="s">
        <v>11873</v>
      </c>
      <c r="P13" s="270" t="str">
        <f>IFERROR(__xludf.DUMMYFUNCTION("GOOGLETRANSLATE(A13,""zh-tw"",""zh"")"),"肉排咖喱饭")</f>
        <v>肉排咖喱饭</v>
      </c>
      <c r="Q13" s="530"/>
      <c r="R13" s="271" t="str">
        <f>IFERROR(__xludf.DUMMYFUNCTION("GOOGLETRANSLATE(C13,""zh-tw"",""zh"")"),"白米饭")</f>
        <v>白米饭</v>
      </c>
      <c r="S13" s="271" t="str">
        <f>IFERROR(__xludf.DUMMYFUNCTION("GOOGLETRANSLATE(D13,""zh-tw"",""zh"")"),"咖喱块")</f>
        <v>咖喱块</v>
      </c>
      <c r="T13" s="271" t="str">
        <f>IFERROR(__xludf.DUMMYFUNCTION("GOOGLETRANSLATE(E13,""zh-tw"",""zh"")"),"大块兽肉")</f>
        <v>大块兽肉</v>
      </c>
      <c r="U13" s="189" t="str">
        <f>IFERROR(__xludf.DUMMYFUNCTION("GOOGLETRANSLATE(A13,""zh-tw"",""es-MX"")"),"Arroz al curry con chuleta de cerdo")</f>
        <v>Arroz al curry con chuleta de cerdo</v>
      </c>
      <c r="V13" s="544"/>
      <c r="W13" s="271" t="str">
        <f>IFERROR(__xludf.DUMMYFUNCTION("GOOGLETRANSLATE(C13,""zh-tw"",""es-MX"")"),"arroz blanco")</f>
        <v>arroz blanco</v>
      </c>
      <c r="X13" s="271" t="str">
        <f>IFERROR(__xludf.DUMMYFUNCTION("GOOGLETRANSLATE(D13,""zh-tw"",""es-MX"")"),"cubos de curry")</f>
        <v>cubos de curry</v>
      </c>
      <c r="Y13" s="271" t="str">
        <f>IFERROR(__xludf.DUMMYFUNCTION("GOOGLETRANSLATE(E13,""zh-tw"",""es-MX"")"),"Grandes trozos de carne")</f>
        <v>Grandes trozos de carne</v>
      </c>
      <c r="Z13" s="275" t="s">
        <v>11895</v>
      </c>
      <c r="AA13" s="545"/>
      <c r="AB13" s="254" t="str">
        <f>IFERROR(__xludf.DUMMYFUNCTION("GOOGLETRANSLATE(C13,""zh-tw"",""KO"")"),"흰쌀")</f>
        <v>흰쌀</v>
      </c>
      <c r="AC13" s="205" t="s">
        <v>11782</v>
      </c>
      <c r="AD13" s="205" t="s">
        <v>11875</v>
      </c>
      <c r="AE13" s="189" t="s">
        <v>11896</v>
      </c>
      <c r="AF13" s="551"/>
      <c r="AG13" s="271" t="s">
        <v>11784</v>
      </c>
      <c r="AH13" s="271" t="s">
        <v>11787</v>
      </c>
      <c r="AI13" s="271" t="s">
        <v>11877</v>
      </c>
      <c r="AJ13" s="550" t="s">
        <v>11897</v>
      </c>
      <c r="AK13" s="285"/>
      <c r="AL13" s="271" t="s">
        <v>11784</v>
      </c>
      <c r="AM13" s="271" t="s">
        <v>11787</v>
      </c>
      <c r="AN13" s="271" t="s">
        <v>11879</v>
      </c>
      <c r="AO13" s="275" t="s">
        <v>11898</v>
      </c>
      <c r="AP13" s="545"/>
      <c r="AQ13" s="205" t="s">
        <v>11789</v>
      </c>
      <c r="AR13" s="205" t="s">
        <v>11790</v>
      </c>
      <c r="AS13" s="205" t="s">
        <v>11881</v>
      </c>
      <c r="AT13" s="167" t="s">
        <v>11899</v>
      </c>
      <c r="AU13" s="553"/>
      <c r="AV13" s="266" t="s">
        <v>11792</v>
      </c>
      <c r="AW13" s="266" t="s">
        <v>11793</v>
      </c>
      <c r="AX13" s="266" t="s">
        <v>11883</v>
      </c>
      <c r="AY13" s="189" t="s">
        <v>11900</v>
      </c>
      <c r="AZ13" s="554"/>
      <c r="BA13" s="254" t="s">
        <v>11795</v>
      </c>
      <c r="BB13" s="205" t="s">
        <v>11796</v>
      </c>
      <c r="BC13" s="254" t="s">
        <v>11884</v>
      </c>
      <c r="BD13" s="254"/>
      <c r="BE13" s="254"/>
      <c r="BF13" s="254"/>
      <c r="BG13" s="254"/>
      <c r="BH13" s="254"/>
    </row>
    <row r="14">
      <c r="A14" s="189" t="s">
        <v>11901</v>
      </c>
      <c r="B14" s="530" t="s">
        <v>760</v>
      </c>
      <c r="C14" s="271" t="s">
        <v>7189</v>
      </c>
      <c r="D14" s="181"/>
      <c r="E14" s="181"/>
      <c r="F14" s="189" t="s">
        <v>11902</v>
      </c>
      <c r="G14" s="530" t="s">
        <v>760</v>
      </c>
      <c r="H14" s="271" t="s">
        <v>11903</v>
      </c>
      <c r="I14" s="181"/>
      <c r="J14" s="181"/>
      <c r="K14" s="270" t="s">
        <v>11904</v>
      </c>
      <c r="L14" s="530" t="s">
        <v>760</v>
      </c>
      <c r="M14" s="205" t="s">
        <v>7194</v>
      </c>
      <c r="N14" s="254"/>
      <c r="O14" s="254"/>
      <c r="P14" s="270" t="str">
        <f>IFERROR(__xludf.DUMMYFUNCTION("GOOGLETRANSLATE(A14,""zh-tw"",""zh"")"),"肉汤")</f>
        <v>肉汤</v>
      </c>
      <c r="Q14" s="530" t="str">
        <f>IFERROR(__xludf.DUMMYFUNCTION("GOOGLETRANSLATE(B14,""zh-tw"",""zh"")"),"A")</f>
        <v>A</v>
      </c>
      <c r="R14" s="271" t="str">
        <f>IFERROR(__xludf.DUMMYFUNCTION("GOOGLETRANSLATE(C14,""zh-tw"",""zh"")"),"小块兽肉")</f>
        <v>小块兽肉</v>
      </c>
      <c r="S14" s="271"/>
      <c r="T14" s="271"/>
      <c r="U14" s="189" t="str">
        <f>IFERROR(__xludf.DUMMYFUNCTION("GOOGLETRANSLATE(A14,""zh-tw"",""es-MX"")"),"caldo")</f>
        <v>caldo</v>
      </c>
      <c r="V14" s="544" t="str">
        <f>IFERROR(__xludf.DUMMYFUNCTION("GOOGLETRANSLATE(B14,""zh-tw"",""es-MX"")"),"A")</f>
        <v>A</v>
      </c>
      <c r="W14" s="271" t="str">
        <f>IFERROR(__xludf.DUMMYFUNCTION("GOOGLETRANSLATE(C14,""zh-tw"",""es-MX"")"),"Pequeños trozos de carne")</f>
        <v>Pequeños trozos de carne</v>
      </c>
      <c r="X14" s="271"/>
      <c r="Y14" s="271"/>
      <c r="Z14" s="275" t="s">
        <v>11905</v>
      </c>
      <c r="AA14" s="545" t="s">
        <v>760</v>
      </c>
      <c r="AB14" s="205" t="s">
        <v>11906</v>
      </c>
      <c r="AC14" s="254"/>
      <c r="AD14" s="254"/>
      <c r="AE14" s="189" t="s">
        <v>11907</v>
      </c>
      <c r="AF14" s="544" t="s">
        <v>11728</v>
      </c>
      <c r="AG14" s="271" t="s">
        <v>11908</v>
      </c>
      <c r="AH14" s="267"/>
      <c r="AI14" s="267"/>
      <c r="AJ14" s="550" t="s">
        <v>11909</v>
      </c>
      <c r="AK14" s="544" t="s">
        <v>11728</v>
      </c>
      <c r="AL14" s="271" t="s">
        <v>11910</v>
      </c>
      <c r="AM14" s="552"/>
      <c r="AN14" s="552"/>
      <c r="AO14" s="275" t="s">
        <v>11911</v>
      </c>
      <c r="AP14" s="545" t="s">
        <v>760</v>
      </c>
      <c r="AQ14" s="205" t="s">
        <v>11912</v>
      </c>
      <c r="AR14" s="254"/>
      <c r="AS14" s="254"/>
      <c r="AT14" s="264" t="s">
        <v>11913</v>
      </c>
      <c r="AU14" s="555" t="s">
        <v>760</v>
      </c>
      <c r="AV14" s="266" t="s">
        <v>7202</v>
      </c>
      <c r="AW14" s="539"/>
      <c r="AX14" s="539"/>
      <c r="AY14" s="189" t="s">
        <v>11914</v>
      </c>
      <c r="AZ14" s="530" t="s">
        <v>760</v>
      </c>
      <c r="BA14" s="254" t="s">
        <v>7204</v>
      </c>
      <c r="BB14" s="101"/>
      <c r="BC14" s="101"/>
      <c r="BD14" s="101"/>
      <c r="BE14" s="101"/>
      <c r="BF14" s="101"/>
      <c r="BG14" s="101"/>
      <c r="BH14" s="101"/>
    </row>
    <row r="15">
      <c r="A15" s="189" t="s">
        <v>11915</v>
      </c>
      <c r="B15" s="530" t="s">
        <v>760</v>
      </c>
      <c r="C15" s="271" t="s">
        <v>11868</v>
      </c>
      <c r="D15" s="181"/>
      <c r="E15" s="181"/>
      <c r="F15" s="189" t="s">
        <v>11916</v>
      </c>
      <c r="G15" s="530" t="s">
        <v>760</v>
      </c>
      <c r="H15" s="271" t="s">
        <v>11870</v>
      </c>
      <c r="I15" s="181"/>
      <c r="J15" s="181"/>
      <c r="K15" s="270" t="s">
        <v>11917</v>
      </c>
      <c r="L15" s="530" t="s">
        <v>760</v>
      </c>
      <c r="M15" s="205" t="s">
        <v>11873</v>
      </c>
      <c r="N15" s="254"/>
      <c r="O15" s="254"/>
      <c r="P15" s="270" t="str">
        <f>IFERROR(__xludf.DUMMYFUNCTION("GOOGLETRANSLATE(A15,""zh-tw"",""zh"")"),"烤肉块")</f>
        <v>烤肉块</v>
      </c>
      <c r="Q15" s="530" t="str">
        <f>IFERROR(__xludf.DUMMYFUNCTION("GOOGLETRANSLATE(B15,""zh-tw"",""zh"")"),"A")</f>
        <v>A</v>
      </c>
      <c r="R15" s="271" t="str">
        <f>IFERROR(__xludf.DUMMYFUNCTION("GOOGLETRANSLATE(C15,""zh-tw"",""zh"")"),"大块兽肉")</f>
        <v>大块兽肉</v>
      </c>
      <c r="S15" s="271"/>
      <c r="T15" s="271"/>
      <c r="U15" s="189" t="str">
        <f>IFERROR(__xludf.DUMMYFUNCTION("GOOGLETRANSLATE(A15,""zh-tw"",""es-MX"")"),"Trozos de carne asada")</f>
        <v>Trozos de carne asada</v>
      </c>
      <c r="V15" s="544" t="str">
        <f>IFERROR(__xludf.DUMMYFUNCTION("GOOGLETRANSLATE(B15,""zh-tw"",""es-MX"")"),"A")</f>
        <v>A</v>
      </c>
      <c r="W15" s="271" t="str">
        <f>IFERROR(__xludf.DUMMYFUNCTION("GOOGLETRANSLATE(C15,""zh-tw"",""es-MX"")"),"Grandes trozos de carne")</f>
        <v>Grandes trozos de carne</v>
      </c>
      <c r="X15" s="271"/>
      <c r="Y15" s="271"/>
      <c r="Z15" s="550" t="str">
        <f>IFERROR(__xludf.DUMMYFUNCTION("GOOGLETRANSLATE(A15,""zh-tw"",""KO"")"),"구운 고기 덩어리")</f>
        <v>구운 고기 덩어리</v>
      </c>
      <c r="AA15" s="545" t="s">
        <v>760</v>
      </c>
      <c r="AB15" s="205" t="s">
        <v>11875</v>
      </c>
      <c r="AC15" s="254"/>
      <c r="AD15" s="254"/>
      <c r="AE15" s="189" t="s">
        <v>11918</v>
      </c>
      <c r="AF15" s="544" t="s">
        <v>11728</v>
      </c>
      <c r="AG15" s="271" t="s">
        <v>11877</v>
      </c>
      <c r="AH15" s="267"/>
      <c r="AI15" s="267"/>
      <c r="AJ15" s="550" t="s">
        <v>11919</v>
      </c>
      <c r="AK15" s="544" t="s">
        <v>11728</v>
      </c>
      <c r="AL15" s="271" t="s">
        <v>11879</v>
      </c>
      <c r="AM15" s="552"/>
      <c r="AN15" s="552"/>
      <c r="AO15" s="275" t="s">
        <v>11920</v>
      </c>
      <c r="AP15" s="545" t="s">
        <v>760</v>
      </c>
      <c r="AQ15" s="205" t="s">
        <v>11881</v>
      </c>
      <c r="AR15" s="254"/>
      <c r="AS15" s="254"/>
      <c r="AT15" s="264" t="s">
        <v>11921</v>
      </c>
      <c r="AU15" s="555" t="s">
        <v>760</v>
      </c>
      <c r="AV15" s="266" t="s">
        <v>11883</v>
      </c>
      <c r="AW15" s="539"/>
      <c r="AX15" s="539"/>
      <c r="AY15" s="189" t="s">
        <v>11922</v>
      </c>
      <c r="AZ15" s="530" t="s">
        <v>760</v>
      </c>
      <c r="BA15" s="254" t="s">
        <v>11884</v>
      </c>
      <c r="BB15" s="101"/>
      <c r="BC15" s="101"/>
      <c r="BD15" s="101"/>
      <c r="BE15" s="101"/>
      <c r="BF15" s="101"/>
      <c r="BG15" s="101"/>
      <c r="BH15" s="101"/>
    </row>
    <row r="16">
      <c r="A16" s="189" t="s">
        <v>11923</v>
      </c>
      <c r="B16" s="530" t="s">
        <v>760</v>
      </c>
      <c r="C16" s="271" t="s">
        <v>11868</v>
      </c>
      <c r="D16" s="271" t="s">
        <v>11868</v>
      </c>
      <c r="E16" s="181"/>
      <c r="F16" s="189" t="s">
        <v>11924</v>
      </c>
      <c r="G16" s="530" t="s">
        <v>760</v>
      </c>
      <c r="H16" s="271" t="s">
        <v>11870</v>
      </c>
      <c r="I16" s="271" t="s">
        <v>11870</v>
      </c>
      <c r="J16" s="181"/>
      <c r="K16" s="270" t="s">
        <v>11925</v>
      </c>
      <c r="L16" s="530" t="s">
        <v>760</v>
      </c>
      <c r="M16" s="205" t="s">
        <v>11873</v>
      </c>
      <c r="N16" s="205" t="s">
        <v>11873</v>
      </c>
      <c r="O16" s="254"/>
      <c r="P16" s="270" t="str">
        <f>IFERROR(__xludf.DUMMYFUNCTION("GOOGLETRANSLATE(A16,""zh-tw"",""zh"")"),"牛排肉")</f>
        <v>牛排肉</v>
      </c>
      <c r="Q16" s="530" t="str">
        <f>IFERROR(__xludf.DUMMYFUNCTION("GOOGLETRANSLATE(B16,""zh-tw"",""zh"")"),"A")</f>
        <v>A</v>
      </c>
      <c r="R16" s="271" t="str">
        <f>IFERROR(__xludf.DUMMYFUNCTION("GOOGLETRANSLATE(C16,""zh-tw"",""zh"")"),"大块兽肉")</f>
        <v>大块兽肉</v>
      </c>
      <c r="S16" s="271" t="str">
        <f>IFERROR(__xludf.DUMMYFUNCTION("GOOGLETRANSLATE(D16,""zh-tw"",""zh"")"),"大块兽肉")</f>
        <v>大块兽肉</v>
      </c>
      <c r="T16" s="271"/>
      <c r="U16" s="189" t="str">
        <f>IFERROR(__xludf.DUMMYFUNCTION("GOOGLETRANSLATE(A16,""zh-tw"",""es-MX"")"),"Filete de ternera")</f>
        <v>Filete de ternera</v>
      </c>
      <c r="V16" s="544" t="str">
        <f>IFERROR(__xludf.DUMMYFUNCTION("GOOGLETRANSLATE(B16,""zh-tw"",""es-MX"")"),"A")</f>
        <v>A</v>
      </c>
      <c r="W16" s="271" t="str">
        <f>IFERROR(__xludf.DUMMYFUNCTION("GOOGLETRANSLATE(C16,""zh-tw"",""es-MX"")"),"Grandes trozos de carne")</f>
        <v>Grandes trozos de carne</v>
      </c>
      <c r="X16" s="271" t="str">
        <f>IFERROR(__xludf.DUMMYFUNCTION("GOOGLETRANSLATE(D16,""zh-tw"",""es-MX"")"),"Grandes trozos de carne")</f>
        <v>Grandes trozos de carne</v>
      </c>
      <c r="Y16" s="271"/>
      <c r="Z16" s="275" t="s">
        <v>11926</v>
      </c>
      <c r="AA16" s="545" t="s">
        <v>760</v>
      </c>
      <c r="AB16" s="205" t="s">
        <v>11875</v>
      </c>
      <c r="AC16" s="205" t="s">
        <v>11875</v>
      </c>
      <c r="AD16" s="254"/>
      <c r="AE16" s="189" t="s">
        <v>11927</v>
      </c>
      <c r="AF16" s="544" t="s">
        <v>11728</v>
      </c>
      <c r="AG16" s="271" t="s">
        <v>11877</v>
      </c>
      <c r="AH16" s="271" t="s">
        <v>11877</v>
      </c>
      <c r="AI16" s="267"/>
      <c r="AJ16" s="550" t="s">
        <v>11928</v>
      </c>
      <c r="AK16" s="544" t="s">
        <v>11728</v>
      </c>
      <c r="AL16" s="271" t="s">
        <v>11879</v>
      </c>
      <c r="AM16" s="271" t="s">
        <v>11879</v>
      </c>
      <c r="AN16" s="552"/>
      <c r="AO16" s="275" t="s">
        <v>11929</v>
      </c>
      <c r="AP16" s="545" t="s">
        <v>760</v>
      </c>
      <c r="AQ16" s="205" t="s">
        <v>11881</v>
      </c>
      <c r="AR16" s="205" t="s">
        <v>11881</v>
      </c>
      <c r="AS16" s="254"/>
      <c r="AT16" s="167" t="s">
        <v>11921</v>
      </c>
      <c r="AU16" s="555" t="s">
        <v>760</v>
      </c>
      <c r="AV16" s="266" t="s">
        <v>11883</v>
      </c>
      <c r="AW16" s="266" t="s">
        <v>11883</v>
      </c>
      <c r="AX16" s="539"/>
      <c r="AY16" s="189" t="s">
        <v>11930</v>
      </c>
      <c r="AZ16" s="530" t="s">
        <v>760</v>
      </c>
      <c r="BA16" s="254" t="s">
        <v>11884</v>
      </c>
      <c r="BB16" s="254" t="s">
        <v>11884</v>
      </c>
      <c r="BC16" s="101"/>
      <c r="BD16" s="101"/>
      <c r="BE16" s="101"/>
      <c r="BF16" s="101"/>
      <c r="BG16" s="101"/>
      <c r="BH16" s="101"/>
    </row>
    <row r="17">
      <c r="A17" s="231" t="s">
        <v>11931</v>
      </c>
      <c r="B17" s="530" t="s">
        <v>760</v>
      </c>
      <c r="C17" s="271" t="s">
        <v>11868</v>
      </c>
      <c r="D17" s="271" t="s">
        <v>11868</v>
      </c>
      <c r="E17" s="271" t="s">
        <v>11868</v>
      </c>
      <c r="F17" s="189" t="s">
        <v>11932</v>
      </c>
      <c r="G17" s="530" t="s">
        <v>760</v>
      </c>
      <c r="H17" s="271" t="s">
        <v>11870</v>
      </c>
      <c r="I17" s="271" t="s">
        <v>11870</v>
      </c>
      <c r="J17" s="271" t="s">
        <v>11870</v>
      </c>
      <c r="K17" s="270" t="s">
        <v>11933</v>
      </c>
      <c r="L17" s="530" t="s">
        <v>760</v>
      </c>
      <c r="M17" s="205" t="s">
        <v>11873</v>
      </c>
      <c r="N17" s="205" t="s">
        <v>11873</v>
      </c>
      <c r="O17" s="205" t="s">
        <v>11873</v>
      </c>
      <c r="P17" s="270" t="str">
        <f>IFERROR(__xludf.DUMMYFUNCTION("GOOGLETRANSLATE(A17,""zh-tw"",""zh"")"),"酱牛肉")</f>
        <v>酱牛肉</v>
      </c>
      <c r="Q17" s="530" t="str">
        <f>IFERROR(__xludf.DUMMYFUNCTION("GOOGLETRANSLATE(B17,""zh-tw"",""zh"")"),"A")</f>
        <v>A</v>
      </c>
      <c r="R17" s="271" t="str">
        <f>IFERROR(__xludf.DUMMYFUNCTION("GOOGLETRANSLATE(C17,""zh-tw"",""zh"")"),"大块兽肉")</f>
        <v>大块兽肉</v>
      </c>
      <c r="S17" s="271" t="str">
        <f>IFERROR(__xludf.DUMMYFUNCTION("GOOGLETRANSLATE(D17,""zh-tw"",""zh"")"),"大块兽肉")</f>
        <v>大块兽肉</v>
      </c>
      <c r="T17" s="271" t="str">
        <f>IFERROR(__xludf.DUMMYFUNCTION("GOOGLETRANSLATE(E17,""zh-tw"",""zh"")"),"大块兽肉")</f>
        <v>大块兽肉</v>
      </c>
      <c r="U17" s="189" t="str">
        <f>IFERROR(__xludf.DUMMYFUNCTION("GOOGLETRANSLATE(A17,""zh-tw"",""es-MX"")"),"Carne estofada")</f>
        <v>Carne estofada</v>
      </c>
      <c r="V17" s="544" t="str">
        <f>IFERROR(__xludf.DUMMYFUNCTION("GOOGLETRANSLATE(B17,""zh-tw"",""es-MX"")"),"A")</f>
        <v>A</v>
      </c>
      <c r="W17" s="271" t="str">
        <f>IFERROR(__xludf.DUMMYFUNCTION("GOOGLETRANSLATE(C17,""zh-tw"",""es-MX"")"),"Grandes trozos de carne")</f>
        <v>Grandes trozos de carne</v>
      </c>
      <c r="X17" s="271" t="str">
        <f>IFERROR(__xludf.DUMMYFUNCTION("GOOGLETRANSLATE(D17,""zh-tw"",""es-MX"")"),"Grandes trozos de carne")</f>
        <v>Grandes trozos de carne</v>
      </c>
      <c r="Y17" s="271" t="str">
        <f>IFERROR(__xludf.DUMMYFUNCTION("GOOGLETRANSLATE(E17,""zh-tw"",""es-MX"")"),"Grandes trozos de carne")</f>
        <v>Grandes trozos de carne</v>
      </c>
      <c r="Z17" s="275" t="s">
        <v>11934</v>
      </c>
      <c r="AA17" s="545" t="s">
        <v>760</v>
      </c>
      <c r="AB17" s="205" t="s">
        <v>11875</v>
      </c>
      <c r="AC17" s="260" t="s">
        <v>11875</v>
      </c>
      <c r="AD17" s="260" t="s">
        <v>11875</v>
      </c>
      <c r="AE17" s="145" t="s">
        <v>11935</v>
      </c>
      <c r="AF17" s="544" t="s">
        <v>11728</v>
      </c>
      <c r="AG17" s="271" t="s">
        <v>11877</v>
      </c>
      <c r="AH17" s="271" t="s">
        <v>11877</v>
      </c>
      <c r="AI17" s="271" t="s">
        <v>11877</v>
      </c>
      <c r="AJ17" s="550" t="str">
        <f>IFERROR(__xludf.DUMMYFUNCTION("GOOGLETRANSLATE(A17,""zh-tw"",""ru"")"),"Тушеная говядина")</f>
        <v>Тушеная говядина</v>
      </c>
      <c r="AK17" s="544" t="s">
        <v>11728</v>
      </c>
      <c r="AL17" s="271" t="s">
        <v>11879</v>
      </c>
      <c r="AM17" s="271" t="s">
        <v>11879</v>
      </c>
      <c r="AN17" s="271" t="s">
        <v>11879</v>
      </c>
      <c r="AO17" s="275" t="s">
        <v>11936</v>
      </c>
      <c r="AP17" s="545" t="s">
        <v>760</v>
      </c>
      <c r="AQ17" s="205" t="s">
        <v>11881</v>
      </c>
      <c r="AR17" s="205" t="s">
        <v>11881</v>
      </c>
      <c r="AS17" s="205" t="s">
        <v>11881</v>
      </c>
      <c r="AT17" s="157" t="s">
        <v>11937</v>
      </c>
      <c r="AU17" s="555" t="s">
        <v>760</v>
      </c>
      <c r="AV17" s="266" t="s">
        <v>11883</v>
      </c>
      <c r="AW17" s="266" t="s">
        <v>11883</v>
      </c>
      <c r="AX17" s="266" t="s">
        <v>11883</v>
      </c>
      <c r="AY17" s="189" t="s">
        <v>11938</v>
      </c>
      <c r="AZ17" s="530" t="s">
        <v>760</v>
      </c>
      <c r="BA17" s="254" t="s">
        <v>11884</v>
      </c>
      <c r="BB17" s="254" t="s">
        <v>11884</v>
      </c>
      <c r="BC17" s="254" t="s">
        <v>11884</v>
      </c>
      <c r="BD17" s="254"/>
      <c r="BE17" s="254"/>
      <c r="BF17" s="254"/>
      <c r="BG17" s="254"/>
      <c r="BH17" s="254"/>
    </row>
    <row r="18">
      <c r="A18" s="189" t="s">
        <v>11939</v>
      </c>
      <c r="B18" s="530" t="s">
        <v>760</v>
      </c>
      <c r="C18" s="271" t="s">
        <v>11774</v>
      </c>
      <c r="D18" s="271" t="s">
        <v>11868</v>
      </c>
      <c r="E18" s="181"/>
      <c r="F18" s="189" t="s">
        <v>11940</v>
      </c>
      <c r="G18" s="530" t="s">
        <v>760</v>
      </c>
      <c r="H18" s="271" t="s">
        <v>11777</v>
      </c>
      <c r="I18" s="271" t="s">
        <v>11870</v>
      </c>
      <c r="J18" s="181"/>
      <c r="K18" s="270" t="s">
        <v>11941</v>
      </c>
      <c r="L18" s="530" t="s">
        <v>760</v>
      </c>
      <c r="M18" s="205" t="s">
        <v>11942</v>
      </c>
      <c r="N18" s="205" t="s">
        <v>11873</v>
      </c>
      <c r="O18" s="254"/>
      <c r="P18" s="270" t="str">
        <f>IFERROR(__xludf.DUMMYFUNCTION("GOOGLETRANSLATE(A18,""zh-tw"",""zh"")"),"牛肉饭团")</f>
        <v>牛肉饭团</v>
      </c>
      <c r="Q18" s="530" t="str">
        <f>IFERROR(__xludf.DUMMYFUNCTION("GOOGLETRANSLATE(B18,""zh-tw"",""zh"")"),"A")</f>
        <v>A</v>
      </c>
      <c r="R18" s="271" t="str">
        <f>IFERROR(__xludf.DUMMYFUNCTION("GOOGLETRANSLATE(C18,""zh-tw"",""zh"")"),"白米饭")</f>
        <v>白米饭</v>
      </c>
      <c r="S18" s="271" t="str">
        <f>IFERROR(__xludf.DUMMYFUNCTION("GOOGLETRANSLATE(D18,""zh-tw"",""zh"")"),"大块兽肉")</f>
        <v>大块兽肉</v>
      </c>
      <c r="T18" s="271"/>
      <c r="U18" s="189" t="str">
        <f>IFERROR(__xludf.DUMMYFUNCTION("GOOGLETRANSLATE(A18,""zh-tw"",""es-MX"")"),"Bola de arroz con carne")</f>
        <v>Bola de arroz con carne</v>
      </c>
      <c r="V18" s="544" t="str">
        <f>IFERROR(__xludf.DUMMYFUNCTION("GOOGLETRANSLATE(B18,""zh-tw"",""es-MX"")"),"A")</f>
        <v>A</v>
      </c>
      <c r="W18" s="271" t="str">
        <f>IFERROR(__xludf.DUMMYFUNCTION("GOOGLETRANSLATE(C18,""zh-tw"",""es-MX"")"),"arroz blanco")</f>
        <v>arroz blanco</v>
      </c>
      <c r="X18" s="271" t="str">
        <f>IFERROR(__xludf.DUMMYFUNCTION("GOOGLETRANSLATE(D18,""zh-tw"",""es-MX"")"),"Grandes trozos de carne")</f>
        <v>Grandes trozos de carne</v>
      </c>
      <c r="Y18" s="271"/>
      <c r="Z18" s="275" t="s">
        <v>11943</v>
      </c>
      <c r="AA18" s="545" t="s">
        <v>760</v>
      </c>
      <c r="AB18" s="254" t="str">
        <f>IFERROR(__xludf.DUMMYFUNCTION("GOOGLETRANSLATE(C18,""zh-tw"",""KO"")"),"흰쌀")</f>
        <v>흰쌀</v>
      </c>
      <c r="AC18" s="205" t="s">
        <v>11875</v>
      </c>
      <c r="AD18" s="254"/>
      <c r="AE18" s="189" t="s">
        <v>11944</v>
      </c>
      <c r="AF18" s="544" t="s">
        <v>11728</v>
      </c>
      <c r="AG18" s="271" t="s">
        <v>11784</v>
      </c>
      <c r="AH18" s="271" t="s">
        <v>11877</v>
      </c>
      <c r="AI18" s="267"/>
      <c r="AJ18" s="550" t="s">
        <v>11945</v>
      </c>
      <c r="AK18" s="544" t="s">
        <v>11728</v>
      </c>
      <c r="AL18" s="271" t="s">
        <v>11784</v>
      </c>
      <c r="AM18" s="271" t="s">
        <v>11879</v>
      </c>
      <c r="AN18" s="552"/>
      <c r="AO18" s="275" t="s">
        <v>11946</v>
      </c>
      <c r="AP18" s="545" t="s">
        <v>760</v>
      </c>
      <c r="AQ18" s="205" t="s">
        <v>11789</v>
      </c>
      <c r="AR18" s="205" t="s">
        <v>11881</v>
      </c>
      <c r="AS18" s="254"/>
      <c r="AT18" s="167" t="s">
        <v>11947</v>
      </c>
      <c r="AU18" s="555" t="s">
        <v>760</v>
      </c>
      <c r="AV18" s="266" t="s">
        <v>11792</v>
      </c>
      <c r="AW18" s="266" t="s">
        <v>11883</v>
      </c>
      <c r="AX18" s="539"/>
      <c r="AY18" s="189" t="s">
        <v>11948</v>
      </c>
      <c r="AZ18" s="530" t="s">
        <v>760</v>
      </c>
      <c r="BA18" s="254" t="s">
        <v>11949</v>
      </c>
      <c r="BB18" s="254" t="s">
        <v>11884</v>
      </c>
      <c r="BC18" s="101"/>
      <c r="BD18" s="101"/>
      <c r="BE18" s="101"/>
      <c r="BF18" s="101"/>
      <c r="BG18" s="101"/>
      <c r="BH18" s="101"/>
    </row>
    <row r="19">
      <c r="A19" s="189" t="s">
        <v>11950</v>
      </c>
      <c r="B19" s="549"/>
      <c r="C19" s="271" t="s">
        <v>11951</v>
      </c>
      <c r="D19" s="181"/>
      <c r="E19" s="181"/>
      <c r="F19" s="189" t="s">
        <v>11952</v>
      </c>
      <c r="G19" s="549"/>
      <c r="H19" s="271" t="s">
        <v>11953</v>
      </c>
      <c r="I19" s="181"/>
      <c r="J19" s="181"/>
      <c r="K19" s="240" t="s">
        <v>11954</v>
      </c>
      <c r="L19" s="549"/>
      <c r="M19" s="205" t="s">
        <v>11955</v>
      </c>
      <c r="N19" s="254"/>
      <c r="O19" s="254"/>
      <c r="P19" s="270" t="str">
        <f>IFERROR(__xludf.DUMMYFUNCTION("GOOGLETRANSLATE(A19,""zh-tw"",""zh"")"),"奇怪的史莱姆果冻(蓝色)")</f>
        <v>奇怪的史莱姆果冻(蓝色)</v>
      </c>
      <c r="Q19" s="530"/>
      <c r="R19" s="271" t="str">
        <f>IFERROR(__xludf.DUMMYFUNCTION("GOOGLETRANSLATE(C19,""zh-tw"",""zh"")"),"水怪黏液")</f>
        <v>水怪黏液</v>
      </c>
      <c r="S19" s="271"/>
      <c r="T19" s="271"/>
      <c r="U19" s="189" t="str">
        <f>IFERROR(__xludf.DUMMYFUNCTION("GOOGLETRANSLATE(A19,""zh-tw"",""es-MX"")"),"Gelatina viscosa extraña (azul)")</f>
        <v>Gelatina viscosa extraña (azul)</v>
      </c>
      <c r="V19" s="544"/>
      <c r="W19" s="271" t="str">
        <f>IFERROR(__xludf.DUMMYFUNCTION("GOOGLETRANSLATE(C19,""zh-tw"",""es-MX"")"),"Monstruo acuático de limo")</f>
        <v>Monstruo acuático de limo</v>
      </c>
      <c r="X19" s="271"/>
      <c r="Y19" s="271"/>
      <c r="Z19" s="550" t="str">
        <f>IFERROR(__xludf.DUMMYFUNCTION("GOOGLETRANSLATE(A19,""zh-tw"",""KO"")"),"이상한 슬라임 젤리 (파란색)")</f>
        <v>이상한 슬라임 젤리 (파란색)</v>
      </c>
      <c r="AA19" s="545"/>
      <c r="AB19" s="205" t="s">
        <v>11956</v>
      </c>
      <c r="AC19" s="254"/>
      <c r="AD19" s="254"/>
      <c r="AE19" s="189" t="s">
        <v>11763</v>
      </c>
      <c r="AF19" s="551"/>
      <c r="AG19" s="556" t="s">
        <v>11957</v>
      </c>
      <c r="AH19" s="267"/>
      <c r="AI19" s="267"/>
      <c r="AJ19" s="550" t="s">
        <v>11765</v>
      </c>
      <c r="AK19" s="285"/>
      <c r="AL19" s="271" t="s">
        <v>11958</v>
      </c>
      <c r="AM19" s="552"/>
      <c r="AN19" s="552"/>
      <c r="AO19" s="275" t="s">
        <v>11959</v>
      </c>
      <c r="AP19" s="545"/>
      <c r="AQ19" s="205" t="s">
        <v>11960</v>
      </c>
      <c r="AR19" s="254"/>
      <c r="AS19" s="254"/>
      <c r="AT19" s="167" t="s">
        <v>11961</v>
      </c>
      <c r="AU19" s="553"/>
      <c r="AV19" s="268" t="s">
        <v>11962</v>
      </c>
      <c r="AW19" s="539"/>
      <c r="AX19" s="539"/>
      <c r="AY19" s="189" t="s">
        <v>11963</v>
      </c>
      <c r="AZ19" s="554"/>
      <c r="BA19" s="254" t="s">
        <v>11964</v>
      </c>
      <c r="BB19" s="101"/>
      <c r="BC19" s="101"/>
      <c r="BD19" s="101"/>
      <c r="BE19" s="101"/>
      <c r="BF19" s="101"/>
      <c r="BG19" s="101"/>
      <c r="BH19" s="101"/>
    </row>
    <row r="20">
      <c r="A20" s="189" t="s">
        <v>11965</v>
      </c>
      <c r="B20" s="549"/>
      <c r="C20" s="271" t="s">
        <v>11757</v>
      </c>
      <c r="D20" s="271" t="s">
        <v>7081</v>
      </c>
      <c r="E20" s="181"/>
      <c r="F20" s="189" t="s">
        <v>11966</v>
      </c>
      <c r="G20" s="549"/>
      <c r="H20" s="271" t="s">
        <v>11759</v>
      </c>
      <c r="I20" s="271" t="s">
        <v>11967</v>
      </c>
      <c r="J20" s="181"/>
      <c r="K20" s="270" t="s">
        <v>11968</v>
      </c>
      <c r="L20" s="549"/>
      <c r="M20" s="205" t="s">
        <v>11761</v>
      </c>
      <c r="N20" s="205" t="s">
        <v>7086</v>
      </c>
      <c r="O20" s="254"/>
      <c r="P20" s="270" t="str">
        <f>IFERROR(__xludf.DUMMYFUNCTION("GOOGLETRANSLATE(A20,""zh-tw"",""zh"")"),"奇怪的史莱姆果冻(粉色)")</f>
        <v>奇怪的史莱姆果冻(粉色)</v>
      </c>
      <c r="Q20" s="530"/>
      <c r="R20" s="271" t="str">
        <f>IFERROR(__xludf.DUMMYFUNCTION("GOOGLETRANSLATE(C20,""zh-tw"",""zh"")"),"史莱姆黏液")</f>
        <v>史莱姆黏液</v>
      </c>
      <c r="S20" s="271" t="str">
        <f>IFERROR(__xludf.DUMMYFUNCTION("GOOGLETRANSLATE(D20,""zh-tw"",""zh"")"),"苹果妖精")</f>
        <v>苹果妖精</v>
      </c>
      <c r="T20" s="271"/>
      <c r="U20" s="189" t="str">
        <f>IFERROR(__xludf.DUMMYFUNCTION("GOOGLETRANSLATE(A20,""zh-tw"",""es-MX"")"),"Gelatina viscosa extraña (rosa)")</f>
        <v>Gelatina viscosa extraña (rosa)</v>
      </c>
      <c r="V20" s="544"/>
      <c r="W20" s="271" t="str">
        <f>IFERROR(__xludf.DUMMYFUNCTION("GOOGLETRANSLATE(C20,""zh-tw"",""es-MX"")"),"limo")</f>
        <v>limo</v>
      </c>
      <c r="X20" s="271" t="str">
        <f>IFERROR(__xludf.DUMMYFUNCTION("GOOGLETRANSLATE(D20,""zh-tw"",""es-MX"")"),"Hada de las Manzanas")</f>
        <v>Hada de las Manzanas</v>
      </c>
      <c r="Y20" s="271"/>
      <c r="Z20" s="275" t="s">
        <v>11969</v>
      </c>
      <c r="AA20" s="545"/>
      <c r="AB20" s="205" t="s">
        <v>11762</v>
      </c>
      <c r="AC20" s="205" t="s">
        <v>11970</v>
      </c>
      <c r="AD20" s="254"/>
      <c r="AE20" s="189" t="s">
        <v>11971</v>
      </c>
      <c r="AF20" s="551"/>
      <c r="AG20" s="271" t="s">
        <v>11764</v>
      </c>
      <c r="AH20" s="271" t="s">
        <v>11972</v>
      </c>
      <c r="AI20" s="267"/>
      <c r="AJ20" s="550" t="s">
        <v>11973</v>
      </c>
      <c r="AK20" s="285"/>
      <c r="AL20" s="271" t="s">
        <v>11766</v>
      </c>
      <c r="AM20" s="271" t="s">
        <v>11974</v>
      </c>
      <c r="AN20" s="552"/>
      <c r="AO20" s="275" t="s">
        <v>11975</v>
      </c>
      <c r="AP20" s="545"/>
      <c r="AQ20" s="205" t="s">
        <v>11768</v>
      </c>
      <c r="AR20" s="205" t="s">
        <v>7092</v>
      </c>
      <c r="AS20" s="254"/>
      <c r="AT20" s="167" t="s">
        <v>11976</v>
      </c>
      <c r="AU20" s="553"/>
      <c r="AV20" s="266" t="s">
        <v>11770</v>
      </c>
      <c r="AW20" s="268" t="s">
        <v>11977</v>
      </c>
      <c r="AX20" s="539"/>
      <c r="AY20" s="189" t="s">
        <v>11978</v>
      </c>
      <c r="AZ20" s="554"/>
      <c r="BA20" s="254" t="s">
        <v>11772</v>
      </c>
      <c r="BB20" s="254" t="s">
        <v>11979</v>
      </c>
      <c r="BC20" s="101"/>
      <c r="BD20" s="101"/>
      <c r="BE20" s="101"/>
      <c r="BF20" s="101"/>
      <c r="BG20" s="101"/>
      <c r="BH20" s="101"/>
    </row>
    <row r="21">
      <c r="A21" s="189" t="s">
        <v>11980</v>
      </c>
      <c r="B21" s="549"/>
      <c r="C21" s="271" t="s">
        <v>11757</v>
      </c>
      <c r="D21" s="271" t="s">
        <v>11981</v>
      </c>
      <c r="E21" s="181"/>
      <c r="F21" s="189" t="s">
        <v>11982</v>
      </c>
      <c r="G21" s="549"/>
      <c r="H21" s="271" t="s">
        <v>11759</v>
      </c>
      <c r="I21" s="271" t="s">
        <v>11983</v>
      </c>
      <c r="J21" s="181"/>
      <c r="K21" s="270" t="s">
        <v>11984</v>
      </c>
      <c r="L21" s="549"/>
      <c r="M21" s="205" t="s">
        <v>11761</v>
      </c>
      <c r="N21" s="205" t="s">
        <v>11985</v>
      </c>
      <c r="O21" s="254"/>
      <c r="P21" s="270" t="str">
        <f>IFERROR(__xludf.DUMMYFUNCTION("GOOGLETRANSLATE(A21,""zh-tw"",""zh"")"),"奇怪的史莱姆果冻(黑色)")</f>
        <v>奇怪的史莱姆果冻(黑色)</v>
      </c>
      <c r="Q21" s="530"/>
      <c r="R21" s="271" t="str">
        <f>IFERROR(__xludf.DUMMYFUNCTION("GOOGLETRANSLATE(C21,""zh-tw"",""zh"")"),"史莱姆黏液")</f>
        <v>史莱姆黏液</v>
      </c>
      <c r="S21" s="271" t="str">
        <f>IFERROR(__xludf.DUMMYFUNCTION("GOOGLETRANSLATE(D21,""zh-tw"",""zh"")"),"垃圾")</f>
        <v>垃圾</v>
      </c>
      <c r="T21" s="271"/>
      <c r="U21" s="189" t="str">
        <f>IFERROR(__xludf.DUMMYFUNCTION("GOOGLETRANSLATE(A21,""zh-tw"",""es-MX"")"),"Gelatina viscosa extraña (negra)")</f>
        <v>Gelatina viscosa extraña (negra)</v>
      </c>
      <c r="V21" s="544"/>
      <c r="W21" s="271" t="str">
        <f>IFERROR(__xludf.DUMMYFUNCTION("GOOGLETRANSLATE(C21,""zh-tw"",""es-MX"")"),"limo")</f>
        <v>limo</v>
      </c>
      <c r="X21" s="271" t="str">
        <f>IFERROR(__xludf.DUMMYFUNCTION("GOOGLETRANSLATE(D21,""zh-tw"",""es-MX"")"),"Basura")</f>
        <v>Basura</v>
      </c>
      <c r="Y21" s="271"/>
      <c r="Z21" s="550" t="str">
        <f>IFERROR(__xludf.DUMMYFUNCTION("GOOGLETRANSLATE(A21,""zh-tw"",""KO"")"),"이상한 슬라임 젤리 (검은색)")</f>
        <v>이상한 슬라임 젤리 (검은색)</v>
      </c>
      <c r="AA21" s="545"/>
      <c r="AB21" s="205" t="s">
        <v>11762</v>
      </c>
      <c r="AC21" s="254" t="str">
        <f>IFERROR(__xludf.DUMMYFUNCTION("GOOGLETRANSLATE(D21,""zh-tw"",""KO"")"),"쓰레기")</f>
        <v>쓰레기</v>
      </c>
      <c r="AD21" s="254"/>
      <c r="AE21" s="189" t="s">
        <v>11986</v>
      </c>
      <c r="AF21" s="551"/>
      <c r="AG21" s="271" t="s">
        <v>11764</v>
      </c>
      <c r="AH21" s="271" t="s">
        <v>11987</v>
      </c>
      <c r="AI21" s="267"/>
      <c r="AJ21" s="550" t="s">
        <v>11988</v>
      </c>
      <c r="AK21" s="285"/>
      <c r="AL21" s="271" t="s">
        <v>11766</v>
      </c>
      <c r="AM21" s="271" t="s">
        <v>11989</v>
      </c>
      <c r="AN21" s="552"/>
      <c r="AO21" s="275" t="s">
        <v>11990</v>
      </c>
      <c r="AP21" s="545"/>
      <c r="AQ21" s="205" t="s">
        <v>11768</v>
      </c>
      <c r="AR21" s="205" t="s">
        <v>11991</v>
      </c>
      <c r="AS21" s="254"/>
      <c r="AT21" s="167" t="s">
        <v>11992</v>
      </c>
      <c r="AU21" s="553"/>
      <c r="AV21" s="266" t="s">
        <v>11770</v>
      </c>
      <c r="AW21" s="266" t="s">
        <v>11993</v>
      </c>
      <c r="AX21" s="539"/>
      <c r="AY21" s="189" t="s">
        <v>11994</v>
      </c>
      <c r="AZ21" s="554"/>
      <c r="BA21" s="254" t="s">
        <v>11772</v>
      </c>
      <c r="BB21" s="254" t="s">
        <v>11995</v>
      </c>
      <c r="BC21" s="101"/>
      <c r="BD21" s="101"/>
      <c r="BE21" s="101"/>
      <c r="BF21" s="101"/>
      <c r="BG21" s="101"/>
      <c r="BH21" s="101"/>
    </row>
    <row r="22">
      <c r="A22" s="189" t="s">
        <v>11996</v>
      </c>
      <c r="B22" s="549"/>
      <c r="C22" s="271" t="s">
        <v>11951</v>
      </c>
      <c r="D22" s="271" t="s">
        <v>1224</v>
      </c>
      <c r="E22" s="181"/>
      <c r="F22" s="189" t="s">
        <v>11997</v>
      </c>
      <c r="G22" s="549"/>
      <c r="H22" s="271" t="s">
        <v>11759</v>
      </c>
      <c r="I22" s="271" t="s">
        <v>1227</v>
      </c>
      <c r="J22" s="181"/>
      <c r="K22" s="270" t="s">
        <v>11998</v>
      </c>
      <c r="L22" s="549"/>
      <c r="M22" s="205" t="s">
        <v>11761</v>
      </c>
      <c r="N22" s="205" t="s">
        <v>11999</v>
      </c>
      <c r="O22" s="254"/>
      <c r="P22" s="270" t="str">
        <f>IFERROR(__xludf.DUMMYFUNCTION("GOOGLETRANSLATE(A22,""zh-tw"",""zh"")"),"奇怪的史莱姆果冻(彩色)")</f>
        <v>奇怪的史莱姆果冻(彩色)</v>
      </c>
      <c r="Q22" s="530"/>
      <c r="R22" s="271" t="str">
        <f>IFERROR(__xludf.DUMMYFUNCTION("GOOGLETRANSLATE(C22,""zh-tw"",""zh"")"),"水怪黏液")</f>
        <v>水怪黏液</v>
      </c>
      <c r="S22" s="271" t="str">
        <f>IFERROR(__xludf.DUMMYFUNCTION("GOOGLETRANSLATE(D22,""zh-tw"",""zh"")"),"呆毛")</f>
        <v>呆毛</v>
      </c>
      <c r="T22" s="271"/>
      <c r="U22" s="189" t="str">
        <f>IFERROR(__xludf.DUMMYFUNCTION("GOOGLETRANSLATE(A22,""zh-tw"",""es-MX"")"),"Gelatina viscosa extraña (colorida)")</f>
        <v>Gelatina viscosa extraña (colorida)</v>
      </c>
      <c r="V22" s="544"/>
      <c r="W22" s="271" t="str">
        <f>IFERROR(__xludf.DUMMYFUNCTION("GOOGLETRANSLATE(C22,""zh-tw"",""es-MX"")"),"Monstruo acuático de limo")</f>
        <v>Monstruo acuático de limo</v>
      </c>
      <c r="X22" s="271" t="str">
        <f>IFERROR(__xludf.DUMMYFUNCTION("GOOGLETRANSLATE(D22,""zh-tw"",""es-MX"")"),"mechón de pelo")</f>
        <v>mechón de pelo</v>
      </c>
      <c r="Y22" s="271"/>
      <c r="Z22" s="550" t="str">
        <f>IFERROR(__xludf.DUMMYFUNCTION("GOOGLETRANSLATE(A22,""zh-tw"",""KO"")"),"이상한 슬라임 젤리 (다채로운)")</f>
        <v>이상한 슬라임 젤리 (다채로운)</v>
      </c>
      <c r="AA22" s="545"/>
      <c r="AB22" s="205" t="s">
        <v>11956</v>
      </c>
      <c r="AC22" s="205" t="s">
        <v>1236</v>
      </c>
      <c r="AD22" s="254"/>
      <c r="AE22" s="189" t="s">
        <v>12000</v>
      </c>
      <c r="AF22" s="551"/>
      <c r="AG22" s="556" t="s">
        <v>11957</v>
      </c>
      <c r="AH22" s="271" t="s">
        <v>1239</v>
      </c>
      <c r="AI22" s="267"/>
      <c r="AJ22" s="550" t="s">
        <v>12001</v>
      </c>
      <c r="AK22" s="285"/>
      <c r="AL22" s="271" t="s">
        <v>11958</v>
      </c>
      <c r="AM22" s="271" t="s">
        <v>1239</v>
      </c>
      <c r="AN22" s="552"/>
      <c r="AO22" s="275" t="s">
        <v>12002</v>
      </c>
      <c r="AP22" s="545"/>
      <c r="AQ22" s="205" t="s">
        <v>11960</v>
      </c>
      <c r="AR22" s="205" t="s">
        <v>12003</v>
      </c>
      <c r="AS22" s="254"/>
      <c r="AT22" s="167" t="s">
        <v>12004</v>
      </c>
      <c r="AU22" s="553"/>
      <c r="AV22" s="266" t="s">
        <v>11770</v>
      </c>
      <c r="AW22" s="266" t="s">
        <v>12005</v>
      </c>
      <c r="AX22" s="539"/>
      <c r="AY22" s="189" t="s">
        <v>12006</v>
      </c>
      <c r="AZ22" s="554"/>
      <c r="BA22" s="254" t="s">
        <v>11772</v>
      </c>
      <c r="BB22" s="254" t="s">
        <v>12007</v>
      </c>
      <c r="BC22" s="101"/>
      <c r="BD22" s="101"/>
      <c r="BE22" s="101"/>
      <c r="BF22" s="101"/>
      <c r="BG22" s="101"/>
      <c r="BH22" s="101"/>
    </row>
    <row r="23">
      <c r="A23" s="189" t="s">
        <v>12008</v>
      </c>
      <c r="B23" s="549"/>
      <c r="C23" s="271" t="s">
        <v>12009</v>
      </c>
      <c r="D23" s="181"/>
      <c r="E23" s="181"/>
      <c r="F23" s="189" t="s">
        <v>12010</v>
      </c>
      <c r="G23" s="549"/>
      <c r="H23" s="271" t="s">
        <v>12011</v>
      </c>
      <c r="I23" s="181"/>
      <c r="J23" s="181"/>
      <c r="K23" s="240" t="s">
        <v>12012</v>
      </c>
      <c r="L23" s="549"/>
      <c r="M23" s="205" t="s">
        <v>12013</v>
      </c>
      <c r="N23" s="254"/>
      <c r="O23" s="254"/>
      <c r="P23" s="270" t="str">
        <f>IFERROR(__xludf.DUMMYFUNCTION("GOOGLETRANSLATE(A23,""zh-tw"",""zh"")"),"烤香蕉")</f>
        <v>烤香蕉</v>
      </c>
      <c r="Q23" s="530"/>
      <c r="R23" s="271" t="str">
        <f>IFERROR(__xludf.DUMMYFUNCTION("GOOGLETRANSLATE(C23,""zh-tw"",""zh"")"),"香蕉")</f>
        <v>香蕉</v>
      </c>
      <c r="S23" s="271"/>
      <c r="T23" s="271"/>
      <c r="U23" s="189" t="str">
        <f>IFERROR(__xludf.DUMMYFUNCTION("GOOGLETRANSLATE(A23,""zh-tw"",""es-MX"")"),"Plátanos al horno")</f>
        <v>Plátanos al horno</v>
      </c>
      <c r="V23" s="544"/>
      <c r="W23" s="271" t="str">
        <f>IFERROR(__xludf.DUMMYFUNCTION("GOOGLETRANSLATE(C23,""zh-tw"",""es-MX"")"),"banana")</f>
        <v>banana</v>
      </c>
      <c r="X23" s="271"/>
      <c r="Y23" s="271"/>
      <c r="Z23" s="550" t="str">
        <f>IFERROR(__xludf.DUMMYFUNCTION("GOOGLETRANSLATE(A23,""zh-tw"",""KO"")"),"구운 바나나")</f>
        <v>구운 바나나</v>
      </c>
      <c r="AA23" s="545"/>
      <c r="AB23" s="254" t="str">
        <f>IFERROR(__xludf.DUMMYFUNCTION("GOOGLETRANSLATE(C23,""zh-tw"",""KO"")"),"바나나")</f>
        <v>바나나</v>
      </c>
      <c r="AC23" s="254"/>
      <c r="AD23" s="254"/>
      <c r="AE23" s="189" t="s">
        <v>12014</v>
      </c>
      <c r="AF23" s="551"/>
      <c r="AG23" s="271" t="s">
        <v>12015</v>
      </c>
      <c r="AH23" s="267"/>
      <c r="AI23" s="267"/>
      <c r="AJ23" s="550" t="s">
        <v>12016</v>
      </c>
      <c r="AK23" s="285"/>
      <c r="AL23" s="271" t="s">
        <v>12015</v>
      </c>
      <c r="AM23" s="552"/>
      <c r="AN23" s="552"/>
      <c r="AO23" s="275" t="s">
        <v>12017</v>
      </c>
      <c r="AP23" s="545"/>
      <c r="AQ23" s="205" t="s">
        <v>12018</v>
      </c>
      <c r="AR23" s="254"/>
      <c r="AS23" s="254"/>
      <c r="AT23" s="264" t="s">
        <v>12019</v>
      </c>
      <c r="AU23" s="553"/>
      <c r="AV23" s="266" t="s">
        <v>12020</v>
      </c>
      <c r="AW23" s="539"/>
      <c r="AX23" s="539"/>
      <c r="AY23" s="189" t="s">
        <v>12012</v>
      </c>
      <c r="AZ23" s="554"/>
      <c r="BA23" s="254" t="s">
        <v>12013</v>
      </c>
      <c r="BB23" s="101"/>
      <c r="BC23" s="101"/>
      <c r="BD23" s="101"/>
      <c r="BE23" s="101"/>
      <c r="BF23" s="101"/>
      <c r="BG23" s="101"/>
      <c r="BH23" s="101"/>
    </row>
    <row r="24">
      <c r="A24" s="189" t="s">
        <v>12021</v>
      </c>
      <c r="B24" s="549"/>
      <c r="C24" s="271" t="s">
        <v>7189</v>
      </c>
      <c r="D24" s="271" t="s">
        <v>8151</v>
      </c>
      <c r="E24" s="271" t="s">
        <v>12022</v>
      </c>
      <c r="F24" s="189" t="s">
        <v>12023</v>
      </c>
      <c r="G24" s="549"/>
      <c r="H24" s="271" t="s">
        <v>11903</v>
      </c>
      <c r="I24" s="271" t="s">
        <v>12024</v>
      </c>
      <c r="J24" s="271" t="s">
        <v>12025</v>
      </c>
      <c r="K24" s="270" t="s">
        <v>12026</v>
      </c>
      <c r="L24" s="549"/>
      <c r="M24" s="205" t="s">
        <v>7194</v>
      </c>
      <c r="N24" s="205" t="s">
        <v>8153</v>
      </c>
      <c r="O24" s="205" t="s">
        <v>12027</v>
      </c>
      <c r="P24" s="270" t="str">
        <f>IFERROR(__xludf.DUMMYFUNCTION("GOOGLETRANSLATE(A24,""zh-tw"",""zh"")"),"罗宋汤")</f>
        <v>罗宋汤</v>
      </c>
      <c r="Q24" s="530"/>
      <c r="R24" s="271" t="str">
        <f>IFERROR(__xludf.DUMMYFUNCTION("GOOGLETRANSLATE(C24,""zh-tw"",""zh"")"),"小块兽肉")</f>
        <v>小块兽肉</v>
      </c>
      <c r="S24" s="271" t="str">
        <f>IFERROR(__xludf.DUMMYFUNCTION("GOOGLETRANSLATE(D24,""zh-tw"",""zh"")"),"土豆")</f>
        <v>土豆</v>
      </c>
      <c r="T24" s="271" t="str">
        <f>IFERROR(__xludf.DUMMYFUNCTION("GOOGLETRANSLATE(E24,""zh-tw"",""zh"")"),"胡萝卜")</f>
        <v>胡萝卜</v>
      </c>
      <c r="U24" s="189" t="str">
        <f>IFERROR(__xludf.DUMMYFUNCTION("GOOGLETRANSLATE(A24,""zh-tw"",""es-MX"")"),"Sopa de remolacha")</f>
        <v>Sopa de remolacha</v>
      </c>
      <c r="V24" s="544"/>
      <c r="W24" s="271" t="str">
        <f>IFERROR(__xludf.DUMMYFUNCTION("GOOGLETRANSLATE(C24,""zh-tw"",""es-MX"")"),"Pequeños trozos de carne")</f>
        <v>Pequeños trozos de carne</v>
      </c>
      <c r="X24" s="271" t="str">
        <f>IFERROR(__xludf.DUMMYFUNCTION("GOOGLETRANSLATE(D24,""zh-tw"",""es-MX"")"),"Papa")</f>
        <v>Papa</v>
      </c>
      <c r="Y24" s="271" t="str">
        <f>IFERROR(__xludf.DUMMYFUNCTION("GOOGLETRANSLATE(E24,""zh-tw"",""es-MX"")"),"zanahoria")</f>
        <v>zanahoria</v>
      </c>
      <c r="Z24" s="550" t="str">
        <f>IFERROR(__xludf.DUMMYFUNCTION("GOOGLETRANSLATE(A24,""zh-tw"",""KO"")"),"보르쉬")</f>
        <v>보르쉬</v>
      </c>
      <c r="AA24" s="545"/>
      <c r="AB24" s="205" t="s">
        <v>11906</v>
      </c>
      <c r="AC24" s="254" t="str">
        <f>IFERROR(__xludf.DUMMYFUNCTION("GOOGLETRANSLATE(D24,""zh-tw"",""KO"")"),"감자")</f>
        <v>감자</v>
      </c>
      <c r="AD24" s="254" t="str">
        <f>IFERROR(__xludf.DUMMYFUNCTION("GOOGLETRANSLATE(E24,""zh-tw"",""KO"")"),"당근")</f>
        <v>당근</v>
      </c>
      <c r="AE24" s="189" t="s">
        <v>12028</v>
      </c>
      <c r="AF24" s="551"/>
      <c r="AG24" s="271" t="s">
        <v>11908</v>
      </c>
      <c r="AH24" s="271" t="s">
        <v>8156</v>
      </c>
      <c r="AI24" s="271" t="s">
        <v>12029</v>
      </c>
      <c r="AJ24" s="550" t="s">
        <v>12028</v>
      </c>
      <c r="AK24" s="285"/>
      <c r="AL24" s="271" t="s">
        <v>12030</v>
      </c>
      <c r="AM24" s="271" t="s">
        <v>8158</v>
      </c>
      <c r="AN24" s="271" t="s">
        <v>12031</v>
      </c>
      <c r="AO24" s="275" t="s">
        <v>12032</v>
      </c>
      <c r="AP24" s="545"/>
      <c r="AQ24" s="205" t="s">
        <v>11912</v>
      </c>
      <c r="AR24" s="205" t="s">
        <v>8160</v>
      </c>
      <c r="AS24" s="205" t="s">
        <v>8160</v>
      </c>
      <c r="AT24" s="264" t="s">
        <v>12033</v>
      </c>
      <c r="AU24" s="553"/>
      <c r="AV24" s="266" t="s">
        <v>7202</v>
      </c>
      <c r="AW24" s="266" t="s">
        <v>8162</v>
      </c>
      <c r="AX24" s="266" t="s">
        <v>12034</v>
      </c>
      <c r="AY24" s="189" t="s">
        <v>12026</v>
      </c>
      <c r="AZ24" s="554"/>
      <c r="BA24" s="254" t="s">
        <v>7204</v>
      </c>
      <c r="BB24" s="254" t="s">
        <v>8164</v>
      </c>
      <c r="BC24" s="254" t="s">
        <v>12035</v>
      </c>
      <c r="BD24" s="254"/>
      <c r="BE24" s="254"/>
      <c r="BF24" s="254"/>
      <c r="BG24" s="254"/>
      <c r="BH24" s="254"/>
    </row>
    <row r="25">
      <c r="A25" s="189" t="s">
        <v>12036</v>
      </c>
      <c r="B25" s="549"/>
      <c r="C25" s="271" t="s">
        <v>12037</v>
      </c>
      <c r="D25" s="181"/>
      <c r="E25" s="181"/>
      <c r="F25" s="189" t="s">
        <v>12038</v>
      </c>
      <c r="G25" s="549"/>
      <c r="H25" s="271" t="s">
        <v>12039</v>
      </c>
      <c r="I25" s="181"/>
      <c r="J25" s="181"/>
      <c r="K25" s="270" t="s">
        <v>12040</v>
      </c>
      <c r="L25" s="549"/>
      <c r="M25" s="205" t="s">
        <v>12041</v>
      </c>
      <c r="N25" s="254"/>
      <c r="O25" s="254"/>
      <c r="P25" s="270" t="str">
        <f>IFERROR(__xludf.DUMMYFUNCTION("GOOGLETRANSLATE(A25,""zh-tw"",""zh"")"),"烤章鱼脚")</f>
        <v>烤章鱼脚</v>
      </c>
      <c r="Q25" s="530"/>
      <c r="R25" s="271" t="str">
        <f>IFERROR(__xludf.DUMMYFUNCTION("GOOGLETRANSLATE(C25,""zh-tw"",""zh"")"),"章鱼脚")</f>
        <v>章鱼脚</v>
      </c>
      <c r="S25" s="271"/>
      <c r="T25" s="271"/>
      <c r="U25" s="189" t="str">
        <f>IFERROR(__xludf.DUMMYFUNCTION("GOOGLETRANSLATE(A25,""zh-tw"",""es-MX"")"),"Patas de pulpo a la parrilla")</f>
        <v>Patas de pulpo a la parrilla</v>
      </c>
      <c r="V25" s="544"/>
      <c r="W25" s="271" t="str">
        <f>IFERROR(__xludf.DUMMYFUNCTION("GOOGLETRANSLATE(C25,""zh-tw"",""es-MX"")"),"Patas de pulpo")</f>
        <v>Patas de pulpo</v>
      </c>
      <c r="X25" s="271"/>
      <c r="Y25" s="271"/>
      <c r="Z25" s="275" t="s">
        <v>12042</v>
      </c>
      <c r="AA25" s="545"/>
      <c r="AB25" s="205" t="s">
        <v>12043</v>
      </c>
      <c r="AC25" s="254"/>
      <c r="AD25" s="254"/>
      <c r="AE25" s="189" t="s">
        <v>12044</v>
      </c>
      <c r="AF25" s="551"/>
      <c r="AG25" s="271" t="s">
        <v>12045</v>
      </c>
      <c r="AH25" s="267"/>
      <c r="AI25" s="267"/>
      <c r="AJ25" s="550" t="s">
        <v>12046</v>
      </c>
      <c r="AK25" s="285"/>
      <c r="AL25" s="271" t="s">
        <v>12047</v>
      </c>
      <c r="AM25" s="552"/>
      <c r="AN25" s="552"/>
      <c r="AO25" s="275" t="s">
        <v>12048</v>
      </c>
      <c r="AP25" s="545"/>
      <c r="AQ25" s="205" t="s">
        <v>12049</v>
      </c>
      <c r="AR25" s="254"/>
      <c r="AS25" s="254"/>
      <c r="AT25" s="264" t="s">
        <v>12050</v>
      </c>
      <c r="AU25" s="553"/>
      <c r="AV25" s="266" t="s">
        <v>12051</v>
      </c>
      <c r="AW25" s="539"/>
      <c r="AX25" s="539"/>
      <c r="AY25" s="189" t="s">
        <v>12052</v>
      </c>
      <c r="AZ25" s="554"/>
      <c r="BA25" s="254" t="s">
        <v>12053</v>
      </c>
      <c r="BB25" s="101"/>
      <c r="BC25" s="101"/>
      <c r="BD25" s="101"/>
      <c r="BE25" s="101"/>
      <c r="BF25" s="101"/>
      <c r="BG25" s="101"/>
      <c r="BH25" s="101"/>
    </row>
    <row r="26">
      <c r="A26" s="231" t="s">
        <v>12054</v>
      </c>
      <c r="B26" s="549"/>
      <c r="C26" s="271" t="s">
        <v>12055</v>
      </c>
      <c r="D26" s="271" t="s">
        <v>12055</v>
      </c>
      <c r="E26" s="271" t="s">
        <v>12055</v>
      </c>
      <c r="F26" s="189" t="s">
        <v>12056</v>
      </c>
      <c r="G26" s="549"/>
      <c r="H26" s="271" t="s">
        <v>12025</v>
      </c>
      <c r="I26" s="271" t="s">
        <v>12025</v>
      </c>
      <c r="J26" s="271" t="s">
        <v>12025</v>
      </c>
      <c r="K26" s="240" t="s">
        <v>12057</v>
      </c>
      <c r="L26" s="549"/>
      <c r="M26" s="205" t="s">
        <v>12027</v>
      </c>
      <c r="N26" s="205" t="s">
        <v>12027</v>
      </c>
      <c r="O26" s="205" t="s">
        <v>12027</v>
      </c>
      <c r="P26" s="270" t="str">
        <f>IFERROR(__xludf.DUMMYFUNCTION("GOOGLETRANSLATE(A26,""zh-tw"",""zh"")"),"蔬菜沙拉")</f>
        <v>蔬菜沙拉</v>
      </c>
      <c r="Q26" s="530"/>
      <c r="R26" s="271" t="str">
        <f>IFERROR(__xludf.DUMMYFUNCTION("GOOGLETRANSLATE(C26,""zh-tw"",""zh"")"),"蔬菜")</f>
        <v>蔬菜</v>
      </c>
      <c r="S26" s="271" t="str">
        <f>IFERROR(__xludf.DUMMYFUNCTION("GOOGLETRANSLATE(D26,""zh-tw"",""zh"")"),"蔬菜")</f>
        <v>蔬菜</v>
      </c>
      <c r="T26" s="271" t="str">
        <f>IFERROR(__xludf.DUMMYFUNCTION("GOOGLETRANSLATE(E26,""zh-tw"",""zh"")"),"蔬菜")</f>
        <v>蔬菜</v>
      </c>
      <c r="U26" s="189" t="str">
        <f>IFERROR(__xludf.DUMMYFUNCTION("GOOGLETRANSLATE(A26,""zh-tw"",""es-MX"")"),"Ensalada de verduras")</f>
        <v>Ensalada de verduras</v>
      </c>
      <c r="V26" s="544"/>
      <c r="W26" s="271" t="str">
        <f>IFERROR(__xludf.DUMMYFUNCTION("GOOGLETRANSLATE(C26,""zh-tw"",""es-MX"")"),"verdura")</f>
        <v>verdura</v>
      </c>
      <c r="X26" s="271" t="str">
        <f>IFERROR(__xludf.DUMMYFUNCTION("GOOGLETRANSLATE(D26,""zh-tw"",""es-MX"")"),"verdura")</f>
        <v>verdura</v>
      </c>
      <c r="Y26" s="271" t="str">
        <f>IFERROR(__xludf.DUMMYFUNCTION("GOOGLETRANSLATE(E26,""zh-tw"",""es-MX"")"),"verdura")</f>
        <v>verdura</v>
      </c>
      <c r="Z26" s="275" t="s">
        <v>12058</v>
      </c>
      <c r="AA26" s="545"/>
      <c r="AB26" s="557" t="s">
        <v>12059</v>
      </c>
      <c r="AC26" s="557" t="s">
        <v>12059</v>
      </c>
      <c r="AD26" s="205" t="s">
        <v>12059</v>
      </c>
      <c r="AE26" s="145" t="s">
        <v>12060</v>
      </c>
      <c r="AF26" s="551"/>
      <c r="AG26" s="271" t="s">
        <v>12061</v>
      </c>
      <c r="AH26" s="271" t="s">
        <v>12061</v>
      </c>
      <c r="AI26" s="271" t="s">
        <v>12061</v>
      </c>
      <c r="AJ26" s="550" t="s">
        <v>12062</v>
      </c>
      <c r="AK26" s="285"/>
      <c r="AL26" s="271" t="s">
        <v>12063</v>
      </c>
      <c r="AM26" s="271" t="s">
        <v>12063</v>
      </c>
      <c r="AN26" s="271" t="s">
        <v>12063</v>
      </c>
      <c r="AO26" s="275" t="s">
        <v>12064</v>
      </c>
      <c r="AP26" s="545"/>
      <c r="AQ26" s="205" t="s">
        <v>12065</v>
      </c>
      <c r="AR26" s="205" t="s">
        <v>12065</v>
      </c>
      <c r="AS26" s="205" t="s">
        <v>12065</v>
      </c>
      <c r="AT26" s="157" t="s">
        <v>12066</v>
      </c>
      <c r="AU26" s="553"/>
      <c r="AV26" s="266" t="s">
        <v>12034</v>
      </c>
      <c r="AW26" s="266" t="s">
        <v>12034</v>
      </c>
      <c r="AX26" s="266" t="s">
        <v>12034</v>
      </c>
      <c r="AY26" s="189" t="s">
        <v>12067</v>
      </c>
      <c r="AZ26" s="554"/>
      <c r="BA26" s="254" t="s">
        <v>12035</v>
      </c>
      <c r="BB26" s="254" t="s">
        <v>12035</v>
      </c>
      <c r="BC26" s="254" t="s">
        <v>12035</v>
      </c>
      <c r="BD26" s="254"/>
      <c r="BE26" s="254"/>
      <c r="BF26" s="254"/>
      <c r="BG26" s="254"/>
      <c r="BH26" s="254"/>
    </row>
    <row r="27">
      <c r="A27" s="189" t="s">
        <v>12068</v>
      </c>
      <c r="B27" s="549"/>
      <c r="C27" s="271" t="s">
        <v>8151</v>
      </c>
      <c r="D27" s="181"/>
      <c r="E27" s="181"/>
      <c r="F27" s="189" t="s">
        <v>12069</v>
      </c>
      <c r="G27" s="549"/>
      <c r="H27" s="271" t="s">
        <v>12024</v>
      </c>
      <c r="I27" s="181"/>
      <c r="J27" s="181"/>
      <c r="K27" s="270" t="s">
        <v>12070</v>
      </c>
      <c r="L27" s="549"/>
      <c r="M27" s="205" t="s">
        <v>8153</v>
      </c>
      <c r="N27" s="254"/>
      <c r="O27" s="254"/>
      <c r="P27" s="270" t="str">
        <f>IFERROR(__xludf.DUMMYFUNCTION("GOOGLETRANSLATE(A27,""zh-tw"",""zh"")"),"土豆泥")</f>
        <v>土豆泥</v>
      </c>
      <c r="Q27" s="530"/>
      <c r="R27" s="271" t="str">
        <f>IFERROR(__xludf.DUMMYFUNCTION("GOOGLETRANSLATE(C27,""zh-tw"",""zh"")"),"土豆")</f>
        <v>土豆</v>
      </c>
      <c r="S27" s="271"/>
      <c r="T27" s="271"/>
      <c r="U27" s="189" t="str">
        <f>IFERROR(__xludf.DUMMYFUNCTION("GOOGLETRANSLATE(A27,""zh-tw"",""es-MX"")"),"Puré de papas")</f>
        <v>Puré de papas</v>
      </c>
      <c r="V27" s="544"/>
      <c r="W27" s="271" t="str">
        <f>IFERROR(__xludf.DUMMYFUNCTION("GOOGLETRANSLATE(C27,""zh-tw"",""es-MX"")"),"Papa")</f>
        <v>Papa</v>
      </c>
      <c r="X27" s="271"/>
      <c r="Y27" s="271"/>
      <c r="Z27" s="275" t="s">
        <v>12071</v>
      </c>
      <c r="AA27" s="545"/>
      <c r="AB27" s="254" t="str">
        <f>IFERROR(__xludf.DUMMYFUNCTION("GOOGLETRANSLATE(C27,""zh-tw"",""KO"")"),"감자")</f>
        <v>감자</v>
      </c>
      <c r="AC27" s="254"/>
      <c r="AD27" s="254"/>
      <c r="AE27" s="189" t="s">
        <v>12072</v>
      </c>
      <c r="AF27" s="551"/>
      <c r="AG27" s="271" t="s">
        <v>8156</v>
      </c>
      <c r="AH27" s="267"/>
      <c r="AI27" s="267"/>
      <c r="AJ27" s="550" t="s">
        <v>12073</v>
      </c>
      <c r="AK27" s="285"/>
      <c r="AL27" s="271" t="s">
        <v>8158</v>
      </c>
      <c r="AM27" s="552"/>
      <c r="AN27" s="552"/>
      <c r="AO27" s="275" t="s">
        <v>12074</v>
      </c>
      <c r="AP27" s="545"/>
      <c r="AQ27" s="205" t="s">
        <v>8160</v>
      </c>
      <c r="AR27" s="254"/>
      <c r="AS27" s="254"/>
      <c r="AT27" s="264" t="s">
        <v>12075</v>
      </c>
      <c r="AU27" s="553"/>
      <c r="AV27" s="266" t="s">
        <v>8162</v>
      </c>
      <c r="AW27" s="539"/>
      <c r="AX27" s="539"/>
      <c r="AY27" s="189" t="s">
        <v>12076</v>
      </c>
      <c r="AZ27" s="554"/>
      <c r="BA27" s="254" t="s">
        <v>8164</v>
      </c>
      <c r="BB27" s="101"/>
      <c r="BC27" s="101"/>
      <c r="BD27" s="101"/>
      <c r="BE27" s="101"/>
      <c r="BF27" s="101"/>
      <c r="BG27" s="101"/>
      <c r="BH27" s="101"/>
    </row>
    <row r="28">
      <c r="A28" s="189" t="s">
        <v>12077</v>
      </c>
      <c r="B28" s="549"/>
      <c r="C28" s="271" t="s">
        <v>12022</v>
      </c>
      <c r="D28" s="271" t="s">
        <v>12078</v>
      </c>
      <c r="E28" s="181"/>
      <c r="F28" s="189" t="s">
        <v>12079</v>
      </c>
      <c r="G28" s="549"/>
      <c r="H28" s="271" t="s">
        <v>12025</v>
      </c>
      <c r="I28" s="271" t="s">
        <v>12080</v>
      </c>
      <c r="J28" s="181"/>
      <c r="K28" s="270" t="s">
        <v>12081</v>
      </c>
      <c r="L28" s="549"/>
      <c r="M28" s="205" t="s">
        <v>12027</v>
      </c>
      <c r="N28" s="205" t="s">
        <v>11856</v>
      </c>
      <c r="O28" s="254"/>
      <c r="P28" s="270" t="str">
        <f>IFERROR(__xludf.DUMMYFUNCTION("GOOGLETRANSLATE(A28,""zh-tw"",""zh"")"),"萝卜菇片汤")</f>
        <v>萝卜菇片汤</v>
      </c>
      <c r="Q28" s="530"/>
      <c r="R28" s="271" t="str">
        <f>IFERROR(__xludf.DUMMYFUNCTION("GOOGLETRANSLATE(C28,""zh-tw"",""zh"")"),"胡萝卜")</f>
        <v>胡萝卜</v>
      </c>
      <c r="S28" s="271" t="str">
        <f>IFERROR(__xludf.DUMMYFUNCTION("GOOGLETRANSLATE(D28,""zh-tw"",""zh"")"),"菇类")</f>
        <v>菇类</v>
      </c>
      <c r="T28" s="271"/>
      <c r="U28" s="189" t="str">
        <f>IFERROR(__xludf.DUMMYFUNCTION("GOOGLETRANSLATE(A28,""zh-tw"",""es-MX"")"),"Sopa de rábanos y champiñones")</f>
        <v>Sopa de rábanos y champiñones</v>
      </c>
      <c r="V28" s="544"/>
      <c r="W28" s="271" t="str">
        <f>IFERROR(__xludf.DUMMYFUNCTION("GOOGLETRANSLATE(C28,""zh-tw"",""es-MX"")"),"zanahoria")</f>
        <v>zanahoria</v>
      </c>
      <c r="X28" s="271" t="str">
        <f>IFERROR(__xludf.DUMMYFUNCTION("GOOGLETRANSLATE(D28,""zh-tw"",""es-MX"")"),"Hongos")</f>
        <v>Hongos</v>
      </c>
      <c r="Y28" s="271"/>
      <c r="Z28" s="275" t="s">
        <v>12082</v>
      </c>
      <c r="AA28" s="545"/>
      <c r="AB28" s="254" t="str">
        <f>IFERROR(__xludf.DUMMYFUNCTION("GOOGLETRANSLATE(C28,""zh-tw"",""KO"")"),"당근")</f>
        <v>당근</v>
      </c>
      <c r="AC28" s="254" t="str">
        <f>IFERROR(__xludf.DUMMYFUNCTION("GOOGLETRANSLATE(D28,""zh-tw"",""KO"")"),"버섯")</f>
        <v>버섯</v>
      </c>
      <c r="AD28" s="254"/>
      <c r="AE28" s="189" t="s">
        <v>12083</v>
      </c>
      <c r="AF28" s="551"/>
      <c r="AG28" s="271" t="s">
        <v>12029</v>
      </c>
      <c r="AH28" s="166" t="s">
        <v>7982</v>
      </c>
      <c r="AI28" s="267"/>
      <c r="AJ28" s="550" t="s">
        <v>12084</v>
      </c>
      <c r="AK28" s="285"/>
      <c r="AL28" s="271" t="s">
        <v>12031</v>
      </c>
      <c r="AM28" s="271" t="s">
        <v>7985</v>
      </c>
      <c r="AN28" s="552"/>
      <c r="AO28" s="275" t="s">
        <v>12085</v>
      </c>
      <c r="AP28" s="545"/>
      <c r="AQ28" s="205" t="s">
        <v>12086</v>
      </c>
      <c r="AR28" s="254" t="str">
        <f>IFERROR(__xludf.DUMMYFUNCTION("GOOGLETRANSLATE(D28,""zh-tw"",""de"")"),"Pilze")</f>
        <v>Pilze</v>
      </c>
      <c r="AS28" s="254"/>
      <c r="AT28" s="264" t="s">
        <v>12087</v>
      </c>
      <c r="AU28" s="553"/>
      <c r="AV28" s="266" t="s">
        <v>12034</v>
      </c>
      <c r="AW28" s="266" t="s">
        <v>11864</v>
      </c>
      <c r="AX28" s="539"/>
      <c r="AY28" s="189" t="s">
        <v>12088</v>
      </c>
      <c r="AZ28" s="554"/>
      <c r="BA28" s="254" t="s">
        <v>12035</v>
      </c>
      <c r="BB28" s="254" t="s">
        <v>11866</v>
      </c>
      <c r="BC28" s="101"/>
      <c r="BD28" s="101"/>
      <c r="BE28" s="101"/>
      <c r="BF28" s="101"/>
      <c r="BG28" s="101"/>
      <c r="BH28" s="101"/>
    </row>
    <row r="29">
      <c r="A29" s="189" t="s">
        <v>12089</v>
      </c>
      <c r="B29" s="549"/>
      <c r="C29" s="271" t="s">
        <v>12090</v>
      </c>
      <c r="D29" s="181"/>
      <c r="E29" s="181"/>
      <c r="F29" s="189" t="s">
        <v>12091</v>
      </c>
      <c r="G29" s="549"/>
      <c r="H29" s="271" t="s">
        <v>12092</v>
      </c>
      <c r="I29" s="181"/>
      <c r="J29" s="181"/>
      <c r="K29" s="270" t="s">
        <v>12093</v>
      </c>
      <c r="L29" s="549"/>
      <c r="M29" s="205" t="s">
        <v>12094</v>
      </c>
      <c r="N29" s="254"/>
      <c r="O29" s="254"/>
      <c r="P29" s="270" t="str">
        <f>IFERROR(__xludf.DUMMYFUNCTION("GOOGLETRANSLATE(A29,""zh-tw"",""zh"")"),"意面")</f>
        <v>意面</v>
      </c>
      <c r="Q29" s="530"/>
      <c r="R29" s="271" t="str">
        <f>IFERROR(__xludf.DUMMYFUNCTION("GOOGLETRANSLATE(C29,""zh-tw"",""zh"")"),"意大利面")</f>
        <v>意大利面</v>
      </c>
      <c r="S29" s="271"/>
      <c r="T29" s="271"/>
      <c r="U29" s="189" t="str">
        <f>IFERROR(__xludf.DUMMYFUNCTION("GOOGLETRANSLATE(A29,""zh-tw"",""es-MX"")"),"pastas")</f>
        <v>pastas</v>
      </c>
      <c r="V29" s="544"/>
      <c r="W29" s="271" t="str">
        <f>IFERROR(__xludf.DUMMYFUNCTION("GOOGLETRANSLATE(C29,""zh-tw"",""es-MX"")"),"espaguetis")</f>
        <v>espaguetis</v>
      </c>
      <c r="X29" s="271"/>
      <c r="Y29" s="271"/>
      <c r="Z29" s="550" t="str">
        <f>IFERROR(__xludf.DUMMYFUNCTION("GOOGLETRANSLATE(A29,""zh-tw"",""KO"")"),"파스타")</f>
        <v>파스타</v>
      </c>
      <c r="AA29" s="545"/>
      <c r="AB29" s="254" t="str">
        <f>IFERROR(__xludf.DUMMYFUNCTION("GOOGLETRANSLATE(C29,""zh-tw"",""KO"")"),"스파게티")</f>
        <v>스파게티</v>
      </c>
      <c r="AC29" s="254"/>
      <c r="AD29" s="254"/>
      <c r="AE29" s="189" t="s">
        <v>11785</v>
      </c>
      <c r="AF29" s="551"/>
      <c r="AG29" s="271" t="s">
        <v>11785</v>
      </c>
      <c r="AH29" s="267"/>
      <c r="AI29" s="267"/>
      <c r="AJ29" s="550" t="s">
        <v>11787</v>
      </c>
      <c r="AK29" s="285"/>
      <c r="AL29" s="271" t="s">
        <v>11787</v>
      </c>
      <c r="AM29" s="552"/>
      <c r="AN29" s="552"/>
      <c r="AO29" s="275" t="s">
        <v>12095</v>
      </c>
      <c r="AP29" s="545"/>
      <c r="AQ29" s="205" t="s">
        <v>12094</v>
      </c>
      <c r="AR29" s="254"/>
      <c r="AS29" s="254"/>
      <c r="AT29" s="167" t="s">
        <v>12096</v>
      </c>
      <c r="AU29" s="553"/>
      <c r="AV29" s="266" t="s">
        <v>12096</v>
      </c>
      <c r="AW29" s="539"/>
      <c r="AX29" s="539"/>
      <c r="AY29" s="189" t="s">
        <v>12097</v>
      </c>
      <c r="AZ29" s="554"/>
      <c r="BA29" s="254" t="s">
        <v>12098</v>
      </c>
      <c r="BB29" s="101"/>
      <c r="BC29" s="101"/>
      <c r="BD29" s="101"/>
      <c r="BE29" s="101"/>
      <c r="BF29" s="101"/>
      <c r="BG29" s="101"/>
      <c r="BH29" s="101"/>
    </row>
    <row r="30">
      <c r="A30" s="189" t="s">
        <v>12099</v>
      </c>
      <c r="B30" s="549"/>
      <c r="C30" s="271" t="s">
        <v>12090</v>
      </c>
      <c r="D30" s="271" t="s">
        <v>12100</v>
      </c>
      <c r="E30" s="181"/>
      <c r="F30" s="189" t="s">
        <v>12101</v>
      </c>
      <c r="G30" s="549"/>
      <c r="H30" s="271" t="s">
        <v>12092</v>
      </c>
      <c r="I30" s="271" t="s">
        <v>12102</v>
      </c>
      <c r="J30" s="181"/>
      <c r="K30" s="270" t="s">
        <v>12103</v>
      </c>
      <c r="L30" s="549"/>
      <c r="M30" s="205" t="s">
        <v>12094</v>
      </c>
      <c r="N30" s="205" t="s">
        <v>12104</v>
      </c>
      <c r="O30" s="254"/>
      <c r="P30" s="270" t="str">
        <f>IFERROR(__xludf.DUMMYFUNCTION("GOOGLETRANSLATE(A30,""zh-tw"",""zh"")"),"番茄意面")</f>
        <v>番茄意面</v>
      </c>
      <c r="Q30" s="530"/>
      <c r="R30" s="271" t="str">
        <f>IFERROR(__xludf.DUMMYFUNCTION("GOOGLETRANSLATE(C30,""zh-tw"",""zh"")"),"意大利面")</f>
        <v>意大利面</v>
      </c>
      <c r="S30" s="271" t="str">
        <f>IFERROR(__xludf.DUMMYFUNCTION("GOOGLETRANSLATE(D30,""zh-tw"",""zh"")"),"番茄酱")</f>
        <v>番茄酱</v>
      </c>
      <c r="T30" s="271"/>
      <c r="U30" s="189" t="str">
        <f>IFERROR(__xludf.DUMMYFUNCTION("GOOGLETRANSLATE(A30,""zh-tw"",""es-MX"")"),"Pasta con tomate")</f>
        <v>Pasta con tomate</v>
      </c>
      <c r="V30" s="544"/>
      <c r="W30" s="271" t="str">
        <f>IFERROR(__xludf.DUMMYFUNCTION("GOOGLETRANSLATE(C30,""zh-tw"",""es-MX"")"),"espaguetis")</f>
        <v>espaguetis</v>
      </c>
      <c r="X30" s="271" t="str">
        <f>IFERROR(__xludf.DUMMYFUNCTION("GOOGLETRANSLATE(D30,""zh-tw"",""es-MX"")"),"Salsa de tomate")</f>
        <v>Salsa de tomate</v>
      </c>
      <c r="Y30" s="271"/>
      <c r="Z30" s="550" t="str">
        <f>IFERROR(__xludf.DUMMYFUNCTION("GOOGLETRANSLATE(A30,""zh-tw"",""KO"")"),"토마토 파스타")</f>
        <v>토마토 파스타</v>
      </c>
      <c r="AA30" s="545"/>
      <c r="AB30" s="254" t="str">
        <f>IFERROR(__xludf.DUMMYFUNCTION("GOOGLETRANSLATE(C30,""zh-tw"",""KO"")"),"스파게티")</f>
        <v>스파게티</v>
      </c>
      <c r="AC30" s="254" t="str">
        <f>IFERROR(__xludf.DUMMYFUNCTION("GOOGLETRANSLATE(D30,""zh-tw"",""KO"")"),"토마토 소스")</f>
        <v>토마토 소스</v>
      </c>
      <c r="AD30" s="254"/>
      <c r="AE30" s="189" t="s">
        <v>12105</v>
      </c>
      <c r="AF30" s="551"/>
      <c r="AG30" s="271" t="s">
        <v>11785</v>
      </c>
      <c r="AH30" s="166" t="s">
        <v>12106</v>
      </c>
      <c r="AI30" s="267"/>
      <c r="AJ30" s="550" t="s">
        <v>12107</v>
      </c>
      <c r="AK30" s="285"/>
      <c r="AL30" s="271" t="s">
        <v>11787</v>
      </c>
      <c r="AM30" s="271" t="s">
        <v>12108</v>
      </c>
      <c r="AN30" s="552"/>
      <c r="AO30" s="275" t="s">
        <v>12109</v>
      </c>
      <c r="AP30" s="545"/>
      <c r="AQ30" s="205" t="s">
        <v>12094</v>
      </c>
      <c r="AR30" s="205" t="s">
        <v>12110</v>
      </c>
      <c r="AS30" s="254"/>
      <c r="AT30" s="167" t="s">
        <v>12111</v>
      </c>
      <c r="AU30" s="553"/>
      <c r="AV30" s="266" t="s">
        <v>12096</v>
      </c>
      <c r="AW30" s="266" t="s">
        <v>12112</v>
      </c>
      <c r="AX30" s="539"/>
      <c r="AY30" s="189" t="s">
        <v>12113</v>
      </c>
      <c r="AZ30" s="554"/>
      <c r="BA30" s="254" t="s">
        <v>12098</v>
      </c>
      <c r="BB30" s="254" t="s">
        <v>12114</v>
      </c>
      <c r="BC30" s="101"/>
      <c r="BD30" s="101"/>
      <c r="BE30" s="101"/>
      <c r="BF30" s="101"/>
      <c r="BG30" s="101"/>
      <c r="BH30" s="101"/>
    </row>
    <row r="31">
      <c r="A31" s="189" t="s">
        <v>12115</v>
      </c>
      <c r="B31" s="549"/>
      <c r="C31" s="271" t="s">
        <v>12090</v>
      </c>
      <c r="D31" s="271" t="s">
        <v>12116</v>
      </c>
      <c r="E31" s="181"/>
      <c r="F31" s="189" t="s">
        <v>12117</v>
      </c>
      <c r="G31" s="549"/>
      <c r="H31" s="271" t="s">
        <v>12092</v>
      </c>
      <c r="I31" s="271" t="s">
        <v>12118</v>
      </c>
      <c r="J31" s="181"/>
      <c r="K31" s="270" t="s">
        <v>12119</v>
      </c>
      <c r="L31" s="549"/>
      <c r="M31" s="205" t="s">
        <v>12094</v>
      </c>
      <c r="N31" s="205" t="s">
        <v>12120</v>
      </c>
      <c r="O31" s="254"/>
      <c r="P31" s="270" t="str">
        <f>IFERROR(__xludf.DUMMYFUNCTION("GOOGLETRANSLATE(A31,""zh-tw"",""zh"")"),"海鲜意面")</f>
        <v>海鲜意面</v>
      </c>
      <c r="Q31" s="530"/>
      <c r="R31" s="271" t="str">
        <f>IFERROR(__xludf.DUMMYFUNCTION("GOOGLETRANSLATE(C31,""zh-tw"",""zh"")"),"意大利面")</f>
        <v>意大利面</v>
      </c>
      <c r="S31" s="271" t="str">
        <f>IFERROR(__xludf.DUMMYFUNCTION("GOOGLETRANSLATE(D31,""zh-tw"",""zh"")"),"甜虾")</f>
        <v>甜虾</v>
      </c>
      <c r="T31" s="271"/>
      <c r="U31" s="189" t="str">
        <f>IFERROR(__xludf.DUMMYFUNCTION("GOOGLETRANSLATE(A31,""zh-tw"",""es-MX"")"),"Pasta con mariscos")</f>
        <v>Pasta con mariscos</v>
      </c>
      <c r="V31" s="544"/>
      <c r="W31" s="271" t="str">
        <f>IFERROR(__xludf.DUMMYFUNCTION("GOOGLETRANSLATE(C31,""zh-tw"",""es-MX"")"),"espaguetis")</f>
        <v>espaguetis</v>
      </c>
      <c r="X31" s="271" t="str">
        <f>IFERROR(__xludf.DUMMYFUNCTION("GOOGLETRANSLATE(D31,""zh-tw"",""es-MX"")"),"Camarones dulces")</f>
        <v>Camarones dulces</v>
      </c>
      <c r="Y31" s="271"/>
      <c r="Z31" s="550" t="str">
        <f>IFERROR(__xludf.DUMMYFUNCTION("GOOGLETRANSLATE(A31,""zh-tw"",""KO"")"),"해산물 파스타")</f>
        <v>해산물 파스타</v>
      </c>
      <c r="AA31" s="545"/>
      <c r="AB31" s="254" t="str">
        <f>IFERROR(__xludf.DUMMYFUNCTION("GOOGLETRANSLATE(C31,""zh-tw"",""KO"")"),"스파게티")</f>
        <v>스파게티</v>
      </c>
      <c r="AC31" s="205" t="s">
        <v>12121</v>
      </c>
      <c r="AD31" s="254"/>
      <c r="AE31" s="189" t="s">
        <v>12122</v>
      </c>
      <c r="AF31" s="551"/>
      <c r="AG31" s="271" t="s">
        <v>11785</v>
      </c>
      <c r="AH31" s="271" t="s">
        <v>12123</v>
      </c>
      <c r="AI31" s="267"/>
      <c r="AJ31" s="550" t="s">
        <v>12124</v>
      </c>
      <c r="AK31" s="285"/>
      <c r="AL31" s="271" t="s">
        <v>11787</v>
      </c>
      <c r="AM31" s="271" t="s">
        <v>12123</v>
      </c>
      <c r="AN31" s="552"/>
      <c r="AO31" s="275" t="s">
        <v>12125</v>
      </c>
      <c r="AP31" s="545"/>
      <c r="AQ31" s="205" t="s">
        <v>12094</v>
      </c>
      <c r="AR31" s="205" t="s">
        <v>12126</v>
      </c>
      <c r="AS31" s="254"/>
      <c r="AT31" s="167" t="s">
        <v>12127</v>
      </c>
      <c r="AU31" s="553"/>
      <c r="AV31" s="266" t="s">
        <v>12096</v>
      </c>
      <c r="AW31" s="266" t="s">
        <v>12128</v>
      </c>
      <c r="AX31" s="539"/>
      <c r="AY31" s="189" t="s">
        <v>12129</v>
      </c>
      <c r="AZ31" s="554"/>
      <c r="BA31" s="254" t="s">
        <v>12098</v>
      </c>
      <c r="BB31" s="254" t="s">
        <v>12130</v>
      </c>
      <c r="BC31" s="101"/>
      <c r="BD31" s="101"/>
      <c r="BE31" s="101"/>
      <c r="BF31" s="101"/>
      <c r="BG31" s="101"/>
      <c r="BH31" s="101"/>
    </row>
    <row r="32">
      <c r="A32" s="189" t="s">
        <v>12131</v>
      </c>
      <c r="B32" s="549"/>
      <c r="C32" s="271" t="s">
        <v>11774</v>
      </c>
      <c r="D32" s="271" t="s">
        <v>11775</v>
      </c>
      <c r="E32" s="271" t="s">
        <v>7941</v>
      </c>
      <c r="F32" s="189" t="s">
        <v>12132</v>
      </c>
      <c r="G32" s="549"/>
      <c r="H32" s="271" t="s">
        <v>11777</v>
      </c>
      <c r="I32" s="271" t="s">
        <v>11778</v>
      </c>
      <c r="J32" s="271" t="s">
        <v>12133</v>
      </c>
      <c r="K32" s="240" t="s">
        <v>12134</v>
      </c>
      <c r="L32" s="549"/>
      <c r="M32" s="205" t="s">
        <v>11780</v>
      </c>
      <c r="N32" s="205" t="s">
        <v>11781</v>
      </c>
      <c r="O32" s="205" t="s">
        <v>7945</v>
      </c>
      <c r="P32" s="270" t="str">
        <f>IFERROR(__xludf.DUMMYFUNCTION("GOOGLETRANSLATE(A32,""zh-tw"",""zh"")"),"鸡蛋咖喱饭")</f>
        <v>鸡蛋咖喱饭</v>
      </c>
      <c r="Q32" s="530"/>
      <c r="R32" s="271" t="str">
        <f>IFERROR(__xludf.DUMMYFUNCTION("GOOGLETRANSLATE(C32,""zh-tw"",""zh"")"),"白米饭")</f>
        <v>白米饭</v>
      </c>
      <c r="S32" s="271" t="str">
        <f>IFERROR(__xludf.DUMMYFUNCTION("GOOGLETRANSLATE(D32,""zh-tw"",""zh"")"),"咖喱块")</f>
        <v>咖喱块</v>
      </c>
      <c r="T32" s="271" t="str">
        <f>IFERROR(__xludf.DUMMYFUNCTION("GOOGLETRANSLATE(E32,""zh-tw"",""zh"")"),"很大的蛋")</f>
        <v>很大的蛋</v>
      </c>
      <c r="U32" s="189" t="str">
        <f>IFERROR(__xludf.DUMMYFUNCTION("GOOGLETRANSLATE(A32,""zh-tw"",""es-MX"")"),"arroz con curry de huevo")</f>
        <v>arroz con curry de huevo</v>
      </c>
      <c r="V32" s="544"/>
      <c r="W32" s="271" t="str">
        <f>IFERROR(__xludf.DUMMYFUNCTION("GOOGLETRANSLATE(C32,""zh-tw"",""es-MX"")"),"arroz blanco")</f>
        <v>arroz blanco</v>
      </c>
      <c r="X32" s="271" t="str">
        <f>IFERROR(__xludf.DUMMYFUNCTION("GOOGLETRANSLATE(D32,""zh-tw"",""es-MX"")"),"cubos de curry")</f>
        <v>cubos de curry</v>
      </c>
      <c r="Y32" s="271" t="str">
        <f>IFERROR(__xludf.DUMMYFUNCTION("GOOGLETRANSLATE(E32,""zh-tw"",""es-MX"")"),"Un huevo muy grande")</f>
        <v>Un huevo muy grande</v>
      </c>
      <c r="Z32" s="550" t="str">
        <f>IFERROR(__xludf.DUMMYFUNCTION("GOOGLETRANSLATE(A32,""zh-tw"",""KO"")"),"계란 카레라이스")</f>
        <v>계란 카레라이스</v>
      </c>
      <c r="AA32" s="545"/>
      <c r="AB32" s="254" t="str">
        <f>IFERROR(__xludf.DUMMYFUNCTION("GOOGLETRANSLATE(C32,""zh-tw"",""KO"")"),"흰쌀")</f>
        <v>흰쌀</v>
      </c>
      <c r="AC32" s="205" t="s">
        <v>11782</v>
      </c>
      <c r="AD32" s="205" t="s">
        <v>7948</v>
      </c>
      <c r="AE32" s="189" t="s">
        <v>12135</v>
      </c>
      <c r="AF32" s="551"/>
      <c r="AG32" s="271" t="s">
        <v>11784</v>
      </c>
      <c r="AH32" s="271" t="s">
        <v>11785</v>
      </c>
      <c r="AI32" s="166" t="s">
        <v>7950</v>
      </c>
      <c r="AJ32" s="550" t="s">
        <v>12136</v>
      </c>
      <c r="AK32" s="285"/>
      <c r="AL32" s="271" t="s">
        <v>11784</v>
      </c>
      <c r="AM32" s="271" t="s">
        <v>11787</v>
      </c>
      <c r="AN32" s="271" t="s">
        <v>7953</v>
      </c>
      <c r="AO32" s="275" t="s">
        <v>12137</v>
      </c>
      <c r="AP32" s="545"/>
      <c r="AQ32" s="205" t="s">
        <v>11789</v>
      </c>
      <c r="AR32" s="205" t="s">
        <v>11790</v>
      </c>
      <c r="AS32" s="205" t="s">
        <v>12138</v>
      </c>
      <c r="AT32" s="264" t="s">
        <v>12139</v>
      </c>
      <c r="AU32" s="553"/>
      <c r="AV32" s="266" t="s">
        <v>11792</v>
      </c>
      <c r="AW32" s="266" t="s">
        <v>11793</v>
      </c>
      <c r="AX32" s="266" t="s">
        <v>7959</v>
      </c>
      <c r="AY32" s="189" t="s">
        <v>12140</v>
      </c>
      <c r="AZ32" s="554"/>
      <c r="BA32" s="254" t="s">
        <v>11795</v>
      </c>
      <c r="BB32" s="205" t="s">
        <v>11796</v>
      </c>
      <c r="BC32" s="254" t="s">
        <v>7962</v>
      </c>
      <c r="BD32" s="254"/>
      <c r="BE32" s="254"/>
      <c r="BF32" s="254"/>
      <c r="BG32" s="254"/>
      <c r="BH32" s="254"/>
    </row>
    <row r="33">
      <c r="A33" s="189" t="s">
        <v>12141</v>
      </c>
      <c r="B33" s="549"/>
      <c r="C33" s="271" t="s">
        <v>11774</v>
      </c>
      <c r="D33" s="271" t="s">
        <v>7941</v>
      </c>
      <c r="E33" s="181"/>
      <c r="F33" s="189" t="s">
        <v>12142</v>
      </c>
      <c r="G33" s="549"/>
      <c r="H33" s="271" t="s">
        <v>11777</v>
      </c>
      <c r="I33" s="271" t="s">
        <v>12133</v>
      </c>
      <c r="J33" s="181"/>
      <c r="K33" s="270" t="s">
        <v>12143</v>
      </c>
      <c r="L33" s="549"/>
      <c r="M33" s="205" t="s">
        <v>11780</v>
      </c>
      <c r="N33" s="205" t="s">
        <v>12144</v>
      </c>
      <c r="O33" s="254"/>
      <c r="P33" s="270" t="str">
        <f>IFERROR(__xludf.DUMMYFUNCTION("GOOGLETRANSLATE(A33,""zh-tw"",""zh"")"),"蛋包饭")</f>
        <v>蛋包饭</v>
      </c>
      <c r="Q33" s="530"/>
      <c r="R33" s="271" t="str">
        <f>IFERROR(__xludf.DUMMYFUNCTION("GOOGLETRANSLATE(C33,""zh-tw"",""zh"")"),"白米饭")</f>
        <v>白米饭</v>
      </c>
      <c r="S33" s="271" t="str">
        <f>IFERROR(__xludf.DUMMYFUNCTION("GOOGLETRANSLATE(D33,""zh-tw"",""zh"")"),"很大的蛋")</f>
        <v>很大的蛋</v>
      </c>
      <c r="T33" s="271"/>
      <c r="U33" s="189" t="str">
        <f>IFERROR(__xludf.DUMMYFUNCTION("GOOGLETRANSLATE(A33,""zh-tw"",""es-MX"")"),"Arroz con tortilla")</f>
        <v>Arroz con tortilla</v>
      </c>
      <c r="V33" s="544"/>
      <c r="W33" s="271" t="str">
        <f>IFERROR(__xludf.DUMMYFUNCTION("GOOGLETRANSLATE(C33,""zh-tw"",""es-MX"")"),"arroz blanco")</f>
        <v>arroz blanco</v>
      </c>
      <c r="X33" s="271" t="str">
        <f>IFERROR(__xludf.DUMMYFUNCTION("GOOGLETRANSLATE(D33,""zh-tw"",""es-MX"")"),"Un huevo muy grande")</f>
        <v>Un huevo muy grande</v>
      </c>
      <c r="Y33" s="271"/>
      <c r="Z33" s="275" t="s">
        <v>12145</v>
      </c>
      <c r="AA33" s="545"/>
      <c r="AB33" s="254" t="str">
        <f>IFERROR(__xludf.DUMMYFUNCTION("GOOGLETRANSLATE(C33,""zh-tw"",""KO"")"),"흰쌀")</f>
        <v>흰쌀</v>
      </c>
      <c r="AC33" s="260" t="s">
        <v>7948</v>
      </c>
      <c r="AD33" s="254"/>
      <c r="AE33" s="189" t="s">
        <v>12146</v>
      </c>
      <c r="AF33" s="551"/>
      <c r="AG33" s="271" t="s">
        <v>11784</v>
      </c>
      <c r="AH33" s="271" t="s">
        <v>7950</v>
      </c>
      <c r="AI33" s="267"/>
      <c r="AJ33" s="550" t="s">
        <v>12147</v>
      </c>
      <c r="AK33" s="285"/>
      <c r="AL33" s="271" t="s">
        <v>11784</v>
      </c>
      <c r="AM33" s="271" t="s">
        <v>7953</v>
      </c>
      <c r="AN33" s="552"/>
      <c r="AO33" s="275" t="s">
        <v>12148</v>
      </c>
      <c r="AP33" s="545"/>
      <c r="AQ33" s="205" t="s">
        <v>11789</v>
      </c>
      <c r="AR33" s="205" t="s">
        <v>12138</v>
      </c>
      <c r="AS33" s="254"/>
      <c r="AT33" s="167" t="s">
        <v>12149</v>
      </c>
      <c r="AU33" s="553"/>
      <c r="AV33" s="266" t="s">
        <v>11792</v>
      </c>
      <c r="AW33" s="266" t="s">
        <v>7959</v>
      </c>
      <c r="AX33" s="539"/>
      <c r="AY33" s="189" t="s">
        <v>12143</v>
      </c>
      <c r="AZ33" s="554"/>
      <c r="BA33" s="254" t="s">
        <v>11795</v>
      </c>
      <c r="BB33" s="254" t="s">
        <v>7962</v>
      </c>
      <c r="BC33" s="101"/>
      <c r="BD33" s="101"/>
      <c r="BE33" s="101"/>
      <c r="BF33" s="101"/>
      <c r="BG33" s="101"/>
      <c r="BH33" s="101"/>
    </row>
    <row r="34">
      <c r="A34" s="189" t="s">
        <v>12150</v>
      </c>
      <c r="B34" s="549"/>
      <c r="C34" s="271" t="s">
        <v>11774</v>
      </c>
      <c r="D34" s="271" t="s">
        <v>7941</v>
      </c>
      <c r="E34" s="271" t="s">
        <v>8168</v>
      </c>
      <c r="F34" s="189" t="s">
        <v>12151</v>
      </c>
      <c r="G34" s="549"/>
      <c r="H34" s="271" t="s">
        <v>11777</v>
      </c>
      <c r="I34" s="271" t="s">
        <v>12133</v>
      </c>
      <c r="J34" s="271" t="s">
        <v>12152</v>
      </c>
      <c r="K34" s="270" t="s">
        <v>12153</v>
      </c>
      <c r="L34" s="549"/>
      <c r="M34" s="205" t="s">
        <v>11780</v>
      </c>
      <c r="N34" s="205" t="s">
        <v>12144</v>
      </c>
      <c r="O34" s="205" t="s">
        <v>8170</v>
      </c>
      <c r="P34" s="270" t="str">
        <f>IFERROR(__xludf.DUMMYFUNCTION("GOOGLETRANSLATE(A34,""zh-tw"",""zh"")"),"番茄蛋包饭")</f>
        <v>番茄蛋包饭</v>
      </c>
      <c r="Q34" s="530"/>
      <c r="R34" s="271" t="str">
        <f>IFERROR(__xludf.DUMMYFUNCTION("GOOGLETRANSLATE(C34,""zh-tw"",""zh"")"),"白米饭")</f>
        <v>白米饭</v>
      </c>
      <c r="S34" s="271" t="str">
        <f>IFERROR(__xludf.DUMMYFUNCTION("GOOGLETRANSLATE(D34,""zh-tw"",""zh"")"),"很大的蛋")</f>
        <v>很大的蛋</v>
      </c>
      <c r="T34" s="271" t="str">
        <f>IFERROR(__xludf.DUMMYFUNCTION("GOOGLETRANSLATE(E34,""zh-tw"",""zh"")"),"番茄")</f>
        <v>番茄</v>
      </c>
      <c r="U34" s="189" t="str">
        <f>IFERROR(__xludf.DUMMYFUNCTION("GOOGLETRANSLATE(A34,""zh-tw"",""es-MX"")"),"Arroz con tortilla de tomate")</f>
        <v>Arroz con tortilla de tomate</v>
      </c>
      <c r="V34" s="544"/>
      <c r="W34" s="271" t="str">
        <f>IFERROR(__xludf.DUMMYFUNCTION("GOOGLETRANSLATE(C34,""zh-tw"",""es-MX"")"),"arroz blanco")</f>
        <v>arroz blanco</v>
      </c>
      <c r="X34" s="271" t="str">
        <f>IFERROR(__xludf.DUMMYFUNCTION("GOOGLETRANSLATE(D34,""zh-tw"",""es-MX"")"),"Un huevo muy grande")</f>
        <v>Un huevo muy grande</v>
      </c>
      <c r="Y34" s="271" t="str">
        <f>IFERROR(__xludf.DUMMYFUNCTION("GOOGLETRANSLATE(E34,""zh-tw"",""es-MX"")"),"tomate")</f>
        <v>tomate</v>
      </c>
      <c r="Z34" s="275" t="s">
        <v>12154</v>
      </c>
      <c r="AA34" s="545"/>
      <c r="AB34" s="254" t="str">
        <f>IFERROR(__xludf.DUMMYFUNCTION("GOOGLETRANSLATE(C34,""zh-tw"",""KO"")"),"흰쌀")</f>
        <v>흰쌀</v>
      </c>
      <c r="AC34" s="260" t="s">
        <v>7948</v>
      </c>
      <c r="AD34" s="254" t="str">
        <f>IFERROR(__xludf.DUMMYFUNCTION("GOOGLETRANSLATE(E34,""zh-tw"",""KO"")"),"토마토")</f>
        <v>토마토</v>
      </c>
      <c r="AE34" s="189" t="s">
        <v>12155</v>
      </c>
      <c r="AF34" s="551"/>
      <c r="AG34" s="271" t="s">
        <v>11784</v>
      </c>
      <c r="AH34" s="271" t="s">
        <v>7950</v>
      </c>
      <c r="AI34" s="166" t="s">
        <v>8172</v>
      </c>
      <c r="AJ34" s="550" t="s">
        <v>12156</v>
      </c>
      <c r="AK34" s="285"/>
      <c r="AL34" s="271" t="s">
        <v>11784</v>
      </c>
      <c r="AM34" s="271" t="s">
        <v>7953</v>
      </c>
      <c r="AN34" s="271" t="s">
        <v>8174</v>
      </c>
      <c r="AO34" s="275" t="s">
        <v>12157</v>
      </c>
      <c r="AP34" s="545"/>
      <c r="AQ34" s="205" t="s">
        <v>11789</v>
      </c>
      <c r="AR34" s="205" t="s">
        <v>12138</v>
      </c>
      <c r="AS34" s="205" t="s">
        <v>8180</v>
      </c>
      <c r="AT34" s="264" t="s">
        <v>12158</v>
      </c>
      <c r="AU34" s="553"/>
      <c r="AV34" s="266" t="s">
        <v>11792</v>
      </c>
      <c r="AW34" s="266" t="s">
        <v>7959</v>
      </c>
      <c r="AX34" s="266" t="s">
        <v>8178</v>
      </c>
      <c r="AY34" s="189" t="s">
        <v>12159</v>
      </c>
      <c r="AZ34" s="554"/>
      <c r="BA34" s="254" t="s">
        <v>11795</v>
      </c>
      <c r="BB34" s="254" t="s">
        <v>7962</v>
      </c>
      <c r="BC34" s="254" t="s">
        <v>8170</v>
      </c>
      <c r="BD34" s="254"/>
      <c r="BE34" s="254"/>
      <c r="BF34" s="254"/>
      <c r="BG34" s="254"/>
      <c r="BH34" s="254"/>
    </row>
    <row r="35">
      <c r="A35" s="189" t="s">
        <v>12160</v>
      </c>
      <c r="B35" s="549"/>
      <c r="C35" s="271" t="s">
        <v>11774</v>
      </c>
      <c r="D35" s="271" t="s">
        <v>12161</v>
      </c>
      <c r="E35" s="181"/>
      <c r="F35" s="189" t="s">
        <v>12162</v>
      </c>
      <c r="G35" s="549"/>
      <c r="H35" s="271" t="s">
        <v>11777</v>
      </c>
      <c r="I35" s="271" t="s">
        <v>12163</v>
      </c>
      <c r="J35" s="181"/>
      <c r="K35" s="270" t="s">
        <v>12164</v>
      </c>
      <c r="L35" s="549"/>
      <c r="M35" s="205" t="s">
        <v>11780</v>
      </c>
      <c r="N35" s="205" t="s">
        <v>12120</v>
      </c>
      <c r="O35" s="254"/>
      <c r="P35" s="270" t="str">
        <f>IFERROR(__xludf.DUMMYFUNCTION("GOOGLETRANSLATE(A35,""zh-tw"",""zh"")"),"海鲜炖饭")</f>
        <v>海鲜炖饭</v>
      </c>
      <c r="Q35" s="530"/>
      <c r="R35" s="271" t="str">
        <f>IFERROR(__xludf.DUMMYFUNCTION("GOOGLETRANSLATE(C35,""zh-tw"",""zh"")"),"白米饭")</f>
        <v>白米饭</v>
      </c>
      <c r="S35" s="271" t="str">
        <f>IFERROR(__xludf.DUMMYFUNCTION("GOOGLETRANSLATE(D35,""zh-tw"",""zh"")"),"大龙虾")</f>
        <v>大龙虾</v>
      </c>
      <c r="T35" s="271"/>
      <c r="U35" s="189" t="str">
        <f>IFERROR(__xludf.DUMMYFUNCTION("GOOGLETRANSLATE(A35,""zh-tw"",""es-MX"")"),"Risotto de mariscos")</f>
        <v>Risotto de mariscos</v>
      </c>
      <c r="V35" s="544"/>
      <c r="W35" s="271" t="str">
        <f>IFERROR(__xludf.DUMMYFUNCTION("GOOGLETRANSLATE(C35,""zh-tw"",""es-MX"")"),"arroz blanco")</f>
        <v>arroz blanco</v>
      </c>
      <c r="X35" s="271" t="str">
        <f>IFERROR(__xludf.DUMMYFUNCTION("GOOGLETRANSLATE(D35,""zh-tw"",""es-MX"")"),"Langosta")</f>
        <v>Langosta</v>
      </c>
      <c r="Y35" s="271"/>
      <c r="Z35" s="550" t="str">
        <f>IFERROR(__xludf.DUMMYFUNCTION("GOOGLETRANSLATE(A35,""zh-tw"",""KO"")"),"해산물 리조또")</f>
        <v>해산물 리조또</v>
      </c>
      <c r="AA35" s="545"/>
      <c r="AB35" s="254" t="str">
        <f>IFERROR(__xludf.DUMMYFUNCTION("GOOGLETRANSLATE(C35,""zh-tw"",""KO"")"),"흰쌀")</f>
        <v>흰쌀</v>
      </c>
      <c r="AC35" s="205" t="s">
        <v>12165</v>
      </c>
      <c r="AD35" s="254"/>
      <c r="AE35" s="189" t="s">
        <v>12166</v>
      </c>
      <c r="AF35" s="551"/>
      <c r="AG35" s="271" t="s">
        <v>11784</v>
      </c>
      <c r="AH35" s="271" t="s">
        <v>12167</v>
      </c>
      <c r="AI35" s="267"/>
      <c r="AJ35" s="550" t="s">
        <v>12168</v>
      </c>
      <c r="AK35" s="285"/>
      <c r="AL35" s="271" t="s">
        <v>11784</v>
      </c>
      <c r="AM35" s="271" t="s">
        <v>12167</v>
      </c>
      <c r="AN35" s="552"/>
      <c r="AO35" s="275" t="s">
        <v>12169</v>
      </c>
      <c r="AP35" s="545"/>
      <c r="AQ35" s="205" t="s">
        <v>11789</v>
      </c>
      <c r="AR35" s="205" t="s">
        <v>12170</v>
      </c>
      <c r="AS35" s="254"/>
      <c r="AT35" s="264" t="s">
        <v>12171</v>
      </c>
      <c r="AU35" s="553"/>
      <c r="AV35" s="266" t="s">
        <v>11792</v>
      </c>
      <c r="AW35" s="266" t="s">
        <v>12128</v>
      </c>
      <c r="AX35" s="539"/>
      <c r="AY35" s="189" t="s">
        <v>12172</v>
      </c>
      <c r="AZ35" s="554"/>
      <c r="BA35" s="254" t="s">
        <v>11795</v>
      </c>
      <c r="BB35" s="254" t="s">
        <v>12130</v>
      </c>
      <c r="BC35" s="101"/>
      <c r="BD35" s="101"/>
      <c r="BE35" s="101"/>
      <c r="BF35" s="101"/>
      <c r="BG35" s="101"/>
      <c r="BH35" s="101"/>
    </row>
    <row r="36">
      <c r="A36" s="189" t="s">
        <v>12173</v>
      </c>
      <c r="B36" s="549"/>
      <c r="C36" s="271" t="s">
        <v>12174</v>
      </c>
      <c r="D36" s="181"/>
      <c r="E36" s="181"/>
      <c r="F36" s="189" t="s">
        <v>12175</v>
      </c>
      <c r="G36" s="549"/>
      <c r="H36" s="271" t="s">
        <v>12176</v>
      </c>
      <c r="I36" s="181"/>
      <c r="J36" s="181"/>
      <c r="K36" s="240" t="s">
        <v>12177</v>
      </c>
      <c r="L36" s="549"/>
      <c r="M36" s="205" t="s">
        <v>12178</v>
      </c>
      <c r="N36" s="254"/>
      <c r="O36" s="254"/>
      <c r="P36" s="270" t="str">
        <f>IFERROR(__xludf.DUMMYFUNCTION("GOOGLETRANSLATE(A36,""zh-tw"",""zh"")"),"菠萝饮")</f>
        <v>菠萝饮</v>
      </c>
      <c r="Q36" s="530"/>
      <c r="R36" s="271" t="str">
        <f>IFERROR(__xludf.DUMMYFUNCTION("GOOGLETRANSLATE(C36,""zh-tw"",""zh"")"),"菠萝")</f>
        <v>菠萝</v>
      </c>
      <c r="S36" s="271"/>
      <c r="T36" s="271"/>
      <c r="U36" s="189" t="str">
        <f>IFERROR(__xludf.DUMMYFUNCTION("GOOGLETRANSLATE(A36,""zh-tw"",""es-MX"")"),"Bebida de piña")</f>
        <v>Bebida de piña</v>
      </c>
      <c r="V36" s="544"/>
      <c r="W36" s="271" t="str">
        <f>IFERROR(__xludf.DUMMYFUNCTION("GOOGLETRANSLATE(C36,""zh-tw"",""es-MX"")"),"Piña")</f>
        <v>Piña</v>
      </c>
      <c r="X36" s="271"/>
      <c r="Y36" s="271"/>
      <c r="Z36" s="275" t="s">
        <v>12179</v>
      </c>
      <c r="AA36" s="545"/>
      <c r="AB36" s="254" t="str">
        <f>IFERROR(__xludf.DUMMYFUNCTION("GOOGLETRANSLATE(C36,""zh-tw"",""KO"")"),"파인애플")</f>
        <v>파인애플</v>
      </c>
      <c r="AC36" s="254"/>
      <c r="AD36" s="254"/>
      <c r="AE36" s="189" t="s">
        <v>12180</v>
      </c>
      <c r="AF36" s="551"/>
      <c r="AG36" s="271" t="s">
        <v>12181</v>
      </c>
      <c r="AH36" s="267"/>
      <c r="AI36" s="267"/>
      <c r="AJ36" s="550" t="s">
        <v>12182</v>
      </c>
      <c r="AK36" s="285"/>
      <c r="AL36" s="271" t="s">
        <v>12181</v>
      </c>
      <c r="AM36" s="552"/>
      <c r="AN36" s="552"/>
      <c r="AO36" s="275" t="s">
        <v>12183</v>
      </c>
      <c r="AP36" s="545"/>
      <c r="AQ36" s="205" t="s">
        <v>12184</v>
      </c>
      <c r="AR36" s="254"/>
      <c r="AS36" s="254"/>
      <c r="AT36" s="264" t="s">
        <v>12185</v>
      </c>
      <c r="AU36" s="553"/>
      <c r="AV36" s="266" t="s">
        <v>12186</v>
      </c>
      <c r="AW36" s="539"/>
      <c r="AX36" s="539"/>
      <c r="AY36" s="189" t="s">
        <v>12187</v>
      </c>
      <c r="AZ36" s="554"/>
      <c r="BA36" s="254" t="s">
        <v>12188</v>
      </c>
      <c r="BB36" s="101"/>
      <c r="BC36" s="101"/>
      <c r="BD36" s="101"/>
      <c r="BE36" s="101"/>
      <c r="BF36" s="101"/>
      <c r="BG36" s="101"/>
      <c r="BH36" s="101"/>
    </row>
    <row r="37">
      <c r="A37" s="231" t="s">
        <v>12189</v>
      </c>
      <c r="B37" s="549"/>
      <c r="C37" s="271" t="s">
        <v>12055</v>
      </c>
      <c r="D37" s="271" t="s">
        <v>12055</v>
      </c>
      <c r="E37" s="181"/>
      <c r="F37" s="189" t="s">
        <v>12190</v>
      </c>
      <c r="G37" s="549"/>
      <c r="H37" s="271" t="s">
        <v>12191</v>
      </c>
      <c r="I37" s="271" t="s">
        <v>12191</v>
      </c>
      <c r="J37" s="181"/>
      <c r="K37" s="270" t="s">
        <v>12192</v>
      </c>
      <c r="L37" s="549"/>
      <c r="M37" s="205" t="s">
        <v>12193</v>
      </c>
      <c r="N37" s="205" t="s">
        <v>12193</v>
      </c>
      <c r="O37" s="254"/>
      <c r="P37" s="270" t="str">
        <f>IFERROR(__xludf.DUMMYFUNCTION("GOOGLETRANSLATE(A37,""zh-tw"",""zh"")"),"冲绳杂炒")</f>
        <v>冲绳杂炒</v>
      </c>
      <c r="Q37" s="530"/>
      <c r="R37" s="271" t="str">
        <f>IFERROR(__xludf.DUMMYFUNCTION("GOOGLETRANSLATE(C37,""zh-tw"",""zh"")"),"蔬菜")</f>
        <v>蔬菜</v>
      </c>
      <c r="S37" s="271" t="str">
        <f>IFERROR(__xludf.DUMMYFUNCTION("GOOGLETRANSLATE(D37,""zh-tw"",""zh"")"),"蔬菜")</f>
        <v>蔬菜</v>
      </c>
      <c r="T37" s="271"/>
      <c r="U37" s="189" t="str">
        <f>IFERROR(__xludf.DUMMYFUNCTION("GOOGLETRANSLATE(A37,""zh-tw"",""es-MX"")"),"Salteado de Okinawa")</f>
        <v>Salteado de Okinawa</v>
      </c>
      <c r="V37" s="544"/>
      <c r="W37" s="271" t="str">
        <f>IFERROR(__xludf.DUMMYFUNCTION("GOOGLETRANSLATE(C37,""zh-tw"",""es-MX"")"),"verdura")</f>
        <v>verdura</v>
      </c>
      <c r="X37" s="271" t="str">
        <f>IFERROR(__xludf.DUMMYFUNCTION("GOOGLETRANSLATE(D37,""zh-tw"",""es-MX"")"),"verdura")</f>
        <v>verdura</v>
      </c>
      <c r="Y37" s="271"/>
      <c r="Z37" s="275" t="s">
        <v>12194</v>
      </c>
      <c r="AA37" s="545"/>
      <c r="AB37" s="254" t="str">
        <f>IFERROR(__xludf.DUMMYFUNCTION("GOOGLETRANSLATE(C37,""zh-tw"",""KO"")"),"채소")</f>
        <v>채소</v>
      </c>
      <c r="AC37" s="254" t="str">
        <f>IFERROR(__xludf.DUMMYFUNCTION("GOOGLETRANSLATE(D37,""zh-tw"",""KO"")"),"채소")</f>
        <v>채소</v>
      </c>
      <c r="AD37" s="254"/>
      <c r="AE37" s="145" t="s">
        <v>12195</v>
      </c>
      <c r="AF37" s="551"/>
      <c r="AG37" s="271" t="s">
        <v>12061</v>
      </c>
      <c r="AH37" s="271" t="s">
        <v>12061</v>
      </c>
      <c r="AI37" s="267"/>
      <c r="AJ37" s="550" t="s">
        <v>12196</v>
      </c>
      <c r="AK37" s="285"/>
      <c r="AL37" s="271" t="s">
        <v>12063</v>
      </c>
      <c r="AM37" s="271" t="s">
        <v>12063</v>
      </c>
      <c r="AN37" s="552"/>
      <c r="AO37" s="275" t="s">
        <v>12197</v>
      </c>
      <c r="AP37" s="545"/>
      <c r="AQ37" s="205" t="s">
        <v>12065</v>
      </c>
      <c r="AR37" s="205" t="s">
        <v>12065</v>
      </c>
      <c r="AS37" s="254"/>
      <c r="AT37" s="157" t="s">
        <v>12198</v>
      </c>
      <c r="AU37" s="553"/>
      <c r="AV37" s="266" t="s">
        <v>12199</v>
      </c>
      <c r="AW37" s="266" t="s">
        <v>12199</v>
      </c>
      <c r="AX37" s="539"/>
      <c r="AY37" s="189" t="s">
        <v>12200</v>
      </c>
      <c r="AZ37" s="554"/>
      <c r="BA37" s="254" t="s">
        <v>12201</v>
      </c>
      <c r="BB37" s="254" t="s">
        <v>12201</v>
      </c>
      <c r="BC37" s="101"/>
      <c r="BD37" s="101"/>
      <c r="BE37" s="101"/>
      <c r="BF37" s="101"/>
      <c r="BG37" s="101"/>
      <c r="BH37" s="101"/>
    </row>
    <row r="38">
      <c r="A38" s="189" t="s">
        <v>12202</v>
      </c>
      <c r="B38" s="530" t="s">
        <v>760</v>
      </c>
      <c r="C38" s="271" t="s">
        <v>12203</v>
      </c>
      <c r="D38" s="271" t="s">
        <v>12203</v>
      </c>
      <c r="E38" s="271" t="s">
        <v>11798</v>
      </c>
      <c r="F38" s="189" t="s">
        <v>12204</v>
      </c>
      <c r="G38" s="530" t="s">
        <v>760</v>
      </c>
      <c r="H38" s="271" t="s">
        <v>12205</v>
      </c>
      <c r="I38" s="271" t="s">
        <v>12205</v>
      </c>
      <c r="J38" s="271" t="s">
        <v>11800</v>
      </c>
      <c r="K38" s="240" t="s">
        <v>12206</v>
      </c>
      <c r="L38" s="530" t="s">
        <v>760</v>
      </c>
      <c r="M38" s="205" t="s">
        <v>12207</v>
      </c>
      <c r="N38" s="205" t="s">
        <v>12207</v>
      </c>
      <c r="O38" s="205" t="s">
        <v>11802</v>
      </c>
      <c r="P38" s="270" t="str">
        <f>IFERROR(__xludf.DUMMYFUNCTION("GOOGLETRANSLATE(A38,""zh-tw"",""zh"")"),"炸鸡桶")</f>
        <v>炸鸡桶</v>
      </c>
      <c r="Q38" s="530" t="str">
        <f>IFERROR(__xludf.DUMMYFUNCTION("GOOGLETRANSLATE(B38,""zh-tw"",""zh"")"),"A")</f>
        <v>A</v>
      </c>
      <c r="R38" s="271" t="str">
        <f>IFERROR(__xludf.DUMMYFUNCTION("GOOGLETRANSLATE(C38,""zh-tw"",""zh"")"),"鸡腿肉")</f>
        <v>鸡腿肉</v>
      </c>
      <c r="S38" s="271" t="str">
        <f>IFERROR(__xludf.DUMMYFUNCTION("GOOGLETRANSLATE(D38,""zh-tw"",""zh"")"),"鸡腿肉")</f>
        <v>鸡腿肉</v>
      </c>
      <c r="T38" s="271" t="str">
        <f>IFERROR(__xludf.DUMMYFUNCTION("GOOGLETRANSLATE(E38,""zh-tw"",""zh"")"),"小麦粉")</f>
        <v>小麦粉</v>
      </c>
      <c r="U38" s="189" t="str">
        <f>IFERROR(__xludf.DUMMYFUNCTION("GOOGLETRANSLATE(A38,""zh-tw"",""es-MX"")"),"Cubo de pollo frito")</f>
        <v>Cubo de pollo frito</v>
      </c>
      <c r="V38" s="544" t="str">
        <f>IFERROR(__xludf.DUMMYFUNCTION("GOOGLETRANSLATE(B38,""zh-tw"",""es-MX"")"),"A")</f>
        <v>A</v>
      </c>
      <c r="W38" s="271" t="str">
        <f>IFERROR(__xludf.DUMMYFUNCTION("GOOGLETRANSLATE(C38,""zh-tw"",""es-MX"")"),"Muslo de pollo")</f>
        <v>Muslo de pollo</v>
      </c>
      <c r="X38" s="271" t="str">
        <f>IFERROR(__xludf.DUMMYFUNCTION("GOOGLETRANSLATE(D38,""zh-tw"",""es-MX"")"),"Muslo de pollo")</f>
        <v>Muslo de pollo</v>
      </c>
      <c r="Y38" s="271" t="str">
        <f>IFERROR(__xludf.DUMMYFUNCTION("GOOGLETRANSLATE(E38,""zh-tw"",""es-MX"")"),"harina de trigo")</f>
        <v>harina de trigo</v>
      </c>
      <c r="Z38" s="275" t="s">
        <v>12208</v>
      </c>
      <c r="AA38" s="545" t="s">
        <v>760</v>
      </c>
      <c r="AB38" s="205" t="s">
        <v>12209</v>
      </c>
      <c r="AC38" s="205" t="s">
        <v>12209</v>
      </c>
      <c r="AD38" s="254" t="str">
        <f>IFERROR(__xludf.DUMMYFUNCTION("GOOGLETRANSLATE(E38,""zh-tw"",""KO"")"),"밀가루")</f>
        <v>밀가루</v>
      </c>
      <c r="AE38" s="189" t="s">
        <v>12210</v>
      </c>
      <c r="AF38" s="544" t="s">
        <v>11728</v>
      </c>
      <c r="AG38" s="271" t="s">
        <v>12211</v>
      </c>
      <c r="AH38" s="271" t="s">
        <v>12211</v>
      </c>
      <c r="AI38" s="271" t="s">
        <v>11804</v>
      </c>
      <c r="AJ38" s="550" t="s">
        <v>12212</v>
      </c>
      <c r="AK38" s="544" t="s">
        <v>11728</v>
      </c>
      <c r="AL38" s="271" t="s">
        <v>12213</v>
      </c>
      <c r="AM38" s="271" t="s">
        <v>12213</v>
      </c>
      <c r="AN38" s="271" t="s">
        <v>11806</v>
      </c>
      <c r="AO38" s="275" t="s">
        <v>12214</v>
      </c>
      <c r="AP38" s="545" t="s">
        <v>760</v>
      </c>
      <c r="AQ38" s="205" t="s">
        <v>12215</v>
      </c>
      <c r="AR38" s="205" t="s">
        <v>12215</v>
      </c>
      <c r="AS38" s="205" t="s">
        <v>11808</v>
      </c>
      <c r="AT38" s="264" t="s">
        <v>12216</v>
      </c>
      <c r="AU38" s="555" t="s">
        <v>760</v>
      </c>
      <c r="AV38" s="266" t="s">
        <v>12217</v>
      </c>
      <c r="AW38" s="266" t="s">
        <v>12217</v>
      </c>
      <c r="AX38" s="266" t="s">
        <v>11810</v>
      </c>
      <c r="AY38" s="189" t="s">
        <v>12218</v>
      </c>
      <c r="AZ38" s="530" t="s">
        <v>760</v>
      </c>
      <c r="BA38" s="254" t="s">
        <v>12219</v>
      </c>
      <c r="BB38" s="254" t="s">
        <v>12219</v>
      </c>
      <c r="BC38" s="254" t="s">
        <v>11812</v>
      </c>
      <c r="BD38" s="254"/>
      <c r="BE38" s="254"/>
      <c r="BF38" s="254"/>
      <c r="BG38" s="254"/>
      <c r="BH38" s="254"/>
    </row>
    <row r="39">
      <c r="A39" s="231" t="s">
        <v>12220</v>
      </c>
      <c r="B39" s="530" t="s">
        <v>760</v>
      </c>
      <c r="C39" s="271" t="s">
        <v>12203</v>
      </c>
      <c r="D39" s="181"/>
      <c r="E39" s="181"/>
      <c r="F39" s="189" t="s">
        <v>12221</v>
      </c>
      <c r="G39" s="530" t="s">
        <v>760</v>
      </c>
      <c r="H39" s="271" t="s">
        <v>12205</v>
      </c>
      <c r="I39" s="181"/>
      <c r="J39" s="181"/>
      <c r="K39" s="270" t="s">
        <v>12222</v>
      </c>
      <c r="L39" s="530" t="s">
        <v>760</v>
      </c>
      <c r="M39" s="205" t="s">
        <v>12207</v>
      </c>
      <c r="N39" s="254"/>
      <c r="O39" s="254"/>
      <c r="P39" s="270" t="str">
        <f>IFERROR(__xludf.DUMMYFUNCTION("GOOGLETRANSLATE(A39,""zh-tw"",""zh"")"),"炸鸡腿")</f>
        <v>炸鸡腿</v>
      </c>
      <c r="Q39" s="530" t="str">
        <f>IFERROR(__xludf.DUMMYFUNCTION("GOOGLETRANSLATE(B39,""zh-tw"",""zh"")"),"A")</f>
        <v>A</v>
      </c>
      <c r="R39" s="271" t="str">
        <f>IFERROR(__xludf.DUMMYFUNCTION("GOOGLETRANSLATE(C39,""zh-tw"",""zh"")"),"鸡腿肉")</f>
        <v>鸡腿肉</v>
      </c>
      <c r="S39" s="271"/>
      <c r="T39" s="271"/>
      <c r="U39" s="189" t="str">
        <f>IFERROR(__xludf.DUMMYFUNCTION("GOOGLETRANSLATE(A39,""zh-tw"",""es-MX"")"),"Muslos de pollo frito")</f>
        <v>Muslos de pollo frito</v>
      </c>
      <c r="V39" s="544" t="str">
        <f>IFERROR(__xludf.DUMMYFUNCTION("GOOGLETRANSLATE(B39,""zh-tw"",""es-MX"")"),"A")</f>
        <v>A</v>
      </c>
      <c r="W39" s="271" t="str">
        <f>IFERROR(__xludf.DUMMYFUNCTION("GOOGLETRANSLATE(C39,""zh-tw"",""es-MX"")"),"Muslo de pollo")</f>
        <v>Muslo de pollo</v>
      </c>
      <c r="X39" s="271"/>
      <c r="Y39" s="271"/>
      <c r="Z39" s="550" t="str">
        <f>IFERROR(__xludf.DUMMYFUNCTION("GOOGLETRANSLATE(A39,""zh-tw"",""KO"")"),"닭다리 튀김")</f>
        <v>닭다리 튀김</v>
      </c>
      <c r="AA39" s="545" t="s">
        <v>760</v>
      </c>
      <c r="AB39" s="205" t="s">
        <v>12209</v>
      </c>
      <c r="AC39" s="254"/>
      <c r="AD39" s="254"/>
      <c r="AE39" s="145" t="s">
        <v>12223</v>
      </c>
      <c r="AF39" s="544" t="s">
        <v>11728</v>
      </c>
      <c r="AG39" s="271" t="s">
        <v>12211</v>
      </c>
      <c r="AH39" s="267"/>
      <c r="AI39" s="267"/>
      <c r="AJ39" s="550" t="s">
        <v>12224</v>
      </c>
      <c r="AK39" s="544" t="s">
        <v>11728</v>
      </c>
      <c r="AL39" s="271" t="s">
        <v>12213</v>
      </c>
      <c r="AM39" s="552"/>
      <c r="AN39" s="552"/>
      <c r="AO39" s="275" t="s">
        <v>12225</v>
      </c>
      <c r="AP39" s="545" t="s">
        <v>760</v>
      </c>
      <c r="AQ39" s="205" t="s">
        <v>12215</v>
      </c>
      <c r="AR39" s="254"/>
      <c r="AS39" s="254"/>
      <c r="AT39" s="157" t="s">
        <v>12226</v>
      </c>
      <c r="AU39" s="555" t="s">
        <v>760</v>
      </c>
      <c r="AV39" s="266" t="s">
        <v>12217</v>
      </c>
      <c r="AW39" s="539"/>
      <c r="AX39" s="539"/>
      <c r="AY39" s="189" t="s">
        <v>12227</v>
      </c>
      <c r="AZ39" s="530" t="s">
        <v>760</v>
      </c>
      <c r="BA39" s="254" t="s">
        <v>12219</v>
      </c>
      <c r="BB39" s="101"/>
      <c r="BC39" s="101"/>
      <c r="BD39" s="101"/>
      <c r="BE39" s="101"/>
      <c r="BF39" s="101"/>
      <c r="BG39" s="101"/>
      <c r="BH39" s="101"/>
    </row>
    <row r="40">
      <c r="A40" s="189" t="s">
        <v>12228</v>
      </c>
      <c r="B40" s="530" t="s">
        <v>760</v>
      </c>
      <c r="C40" s="271" t="s">
        <v>11774</v>
      </c>
      <c r="D40" s="271" t="s">
        <v>12203</v>
      </c>
      <c r="E40" s="181"/>
      <c r="F40" s="189" t="s">
        <v>12229</v>
      </c>
      <c r="G40" s="530" t="s">
        <v>760</v>
      </c>
      <c r="H40" s="271" t="s">
        <v>11777</v>
      </c>
      <c r="I40" s="271" t="s">
        <v>12205</v>
      </c>
      <c r="J40" s="181"/>
      <c r="K40" s="270" t="s">
        <v>12230</v>
      </c>
      <c r="L40" s="530" t="s">
        <v>760</v>
      </c>
      <c r="M40" s="205" t="s">
        <v>11942</v>
      </c>
      <c r="N40" s="205" t="s">
        <v>12207</v>
      </c>
      <c r="O40" s="254"/>
      <c r="P40" s="270" t="str">
        <f>IFERROR(__xludf.DUMMYFUNCTION("GOOGLETRANSLATE(A40,""zh-tw"",""zh"")"),"天妇罗饭团")</f>
        <v>天妇罗饭团</v>
      </c>
      <c r="Q40" s="530" t="str">
        <f>IFERROR(__xludf.DUMMYFUNCTION("GOOGLETRANSLATE(B40,""zh-tw"",""zh"")"),"A")</f>
        <v>A</v>
      </c>
      <c r="R40" s="271" t="str">
        <f>IFERROR(__xludf.DUMMYFUNCTION("GOOGLETRANSLATE(C40,""zh-tw"",""zh"")"),"白米饭")</f>
        <v>白米饭</v>
      </c>
      <c r="S40" s="271" t="str">
        <f>IFERROR(__xludf.DUMMYFUNCTION("GOOGLETRANSLATE(D40,""zh-tw"",""zh"")"),"鸡腿肉")</f>
        <v>鸡腿肉</v>
      </c>
      <c r="T40" s="271"/>
      <c r="U40" s="189" t="str">
        <f>IFERROR(__xludf.DUMMYFUNCTION("GOOGLETRANSLATE(A40,""zh-tw"",""es-MX"")"),"Bola de arroz tempura")</f>
        <v>Bola de arroz tempura</v>
      </c>
      <c r="V40" s="544" t="str">
        <f>IFERROR(__xludf.DUMMYFUNCTION("GOOGLETRANSLATE(B40,""zh-tw"",""es-MX"")"),"A")</f>
        <v>A</v>
      </c>
      <c r="W40" s="271" t="str">
        <f>IFERROR(__xludf.DUMMYFUNCTION("GOOGLETRANSLATE(C40,""zh-tw"",""es-MX"")"),"arroz blanco")</f>
        <v>arroz blanco</v>
      </c>
      <c r="X40" s="271" t="str">
        <f>IFERROR(__xludf.DUMMYFUNCTION("GOOGLETRANSLATE(D40,""zh-tw"",""es-MX"")"),"Muslo de pollo")</f>
        <v>Muslo de pollo</v>
      </c>
      <c r="Y40" s="271"/>
      <c r="Z40" s="275" t="s">
        <v>12231</v>
      </c>
      <c r="AA40" s="545" t="s">
        <v>760</v>
      </c>
      <c r="AB40" s="254" t="str">
        <f>IFERROR(__xludf.DUMMYFUNCTION("GOOGLETRANSLATE(C40,""zh-tw"",""KO"")"),"흰쌀")</f>
        <v>흰쌀</v>
      </c>
      <c r="AC40" s="205" t="s">
        <v>12209</v>
      </c>
      <c r="AD40" s="254"/>
      <c r="AE40" s="189" t="s">
        <v>12232</v>
      </c>
      <c r="AF40" s="544" t="s">
        <v>11728</v>
      </c>
      <c r="AG40" s="271" t="s">
        <v>11784</v>
      </c>
      <c r="AH40" s="271" t="s">
        <v>12211</v>
      </c>
      <c r="AI40" s="267"/>
      <c r="AJ40" s="550" t="s">
        <v>12233</v>
      </c>
      <c r="AK40" s="544" t="s">
        <v>11728</v>
      </c>
      <c r="AL40" s="271" t="s">
        <v>11784</v>
      </c>
      <c r="AM40" s="271" t="s">
        <v>12213</v>
      </c>
      <c r="AN40" s="552"/>
      <c r="AO40" s="275" t="s">
        <v>12234</v>
      </c>
      <c r="AP40" s="545" t="s">
        <v>760</v>
      </c>
      <c r="AQ40" s="205" t="s">
        <v>11789</v>
      </c>
      <c r="AR40" s="205" t="s">
        <v>12215</v>
      </c>
      <c r="AS40" s="254"/>
      <c r="AT40" s="264" t="s">
        <v>12230</v>
      </c>
      <c r="AU40" s="555" t="s">
        <v>760</v>
      </c>
      <c r="AV40" s="266" t="s">
        <v>11792</v>
      </c>
      <c r="AW40" s="266" t="s">
        <v>12217</v>
      </c>
      <c r="AX40" s="539"/>
      <c r="AY40" s="189" t="s">
        <v>12230</v>
      </c>
      <c r="AZ40" s="530" t="s">
        <v>760</v>
      </c>
      <c r="BA40" s="254" t="s">
        <v>11795</v>
      </c>
      <c r="BB40" s="254" t="s">
        <v>12219</v>
      </c>
      <c r="BC40" s="101"/>
      <c r="BD40" s="101"/>
      <c r="BE40" s="101"/>
      <c r="BF40" s="101"/>
      <c r="BG40" s="101"/>
      <c r="BH40" s="101"/>
    </row>
    <row r="41">
      <c r="A41" s="189" t="s">
        <v>12235</v>
      </c>
      <c r="B41" s="549"/>
      <c r="C41" s="271" t="s">
        <v>12236</v>
      </c>
      <c r="D41" s="271" t="s">
        <v>12236</v>
      </c>
      <c r="E41" s="271" t="s">
        <v>12236</v>
      </c>
      <c r="F41" s="189" t="s">
        <v>12237</v>
      </c>
      <c r="G41" s="558"/>
      <c r="H41" s="271" t="s">
        <v>12163</v>
      </c>
      <c r="I41" s="271" t="s">
        <v>12163</v>
      </c>
      <c r="J41" s="271" t="s">
        <v>12163</v>
      </c>
      <c r="K41" s="270" t="s">
        <v>12238</v>
      </c>
      <c r="L41" s="549"/>
      <c r="M41" s="205" t="s">
        <v>12239</v>
      </c>
      <c r="N41" s="205" t="s">
        <v>12239</v>
      </c>
      <c r="O41" s="205" t="s">
        <v>12239</v>
      </c>
      <c r="P41" s="270" t="str">
        <f>IFERROR(__xludf.DUMMYFUNCTION("GOOGLETRANSLATE(A41,""zh-tw"",""zh"")"),"焗龙虾")</f>
        <v>焗龙虾</v>
      </c>
      <c r="Q41" s="530"/>
      <c r="R41" s="271" t="str">
        <f>IFERROR(__xludf.DUMMYFUNCTION("GOOGLETRANSLATE(C41,""zh-tw"",""zh"")"),"龙虾")</f>
        <v>龙虾</v>
      </c>
      <c r="S41" s="271" t="str">
        <f>IFERROR(__xludf.DUMMYFUNCTION("GOOGLETRANSLATE(D41,""zh-tw"",""zh"")"),"龙虾")</f>
        <v>龙虾</v>
      </c>
      <c r="T41" s="271" t="str">
        <f>IFERROR(__xludf.DUMMYFUNCTION("GOOGLETRANSLATE(E41,""zh-tw"",""zh"")"),"龙虾")</f>
        <v>龙虾</v>
      </c>
      <c r="U41" s="189" t="str">
        <f>IFERROR(__xludf.DUMMYFUNCTION("GOOGLETRANSLATE(A41,""zh-tw"",""es-MX"")"),"Langosta al horno")</f>
        <v>Langosta al horno</v>
      </c>
      <c r="V41" s="544"/>
      <c r="W41" s="271" t="str">
        <f>IFERROR(__xludf.DUMMYFUNCTION("GOOGLETRANSLATE(C41,""zh-tw"",""es-MX"")"),"langosta")</f>
        <v>langosta</v>
      </c>
      <c r="X41" s="271" t="str">
        <f>IFERROR(__xludf.DUMMYFUNCTION("GOOGLETRANSLATE(D41,""zh-tw"",""es-MX"")"),"langosta")</f>
        <v>langosta</v>
      </c>
      <c r="Y41" s="271" t="str">
        <f>IFERROR(__xludf.DUMMYFUNCTION("GOOGLETRANSLATE(E41,""zh-tw"",""es-MX"")"),"langosta")</f>
        <v>langosta</v>
      </c>
      <c r="Z41" s="275" t="s">
        <v>12240</v>
      </c>
      <c r="AA41" s="545"/>
      <c r="AB41" s="205" t="s">
        <v>12165</v>
      </c>
      <c r="AC41" s="205" t="s">
        <v>12165</v>
      </c>
      <c r="AD41" s="205" t="s">
        <v>12165</v>
      </c>
      <c r="AE41" s="189" t="s">
        <v>12241</v>
      </c>
      <c r="AF41" s="551"/>
      <c r="AG41" s="271" t="s">
        <v>12167</v>
      </c>
      <c r="AH41" s="271" t="s">
        <v>12167</v>
      </c>
      <c r="AI41" s="271" t="s">
        <v>12167</v>
      </c>
      <c r="AJ41" s="550" t="s">
        <v>12242</v>
      </c>
      <c r="AK41" s="285"/>
      <c r="AL41" s="271" t="s">
        <v>12167</v>
      </c>
      <c r="AM41" s="271" t="s">
        <v>12167</v>
      </c>
      <c r="AN41" s="271" t="s">
        <v>12167</v>
      </c>
      <c r="AO41" s="275" t="s">
        <v>12243</v>
      </c>
      <c r="AP41" s="545"/>
      <c r="AQ41" s="205" t="s">
        <v>12170</v>
      </c>
      <c r="AR41" s="205" t="s">
        <v>12170</v>
      </c>
      <c r="AS41" s="205" t="s">
        <v>12170</v>
      </c>
      <c r="AT41" s="264" t="s">
        <v>12244</v>
      </c>
      <c r="AU41" s="553"/>
      <c r="AV41" s="266" t="s">
        <v>12245</v>
      </c>
      <c r="AW41" s="266" t="s">
        <v>12245</v>
      </c>
      <c r="AX41" s="266" t="s">
        <v>12245</v>
      </c>
      <c r="AY41" s="189" t="s">
        <v>12246</v>
      </c>
      <c r="AZ41" s="554"/>
      <c r="BA41" s="254" t="s">
        <v>12247</v>
      </c>
      <c r="BB41" s="254" t="s">
        <v>12247</v>
      </c>
      <c r="BC41" s="254" t="s">
        <v>12247</v>
      </c>
      <c r="BD41" s="254"/>
      <c r="BE41" s="254"/>
      <c r="BF41" s="254"/>
      <c r="BG41" s="254"/>
      <c r="BH41" s="254"/>
    </row>
    <row r="42">
      <c r="A42" s="189" t="s">
        <v>12248</v>
      </c>
      <c r="B42" s="549"/>
      <c r="C42" s="271" t="s">
        <v>12249</v>
      </c>
      <c r="D42" s="271" t="s">
        <v>12249</v>
      </c>
      <c r="E42" s="271" t="s">
        <v>12249</v>
      </c>
      <c r="F42" s="189" t="s">
        <v>12250</v>
      </c>
      <c r="G42" s="558"/>
      <c r="H42" s="271" t="s">
        <v>12251</v>
      </c>
      <c r="I42" s="271" t="s">
        <v>12251</v>
      </c>
      <c r="J42" s="271" t="s">
        <v>12251</v>
      </c>
      <c r="K42" s="270" t="s">
        <v>12252</v>
      </c>
      <c r="L42" s="549"/>
      <c r="M42" s="205" t="s">
        <v>12253</v>
      </c>
      <c r="N42" s="205" t="s">
        <v>12253</v>
      </c>
      <c r="O42" s="205" t="s">
        <v>12253</v>
      </c>
      <c r="P42" s="270" t="str">
        <f>IFERROR(__xludf.DUMMYFUNCTION("GOOGLETRANSLATE(A42,""zh-tw"",""zh"")"),"煮螃蟹")</f>
        <v>煮螃蟹</v>
      </c>
      <c r="Q42" s="530"/>
      <c r="R42" s="271" t="str">
        <f>IFERROR(__xludf.DUMMYFUNCTION("GOOGLETRANSLATE(C42,""zh-tw"",""zh"")"),"毛蟹")</f>
        <v>毛蟹</v>
      </c>
      <c r="S42" s="271" t="str">
        <f>IFERROR(__xludf.DUMMYFUNCTION("GOOGLETRANSLATE(D42,""zh-tw"",""zh"")"),"毛蟹")</f>
        <v>毛蟹</v>
      </c>
      <c r="T42" s="271" t="str">
        <f>IFERROR(__xludf.DUMMYFUNCTION("GOOGLETRANSLATE(E42,""zh-tw"",""zh"")"),"毛蟹")</f>
        <v>毛蟹</v>
      </c>
      <c r="U42" s="189" t="str">
        <f>IFERROR(__xludf.DUMMYFUNCTION("GOOGLETRANSLATE(A42,""zh-tw"",""es-MX"")"),"Cangrejo hervido")</f>
        <v>Cangrejo hervido</v>
      </c>
      <c r="V42" s="544"/>
      <c r="W42" s="271" t="str">
        <f>IFERROR(__xludf.DUMMYFUNCTION("GOOGLETRANSLATE(C42,""zh-tw"",""es-MX"")"),"cangrejo peludo")</f>
        <v>cangrejo peludo</v>
      </c>
      <c r="X42" s="271" t="str">
        <f>IFERROR(__xludf.DUMMYFUNCTION("GOOGLETRANSLATE(D42,""zh-tw"",""es-MX"")"),"cangrejo peludo")</f>
        <v>cangrejo peludo</v>
      </c>
      <c r="Y42" s="271" t="str">
        <f>IFERROR(__xludf.DUMMYFUNCTION("GOOGLETRANSLATE(E42,""zh-tw"",""es-MX"")"),"cangrejo peludo")</f>
        <v>cangrejo peludo</v>
      </c>
      <c r="Z42" s="275" t="s">
        <v>12254</v>
      </c>
      <c r="AA42" s="545"/>
      <c r="AB42" s="254" t="str">
        <f>IFERROR(__xludf.DUMMYFUNCTION("GOOGLETRANSLATE(C42,""zh-tw"",""KO"")"),"털게")</f>
        <v>털게</v>
      </c>
      <c r="AC42" s="254" t="str">
        <f>IFERROR(__xludf.DUMMYFUNCTION("GOOGLETRANSLATE(D42,""zh-tw"",""KO"")"),"털게")</f>
        <v>털게</v>
      </c>
      <c r="AD42" s="254" t="str">
        <f>IFERROR(__xludf.DUMMYFUNCTION("GOOGLETRANSLATE(E42,""zh-tw"",""KO"")"),"털게")</f>
        <v>털게</v>
      </c>
      <c r="AE42" s="189" t="s">
        <v>12255</v>
      </c>
      <c r="AF42" s="551"/>
      <c r="AG42" s="271" t="s">
        <v>12256</v>
      </c>
      <c r="AH42" s="271" t="s">
        <v>12256</v>
      </c>
      <c r="AI42" s="271" t="s">
        <v>12256</v>
      </c>
      <c r="AJ42" s="550" t="s">
        <v>12257</v>
      </c>
      <c r="AK42" s="285"/>
      <c r="AL42" s="271" t="s">
        <v>12258</v>
      </c>
      <c r="AM42" s="271" t="s">
        <v>12258</v>
      </c>
      <c r="AN42" s="271" t="s">
        <v>12258</v>
      </c>
      <c r="AO42" s="275" t="s">
        <v>12259</v>
      </c>
      <c r="AP42" s="545"/>
      <c r="AQ42" s="205" t="s">
        <v>12260</v>
      </c>
      <c r="AR42" s="205" t="s">
        <v>12260</v>
      </c>
      <c r="AS42" s="205" t="s">
        <v>12260</v>
      </c>
      <c r="AT42" s="264" t="s">
        <v>12261</v>
      </c>
      <c r="AU42" s="553"/>
      <c r="AV42" s="266" t="s">
        <v>12262</v>
      </c>
      <c r="AW42" s="266" t="s">
        <v>12262</v>
      </c>
      <c r="AX42" s="266" t="s">
        <v>12262</v>
      </c>
      <c r="AY42" s="189" t="s">
        <v>12263</v>
      </c>
      <c r="AZ42" s="554"/>
      <c r="BA42" s="254" t="s">
        <v>12264</v>
      </c>
      <c r="BB42" s="254" t="s">
        <v>12264</v>
      </c>
      <c r="BC42" s="254" t="s">
        <v>12264</v>
      </c>
      <c r="BD42" s="254"/>
      <c r="BE42" s="254"/>
      <c r="BF42" s="254"/>
      <c r="BG42" s="254"/>
      <c r="BH42" s="254"/>
    </row>
    <row r="43">
      <c r="A43" s="231" t="s">
        <v>12265</v>
      </c>
      <c r="B43" s="549"/>
      <c r="C43" s="271" t="s">
        <v>12266</v>
      </c>
      <c r="D43" s="181"/>
      <c r="E43" s="181"/>
      <c r="F43" s="189" t="s">
        <v>12267</v>
      </c>
      <c r="G43" s="558"/>
      <c r="H43" s="271" t="s">
        <v>12268</v>
      </c>
      <c r="I43" s="181"/>
      <c r="J43" s="181"/>
      <c r="K43" s="270" t="s">
        <v>12269</v>
      </c>
      <c r="L43" s="549"/>
      <c r="M43" s="205" t="s">
        <v>12270</v>
      </c>
      <c r="N43" s="254"/>
      <c r="O43" s="254"/>
      <c r="P43" s="270" t="str">
        <f>IFERROR(__xludf.DUMMYFUNCTION("GOOGLETRANSLATE(A43,""zh-tw"",""zh"")"),"金枪鱼头")</f>
        <v>金枪鱼头</v>
      </c>
      <c r="Q43" s="530"/>
      <c r="R43" s="271" t="str">
        <f>IFERROR(__xludf.DUMMYFUNCTION("GOOGLETRANSLATE(C43,""zh-tw"",""zh"")"),"金枪鱼")</f>
        <v>金枪鱼</v>
      </c>
      <c r="S43" s="271"/>
      <c r="T43" s="271"/>
      <c r="U43" s="189" t="str">
        <f>IFERROR(__xludf.DUMMYFUNCTION("GOOGLETRANSLATE(A43,""zh-tw"",""es-MX"")"),"Cabeza de atún")</f>
        <v>Cabeza de atún</v>
      </c>
      <c r="V43" s="544"/>
      <c r="W43" s="271" t="str">
        <f>IFERROR(__xludf.DUMMYFUNCTION("GOOGLETRANSLATE(C43,""zh-tw"",""es-MX"")"),"atún")</f>
        <v>atún</v>
      </c>
      <c r="X43" s="271"/>
      <c r="Y43" s="271"/>
      <c r="Z43" s="550" t="str">
        <f>IFERROR(__xludf.DUMMYFUNCTION("GOOGLETRANSLATE(A43,""zh-tw"",""KO"")"),"참치 머리")</f>
        <v>참치 머리</v>
      </c>
      <c r="AA43" s="545"/>
      <c r="AB43" s="254" t="str">
        <f>IFERROR(__xludf.DUMMYFUNCTION("GOOGLETRANSLATE(C43,""zh-tw"",""KO"")"),"참치")</f>
        <v>참치</v>
      </c>
      <c r="AC43" s="254"/>
      <c r="AD43" s="254"/>
      <c r="AE43" s="145" t="s">
        <v>12271</v>
      </c>
      <c r="AF43" s="551"/>
      <c r="AG43" s="271" t="s">
        <v>12272</v>
      </c>
      <c r="AH43" s="267"/>
      <c r="AI43" s="267"/>
      <c r="AJ43" s="550" t="s">
        <v>12273</v>
      </c>
      <c r="AK43" s="285"/>
      <c r="AL43" s="271" t="s">
        <v>12274</v>
      </c>
      <c r="AM43" s="552"/>
      <c r="AN43" s="552"/>
      <c r="AO43" s="275" t="s">
        <v>12275</v>
      </c>
      <c r="AP43" s="545"/>
      <c r="AQ43" s="205" t="s">
        <v>12276</v>
      </c>
      <c r="AR43" s="254"/>
      <c r="AS43" s="254"/>
      <c r="AT43" s="157" t="s">
        <v>12277</v>
      </c>
      <c r="AU43" s="553"/>
      <c r="AV43" s="266" t="s">
        <v>12278</v>
      </c>
      <c r="AW43" s="266" t="s">
        <v>11810</v>
      </c>
      <c r="AX43" s="539"/>
      <c r="AY43" s="189" t="s">
        <v>12279</v>
      </c>
      <c r="AZ43" s="554"/>
      <c r="BA43" s="254" t="s">
        <v>12280</v>
      </c>
      <c r="BB43" s="101"/>
      <c r="BC43" s="101"/>
      <c r="BD43" s="101"/>
      <c r="BE43" s="101"/>
      <c r="BF43" s="101"/>
      <c r="BG43" s="101"/>
      <c r="BH43" s="101"/>
    </row>
    <row r="44">
      <c r="A44" s="189" t="s">
        <v>12281</v>
      </c>
      <c r="B44" s="558"/>
      <c r="C44" s="271" t="s">
        <v>12037</v>
      </c>
      <c r="D44" s="271" t="s">
        <v>11798</v>
      </c>
      <c r="E44" s="181"/>
      <c r="F44" s="189" t="s">
        <v>12282</v>
      </c>
      <c r="G44" s="558"/>
      <c r="H44" s="271" t="s">
        <v>12039</v>
      </c>
      <c r="I44" s="271" t="s">
        <v>11800</v>
      </c>
      <c r="J44" s="181"/>
      <c r="K44" s="270" t="s">
        <v>12283</v>
      </c>
      <c r="L44" s="549"/>
      <c r="M44" s="205" t="s">
        <v>12041</v>
      </c>
      <c r="N44" s="205" t="s">
        <v>11802</v>
      </c>
      <c r="O44" s="254"/>
      <c r="P44" s="270" t="str">
        <f>IFERROR(__xludf.DUMMYFUNCTION("GOOGLETRANSLATE(A44,""zh-tw"",""zh"")"),"章鱼丸子")</f>
        <v>章鱼丸子</v>
      </c>
      <c r="Q44" s="530"/>
      <c r="R44" s="271" t="str">
        <f>IFERROR(__xludf.DUMMYFUNCTION("GOOGLETRANSLATE(C44,""zh-tw"",""zh"")"),"章鱼脚")</f>
        <v>章鱼脚</v>
      </c>
      <c r="S44" s="271" t="str">
        <f>IFERROR(__xludf.DUMMYFUNCTION("GOOGLETRANSLATE(D44,""zh-tw"",""zh"")"),"小麦粉")</f>
        <v>小麦粉</v>
      </c>
      <c r="T44" s="271"/>
      <c r="U44" s="189" t="str">
        <f>IFERROR(__xludf.DUMMYFUNCTION("GOOGLETRANSLATE(A44,""zh-tw"",""es-MX"")"),"Takoyaki")</f>
        <v>Takoyaki</v>
      </c>
      <c r="V44" s="544"/>
      <c r="W44" s="271" t="str">
        <f>IFERROR(__xludf.DUMMYFUNCTION("GOOGLETRANSLATE(C44,""zh-tw"",""es-MX"")"),"Patas de pulpo")</f>
        <v>Patas de pulpo</v>
      </c>
      <c r="X44" s="271" t="str">
        <f>IFERROR(__xludf.DUMMYFUNCTION("GOOGLETRANSLATE(D44,""zh-tw"",""es-MX"")"),"harina de trigo")</f>
        <v>harina de trigo</v>
      </c>
      <c r="Y44" s="271"/>
      <c r="Z44" s="275" t="s">
        <v>12284</v>
      </c>
      <c r="AA44" s="545"/>
      <c r="AB44" s="205" t="s">
        <v>12043</v>
      </c>
      <c r="AC44" s="254" t="str">
        <f>IFERROR(__xludf.DUMMYFUNCTION("GOOGLETRANSLATE(D44,""zh-tw"",""KO"")"),"밀가루")</f>
        <v>밀가루</v>
      </c>
      <c r="AD44" s="254"/>
      <c r="AE44" s="189" t="s">
        <v>12285</v>
      </c>
      <c r="AF44" s="551"/>
      <c r="AG44" s="271" t="s">
        <v>12045</v>
      </c>
      <c r="AH44" s="271" t="s">
        <v>11804</v>
      </c>
      <c r="AI44" s="267"/>
      <c r="AJ44" s="550" t="s">
        <v>12286</v>
      </c>
      <c r="AK44" s="285"/>
      <c r="AL44" s="271" t="s">
        <v>12047</v>
      </c>
      <c r="AM44" s="271" t="s">
        <v>11806</v>
      </c>
      <c r="AN44" s="552"/>
      <c r="AO44" s="275" t="s">
        <v>12287</v>
      </c>
      <c r="AP44" s="545"/>
      <c r="AQ44" s="205" t="s">
        <v>12049</v>
      </c>
      <c r="AR44" s="205" t="s">
        <v>11808</v>
      </c>
      <c r="AS44" s="254"/>
      <c r="AT44" s="264" t="s">
        <v>12283</v>
      </c>
      <c r="AU44" s="553"/>
      <c r="AV44" s="266" t="s">
        <v>12051</v>
      </c>
      <c r="AW44" s="539"/>
      <c r="AX44" s="539"/>
      <c r="AY44" s="189" t="s">
        <v>12283</v>
      </c>
      <c r="AZ44" s="554"/>
      <c r="BA44" s="254" t="s">
        <v>12041</v>
      </c>
      <c r="BB44" s="254" t="s">
        <v>11812</v>
      </c>
      <c r="BC44" s="101"/>
      <c r="BD44" s="101"/>
      <c r="BE44" s="101"/>
      <c r="BF44" s="101"/>
      <c r="BG44" s="101"/>
      <c r="BH44" s="101"/>
    </row>
    <row r="45">
      <c r="A45" s="189" t="s">
        <v>12288</v>
      </c>
      <c r="B45" s="558"/>
      <c r="C45" s="271" t="s">
        <v>11868</v>
      </c>
      <c r="D45" s="181"/>
      <c r="E45" s="181"/>
      <c r="F45" s="189" t="s">
        <v>11916</v>
      </c>
      <c r="G45" s="558"/>
      <c r="H45" s="271" t="s">
        <v>11870</v>
      </c>
      <c r="I45" s="181"/>
      <c r="J45" s="181"/>
      <c r="K45" s="270" t="s">
        <v>12289</v>
      </c>
      <c r="L45" s="549"/>
      <c r="M45" s="205" t="s">
        <v>11873</v>
      </c>
      <c r="N45" s="254"/>
      <c r="O45" s="254"/>
      <c r="P45" s="270" t="str">
        <f>IFERROR(__xludf.DUMMYFUNCTION("GOOGLETRANSLATE(A45,""zh-tw"",""zh"")"),"汉堡肉")</f>
        <v>汉堡肉</v>
      </c>
      <c r="Q45" s="530"/>
      <c r="R45" s="271" t="str">
        <f>IFERROR(__xludf.DUMMYFUNCTION("GOOGLETRANSLATE(C45,""zh-tw"",""zh"")"),"大块兽肉")</f>
        <v>大块兽肉</v>
      </c>
      <c r="S45" s="271"/>
      <c r="T45" s="271"/>
      <c r="U45" s="189" t="str">
        <f>IFERROR(__xludf.DUMMYFUNCTION("GOOGLETRANSLATE(A45,""zh-tw"",""es-MX"")"),"Hamburguesas")</f>
        <v>Hamburguesas</v>
      </c>
      <c r="V45" s="544"/>
      <c r="W45" s="271" t="str">
        <f>IFERROR(__xludf.DUMMYFUNCTION("GOOGLETRANSLATE(C45,""zh-tw"",""es-MX"")"),"Grandes trozos de carne")</f>
        <v>Grandes trozos de carne</v>
      </c>
      <c r="X45" s="271"/>
      <c r="Y45" s="271"/>
      <c r="Z45" s="275" t="s">
        <v>12290</v>
      </c>
      <c r="AA45" s="545"/>
      <c r="AB45" s="205" t="s">
        <v>11875</v>
      </c>
      <c r="AC45" s="254"/>
      <c r="AD45" s="254"/>
      <c r="AE45" s="189" t="s">
        <v>12291</v>
      </c>
      <c r="AF45" s="551"/>
      <c r="AG45" s="271" t="s">
        <v>11877</v>
      </c>
      <c r="AH45" s="267"/>
      <c r="AI45" s="267"/>
      <c r="AJ45" s="550" t="s">
        <v>12292</v>
      </c>
      <c r="AK45" s="285"/>
      <c r="AL45" s="271" t="s">
        <v>11879</v>
      </c>
      <c r="AM45" s="552"/>
      <c r="AN45" s="552"/>
      <c r="AO45" s="275" t="s">
        <v>12293</v>
      </c>
      <c r="AP45" s="545"/>
      <c r="AQ45" s="205" t="s">
        <v>11881</v>
      </c>
      <c r="AR45" s="254"/>
      <c r="AS45" s="254"/>
      <c r="AT45" s="264" t="s">
        <v>12294</v>
      </c>
      <c r="AU45" s="553"/>
      <c r="AV45" s="266" t="s">
        <v>11883</v>
      </c>
      <c r="AW45" s="539"/>
      <c r="AX45" s="539"/>
      <c r="AY45" s="189" t="s">
        <v>12295</v>
      </c>
      <c r="AZ45" s="554"/>
      <c r="BA45" s="254" t="s">
        <v>11884</v>
      </c>
      <c r="BB45" s="101"/>
      <c r="BC45" s="101"/>
      <c r="BD45" s="101"/>
      <c r="BE45" s="101"/>
      <c r="BF45" s="101"/>
      <c r="BG45" s="101"/>
      <c r="BH45" s="101"/>
    </row>
    <row r="46">
      <c r="A46" s="189" t="s">
        <v>12296</v>
      </c>
      <c r="B46" s="530" t="s">
        <v>1729</v>
      </c>
      <c r="C46" s="271" t="s">
        <v>8151</v>
      </c>
      <c r="D46" s="271" t="s">
        <v>8184</v>
      </c>
      <c r="E46" s="181"/>
      <c r="F46" s="189" t="s">
        <v>12297</v>
      </c>
      <c r="G46" s="530" t="s">
        <v>1729</v>
      </c>
      <c r="H46" s="271" t="s">
        <v>12024</v>
      </c>
      <c r="I46" s="271" t="s">
        <v>12298</v>
      </c>
      <c r="J46" s="181"/>
      <c r="K46" s="270" t="s">
        <v>12299</v>
      </c>
      <c r="L46" s="530" t="s">
        <v>1729</v>
      </c>
      <c r="M46" s="205" t="s">
        <v>8153</v>
      </c>
      <c r="N46" s="205" t="s">
        <v>8186</v>
      </c>
      <c r="O46" s="254"/>
      <c r="P46" s="270" t="str">
        <f>IFERROR(__xludf.DUMMYFUNCTION("GOOGLETRANSLATE(A46,""zh-tw"",""zh"")"),"辣味土豆泥")</f>
        <v>辣味土豆泥</v>
      </c>
      <c r="Q46" s="530" t="str">
        <f>IFERROR(__xludf.DUMMYFUNCTION("GOOGLETRANSLATE(B46,""zh-tw"",""zh"")"),"B")</f>
        <v>B</v>
      </c>
      <c r="R46" s="271" t="str">
        <f>IFERROR(__xludf.DUMMYFUNCTION("GOOGLETRANSLATE(C46,""zh-tw"",""zh"")"),"土豆")</f>
        <v>土豆</v>
      </c>
      <c r="S46" s="271" t="str">
        <f>IFERROR(__xludf.DUMMYFUNCTION("GOOGLETRANSLATE(D46,""zh-tw"",""zh"")"),"辣椒")</f>
        <v>辣椒</v>
      </c>
      <c r="T46" s="271"/>
      <c r="U46" s="189" t="str">
        <f>IFERROR(__xludf.DUMMYFUNCTION("GOOGLETRANSLATE(A46,""zh-tw"",""es-MX"")"),"Puré de patatas picante")</f>
        <v>Puré de patatas picante</v>
      </c>
      <c r="V46" s="544" t="str">
        <f>IFERROR(__xludf.DUMMYFUNCTION("GOOGLETRANSLATE(B46,""zh-tw"",""es-MX"")"),"B")</f>
        <v>B</v>
      </c>
      <c r="W46" s="271" t="str">
        <f>IFERROR(__xludf.DUMMYFUNCTION("GOOGLETRANSLATE(C46,""zh-tw"",""es-MX"")"),"Papa")</f>
        <v>Papa</v>
      </c>
      <c r="X46" s="271" t="str">
        <f>IFERROR(__xludf.DUMMYFUNCTION("GOOGLETRANSLATE(D46,""zh-tw"",""es-MX"")"),"chile")</f>
        <v>chile</v>
      </c>
      <c r="Y46" s="271"/>
      <c r="Z46" s="275" t="s">
        <v>12300</v>
      </c>
      <c r="AA46" s="545" t="s">
        <v>1729</v>
      </c>
      <c r="AB46" s="254" t="str">
        <f>IFERROR(__xludf.DUMMYFUNCTION("GOOGLETRANSLATE(C46,""zh-tw"",""KO"")"),"감자")</f>
        <v>감자</v>
      </c>
      <c r="AC46" s="260" t="s">
        <v>12301</v>
      </c>
      <c r="AD46" s="254"/>
      <c r="AE46" s="189" t="s">
        <v>12302</v>
      </c>
      <c r="AF46" s="544" t="s">
        <v>11742</v>
      </c>
      <c r="AG46" s="271" t="s">
        <v>8156</v>
      </c>
      <c r="AH46" s="271" t="s">
        <v>12303</v>
      </c>
      <c r="AI46" s="267"/>
      <c r="AJ46" s="550" t="s">
        <v>12304</v>
      </c>
      <c r="AK46" s="544" t="s">
        <v>11742</v>
      </c>
      <c r="AL46" s="271" t="s">
        <v>8158</v>
      </c>
      <c r="AM46" s="271" t="s">
        <v>12305</v>
      </c>
      <c r="AN46" s="552"/>
      <c r="AO46" s="275" t="s">
        <v>12306</v>
      </c>
      <c r="AP46" s="545" t="s">
        <v>1729</v>
      </c>
      <c r="AQ46" s="205" t="s">
        <v>8160</v>
      </c>
      <c r="AR46" s="205" t="s">
        <v>12307</v>
      </c>
      <c r="AS46" s="254"/>
      <c r="AT46" s="264" t="s">
        <v>12308</v>
      </c>
      <c r="AU46" s="555" t="s">
        <v>1729</v>
      </c>
      <c r="AV46" s="266" t="s">
        <v>8162</v>
      </c>
      <c r="AW46" s="266" t="s">
        <v>8194</v>
      </c>
      <c r="AX46" s="539"/>
      <c r="AY46" s="189" t="s">
        <v>12309</v>
      </c>
      <c r="AZ46" s="530" t="s">
        <v>1729</v>
      </c>
      <c r="BA46" s="254" t="s">
        <v>8164</v>
      </c>
      <c r="BB46" s="254" t="s">
        <v>8186</v>
      </c>
      <c r="BC46" s="101"/>
      <c r="BD46" s="101"/>
      <c r="BE46" s="101"/>
      <c r="BF46" s="101"/>
      <c r="BG46" s="101"/>
      <c r="BH46" s="101"/>
    </row>
    <row r="47">
      <c r="A47" s="189" t="s">
        <v>12310</v>
      </c>
      <c r="B47" s="530" t="s">
        <v>1729</v>
      </c>
      <c r="C47" s="271" t="s">
        <v>8184</v>
      </c>
      <c r="D47" s="181"/>
      <c r="E47" s="181"/>
      <c r="F47" s="189" t="s">
        <v>12311</v>
      </c>
      <c r="G47" s="530" t="s">
        <v>1729</v>
      </c>
      <c r="H47" s="271" t="s">
        <v>12298</v>
      </c>
      <c r="I47" s="181"/>
      <c r="J47" s="181"/>
      <c r="K47" s="270" t="s">
        <v>12312</v>
      </c>
      <c r="L47" s="530" t="s">
        <v>1729</v>
      </c>
      <c r="M47" s="205" t="s">
        <v>8186</v>
      </c>
      <c r="N47" s="254"/>
      <c r="O47" s="254"/>
      <c r="P47" s="270" t="str">
        <f>IFERROR(__xludf.DUMMYFUNCTION("GOOGLETRANSLATE(A47,""zh-tw"",""zh"")"),"辣椒水")</f>
        <v>辣椒水</v>
      </c>
      <c r="Q47" s="530" t="str">
        <f>IFERROR(__xludf.DUMMYFUNCTION("GOOGLETRANSLATE(B47,""zh-tw"",""zh"")"),"B")</f>
        <v>B</v>
      </c>
      <c r="R47" s="271" t="str">
        <f>IFERROR(__xludf.DUMMYFUNCTION("GOOGLETRANSLATE(C47,""zh-tw"",""zh"")"),"辣椒")</f>
        <v>辣椒</v>
      </c>
      <c r="S47" s="271"/>
      <c r="T47" s="271"/>
      <c r="U47" s="189" t="str">
        <f>IFERROR(__xludf.DUMMYFUNCTION("GOOGLETRANSLATE(A47,""zh-tw"",""es-MX"")"),"Agua de chile")</f>
        <v>Agua de chile</v>
      </c>
      <c r="V47" s="544" t="str">
        <f>IFERROR(__xludf.DUMMYFUNCTION("GOOGLETRANSLATE(B47,""zh-tw"",""es-MX"")"),"B")</f>
        <v>B</v>
      </c>
      <c r="W47" s="271" t="str">
        <f>IFERROR(__xludf.DUMMYFUNCTION("GOOGLETRANSLATE(C47,""zh-tw"",""es-MX"")"),"chile")</f>
        <v>chile</v>
      </c>
      <c r="X47" s="271"/>
      <c r="Y47" s="271"/>
      <c r="Z47" s="275" t="s">
        <v>12313</v>
      </c>
      <c r="AA47" s="545" t="s">
        <v>1729</v>
      </c>
      <c r="AB47" s="260" t="s">
        <v>12301</v>
      </c>
      <c r="AC47" s="254"/>
      <c r="AD47" s="254"/>
      <c r="AE47" s="189" t="s">
        <v>12314</v>
      </c>
      <c r="AF47" s="544" t="s">
        <v>11742</v>
      </c>
      <c r="AG47" s="271" t="s">
        <v>12303</v>
      </c>
      <c r="AH47" s="267"/>
      <c r="AI47" s="267"/>
      <c r="AJ47" s="550" t="s">
        <v>12315</v>
      </c>
      <c r="AK47" s="544" t="s">
        <v>11742</v>
      </c>
      <c r="AL47" s="271" t="s">
        <v>12305</v>
      </c>
      <c r="AM47" s="552"/>
      <c r="AN47" s="552"/>
      <c r="AO47" s="275" t="s">
        <v>12316</v>
      </c>
      <c r="AP47" s="545" t="s">
        <v>1729</v>
      </c>
      <c r="AQ47" s="205" t="s">
        <v>12307</v>
      </c>
      <c r="AR47" s="254"/>
      <c r="AS47" s="254"/>
      <c r="AT47" s="264" t="s">
        <v>12317</v>
      </c>
      <c r="AU47" s="555" t="s">
        <v>1729</v>
      </c>
      <c r="AV47" s="266" t="s">
        <v>8194</v>
      </c>
      <c r="AW47" s="539"/>
      <c r="AX47" s="539"/>
      <c r="AY47" s="189" t="s">
        <v>12318</v>
      </c>
      <c r="AZ47" s="530" t="s">
        <v>1729</v>
      </c>
      <c r="BA47" s="254" t="s">
        <v>8186</v>
      </c>
      <c r="BB47" s="101"/>
      <c r="BC47" s="101"/>
      <c r="BD47" s="101"/>
      <c r="BE47" s="101"/>
      <c r="BF47" s="101"/>
      <c r="BG47" s="101"/>
      <c r="BH47" s="101"/>
    </row>
    <row r="48">
      <c r="A48" s="189" t="s">
        <v>12319</v>
      </c>
      <c r="B48" s="558"/>
      <c r="C48" s="271" t="s">
        <v>11757</v>
      </c>
      <c r="D48" s="271" t="s">
        <v>11951</v>
      </c>
      <c r="E48" s="181"/>
      <c r="F48" s="189" t="s">
        <v>12320</v>
      </c>
      <c r="G48" s="558"/>
      <c r="H48" s="271" t="s">
        <v>11759</v>
      </c>
      <c r="I48" s="271" t="s">
        <v>11953</v>
      </c>
      <c r="J48" s="181"/>
      <c r="K48" s="270" t="s">
        <v>12321</v>
      </c>
      <c r="L48" s="549"/>
      <c r="M48" s="205" t="s">
        <v>11761</v>
      </c>
      <c r="N48" s="205" t="s">
        <v>11955</v>
      </c>
      <c r="O48" s="254"/>
      <c r="P48" s="270" t="str">
        <f>IFERROR(__xludf.DUMMYFUNCTION("GOOGLETRANSLATE(A48,""zh-tw"",""zh"")"),"水怪软糖")</f>
        <v>水怪软糖</v>
      </c>
      <c r="Q48" s="530"/>
      <c r="R48" s="271" t="str">
        <f>IFERROR(__xludf.DUMMYFUNCTION("GOOGLETRANSLATE(C48,""zh-tw"",""zh"")"),"史莱姆黏液")</f>
        <v>史莱姆黏液</v>
      </c>
      <c r="S48" s="271" t="str">
        <f>IFERROR(__xludf.DUMMYFUNCTION("GOOGLETRANSLATE(D48,""zh-tw"",""zh"")"),"水怪黏液")</f>
        <v>水怪黏液</v>
      </c>
      <c r="T48" s="271"/>
      <c r="U48" s="189" t="str">
        <f>IFERROR(__xludf.DUMMYFUNCTION("GOOGLETRANSLATE(A48,""zh-tw"",""es-MX"")"),"Monstruo de agua de gominola")</f>
        <v>Monstruo de agua de gominola</v>
      </c>
      <c r="V48" s="544"/>
      <c r="W48" s="271" t="str">
        <f>IFERROR(__xludf.DUMMYFUNCTION("GOOGLETRANSLATE(C48,""zh-tw"",""es-MX"")"),"limo")</f>
        <v>limo</v>
      </c>
      <c r="X48" s="271" t="str">
        <f>IFERROR(__xludf.DUMMYFUNCTION("GOOGLETRANSLATE(D48,""zh-tw"",""es-MX"")"),"Monstruo acuático de limo")</f>
        <v>Monstruo acuático de limo</v>
      </c>
      <c r="Y48" s="271"/>
      <c r="Z48" s="275" t="s">
        <v>12322</v>
      </c>
      <c r="AA48" s="545"/>
      <c r="AB48" s="260" t="s">
        <v>11762</v>
      </c>
      <c r="AC48" s="205" t="s">
        <v>11956</v>
      </c>
      <c r="AD48" s="254"/>
      <c r="AE48" s="189" t="s">
        <v>12323</v>
      </c>
      <c r="AF48" s="551"/>
      <c r="AG48" s="271" t="s">
        <v>11764</v>
      </c>
      <c r="AH48" s="556" t="s">
        <v>11957</v>
      </c>
      <c r="AI48" s="267"/>
      <c r="AJ48" s="550" t="s">
        <v>12324</v>
      </c>
      <c r="AK48" s="285"/>
      <c r="AL48" s="271" t="s">
        <v>11766</v>
      </c>
      <c r="AM48" s="271" t="s">
        <v>11958</v>
      </c>
      <c r="AN48" s="552"/>
      <c r="AO48" s="275" t="s">
        <v>12325</v>
      </c>
      <c r="AP48" s="545"/>
      <c r="AQ48" s="205" t="s">
        <v>11768</v>
      </c>
      <c r="AR48" s="205" t="s">
        <v>11960</v>
      </c>
      <c r="AS48" s="254"/>
      <c r="AT48" s="167" t="s">
        <v>12326</v>
      </c>
      <c r="AU48" s="553"/>
      <c r="AV48" s="266" t="s">
        <v>11770</v>
      </c>
      <c r="AW48" s="268" t="s">
        <v>11962</v>
      </c>
      <c r="AX48" s="539"/>
      <c r="AY48" s="189" t="s">
        <v>12327</v>
      </c>
      <c r="AZ48" s="554"/>
      <c r="BA48" s="254" t="s">
        <v>11772</v>
      </c>
      <c r="BB48" s="254" t="s">
        <v>12328</v>
      </c>
      <c r="BC48" s="101"/>
      <c r="BD48" s="101"/>
      <c r="BE48" s="101"/>
      <c r="BF48" s="101"/>
      <c r="BG48" s="101"/>
      <c r="BH48" s="101"/>
    </row>
    <row r="49">
      <c r="A49" s="189" t="s">
        <v>12329</v>
      </c>
      <c r="B49" s="558"/>
      <c r="C49" s="271" t="s">
        <v>11757</v>
      </c>
      <c r="D49" s="271" t="s">
        <v>11951</v>
      </c>
      <c r="E49" s="181"/>
      <c r="F49" s="189" t="s">
        <v>12330</v>
      </c>
      <c r="G49" s="558"/>
      <c r="H49" s="271" t="s">
        <v>11759</v>
      </c>
      <c r="I49" s="271" t="s">
        <v>11953</v>
      </c>
      <c r="J49" s="181"/>
      <c r="K49" s="270" t="s">
        <v>12331</v>
      </c>
      <c r="L49" s="549"/>
      <c r="M49" s="205" t="s">
        <v>11761</v>
      </c>
      <c r="N49" s="205" t="s">
        <v>11955</v>
      </c>
      <c r="O49" s="254"/>
      <c r="P49" s="270" t="str">
        <f>IFERROR(__xludf.DUMMYFUNCTION("GOOGLETRANSLATE(A49,""zh-tw"",""zh"")"),"水怪刨冰")</f>
        <v>水怪刨冰</v>
      </c>
      <c r="Q49" s="530"/>
      <c r="R49" s="271" t="str">
        <f>IFERROR(__xludf.DUMMYFUNCTION("GOOGLETRANSLATE(C49,""zh-tw"",""zh"")"),"史莱姆黏液")</f>
        <v>史莱姆黏液</v>
      </c>
      <c r="S49" s="271" t="str">
        <f>IFERROR(__xludf.DUMMYFUNCTION("GOOGLETRANSLATE(D49,""zh-tw"",""zh"")"),"水怪黏液")</f>
        <v>水怪黏液</v>
      </c>
      <c r="T49" s="271"/>
      <c r="U49" s="189" t="str">
        <f>IFERROR(__xludf.DUMMYFUNCTION("GOOGLETRANSLATE(A49,""zh-tw"",""es-MX"")"),"Hielo raspado Monstruo de Agua")</f>
        <v>Hielo raspado Monstruo de Agua</v>
      </c>
      <c r="V49" s="544"/>
      <c r="W49" s="271" t="str">
        <f>IFERROR(__xludf.DUMMYFUNCTION("GOOGLETRANSLATE(C49,""zh-tw"",""es-MX"")"),"limo")</f>
        <v>limo</v>
      </c>
      <c r="X49" s="271" t="str">
        <f>IFERROR(__xludf.DUMMYFUNCTION("GOOGLETRANSLATE(D49,""zh-tw"",""es-MX"")"),"Monstruo acuático de limo")</f>
        <v>Monstruo acuático de limo</v>
      </c>
      <c r="Y49" s="271"/>
      <c r="Z49" s="275" t="s">
        <v>12332</v>
      </c>
      <c r="AA49" s="545"/>
      <c r="AB49" s="260" t="s">
        <v>11762</v>
      </c>
      <c r="AC49" s="260" t="s">
        <v>11956</v>
      </c>
      <c r="AD49" s="254"/>
      <c r="AE49" s="189" t="s">
        <v>12333</v>
      </c>
      <c r="AF49" s="551"/>
      <c r="AG49" s="271" t="s">
        <v>11764</v>
      </c>
      <c r="AH49" s="556" t="s">
        <v>11957</v>
      </c>
      <c r="AI49" s="267"/>
      <c r="AJ49" s="550" t="s">
        <v>12334</v>
      </c>
      <c r="AK49" s="285"/>
      <c r="AL49" s="271" t="s">
        <v>11766</v>
      </c>
      <c r="AM49" s="271" t="s">
        <v>11958</v>
      </c>
      <c r="AN49" s="552"/>
      <c r="AO49" s="275" t="s">
        <v>12335</v>
      </c>
      <c r="AP49" s="545"/>
      <c r="AQ49" s="205" t="s">
        <v>11768</v>
      </c>
      <c r="AR49" s="205" t="s">
        <v>11960</v>
      </c>
      <c r="AS49" s="254"/>
      <c r="AT49" s="167" t="s">
        <v>12336</v>
      </c>
      <c r="AU49" s="553"/>
      <c r="AV49" s="266" t="s">
        <v>11770</v>
      </c>
      <c r="AW49" s="268" t="s">
        <v>11962</v>
      </c>
      <c r="AX49" s="539"/>
      <c r="AY49" s="189" t="s">
        <v>12337</v>
      </c>
      <c r="AZ49" s="554"/>
      <c r="BA49" s="254" t="s">
        <v>11772</v>
      </c>
      <c r="BB49" s="254" t="s">
        <v>12328</v>
      </c>
      <c r="BC49" s="101"/>
      <c r="BD49" s="101"/>
      <c r="BE49" s="101"/>
      <c r="BF49" s="101"/>
      <c r="BG49" s="101"/>
      <c r="BH49" s="101"/>
    </row>
    <row r="50">
      <c r="A50" s="189" t="s">
        <v>12338</v>
      </c>
      <c r="B50" s="559" t="s">
        <v>12339</v>
      </c>
      <c r="C50" s="271" t="s">
        <v>11757</v>
      </c>
      <c r="D50" s="271" t="s">
        <v>11951</v>
      </c>
      <c r="E50" s="271" t="s">
        <v>12340</v>
      </c>
      <c r="F50" s="189" t="s">
        <v>12341</v>
      </c>
      <c r="G50" s="559" t="s">
        <v>12342</v>
      </c>
      <c r="H50" s="271" t="s">
        <v>11759</v>
      </c>
      <c r="I50" s="271" t="s">
        <v>11953</v>
      </c>
      <c r="J50" s="271" t="s">
        <v>12343</v>
      </c>
      <c r="K50" s="270" t="s">
        <v>12344</v>
      </c>
      <c r="L50" s="560" t="s">
        <v>12345</v>
      </c>
      <c r="M50" s="205" t="s">
        <v>11761</v>
      </c>
      <c r="N50" s="205" t="s">
        <v>11955</v>
      </c>
      <c r="O50" s="205" t="s">
        <v>12346</v>
      </c>
      <c r="P50" s="270" t="str">
        <f>IFERROR(__xludf.DUMMYFUNCTION("GOOGLETRANSLATE(A50,""zh-tw"",""zh"")"),"水怪软糖(红)")</f>
        <v>水怪软糖(红)</v>
      </c>
      <c r="Q50" s="559" t="s">
        <v>12339</v>
      </c>
      <c r="R50" s="271" t="str">
        <f>IFERROR(__xludf.DUMMYFUNCTION("GOOGLETRANSLATE(C50,""zh-tw"",""zh"")"),"史莱姆黏液")</f>
        <v>史莱姆黏液</v>
      </c>
      <c r="S50" s="271" t="str">
        <f>IFERROR(__xludf.DUMMYFUNCTION("GOOGLETRANSLATE(D50,""zh-tw"",""zh"")"),"水怪黏液")</f>
        <v>水怪黏液</v>
      </c>
      <c r="T50" s="271" t="str">
        <f>IFERROR(__xludf.DUMMYFUNCTION("GOOGLETRANSLATE(E50,""zh-tw"",""zh"")"),"番茄/辣椒")</f>
        <v>番茄/辣椒</v>
      </c>
      <c r="U50" s="189" t="str">
        <f>IFERROR(__xludf.DUMMYFUNCTION("GOOGLETRANSLATE(A50,""zh-tw"",""es-MX"")"),"Gomitas Monstruo de Agua (Rojas)")</f>
        <v>Gomitas Monstruo de Agua (Rojas)</v>
      </c>
      <c r="V50" s="544" t="str">
        <f>IFERROR(__xludf.DUMMYFUNCTION("GOOGLETRANSLATE(B50,""zh-tw"",""es-MX"")"),"(B) Chiles")</f>
        <v>(B) Chiles</v>
      </c>
      <c r="W50" s="271" t="str">
        <f>IFERROR(__xludf.DUMMYFUNCTION("GOOGLETRANSLATE(C50,""zh-tw"",""es-MX"")"),"limo")</f>
        <v>limo</v>
      </c>
      <c r="X50" s="271" t="str">
        <f>IFERROR(__xludf.DUMMYFUNCTION("GOOGLETRANSLATE(D50,""zh-tw"",""es-MX"")"),"Monstruo acuático de limo")</f>
        <v>Monstruo acuático de limo</v>
      </c>
      <c r="Y50" s="271" t="str">
        <f>IFERROR(__xludf.DUMMYFUNCTION("GOOGLETRANSLATE(E50,""zh-tw"",""es-MX"")"),"Tomates/Pimientos")</f>
        <v>Tomates/Pimientos</v>
      </c>
      <c r="Z50" s="275" t="s">
        <v>12347</v>
      </c>
      <c r="AA50" s="545" t="s">
        <v>12348</v>
      </c>
      <c r="AB50" s="205" t="s">
        <v>11762</v>
      </c>
      <c r="AC50" s="260" t="s">
        <v>11956</v>
      </c>
      <c r="AD50" s="254" t="str">
        <f>IFERROR(__xludf.DUMMYFUNCTION("GOOGLETRANSLATE(E50,""zh-tw"",""KO"")"),"토마토/피망")</f>
        <v>토마토/피망</v>
      </c>
      <c r="AE50" s="189" t="s">
        <v>12349</v>
      </c>
      <c r="AF50" s="545" t="s">
        <v>12350</v>
      </c>
      <c r="AG50" s="271" t="s">
        <v>11764</v>
      </c>
      <c r="AH50" s="556" t="s">
        <v>11957</v>
      </c>
      <c r="AI50" s="271" t="s">
        <v>12351</v>
      </c>
      <c r="AJ50" s="550" t="s">
        <v>12352</v>
      </c>
      <c r="AK50" s="544" t="s">
        <v>12353</v>
      </c>
      <c r="AL50" s="271" t="s">
        <v>11766</v>
      </c>
      <c r="AM50" s="271" t="s">
        <v>11958</v>
      </c>
      <c r="AN50" s="271" t="s">
        <v>12354</v>
      </c>
      <c r="AO50" s="275" t="s">
        <v>12355</v>
      </c>
      <c r="AP50" s="545" t="s">
        <v>1729</v>
      </c>
      <c r="AQ50" s="205" t="s">
        <v>11768</v>
      </c>
      <c r="AR50" s="205" t="s">
        <v>11960</v>
      </c>
      <c r="AS50" s="254" t="str">
        <f>IFERROR(__xludf.DUMMYFUNCTION("GOOGLETRANSLATE(E50,""zh-tw"",""de"")"),"Tomaten/Paprika")</f>
        <v>Tomaten/Paprika</v>
      </c>
      <c r="AT50" s="167" t="s">
        <v>12356</v>
      </c>
      <c r="AU50" s="561" t="s">
        <v>12357</v>
      </c>
      <c r="AV50" s="266" t="s">
        <v>11770</v>
      </c>
      <c r="AW50" s="268" t="s">
        <v>11962</v>
      </c>
      <c r="AX50" s="266" t="s">
        <v>12358</v>
      </c>
      <c r="AY50" s="189" t="s">
        <v>12359</v>
      </c>
      <c r="AZ50" s="562" t="s">
        <v>12360</v>
      </c>
      <c r="BA50" s="254" t="s">
        <v>11772</v>
      </c>
      <c r="BB50" s="254" t="s">
        <v>12328</v>
      </c>
      <c r="BC50" s="254" t="s">
        <v>12361</v>
      </c>
      <c r="BD50" s="254"/>
      <c r="BE50" s="254"/>
      <c r="BF50" s="254"/>
      <c r="BG50" s="254"/>
      <c r="BH50" s="254"/>
    </row>
    <row r="51">
      <c r="A51" s="189" t="s">
        <v>12362</v>
      </c>
      <c r="B51" s="558"/>
      <c r="C51" s="271" t="s">
        <v>11798</v>
      </c>
      <c r="D51" s="181"/>
      <c r="E51" s="181"/>
      <c r="F51" s="189" t="s">
        <v>12363</v>
      </c>
      <c r="G51" s="558"/>
      <c r="H51" s="271" t="s">
        <v>11800</v>
      </c>
      <c r="I51" s="181"/>
      <c r="J51" s="181"/>
      <c r="K51" s="270" t="s">
        <v>12364</v>
      </c>
      <c r="L51" s="549"/>
      <c r="M51" s="205" t="s">
        <v>11802</v>
      </c>
      <c r="N51" s="254"/>
      <c r="O51" s="254"/>
      <c r="P51" s="270" t="str">
        <f>IFERROR(__xludf.DUMMYFUNCTION("GOOGLETRANSLATE(A51,""zh-tw"",""zh"")"),"煎薄饼")</f>
        <v>煎薄饼</v>
      </c>
      <c r="Q51" s="530"/>
      <c r="R51" s="271" t="str">
        <f>IFERROR(__xludf.DUMMYFUNCTION("GOOGLETRANSLATE(C51,""zh-tw"",""zh"")"),"小麦粉")</f>
        <v>小麦粉</v>
      </c>
      <c r="S51" s="271"/>
      <c r="T51" s="271"/>
      <c r="U51" s="189" t="str">
        <f>IFERROR(__xludf.DUMMYFUNCTION("GOOGLETRANSLATE(A51,""zh-tw"",""es-MX"")"),"Panqueques")</f>
        <v>Panqueques</v>
      </c>
      <c r="V51" s="544"/>
      <c r="W51" s="271" t="str">
        <f>IFERROR(__xludf.DUMMYFUNCTION("GOOGLETRANSLATE(C51,""zh-tw"",""es-MX"")"),"harina de trigo")</f>
        <v>harina de trigo</v>
      </c>
      <c r="X51" s="271"/>
      <c r="Y51" s="271"/>
      <c r="Z51" s="550" t="str">
        <f>IFERROR(__xludf.DUMMYFUNCTION("GOOGLETRANSLATE(A51,""zh-tw"",""KO"")"),"팬케이크")</f>
        <v>팬케이크</v>
      </c>
      <c r="AA51" s="545"/>
      <c r="AB51" s="254" t="str">
        <f>IFERROR(__xludf.DUMMYFUNCTION("GOOGLETRANSLATE(C51,""zh-tw"",""KO"")"),"밀가루")</f>
        <v>밀가루</v>
      </c>
      <c r="AC51" s="254"/>
      <c r="AD51" s="254"/>
      <c r="AE51" s="189" t="s">
        <v>12365</v>
      </c>
      <c r="AF51" s="551"/>
      <c r="AG51" s="271" t="s">
        <v>11804</v>
      </c>
      <c r="AH51" s="267"/>
      <c r="AI51" s="267"/>
      <c r="AJ51" s="550" t="s">
        <v>12366</v>
      </c>
      <c r="AK51" s="285"/>
      <c r="AL51" s="271" t="s">
        <v>11806</v>
      </c>
      <c r="AM51" s="552"/>
      <c r="AN51" s="552"/>
      <c r="AO51" s="275" t="s">
        <v>12367</v>
      </c>
      <c r="AP51" s="545"/>
      <c r="AQ51" s="205" t="s">
        <v>11808</v>
      </c>
      <c r="AR51" s="254"/>
      <c r="AS51" s="254"/>
      <c r="AT51" s="264" t="s">
        <v>12368</v>
      </c>
      <c r="AU51" s="553"/>
      <c r="AV51" s="266" t="s">
        <v>11810</v>
      </c>
      <c r="AW51" s="539"/>
      <c r="AX51" s="539"/>
      <c r="AY51" s="189" t="s">
        <v>12369</v>
      </c>
      <c r="AZ51" s="554"/>
      <c r="BA51" s="254" t="s">
        <v>11812</v>
      </c>
      <c r="BB51" s="101"/>
      <c r="BC51" s="101"/>
      <c r="BD51" s="101"/>
      <c r="BE51" s="101"/>
      <c r="BF51" s="101"/>
      <c r="BG51" s="101"/>
      <c r="BH51" s="101"/>
    </row>
    <row r="52">
      <c r="A52" s="189" t="s">
        <v>12370</v>
      </c>
      <c r="B52" s="558"/>
      <c r="C52" s="271" t="s">
        <v>8126</v>
      </c>
      <c r="D52" s="271" t="s">
        <v>11798</v>
      </c>
      <c r="E52" s="181"/>
      <c r="F52" s="189" t="s">
        <v>12371</v>
      </c>
      <c r="G52" s="558"/>
      <c r="H52" s="271" t="s">
        <v>12372</v>
      </c>
      <c r="I52" s="271" t="s">
        <v>11800</v>
      </c>
      <c r="J52" s="181"/>
      <c r="K52" s="270" t="s">
        <v>12373</v>
      </c>
      <c r="L52" s="549"/>
      <c r="M52" s="205" t="s">
        <v>8130</v>
      </c>
      <c r="N52" s="205" t="s">
        <v>11802</v>
      </c>
      <c r="O52" s="254"/>
      <c r="P52" s="270" t="str">
        <f>IFERROR(__xludf.DUMMYFUNCTION("GOOGLETRANSLATE(A52,""zh-tw"",""zh"")"),"草莓煎薄饼")</f>
        <v>草莓煎薄饼</v>
      </c>
      <c r="Q52" s="530"/>
      <c r="R52" s="271" t="str">
        <f>IFERROR(__xludf.DUMMYFUNCTION("GOOGLETRANSLATE(C52,""zh-tw"",""zh"")"),"草莓")</f>
        <v>草莓</v>
      </c>
      <c r="S52" s="271" t="str">
        <f>IFERROR(__xludf.DUMMYFUNCTION("GOOGLETRANSLATE(D52,""zh-tw"",""zh"")"),"小麦粉")</f>
        <v>小麦粉</v>
      </c>
      <c r="T52" s="271"/>
      <c r="U52" s="189" t="str">
        <f>IFERROR(__xludf.DUMMYFUNCTION("GOOGLETRANSLATE(A52,""zh-tw"",""es-MX"")"),"Tortitas de fresa")</f>
        <v>Tortitas de fresa</v>
      </c>
      <c r="V52" s="544"/>
      <c r="W52" s="271" t="str">
        <f>IFERROR(__xludf.DUMMYFUNCTION("GOOGLETRANSLATE(C52,""zh-tw"",""es-MX"")"),"fresa")</f>
        <v>fresa</v>
      </c>
      <c r="X52" s="271" t="str">
        <f>IFERROR(__xludf.DUMMYFUNCTION("GOOGLETRANSLATE(D52,""zh-tw"",""es-MX"")"),"harina de trigo")</f>
        <v>harina de trigo</v>
      </c>
      <c r="Y52" s="271"/>
      <c r="Z52" s="550" t="str">
        <f>IFERROR(__xludf.DUMMYFUNCTION("GOOGLETRANSLATE(A52,""zh-tw"",""KO"")"),"딸기 팬케이크")</f>
        <v>딸기 팬케이크</v>
      </c>
      <c r="AA52" s="545"/>
      <c r="AB52" s="254" t="str">
        <f>IFERROR(__xludf.DUMMYFUNCTION("GOOGLETRANSLATE(C52,""zh-tw"",""KO"")"),"딸기")</f>
        <v>딸기</v>
      </c>
      <c r="AC52" s="254" t="str">
        <f>IFERROR(__xludf.DUMMYFUNCTION("GOOGLETRANSLATE(D52,""zh-tw"",""KO"")"),"밀가루")</f>
        <v>밀가루</v>
      </c>
      <c r="AD52" s="254"/>
      <c r="AE52" s="189" t="s">
        <v>12374</v>
      </c>
      <c r="AF52" s="551"/>
      <c r="AG52" s="271" t="s">
        <v>8133</v>
      </c>
      <c r="AH52" s="271" t="s">
        <v>11804</v>
      </c>
      <c r="AI52" s="267"/>
      <c r="AJ52" s="550" t="s">
        <v>12375</v>
      </c>
      <c r="AK52" s="285"/>
      <c r="AL52" s="271" t="s">
        <v>8136</v>
      </c>
      <c r="AM52" s="271" t="s">
        <v>11806</v>
      </c>
      <c r="AN52" s="552"/>
      <c r="AO52" s="275" t="s">
        <v>12376</v>
      </c>
      <c r="AP52" s="545"/>
      <c r="AQ52" s="205" t="s">
        <v>12377</v>
      </c>
      <c r="AR52" s="205" t="s">
        <v>11808</v>
      </c>
      <c r="AS52" s="254"/>
      <c r="AT52" s="264" t="s">
        <v>12378</v>
      </c>
      <c r="AU52" s="553"/>
      <c r="AV52" s="266" t="s">
        <v>8142</v>
      </c>
      <c r="AW52" s="266" t="s">
        <v>11810</v>
      </c>
      <c r="AX52" s="539"/>
      <c r="AY52" s="189" t="s">
        <v>12379</v>
      </c>
      <c r="AZ52" s="554"/>
      <c r="BA52" s="254" t="s">
        <v>8145</v>
      </c>
      <c r="BB52" s="254" t="s">
        <v>11812</v>
      </c>
      <c r="BC52" s="101"/>
      <c r="BD52" s="101"/>
      <c r="BE52" s="101"/>
      <c r="BF52" s="101"/>
      <c r="BG52" s="101"/>
      <c r="BH52" s="101"/>
    </row>
    <row r="53">
      <c r="A53" s="189" t="s">
        <v>12380</v>
      </c>
      <c r="B53" s="558"/>
      <c r="C53" s="271" t="s">
        <v>8168</v>
      </c>
      <c r="D53" s="181"/>
      <c r="E53" s="181"/>
      <c r="F53" s="189" t="s">
        <v>12381</v>
      </c>
      <c r="G53" s="558"/>
      <c r="H53" s="271" t="s">
        <v>12152</v>
      </c>
      <c r="I53" s="181"/>
      <c r="J53" s="181"/>
      <c r="K53" s="270" t="s">
        <v>12382</v>
      </c>
      <c r="L53" s="549"/>
      <c r="M53" s="205" t="s">
        <v>8170</v>
      </c>
      <c r="N53" s="254"/>
      <c r="O53" s="254"/>
      <c r="P53" s="270" t="str">
        <f>IFERROR(__xludf.DUMMYFUNCTION("GOOGLETRANSLATE(A53,""zh-tw"",""zh"")"),"番茄汤")</f>
        <v>番茄汤</v>
      </c>
      <c r="Q53" s="530"/>
      <c r="R53" s="271" t="str">
        <f>IFERROR(__xludf.DUMMYFUNCTION("GOOGLETRANSLATE(C53,""zh-tw"",""zh"")"),"番茄")</f>
        <v>番茄</v>
      </c>
      <c r="S53" s="271"/>
      <c r="T53" s="271"/>
      <c r="U53" s="189" t="str">
        <f>IFERROR(__xludf.DUMMYFUNCTION("GOOGLETRANSLATE(A53,""zh-tw"",""es-MX"")"),"Sopa de tomate")</f>
        <v>Sopa de tomate</v>
      </c>
      <c r="V53" s="544"/>
      <c r="W53" s="271" t="str">
        <f>IFERROR(__xludf.DUMMYFUNCTION("GOOGLETRANSLATE(C53,""zh-tw"",""es-MX"")"),"tomate")</f>
        <v>tomate</v>
      </c>
      <c r="X53" s="271"/>
      <c r="Y53" s="271"/>
      <c r="Z53" s="550" t="str">
        <f>IFERROR(__xludf.DUMMYFUNCTION("GOOGLETRANSLATE(A53,""zh-tw"",""KO"")"),"토마토 수프")</f>
        <v>토마토 수프</v>
      </c>
      <c r="AA53" s="545"/>
      <c r="AB53" s="254" t="str">
        <f>IFERROR(__xludf.DUMMYFUNCTION("GOOGLETRANSLATE(C53,""zh-tw"",""KO"")"),"토마토")</f>
        <v>토마토</v>
      </c>
      <c r="AC53" s="254"/>
      <c r="AD53" s="254"/>
      <c r="AE53" s="189" t="s">
        <v>12383</v>
      </c>
      <c r="AF53" s="551"/>
      <c r="AG53" s="271" t="s">
        <v>8172</v>
      </c>
      <c r="AH53" s="267"/>
      <c r="AI53" s="267"/>
      <c r="AJ53" s="550" t="s">
        <v>12384</v>
      </c>
      <c r="AK53" s="285"/>
      <c r="AL53" s="271" t="s">
        <v>8174</v>
      </c>
      <c r="AM53" s="552"/>
      <c r="AN53" s="552"/>
      <c r="AO53" s="275" t="s">
        <v>12385</v>
      </c>
      <c r="AP53" s="545"/>
      <c r="AQ53" s="205" t="s">
        <v>8180</v>
      </c>
      <c r="AR53" s="254"/>
      <c r="AS53" s="254"/>
      <c r="AT53" s="264" t="s">
        <v>12386</v>
      </c>
      <c r="AU53" s="553"/>
      <c r="AV53" s="266" t="s">
        <v>8162</v>
      </c>
      <c r="AW53" s="539"/>
      <c r="AX53" s="539"/>
      <c r="AY53" s="189" t="s">
        <v>12387</v>
      </c>
      <c r="AZ53" s="554"/>
      <c r="BA53" s="254" t="s">
        <v>8180</v>
      </c>
      <c r="BB53" s="101"/>
      <c r="BC53" s="101"/>
      <c r="BD53" s="101"/>
      <c r="BE53" s="101"/>
      <c r="BF53" s="101"/>
      <c r="BG53" s="101"/>
      <c r="BH53" s="101"/>
    </row>
    <row r="54">
      <c r="A54" s="189" t="s">
        <v>8126</v>
      </c>
      <c r="B54" s="558"/>
      <c r="C54" s="271" t="s">
        <v>8126</v>
      </c>
      <c r="D54" s="181"/>
      <c r="E54" s="181"/>
      <c r="F54" s="189" t="s">
        <v>12388</v>
      </c>
      <c r="G54" s="558"/>
      <c r="H54" s="271" t="s">
        <v>12372</v>
      </c>
      <c r="I54" s="181"/>
      <c r="J54" s="181"/>
      <c r="K54" s="270" t="s">
        <v>8130</v>
      </c>
      <c r="L54" s="549"/>
      <c r="M54" s="205" t="s">
        <v>8130</v>
      </c>
      <c r="N54" s="254"/>
      <c r="O54" s="254"/>
      <c r="P54" s="270" t="str">
        <f>IFERROR(__xludf.DUMMYFUNCTION("GOOGLETRANSLATE(A54,""zh-tw"",""zh"")"),"草莓")</f>
        <v>草莓</v>
      </c>
      <c r="Q54" s="530"/>
      <c r="R54" s="271" t="str">
        <f>IFERROR(__xludf.DUMMYFUNCTION("GOOGLETRANSLATE(C54,""zh-tw"",""zh"")"),"草莓")</f>
        <v>草莓</v>
      </c>
      <c r="S54" s="271"/>
      <c r="T54" s="271"/>
      <c r="U54" s="189" t="str">
        <f>IFERROR(__xludf.DUMMYFUNCTION("GOOGLETRANSLATE(A54,""zh-tw"",""es-MX"")"),"fresa")</f>
        <v>fresa</v>
      </c>
      <c r="V54" s="544"/>
      <c r="W54" s="271" t="str">
        <f>IFERROR(__xludf.DUMMYFUNCTION("GOOGLETRANSLATE(C54,""zh-tw"",""es-MX"")"),"fresa")</f>
        <v>fresa</v>
      </c>
      <c r="X54" s="271"/>
      <c r="Y54" s="271"/>
      <c r="Z54" s="550" t="str">
        <f>IFERROR(__xludf.DUMMYFUNCTION("GOOGLETRANSLATE(A54,""zh-tw"",""KO"")"),"딸기")</f>
        <v>딸기</v>
      </c>
      <c r="AA54" s="545"/>
      <c r="AB54" s="254" t="str">
        <f>IFERROR(__xludf.DUMMYFUNCTION("GOOGLETRANSLATE(C54,""zh-tw"",""KO"")"),"딸기")</f>
        <v>딸기</v>
      </c>
      <c r="AC54" s="254"/>
      <c r="AD54" s="254"/>
      <c r="AE54" s="189" t="s">
        <v>12389</v>
      </c>
      <c r="AF54" s="551"/>
      <c r="AG54" s="271" t="s">
        <v>8133</v>
      </c>
      <c r="AH54" s="267"/>
      <c r="AI54" s="267"/>
      <c r="AJ54" s="550" t="s">
        <v>12390</v>
      </c>
      <c r="AK54" s="285"/>
      <c r="AL54" s="271" t="s">
        <v>8136</v>
      </c>
      <c r="AM54" s="552"/>
      <c r="AN54" s="552"/>
      <c r="AO54" s="275" t="s">
        <v>12377</v>
      </c>
      <c r="AP54" s="545"/>
      <c r="AQ54" s="205" t="s">
        <v>12377</v>
      </c>
      <c r="AR54" s="254"/>
      <c r="AS54" s="254"/>
      <c r="AT54" s="264" t="s">
        <v>8142</v>
      </c>
      <c r="AU54" s="553"/>
      <c r="AV54" s="266" t="s">
        <v>8142</v>
      </c>
      <c r="AW54" s="539"/>
      <c r="AX54" s="539"/>
      <c r="AY54" s="189" t="s">
        <v>8145</v>
      </c>
      <c r="AZ54" s="554"/>
      <c r="BA54" s="254" t="s">
        <v>8145</v>
      </c>
      <c r="BB54" s="101"/>
      <c r="BC54" s="101"/>
      <c r="BD54" s="101"/>
      <c r="BE54" s="101"/>
      <c r="BF54" s="101"/>
      <c r="BG54" s="101"/>
      <c r="BH54" s="101"/>
    </row>
    <row r="55">
      <c r="A55" s="231" t="s">
        <v>12391</v>
      </c>
      <c r="B55" s="549"/>
      <c r="C55" s="233" t="s">
        <v>12203</v>
      </c>
      <c r="D55" s="233" t="s">
        <v>12392</v>
      </c>
      <c r="E55" s="233" t="s">
        <v>12393</v>
      </c>
      <c r="F55" s="179"/>
      <c r="G55" s="558"/>
      <c r="H55" s="181"/>
      <c r="I55" s="181"/>
      <c r="J55" s="181"/>
      <c r="K55" s="240" t="s">
        <v>12394</v>
      </c>
      <c r="L55" s="562"/>
      <c r="M55" s="205" t="s">
        <v>12207</v>
      </c>
      <c r="N55" s="205" t="s">
        <v>12395</v>
      </c>
      <c r="O55" s="205" t="s">
        <v>11780</v>
      </c>
      <c r="P55" s="270" t="str">
        <f>IFERROR(__xludf.DUMMYFUNCTION("GOOGLETRANSLATE(A55,""zh-tw"",""zh"")"),"烟熏鸡饭团")</f>
        <v>烟熏鸡饭团</v>
      </c>
      <c r="Q55" s="530"/>
      <c r="R55" s="271" t="str">
        <f>IFERROR(__xludf.DUMMYFUNCTION("GOOGLETRANSLATE(C55,""zh-tw"",""zh"")"),"鸡腿肉")</f>
        <v>鸡腿肉</v>
      </c>
      <c r="S55" s="271" t="str">
        <f>IFERROR(__xludf.DUMMYFUNCTION("GOOGLETRANSLATE(D55,""zh-tw"",""zh"")"),"鸡腿肉/白饭")</f>
        <v>鸡腿肉/白饭</v>
      </c>
      <c r="T55" s="271" t="str">
        <f>IFERROR(__xludf.DUMMYFUNCTION("GOOGLETRANSLATE(E55,""zh-tw"",""zh"")"),"白饭")</f>
        <v>白饭</v>
      </c>
      <c r="U55" s="189" t="str">
        <f>IFERROR(__xludf.DUMMYFUNCTION("GOOGLETRANSLATE(A55,""zh-tw"",""es-MX"")"),"Bolas de arroz con pollo ahumado")</f>
        <v>Bolas de arroz con pollo ahumado</v>
      </c>
      <c r="V55" s="549"/>
      <c r="W55" s="271" t="str">
        <f>IFERROR(__xludf.DUMMYFUNCTION("GOOGLETRANSLATE(C55,""zh-tw"",""es-MX"")"),"Muslo de pollo")</f>
        <v>Muslo de pollo</v>
      </c>
      <c r="X55" s="271" t="str">
        <f>IFERROR(__xludf.DUMMYFUNCTION("GOOGLETRANSLATE(D55,""zh-tw"",""es-MX"")"),"Muslo de pollo/arroz blanco")</f>
        <v>Muslo de pollo/arroz blanco</v>
      </c>
      <c r="Y55" s="271" t="str">
        <f>IFERROR(__xludf.DUMMYFUNCTION("GOOGLETRANSLATE(E55,""zh-tw"",""es-MX"")"),"arroz blanco")</f>
        <v>arroz blanco</v>
      </c>
      <c r="Z55" s="275" t="s">
        <v>12396</v>
      </c>
      <c r="AA55" s="549"/>
      <c r="AB55" s="254" t="str">
        <f>IFERROR(__xludf.DUMMYFUNCTION("GOOGLETRANSLATE(C55,""zh-tw"",""KO"")"),"닭다리살")</f>
        <v>닭다리살</v>
      </c>
      <c r="AC55" s="254" t="str">
        <f>IFERROR(__xludf.DUMMYFUNCTION("GOOGLETRANSLATE(D55,""zh-tw"",""KO"")"),"닭다리살/흰쌀밥")</f>
        <v>닭다리살/흰쌀밥</v>
      </c>
      <c r="AD55" s="254" t="str">
        <f>IFERROR(__xludf.DUMMYFUNCTION("GOOGLETRANSLATE(E55,""zh-tw"",""KO"")"),"흰쌀")</f>
        <v>흰쌀</v>
      </c>
      <c r="AE55" s="145" t="s">
        <v>12397</v>
      </c>
      <c r="AF55" s="551"/>
      <c r="AG55" s="263" t="s">
        <v>12398</v>
      </c>
      <c r="AH55" s="263" t="s">
        <v>12399</v>
      </c>
      <c r="AI55" s="263" t="s">
        <v>11784</v>
      </c>
      <c r="AJ55" s="550" t="s">
        <v>12400</v>
      </c>
      <c r="AK55" s="285"/>
      <c r="AL55" s="271" t="s">
        <v>12401</v>
      </c>
      <c r="AM55" s="271" t="s">
        <v>12402</v>
      </c>
      <c r="AN55" s="271" t="s">
        <v>11784</v>
      </c>
      <c r="AO55" s="179"/>
      <c r="AP55" s="549"/>
      <c r="AQ55" s="181"/>
      <c r="AR55" s="181"/>
      <c r="AS55" s="181"/>
      <c r="AT55" s="167" t="s">
        <v>12403</v>
      </c>
      <c r="AU55" s="541"/>
      <c r="AV55" s="268" t="s">
        <v>12217</v>
      </c>
      <c r="AW55" s="268" t="s">
        <v>12404</v>
      </c>
      <c r="AX55" s="268" t="s">
        <v>11792</v>
      </c>
      <c r="AY55" s="231" t="s">
        <v>12405</v>
      </c>
      <c r="AZ55" s="554"/>
      <c r="BA55" s="205" t="s">
        <v>12219</v>
      </c>
      <c r="BB55" s="205" t="s">
        <v>12406</v>
      </c>
      <c r="BC55" s="254" t="s">
        <v>11795</v>
      </c>
      <c r="BD55" s="254"/>
      <c r="BE55" s="254"/>
      <c r="BF55" s="254"/>
      <c r="BG55" s="254"/>
      <c r="BH55" s="254"/>
    </row>
    <row r="56">
      <c r="A56" s="231" t="s">
        <v>12407</v>
      </c>
      <c r="B56" s="549"/>
      <c r="C56" s="233" t="s">
        <v>12203</v>
      </c>
      <c r="D56" s="233" t="s">
        <v>12408</v>
      </c>
      <c r="E56" s="233" t="s">
        <v>12393</v>
      </c>
      <c r="F56" s="179"/>
      <c r="G56" s="558"/>
      <c r="H56" s="181"/>
      <c r="I56" s="181"/>
      <c r="J56" s="181"/>
      <c r="K56" s="240" t="s">
        <v>12409</v>
      </c>
      <c r="L56" s="549"/>
      <c r="M56" s="205" t="s">
        <v>12207</v>
      </c>
      <c r="N56" s="205" t="s">
        <v>11781</v>
      </c>
      <c r="O56" s="205" t="s">
        <v>11780</v>
      </c>
      <c r="P56" s="270" t="str">
        <f>IFERROR(__xludf.DUMMYFUNCTION("GOOGLETRANSLATE(A56,""zh-tw"",""zh"")"),"鸡肉咖喱饭")</f>
        <v>鸡肉咖喱饭</v>
      </c>
      <c r="Q56" s="530"/>
      <c r="R56" s="271" t="str">
        <f>IFERROR(__xludf.DUMMYFUNCTION("GOOGLETRANSLATE(C56,""zh-tw"",""zh"")"),"鸡腿肉")</f>
        <v>鸡腿肉</v>
      </c>
      <c r="S56" s="271" t="str">
        <f>IFERROR(__xludf.DUMMYFUNCTION("GOOGLETRANSLATE(D56,""zh-tw"",""zh"")"),"咖喱块")</f>
        <v>咖喱块</v>
      </c>
      <c r="T56" s="271" t="str">
        <f>IFERROR(__xludf.DUMMYFUNCTION("GOOGLETRANSLATE(E56,""zh-tw"",""zh"")"),"白饭")</f>
        <v>白饭</v>
      </c>
      <c r="U56" s="189" t="str">
        <f>IFERROR(__xludf.DUMMYFUNCTION("GOOGLETRANSLATE(A56,""zh-tw"",""es-MX"")"),"arroz con pollo al curry")</f>
        <v>arroz con pollo al curry</v>
      </c>
      <c r="V56" s="549"/>
      <c r="W56" s="271" t="str">
        <f>IFERROR(__xludf.DUMMYFUNCTION("GOOGLETRANSLATE(C56,""zh-tw"",""es-MX"")"),"Muslo de pollo")</f>
        <v>Muslo de pollo</v>
      </c>
      <c r="X56" s="271" t="str">
        <f>IFERROR(__xludf.DUMMYFUNCTION("GOOGLETRANSLATE(D56,""zh-tw"",""es-MX"")"),"cubos de curry")</f>
        <v>cubos de curry</v>
      </c>
      <c r="Y56" s="271" t="str">
        <f>IFERROR(__xludf.DUMMYFUNCTION("GOOGLETRANSLATE(E56,""zh-tw"",""es-MX"")"),"arroz blanco")</f>
        <v>arroz blanco</v>
      </c>
      <c r="Z56" s="550" t="str">
        <f>IFERROR(__xludf.DUMMYFUNCTION("GOOGLETRANSLATE(A56,""zh-tw"",""KO"")"),"치킨 카레 라이스")</f>
        <v>치킨 카레 라이스</v>
      </c>
      <c r="AA56" s="549"/>
      <c r="AB56" s="254" t="str">
        <f>IFERROR(__xludf.DUMMYFUNCTION("GOOGLETRANSLATE(C56,""zh-tw"",""KO"")"),"닭다리살")</f>
        <v>닭다리살</v>
      </c>
      <c r="AC56" s="254" t="str">
        <f>IFERROR(__xludf.DUMMYFUNCTION("GOOGLETRANSLATE(D56,""zh-tw"",""KO"")"),"카레 큐브")</f>
        <v>카레 큐브</v>
      </c>
      <c r="AD56" s="254" t="str">
        <f>IFERROR(__xludf.DUMMYFUNCTION("GOOGLETRANSLATE(E56,""zh-tw"",""KO"")"),"흰쌀")</f>
        <v>흰쌀</v>
      </c>
      <c r="AE56" s="151" t="s">
        <v>12410</v>
      </c>
      <c r="AF56" s="551"/>
      <c r="AG56" s="263" t="s">
        <v>12398</v>
      </c>
      <c r="AH56" s="147" t="s">
        <v>11785</v>
      </c>
      <c r="AI56" s="263" t="s">
        <v>11784</v>
      </c>
      <c r="AJ56" s="550" t="s">
        <v>12411</v>
      </c>
      <c r="AK56" s="285"/>
      <c r="AL56" s="271" t="s">
        <v>12401</v>
      </c>
      <c r="AM56" s="271" t="s">
        <v>11787</v>
      </c>
      <c r="AN56" s="271" t="s">
        <v>11784</v>
      </c>
      <c r="AO56" s="179"/>
      <c r="AP56" s="549"/>
      <c r="AQ56" s="181"/>
      <c r="AR56" s="181"/>
      <c r="AS56" s="181"/>
      <c r="AT56" s="167" t="s">
        <v>12412</v>
      </c>
      <c r="AU56" s="541"/>
      <c r="AV56" s="268" t="s">
        <v>12217</v>
      </c>
      <c r="AW56" s="268" t="s">
        <v>11793</v>
      </c>
      <c r="AX56" s="268" t="s">
        <v>11792</v>
      </c>
      <c r="AY56" s="231" t="s">
        <v>12413</v>
      </c>
      <c r="AZ56" s="554"/>
      <c r="BA56" s="205" t="s">
        <v>12219</v>
      </c>
      <c r="BB56" s="563" t="s">
        <v>11796</v>
      </c>
      <c r="BC56" s="254" t="s">
        <v>11795</v>
      </c>
      <c r="BD56" s="254"/>
      <c r="BE56" s="254"/>
      <c r="BF56" s="254"/>
      <c r="BG56" s="254"/>
      <c r="BH56" s="254"/>
    </row>
    <row r="57">
      <c r="A57" s="231" t="s">
        <v>12414</v>
      </c>
      <c r="B57" s="549"/>
      <c r="C57" s="233" t="s">
        <v>12022</v>
      </c>
      <c r="D57" s="233" t="s">
        <v>12022</v>
      </c>
      <c r="E57" s="233" t="s">
        <v>12022</v>
      </c>
      <c r="F57" s="179"/>
      <c r="G57" s="549"/>
      <c r="H57" s="181"/>
      <c r="I57" s="181"/>
      <c r="J57" s="181"/>
      <c r="K57" s="240" t="s">
        <v>12415</v>
      </c>
      <c r="L57" s="549"/>
      <c r="M57" s="205" t="s">
        <v>12027</v>
      </c>
      <c r="N57" s="205" t="s">
        <v>12027</v>
      </c>
      <c r="O57" s="205" t="s">
        <v>12027</v>
      </c>
      <c r="P57" s="270" t="str">
        <f>IFERROR(__xludf.DUMMYFUNCTION("GOOGLETRANSLATE(A57,""zh-tw"",""zh"")"),"烤胡萝卜串")</f>
        <v>烤胡萝卜串</v>
      </c>
      <c r="Q57" s="530"/>
      <c r="R57" s="271" t="str">
        <f>IFERROR(__xludf.DUMMYFUNCTION("GOOGLETRANSLATE(C57,""zh-tw"",""zh"")"),"胡萝卜")</f>
        <v>胡萝卜</v>
      </c>
      <c r="S57" s="271" t="str">
        <f>IFERROR(__xludf.DUMMYFUNCTION("GOOGLETRANSLATE(D57,""zh-tw"",""zh"")"),"胡萝卜")</f>
        <v>胡萝卜</v>
      </c>
      <c r="T57" s="271" t="str">
        <f>IFERROR(__xludf.DUMMYFUNCTION("GOOGLETRANSLATE(E57,""zh-tw"",""zh"")"),"胡萝卜")</f>
        <v>胡萝卜</v>
      </c>
      <c r="U57" s="189" t="str">
        <f>IFERROR(__xludf.DUMMYFUNCTION("GOOGLETRANSLATE(A57,""zh-tw"",""es-MX"")"),"Brochetas de zanahoria a la parrilla")</f>
        <v>Brochetas de zanahoria a la parrilla</v>
      </c>
      <c r="V57" s="549"/>
      <c r="W57" s="271" t="str">
        <f>IFERROR(__xludf.DUMMYFUNCTION("GOOGLETRANSLATE(C57,""zh-tw"",""es-MX"")"),"zanahoria")</f>
        <v>zanahoria</v>
      </c>
      <c r="X57" s="271" t="str">
        <f>IFERROR(__xludf.DUMMYFUNCTION("GOOGLETRANSLATE(D57,""zh-tw"",""es-MX"")"),"zanahoria")</f>
        <v>zanahoria</v>
      </c>
      <c r="Y57" s="271" t="str">
        <f>IFERROR(__xludf.DUMMYFUNCTION("GOOGLETRANSLATE(E57,""zh-tw"",""es-MX"")"),"zanahoria")</f>
        <v>zanahoria</v>
      </c>
      <c r="Z57" s="550" t="str">
        <f>IFERROR(__xludf.DUMMYFUNCTION("GOOGLETRANSLATE(A57,""zh-tw"",""KO"")"),"구운 당근 꼬치")</f>
        <v>구운 당근 꼬치</v>
      </c>
      <c r="AA57" s="549"/>
      <c r="AB57" s="254" t="str">
        <f>IFERROR(__xludf.DUMMYFUNCTION("GOOGLETRANSLATE(C57,""zh-tw"",""KO"")"),"당근")</f>
        <v>당근</v>
      </c>
      <c r="AC57" s="254" t="str">
        <f>IFERROR(__xludf.DUMMYFUNCTION("GOOGLETRANSLATE(D57,""zh-tw"",""KO"")"),"당근")</f>
        <v>당근</v>
      </c>
      <c r="AD57" s="254" t="str">
        <f>IFERROR(__xludf.DUMMYFUNCTION("GOOGLETRANSLATE(E57,""zh-tw"",""KO"")"),"당근")</f>
        <v>당근</v>
      </c>
      <c r="AE57" s="145" t="s">
        <v>12416</v>
      </c>
      <c r="AF57" s="551"/>
      <c r="AG57" s="263" t="s">
        <v>12029</v>
      </c>
      <c r="AH57" s="263" t="s">
        <v>12029</v>
      </c>
      <c r="AI57" s="263" t="s">
        <v>12029</v>
      </c>
      <c r="AJ57" s="550" t="s">
        <v>12417</v>
      </c>
      <c r="AK57" s="285"/>
      <c r="AL57" s="271" t="s">
        <v>12031</v>
      </c>
      <c r="AM57" s="271" t="s">
        <v>12031</v>
      </c>
      <c r="AN57" s="271" t="s">
        <v>12031</v>
      </c>
      <c r="AO57" s="179"/>
      <c r="AP57" s="549"/>
      <c r="AQ57" s="181"/>
      <c r="AR57" s="181"/>
      <c r="AS57" s="181"/>
      <c r="AT57" s="167" t="s">
        <v>12418</v>
      </c>
      <c r="AU57" s="541"/>
      <c r="AV57" s="268" t="s">
        <v>12034</v>
      </c>
      <c r="AW57" s="268" t="s">
        <v>12034</v>
      </c>
      <c r="AX57" s="268" t="s">
        <v>12034</v>
      </c>
      <c r="AY57" s="231" t="s">
        <v>12419</v>
      </c>
      <c r="AZ57" s="554"/>
      <c r="BA57" s="205" t="s">
        <v>12035</v>
      </c>
      <c r="BB57" s="205" t="s">
        <v>12035</v>
      </c>
      <c r="BC57" s="205" t="s">
        <v>12035</v>
      </c>
      <c r="BD57" s="205"/>
      <c r="BE57" s="205"/>
      <c r="BF57" s="205"/>
      <c r="BG57" s="205"/>
      <c r="BH57" s="205"/>
    </row>
    <row r="58">
      <c r="A58" s="564" t="s">
        <v>12420</v>
      </c>
      <c r="B58" s="558"/>
      <c r="C58" s="565" t="s">
        <v>12421</v>
      </c>
      <c r="D58" s="566" t="s">
        <v>12422</v>
      </c>
      <c r="E58" s="567"/>
      <c r="F58" s="568" t="s">
        <v>12423</v>
      </c>
      <c r="G58" s="569" t="s">
        <v>12421</v>
      </c>
      <c r="H58" s="565" t="s">
        <v>12421</v>
      </c>
      <c r="I58" s="566" t="s">
        <v>12422</v>
      </c>
      <c r="J58" s="567"/>
      <c r="K58" s="570" t="s">
        <v>12424</v>
      </c>
      <c r="L58" s="558"/>
      <c r="M58" s="565" t="s">
        <v>12425</v>
      </c>
      <c r="N58" s="571" t="s">
        <v>12422</v>
      </c>
      <c r="O58" s="567"/>
      <c r="P58" s="570" t="s">
        <v>12426</v>
      </c>
      <c r="Q58" s="530"/>
      <c r="R58" s="565" t="s">
        <v>12427</v>
      </c>
      <c r="S58" s="565" t="s">
        <v>12422</v>
      </c>
      <c r="T58" s="567"/>
      <c r="U58" s="189" t="str">
        <f>IFERROR(__xludf.DUMMYFUNCTION("GOOGLETRANSLATE(A58,""zh-tw"",""es-MX"")"),"Sushi de tortuga Sakaban")</f>
        <v>Sushi de tortuga Sakaban</v>
      </c>
      <c r="V58" s="549"/>
      <c r="W58" s="271" t="str">
        <f>IFERROR(__xludf.DUMMYFUNCTION("GOOGLETRANSLATE(C58,""zh-tw"",""es-MX"")"),"arroz")</f>
        <v>arroz</v>
      </c>
      <c r="X58" s="271" t="str">
        <f>IFERROR(__xludf.DUMMYFUNCTION("GOOGLETRANSLATE(D58,""zh-tw"",""es-MX"")"),"X△X")</f>
        <v>X△X</v>
      </c>
      <c r="Y58" s="181"/>
      <c r="Z58" s="550" t="str">
        <f>IFERROR(__xludf.DUMMYFUNCTION("GOOGLETRANSLATE(A58,""zh-tw"",""KO"")"),"사카반 거북이 초밥")</f>
        <v>사카반 거북이 초밥</v>
      </c>
      <c r="AA58" s="549"/>
      <c r="AB58" s="254" t="str">
        <f>IFERROR(__xludf.DUMMYFUNCTION("GOOGLETRANSLATE(C58,""zh-tw"",""KO"")"),"쌀")</f>
        <v>쌀</v>
      </c>
      <c r="AC58" s="254" t="str">
        <f>IFERROR(__xludf.DUMMYFUNCTION("GOOGLETRANSLATE(D58,""zh-tw"",""KO"")"),"X△X")</f>
        <v>X△X</v>
      </c>
      <c r="AD58" s="254"/>
      <c r="AE58" s="189" t="s">
        <v>12428</v>
      </c>
      <c r="AF58" s="551"/>
      <c r="AG58" s="271" t="s">
        <v>11784</v>
      </c>
      <c r="AH58" s="572" t="s">
        <v>12422</v>
      </c>
      <c r="AI58" s="267"/>
      <c r="AJ58" s="550" t="s">
        <v>12429</v>
      </c>
      <c r="AK58" s="285"/>
      <c r="AL58" s="271" t="s">
        <v>11784</v>
      </c>
      <c r="AM58" s="572" t="s">
        <v>12422</v>
      </c>
      <c r="AN58" s="552"/>
      <c r="AO58" s="573" t="s">
        <v>12424</v>
      </c>
      <c r="AP58" s="549"/>
      <c r="AQ58" s="574" t="s">
        <v>12430</v>
      </c>
      <c r="AR58" s="575" t="s">
        <v>12422</v>
      </c>
      <c r="AS58" s="181"/>
      <c r="AT58" s="576" t="s">
        <v>12431</v>
      </c>
      <c r="AU58" s="541"/>
      <c r="AV58" s="575" t="s">
        <v>12432</v>
      </c>
      <c r="AW58" s="575" t="s">
        <v>12422</v>
      </c>
      <c r="AX58" s="266"/>
      <c r="AY58" s="564" t="s">
        <v>12433</v>
      </c>
      <c r="AZ58" s="554"/>
      <c r="BA58" s="574" t="s">
        <v>11795</v>
      </c>
      <c r="BB58" s="577" t="s">
        <v>12422</v>
      </c>
      <c r="BC58" s="318"/>
      <c r="BD58" s="181"/>
      <c r="BE58" s="181"/>
      <c r="BF58" s="181"/>
      <c r="BG58" s="181"/>
      <c r="BH58" s="181"/>
    </row>
    <row r="59">
      <c r="A59" s="564" t="s">
        <v>12434</v>
      </c>
      <c r="B59" s="558"/>
      <c r="C59" s="565" t="s">
        <v>12421</v>
      </c>
      <c r="D59" s="566" t="s">
        <v>12422</v>
      </c>
      <c r="E59" s="566" t="s">
        <v>12435</v>
      </c>
      <c r="F59" s="568" t="s">
        <v>12436</v>
      </c>
      <c r="G59" s="569" t="s">
        <v>12421</v>
      </c>
      <c r="H59" s="565" t="s">
        <v>12421</v>
      </c>
      <c r="I59" s="566" t="s">
        <v>12422</v>
      </c>
      <c r="J59" s="566" t="s">
        <v>12437</v>
      </c>
      <c r="K59" s="570" t="s">
        <v>12438</v>
      </c>
      <c r="L59" s="558"/>
      <c r="M59" s="565" t="s">
        <v>12425</v>
      </c>
      <c r="N59" s="571" t="s">
        <v>12422</v>
      </c>
      <c r="O59" s="565" t="s">
        <v>12439</v>
      </c>
      <c r="P59" s="570" t="s">
        <v>12440</v>
      </c>
      <c r="Q59" s="530"/>
      <c r="R59" s="565" t="s">
        <v>12427</v>
      </c>
      <c r="S59" s="565" t="s">
        <v>12422</v>
      </c>
      <c r="T59" s="565" t="s">
        <v>12441</v>
      </c>
      <c r="U59" s="189" t="str">
        <f>IFERROR(__xludf.DUMMYFUNCTION("GOOGLETRANSLATE(A59,""zh-tw"",""es-MX"")"),"Sushi prensado de sashimi de camarones")</f>
        <v>Sushi prensado de sashimi de camarones</v>
      </c>
      <c r="V59" s="549"/>
      <c r="W59" s="271" t="str">
        <f>IFERROR(__xludf.DUMMYFUNCTION("GOOGLETRANSLATE(C59,""zh-tw"",""es-MX"")"),"arroz")</f>
        <v>arroz</v>
      </c>
      <c r="X59" s="271" t="str">
        <f>IFERROR(__xludf.DUMMYFUNCTION("GOOGLETRANSLATE(D59,""zh-tw"",""es-MX"")"),"X△X")</f>
        <v>X△X</v>
      </c>
      <c r="Y59" s="271" t="str">
        <f>IFERROR(__xludf.DUMMYFUNCTION("GOOGLETRANSLATE(E59,""zh-tw"",""es-MX"")"),"camarón")</f>
        <v>camarón</v>
      </c>
      <c r="Z59" s="550" t="str">
        <f>IFERROR(__xludf.DUMMYFUNCTION("GOOGLETRANSLATE(A59,""zh-tw"",""KO"")"),"새우 사시미 프레스 스시")</f>
        <v>새우 사시미 프레스 스시</v>
      </c>
      <c r="AA59" s="549"/>
      <c r="AB59" s="254" t="str">
        <f>IFERROR(__xludf.DUMMYFUNCTION("GOOGLETRANSLATE(C59,""zh-tw"",""KO"")"),"쌀")</f>
        <v>쌀</v>
      </c>
      <c r="AC59" s="254" t="str">
        <f>IFERROR(__xludf.DUMMYFUNCTION("GOOGLETRANSLATE(D59,""zh-tw"",""KO"")"),"X△X")</f>
        <v>X△X</v>
      </c>
      <c r="AD59" s="254" t="str">
        <f>IFERROR(__xludf.DUMMYFUNCTION("GOOGLETRANSLATE(E59,""zh-tw"",""KO"")"),"새우")</f>
        <v>새우</v>
      </c>
      <c r="AE59" s="189" t="s">
        <v>12442</v>
      </c>
      <c r="AF59" s="551"/>
      <c r="AG59" s="271" t="s">
        <v>11784</v>
      </c>
      <c r="AH59" s="572" t="s">
        <v>12422</v>
      </c>
      <c r="AI59" s="271" t="s">
        <v>12443</v>
      </c>
      <c r="AJ59" s="550" t="s">
        <v>12444</v>
      </c>
      <c r="AK59" s="285"/>
      <c r="AL59" s="271" t="s">
        <v>11784</v>
      </c>
      <c r="AM59" s="572" t="s">
        <v>12422</v>
      </c>
      <c r="AN59" s="271" t="s">
        <v>12443</v>
      </c>
      <c r="AO59" s="573" t="s">
        <v>12445</v>
      </c>
      <c r="AP59" s="549"/>
      <c r="AQ59" s="574" t="s">
        <v>12430</v>
      </c>
      <c r="AR59" s="575" t="s">
        <v>12422</v>
      </c>
      <c r="AS59" s="574" t="s">
        <v>12446</v>
      </c>
      <c r="AT59" s="167" t="s">
        <v>12447</v>
      </c>
      <c r="AU59" s="541"/>
      <c r="AV59" s="575" t="s">
        <v>12448</v>
      </c>
      <c r="AW59" s="575" t="s">
        <v>12422</v>
      </c>
      <c r="AX59" s="575" t="s">
        <v>12449</v>
      </c>
      <c r="AY59" s="564" t="s">
        <v>12450</v>
      </c>
      <c r="AZ59" s="554"/>
      <c r="BA59" s="574" t="s">
        <v>11795</v>
      </c>
      <c r="BB59" s="577" t="s">
        <v>12422</v>
      </c>
      <c r="BC59" s="577" t="s">
        <v>12451</v>
      </c>
      <c r="BD59" s="181"/>
      <c r="BE59" s="181"/>
      <c r="BF59" s="181"/>
      <c r="BG59" s="181"/>
      <c r="BH59" s="181"/>
    </row>
    <row r="60">
      <c r="A60" s="564" t="s">
        <v>12452</v>
      </c>
      <c r="B60" s="558"/>
      <c r="C60" s="565" t="s">
        <v>12421</v>
      </c>
      <c r="D60" s="566" t="s">
        <v>12422</v>
      </c>
      <c r="E60" s="566" t="s">
        <v>12453</v>
      </c>
      <c r="F60" s="568" t="s">
        <v>12454</v>
      </c>
      <c r="G60" s="569" t="s">
        <v>12421</v>
      </c>
      <c r="H60" s="565" t="s">
        <v>12421</v>
      </c>
      <c r="I60" s="566" t="s">
        <v>12422</v>
      </c>
      <c r="J60" s="566" t="s">
        <v>12453</v>
      </c>
      <c r="K60" s="570" t="s">
        <v>12455</v>
      </c>
      <c r="L60" s="558"/>
      <c r="M60" s="565" t="s">
        <v>12425</v>
      </c>
      <c r="N60" s="571" t="s">
        <v>12422</v>
      </c>
      <c r="O60" s="565" t="s">
        <v>12456</v>
      </c>
      <c r="P60" s="570" t="s">
        <v>12457</v>
      </c>
      <c r="Q60" s="530"/>
      <c r="R60" s="565" t="s">
        <v>12427</v>
      </c>
      <c r="S60" s="565" t="s">
        <v>12422</v>
      </c>
      <c r="T60" s="565" t="s">
        <v>12453</v>
      </c>
      <c r="U60" s="189" t="str">
        <f>IFERROR(__xludf.DUMMYFUNCTION("GOOGLETRANSLATE(A60,""zh-tw"",""es-MX"")"),"Sushi prensado de chuleta de cerdo")</f>
        <v>Sushi prensado de chuleta de cerdo</v>
      </c>
      <c r="V60" s="549"/>
      <c r="W60" s="271" t="str">
        <f>IFERROR(__xludf.DUMMYFUNCTION("GOOGLETRANSLATE(C60,""zh-tw"",""es-MX"")"),"arroz")</f>
        <v>arroz</v>
      </c>
      <c r="X60" s="271" t="str">
        <f>IFERROR(__xludf.DUMMYFUNCTION("GOOGLETRANSLATE(D60,""zh-tw"",""es-MX"")"),"X△X")</f>
        <v>X△X</v>
      </c>
      <c r="Y60" s="271" t="str">
        <f>IFERROR(__xludf.DUMMYFUNCTION("GOOGLETRANSLATE(E60,""zh-tw"",""es-MX"")"),"Carne")</f>
        <v>Carne</v>
      </c>
      <c r="Z60" s="550" t="str">
        <f>IFERROR(__xludf.DUMMYFUNCTION("GOOGLETRANSLATE(A60,""zh-tw"",""KO"")"),"돈까스로 만든 누름 초밥")</f>
        <v>돈까스로 만든 누름 초밥</v>
      </c>
      <c r="AA60" s="549"/>
      <c r="AB60" s="254" t="str">
        <f>IFERROR(__xludf.DUMMYFUNCTION("GOOGLETRANSLATE(C60,""zh-tw"",""KO"")"),"쌀")</f>
        <v>쌀</v>
      </c>
      <c r="AC60" s="254" t="str">
        <f>IFERROR(__xludf.DUMMYFUNCTION("GOOGLETRANSLATE(D60,""zh-tw"",""KO"")"),"X△X")</f>
        <v>X△X</v>
      </c>
      <c r="AD60" s="254" t="str">
        <f>IFERROR(__xludf.DUMMYFUNCTION("GOOGLETRANSLATE(E60,""zh-tw"",""KO"")"),"고기")</f>
        <v>고기</v>
      </c>
      <c r="AE60" s="189" t="s">
        <v>12458</v>
      </c>
      <c r="AF60" s="551"/>
      <c r="AG60" s="271" t="s">
        <v>11784</v>
      </c>
      <c r="AH60" s="572" t="s">
        <v>12422</v>
      </c>
      <c r="AI60" s="271" t="s">
        <v>12459</v>
      </c>
      <c r="AJ60" s="550" t="s">
        <v>12460</v>
      </c>
      <c r="AK60" s="285"/>
      <c r="AL60" s="271" t="s">
        <v>11784</v>
      </c>
      <c r="AM60" s="572" t="s">
        <v>12422</v>
      </c>
      <c r="AN60" s="271" t="s">
        <v>12461</v>
      </c>
      <c r="AO60" s="573" t="s">
        <v>12462</v>
      </c>
      <c r="AP60" s="549"/>
      <c r="AQ60" s="574" t="s">
        <v>12430</v>
      </c>
      <c r="AR60" s="575" t="s">
        <v>12422</v>
      </c>
      <c r="AS60" s="574" t="s">
        <v>12463</v>
      </c>
      <c r="AT60" s="167" t="s">
        <v>12464</v>
      </c>
      <c r="AU60" s="553"/>
      <c r="AV60" s="575" t="s">
        <v>12448</v>
      </c>
      <c r="AW60" s="575" t="s">
        <v>12422</v>
      </c>
      <c r="AX60" s="575" t="s">
        <v>12465</v>
      </c>
      <c r="AY60" s="564" t="s">
        <v>12466</v>
      </c>
      <c r="AZ60" s="554"/>
      <c r="BA60" s="574" t="s">
        <v>11795</v>
      </c>
      <c r="BB60" s="577" t="s">
        <v>12422</v>
      </c>
      <c r="BC60" s="577" t="s">
        <v>12467</v>
      </c>
      <c r="BD60" s="181"/>
      <c r="BE60" s="181"/>
      <c r="BF60" s="181"/>
      <c r="BG60" s="181"/>
      <c r="BH60" s="181"/>
    </row>
    <row r="61">
      <c r="A61" s="179"/>
      <c r="B61" s="549"/>
      <c r="C61" s="181"/>
      <c r="D61" s="181"/>
      <c r="E61" s="181"/>
      <c r="F61" s="179"/>
      <c r="G61" s="549"/>
      <c r="H61" s="181"/>
      <c r="I61" s="181"/>
      <c r="J61" s="181"/>
      <c r="K61" s="156"/>
      <c r="L61" s="549"/>
      <c r="M61" s="181"/>
      <c r="N61" s="181"/>
      <c r="O61" s="181"/>
      <c r="P61" s="156"/>
      <c r="Q61" s="562"/>
      <c r="R61" s="181"/>
      <c r="S61" s="181"/>
      <c r="T61" s="181"/>
      <c r="U61" s="179"/>
      <c r="V61" s="549"/>
      <c r="W61" s="181"/>
      <c r="X61" s="181"/>
      <c r="Y61" s="181"/>
      <c r="Z61" s="179"/>
      <c r="AA61" s="549"/>
      <c r="AB61" s="181"/>
      <c r="AC61" s="181"/>
      <c r="AD61" s="181"/>
      <c r="AE61" s="179"/>
      <c r="AF61" s="549"/>
      <c r="AG61" s="181"/>
      <c r="AH61" s="181"/>
      <c r="AI61" s="181"/>
      <c r="AJ61" s="179"/>
      <c r="AK61" s="549"/>
      <c r="AL61" s="181"/>
      <c r="AM61" s="181"/>
      <c r="AN61" s="181"/>
      <c r="AO61" s="179"/>
      <c r="AP61" s="549"/>
      <c r="AQ61" s="181"/>
      <c r="AR61" s="181"/>
      <c r="AS61" s="181"/>
      <c r="AT61" s="179"/>
      <c r="AU61" s="549"/>
      <c r="AV61" s="181"/>
      <c r="AW61" s="181"/>
      <c r="AX61" s="181"/>
      <c r="AY61" s="181"/>
      <c r="AZ61" s="181"/>
      <c r="BA61" s="181"/>
      <c r="BB61" s="181"/>
      <c r="BC61" s="181"/>
      <c r="BD61" s="181"/>
      <c r="BE61" s="181"/>
      <c r="BF61" s="181"/>
      <c r="BG61" s="181"/>
      <c r="BH61" s="181"/>
    </row>
    <row r="62">
      <c r="A62" s="179"/>
      <c r="B62" s="549"/>
      <c r="C62" s="181"/>
      <c r="D62" s="181"/>
      <c r="E62" s="181"/>
      <c r="F62" s="179"/>
      <c r="G62" s="549"/>
      <c r="H62" s="181"/>
      <c r="I62" s="181"/>
      <c r="J62" s="181"/>
      <c r="K62" s="156"/>
      <c r="L62" s="549"/>
      <c r="M62" s="181"/>
      <c r="N62" s="181"/>
      <c r="O62" s="181"/>
      <c r="P62" s="156"/>
      <c r="Q62" s="562"/>
      <c r="R62" s="181"/>
      <c r="S62" s="181"/>
      <c r="T62" s="181"/>
      <c r="U62" s="179"/>
      <c r="V62" s="549"/>
      <c r="W62" s="181"/>
      <c r="X62" s="181"/>
      <c r="Y62" s="181"/>
      <c r="Z62" s="179"/>
      <c r="AA62" s="549"/>
      <c r="AB62" s="181"/>
      <c r="AC62" s="181"/>
      <c r="AD62" s="181"/>
      <c r="AE62" s="179"/>
      <c r="AF62" s="549"/>
      <c r="AG62" s="181"/>
      <c r="AH62" s="181"/>
      <c r="AI62" s="181"/>
      <c r="AJ62" s="179"/>
      <c r="AK62" s="549"/>
      <c r="AL62" s="181"/>
      <c r="AM62" s="181"/>
      <c r="AN62" s="181"/>
      <c r="AO62" s="179"/>
      <c r="AP62" s="549"/>
      <c r="AQ62" s="181"/>
      <c r="AR62" s="181"/>
      <c r="AS62" s="181"/>
      <c r="AT62" s="179"/>
      <c r="AU62" s="549"/>
      <c r="AV62" s="181"/>
      <c r="AW62" s="181"/>
      <c r="AX62" s="181"/>
      <c r="AY62" s="181"/>
      <c r="AZ62" s="181"/>
      <c r="BA62" s="181"/>
      <c r="BB62" s="181"/>
      <c r="BC62" s="181"/>
      <c r="BD62" s="181"/>
      <c r="BE62" s="181"/>
      <c r="BF62" s="181"/>
      <c r="BG62" s="181"/>
      <c r="BH62" s="181"/>
    </row>
    <row r="63">
      <c r="A63" s="179"/>
      <c r="B63" s="549"/>
      <c r="C63" s="181"/>
      <c r="D63" s="181"/>
      <c r="E63" s="181"/>
      <c r="F63" s="179"/>
      <c r="G63" s="549"/>
      <c r="H63" s="181"/>
      <c r="I63" s="181"/>
      <c r="J63" s="181"/>
      <c r="K63" s="156"/>
      <c r="L63" s="549"/>
      <c r="M63" s="181"/>
      <c r="N63" s="181"/>
      <c r="O63" s="181"/>
      <c r="P63" s="156"/>
      <c r="Q63" s="562"/>
      <c r="R63" s="181"/>
      <c r="S63" s="181"/>
      <c r="T63" s="181"/>
      <c r="U63" s="179"/>
      <c r="V63" s="549"/>
      <c r="W63" s="181"/>
      <c r="X63" s="181"/>
      <c r="Y63" s="181"/>
      <c r="Z63" s="179"/>
      <c r="AA63" s="549"/>
      <c r="AB63" s="181"/>
      <c r="AC63" s="181"/>
      <c r="AD63" s="181"/>
      <c r="AE63" s="179"/>
      <c r="AF63" s="549"/>
      <c r="AG63" s="181"/>
      <c r="AH63" s="181"/>
      <c r="AI63" s="181"/>
      <c r="AJ63" s="179"/>
      <c r="AK63" s="549"/>
      <c r="AL63" s="181"/>
      <c r="AM63" s="181"/>
      <c r="AN63" s="181"/>
      <c r="AO63" s="179"/>
      <c r="AP63" s="549"/>
      <c r="AQ63" s="181"/>
      <c r="AR63" s="181"/>
      <c r="AS63" s="181"/>
      <c r="AT63" s="179"/>
      <c r="AU63" s="549"/>
      <c r="AV63" s="181"/>
      <c r="AW63" s="181"/>
      <c r="AX63" s="181"/>
      <c r="AY63" s="181"/>
      <c r="AZ63" s="181"/>
      <c r="BA63" s="181"/>
      <c r="BB63" s="181"/>
      <c r="BC63" s="181"/>
      <c r="BD63" s="181"/>
      <c r="BE63" s="181"/>
      <c r="BF63" s="181"/>
      <c r="BG63" s="181"/>
      <c r="BH63" s="181"/>
    </row>
    <row r="64">
      <c r="A64" s="179"/>
      <c r="B64" s="549"/>
      <c r="C64" s="181"/>
      <c r="D64" s="181"/>
      <c r="E64" s="181"/>
      <c r="F64" s="179"/>
      <c r="G64" s="549"/>
      <c r="H64" s="181"/>
      <c r="I64" s="181"/>
      <c r="J64" s="181"/>
      <c r="K64" s="156"/>
      <c r="L64" s="549"/>
      <c r="M64" s="181"/>
      <c r="N64" s="181"/>
      <c r="O64" s="181"/>
      <c r="P64" s="156"/>
      <c r="Q64" s="562"/>
      <c r="R64" s="181"/>
      <c r="S64" s="181"/>
      <c r="T64" s="181"/>
      <c r="U64" s="179"/>
      <c r="V64" s="549"/>
      <c r="W64" s="181"/>
      <c r="X64" s="181"/>
      <c r="Y64" s="181"/>
      <c r="Z64" s="179"/>
      <c r="AA64" s="549"/>
      <c r="AB64" s="181"/>
      <c r="AC64" s="181"/>
      <c r="AD64" s="181"/>
      <c r="AE64" s="179"/>
      <c r="AF64" s="549"/>
      <c r="AG64" s="181"/>
      <c r="AH64" s="181"/>
      <c r="AI64" s="181"/>
      <c r="AJ64" s="179"/>
      <c r="AK64" s="549"/>
      <c r="AL64" s="181"/>
      <c r="AM64" s="181"/>
      <c r="AN64" s="181"/>
      <c r="AO64" s="179"/>
      <c r="AP64" s="549"/>
      <c r="AQ64" s="181"/>
      <c r="AR64" s="181"/>
      <c r="AS64" s="181"/>
      <c r="AT64" s="179"/>
      <c r="AU64" s="549"/>
      <c r="AV64" s="181"/>
      <c r="AW64" s="181"/>
      <c r="AX64" s="181"/>
      <c r="AY64" s="181"/>
      <c r="AZ64" s="181"/>
      <c r="BA64" s="181"/>
      <c r="BB64" s="181"/>
      <c r="BC64" s="181"/>
      <c r="BD64" s="181"/>
      <c r="BE64" s="181"/>
      <c r="BF64" s="181"/>
      <c r="BG64" s="181"/>
      <c r="BH64" s="181"/>
    </row>
    <row r="65">
      <c r="A65" s="179"/>
      <c r="B65" s="549"/>
      <c r="C65" s="181"/>
      <c r="D65" s="181"/>
      <c r="E65" s="181"/>
      <c r="F65" s="179"/>
      <c r="G65" s="549"/>
      <c r="H65" s="181"/>
      <c r="I65" s="181"/>
      <c r="J65" s="181"/>
      <c r="K65" s="156"/>
      <c r="L65" s="549"/>
      <c r="M65" s="181"/>
      <c r="N65" s="181"/>
      <c r="O65" s="181"/>
      <c r="P65" s="156"/>
      <c r="Q65" s="562"/>
      <c r="R65" s="181"/>
      <c r="S65" s="181"/>
      <c r="T65" s="181"/>
      <c r="U65" s="179"/>
      <c r="V65" s="549"/>
      <c r="W65" s="181"/>
      <c r="X65" s="181"/>
      <c r="Y65" s="181"/>
      <c r="Z65" s="179"/>
      <c r="AA65" s="549"/>
      <c r="AB65" s="181"/>
      <c r="AC65" s="181"/>
      <c r="AD65" s="181"/>
      <c r="AE65" s="179"/>
      <c r="AF65" s="549"/>
      <c r="AG65" s="181"/>
      <c r="AH65" s="181"/>
      <c r="AI65" s="181"/>
      <c r="AJ65" s="179"/>
      <c r="AK65" s="549"/>
      <c r="AL65" s="181"/>
      <c r="AM65" s="181"/>
      <c r="AN65" s="181"/>
      <c r="AO65" s="179"/>
      <c r="AP65" s="549"/>
      <c r="AQ65" s="181"/>
      <c r="AR65" s="181"/>
      <c r="AS65" s="181"/>
      <c r="AT65" s="179"/>
      <c r="AU65" s="549"/>
      <c r="AV65" s="181"/>
      <c r="AW65" s="181"/>
      <c r="AX65" s="181"/>
      <c r="AY65" s="181"/>
      <c r="AZ65" s="181"/>
      <c r="BA65" s="181"/>
      <c r="BB65" s="181"/>
      <c r="BC65" s="181"/>
      <c r="BD65" s="181"/>
      <c r="BE65" s="181"/>
      <c r="BF65" s="181"/>
      <c r="BG65" s="181"/>
      <c r="BH65" s="181"/>
    </row>
    <row r="66">
      <c r="A66" s="179"/>
      <c r="B66" s="549"/>
      <c r="C66" s="181"/>
      <c r="D66" s="181"/>
      <c r="E66" s="181"/>
      <c r="F66" s="179"/>
      <c r="G66" s="549"/>
      <c r="H66" s="181"/>
      <c r="I66" s="181"/>
      <c r="J66" s="181"/>
      <c r="K66" s="156"/>
      <c r="L66" s="549"/>
      <c r="M66" s="181"/>
      <c r="N66" s="181"/>
      <c r="O66" s="181"/>
      <c r="P66" s="156"/>
      <c r="Q66" s="562"/>
      <c r="R66" s="181"/>
      <c r="S66" s="181"/>
      <c r="T66" s="181"/>
      <c r="U66" s="179"/>
      <c r="V66" s="549"/>
      <c r="W66" s="181"/>
      <c r="X66" s="181"/>
      <c r="Y66" s="181"/>
      <c r="Z66" s="179"/>
      <c r="AA66" s="549"/>
      <c r="AB66" s="181"/>
      <c r="AC66" s="181"/>
      <c r="AD66" s="181"/>
      <c r="AE66" s="179"/>
      <c r="AF66" s="549"/>
      <c r="AG66" s="181"/>
      <c r="AH66" s="181"/>
      <c r="AI66" s="181"/>
      <c r="AJ66" s="179"/>
      <c r="AK66" s="549"/>
      <c r="AL66" s="181"/>
      <c r="AM66" s="181"/>
      <c r="AN66" s="181"/>
      <c r="AO66" s="179"/>
      <c r="AP66" s="549"/>
      <c r="AQ66" s="181"/>
      <c r="AR66" s="181"/>
      <c r="AS66" s="181"/>
      <c r="AT66" s="179"/>
      <c r="AU66" s="549"/>
      <c r="AV66" s="181"/>
      <c r="AW66" s="181"/>
      <c r="AX66" s="181"/>
      <c r="AY66" s="181"/>
      <c r="AZ66" s="181"/>
      <c r="BA66" s="181"/>
      <c r="BB66" s="181"/>
      <c r="BC66" s="181"/>
      <c r="BD66" s="181"/>
      <c r="BE66" s="181"/>
      <c r="BF66" s="181"/>
      <c r="BG66" s="181"/>
      <c r="BH66" s="181"/>
    </row>
    <row r="67">
      <c r="A67" s="179"/>
      <c r="B67" s="549"/>
      <c r="C67" s="181"/>
      <c r="D67" s="181"/>
      <c r="E67" s="181"/>
      <c r="F67" s="179"/>
      <c r="G67" s="549"/>
      <c r="H67" s="181"/>
      <c r="I67" s="181"/>
      <c r="J67" s="181"/>
      <c r="K67" s="156"/>
      <c r="L67" s="549"/>
      <c r="M67" s="181"/>
      <c r="N67" s="181"/>
      <c r="O67" s="181"/>
      <c r="P67" s="156"/>
      <c r="Q67" s="562"/>
      <c r="R67" s="181"/>
      <c r="S67" s="181"/>
      <c r="T67" s="181"/>
      <c r="U67" s="179"/>
      <c r="V67" s="549"/>
      <c r="W67" s="181"/>
      <c r="X67" s="181"/>
      <c r="Y67" s="181"/>
      <c r="Z67" s="179"/>
      <c r="AA67" s="549"/>
      <c r="AB67" s="181"/>
      <c r="AC67" s="181"/>
      <c r="AD67" s="181"/>
      <c r="AE67" s="179"/>
      <c r="AF67" s="549"/>
      <c r="AG67" s="181"/>
      <c r="AH67" s="181"/>
      <c r="AI67" s="181"/>
      <c r="AJ67" s="179"/>
      <c r="AK67" s="549"/>
      <c r="AL67" s="181"/>
      <c r="AM67" s="181"/>
      <c r="AN67" s="181"/>
      <c r="AO67" s="179"/>
      <c r="AP67" s="549"/>
      <c r="AQ67" s="181"/>
      <c r="AR67" s="181"/>
      <c r="AS67" s="181"/>
      <c r="AT67" s="179"/>
      <c r="AU67" s="549"/>
      <c r="AV67" s="181"/>
      <c r="AW67" s="181"/>
      <c r="AX67" s="181"/>
      <c r="AY67" s="181"/>
      <c r="AZ67" s="181"/>
      <c r="BA67" s="181"/>
      <c r="BB67" s="181"/>
      <c r="BC67" s="181"/>
      <c r="BD67" s="181"/>
      <c r="BE67" s="181"/>
      <c r="BF67" s="181"/>
      <c r="BG67" s="181"/>
      <c r="BH67" s="181"/>
    </row>
    <row r="68">
      <c r="A68" s="179"/>
      <c r="B68" s="549"/>
      <c r="C68" s="181"/>
      <c r="D68" s="181"/>
      <c r="E68" s="181"/>
      <c r="F68" s="179"/>
      <c r="G68" s="549"/>
      <c r="H68" s="181"/>
      <c r="I68" s="181"/>
      <c r="J68" s="181"/>
      <c r="K68" s="156"/>
      <c r="L68" s="549"/>
      <c r="M68" s="181"/>
      <c r="N68" s="181"/>
      <c r="O68" s="181"/>
      <c r="P68" s="156"/>
      <c r="Q68" s="562"/>
      <c r="R68" s="181"/>
      <c r="S68" s="181"/>
      <c r="T68" s="181"/>
      <c r="U68" s="179"/>
      <c r="V68" s="549"/>
      <c r="W68" s="181"/>
      <c r="X68" s="181"/>
      <c r="Y68" s="181"/>
      <c r="Z68" s="179"/>
      <c r="AA68" s="549"/>
      <c r="AB68" s="181"/>
      <c r="AC68" s="181"/>
      <c r="AD68" s="181"/>
      <c r="AE68" s="179"/>
      <c r="AF68" s="549"/>
      <c r="AG68" s="181"/>
      <c r="AH68" s="181"/>
      <c r="AI68" s="181"/>
      <c r="AJ68" s="179"/>
      <c r="AK68" s="549"/>
      <c r="AL68" s="181"/>
      <c r="AM68" s="181"/>
      <c r="AN68" s="181"/>
      <c r="AO68" s="179"/>
      <c r="AP68" s="549"/>
      <c r="AQ68" s="181"/>
      <c r="AR68" s="181"/>
      <c r="AS68" s="181"/>
      <c r="AT68" s="179"/>
      <c r="AU68" s="549"/>
      <c r="AV68" s="181"/>
      <c r="AW68" s="181"/>
      <c r="AX68" s="181"/>
      <c r="AY68" s="181"/>
      <c r="AZ68" s="181"/>
      <c r="BA68" s="181"/>
      <c r="BB68" s="181"/>
      <c r="BC68" s="181"/>
      <c r="BD68" s="181"/>
      <c r="BE68" s="181"/>
      <c r="BF68" s="181"/>
      <c r="BG68" s="181"/>
      <c r="BH68" s="181"/>
    </row>
    <row r="69">
      <c r="A69" s="179"/>
      <c r="B69" s="549"/>
      <c r="C69" s="181"/>
      <c r="D69" s="181"/>
      <c r="E69" s="181"/>
      <c r="F69" s="179"/>
      <c r="G69" s="549"/>
      <c r="H69" s="181"/>
      <c r="I69" s="181"/>
      <c r="J69" s="181"/>
      <c r="K69" s="156"/>
      <c r="L69" s="549"/>
      <c r="M69" s="181"/>
      <c r="N69" s="181"/>
      <c r="O69" s="181"/>
      <c r="P69" s="156"/>
      <c r="Q69" s="562"/>
      <c r="R69" s="181"/>
      <c r="S69" s="181"/>
      <c r="T69" s="181"/>
      <c r="U69" s="179"/>
      <c r="V69" s="549"/>
      <c r="W69" s="181"/>
      <c r="X69" s="181"/>
      <c r="Y69" s="181"/>
      <c r="Z69" s="179"/>
      <c r="AA69" s="549"/>
      <c r="AB69" s="181"/>
      <c r="AC69" s="181"/>
      <c r="AD69" s="181"/>
      <c r="AE69" s="179"/>
      <c r="AF69" s="549"/>
      <c r="AG69" s="181"/>
      <c r="AH69" s="181"/>
      <c r="AI69" s="181"/>
      <c r="AJ69" s="179"/>
      <c r="AK69" s="549"/>
      <c r="AL69" s="181"/>
      <c r="AM69" s="181"/>
      <c r="AN69" s="181"/>
      <c r="AO69" s="179"/>
      <c r="AP69" s="549"/>
      <c r="AQ69" s="181"/>
      <c r="AR69" s="181"/>
      <c r="AS69" s="181"/>
      <c r="AT69" s="179"/>
      <c r="AU69" s="549"/>
      <c r="AV69" s="181"/>
      <c r="AW69" s="181"/>
      <c r="AX69" s="181"/>
      <c r="AY69" s="181"/>
      <c r="AZ69" s="181"/>
      <c r="BA69" s="181"/>
      <c r="BB69" s="181"/>
      <c r="BC69" s="181"/>
      <c r="BD69" s="181"/>
      <c r="BE69" s="181"/>
      <c r="BF69" s="181"/>
      <c r="BG69" s="181"/>
      <c r="BH69" s="181"/>
    </row>
    <row r="70">
      <c r="A70" s="179"/>
      <c r="B70" s="549"/>
      <c r="C70" s="181"/>
      <c r="D70" s="181"/>
      <c r="E70" s="181"/>
      <c r="F70" s="179"/>
      <c r="G70" s="549"/>
      <c r="H70" s="181"/>
      <c r="I70" s="181"/>
      <c r="J70" s="181"/>
      <c r="K70" s="156"/>
      <c r="L70" s="549"/>
      <c r="M70" s="181"/>
      <c r="N70" s="181"/>
      <c r="O70" s="181"/>
      <c r="P70" s="156"/>
      <c r="Q70" s="562"/>
      <c r="R70" s="181"/>
      <c r="S70" s="181"/>
      <c r="T70" s="181"/>
      <c r="U70" s="179"/>
      <c r="V70" s="549"/>
      <c r="W70" s="181"/>
      <c r="X70" s="181"/>
      <c r="Y70" s="181"/>
      <c r="Z70" s="179"/>
      <c r="AA70" s="549"/>
      <c r="AB70" s="181"/>
      <c r="AC70" s="181"/>
      <c r="AD70" s="181"/>
      <c r="AE70" s="179"/>
      <c r="AF70" s="549"/>
      <c r="AG70" s="181"/>
      <c r="AH70" s="181"/>
      <c r="AI70" s="181"/>
      <c r="AJ70" s="179"/>
      <c r="AK70" s="549"/>
      <c r="AL70" s="181"/>
      <c r="AM70" s="181"/>
      <c r="AN70" s="181"/>
      <c r="AO70" s="179"/>
      <c r="AP70" s="549"/>
      <c r="AQ70" s="181"/>
      <c r="AR70" s="181"/>
      <c r="AS70" s="181"/>
      <c r="AT70" s="179"/>
      <c r="AU70" s="549"/>
      <c r="AV70" s="181"/>
      <c r="AW70" s="181"/>
      <c r="AX70" s="181"/>
      <c r="AY70" s="181"/>
      <c r="AZ70" s="181"/>
      <c r="BA70" s="181"/>
      <c r="BB70" s="181"/>
      <c r="BC70" s="181"/>
      <c r="BD70" s="181"/>
      <c r="BE70" s="181"/>
      <c r="BF70" s="181"/>
      <c r="BG70" s="181"/>
      <c r="BH70" s="181"/>
    </row>
    <row r="71">
      <c r="A71" s="179"/>
      <c r="B71" s="549"/>
      <c r="C71" s="181"/>
      <c r="D71" s="181"/>
      <c r="E71" s="181"/>
      <c r="F71" s="179"/>
      <c r="G71" s="549"/>
      <c r="H71" s="181"/>
      <c r="I71" s="181"/>
      <c r="J71" s="181"/>
      <c r="K71" s="156"/>
      <c r="L71" s="549"/>
      <c r="M71" s="181"/>
      <c r="N71" s="181"/>
      <c r="O71" s="181"/>
      <c r="P71" s="156"/>
      <c r="Q71" s="562"/>
      <c r="R71" s="181"/>
      <c r="S71" s="181"/>
      <c r="T71" s="181"/>
      <c r="U71" s="179"/>
      <c r="V71" s="549"/>
      <c r="W71" s="181"/>
      <c r="X71" s="181"/>
      <c r="Y71" s="181"/>
      <c r="Z71" s="179"/>
      <c r="AA71" s="549"/>
      <c r="AB71" s="181"/>
      <c r="AC71" s="181"/>
      <c r="AD71" s="181"/>
      <c r="AE71" s="179"/>
      <c r="AF71" s="549"/>
      <c r="AG71" s="181"/>
      <c r="AH71" s="181"/>
      <c r="AI71" s="181"/>
      <c r="AJ71" s="179"/>
      <c r="AK71" s="549"/>
      <c r="AL71" s="181"/>
      <c r="AM71" s="181"/>
      <c r="AN71" s="181"/>
      <c r="AO71" s="179"/>
      <c r="AP71" s="549"/>
      <c r="AQ71" s="181"/>
      <c r="AR71" s="181"/>
      <c r="AS71" s="181"/>
      <c r="AT71" s="179"/>
      <c r="AU71" s="549"/>
      <c r="AV71" s="181"/>
      <c r="AW71" s="181"/>
      <c r="AX71" s="181"/>
      <c r="AY71" s="181"/>
      <c r="AZ71" s="181"/>
      <c r="BA71" s="181"/>
      <c r="BB71" s="181"/>
      <c r="BC71" s="181"/>
      <c r="BD71" s="181"/>
      <c r="BE71" s="181"/>
      <c r="BF71" s="181"/>
      <c r="BG71" s="181"/>
      <c r="BH71" s="181"/>
    </row>
    <row r="72">
      <c r="A72" s="179"/>
      <c r="B72" s="549"/>
      <c r="C72" s="181"/>
      <c r="D72" s="181"/>
      <c r="E72" s="181"/>
      <c r="F72" s="179"/>
      <c r="G72" s="549"/>
      <c r="H72" s="181"/>
      <c r="I72" s="181"/>
      <c r="J72" s="181"/>
      <c r="K72" s="156"/>
      <c r="L72" s="549"/>
      <c r="M72" s="181"/>
      <c r="N72" s="181"/>
      <c r="O72" s="181"/>
      <c r="P72" s="156"/>
      <c r="Q72" s="562"/>
      <c r="R72" s="181"/>
      <c r="S72" s="181"/>
      <c r="T72" s="181"/>
      <c r="U72" s="179"/>
      <c r="V72" s="549"/>
      <c r="W72" s="181"/>
      <c r="X72" s="181"/>
      <c r="Y72" s="181"/>
      <c r="Z72" s="179"/>
      <c r="AA72" s="549"/>
      <c r="AB72" s="181"/>
      <c r="AC72" s="181"/>
      <c r="AD72" s="181"/>
      <c r="AE72" s="179"/>
      <c r="AF72" s="549"/>
      <c r="AG72" s="181"/>
      <c r="AH72" s="181"/>
      <c r="AI72" s="181"/>
      <c r="AJ72" s="179"/>
      <c r="AK72" s="549"/>
      <c r="AL72" s="181"/>
      <c r="AM72" s="181"/>
      <c r="AN72" s="181"/>
      <c r="AO72" s="179"/>
      <c r="AP72" s="549"/>
      <c r="AQ72" s="181"/>
      <c r="AR72" s="181"/>
      <c r="AS72" s="181"/>
      <c r="AT72" s="179"/>
      <c r="AU72" s="549"/>
      <c r="AV72" s="181"/>
      <c r="AW72" s="181"/>
      <c r="AX72" s="181"/>
      <c r="AY72" s="181"/>
      <c r="AZ72" s="181"/>
      <c r="BA72" s="181"/>
      <c r="BB72" s="181"/>
      <c r="BC72" s="181"/>
      <c r="BD72" s="181"/>
      <c r="BE72" s="181"/>
      <c r="BF72" s="181"/>
      <c r="BG72" s="181"/>
      <c r="BH72" s="181"/>
    </row>
    <row r="73">
      <c r="A73" s="179"/>
      <c r="B73" s="549"/>
      <c r="C73" s="181"/>
      <c r="D73" s="181"/>
      <c r="E73" s="181"/>
      <c r="F73" s="179"/>
      <c r="G73" s="549"/>
      <c r="H73" s="181"/>
      <c r="I73" s="181"/>
      <c r="J73" s="181"/>
      <c r="K73" s="156"/>
      <c r="L73" s="549"/>
      <c r="M73" s="181"/>
      <c r="N73" s="181"/>
      <c r="O73" s="181"/>
      <c r="P73" s="156"/>
      <c r="Q73" s="562"/>
      <c r="R73" s="181"/>
      <c r="S73" s="181"/>
      <c r="T73" s="181"/>
      <c r="U73" s="179"/>
      <c r="V73" s="549"/>
      <c r="W73" s="181"/>
      <c r="X73" s="181"/>
      <c r="Y73" s="181"/>
      <c r="Z73" s="179"/>
      <c r="AA73" s="549"/>
      <c r="AB73" s="181"/>
      <c r="AC73" s="181"/>
      <c r="AD73" s="181"/>
      <c r="AE73" s="179"/>
      <c r="AF73" s="549"/>
      <c r="AG73" s="181"/>
      <c r="AH73" s="181"/>
      <c r="AI73" s="181"/>
      <c r="AJ73" s="179"/>
      <c r="AK73" s="549"/>
      <c r="AL73" s="181"/>
      <c r="AM73" s="181"/>
      <c r="AN73" s="181"/>
      <c r="AO73" s="179"/>
      <c r="AP73" s="549"/>
      <c r="AQ73" s="181"/>
      <c r="AR73" s="181"/>
      <c r="AS73" s="181"/>
      <c r="AT73" s="179"/>
      <c r="AU73" s="549"/>
      <c r="AV73" s="181"/>
      <c r="AW73" s="181"/>
      <c r="AX73" s="181"/>
      <c r="AY73" s="181"/>
      <c r="AZ73" s="181"/>
      <c r="BA73" s="181"/>
      <c r="BB73" s="181"/>
      <c r="BC73" s="181"/>
      <c r="BD73" s="181"/>
      <c r="BE73" s="181"/>
      <c r="BF73" s="181"/>
      <c r="BG73" s="181"/>
      <c r="BH73" s="181"/>
    </row>
    <row r="74">
      <c r="A74" s="179"/>
      <c r="B74" s="549"/>
      <c r="C74" s="181"/>
      <c r="D74" s="181"/>
      <c r="E74" s="181"/>
      <c r="F74" s="179"/>
      <c r="G74" s="549"/>
      <c r="H74" s="181"/>
      <c r="I74" s="181"/>
      <c r="J74" s="181"/>
      <c r="K74" s="156"/>
      <c r="L74" s="549"/>
      <c r="M74" s="181"/>
      <c r="N74" s="181"/>
      <c r="O74" s="181"/>
      <c r="P74" s="156"/>
      <c r="Q74" s="562"/>
      <c r="R74" s="181"/>
      <c r="S74" s="181"/>
      <c r="T74" s="181"/>
      <c r="U74" s="179"/>
      <c r="V74" s="549"/>
      <c r="W74" s="181"/>
      <c r="X74" s="181"/>
      <c r="Y74" s="181"/>
      <c r="Z74" s="179"/>
      <c r="AA74" s="549"/>
      <c r="AB74" s="181"/>
      <c r="AC74" s="181"/>
      <c r="AD74" s="181"/>
      <c r="AE74" s="179"/>
      <c r="AF74" s="549"/>
      <c r="AG74" s="181"/>
      <c r="AH74" s="181"/>
      <c r="AI74" s="181"/>
      <c r="AJ74" s="179"/>
      <c r="AK74" s="549"/>
      <c r="AL74" s="181"/>
      <c r="AM74" s="181"/>
      <c r="AN74" s="181"/>
      <c r="AO74" s="179"/>
      <c r="AP74" s="549"/>
      <c r="AQ74" s="181"/>
      <c r="AR74" s="181"/>
      <c r="AS74" s="181"/>
      <c r="AT74" s="179"/>
      <c r="AU74" s="549"/>
      <c r="AV74" s="181"/>
      <c r="AW74" s="181"/>
      <c r="AX74" s="181"/>
      <c r="AY74" s="181"/>
      <c r="AZ74" s="181"/>
      <c r="BA74" s="181"/>
      <c r="BB74" s="181"/>
      <c r="BC74" s="181"/>
      <c r="BD74" s="181"/>
      <c r="BE74" s="181"/>
      <c r="BF74" s="181"/>
      <c r="BG74" s="181"/>
      <c r="BH74" s="181"/>
    </row>
    <row r="75">
      <c r="A75" s="179"/>
      <c r="B75" s="549"/>
      <c r="C75" s="181"/>
      <c r="D75" s="181"/>
      <c r="E75" s="181"/>
      <c r="F75" s="179"/>
      <c r="G75" s="549"/>
      <c r="H75" s="181"/>
      <c r="I75" s="181"/>
      <c r="J75" s="181"/>
      <c r="K75" s="156"/>
      <c r="L75" s="549"/>
      <c r="M75" s="181"/>
      <c r="N75" s="181"/>
      <c r="O75" s="181"/>
      <c r="P75" s="156"/>
      <c r="Q75" s="562"/>
      <c r="R75" s="181"/>
      <c r="S75" s="181"/>
      <c r="T75" s="181"/>
      <c r="U75" s="179"/>
      <c r="V75" s="549"/>
      <c r="W75" s="181"/>
      <c r="X75" s="181"/>
      <c r="Y75" s="181"/>
      <c r="Z75" s="179"/>
      <c r="AA75" s="549"/>
      <c r="AB75" s="181"/>
      <c r="AC75" s="181"/>
      <c r="AD75" s="181"/>
      <c r="AE75" s="179"/>
      <c r="AF75" s="549"/>
      <c r="AG75" s="181"/>
      <c r="AH75" s="181"/>
      <c r="AI75" s="181"/>
      <c r="AJ75" s="179"/>
      <c r="AK75" s="549"/>
      <c r="AL75" s="181"/>
      <c r="AM75" s="181"/>
      <c r="AN75" s="181"/>
      <c r="AO75" s="179"/>
      <c r="AP75" s="549"/>
      <c r="AQ75" s="181"/>
      <c r="AR75" s="181"/>
      <c r="AS75" s="181"/>
      <c r="AT75" s="179"/>
      <c r="AU75" s="549"/>
      <c r="AV75" s="181"/>
      <c r="AW75" s="181"/>
      <c r="AX75" s="181"/>
      <c r="AY75" s="181"/>
      <c r="AZ75" s="181"/>
      <c r="BA75" s="181"/>
      <c r="BB75" s="181"/>
      <c r="BC75" s="181"/>
      <c r="BD75" s="181"/>
      <c r="BE75" s="181"/>
      <c r="BF75" s="181"/>
      <c r="BG75" s="181"/>
      <c r="BH75" s="181"/>
    </row>
    <row r="76">
      <c r="A76" s="179"/>
      <c r="B76" s="549"/>
      <c r="C76" s="181"/>
      <c r="D76" s="181"/>
      <c r="E76" s="181"/>
      <c r="F76" s="179"/>
      <c r="G76" s="549"/>
      <c r="H76" s="181"/>
      <c r="I76" s="181"/>
      <c r="J76" s="181"/>
      <c r="K76" s="156"/>
      <c r="L76" s="549"/>
      <c r="M76" s="181"/>
      <c r="N76" s="181"/>
      <c r="O76" s="181"/>
      <c r="P76" s="156"/>
      <c r="Q76" s="562"/>
      <c r="R76" s="181"/>
      <c r="S76" s="181"/>
      <c r="T76" s="181"/>
      <c r="U76" s="179"/>
      <c r="V76" s="549"/>
      <c r="W76" s="181"/>
      <c r="X76" s="181"/>
      <c r="Y76" s="181"/>
      <c r="Z76" s="179"/>
      <c r="AA76" s="549"/>
      <c r="AB76" s="181"/>
      <c r="AC76" s="181"/>
      <c r="AD76" s="181"/>
      <c r="AE76" s="179"/>
      <c r="AF76" s="549"/>
      <c r="AG76" s="181"/>
      <c r="AH76" s="181"/>
      <c r="AI76" s="181"/>
      <c r="AJ76" s="179"/>
      <c r="AK76" s="549"/>
      <c r="AL76" s="181"/>
      <c r="AM76" s="181"/>
      <c r="AN76" s="181"/>
      <c r="AO76" s="179"/>
      <c r="AP76" s="549"/>
      <c r="AQ76" s="181"/>
      <c r="AR76" s="181"/>
      <c r="AS76" s="181"/>
      <c r="AT76" s="179"/>
      <c r="AU76" s="549"/>
      <c r="AV76" s="181"/>
      <c r="AW76" s="181"/>
      <c r="AX76" s="181"/>
      <c r="AY76" s="181"/>
      <c r="AZ76" s="181"/>
      <c r="BA76" s="181"/>
      <c r="BB76" s="181"/>
      <c r="BC76" s="181"/>
      <c r="BD76" s="181"/>
      <c r="BE76" s="181"/>
      <c r="BF76" s="181"/>
      <c r="BG76" s="181"/>
      <c r="BH76" s="181"/>
    </row>
    <row r="77">
      <c r="A77" s="179"/>
      <c r="B77" s="549"/>
      <c r="C77" s="181"/>
      <c r="D77" s="181"/>
      <c r="E77" s="181"/>
      <c r="F77" s="179"/>
      <c r="G77" s="549"/>
      <c r="H77" s="181"/>
      <c r="I77" s="181"/>
      <c r="J77" s="181"/>
      <c r="K77" s="156"/>
      <c r="L77" s="549"/>
      <c r="M77" s="181"/>
      <c r="N77" s="181"/>
      <c r="O77" s="181"/>
      <c r="P77" s="156"/>
      <c r="Q77" s="562"/>
      <c r="R77" s="181"/>
      <c r="S77" s="181"/>
      <c r="T77" s="181"/>
      <c r="U77" s="179"/>
      <c r="V77" s="549"/>
      <c r="W77" s="181"/>
      <c r="X77" s="181"/>
      <c r="Y77" s="181"/>
      <c r="Z77" s="179"/>
      <c r="AA77" s="549"/>
      <c r="AB77" s="181"/>
      <c r="AC77" s="181"/>
      <c r="AD77" s="181"/>
      <c r="AE77" s="179"/>
      <c r="AF77" s="549"/>
      <c r="AG77" s="181"/>
      <c r="AH77" s="181"/>
      <c r="AI77" s="181"/>
      <c r="AJ77" s="179"/>
      <c r="AK77" s="549"/>
      <c r="AL77" s="181"/>
      <c r="AM77" s="181"/>
      <c r="AN77" s="181"/>
      <c r="AO77" s="179"/>
      <c r="AP77" s="549"/>
      <c r="AQ77" s="181"/>
      <c r="AR77" s="181"/>
      <c r="AS77" s="181"/>
      <c r="AT77" s="179"/>
      <c r="AU77" s="549"/>
      <c r="AV77" s="181"/>
      <c r="AW77" s="181"/>
      <c r="AX77" s="181"/>
      <c r="AY77" s="181"/>
      <c r="AZ77" s="181"/>
      <c r="BA77" s="181"/>
      <c r="BB77" s="181"/>
      <c r="BC77" s="181"/>
      <c r="BD77" s="181"/>
      <c r="BE77" s="181"/>
      <c r="BF77" s="181"/>
      <c r="BG77" s="181"/>
      <c r="BH77" s="181"/>
    </row>
    <row r="78">
      <c r="A78" s="179"/>
      <c r="B78" s="549"/>
      <c r="C78" s="181"/>
      <c r="D78" s="181"/>
      <c r="E78" s="181"/>
      <c r="F78" s="179"/>
      <c r="G78" s="549"/>
      <c r="H78" s="181"/>
      <c r="I78" s="181"/>
      <c r="J78" s="181"/>
      <c r="K78" s="156"/>
      <c r="L78" s="549"/>
      <c r="M78" s="181"/>
      <c r="N78" s="181"/>
      <c r="O78" s="181"/>
      <c r="P78" s="156"/>
      <c r="Q78" s="562"/>
      <c r="R78" s="181"/>
      <c r="S78" s="181"/>
      <c r="T78" s="181"/>
      <c r="U78" s="179"/>
      <c r="V78" s="549"/>
      <c r="W78" s="181"/>
      <c r="X78" s="181"/>
      <c r="Y78" s="181"/>
      <c r="Z78" s="179"/>
      <c r="AA78" s="549"/>
      <c r="AB78" s="181"/>
      <c r="AC78" s="181"/>
      <c r="AD78" s="181"/>
      <c r="AE78" s="179"/>
      <c r="AF78" s="549"/>
      <c r="AG78" s="181"/>
      <c r="AH78" s="181"/>
      <c r="AI78" s="181"/>
      <c r="AJ78" s="179"/>
      <c r="AK78" s="549"/>
      <c r="AL78" s="181"/>
      <c r="AM78" s="181"/>
      <c r="AN78" s="181"/>
      <c r="AO78" s="179"/>
      <c r="AP78" s="549"/>
      <c r="AQ78" s="181"/>
      <c r="AR78" s="181"/>
      <c r="AS78" s="181"/>
      <c r="AT78" s="179"/>
      <c r="AU78" s="549"/>
      <c r="AV78" s="181"/>
      <c r="AW78" s="181"/>
      <c r="AX78" s="181"/>
      <c r="AY78" s="181"/>
      <c r="AZ78" s="181"/>
      <c r="BA78" s="181"/>
      <c r="BB78" s="181"/>
      <c r="BC78" s="181"/>
      <c r="BD78" s="181"/>
      <c r="BE78" s="181"/>
      <c r="BF78" s="181"/>
      <c r="BG78" s="181"/>
      <c r="BH78" s="181"/>
    </row>
    <row r="79">
      <c r="A79" s="179"/>
      <c r="B79" s="549"/>
      <c r="C79" s="181"/>
      <c r="D79" s="181"/>
      <c r="E79" s="181"/>
      <c r="F79" s="179"/>
      <c r="G79" s="549"/>
      <c r="H79" s="181"/>
      <c r="I79" s="181"/>
      <c r="J79" s="181"/>
      <c r="K79" s="156"/>
      <c r="L79" s="549"/>
      <c r="M79" s="181"/>
      <c r="N79" s="181"/>
      <c r="O79" s="181"/>
      <c r="P79" s="156"/>
      <c r="Q79" s="562"/>
      <c r="R79" s="181"/>
      <c r="S79" s="181"/>
      <c r="T79" s="181"/>
      <c r="U79" s="179"/>
      <c r="V79" s="549"/>
      <c r="W79" s="181"/>
      <c r="X79" s="181"/>
      <c r="Y79" s="181"/>
      <c r="Z79" s="179"/>
      <c r="AA79" s="549"/>
      <c r="AB79" s="181"/>
      <c r="AC79" s="181"/>
      <c r="AD79" s="181"/>
      <c r="AE79" s="179"/>
      <c r="AF79" s="549"/>
      <c r="AG79" s="181"/>
      <c r="AH79" s="181"/>
      <c r="AI79" s="181"/>
      <c r="AJ79" s="179"/>
      <c r="AK79" s="549"/>
      <c r="AL79" s="181"/>
      <c r="AM79" s="181"/>
      <c r="AN79" s="181"/>
      <c r="AO79" s="179"/>
      <c r="AP79" s="549"/>
      <c r="AQ79" s="181"/>
      <c r="AR79" s="181"/>
      <c r="AS79" s="181"/>
      <c r="AT79" s="179"/>
      <c r="AU79" s="549"/>
      <c r="AV79" s="181"/>
      <c r="AW79" s="181"/>
      <c r="AX79" s="181"/>
      <c r="AY79" s="181"/>
      <c r="AZ79" s="181"/>
      <c r="BA79" s="181"/>
      <c r="BB79" s="181"/>
      <c r="BC79" s="181"/>
      <c r="BD79" s="181"/>
      <c r="BE79" s="181"/>
      <c r="BF79" s="181"/>
      <c r="BG79" s="181"/>
      <c r="BH79" s="181"/>
    </row>
    <row r="80">
      <c r="A80" s="179"/>
      <c r="B80" s="549"/>
      <c r="C80" s="181"/>
      <c r="D80" s="181"/>
      <c r="E80" s="181"/>
      <c r="F80" s="179"/>
      <c r="G80" s="549"/>
      <c r="H80" s="181"/>
      <c r="I80" s="181"/>
      <c r="J80" s="181"/>
      <c r="K80" s="156"/>
      <c r="L80" s="549"/>
      <c r="M80" s="181"/>
      <c r="N80" s="181"/>
      <c r="O80" s="181"/>
      <c r="P80" s="156"/>
      <c r="Q80" s="562"/>
      <c r="R80" s="181"/>
      <c r="S80" s="181"/>
      <c r="T80" s="181"/>
      <c r="U80" s="179"/>
      <c r="V80" s="549"/>
      <c r="W80" s="181"/>
      <c r="X80" s="181"/>
      <c r="Y80" s="181"/>
      <c r="Z80" s="179"/>
      <c r="AA80" s="549"/>
      <c r="AB80" s="181"/>
      <c r="AC80" s="181"/>
      <c r="AD80" s="181"/>
      <c r="AE80" s="179"/>
      <c r="AF80" s="549"/>
      <c r="AG80" s="181"/>
      <c r="AH80" s="181"/>
      <c r="AI80" s="181"/>
      <c r="AJ80" s="179"/>
      <c r="AK80" s="549"/>
      <c r="AL80" s="181"/>
      <c r="AM80" s="181"/>
      <c r="AN80" s="181"/>
      <c r="AO80" s="179"/>
      <c r="AP80" s="549"/>
      <c r="AQ80" s="181"/>
      <c r="AR80" s="181"/>
      <c r="AS80" s="181"/>
      <c r="AT80" s="179"/>
      <c r="AU80" s="549"/>
      <c r="AV80" s="181"/>
      <c r="AW80" s="181"/>
      <c r="AX80" s="181"/>
      <c r="AY80" s="181"/>
      <c r="AZ80" s="181"/>
      <c r="BA80" s="181"/>
      <c r="BB80" s="181"/>
      <c r="BC80" s="181"/>
      <c r="BD80" s="181"/>
      <c r="BE80" s="181"/>
      <c r="BF80" s="181"/>
      <c r="BG80" s="181"/>
      <c r="BH80" s="181"/>
    </row>
    <row r="81">
      <c r="A81" s="179"/>
      <c r="B81" s="549"/>
      <c r="C81" s="181"/>
      <c r="D81" s="181"/>
      <c r="E81" s="181"/>
      <c r="F81" s="179"/>
      <c r="G81" s="549"/>
      <c r="H81" s="181"/>
      <c r="I81" s="181"/>
      <c r="J81" s="181"/>
      <c r="K81" s="156"/>
      <c r="L81" s="549"/>
      <c r="M81" s="181"/>
      <c r="N81" s="181"/>
      <c r="O81" s="181"/>
      <c r="P81" s="156"/>
      <c r="Q81" s="562"/>
      <c r="R81" s="181"/>
      <c r="S81" s="181"/>
      <c r="T81" s="181"/>
      <c r="U81" s="179"/>
      <c r="V81" s="549"/>
      <c r="W81" s="181"/>
      <c r="X81" s="181"/>
      <c r="Y81" s="181"/>
      <c r="Z81" s="179"/>
      <c r="AA81" s="549"/>
      <c r="AB81" s="181"/>
      <c r="AC81" s="181"/>
      <c r="AD81" s="181"/>
      <c r="AE81" s="179"/>
      <c r="AF81" s="549"/>
      <c r="AG81" s="181"/>
      <c r="AH81" s="181"/>
      <c r="AI81" s="181"/>
      <c r="AJ81" s="179"/>
      <c r="AK81" s="549"/>
      <c r="AL81" s="181"/>
      <c r="AM81" s="181"/>
      <c r="AN81" s="181"/>
      <c r="AO81" s="179"/>
      <c r="AP81" s="549"/>
      <c r="AQ81" s="181"/>
      <c r="AR81" s="181"/>
      <c r="AS81" s="181"/>
      <c r="AT81" s="179"/>
      <c r="AU81" s="549"/>
      <c r="AV81" s="181"/>
      <c r="AW81" s="181"/>
      <c r="AX81" s="181"/>
      <c r="AY81" s="181"/>
      <c r="AZ81" s="181"/>
      <c r="BA81" s="181"/>
      <c r="BB81" s="181"/>
      <c r="BC81" s="181"/>
      <c r="BD81" s="181"/>
      <c r="BE81" s="181"/>
      <c r="BF81" s="181"/>
      <c r="BG81" s="181"/>
      <c r="BH81" s="181"/>
    </row>
    <row r="82">
      <c r="A82" s="179"/>
      <c r="B82" s="549"/>
      <c r="C82" s="181"/>
      <c r="D82" s="181"/>
      <c r="E82" s="181"/>
      <c r="F82" s="179"/>
      <c r="G82" s="549"/>
      <c r="H82" s="181"/>
      <c r="I82" s="181"/>
      <c r="J82" s="181"/>
      <c r="K82" s="156"/>
      <c r="L82" s="549"/>
      <c r="M82" s="181"/>
      <c r="N82" s="181"/>
      <c r="O82" s="181"/>
      <c r="P82" s="156"/>
      <c r="Q82" s="562"/>
      <c r="R82" s="181"/>
      <c r="S82" s="181"/>
      <c r="T82" s="181"/>
      <c r="U82" s="179"/>
      <c r="V82" s="549"/>
      <c r="W82" s="181"/>
      <c r="X82" s="181"/>
      <c r="Y82" s="181"/>
      <c r="Z82" s="179"/>
      <c r="AA82" s="549"/>
      <c r="AB82" s="181"/>
      <c r="AC82" s="181"/>
      <c r="AD82" s="181"/>
      <c r="AE82" s="179"/>
      <c r="AF82" s="549"/>
      <c r="AG82" s="181"/>
      <c r="AH82" s="181"/>
      <c r="AI82" s="181"/>
      <c r="AJ82" s="179"/>
      <c r="AK82" s="549"/>
      <c r="AL82" s="181"/>
      <c r="AM82" s="181"/>
      <c r="AN82" s="181"/>
      <c r="AO82" s="179"/>
      <c r="AP82" s="549"/>
      <c r="AQ82" s="181"/>
      <c r="AR82" s="181"/>
      <c r="AS82" s="181"/>
      <c r="AT82" s="179"/>
      <c r="AU82" s="549"/>
      <c r="AV82" s="181"/>
      <c r="AW82" s="181"/>
      <c r="AX82" s="181"/>
      <c r="AY82" s="181"/>
      <c r="AZ82" s="181"/>
      <c r="BA82" s="181"/>
      <c r="BB82" s="181"/>
      <c r="BC82" s="181"/>
      <c r="BD82" s="181"/>
      <c r="BE82" s="181"/>
      <c r="BF82" s="181"/>
      <c r="BG82" s="181"/>
      <c r="BH82" s="181"/>
    </row>
    <row r="83">
      <c r="A83" s="179"/>
      <c r="B83" s="549"/>
      <c r="C83" s="181"/>
      <c r="D83" s="181"/>
      <c r="E83" s="181"/>
      <c r="F83" s="179"/>
      <c r="G83" s="549"/>
      <c r="H83" s="181"/>
      <c r="I83" s="181"/>
      <c r="J83" s="181"/>
      <c r="K83" s="156"/>
      <c r="L83" s="549"/>
      <c r="M83" s="181"/>
      <c r="N83" s="181"/>
      <c r="O83" s="181"/>
      <c r="P83" s="156"/>
      <c r="Q83" s="562"/>
      <c r="R83" s="181"/>
      <c r="S83" s="181"/>
      <c r="T83" s="181"/>
      <c r="U83" s="179"/>
      <c r="V83" s="549"/>
      <c r="W83" s="181"/>
      <c r="X83" s="181"/>
      <c r="Y83" s="181"/>
      <c r="Z83" s="179"/>
      <c r="AA83" s="549"/>
      <c r="AB83" s="181"/>
      <c r="AC83" s="181"/>
      <c r="AD83" s="181"/>
      <c r="AE83" s="179"/>
      <c r="AF83" s="549"/>
      <c r="AG83" s="181"/>
      <c r="AH83" s="181"/>
      <c r="AI83" s="181"/>
      <c r="AJ83" s="179"/>
      <c r="AK83" s="549"/>
      <c r="AL83" s="181"/>
      <c r="AM83" s="181"/>
      <c r="AN83" s="181"/>
      <c r="AO83" s="179"/>
      <c r="AP83" s="549"/>
      <c r="AQ83" s="181"/>
      <c r="AR83" s="181"/>
      <c r="AS83" s="181"/>
      <c r="AT83" s="179"/>
      <c r="AU83" s="549"/>
      <c r="AV83" s="181"/>
      <c r="AW83" s="181"/>
      <c r="AX83" s="181"/>
      <c r="AY83" s="181"/>
      <c r="AZ83" s="181"/>
      <c r="BA83" s="181"/>
      <c r="BB83" s="181"/>
      <c r="BC83" s="181"/>
      <c r="BD83" s="181"/>
      <c r="BE83" s="181"/>
      <c r="BF83" s="181"/>
      <c r="BG83" s="181"/>
      <c r="BH83" s="181"/>
    </row>
    <row r="84">
      <c r="A84" s="179"/>
      <c r="B84" s="549"/>
      <c r="C84" s="181"/>
      <c r="D84" s="181"/>
      <c r="E84" s="181"/>
      <c r="F84" s="179"/>
      <c r="G84" s="549"/>
      <c r="H84" s="181"/>
      <c r="I84" s="181"/>
      <c r="J84" s="181"/>
      <c r="K84" s="156"/>
      <c r="L84" s="549"/>
      <c r="M84" s="181"/>
      <c r="N84" s="181"/>
      <c r="O84" s="181"/>
      <c r="P84" s="156"/>
      <c r="Q84" s="562"/>
      <c r="R84" s="181"/>
      <c r="S84" s="181"/>
      <c r="T84" s="181"/>
      <c r="U84" s="179"/>
      <c r="V84" s="549"/>
      <c r="W84" s="181"/>
      <c r="X84" s="181"/>
      <c r="Y84" s="181"/>
      <c r="Z84" s="179"/>
      <c r="AA84" s="549"/>
      <c r="AB84" s="181"/>
      <c r="AC84" s="181"/>
      <c r="AD84" s="181"/>
      <c r="AE84" s="179"/>
      <c r="AF84" s="549"/>
      <c r="AG84" s="181"/>
      <c r="AH84" s="181"/>
      <c r="AI84" s="181"/>
      <c r="AJ84" s="179"/>
      <c r="AK84" s="549"/>
      <c r="AL84" s="181"/>
      <c r="AM84" s="181"/>
      <c r="AN84" s="181"/>
      <c r="AO84" s="179"/>
      <c r="AP84" s="549"/>
      <c r="AQ84" s="181"/>
      <c r="AR84" s="181"/>
      <c r="AS84" s="181"/>
      <c r="AT84" s="179"/>
      <c r="AU84" s="549"/>
      <c r="AV84" s="181"/>
      <c r="AW84" s="181"/>
      <c r="AX84" s="181"/>
      <c r="AY84" s="181"/>
      <c r="AZ84" s="181"/>
      <c r="BA84" s="181"/>
      <c r="BB84" s="181"/>
      <c r="BC84" s="181"/>
      <c r="BD84" s="181"/>
      <c r="BE84" s="181"/>
      <c r="BF84" s="181"/>
      <c r="BG84" s="181"/>
      <c r="BH84" s="181"/>
    </row>
    <row r="85">
      <c r="A85" s="179"/>
      <c r="B85" s="549"/>
      <c r="C85" s="181"/>
      <c r="D85" s="181"/>
      <c r="E85" s="181"/>
      <c r="F85" s="179"/>
      <c r="G85" s="549"/>
      <c r="H85" s="181"/>
      <c r="I85" s="181"/>
      <c r="J85" s="181"/>
      <c r="K85" s="156"/>
      <c r="L85" s="549"/>
      <c r="M85" s="181"/>
      <c r="N85" s="181"/>
      <c r="O85" s="181"/>
      <c r="P85" s="156"/>
      <c r="Q85" s="562"/>
      <c r="R85" s="181"/>
      <c r="S85" s="181"/>
      <c r="T85" s="181"/>
      <c r="U85" s="179"/>
      <c r="V85" s="549"/>
      <c r="W85" s="181"/>
      <c r="X85" s="181"/>
      <c r="Y85" s="181"/>
      <c r="Z85" s="179"/>
      <c r="AA85" s="549"/>
      <c r="AB85" s="181"/>
      <c r="AC85" s="181"/>
      <c r="AD85" s="181"/>
      <c r="AE85" s="179"/>
      <c r="AF85" s="549"/>
      <c r="AG85" s="181"/>
      <c r="AH85" s="181"/>
      <c r="AI85" s="181"/>
      <c r="AJ85" s="179"/>
      <c r="AK85" s="549"/>
      <c r="AL85" s="181"/>
      <c r="AM85" s="181"/>
      <c r="AN85" s="181"/>
      <c r="AO85" s="179"/>
      <c r="AP85" s="549"/>
      <c r="AQ85" s="181"/>
      <c r="AR85" s="181"/>
      <c r="AS85" s="181"/>
      <c r="AT85" s="179"/>
      <c r="AU85" s="549"/>
      <c r="AV85" s="181"/>
      <c r="AW85" s="181"/>
      <c r="AX85" s="181"/>
      <c r="AY85" s="181"/>
      <c r="AZ85" s="181"/>
      <c r="BA85" s="181"/>
      <c r="BB85" s="181"/>
      <c r="BC85" s="181"/>
      <c r="BD85" s="181"/>
      <c r="BE85" s="181"/>
      <c r="BF85" s="181"/>
      <c r="BG85" s="181"/>
      <c r="BH85" s="181"/>
    </row>
    <row r="86">
      <c r="A86" s="179"/>
      <c r="B86" s="549"/>
      <c r="C86" s="181"/>
      <c r="D86" s="181"/>
      <c r="E86" s="181"/>
      <c r="F86" s="179"/>
      <c r="G86" s="549"/>
      <c r="H86" s="181"/>
      <c r="I86" s="181"/>
      <c r="J86" s="181"/>
      <c r="K86" s="156"/>
      <c r="L86" s="549"/>
      <c r="M86" s="181"/>
      <c r="N86" s="181"/>
      <c r="O86" s="181"/>
      <c r="P86" s="156"/>
      <c r="Q86" s="562"/>
      <c r="R86" s="181"/>
      <c r="S86" s="181"/>
      <c r="T86" s="181"/>
      <c r="U86" s="179"/>
      <c r="V86" s="549"/>
      <c r="W86" s="181"/>
      <c r="X86" s="181"/>
      <c r="Y86" s="181"/>
      <c r="Z86" s="179"/>
      <c r="AA86" s="549"/>
      <c r="AB86" s="181"/>
      <c r="AC86" s="181"/>
      <c r="AD86" s="181"/>
      <c r="AE86" s="179"/>
      <c r="AF86" s="549"/>
      <c r="AG86" s="181"/>
      <c r="AH86" s="181"/>
      <c r="AI86" s="181"/>
      <c r="AJ86" s="179"/>
      <c r="AK86" s="549"/>
      <c r="AL86" s="181"/>
      <c r="AM86" s="181"/>
      <c r="AN86" s="181"/>
      <c r="AO86" s="179"/>
      <c r="AP86" s="549"/>
      <c r="AQ86" s="181"/>
      <c r="AR86" s="181"/>
      <c r="AS86" s="181"/>
      <c r="AT86" s="179"/>
      <c r="AU86" s="549"/>
      <c r="AV86" s="181"/>
      <c r="AW86" s="181"/>
      <c r="AX86" s="181"/>
      <c r="AY86" s="181"/>
      <c r="AZ86" s="181"/>
      <c r="BA86" s="181"/>
      <c r="BB86" s="181"/>
      <c r="BC86" s="181"/>
      <c r="BD86" s="181"/>
      <c r="BE86" s="181"/>
      <c r="BF86" s="181"/>
      <c r="BG86" s="181"/>
      <c r="BH86" s="181"/>
    </row>
    <row r="87">
      <c r="A87" s="179"/>
      <c r="B87" s="549"/>
      <c r="C87" s="181"/>
      <c r="D87" s="181"/>
      <c r="E87" s="181"/>
      <c r="F87" s="179"/>
      <c r="G87" s="549"/>
      <c r="H87" s="181"/>
      <c r="I87" s="181"/>
      <c r="J87" s="181"/>
      <c r="K87" s="156"/>
      <c r="L87" s="549"/>
      <c r="M87" s="181"/>
      <c r="N87" s="181"/>
      <c r="O87" s="181"/>
      <c r="P87" s="156"/>
      <c r="Q87" s="562"/>
      <c r="R87" s="181"/>
      <c r="S87" s="181"/>
      <c r="T87" s="181"/>
      <c r="U87" s="179"/>
      <c r="V87" s="549"/>
      <c r="W87" s="181"/>
      <c r="X87" s="181"/>
      <c r="Y87" s="181"/>
      <c r="Z87" s="179"/>
      <c r="AA87" s="549"/>
      <c r="AB87" s="181"/>
      <c r="AC87" s="181"/>
      <c r="AD87" s="181"/>
      <c r="AE87" s="179"/>
      <c r="AF87" s="549"/>
      <c r="AG87" s="181"/>
      <c r="AH87" s="181"/>
      <c r="AI87" s="181"/>
      <c r="AJ87" s="179"/>
      <c r="AK87" s="549"/>
      <c r="AL87" s="181"/>
      <c r="AM87" s="181"/>
      <c r="AN87" s="181"/>
      <c r="AO87" s="179"/>
      <c r="AP87" s="549"/>
      <c r="AQ87" s="181"/>
      <c r="AR87" s="181"/>
      <c r="AS87" s="181"/>
      <c r="AT87" s="179"/>
      <c r="AU87" s="549"/>
      <c r="AV87" s="181"/>
      <c r="AW87" s="181"/>
      <c r="AX87" s="181"/>
      <c r="AY87" s="181"/>
      <c r="AZ87" s="181"/>
      <c r="BA87" s="181"/>
      <c r="BB87" s="181"/>
      <c r="BC87" s="181"/>
      <c r="BD87" s="181"/>
      <c r="BE87" s="181"/>
      <c r="BF87" s="181"/>
      <c r="BG87" s="181"/>
      <c r="BH87" s="181"/>
    </row>
    <row r="88">
      <c r="A88" s="179"/>
      <c r="B88" s="549"/>
      <c r="C88" s="181"/>
      <c r="D88" s="181"/>
      <c r="E88" s="181"/>
      <c r="F88" s="179"/>
      <c r="G88" s="549"/>
      <c r="H88" s="181"/>
      <c r="I88" s="181"/>
      <c r="J88" s="181"/>
      <c r="K88" s="156"/>
      <c r="L88" s="549"/>
      <c r="M88" s="181"/>
      <c r="N88" s="181"/>
      <c r="O88" s="181"/>
      <c r="P88" s="156"/>
      <c r="Q88" s="562"/>
      <c r="R88" s="181"/>
      <c r="S88" s="181"/>
      <c r="T88" s="181"/>
      <c r="U88" s="179"/>
      <c r="V88" s="549"/>
      <c r="W88" s="181"/>
      <c r="X88" s="181"/>
      <c r="Y88" s="181"/>
      <c r="Z88" s="179"/>
      <c r="AA88" s="549"/>
      <c r="AB88" s="181"/>
      <c r="AC88" s="181"/>
      <c r="AD88" s="181"/>
      <c r="AE88" s="179"/>
      <c r="AF88" s="549"/>
      <c r="AG88" s="181"/>
      <c r="AH88" s="181"/>
      <c r="AI88" s="181"/>
      <c r="AJ88" s="179"/>
      <c r="AK88" s="549"/>
      <c r="AL88" s="181"/>
      <c r="AM88" s="181"/>
      <c r="AN88" s="181"/>
      <c r="AO88" s="179"/>
      <c r="AP88" s="549"/>
      <c r="AQ88" s="181"/>
      <c r="AR88" s="181"/>
      <c r="AS88" s="181"/>
      <c r="AT88" s="179"/>
      <c r="AU88" s="549"/>
      <c r="AV88" s="181"/>
      <c r="AW88" s="181"/>
      <c r="AX88" s="181"/>
      <c r="AY88" s="181"/>
      <c r="AZ88" s="181"/>
      <c r="BA88" s="181"/>
      <c r="BB88" s="181"/>
      <c r="BC88" s="181"/>
      <c r="BD88" s="181"/>
      <c r="BE88" s="181"/>
      <c r="BF88" s="181"/>
      <c r="BG88" s="181"/>
      <c r="BH88" s="181"/>
    </row>
    <row r="89">
      <c r="A89" s="179"/>
      <c r="B89" s="549"/>
      <c r="C89" s="181"/>
      <c r="D89" s="181"/>
      <c r="E89" s="181"/>
      <c r="F89" s="179"/>
      <c r="G89" s="549"/>
      <c r="H89" s="181"/>
      <c r="I89" s="181"/>
      <c r="J89" s="181"/>
      <c r="K89" s="156"/>
      <c r="L89" s="549"/>
      <c r="M89" s="181"/>
      <c r="N89" s="181"/>
      <c r="O89" s="181"/>
      <c r="P89" s="156"/>
      <c r="Q89" s="562"/>
      <c r="R89" s="181"/>
      <c r="S89" s="181"/>
      <c r="T89" s="181"/>
      <c r="U89" s="179"/>
      <c r="V89" s="549"/>
      <c r="W89" s="181"/>
      <c r="X89" s="181"/>
      <c r="Y89" s="181"/>
      <c r="Z89" s="179"/>
      <c r="AA89" s="549"/>
      <c r="AB89" s="181"/>
      <c r="AC89" s="181"/>
      <c r="AD89" s="181"/>
      <c r="AE89" s="179"/>
      <c r="AF89" s="549"/>
      <c r="AG89" s="181"/>
      <c r="AH89" s="181"/>
      <c r="AI89" s="181"/>
      <c r="AJ89" s="179"/>
      <c r="AK89" s="549"/>
      <c r="AL89" s="181"/>
      <c r="AM89" s="181"/>
      <c r="AN89" s="181"/>
      <c r="AO89" s="179"/>
      <c r="AP89" s="549"/>
      <c r="AQ89" s="181"/>
      <c r="AR89" s="181"/>
      <c r="AS89" s="181"/>
      <c r="AT89" s="179"/>
      <c r="AU89" s="549"/>
      <c r="AV89" s="181"/>
      <c r="AW89" s="181"/>
      <c r="AX89" s="181"/>
      <c r="AY89" s="181"/>
      <c r="AZ89" s="181"/>
      <c r="BA89" s="181"/>
      <c r="BB89" s="181"/>
      <c r="BC89" s="181"/>
      <c r="BD89" s="181"/>
      <c r="BE89" s="181"/>
      <c r="BF89" s="181"/>
      <c r="BG89" s="181"/>
      <c r="BH89" s="181"/>
    </row>
    <row r="90">
      <c r="A90" s="179"/>
      <c r="B90" s="549"/>
      <c r="C90" s="181"/>
      <c r="D90" s="181"/>
      <c r="E90" s="181"/>
      <c r="F90" s="179"/>
      <c r="G90" s="549"/>
      <c r="H90" s="181"/>
      <c r="I90" s="181"/>
      <c r="J90" s="181"/>
      <c r="K90" s="156"/>
      <c r="L90" s="549"/>
      <c r="M90" s="181"/>
      <c r="N90" s="181"/>
      <c r="O90" s="181"/>
      <c r="P90" s="156"/>
      <c r="Q90" s="562"/>
      <c r="R90" s="181"/>
      <c r="S90" s="181"/>
      <c r="T90" s="181"/>
      <c r="U90" s="179"/>
      <c r="V90" s="549"/>
      <c r="W90" s="181"/>
      <c r="X90" s="181"/>
      <c r="Y90" s="181"/>
      <c r="Z90" s="179"/>
      <c r="AA90" s="549"/>
      <c r="AB90" s="181"/>
      <c r="AC90" s="181"/>
      <c r="AD90" s="181"/>
      <c r="AE90" s="179"/>
      <c r="AF90" s="549"/>
      <c r="AG90" s="181"/>
      <c r="AH90" s="181"/>
      <c r="AI90" s="181"/>
      <c r="AJ90" s="179"/>
      <c r="AK90" s="549"/>
      <c r="AL90" s="181"/>
      <c r="AM90" s="181"/>
      <c r="AN90" s="181"/>
      <c r="AO90" s="179"/>
      <c r="AP90" s="549"/>
      <c r="AQ90" s="181"/>
      <c r="AR90" s="181"/>
      <c r="AS90" s="181"/>
      <c r="AT90" s="179"/>
      <c r="AU90" s="549"/>
      <c r="AV90" s="181"/>
      <c r="AW90" s="181"/>
      <c r="AX90" s="181"/>
      <c r="AY90" s="181"/>
      <c r="AZ90" s="181"/>
      <c r="BA90" s="181"/>
      <c r="BB90" s="181"/>
      <c r="BC90" s="181"/>
      <c r="BD90" s="181"/>
      <c r="BE90" s="181"/>
      <c r="BF90" s="181"/>
      <c r="BG90" s="181"/>
      <c r="BH90" s="181"/>
    </row>
    <row r="91">
      <c r="A91" s="179"/>
      <c r="B91" s="549"/>
      <c r="C91" s="181"/>
      <c r="D91" s="181"/>
      <c r="E91" s="181"/>
      <c r="F91" s="179"/>
      <c r="G91" s="549"/>
      <c r="H91" s="181"/>
      <c r="I91" s="181"/>
      <c r="J91" s="181"/>
      <c r="K91" s="156"/>
      <c r="L91" s="549"/>
      <c r="M91" s="181"/>
      <c r="N91" s="181"/>
      <c r="O91" s="181"/>
      <c r="P91" s="156"/>
      <c r="Q91" s="562"/>
      <c r="R91" s="181"/>
      <c r="S91" s="181"/>
      <c r="T91" s="181"/>
      <c r="U91" s="179"/>
      <c r="V91" s="549"/>
      <c r="W91" s="181"/>
      <c r="X91" s="181"/>
      <c r="Y91" s="181"/>
      <c r="Z91" s="179"/>
      <c r="AA91" s="549"/>
      <c r="AB91" s="181"/>
      <c r="AC91" s="181"/>
      <c r="AD91" s="181"/>
      <c r="AE91" s="179"/>
      <c r="AF91" s="549"/>
      <c r="AG91" s="181"/>
      <c r="AH91" s="181"/>
      <c r="AI91" s="181"/>
      <c r="AJ91" s="179"/>
      <c r="AK91" s="549"/>
      <c r="AL91" s="181"/>
      <c r="AM91" s="181"/>
      <c r="AN91" s="181"/>
      <c r="AO91" s="179"/>
      <c r="AP91" s="549"/>
      <c r="AQ91" s="181"/>
      <c r="AR91" s="181"/>
      <c r="AS91" s="181"/>
      <c r="AT91" s="179"/>
      <c r="AU91" s="549"/>
      <c r="AV91" s="181"/>
      <c r="AW91" s="181"/>
      <c r="AX91" s="181"/>
      <c r="AY91" s="181"/>
      <c r="AZ91" s="181"/>
      <c r="BA91" s="181"/>
      <c r="BB91" s="181"/>
      <c r="BC91" s="181"/>
      <c r="BD91" s="181"/>
      <c r="BE91" s="181"/>
      <c r="BF91" s="181"/>
      <c r="BG91" s="181"/>
      <c r="BH91" s="181"/>
    </row>
    <row r="92">
      <c r="A92" s="179"/>
      <c r="B92" s="549"/>
      <c r="C92" s="181"/>
      <c r="D92" s="181"/>
      <c r="E92" s="181"/>
      <c r="F92" s="179"/>
      <c r="G92" s="549"/>
      <c r="H92" s="181"/>
      <c r="I92" s="181"/>
      <c r="J92" s="181"/>
      <c r="K92" s="156"/>
      <c r="L92" s="549"/>
      <c r="M92" s="181"/>
      <c r="N92" s="181"/>
      <c r="O92" s="181"/>
      <c r="P92" s="156"/>
      <c r="Q92" s="562"/>
      <c r="R92" s="181"/>
      <c r="S92" s="181"/>
      <c r="T92" s="181"/>
      <c r="U92" s="179"/>
      <c r="V92" s="549"/>
      <c r="W92" s="181"/>
      <c r="X92" s="181"/>
      <c r="Y92" s="181"/>
      <c r="Z92" s="179"/>
      <c r="AA92" s="549"/>
      <c r="AB92" s="181"/>
      <c r="AC92" s="181"/>
      <c r="AD92" s="181"/>
      <c r="AE92" s="179"/>
      <c r="AF92" s="549"/>
      <c r="AG92" s="181"/>
      <c r="AH92" s="181"/>
      <c r="AI92" s="181"/>
      <c r="AJ92" s="179"/>
      <c r="AK92" s="549"/>
      <c r="AL92" s="181"/>
      <c r="AM92" s="181"/>
      <c r="AN92" s="181"/>
      <c r="AO92" s="179"/>
      <c r="AP92" s="549"/>
      <c r="AQ92" s="181"/>
      <c r="AR92" s="181"/>
      <c r="AS92" s="181"/>
      <c r="AT92" s="179"/>
      <c r="AU92" s="549"/>
      <c r="AV92" s="181"/>
      <c r="AW92" s="181"/>
      <c r="AX92" s="181"/>
      <c r="AY92" s="181"/>
      <c r="AZ92" s="181"/>
      <c r="BA92" s="181"/>
      <c r="BB92" s="181"/>
      <c r="BC92" s="181"/>
      <c r="BD92" s="181"/>
      <c r="BE92" s="181"/>
      <c r="BF92" s="181"/>
      <c r="BG92" s="181"/>
      <c r="BH92" s="181"/>
    </row>
    <row r="93">
      <c r="A93" s="179"/>
      <c r="B93" s="549"/>
      <c r="C93" s="181"/>
      <c r="D93" s="181"/>
      <c r="E93" s="181"/>
      <c r="F93" s="179"/>
      <c r="G93" s="549"/>
      <c r="H93" s="181"/>
      <c r="I93" s="181"/>
      <c r="J93" s="181"/>
      <c r="K93" s="156"/>
      <c r="L93" s="549"/>
      <c r="M93" s="181"/>
      <c r="N93" s="181"/>
      <c r="O93" s="181"/>
      <c r="P93" s="156"/>
      <c r="Q93" s="562"/>
      <c r="R93" s="181"/>
      <c r="S93" s="181"/>
      <c r="T93" s="181"/>
      <c r="U93" s="179"/>
      <c r="V93" s="549"/>
      <c r="W93" s="181"/>
      <c r="X93" s="181"/>
      <c r="Y93" s="181"/>
      <c r="Z93" s="179"/>
      <c r="AA93" s="549"/>
      <c r="AB93" s="181"/>
      <c r="AC93" s="181"/>
      <c r="AD93" s="181"/>
      <c r="AE93" s="179"/>
      <c r="AF93" s="549"/>
      <c r="AG93" s="181"/>
      <c r="AH93" s="181"/>
      <c r="AI93" s="181"/>
      <c r="AJ93" s="179"/>
      <c r="AK93" s="549"/>
      <c r="AL93" s="181"/>
      <c r="AM93" s="181"/>
      <c r="AN93" s="181"/>
      <c r="AO93" s="179"/>
      <c r="AP93" s="549"/>
      <c r="AQ93" s="181"/>
      <c r="AR93" s="181"/>
      <c r="AS93" s="181"/>
      <c r="AT93" s="179"/>
      <c r="AU93" s="549"/>
      <c r="AV93" s="181"/>
      <c r="AW93" s="181"/>
      <c r="AX93" s="181"/>
      <c r="AY93" s="181"/>
      <c r="AZ93" s="181"/>
      <c r="BA93" s="181"/>
      <c r="BB93" s="181"/>
      <c r="BC93" s="181"/>
      <c r="BD93" s="181"/>
      <c r="BE93" s="181"/>
      <c r="BF93" s="181"/>
      <c r="BG93" s="181"/>
      <c r="BH93" s="181"/>
    </row>
    <row r="94">
      <c r="A94" s="179"/>
      <c r="B94" s="549"/>
      <c r="C94" s="181"/>
      <c r="D94" s="181"/>
      <c r="E94" s="181"/>
      <c r="F94" s="179"/>
      <c r="G94" s="549"/>
      <c r="H94" s="181"/>
      <c r="I94" s="181"/>
      <c r="J94" s="181"/>
      <c r="K94" s="156"/>
      <c r="L94" s="549"/>
      <c r="M94" s="181"/>
      <c r="N94" s="181"/>
      <c r="O94" s="181"/>
      <c r="P94" s="156"/>
      <c r="Q94" s="562"/>
      <c r="R94" s="181"/>
      <c r="S94" s="181"/>
      <c r="T94" s="181"/>
      <c r="U94" s="179"/>
      <c r="V94" s="549"/>
      <c r="W94" s="181"/>
      <c r="X94" s="181"/>
      <c r="Y94" s="181"/>
      <c r="Z94" s="179"/>
      <c r="AA94" s="549"/>
      <c r="AB94" s="181"/>
      <c r="AC94" s="181"/>
      <c r="AD94" s="181"/>
      <c r="AE94" s="179"/>
      <c r="AF94" s="549"/>
      <c r="AG94" s="181"/>
      <c r="AH94" s="181"/>
      <c r="AI94" s="181"/>
      <c r="AJ94" s="179"/>
      <c r="AK94" s="549"/>
      <c r="AL94" s="181"/>
      <c r="AM94" s="181"/>
      <c r="AN94" s="181"/>
      <c r="AO94" s="179"/>
      <c r="AP94" s="549"/>
      <c r="AQ94" s="181"/>
      <c r="AR94" s="181"/>
      <c r="AS94" s="181"/>
      <c r="AT94" s="179"/>
      <c r="AU94" s="549"/>
      <c r="AV94" s="181"/>
      <c r="AW94" s="181"/>
      <c r="AX94" s="181"/>
      <c r="AY94" s="181"/>
      <c r="AZ94" s="181"/>
      <c r="BA94" s="181"/>
      <c r="BB94" s="181"/>
      <c r="BC94" s="181"/>
      <c r="BD94" s="181"/>
      <c r="BE94" s="181"/>
      <c r="BF94" s="181"/>
      <c r="BG94" s="181"/>
      <c r="BH94" s="181"/>
    </row>
    <row r="95">
      <c r="A95" s="179"/>
      <c r="B95" s="549"/>
      <c r="C95" s="181"/>
      <c r="D95" s="181"/>
      <c r="E95" s="181"/>
      <c r="F95" s="179"/>
      <c r="G95" s="549"/>
      <c r="H95" s="181"/>
      <c r="I95" s="181"/>
      <c r="J95" s="181"/>
      <c r="K95" s="156"/>
      <c r="L95" s="549"/>
      <c r="M95" s="181"/>
      <c r="N95" s="181"/>
      <c r="O95" s="181"/>
      <c r="P95" s="156"/>
      <c r="Q95" s="562"/>
      <c r="R95" s="181"/>
      <c r="S95" s="181"/>
      <c r="T95" s="181"/>
      <c r="U95" s="179"/>
      <c r="V95" s="549"/>
      <c r="W95" s="181"/>
      <c r="X95" s="181"/>
      <c r="Y95" s="181"/>
      <c r="Z95" s="179"/>
      <c r="AA95" s="549"/>
      <c r="AB95" s="181"/>
      <c r="AC95" s="181"/>
      <c r="AD95" s="181"/>
      <c r="AE95" s="179"/>
      <c r="AF95" s="549"/>
      <c r="AG95" s="181"/>
      <c r="AH95" s="181"/>
      <c r="AI95" s="181"/>
      <c r="AJ95" s="179"/>
      <c r="AK95" s="549"/>
      <c r="AL95" s="181"/>
      <c r="AM95" s="181"/>
      <c r="AN95" s="181"/>
      <c r="AO95" s="179"/>
      <c r="AP95" s="549"/>
      <c r="AQ95" s="181"/>
      <c r="AR95" s="181"/>
      <c r="AS95" s="181"/>
      <c r="AT95" s="179"/>
      <c r="AU95" s="549"/>
      <c r="AV95" s="181"/>
      <c r="AW95" s="181"/>
      <c r="AX95" s="181"/>
      <c r="AY95" s="181"/>
      <c r="AZ95" s="181"/>
      <c r="BA95" s="181"/>
      <c r="BB95" s="181"/>
      <c r="BC95" s="181"/>
      <c r="BD95" s="181"/>
      <c r="BE95" s="181"/>
      <c r="BF95" s="181"/>
      <c r="BG95" s="181"/>
      <c r="BH95" s="181"/>
    </row>
    <row r="96">
      <c r="A96" s="179"/>
      <c r="B96" s="549"/>
      <c r="C96" s="181"/>
      <c r="D96" s="181"/>
      <c r="E96" s="181"/>
      <c r="F96" s="179"/>
      <c r="G96" s="549"/>
      <c r="H96" s="181"/>
      <c r="I96" s="181"/>
      <c r="J96" s="181"/>
      <c r="K96" s="156"/>
      <c r="L96" s="549"/>
      <c r="M96" s="181"/>
      <c r="N96" s="181"/>
      <c r="O96" s="181"/>
      <c r="P96" s="156"/>
      <c r="Q96" s="562"/>
      <c r="R96" s="181"/>
      <c r="S96" s="181"/>
      <c r="T96" s="181"/>
      <c r="U96" s="179"/>
      <c r="V96" s="549"/>
      <c r="W96" s="181"/>
      <c r="X96" s="181"/>
      <c r="Y96" s="181"/>
      <c r="Z96" s="179"/>
      <c r="AA96" s="549"/>
      <c r="AB96" s="181"/>
      <c r="AC96" s="181"/>
      <c r="AD96" s="181"/>
      <c r="AE96" s="179"/>
      <c r="AF96" s="549"/>
      <c r="AG96" s="181"/>
      <c r="AH96" s="181"/>
      <c r="AI96" s="181"/>
      <c r="AJ96" s="179"/>
      <c r="AK96" s="549"/>
      <c r="AL96" s="181"/>
      <c r="AM96" s="181"/>
      <c r="AN96" s="181"/>
      <c r="AO96" s="179"/>
      <c r="AP96" s="549"/>
      <c r="AQ96" s="181"/>
      <c r="AR96" s="181"/>
      <c r="AS96" s="181"/>
      <c r="AT96" s="179"/>
      <c r="AU96" s="549"/>
      <c r="AV96" s="181"/>
      <c r="AW96" s="181"/>
      <c r="AX96" s="181"/>
      <c r="AY96" s="181"/>
      <c r="AZ96" s="181"/>
      <c r="BA96" s="181"/>
      <c r="BB96" s="181"/>
      <c r="BC96" s="181"/>
      <c r="BD96" s="181"/>
      <c r="BE96" s="181"/>
      <c r="BF96" s="181"/>
      <c r="BG96" s="181"/>
      <c r="BH96" s="181"/>
    </row>
    <row r="97">
      <c r="A97" s="179"/>
      <c r="B97" s="549"/>
      <c r="C97" s="181"/>
      <c r="D97" s="181"/>
      <c r="E97" s="181"/>
      <c r="F97" s="179"/>
      <c r="G97" s="549"/>
      <c r="H97" s="181"/>
      <c r="I97" s="181"/>
      <c r="J97" s="181"/>
      <c r="K97" s="156"/>
      <c r="L97" s="549"/>
      <c r="M97" s="181"/>
      <c r="N97" s="181"/>
      <c r="O97" s="181"/>
      <c r="P97" s="156"/>
      <c r="Q97" s="562"/>
      <c r="R97" s="181"/>
      <c r="S97" s="181"/>
      <c r="T97" s="181"/>
      <c r="U97" s="179"/>
      <c r="V97" s="549"/>
      <c r="W97" s="181"/>
      <c r="X97" s="181"/>
      <c r="Y97" s="181"/>
      <c r="Z97" s="179"/>
      <c r="AA97" s="549"/>
      <c r="AB97" s="181"/>
      <c r="AC97" s="181"/>
      <c r="AD97" s="181"/>
      <c r="AE97" s="179"/>
      <c r="AF97" s="549"/>
      <c r="AG97" s="181"/>
      <c r="AH97" s="181"/>
      <c r="AI97" s="181"/>
      <c r="AJ97" s="179"/>
      <c r="AK97" s="549"/>
      <c r="AL97" s="181"/>
      <c r="AM97" s="181"/>
      <c r="AN97" s="181"/>
      <c r="AO97" s="179"/>
      <c r="AP97" s="549"/>
      <c r="AQ97" s="181"/>
      <c r="AR97" s="181"/>
      <c r="AS97" s="181"/>
      <c r="AT97" s="179"/>
      <c r="AU97" s="549"/>
      <c r="AV97" s="181"/>
      <c r="AW97" s="181"/>
      <c r="AX97" s="181"/>
      <c r="AY97" s="181"/>
      <c r="AZ97" s="181"/>
      <c r="BA97" s="181"/>
      <c r="BB97" s="181"/>
      <c r="BC97" s="181"/>
      <c r="BD97" s="181"/>
      <c r="BE97" s="181"/>
      <c r="BF97" s="181"/>
      <c r="BG97" s="181"/>
      <c r="BH97" s="181"/>
    </row>
    <row r="98">
      <c r="A98" s="179"/>
      <c r="B98" s="549"/>
      <c r="C98" s="181"/>
      <c r="D98" s="181"/>
      <c r="E98" s="181"/>
      <c r="F98" s="179"/>
      <c r="G98" s="549"/>
      <c r="H98" s="181"/>
      <c r="I98" s="181"/>
      <c r="J98" s="181"/>
      <c r="K98" s="156"/>
      <c r="L98" s="549"/>
      <c r="M98" s="181"/>
      <c r="N98" s="181"/>
      <c r="O98" s="181"/>
      <c r="P98" s="156"/>
      <c r="Q98" s="562"/>
      <c r="R98" s="181"/>
      <c r="S98" s="181"/>
      <c r="T98" s="181"/>
      <c r="U98" s="179"/>
      <c r="V98" s="549"/>
      <c r="W98" s="181"/>
      <c r="X98" s="181"/>
      <c r="Y98" s="181"/>
      <c r="Z98" s="179"/>
      <c r="AA98" s="549"/>
      <c r="AB98" s="181"/>
      <c r="AC98" s="181"/>
      <c r="AD98" s="181"/>
      <c r="AE98" s="179"/>
      <c r="AF98" s="549"/>
      <c r="AG98" s="181"/>
      <c r="AH98" s="181"/>
      <c r="AI98" s="181"/>
      <c r="AJ98" s="179"/>
      <c r="AK98" s="549"/>
      <c r="AL98" s="181"/>
      <c r="AM98" s="181"/>
      <c r="AN98" s="181"/>
      <c r="AO98" s="179"/>
      <c r="AP98" s="549"/>
      <c r="AQ98" s="181"/>
      <c r="AR98" s="181"/>
      <c r="AS98" s="181"/>
      <c r="AT98" s="179"/>
      <c r="AU98" s="549"/>
      <c r="AV98" s="181"/>
      <c r="AW98" s="181"/>
      <c r="AX98" s="181"/>
      <c r="AY98" s="181"/>
      <c r="AZ98" s="181"/>
      <c r="BA98" s="181"/>
      <c r="BB98" s="181"/>
      <c r="BC98" s="181"/>
      <c r="BD98" s="181"/>
      <c r="BE98" s="181"/>
      <c r="BF98" s="181"/>
      <c r="BG98" s="181"/>
      <c r="BH98" s="181"/>
    </row>
    <row r="99">
      <c r="A99" s="179"/>
      <c r="B99" s="549"/>
      <c r="C99" s="181"/>
      <c r="D99" s="181"/>
      <c r="E99" s="181"/>
      <c r="F99" s="179"/>
      <c r="G99" s="549"/>
      <c r="H99" s="181"/>
      <c r="I99" s="181"/>
      <c r="J99" s="181"/>
      <c r="K99" s="156"/>
      <c r="L99" s="549"/>
      <c r="M99" s="181"/>
      <c r="N99" s="181"/>
      <c r="O99" s="181"/>
      <c r="P99" s="156"/>
      <c r="Q99" s="562"/>
      <c r="R99" s="181"/>
      <c r="S99" s="181"/>
      <c r="T99" s="181"/>
      <c r="U99" s="179"/>
      <c r="V99" s="549"/>
      <c r="W99" s="181"/>
      <c r="X99" s="181"/>
      <c r="Y99" s="181"/>
      <c r="Z99" s="179"/>
      <c r="AA99" s="549"/>
      <c r="AB99" s="181"/>
      <c r="AC99" s="181"/>
      <c r="AD99" s="181"/>
      <c r="AE99" s="179"/>
      <c r="AF99" s="549"/>
      <c r="AG99" s="181"/>
      <c r="AH99" s="181"/>
      <c r="AI99" s="181"/>
      <c r="AJ99" s="179"/>
      <c r="AK99" s="549"/>
      <c r="AL99" s="181"/>
      <c r="AM99" s="181"/>
      <c r="AN99" s="181"/>
      <c r="AO99" s="179"/>
      <c r="AP99" s="549"/>
      <c r="AQ99" s="181"/>
      <c r="AR99" s="181"/>
      <c r="AS99" s="181"/>
      <c r="AT99" s="179"/>
      <c r="AU99" s="549"/>
      <c r="AV99" s="181"/>
      <c r="AW99" s="181"/>
      <c r="AX99" s="181"/>
      <c r="AY99" s="181"/>
      <c r="AZ99" s="181"/>
      <c r="BA99" s="181"/>
      <c r="BB99" s="181"/>
      <c r="BC99" s="181"/>
      <c r="BD99" s="181"/>
      <c r="BE99" s="181"/>
      <c r="BF99" s="181"/>
      <c r="BG99" s="181"/>
      <c r="BH99" s="181"/>
    </row>
    <row r="100">
      <c r="A100" s="179"/>
      <c r="B100" s="549"/>
      <c r="C100" s="181"/>
      <c r="D100" s="181"/>
      <c r="E100" s="181"/>
      <c r="F100" s="179"/>
      <c r="G100" s="549"/>
      <c r="H100" s="181"/>
      <c r="I100" s="181"/>
      <c r="J100" s="181"/>
      <c r="K100" s="156"/>
      <c r="L100" s="549"/>
      <c r="M100" s="181"/>
      <c r="N100" s="181"/>
      <c r="O100" s="181"/>
      <c r="P100" s="156"/>
      <c r="Q100" s="562"/>
      <c r="R100" s="181"/>
      <c r="S100" s="181"/>
      <c r="T100" s="181"/>
      <c r="U100" s="179"/>
      <c r="V100" s="549"/>
      <c r="W100" s="181"/>
      <c r="X100" s="181"/>
      <c r="Y100" s="181"/>
      <c r="Z100" s="179"/>
      <c r="AA100" s="549"/>
      <c r="AB100" s="181"/>
      <c r="AC100" s="181"/>
      <c r="AD100" s="181"/>
      <c r="AE100" s="179"/>
      <c r="AF100" s="549"/>
      <c r="AG100" s="181"/>
      <c r="AH100" s="181"/>
      <c r="AI100" s="181"/>
      <c r="AJ100" s="179"/>
      <c r="AK100" s="549"/>
      <c r="AL100" s="181"/>
      <c r="AM100" s="181"/>
      <c r="AN100" s="181"/>
      <c r="AO100" s="179"/>
      <c r="AP100" s="549"/>
      <c r="AQ100" s="181"/>
      <c r="AR100" s="181"/>
      <c r="AS100" s="181"/>
      <c r="AT100" s="179"/>
      <c r="AU100" s="549"/>
      <c r="AV100" s="181"/>
      <c r="AW100" s="181"/>
      <c r="AX100" s="181"/>
      <c r="AY100" s="181"/>
      <c r="AZ100" s="181"/>
      <c r="BA100" s="181"/>
      <c r="BB100" s="181"/>
      <c r="BC100" s="181"/>
      <c r="BD100" s="181"/>
      <c r="BE100" s="181"/>
      <c r="BF100" s="181"/>
      <c r="BG100" s="181"/>
      <c r="BH100" s="181"/>
    </row>
    <row r="101">
      <c r="A101" s="179"/>
      <c r="B101" s="549"/>
      <c r="C101" s="181"/>
      <c r="D101" s="181"/>
      <c r="E101" s="181"/>
      <c r="F101" s="179"/>
      <c r="G101" s="549"/>
      <c r="H101" s="181"/>
      <c r="I101" s="181"/>
      <c r="J101" s="181"/>
      <c r="K101" s="156"/>
      <c r="L101" s="549"/>
      <c r="M101" s="181"/>
      <c r="N101" s="181"/>
      <c r="O101" s="181"/>
      <c r="P101" s="156"/>
      <c r="Q101" s="562"/>
      <c r="R101" s="181"/>
      <c r="S101" s="181"/>
      <c r="T101" s="181"/>
      <c r="U101" s="179"/>
      <c r="V101" s="549"/>
      <c r="W101" s="181"/>
      <c r="X101" s="181"/>
      <c r="Y101" s="181"/>
      <c r="Z101" s="179"/>
      <c r="AA101" s="549"/>
      <c r="AB101" s="181"/>
      <c r="AC101" s="181"/>
      <c r="AD101" s="181"/>
      <c r="AE101" s="179"/>
      <c r="AF101" s="549"/>
      <c r="AG101" s="181"/>
      <c r="AH101" s="181"/>
      <c r="AI101" s="181"/>
      <c r="AJ101" s="179"/>
      <c r="AK101" s="549"/>
      <c r="AL101" s="181"/>
      <c r="AM101" s="181"/>
      <c r="AN101" s="181"/>
      <c r="AO101" s="179"/>
      <c r="AP101" s="549"/>
      <c r="AQ101" s="181"/>
      <c r="AR101" s="181"/>
      <c r="AS101" s="181"/>
      <c r="AT101" s="179"/>
      <c r="AU101" s="549"/>
      <c r="AV101" s="181"/>
      <c r="AW101" s="181"/>
      <c r="AX101" s="181"/>
      <c r="AY101" s="181"/>
      <c r="AZ101" s="181"/>
      <c r="BA101" s="181"/>
      <c r="BB101" s="181"/>
      <c r="BC101" s="181"/>
      <c r="BD101" s="181"/>
      <c r="BE101" s="181"/>
      <c r="BF101" s="181"/>
      <c r="BG101" s="181"/>
      <c r="BH101" s="181"/>
    </row>
    <row r="102">
      <c r="A102" s="179"/>
      <c r="B102" s="549"/>
      <c r="C102" s="181"/>
      <c r="D102" s="181"/>
      <c r="E102" s="181"/>
      <c r="F102" s="179"/>
      <c r="G102" s="549"/>
      <c r="H102" s="181"/>
      <c r="I102" s="181"/>
      <c r="J102" s="181"/>
      <c r="K102" s="156"/>
      <c r="L102" s="549"/>
      <c r="M102" s="181"/>
      <c r="N102" s="181"/>
      <c r="O102" s="181"/>
      <c r="P102" s="156"/>
      <c r="Q102" s="562"/>
      <c r="R102" s="181"/>
      <c r="S102" s="181"/>
      <c r="T102" s="181"/>
      <c r="U102" s="179"/>
      <c r="V102" s="549"/>
      <c r="W102" s="181"/>
      <c r="X102" s="181"/>
      <c r="Y102" s="181"/>
      <c r="Z102" s="179"/>
      <c r="AA102" s="549"/>
      <c r="AB102" s="181"/>
      <c r="AC102" s="181"/>
      <c r="AD102" s="181"/>
      <c r="AE102" s="179"/>
      <c r="AF102" s="549"/>
      <c r="AG102" s="181"/>
      <c r="AH102" s="181"/>
      <c r="AI102" s="181"/>
      <c r="AJ102" s="179"/>
      <c r="AK102" s="549"/>
      <c r="AL102" s="181"/>
      <c r="AM102" s="181"/>
      <c r="AN102" s="181"/>
      <c r="AO102" s="179"/>
      <c r="AP102" s="549"/>
      <c r="AQ102" s="181"/>
      <c r="AR102" s="181"/>
      <c r="AS102" s="181"/>
      <c r="AT102" s="179"/>
      <c r="AU102" s="549"/>
      <c r="AV102" s="181"/>
      <c r="AW102" s="181"/>
      <c r="AX102" s="181"/>
      <c r="AY102" s="181"/>
      <c r="AZ102" s="181"/>
      <c r="BA102" s="181"/>
      <c r="BB102" s="181"/>
      <c r="BC102" s="181"/>
      <c r="BD102" s="181"/>
      <c r="BE102" s="181"/>
      <c r="BF102" s="181"/>
      <c r="BG102" s="181"/>
      <c r="BH102" s="181"/>
    </row>
    <row r="103">
      <c r="A103" s="179"/>
      <c r="B103" s="549"/>
      <c r="C103" s="181"/>
      <c r="D103" s="181"/>
      <c r="E103" s="181"/>
      <c r="F103" s="179"/>
      <c r="G103" s="549"/>
      <c r="H103" s="181"/>
      <c r="I103" s="181"/>
      <c r="J103" s="181"/>
      <c r="K103" s="156"/>
      <c r="L103" s="549"/>
      <c r="M103" s="181"/>
      <c r="N103" s="181"/>
      <c r="O103" s="181"/>
      <c r="P103" s="156"/>
      <c r="Q103" s="562"/>
      <c r="R103" s="181"/>
      <c r="S103" s="181"/>
      <c r="T103" s="181"/>
      <c r="U103" s="179"/>
      <c r="V103" s="549"/>
      <c r="W103" s="181"/>
      <c r="X103" s="181"/>
      <c r="Y103" s="181"/>
      <c r="Z103" s="179"/>
      <c r="AA103" s="549"/>
      <c r="AB103" s="181"/>
      <c r="AC103" s="181"/>
      <c r="AD103" s="181"/>
      <c r="AE103" s="179"/>
      <c r="AF103" s="549"/>
      <c r="AG103" s="181"/>
      <c r="AH103" s="181"/>
      <c r="AI103" s="181"/>
      <c r="AJ103" s="179"/>
      <c r="AK103" s="549"/>
      <c r="AL103" s="181"/>
      <c r="AM103" s="181"/>
      <c r="AN103" s="181"/>
      <c r="AO103" s="179"/>
      <c r="AP103" s="549"/>
      <c r="AQ103" s="181"/>
      <c r="AR103" s="181"/>
      <c r="AS103" s="181"/>
      <c r="AT103" s="179"/>
      <c r="AU103" s="549"/>
      <c r="AV103" s="181"/>
      <c r="AW103" s="181"/>
      <c r="AX103" s="181"/>
      <c r="AY103" s="181"/>
      <c r="AZ103" s="181"/>
      <c r="BA103" s="181"/>
      <c r="BB103" s="181"/>
      <c r="BC103" s="181"/>
      <c r="BD103" s="181"/>
      <c r="BE103" s="181"/>
      <c r="BF103" s="181"/>
      <c r="BG103" s="181"/>
      <c r="BH103" s="181"/>
    </row>
    <row r="104">
      <c r="A104" s="179"/>
      <c r="B104" s="549"/>
      <c r="C104" s="181"/>
      <c r="D104" s="181"/>
      <c r="E104" s="181"/>
      <c r="F104" s="179"/>
      <c r="G104" s="549"/>
      <c r="H104" s="181"/>
      <c r="I104" s="181"/>
      <c r="J104" s="181"/>
      <c r="K104" s="156"/>
      <c r="L104" s="549"/>
      <c r="M104" s="181"/>
      <c r="N104" s="181"/>
      <c r="O104" s="181"/>
      <c r="P104" s="156"/>
      <c r="Q104" s="562"/>
      <c r="R104" s="181"/>
      <c r="S104" s="181"/>
      <c r="T104" s="181"/>
      <c r="U104" s="179"/>
      <c r="V104" s="549"/>
      <c r="W104" s="181"/>
      <c r="X104" s="181"/>
      <c r="Y104" s="181"/>
      <c r="Z104" s="179"/>
      <c r="AA104" s="549"/>
      <c r="AB104" s="181"/>
      <c r="AC104" s="181"/>
      <c r="AD104" s="181"/>
      <c r="AE104" s="179"/>
      <c r="AF104" s="549"/>
      <c r="AG104" s="181"/>
      <c r="AH104" s="181"/>
      <c r="AI104" s="181"/>
      <c r="AJ104" s="179"/>
      <c r="AK104" s="549"/>
      <c r="AL104" s="181"/>
      <c r="AM104" s="181"/>
      <c r="AN104" s="181"/>
      <c r="AO104" s="179"/>
      <c r="AP104" s="549"/>
      <c r="AQ104" s="181"/>
      <c r="AR104" s="181"/>
      <c r="AS104" s="181"/>
      <c r="AT104" s="179"/>
      <c r="AU104" s="549"/>
      <c r="AV104" s="181"/>
      <c r="AW104" s="181"/>
      <c r="AX104" s="181"/>
      <c r="AY104" s="181"/>
      <c r="AZ104" s="181"/>
      <c r="BA104" s="181"/>
      <c r="BB104" s="181"/>
      <c r="BC104" s="181"/>
      <c r="BD104" s="181"/>
      <c r="BE104" s="181"/>
      <c r="BF104" s="181"/>
      <c r="BG104" s="181"/>
      <c r="BH104" s="181"/>
    </row>
    <row r="105">
      <c r="A105" s="179"/>
      <c r="B105" s="549"/>
      <c r="C105" s="181"/>
      <c r="D105" s="181"/>
      <c r="E105" s="181"/>
      <c r="F105" s="179"/>
      <c r="G105" s="549"/>
      <c r="H105" s="181"/>
      <c r="I105" s="181"/>
      <c r="J105" s="181"/>
      <c r="K105" s="156"/>
      <c r="L105" s="549"/>
      <c r="M105" s="181"/>
      <c r="N105" s="181"/>
      <c r="O105" s="181"/>
      <c r="P105" s="156"/>
      <c r="Q105" s="562"/>
      <c r="R105" s="181"/>
      <c r="S105" s="181"/>
      <c r="T105" s="181"/>
      <c r="U105" s="179"/>
      <c r="V105" s="549"/>
      <c r="W105" s="181"/>
      <c r="X105" s="181"/>
      <c r="Y105" s="181"/>
      <c r="Z105" s="179"/>
      <c r="AA105" s="549"/>
      <c r="AB105" s="181"/>
      <c r="AC105" s="181"/>
      <c r="AD105" s="181"/>
      <c r="AE105" s="179"/>
      <c r="AF105" s="549"/>
      <c r="AG105" s="181"/>
      <c r="AH105" s="181"/>
      <c r="AI105" s="181"/>
      <c r="AJ105" s="179"/>
      <c r="AK105" s="549"/>
      <c r="AL105" s="181"/>
      <c r="AM105" s="181"/>
      <c r="AN105" s="181"/>
      <c r="AO105" s="179"/>
      <c r="AP105" s="549"/>
      <c r="AQ105" s="181"/>
      <c r="AR105" s="181"/>
      <c r="AS105" s="181"/>
      <c r="AT105" s="179"/>
      <c r="AU105" s="549"/>
      <c r="AV105" s="181"/>
      <c r="AW105" s="181"/>
      <c r="AX105" s="181"/>
      <c r="AY105" s="181"/>
      <c r="AZ105" s="181"/>
      <c r="BA105" s="181"/>
      <c r="BB105" s="181"/>
      <c r="BC105" s="181"/>
      <c r="BD105" s="181"/>
      <c r="BE105" s="181"/>
      <c r="BF105" s="181"/>
      <c r="BG105" s="181"/>
      <c r="BH105" s="181"/>
    </row>
    <row r="106">
      <c r="A106" s="179"/>
      <c r="B106" s="549"/>
      <c r="C106" s="181"/>
      <c r="D106" s="181"/>
      <c r="E106" s="181"/>
      <c r="F106" s="179"/>
      <c r="G106" s="549"/>
      <c r="H106" s="181"/>
      <c r="I106" s="181"/>
      <c r="J106" s="181"/>
      <c r="K106" s="156"/>
      <c r="L106" s="549"/>
      <c r="M106" s="181"/>
      <c r="N106" s="181"/>
      <c r="O106" s="181"/>
      <c r="P106" s="156"/>
      <c r="Q106" s="562"/>
      <c r="R106" s="181"/>
      <c r="S106" s="181"/>
      <c r="T106" s="181"/>
      <c r="U106" s="179"/>
      <c r="V106" s="549"/>
      <c r="W106" s="181"/>
      <c r="X106" s="181"/>
      <c r="Y106" s="181"/>
      <c r="Z106" s="179"/>
      <c r="AA106" s="549"/>
      <c r="AB106" s="181"/>
      <c r="AC106" s="181"/>
      <c r="AD106" s="181"/>
      <c r="AE106" s="179"/>
      <c r="AF106" s="549"/>
      <c r="AG106" s="181"/>
      <c r="AH106" s="181"/>
      <c r="AI106" s="181"/>
      <c r="AJ106" s="179"/>
      <c r="AK106" s="549"/>
      <c r="AL106" s="181"/>
      <c r="AM106" s="181"/>
      <c r="AN106" s="181"/>
      <c r="AO106" s="179"/>
      <c r="AP106" s="549"/>
      <c r="AQ106" s="181"/>
      <c r="AR106" s="181"/>
      <c r="AS106" s="181"/>
      <c r="AT106" s="179"/>
      <c r="AU106" s="549"/>
      <c r="AV106" s="181"/>
      <c r="AW106" s="181"/>
      <c r="AX106" s="181"/>
      <c r="AY106" s="181"/>
      <c r="AZ106" s="181"/>
      <c r="BA106" s="181"/>
      <c r="BB106" s="181"/>
      <c r="BC106" s="181"/>
      <c r="BD106" s="181"/>
      <c r="BE106" s="181"/>
      <c r="BF106" s="181"/>
      <c r="BG106" s="181"/>
      <c r="BH106" s="181"/>
    </row>
    <row r="107">
      <c r="A107" s="179"/>
      <c r="B107" s="549"/>
      <c r="C107" s="181"/>
      <c r="D107" s="181"/>
      <c r="E107" s="181"/>
      <c r="F107" s="179"/>
      <c r="G107" s="549"/>
      <c r="H107" s="181"/>
      <c r="I107" s="181"/>
      <c r="J107" s="181"/>
      <c r="K107" s="156"/>
      <c r="L107" s="549"/>
      <c r="M107" s="181"/>
      <c r="N107" s="181"/>
      <c r="O107" s="181"/>
      <c r="P107" s="156"/>
      <c r="Q107" s="562"/>
      <c r="R107" s="181"/>
      <c r="S107" s="181"/>
      <c r="T107" s="181"/>
      <c r="U107" s="179"/>
      <c r="V107" s="549"/>
      <c r="W107" s="181"/>
      <c r="X107" s="181"/>
      <c r="Y107" s="181"/>
      <c r="Z107" s="179"/>
      <c r="AA107" s="549"/>
      <c r="AB107" s="181"/>
      <c r="AC107" s="181"/>
      <c r="AD107" s="181"/>
      <c r="AE107" s="179"/>
      <c r="AF107" s="549"/>
      <c r="AG107" s="181"/>
      <c r="AH107" s="181"/>
      <c r="AI107" s="181"/>
      <c r="AJ107" s="179"/>
      <c r="AK107" s="549"/>
      <c r="AL107" s="181"/>
      <c r="AM107" s="181"/>
      <c r="AN107" s="181"/>
      <c r="AO107" s="179"/>
      <c r="AP107" s="549"/>
      <c r="AQ107" s="181"/>
      <c r="AR107" s="181"/>
      <c r="AS107" s="181"/>
      <c r="AT107" s="179"/>
      <c r="AU107" s="549"/>
      <c r="AV107" s="181"/>
      <c r="AW107" s="181"/>
      <c r="AX107" s="181"/>
      <c r="AY107" s="181"/>
      <c r="AZ107" s="181"/>
      <c r="BA107" s="181"/>
      <c r="BB107" s="181"/>
      <c r="BC107" s="181"/>
      <c r="BD107" s="181"/>
      <c r="BE107" s="181"/>
      <c r="BF107" s="181"/>
      <c r="BG107" s="181"/>
      <c r="BH107" s="181"/>
    </row>
    <row r="108">
      <c r="A108" s="179"/>
      <c r="B108" s="549"/>
      <c r="C108" s="181"/>
      <c r="D108" s="181"/>
      <c r="E108" s="181"/>
      <c r="F108" s="179"/>
      <c r="G108" s="549"/>
      <c r="H108" s="181"/>
      <c r="I108" s="181"/>
      <c r="J108" s="181"/>
      <c r="K108" s="156"/>
      <c r="L108" s="549"/>
      <c r="M108" s="181"/>
      <c r="N108" s="181"/>
      <c r="O108" s="181"/>
      <c r="P108" s="156"/>
      <c r="Q108" s="562"/>
      <c r="R108" s="181"/>
      <c r="S108" s="181"/>
      <c r="T108" s="181"/>
      <c r="U108" s="179"/>
      <c r="V108" s="549"/>
      <c r="W108" s="181"/>
      <c r="X108" s="181"/>
      <c r="Y108" s="181"/>
      <c r="Z108" s="179"/>
      <c r="AA108" s="549"/>
      <c r="AB108" s="181"/>
      <c r="AC108" s="181"/>
      <c r="AD108" s="181"/>
      <c r="AE108" s="179"/>
      <c r="AF108" s="549"/>
      <c r="AG108" s="181"/>
      <c r="AH108" s="181"/>
      <c r="AI108" s="181"/>
      <c r="AJ108" s="179"/>
      <c r="AK108" s="549"/>
      <c r="AL108" s="181"/>
      <c r="AM108" s="181"/>
      <c r="AN108" s="181"/>
      <c r="AO108" s="179"/>
      <c r="AP108" s="549"/>
      <c r="AQ108" s="181"/>
      <c r="AR108" s="181"/>
      <c r="AS108" s="181"/>
      <c r="AT108" s="179"/>
      <c r="AU108" s="549"/>
      <c r="AV108" s="181"/>
      <c r="AW108" s="181"/>
      <c r="AX108" s="181"/>
      <c r="AY108" s="181"/>
      <c r="AZ108" s="181"/>
      <c r="BA108" s="181"/>
      <c r="BB108" s="181"/>
      <c r="BC108" s="181"/>
      <c r="BD108" s="181"/>
      <c r="BE108" s="181"/>
      <c r="BF108" s="181"/>
      <c r="BG108" s="181"/>
      <c r="BH108" s="181"/>
    </row>
    <row r="109">
      <c r="A109" s="179"/>
      <c r="B109" s="549"/>
      <c r="C109" s="181"/>
      <c r="D109" s="181"/>
      <c r="E109" s="181"/>
      <c r="F109" s="179"/>
      <c r="G109" s="549"/>
      <c r="H109" s="181"/>
      <c r="I109" s="181"/>
      <c r="J109" s="181"/>
      <c r="K109" s="156"/>
      <c r="L109" s="549"/>
      <c r="M109" s="181"/>
      <c r="N109" s="181"/>
      <c r="O109" s="181"/>
      <c r="P109" s="156"/>
      <c r="Q109" s="562"/>
      <c r="R109" s="181"/>
      <c r="S109" s="181"/>
      <c r="T109" s="181"/>
      <c r="U109" s="179"/>
      <c r="V109" s="549"/>
      <c r="W109" s="181"/>
      <c r="X109" s="181"/>
      <c r="Y109" s="181"/>
      <c r="Z109" s="179"/>
      <c r="AA109" s="549"/>
      <c r="AB109" s="181"/>
      <c r="AC109" s="181"/>
      <c r="AD109" s="181"/>
      <c r="AE109" s="179"/>
      <c r="AF109" s="549"/>
      <c r="AG109" s="181"/>
      <c r="AH109" s="181"/>
      <c r="AI109" s="181"/>
      <c r="AJ109" s="179"/>
      <c r="AK109" s="549"/>
      <c r="AL109" s="181"/>
      <c r="AM109" s="181"/>
      <c r="AN109" s="181"/>
      <c r="AO109" s="179"/>
      <c r="AP109" s="549"/>
      <c r="AQ109" s="181"/>
      <c r="AR109" s="181"/>
      <c r="AS109" s="181"/>
      <c r="AT109" s="179"/>
      <c r="AU109" s="549"/>
      <c r="AV109" s="181"/>
      <c r="AW109" s="181"/>
      <c r="AX109" s="181"/>
      <c r="AY109" s="181"/>
      <c r="AZ109" s="181"/>
      <c r="BA109" s="181"/>
      <c r="BB109" s="181"/>
      <c r="BC109" s="181"/>
      <c r="BD109" s="181"/>
      <c r="BE109" s="181"/>
      <c r="BF109" s="181"/>
      <c r="BG109" s="181"/>
      <c r="BH109" s="181"/>
    </row>
    <row r="110">
      <c r="A110" s="179"/>
      <c r="B110" s="549"/>
      <c r="C110" s="181"/>
      <c r="D110" s="181"/>
      <c r="E110" s="181"/>
      <c r="F110" s="179"/>
      <c r="G110" s="549"/>
      <c r="H110" s="181"/>
      <c r="I110" s="181"/>
      <c r="J110" s="181"/>
      <c r="K110" s="156"/>
      <c r="L110" s="549"/>
      <c r="M110" s="181"/>
      <c r="N110" s="181"/>
      <c r="O110" s="181"/>
      <c r="P110" s="156"/>
      <c r="Q110" s="562"/>
      <c r="R110" s="181"/>
      <c r="S110" s="181"/>
      <c r="T110" s="181"/>
      <c r="U110" s="179"/>
      <c r="V110" s="549"/>
      <c r="W110" s="181"/>
      <c r="X110" s="181"/>
      <c r="Y110" s="181"/>
      <c r="Z110" s="179"/>
      <c r="AA110" s="549"/>
      <c r="AB110" s="181"/>
      <c r="AC110" s="181"/>
      <c r="AD110" s="181"/>
      <c r="AE110" s="179"/>
      <c r="AF110" s="549"/>
      <c r="AG110" s="181"/>
      <c r="AH110" s="181"/>
      <c r="AI110" s="181"/>
      <c r="AJ110" s="179"/>
      <c r="AK110" s="549"/>
      <c r="AL110" s="181"/>
      <c r="AM110" s="181"/>
      <c r="AN110" s="181"/>
      <c r="AO110" s="179"/>
      <c r="AP110" s="549"/>
      <c r="AQ110" s="181"/>
      <c r="AR110" s="181"/>
      <c r="AS110" s="181"/>
      <c r="AT110" s="179"/>
      <c r="AU110" s="549"/>
      <c r="AV110" s="181"/>
      <c r="AW110" s="181"/>
      <c r="AX110" s="181"/>
      <c r="AY110" s="181"/>
      <c r="AZ110" s="181"/>
      <c r="BA110" s="181"/>
      <c r="BB110" s="181"/>
      <c r="BC110" s="181"/>
      <c r="BD110" s="181"/>
      <c r="BE110" s="181"/>
      <c r="BF110" s="181"/>
      <c r="BG110" s="181"/>
      <c r="BH110" s="181"/>
    </row>
    <row r="111">
      <c r="A111" s="179"/>
      <c r="B111" s="549"/>
      <c r="C111" s="181"/>
      <c r="D111" s="181"/>
      <c r="E111" s="181"/>
      <c r="F111" s="179"/>
      <c r="G111" s="549"/>
      <c r="H111" s="181"/>
      <c r="I111" s="181"/>
      <c r="J111" s="181"/>
      <c r="K111" s="156"/>
      <c r="L111" s="549"/>
      <c r="M111" s="181"/>
      <c r="N111" s="181"/>
      <c r="O111" s="181"/>
      <c r="P111" s="156"/>
      <c r="Q111" s="562"/>
      <c r="R111" s="181"/>
      <c r="S111" s="181"/>
      <c r="T111" s="181"/>
      <c r="U111" s="179"/>
      <c r="V111" s="549"/>
      <c r="W111" s="181"/>
      <c r="X111" s="181"/>
      <c r="Y111" s="181"/>
      <c r="Z111" s="179"/>
      <c r="AA111" s="549"/>
      <c r="AB111" s="181"/>
      <c r="AC111" s="181"/>
      <c r="AD111" s="181"/>
      <c r="AE111" s="179"/>
      <c r="AF111" s="549"/>
      <c r="AG111" s="181"/>
      <c r="AH111" s="181"/>
      <c r="AI111" s="181"/>
      <c r="AJ111" s="179"/>
      <c r="AK111" s="549"/>
      <c r="AL111" s="181"/>
      <c r="AM111" s="181"/>
      <c r="AN111" s="181"/>
      <c r="AO111" s="179"/>
      <c r="AP111" s="549"/>
      <c r="AQ111" s="181"/>
      <c r="AR111" s="181"/>
      <c r="AS111" s="181"/>
      <c r="AT111" s="179"/>
      <c r="AU111" s="549"/>
      <c r="AV111" s="181"/>
      <c r="AW111" s="181"/>
      <c r="AX111" s="181"/>
      <c r="AY111" s="181"/>
      <c r="AZ111" s="181"/>
      <c r="BA111" s="181"/>
      <c r="BB111" s="181"/>
      <c r="BC111" s="181"/>
      <c r="BD111" s="181"/>
      <c r="BE111" s="181"/>
      <c r="BF111" s="181"/>
      <c r="BG111" s="181"/>
      <c r="BH111" s="181"/>
    </row>
    <row r="112">
      <c r="A112" s="179"/>
      <c r="B112" s="549"/>
      <c r="C112" s="181"/>
      <c r="D112" s="181"/>
      <c r="E112" s="181"/>
      <c r="F112" s="179"/>
      <c r="G112" s="549"/>
      <c r="H112" s="181"/>
      <c r="I112" s="181"/>
      <c r="J112" s="181"/>
      <c r="K112" s="156"/>
      <c r="L112" s="549"/>
      <c r="M112" s="181"/>
      <c r="N112" s="181"/>
      <c r="O112" s="181"/>
      <c r="P112" s="156"/>
      <c r="Q112" s="562"/>
      <c r="R112" s="181"/>
      <c r="S112" s="181"/>
      <c r="T112" s="181"/>
      <c r="U112" s="179"/>
      <c r="V112" s="549"/>
      <c r="W112" s="181"/>
      <c r="X112" s="181"/>
      <c r="Y112" s="181"/>
      <c r="Z112" s="179"/>
      <c r="AA112" s="549"/>
      <c r="AB112" s="181"/>
      <c r="AC112" s="181"/>
      <c r="AD112" s="181"/>
      <c r="AE112" s="179"/>
      <c r="AF112" s="549"/>
      <c r="AG112" s="181"/>
      <c r="AH112" s="181"/>
      <c r="AI112" s="181"/>
      <c r="AJ112" s="179"/>
      <c r="AK112" s="549"/>
      <c r="AL112" s="181"/>
      <c r="AM112" s="181"/>
      <c r="AN112" s="181"/>
      <c r="AO112" s="179"/>
      <c r="AP112" s="549"/>
      <c r="AQ112" s="181"/>
      <c r="AR112" s="181"/>
      <c r="AS112" s="181"/>
      <c r="AT112" s="179"/>
      <c r="AU112" s="549"/>
      <c r="AV112" s="181"/>
      <c r="AW112" s="181"/>
      <c r="AX112" s="181"/>
      <c r="AY112" s="181"/>
      <c r="AZ112" s="181"/>
      <c r="BA112" s="181"/>
      <c r="BB112" s="181"/>
      <c r="BC112" s="181"/>
      <c r="BD112" s="181"/>
      <c r="BE112" s="181"/>
      <c r="BF112" s="181"/>
      <c r="BG112" s="181"/>
      <c r="BH112" s="181"/>
    </row>
    <row r="113">
      <c r="A113" s="179"/>
      <c r="B113" s="549"/>
      <c r="C113" s="181"/>
      <c r="D113" s="181"/>
      <c r="E113" s="181"/>
      <c r="F113" s="179"/>
      <c r="G113" s="549"/>
      <c r="H113" s="181"/>
      <c r="I113" s="181"/>
      <c r="J113" s="181"/>
      <c r="K113" s="156"/>
      <c r="L113" s="549"/>
      <c r="M113" s="181"/>
      <c r="N113" s="181"/>
      <c r="O113" s="181"/>
      <c r="P113" s="156"/>
      <c r="Q113" s="562"/>
      <c r="R113" s="181"/>
      <c r="S113" s="181"/>
      <c r="T113" s="181"/>
      <c r="U113" s="179"/>
      <c r="V113" s="549"/>
      <c r="W113" s="181"/>
      <c r="X113" s="181"/>
      <c r="Y113" s="181"/>
      <c r="Z113" s="179"/>
      <c r="AA113" s="549"/>
      <c r="AB113" s="181"/>
      <c r="AC113" s="181"/>
      <c r="AD113" s="181"/>
      <c r="AE113" s="179"/>
      <c r="AF113" s="549"/>
      <c r="AG113" s="181"/>
      <c r="AH113" s="181"/>
      <c r="AI113" s="181"/>
      <c r="AJ113" s="179"/>
      <c r="AK113" s="549"/>
      <c r="AL113" s="181"/>
      <c r="AM113" s="181"/>
      <c r="AN113" s="181"/>
      <c r="AO113" s="179"/>
      <c r="AP113" s="549"/>
      <c r="AQ113" s="181"/>
      <c r="AR113" s="181"/>
      <c r="AS113" s="181"/>
      <c r="AT113" s="179"/>
      <c r="AU113" s="549"/>
      <c r="AV113" s="181"/>
      <c r="AW113" s="181"/>
      <c r="AX113" s="181"/>
      <c r="AY113" s="181"/>
      <c r="AZ113" s="181"/>
      <c r="BA113" s="181"/>
      <c r="BB113" s="181"/>
      <c r="BC113" s="181"/>
      <c r="BD113" s="181"/>
      <c r="BE113" s="181"/>
      <c r="BF113" s="181"/>
      <c r="BG113" s="181"/>
      <c r="BH113" s="181"/>
    </row>
    <row r="114">
      <c r="A114" s="179"/>
      <c r="B114" s="549"/>
      <c r="C114" s="181"/>
      <c r="D114" s="181"/>
      <c r="E114" s="181"/>
      <c r="F114" s="179"/>
      <c r="G114" s="549"/>
      <c r="H114" s="181"/>
      <c r="I114" s="181"/>
      <c r="J114" s="181"/>
      <c r="K114" s="156"/>
      <c r="L114" s="549"/>
      <c r="M114" s="181"/>
      <c r="N114" s="181"/>
      <c r="O114" s="181"/>
      <c r="P114" s="156"/>
      <c r="Q114" s="562"/>
      <c r="R114" s="181"/>
      <c r="S114" s="181"/>
      <c r="T114" s="181"/>
      <c r="U114" s="179"/>
      <c r="V114" s="549"/>
      <c r="W114" s="181"/>
      <c r="X114" s="181"/>
      <c r="Y114" s="181"/>
      <c r="Z114" s="179"/>
      <c r="AA114" s="549"/>
      <c r="AB114" s="181"/>
      <c r="AC114" s="181"/>
      <c r="AD114" s="181"/>
      <c r="AE114" s="179"/>
      <c r="AF114" s="549"/>
      <c r="AG114" s="181"/>
      <c r="AH114" s="181"/>
      <c r="AI114" s="181"/>
      <c r="AJ114" s="179"/>
      <c r="AK114" s="549"/>
      <c r="AL114" s="181"/>
      <c r="AM114" s="181"/>
      <c r="AN114" s="181"/>
      <c r="AO114" s="179"/>
      <c r="AP114" s="549"/>
      <c r="AQ114" s="181"/>
      <c r="AR114" s="181"/>
      <c r="AS114" s="181"/>
      <c r="AT114" s="179"/>
      <c r="AU114" s="549"/>
      <c r="AV114" s="181"/>
      <c r="AW114" s="181"/>
      <c r="AX114" s="181"/>
      <c r="AY114" s="181"/>
      <c r="AZ114" s="181"/>
      <c r="BA114" s="181"/>
      <c r="BB114" s="181"/>
      <c r="BC114" s="181"/>
      <c r="BD114" s="181"/>
      <c r="BE114" s="181"/>
      <c r="BF114" s="181"/>
      <c r="BG114" s="181"/>
      <c r="BH114" s="181"/>
    </row>
    <row r="115">
      <c r="A115" s="179"/>
      <c r="B115" s="549"/>
      <c r="C115" s="181"/>
      <c r="D115" s="181"/>
      <c r="E115" s="181"/>
      <c r="F115" s="179"/>
      <c r="G115" s="549"/>
      <c r="H115" s="181"/>
      <c r="I115" s="181"/>
      <c r="J115" s="181"/>
      <c r="K115" s="156"/>
      <c r="L115" s="549"/>
      <c r="M115" s="181"/>
      <c r="N115" s="181"/>
      <c r="O115" s="181"/>
      <c r="P115" s="156"/>
      <c r="Q115" s="562"/>
      <c r="R115" s="181"/>
      <c r="S115" s="181"/>
      <c r="T115" s="181"/>
      <c r="U115" s="179"/>
      <c r="V115" s="549"/>
      <c r="W115" s="181"/>
      <c r="X115" s="181"/>
      <c r="Y115" s="181"/>
      <c r="Z115" s="179"/>
      <c r="AA115" s="549"/>
      <c r="AB115" s="181"/>
      <c r="AC115" s="181"/>
      <c r="AD115" s="181"/>
      <c r="AE115" s="179"/>
      <c r="AF115" s="549"/>
      <c r="AG115" s="181"/>
      <c r="AH115" s="181"/>
      <c r="AI115" s="181"/>
      <c r="AJ115" s="179"/>
      <c r="AK115" s="549"/>
      <c r="AL115" s="181"/>
      <c r="AM115" s="181"/>
      <c r="AN115" s="181"/>
      <c r="AO115" s="179"/>
      <c r="AP115" s="549"/>
      <c r="AQ115" s="181"/>
      <c r="AR115" s="181"/>
      <c r="AS115" s="181"/>
      <c r="AT115" s="179"/>
      <c r="AU115" s="549"/>
      <c r="AV115" s="181"/>
      <c r="AW115" s="181"/>
      <c r="AX115" s="181"/>
      <c r="AY115" s="181"/>
      <c r="AZ115" s="181"/>
      <c r="BA115" s="181"/>
      <c r="BB115" s="181"/>
      <c r="BC115" s="181"/>
      <c r="BD115" s="181"/>
      <c r="BE115" s="181"/>
      <c r="BF115" s="181"/>
      <c r="BG115" s="181"/>
      <c r="BH115" s="181"/>
    </row>
    <row r="116">
      <c r="A116" s="179"/>
      <c r="B116" s="549"/>
      <c r="C116" s="181"/>
      <c r="D116" s="181"/>
      <c r="E116" s="181"/>
      <c r="F116" s="179"/>
      <c r="G116" s="549"/>
      <c r="H116" s="181"/>
      <c r="I116" s="181"/>
      <c r="J116" s="181"/>
      <c r="K116" s="156"/>
      <c r="L116" s="549"/>
      <c r="M116" s="181"/>
      <c r="N116" s="181"/>
      <c r="O116" s="181"/>
      <c r="P116" s="156"/>
      <c r="Q116" s="562"/>
      <c r="R116" s="181"/>
      <c r="S116" s="181"/>
      <c r="T116" s="181"/>
      <c r="U116" s="179"/>
      <c r="V116" s="549"/>
      <c r="W116" s="181"/>
      <c r="X116" s="181"/>
      <c r="Y116" s="181"/>
      <c r="Z116" s="179"/>
      <c r="AA116" s="549"/>
      <c r="AB116" s="181"/>
      <c r="AC116" s="181"/>
      <c r="AD116" s="181"/>
      <c r="AE116" s="179"/>
      <c r="AF116" s="549"/>
      <c r="AG116" s="181"/>
      <c r="AH116" s="181"/>
      <c r="AI116" s="181"/>
      <c r="AJ116" s="179"/>
      <c r="AK116" s="549"/>
      <c r="AL116" s="181"/>
      <c r="AM116" s="181"/>
      <c r="AN116" s="181"/>
      <c r="AO116" s="179"/>
      <c r="AP116" s="549"/>
      <c r="AQ116" s="181"/>
      <c r="AR116" s="181"/>
      <c r="AS116" s="181"/>
      <c r="AT116" s="179"/>
      <c r="AU116" s="549"/>
      <c r="AV116" s="181"/>
      <c r="AW116" s="181"/>
      <c r="AX116" s="181"/>
      <c r="AY116" s="181"/>
      <c r="AZ116" s="181"/>
      <c r="BA116" s="181"/>
      <c r="BB116" s="181"/>
      <c r="BC116" s="181"/>
      <c r="BD116" s="181"/>
      <c r="BE116" s="181"/>
      <c r="BF116" s="181"/>
      <c r="BG116" s="181"/>
      <c r="BH116" s="181"/>
    </row>
    <row r="117">
      <c r="A117" s="179"/>
      <c r="B117" s="549"/>
      <c r="C117" s="181"/>
      <c r="D117" s="181"/>
      <c r="E117" s="181"/>
      <c r="F117" s="179"/>
      <c r="G117" s="549"/>
      <c r="H117" s="181"/>
      <c r="I117" s="181"/>
      <c r="J117" s="181"/>
      <c r="K117" s="156"/>
      <c r="L117" s="549"/>
      <c r="M117" s="181"/>
      <c r="N117" s="181"/>
      <c r="O117" s="181"/>
      <c r="P117" s="156"/>
      <c r="Q117" s="562"/>
      <c r="R117" s="181"/>
      <c r="S117" s="181"/>
      <c r="T117" s="181"/>
      <c r="U117" s="179"/>
      <c r="V117" s="549"/>
      <c r="W117" s="181"/>
      <c r="X117" s="181"/>
      <c r="Y117" s="181"/>
      <c r="Z117" s="179"/>
      <c r="AA117" s="549"/>
      <c r="AB117" s="181"/>
      <c r="AC117" s="181"/>
      <c r="AD117" s="181"/>
      <c r="AE117" s="179"/>
      <c r="AF117" s="549"/>
      <c r="AG117" s="181"/>
      <c r="AH117" s="181"/>
      <c r="AI117" s="181"/>
      <c r="AJ117" s="179"/>
      <c r="AK117" s="549"/>
      <c r="AL117" s="181"/>
      <c r="AM117" s="181"/>
      <c r="AN117" s="181"/>
      <c r="AO117" s="179"/>
      <c r="AP117" s="549"/>
      <c r="AQ117" s="181"/>
      <c r="AR117" s="181"/>
      <c r="AS117" s="181"/>
      <c r="AT117" s="179"/>
      <c r="AU117" s="549"/>
      <c r="AV117" s="181"/>
      <c r="AW117" s="181"/>
      <c r="AX117" s="181"/>
      <c r="AY117" s="181"/>
      <c r="AZ117" s="181"/>
      <c r="BA117" s="181"/>
      <c r="BB117" s="181"/>
      <c r="BC117" s="181"/>
      <c r="BD117" s="181"/>
      <c r="BE117" s="181"/>
      <c r="BF117" s="181"/>
      <c r="BG117" s="181"/>
      <c r="BH117" s="181"/>
    </row>
    <row r="118">
      <c r="A118" s="179"/>
      <c r="B118" s="549"/>
      <c r="C118" s="181"/>
      <c r="D118" s="181"/>
      <c r="E118" s="181"/>
      <c r="F118" s="179"/>
      <c r="G118" s="549"/>
      <c r="H118" s="181"/>
      <c r="I118" s="181"/>
      <c r="J118" s="181"/>
      <c r="K118" s="156"/>
      <c r="L118" s="549"/>
      <c r="M118" s="181"/>
      <c r="N118" s="181"/>
      <c r="O118" s="181"/>
      <c r="P118" s="156"/>
      <c r="Q118" s="562"/>
      <c r="R118" s="181"/>
      <c r="S118" s="181"/>
      <c r="T118" s="181"/>
      <c r="U118" s="179"/>
      <c r="V118" s="549"/>
      <c r="W118" s="181"/>
      <c r="X118" s="181"/>
      <c r="Y118" s="181"/>
      <c r="Z118" s="179"/>
      <c r="AA118" s="549"/>
      <c r="AB118" s="181"/>
      <c r="AC118" s="181"/>
      <c r="AD118" s="181"/>
      <c r="AE118" s="179"/>
      <c r="AF118" s="549"/>
      <c r="AG118" s="181"/>
      <c r="AH118" s="181"/>
      <c r="AI118" s="181"/>
      <c r="AJ118" s="179"/>
      <c r="AK118" s="549"/>
      <c r="AL118" s="181"/>
      <c r="AM118" s="181"/>
      <c r="AN118" s="181"/>
      <c r="AO118" s="179"/>
      <c r="AP118" s="549"/>
      <c r="AQ118" s="181"/>
      <c r="AR118" s="181"/>
      <c r="AS118" s="181"/>
      <c r="AT118" s="179"/>
      <c r="AU118" s="549"/>
      <c r="AV118" s="181"/>
      <c r="AW118" s="181"/>
      <c r="AX118" s="181"/>
      <c r="AY118" s="181"/>
      <c r="AZ118" s="181"/>
      <c r="BA118" s="181"/>
      <c r="BB118" s="181"/>
      <c r="BC118" s="181"/>
      <c r="BD118" s="181"/>
      <c r="BE118" s="181"/>
      <c r="BF118" s="181"/>
      <c r="BG118" s="181"/>
      <c r="BH118" s="181"/>
    </row>
    <row r="119">
      <c r="A119" s="179"/>
      <c r="B119" s="549"/>
      <c r="C119" s="181"/>
      <c r="D119" s="181"/>
      <c r="E119" s="181"/>
      <c r="F119" s="179"/>
      <c r="G119" s="549"/>
      <c r="H119" s="181"/>
      <c r="I119" s="181"/>
      <c r="J119" s="181"/>
      <c r="K119" s="156"/>
      <c r="L119" s="549"/>
      <c r="M119" s="181"/>
      <c r="N119" s="181"/>
      <c r="O119" s="181"/>
      <c r="P119" s="156"/>
      <c r="Q119" s="562"/>
      <c r="R119" s="181"/>
      <c r="S119" s="181"/>
      <c r="T119" s="181"/>
      <c r="U119" s="179"/>
      <c r="V119" s="549"/>
      <c r="W119" s="181"/>
      <c r="X119" s="181"/>
      <c r="Y119" s="181"/>
      <c r="Z119" s="179"/>
      <c r="AA119" s="549"/>
      <c r="AB119" s="181"/>
      <c r="AC119" s="181"/>
      <c r="AD119" s="181"/>
      <c r="AE119" s="179"/>
      <c r="AF119" s="549"/>
      <c r="AG119" s="181"/>
      <c r="AH119" s="181"/>
      <c r="AI119" s="181"/>
      <c r="AJ119" s="179"/>
      <c r="AK119" s="549"/>
      <c r="AL119" s="181"/>
      <c r="AM119" s="181"/>
      <c r="AN119" s="181"/>
      <c r="AO119" s="179"/>
      <c r="AP119" s="549"/>
      <c r="AQ119" s="181"/>
      <c r="AR119" s="181"/>
      <c r="AS119" s="181"/>
      <c r="AT119" s="179"/>
      <c r="AU119" s="549"/>
      <c r="AV119" s="181"/>
      <c r="AW119" s="181"/>
      <c r="AX119" s="181"/>
      <c r="AY119" s="181"/>
      <c r="AZ119" s="181"/>
      <c r="BA119" s="181"/>
      <c r="BB119" s="181"/>
      <c r="BC119" s="181"/>
      <c r="BD119" s="181"/>
      <c r="BE119" s="181"/>
      <c r="BF119" s="181"/>
      <c r="BG119" s="181"/>
      <c r="BH119" s="181"/>
    </row>
    <row r="120">
      <c r="A120" s="179"/>
      <c r="B120" s="549"/>
      <c r="C120" s="181"/>
      <c r="D120" s="181"/>
      <c r="E120" s="181"/>
      <c r="F120" s="179"/>
      <c r="G120" s="549"/>
      <c r="H120" s="181"/>
      <c r="I120" s="181"/>
      <c r="J120" s="181"/>
      <c r="K120" s="156"/>
      <c r="L120" s="549"/>
      <c r="M120" s="181"/>
      <c r="N120" s="181"/>
      <c r="O120" s="181"/>
      <c r="P120" s="156"/>
      <c r="Q120" s="562"/>
      <c r="R120" s="181"/>
      <c r="S120" s="181"/>
      <c r="T120" s="181"/>
      <c r="U120" s="179"/>
      <c r="V120" s="549"/>
      <c r="W120" s="181"/>
      <c r="X120" s="181"/>
      <c r="Y120" s="181"/>
      <c r="Z120" s="179"/>
      <c r="AA120" s="549"/>
      <c r="AB120" s="181"/>
      <c r="AC120" s="181"/>
      <c r="AD120" s="181"/>
      <c r="AE120" s="179"/>
      <c r="AF120" s="549"/>
      <c r="AG120" s="181"/>
      <c r="AH120" s="181"/>
      <c r="AI120" s="181"/>
      <c r="AJ120" s="179"/>
      <c r="AK120" s="549"/>
      <c r="AL120" s="181"/>
      <c r="AM120" s="181"/>
      <c r="AN120" s="181"/>
      <c r="AO120" s="179"/>
      <c r="AP120" s="549"/>
      <c r="AQ120" s="181"/>
      <c r="AR120" s="181"/>
      <c r="AS120" s="181"/>
      <c r="AT120" s="179"/>
      <c r="AU120" s="549"/>
      <c r="AV120" s="181"/>
      <c r="AW120" s="181"/>
      <c r="AX120" s="181"/>
      <c r="AY120" s="181"/>
      <c r="AZ120" s="181"/>
      <c r="BA120" s="181"/>
      <c r="BB120" s="181"/>
      <c r="BC120" s="181"/>
      <c r="BD120" s="181"/>
      <c r="BE120" s="181"/>
      <c r="BF120" s="181"/>
      <c r="BG120" s="181"/>
      <c r="BH120" s="181"/>
    </row>
    <row r="121">
      <c r="A121" s="179"/>
      <c r="B121" s="549"/>
      <c r="C121" s="181"/>
      <c r="D121" s="181"/>
      <c r="E121" s="181"/>
      <c r="F121" s="179"/>
      <c r="G121" s="549"/>
      <c r="H121" s="181"/>
      <c r="I121" s="181"/>
      <c r="J121" s="181"/>
      <c r="K121" s="156"/>
      <c r="L121" s="549"/>
      <c r="M121" s="181"/>
      <c r="N121" s="181"/>
      <c r="O121" s="181"/>
      <c r="P121" s="156"/>
      <c r="Q121" s="562"/>
      <c r="R121" s="181"/>
      <c r="S121" s="181"/>
      <c r="T121" s="181"/>
      <c r="U121" s="179"/>
      <c r="V121" s="549"/>
      <c r="W121" s="181"/>
      <c r="X121" s="181"/>
      <c r="Y121" s="181"/>
      <c r="Z121" s="179"/>
      <c r="AA121" s="549"/>
      <c r="AB121" s="181"/>
      <c r="AC121" s="181"/>
      <c r="AD121" s="181"/>
      <c r="AE121" s="179"/>
      <c r="AF121" s="549"/>
      <c r="AG121" s="181"/>
      <c r="AH121" s="181"/>
      <c r="AI121" s="181"/>
      <c r="AJ121" s="179"/>
      <c r="AK121" s="549"/>
      <c r="AL121" s="181"/>
      <c r="AM121" s="181"/>
      <c r="AN121" s="181"/>
      <c r="AO121" s="179"/>
      <c r="AP121" s="549"/>
      <c r="AQ121" s="181"/>
      <c r="AR121" s="181"/>
      <c r="AS121" s="181"/>
      <c r="AT121" s="179"/>
      <c r="AU121" s="549"/>
      <c r="AV121" s="181"/>
      <c r="AW121" s="181"/>
      <c r="AX121" s="181"/>
      <c r="AY121" s="181"/>
      <c r="AZ121" s="181"/>
      <c r="BA121" s="181"/>
      <c r="BB121" s="181"/>
      <c r="BC121" s="181"/>
      <c r="BD121" s="181"/>
      <c r="BE121" s="181"/>
      <c r="BF121" s="181"/>
      <c r="BG121" s="181"/>
      <c r="BH121" s="181"/>
    </row>
    <row r="122">
      <c r="A122" s="179"/>
      <c r="B122" s="549"/>
      <c r="C122" s="181"/>
      <c r="D122" s="181"/>
      <c r="E122" s="181"/>
      <c r="F122" s="179"/>
      <c r="G122" s="549"/>
      <c r="H122" s="181"/>
      <c r="I122" s="181"/>
      <c r="J122" s="181"/>
      <c r="K122" s="156"/>
      <c r="L122" s="549"/>
      <c r="M122" s="181"/>
      <c r="N122" s="181"/>
      <c r="O122" s="181"/>
      <c r="P122" s="156"/>
      <c r="Q122" s="562"/>
      <c r="R122" s="181"/>
      <c r="S122" s="181"/>
      <c r="T122" s="181"/>
      <c r="U122" s="179"/>
      <c r="V122" s="549"/>
      <c r="W122" s="181"/>
      <c r="X122" s="181"/>
      <c r="Y122" s="181"/>
      <c r="Z122" s="179"/>
      <c r="AA122" s="549"/>
      <c r="AB122" s="181"/>
      <c r="AC122" s="181"/>
      <c r="AD122" s="181"/>
      <c r="AE122" s="179"/>
      <c r="AF122" s="549"/>
      <c r="AG122" s="181"/>
      <c r="AH122" s="181"/>
      <c r="AI122" s="181"/>
      <c r="AJ122" s="179"/>
      <c r="AK122" s="549"/>
      <c r="AL122" s="181"/>
      <c r="AM122" s="181"/>
      <c r="AN122" s="181"/>
      <c r="AO122" s="179"/>
      <c r="AP122" s="549"/>
      <c r="AQ122" s="181"/>
      <c r="AR122" s="181"/>
      <c r="AS122" s="181"/>
      <c r="AT122" s="179"/>
      <c r="AU122" s="549"/>
      <c r="AV122" s="181"/>
      <c r="AW122" s="181"/>
      <c r="AX122" s="181"/>
      <c r="AY122" s="181"/>
      <c r="AZ122" s="181"/>
      <c r="BA122" s="181"/>
      <c r="BB122" s="181"/>
      <c r="BC122" s="181"/>
      <c r="BD122" s="181"/>
      <c r="BE122" s="181"/>
      <c r="BF122" s="181"/>
      <c r="BG122" s="181"/>
      <c r="BH122" s="181"/>
    </row>
    <row r="123">
      <c r="A123" s="179"/>
      <c r="B123" s="549"/>
      <c r="C123" s="181"/>
      <c r="D123" s="181"/>
      <c r="E123" s="181"/>
      <c r="F123" s="179"/>
      <c r="G123" s="549"/>
      <c r="H123" s="181"/>
      <c r="I123" s="181"/>
      <c r="J123" s="181"/>
      <c r="K123" s="156"/>
      <c r="L123" s="549"/>
      <c r="M123" s="181"/>
      <c r="N123" s="181"/>
      <c r="O123" s="181"/>
      <c r="P123" s="156"/>
      <c r="Q123" s="562"/>
      <c r="R123" s="181"/>
      <c r="S123" s="181"/>
      <c r="T123" s="181"/>
      <c r="U123" s="179"/>
      <c r="V123" s="549"/>
      <c r="W123" s="181"/>
      <c r="X123" s="181"/>
      <c r="Y123" s="181"/>
      <c r="Z123" s="179"/>
      <c r="AA123" s="549"/>
      <c r="AB123" s="181"/>
      <c r="AC123" s="181"/>
      <c r="AD123" s="181"/>
      <c r="AE123" s="179"/>
      <c r="AF123" s="549"/>
      <c r="AG123" s="181"/>
      <c r="AH123" s="181"/>
      <c r="AI123" s="181"/>
      <c r="AJ123" s="179"/>
      <c r="AK123" s="549"/>
      <c r="AL123" s="181"/>
      <c r="AM123" s="181"/>
      <c r="AN123" s="181"/>
      <c r="AO123" s="179"/>
      <c r="AP123" s="549"/>
      <c r="AQ123" s="181"/>
      <c r="AR123" s="181"/>
      <c r="AS123" s="181"/>
      <c r="AT123" s="179"/>
      <c r="AU123" s="549"/>
      <c r="AV123" s="181"/>
      <c r="AW123" s="181"/>
      <c r="AX123" s="181"/>
      <c r="AY123" s="181"/>
      <c r="AZ123" s="181"/>
      <c r="BA123" s="181"/>
      <c r="BB123" s="181"/>
      <c r="BC123" s="181"/>
      <c r="BD123" s="181"/>
      <c r="BE123" s="181"/>
      <c r="BF123" s="181"/>
      <c r="BG123" s="181"/>
      <c r="BH123" s="181"/>
    </row>
    <row r="124">
      <c r="A124" s="179"/>
      <c r="B124" s="549"/>
      <c r="C124" s="181"/>
      <c r="D124" s="181"/>
      <c r="E124" s="181"/>
      <c r="F124" s="179"/>
      <c r="G124" s="549"/>
      <c r="H124" s="181"/>
      <c r="I124" s="181"/>
      <c r="J124" s="181"/>
      <c r="K124" s="156"/>
      <c r="L124" s="549"/>
      <c r="M124" s="181"/>
      <c r="N124" s="181"/>
      <c r="O124" s="181"/>
      <c r="P124" s="156"/>
      <c r="Q124" s="562"/>
      <c r="R124" s="181"/>
      <c r="S124" s="181"/>
      <c r="T124" s="181"/>
      <c r="U124" s="179"/>
      <c r="V124" s="549"/>
      <c r="W124" s="181"/>
      <c r="X124" s="181"/>
      <c r="Y124" s="181"/>
      <c r="Z124" s="179"/>
      <c r="AA124" s="549"/>
      <c r="AB124" s="181"/>
      <c r="AC124" s="181"/>
      <c r="AD124" s="181"/>
      <c r="AE124" s="179"/>
      <c r="AF124" s="549"/>
      <c r="AG124" s="181"/>
      <c r="AH124" s="181"/>
      <c r="AI124" s="181"/>
      <c r="AJ124" s="179"/>
      <c r="AK124" s="549"/>
      <c r="AL124" s="181"/>
      <c r="AM124" s="181"/>
      <c r="AN124" s="181"/>
      <c r="AO124" s="179"/>
      <c r="AP124" s="549"/>
      <c r="AQ124" s="181"/>
      <c r="AR124" s="181"/>
      <c r="AS124" s="181"/>
      <c r="AT124" s="179"/>
      <c r="AU124" s="549"/>
      <c r="AV124" s="181"/>
      <c r="AW124" s="181"/>
      <c r="AX124" s="181"/>
      <c r="AY124" s="181"/>
      <c r="AZ124" s="181"/>
      <c r="BA124" s="181"/>
      <c r="BB124" s="181"/>
      <c r="BC124" s="181"/>
      <c r="BD124" s="181"/>
      <c r="BE124" s="181"/>
      <c r="BF124" s="181"/>
      <c r="BG124" s="181"/>
      <c r="BH124" s="181"/>
    </row>
    <row r="125">
      <c r="A125" s="179"/>
      <c r="B125" s="549"/>
      <c r="C125" s="181"/>
      <c r="D125" s="181"/>
      <c r="E125" s="181"/>
      <c r="F125" s="179"/>
      <c r="G125" s="549"/>
      <c r="H125" s="181"/>
      <c r="I125" s="181"/>
      <c r="J125" s="181"/>
      <c r="K125" s="156"/>
      <c r="L125" s="549"/>
      <c r="M125" s="181"/>
      <c r="N125" s="181"/>
      <c r="O125" s="181"/>
      <c r="P125" s="156"/>
      <c r="Q125" s="562"/>
      <c r="R125" s="181"/>
      <c r="S125" s="181"/>
      <c r="T125" s="181"/>
      <c r="U125" s="179"/>
      <c r="V125" s="549"/>
      <c r="W125" s="181"/>
      <c r="X125" s="181"/>
      <c r="Y125" s="181"/>
      <c r="Z125" s="179"/>
      <c r="AA125" s="549"/>
      <c r="AB125" s="181"/>
      <c r="AC125" s="181"/>
      <c r="AD125" s="181"/>
      <c r="AE125" s="179"/>
      <c r="AF125" s="549"/>
      <c r="AG125" s="181"/>
      <c r="AH125" s="181"/>
      <c r="AI125" s="181"/>
      <c r="AJ125" s="179"/>
      <c r="AK125" s="549"/>
      <c r="AL125" s="181"/>
      <c r="AM125" s="181"/>
      <c r="AN125" s="181"/>
      <c r="AO125" s="179"/>
      <c r="AP125" s="549"/>
      <c r="AQ125" s="181"/>
      <c r="AR125" s="181"/>
      <c r="AS125" s="181"/>
      <c r="AT125" s="179"/>
      <c r="AU125" s="549"/>
      <c r="AV125" s="181"/>
      <c r="AW125" s="181"/>
      <c r="AX125" s="181"/>
      <c r="AY125" s="181"/>
      <c r="AZ125" s="181"/>
      <c r="BA125" s="181"/>
      <c r="BB125" s="181"/>
      <c r="BC125" s="181"/>
      <c r="BD125" s="181"/>
      <c r="BE125" s="181"/>
      <c r="BF125" s="181"/>
      <c r="BG125" s="181"/>
      <c r="BH125" s="181"/>
    </row>
    <row r="126">
      <c r="A126" s="179"/>
      <c r="B126" s="549"/>
      <c r="C126" s="181"/>
      <c r="D126" s="181"/>
      <c r="E126" s="181"/>
      <c r="F126" s="179"/>
      <c r="G126" s="549"/>
      <c r="H126" s="181"/>
      <c r="I126" s="181"/>
      <c r="J126" s="181"/>
      <c r="K126" s="156"/>
      <c r="L126" s="549"/>
      <c r="M126" s="181"/>
      <c r="N126" s="181"/>
      <c r="O126" s="181"/>
      <c r="P126" s="156"/>
      <c r="Q126" s="562"/>
      <c r="R126" s="181"/>
      <c r="S126" s="181"/>
      <c r="T126" s="181"/>
      <c r="U126" s="179"/>
      <c r="V126" s="549"/>
      <c r="W126" s="181"/>
      <c r="X126" s="181"/>
      <c r="Y126" s="181"/>
      <c r="Z126" s="179"/>
      <c r="AA126" s="549"/>
      <c r="AB126" s="181"/>
      <c r="AC126" s="181"/>
      <c r="AD126" s="181"/>
      <c r="AE126" s="179"/>
      <c r="AF126" s="549"/>
      <c r="AG126" s="181"/>
      <c r="AH126" s="181"/>
      <c r="AI126" s="181"/>
      <c r="AJ126" s="179"/>
      <c r="AK126" s="549"/>
      <c r="AL126" s="181"/>
      <c r="AM126" s="181"/>
      <c r="AN126" s="181"/>
      <c r="AO126" s="179"/>
      <c r="AP126" s="549"/>
      <c r="AQ126" s="181"/>
      <c r="AR126" s="181"/>
      <c r="AS126" s="181"/>
      <c r="AT126" s="179"/>
      <c r="AU126" s="549"/>
      <c r="AV126" s="181"/>
      <c r="AW126" s="181"/>
      <c r="AX126" s="181"/>
      <c r="AY126" s="181"/>
      <c r="AZ126" s="181"/>
      <c r="BA126" s="181"/>
      <c r="BB126" s="181"/>
      <c r="BC126" s="181"/>
      <c r="BD126" s="181"/>
      <c r="BE126" s="181"/>
      <c r="BF126" s="181"/>
      <c r="BG126" s="181"/>
      <c r="BH126" s="181"/>
    </row>
    <row r="127">
      <c r="A127" s="179"/>
      <c r="B127" s="549"/>
      <c r="C127" s="181"/>
      <c r="D127" s="181"/>
      <c r="E127" s="181"/>
      <c r="F127" s="179"/>
      <c r="G127" s="549"/>
      <c r="H127" s="181"/>
      <c r="I127" s="181"/>
      <c r="J127" s="181"/>
      <c r="K127" s="156"/>
      <c r="L127" s="549"/>
      <c r="M127" s="181"/>
      <c r="N127" s="181"/>
      <c r="O127" s="181"/>
      <c r="P127" s="156"/>
      <c r="Q127" s="562"/>
      <c r="R127" s="181"/>
      <c r="S127" s="181"/>
      <c r="T127" s="181"/>
      <c r="U127" s="179"/>
      <c r="V127" s="549"/>
      <c r="W127" s="181"/>
      <c r="X127" s="181"/>
      <c r="Y127" s="181"/>
      <c r="Z127" s="179"/>
      <c r="AA127" s="549"/>
      <c r="AB127" s="181"/>
      <c r="AC127" s="181"/>
      <c r="AD127" s="181"/>
      <c r="AE127" s="179"/>
      <c r="AF127" s="549"/>
      <c r="AG127" s="181"/>
      <c r="AH127" s="181"/>
      <c r="AI127" s="181"/>
      <c r="AJ127" s="179"/>
      <c r="AK127" s="549"/>
      <c r="AL127" s="181"/>
      <c r="AM127" s="181"/>
      <c r="AN127" s="181"/>
      <c r="AO127" s="179"/>
      <c r="AP127" s="549"/>
      <c r="AQ127" s="181"/>
      <c r="AR127" s="181"/>
      <c r="AS127" s="181"/>
      <c r="AT127" s="179"/>
      <c r="AU127" s="549"/>
      <c r="AV127" s="181"/>
      <c r="AW127" s="181"/>
      <c r="AX127" s="181"/>
      <c r="AY127" s="181"/>
      <c r="AZ127" s="181"/>
      <c r="BA127" s="181"/>
      <c r="BB127" s="181"/>
      <c r="BC127" s="181"/>
      <c r="BD127" s="181"/>
      <c r="BE127" s="181"/>
      <c r="BF127" s="181"/>
      <c r="BG127" s="181"/>
      <c r="BH127" s="181"/>
    </row>
    <row r="128">
      <c r="A128" s="179"/>
      <c r="B128" s="549"/>
      <c r="C128" s="181"/>
      <c r="D128" s="181"/>
      <c r="E128" s="181"/>
      <c r="F128" s="179"/>
      <c r="G128" s="549"/>
      <c r="H128" s="181"/>
      <c r="I128" s="181"/>
      <c r="J128" s="181"/>
      <c r="K128" s="156"/>
      <c r="L128" s="549"/>
      <c r="M128" s="181"/>
      <c r="N128" s="181"/>
      <c r="O128" s="181"/>
      <c r="P128" s="156"/>
      <c r="Q128" s="562"/>
      <c r="R128" s="181"/>
      <c r="S128" s="181"/>
      <c r="T128" s="181"/>
      <c r="U128" s="179"/>
      <c r="V128" s="549"/>
      <c r="W128" s="181"/>
      <c r="X128" s="181"/>
      <c r="Y128" s="181"/>
      <c r="Z128" s="179"/>
      <c r="AA128" s="549"/>
      <c r="AB128" s="181"/>
      <c r="AC128" s="181"/>
      <c r="AD128" s="181"/>
      <c r="AE128" s="179"/>
      <c r="AF128" s="549"/>
      <c r="AG128" s="181"/>
      <c r="AH128" s="181"/>
      <c r="AI128" s="181"/>
      <c r="AJ128" s="179"/>
      <c r="AK128" s="549"/>
      <c r="AL128" s="181"/>
      <c r="AM128" s="181"/>
      <c r="AN128" s="181"/>
      <c r="AO128" s="179"/>
      <c r="AP128" s="549"/>
      <c r="AQ128" s="181"/>
      <c r="AR128" s="181"/>
      <c r="AS128" s="181"/>
      <c r="AT128" s="179"/>
      <c r="AU128" s="549"/>
      <c r="AV128" s="181"/>
      <c r="AW128" s="181"/>
      <c r="AX128" s="181"/>
      <c r="AY128" s="181"/>
      <c r="AZ128" s="181"/>
      <c r="BA128" s="181"/>
      <c r="BB128" s="181"/>
      <c r="BC128" s="181"/>
      <c r="BD128" s="181"/>
      <c r="BE128" s="181"/>
      <c r="BF128" s="181"/>
      <c r="BG128" s="181"/>
      <c r="BH128" s="181"/>
    </row>
    <row r="129">
      <c r="A129" s="179"/>
      <c r="B129" s="549"/>
      <c r="C129" s="181"/>
      <c r="D129" s="181"/>
      <c r="E129" s="181"/>
      <c r="F129" s="179"/>
      <c r="G129" s="549"/>
      <c r="H129" s="181"/>
      <c r="I129" s="181"/>
      <c r="J129" s="181"/>
      <c r="K129" s="156"/>
      <c r="L129" s="549"/>
      <c r="M129" s="181"/>
      <c r="N129" s="181"/>
      <c r="O129" s="181"/>
      <c r="P129" s="156"/>
      <c r="Q129" s="562"/>
      <c r="R129" s="181"/>
      <c r="S129" s="181"/>
      <c r="T129" s="181"/>
      <c r="U129" s="179"/>
      <c r="V129" s="549"/>
      <c r="W129" s="181"/>
      <c r="X129" s="181"/>
      <c r="Y129" s="181"/>
      <c r="Z129" s="179"/>
      <c r="AA129" s="549"/>
      <c r="AB129" s="181"/>
      <c r="AC129" s="181"/>
      <c r="AD129" s="181"/>
      <c r="AE129" s="179"/>
      <c r="AF129" s="549"/>
      <c r="AG129" s="181"/>
      <c r="AH129" s="181"/>
      <c r="AI129" s="181"/>
      <c r="AJ129" s="179"/>
      <c r="AK129" s="549"/>
      <c r="AL129" s="181"/>
      <c r="AM129" s="181"/>
      <c r="AN129" s="181"/>
      <c r="AO129" s="179"/>
      <c r="AP129" s="549"/>
      <c r="AQ129" s="181"/>
      <c r="AR129" s="181"/>
      <c r="AS129" s="181"/>
      <c r="AT129" s="179"/>
      <c r="AU129" s="549"/>
      <c r="AV129" s="181"/>
      <c r="AW129" s="181"/>
      <c r="AX129" s="181"/>
      <c r="AY129" s="181"/>
      <c r="AZ129" s="181"/>
      <c r="BA129" s="181"/>
      <c r="BB129" s="181"/>
      <c r="BC129" s="181"/>
      <c r="BD129" s="181"/>
      <c r="BE129" s="181"/>
      <c r="BF129" s="181"/>
      <c r="BG129" s="181"/>
      <c r="BH129" s="181"/>
    </row>
    <row r="130">
      <c r="A130" s="179"/>
      <c r="B130" s="549"/>
      <c r="C130" s="181"/>
      <c r="D130" s="181"/>
      <c r="E130" s="181"/>
      <c r="F130" s="179"/>
      <c r="G130" s="549"/>
      <c r="H130" s="181"/>
      <c r="I130" s="181"/>
      <c r="J130" s="181"/>
      <c r="K130" s="156"/>
      <c r="L130" s="549"/>
      <c r="M130" s="181"/>
      <c r="N130" s="181"/>
      <c r="O130" s="181"/>
      <c r="P130" s="156"/>
      <c r="Q130" s="562"/>
      <c r="R130" s="181"/>
      <c r="S130" s="181"/>
      <c r="T130" s="181"/>
      <c r="U130" s="179"/>
      <c r="V130" s="549"/>
      <c r="W130" s="181"/>
      <c r="X130" s="181"/>
      <c r="Y130" s="181"/>
      <c r="Z130" s="179"/>
      <c r="AA130" s="549"/>
      <c r="AB130" s="181"/>
      <c r="AC130" s="181"/>
      <c r="AD130" s="181"/>
      <c r="AE130" s="179"/>
      <c r="AF130" s="549"/>
      <c r="AG130" s="181"/>
      <c r="AH130" s="181"/>
      <c r="AI130" s="181"/>
      <c r="AJ130" s="179"/>
      <c r="AK130" s="549"/>
      <c r="AL130" s="181"/>
      <c r="AM130" s="181"/>
      <c r="AN130" s="181"/>
      <c r="AO130" s="179"/>
      <c r="AP130" s="549"/>
      <c r="AQ130" s="181"/>
      <c r="AR130" s="181"/>
      <c r="AS130" s="181"/>
      <c r="AT130" s="179"/>
      <c r="AU130" s="549"/>
      <c r="AV130" s="181"/>
      <c r="AW130" s="181"/>
      <c r="AX130" s="181"/>
      <c r="AY130" s="181"/>
      <c r="AZ130" s="181"/>
      <c r="BA130" s="181"/>
      <c r="BB130" s="181"/>
      <c r="BC130" s="181"/>
      <c r="BD130" s="181"/>
      <c r="BE130" s="181"/>
      <c r="BF130" s="181"/>
      <c r="BG130" s="181"/>
      <c r="BH130" s="181"/>
    </row>
    <row r="131">
      <c r="A131" s="179"/>
      <c r="B131" s="549"/>
      <c r="C131" s="181"/>
      <c r="D131" s="181"/>
      <c r="E131" s="181"/>
      <c r="F131" s="179"/>
      <c r="G131" s="549"/>
      <c r="H131" s="181"/>
      <c r="I131" s="181"/>
      <c r="J131" s="181"/>
      <c r="K131" s="156"/>
      <c r="L131" s="549"/>
      <c r="M131" s="181"/>
      <c r="N131" s="181"/>
      <c r="O131" s="181"/>
      <c r="P131" s="156"/>
      <c r="Q131" s="562"/>
      <c r="R131" s="181"/>
      <c r="S131" s="181"/>
      <c r="T131" s="181"/>
      <c r="U131" s="179"/>
      <c r="V131" s="549"/>
      <c r="W131" s="181"/>
      <c r="X131" s="181"/>
      <c r="Y131" s="181"/>
      <c r="Z131" s="179"/>
      <c r="AA131" s="549"/>
      <c r="AB131" s="181"/>
      <c r="AC131" s="181"/>
      <c r="AD131" s="181"/>
      <c r="AE131" s="179"/>
      <c r="AF131" s="549"/>
      <c r="AG131" s="181"/>
      <c r="AH131" s="181"/>
      <c r="AI131" s="181"/>
      <c r="AJ131" s="179"/>
      <c r="AK131" s="549"/>
      <c r="AL131" s="181"/>
      <c r="AM131" s="181"/>
      <c r="AN131" s="181"/>
      <c r="AO131" s="179"/>
      <c r="AP131" s="549"/>
      <c r="AQ131" s="181"/>
      <c r="AR131" s="181"/>
      <c r="AS131" s="181"/>
      <c r="AT131" s="179"/>
      <c r="AU131" s="549"/>
      <c r="AV131" s="181"/>
      <c r="AW131" s="181"/>
      <c r="AX131" s="181"/>
      <c r="AY131" s="181"/>
      <c r="AZ131" s="181"/>
      <c r="BA131" s="181"/>
      <c r="BB131" s="181"/>
      <c r="BC131" s="181"/>
      <c r="BD131" s="181"/>
      <c r="BE131" s="181"/>
      <c r="BF131" s="181"/>
      <c r="BG131" s="181"/>
      <c r="BH131" s="181"/>
    </row>
    <row r="132">
      <c r="A132" s="179"/>
      <c r="B132" s="549"/>
      <c r="C132" s="181"/>
      <c r="D132" s="181"/>
      <c r="E132" s="181"/>
      <c r="F132" s="179"/>
      <c r="G132" s="549"/>
      <c r="H132" s="181"/>
      <c r="I132" s="181"/>
      <c r="J132" s="181"/>
      <c r="K132" s="156"/>
      <c r="L132" s="549"/>
      <c r="M132" s="181"/>
      <c r="N132" s="181"/>
      <c r="O132" s="181"/>
      <c r="P132" s="156"/>
      <c r="Q132" s="562"/>
      <c r="R132" s="181"/>
      <c r="S132" s="181"/>
      <c r="T132" s="181"/>
      <c r="U132" s="179"/>
      <c r="V132" s="549"/>
      <c r="W132" s="181"/>
      <c r="X132" s="181"/>
      <c r="Y132" s="181"/>
      <c r="Z132" s="179"/>
      <c r="AA132" s="549"/>
      <c r="AB132" s="181"/>
      <c r="AC132" s="181"/>
      <c r="AD132" s="181"/>
      <c r="AE132" s="179"/>
      <c r="AF132" s="549"/>
      <c r="AG132" s="181"/>
      <c r="AH132" s="181"/>
      <c r="AI132" s="181"/>
      <c r="AJ132" s="179"/>
      <c r="AK132" s="549"/>
      <c r="AL132" s="181"/>
      <c r="AM132" s="181"/>
      <c r="AN132" s="181"/>
      <c r="AO132" s="179"/>
      <c r="AP132" s="549"/>
      <c r="AQ132" s="181"/>
      <c r="AR132" s="181"/>
      <c r="AS132" s="181"/>
      <c r="AT132" s="179"/>
      <c r="AU132" s="549"/>
      <c r="AV132" s="181"/>
      <c r="AW132" s="181"/>
      <c r="AX132" s="181"/>
      <c r="AY132" s="181"/>
      <c r="AZ132" s="181"/>
      <c r="BA132" s="181"/>
      <c r="BB132" s="181"/>
      <c r="BC132" s="181"/>
      <c r="BD132" s="181"/>
      <c r="BE132" s="181"/>
      <c r="BF132" s="181"/>
      <c r="BG132" s="181"/>
      <c r="BH132" s="181"/>
    </row>
    <row r="133">
      <c r="A133" s="179"/>
      <c r="B133" s="549"/>
      <c r="C133" s="181"/>
      <c r="D133" s="181"/>
      <c r="E133" s="181"/>
      <c r="F133" s="179"/>
      <c r="G133" s="549"/>
      <c r="H133" s="181"/>
      <c r="I133" s="181"/>
      <c r="J133" s="181"/>
      <c r="K133" s="156"/>
      <c r="L133" s="549"/>
      <c r="M133" s="181"/>
      <c r="N133" s="181"/>
      <c r="O133" s="181"/>
      <c r="P133" s="156"/>
      <c r="Q133" s="562"/>
      <c r="R133" s="181"/>
      <c r="S133" s="181"/>
      <c r="T133" s="181"/>
      <c r="U133" s="179"/>
      <c r="V133" s="549"/>
      <c r="W133" s="181"/>
      <c r="X133" s="181"/>
      <c r="Y133" s="181"/>
      <c r="Z133" s="179"/>
      <c r="AA133" s="549"/>
      <c r="AB133" s="181"/>
      <c r="AC133" s="181"/>
      <c r="AD133" s="181"/>
      <c r="AE133" s="179"/>
      <c r="AF133" s="549"/>
      <c r="AG133" s="181"/>
      <c r="AH133" s="181"/>
      <c r="AI133" s="181"/>
      <c r="AJ133" s="179"/>
      <c r="AK133" s="549"/>
      <c r="AL133" s="181"/>
      <c r="AM133" s="181"/>
      <c r="AN133" s="181"/>
      <c r="AO133" s="179"/>
      <c r="AP133" s="549"/>
      <c r="AQ133" s="181"/>
      <c r="AR133" s="181"/>
      <c r="AS133" s="181"/>
      <c r="AT133" s="179"/>
      <c r="AU133" s="549"/>
      <c r="AV133" s="181"/>
      <c r="AW133" s="181"/>
      <c r="AX133" s="181"/>
      <c r="AY133" s="181"/>
      <c r="AZ133" s="181"/>
      <c r="BA133" s="181"/>
      <c r="BB133" s="181"/>
      <c r="BC133" s="181"/>
      <c r="BD133" s="181"/>
      <c r="BE133" s="181"/>
      <c r="BF133" s="181"/>
      <c r="BG133" s="181"/>
      <c r="BH133" s="181"/>
    </row>
    <row r="134">
      <c r="A134" s="179"/>
      <c r="B134" s="549"/>
      <c r="C134" s="181"/>
      <c r="D134" s="181"/>
      <c r="E134" s="181"/>
      <c r="F134" s="179"/>
      <c r="G134" s="549"/>
      <c r="H134" s="181"/>
      <c r="I134" s="181"/>
      <c r="J134" s="181"/>
      <c r="K134" s="156"/>
      <c r="L134" s="549"/>
      <c r="M134" s="181"/>
      <c r="N134" s="181"/>
      <c r="O134" s="181"/>
      <c r="P134" s="156"/>
      <c r="Q134" s="562"/>
      <c r="R134" s="181"/>
      <c r="S134" s="181"/>
      <c r="T134" s="181"/>
      <c r="U134" s="179"/>
      <c r="V134" s="549"/>
      <c r="W134" s="181"/>
      <c r="X134" s="181"/>
      <c r="Y134" s="181"/>
      <c r="Z134" s="179"/>
      <c r="AA134" s="549"/>
      <c r="AB134" s="181"/>
      <c r="AC134" s="181"/>
      <c r="AD134" s="181"/>
      <c r="AE134" s="179"/>
      <c r="AF134" s="549"/>
      <c r="AG134" s="181"/>
      <c r="AH134" s="181"/>
      <c r="AI134" s="181"/>
      <c r="AJ134" s="179"/>
      <c r="AK134" s="549"/>
      <c r="AL134" s="181"/>
      <c r="AM134" s="181"/>
      <c r="AN134" s="181"/>
      <c r="AO134" s="179"/>
      <c r="AP134" s="549"/>
      <c r="AQ134" s="181"/>
      <c r="AR134" s="181"/>
      <c r="AS134" s="181"/>
      <c r="AT134" s="179"/>
      <c r="AU134" s="549"/>
      <c r="AV134" s="181"/>
      <c r="AW134" s="181"/>
      <c r="AX134" s="181"/>
      <c r="AY134" s="181"/>
      <c r="AZ134" s="181"/>
      <c r="BA134" s="181"/>
      <c r="BB134" s="181"/>
      <c r="BC134" s="181"/>
      <c r="BD134" s="181"/>
      <c r="BE134" s="181"/>
      <c r="BF134" s="181"/>
      <c r="BG134" s="181"/>
      <c r="BH134" s="181"/>
    </row>
    <row r="135">
      <c r="A135" s="179"/>
      <c r="B135" s="549"/>
      <c r="C135" s="181"/>
      <c r="D135" s="181"/>
      <c r="E135" s="181"/>
      <c r="F135" s="179"/>
      <c r="G135" s="549"/>
      <c r="H135" s="181"/>
      <c r="I135" s="181"/>
      <c r="J135" s="181"/>
      <c r="K135" s="156"/>
      <c r="L135" s="549"/>
      <c r="M135" s="181"/>
      <c r="N135" s="181"/>
      <c r="O135" s="181"/>
      <c r="P135" s="156"/>
      <c r="Q135" s="562"/>
      <c r="R135" s="181"/>
      <c r="S135" s="181"/>
      <c r="T135" s="181"/>
      <c r="U135" s="179"/>
      <c r="V135" s="549"/>
      <c r="W135" s="181"/>
      <c r="X135" s="181"/>
      <c r="Y135" s="181"/>
      <c r="Z135" s="179"/>
      <c r="AA135" s="549"/>
      <c r="AB135" s="181"/>
      <c r="AC135" s="181"/>
      <c r="AD135" s="181"/>
      <c r="AE135" s="179"/>
      <c r="AF135" s="549"/>
      <c r="AG135" s="181"/>
      <c r="AH135" s="181"/>
      <c r="AI135" s="181"/>
      <c r="AJ135" s="179"/>
      <c r="AK135" s="549"/>
      <c r="AL135" s="181"/>
      <c r="AM135" s="181"/>
      <c r="AN135" s="181"/>
      <c r="AO135" s="179"/>
      <c r="AP135" s="549"/>
      <c r="AQ135" s="181"/>
      <c r="AR135" s="181"/>
      <c r="AS135" s="181"/>
      <c r="AT135" s="179"/>
      <c r="AU135" s="549"/>
      <c r="AV135" s="181"/>
      <c r="AW135" s="181"/>
      <c r="AX135" s="181"/>
      <c r="AY135" s="181"/>
      <c r="AZ135" s="181"/>
      <c r="BA135" s="181"/>
      <c r="BB135" s="181"/>
      <c r="BC135" s="181"/>
      <c r="BD135" s="181"/>
      <c r="BE135" s="181"/>
      <c r="BF135" s="181"/>
      <c r="BG135" s="181"/>
      <c r="BH135" s="181"/>
    </row>
    <row r="136">
      <c r="A136" s="179"/>
      <c r="B136" s="549"/>
      <c r="C136" s="181"/>
      <c r="D136" s="181"/>
      <c r="E136" s="181"/>
      <c r="F136" s="179"/>
      <c r="G136" s="549"/>
      <c r="H136" s="181"/>
      <c r="I136" s="181"/>
      <c r="J136" s="181"/>
      <c r="K136" s="156"/>
      <c r="L136" s="549"/>
      <c r="M136" s="181"/>
      <c r="N136" s="181"/>
      <c r="O136" s="181"/>
      <c r="P136" s="156"/>
      <c r="Q136" s="562"/>
      <c r="R136" s="181"/>
      <c r="S136" s="181"/>
      <c r="T136" s="181"/>
      <c r="U136" s="179"/>
      <c r="V136" s="549"/>
      <c r="W136" s="181"/>
      <c r="X136" s="181"/>
      <c r="Y136" s="181"/>
      <c r="Z136" s="179"/>
      <c r="AA136" s="549"/>
      <c r="AB136" s="181"/>
      <c r="AC136" s="181"/>
      <c r="AD136" s="181"/>
      <c r="AE136" s="179"/>
      <c r="AF136" s="549"/>
      <c r="AG136" s="181"/>
      <c r="AH136" s="181"/>
      <c r="AI136" s="181"/>
      <c r="AJ136" s="179"/>
      <c r="AK136" s="549"/>
      <c r="AL136" s="181"/>
      <c r="AM136" s="181"/>
      <c r="AN136" s="181"/>
      <c r="AO136" s="179"/>
      <c r="AP136" s="549"/>
      <c r="AQ136" s="181"/>
      <c r="AR136" s="181"/>
      <c r="AS136" s="181"/>
      <c r="AT136" s="179"/>
      <c r="AU136" s="549"/>
      <c r="AV136" s="181"/>
      <c r="AW136" s="181"/>
      <c r="AX136" s="181"/>
      <c r="AY136" s="181"/>
      <c r="AZ136" s="181"/>
      <c r="BA136" s="181"/>
      <c r="BB136" s="181"/>
      <c r="BC136" s="181"/>
      <c r="BD136" s="181"/>
      <c r="BE136" s="181"/>
      <c r="BF136" s="181"/>
      <c r="BG136" s="181"/>
      <c r="BH136" s="181"/>
    </row>
    <row r="137">
      <c r="A137" s="179"/>
      <c r="B137" s="549"/>
      <c r="C137" s="181"/>
      <c r="D137" s="181"/>
      <c r="E137" s="181"/>
      <c r="F137" s="179"/>
      <c r="G137" s="549"/>
      <c r="H137" s="181"/>
      <c r="I137" s="181"/>
      <c r="J137" s="181"/>
      <c r="K137" s="156"/>
      <c r="L137" s="549"/>
      <c r="M137" s="181"/>
      <c r="N137" s="181"/>
      <c r="O137" s="181"/>
      <c r="P137" s="156"/>
      <c r="Q137" s="562"/>
      <c r="R137" s="181"/>
      <c r="S137" s="181"/>
      <c r="T137" s="181"/>
      <c r="U137" s="179"/>
      <c r="V137" s="549"/>
      <c r="W137" s="181"/>
      <c r="X137" s="181"/>
      <c r="Y137" s="181"/>
      <c r="Z137" s="179"/>
      <c r="AA137" s="549"/>
      <c r="AB137" s="181"/>
      <c r="AC137" s="181"/>
      <c r="AD137" s="181"/>
      <c r="AE137" s="179"/>
      <c r="AF137" s="549"/>
      <c r="AG137" s="181"/>
      <c r="AH137" s="181"/>
      <c r="AI137" s="181"/>
      <c r="AJ137" s="179"/>
      <c r="AK137" s="549"/>
      <c r="AL137" s="181"/>
      <c r="AM137" s="181"/>
      <c r="AN137" s="181"/>
      <c r="AO137" s="179"/>
      <c r="AP137" s="549"/>
      <c r="AQ137" s="181"/>
      <c r="AR137" s="181"/>
      <c r="AS137" s="181"/>
      <c r="AT137" s="179"/>
      <c r="AU137" s="549"/>
      <c r="AV137" s="181"/>
      <c r="AW137" s="181"/>
      <c r="AX137" s="181"/>
      <c r="AY137" s="181"/>
      <c r="AZ137" s="181"/>
      <c r="BA137" s="181"/>
      <c r="BB137" s="181"/>
      <c r="BC137" s="181"/>
      <c r="BD137" s="181"/>
      <c r="BE137" s="181"/>
      <c r="BF137" s="181"/>
      <c r="BG137" s="181"/>
      <c r="BH137" s="181"/>
    </row>
    <row r="138">
      <c r="A138" s="179"/>
      <c r="B138" s="549"/>
      <c r="C138" s="181"/>
      <c r="D138" s="181"/>
      <c r="E138" s="181"/>
      <c r="F138" s="179"/>
      <c r="G138" s="549"/>
      <c r="H138" s="181"/>
      <c r="I138" s="181"/>
      <c r="J138" s="181"/>
      <c r="K138" s="156"/>
      <c r="L138" s="549"/>
      <c r="M138" s="181"/>
      <c r="N138" s="181"/>
      <c r="O138" s="181"/>
      <c r="P138" s="156"/>
      <c r="Q138" s="562"/>
      <c r="R138" s="181"/>
      <c r="S138" s="181"/>
      <c r="T138" s="181"/>
      <c r="U138" s="179"/>
      <c r="V138" s="549"/>
      <c r="W138" s="181"/>
      <c r="X138" s="181"/>
      <c r="Y138" s="181"/>
      <c r="Z138" s="179"/>
      <c r="AA138" s="549"/>
      <c r="AB138" s="181"/>
      <c r="AC138" s="181"/>
      <c r="AD138" s="181"/>
      <c r="AE138" s="179"/>
      <c r="AF138" s="549"/>
      <c r="AG138" s="181"/>
      <c r="AH138" s="181"/>
      <c r="AI138" s="181"/>
      <c r="AJ138" s="179"/>
      <c r="AK138" s="549"/>
      <c r="AL138" s="181"/>
      <c r="AM138" s="181"/>
      <c r="AN138" s="181"/>
      <c r="AO138" s="179"/>
      <c r="AP138" s="549"/>
      <c r="AQ138" s="181"/>
      <c r="AR138" s="181"/>
      <c r="AS138" s="181"/>
      <c r="AT138" s="179"/>
      <c r="AU138" s="549"/>
      <c r="AV138" s="181"/>
      <c r="AW138" s="181"/>
      <c r="AX138" s="181"/>
      <c r="AY138" s="181"/>
      <c r="AZ138" s="181"/>
      <c r="BA138" s="181"/>
      <c r="BB138" s="181"/>
      <c r="BC138" s="181"/>
      <c r="BD138" s="181"/>
      <c r="BE138" s="181"/>
      <c r="BF138" s="181"/>
      <c r="BG138" s="181"/>
      <c r="BH138" s="181"/>
    </row>
    <row r="139">
      <c r="A139" s="179"/>
      <c r="B139" s="549"/>
      <c r="C139" s="181"/>
      <c r="D139" s="181"/>
      <c r="E139" s="181"/>
      <c r="F139" s="179"/>
      <c r="G139" s="549"/>
      <c r="H139" s="181"/>
      <c r="I139" s="181"/>
      <c r="J139" s="181"/>
      <c r="K139" s="156"/>
      <c r="L139" s="549"/>
      <c r="M139" s="181"/>
      <c r="N139" s="181"/>
      <c r="O139" s="181"/>
      <c r="P139" s="156"/>
      <c r="Q139" s="562"/>
      <c r="R139" s="181"/>
      <c r="S139" s="181"/>
      <c r="T139" s="181"/>
      <c r="U139" s="179"/>
      <c r="V139" s="549"/>
      <c r="W139" s="181"/>
      <c r="X139" s="181"/>
      <c r="Y139" s="181"/>
      <c r="Z139" s="179"/>
      <c r="AA139" s="549"/>
      <c r="AB139" s="181"/>
      <c r="AC139" s="181"/>
      <c r="AD139" s="181"/>
      <c r="AE139" s="179"/>
      <c r="AF139" s="549"/>
      <c r="AG139" s="181"/>
      <c r="AH139" s="181"/>
      <c r="AI139" s="181"/>
      <c r="AJ139" s="179"/>
      <c r="AK139" s="549"/>
      <c r="AL139" s="181"/>
      <c r="AM139" s="181"/>
      <c r="AN139" s="181"/>
      <c r="AO139" s="179"/>
      <c r="AP139" s="549"/>
      <c r="AQ139" s="181"/>
      <c r="AR139" s="181"/>
      <c r="AS139" s="181"/>
      <c r="AT139" s="179"/>
      <c r="AU139" s="549"/>
      <c r="AV139" s="181"/>
      <c r="AW139" s="181"/>
      <c r="AX139" s="181"/>
      <c r="AY139" s="181"/>
      <c r="AZ139" s="181"/>
      <c r="BA139" s="181"/>
      <c r="BB139" s="181"/>
      <c r="BC139" s="181"/>
      <c r="BD139" s="181"/>
      <c r="BE139" s="181"/>
      <c r="BF139" s="181"/>
      <c r="BG139" s="181"/>
      <c r="BH139" s="181"/>
    </row>
    <row r="140">
      <c r="A140" s="179"/>
      <c r="B140" s="549"/>
      <c r="C140" s="181"/>
      <c r="D140" s="181"/>
      <c r="E140" s="181"/>
      <c r="F140" s="179"/>
      <c r="G140" s="549"/>
      <c r="H140" s="181"/>
      <c r="I140" s="181"/>
      <c r="J140" s="181"/>
      <c r="K140" s="156"/>
      <c r="L140" s="549"/>
      <c r="M140" s="181"/>
      <c r="N140" s="181"/>
      <c r="O140" s="181"/>
      <c r="P140" s="156"/>
      <c r="Q140" s="562"/>
      <c r="R140" s="181"/>
      <c r="S140" s="181"/>
      <c r="T140" s="181"/>
      <c r="U140" s="179"/>
      <c r="V140" s="549"/>
      <c r="W140" s="181"/>
      <c r="X140" s="181"/>
      <c r="Y140" s="181"/>
      <c r="Z140" s="179"/>
      <c r="AA140" s="549"/>
      <c r="AB140" s="181"/>
      <c r="AC140" s="181"/>
      <c r="AD140" s="181"/>
      <c r="AE140" s="179"/>
      <c r="AF140" s="549"/>
      <c r="AG140" s="181"/>
      <c r="AH140" s="181"/>
      <c r="AI140" s="181"/>
      <c r="AJ140" s="179"/>
      <c r="AK140" s="549"/>
      <c r="AL140" s="181"/>
      <c r="AM140" s="181"/>
      <c r="AN140" s="181"/>
      <c r="AO140" s="179"/>
      <c r="AP140" s="549"/>
      <c r="AQ140" s="181"/>
      <c r="AR140" s="181"/>
      <c r="AS140" s="181"/>
      <c r="AT140" s="179"/>
      <c r="AU140" s="549"/>
      <c r="AV140" s="181"/>
      <c r="AW140" s="181"/>
      <c r="AX140" s="181"/>
      <c r="AY140" s="181"/>
      <c r="AZ140" s="181"/>
      <c r="BA140" s="181"/>
      <c r="BB140" s="181"/>
      <c r="BC140" s="181"/>
      <c r="BD140" s="181"/>
      <c r="BE140" s="181"/>
      <c r="BF140" s="181"/>
      <c r="BG140" s="181"/>
      <c r="BH140" s="181"/>
    </row>
    <row r="141">
      <c r="A141" s="179"/>
      <c r="B141" s="549"/>
      <c r="C141" s="181"/>
      <c r="D141" s="181"/>
      <c r="E141" s="181"/>
      <c r="F141" s="179"/>
      <c r="G141" s="549"/>
      <c r="H141" s="181"/>
      <c r="I141" s="181"/>
      <c r="J141" s="181"/>
      <c r="K141" s="156"/>
      <c r="L141" s="549"/>
      <c r="M141" s="181"/>
      <c r="N141" s="181"/>
      <c r="O141" s="181"/>
      <c r="P141" s="156"/>
      <c r="Q141" s="562"/>
      <c r="R141" s="181"/>
      <c r="S141" s="181"/>
      <c r="T141" s="181"/>
      <c r="U141" s="179"/>
      <c r="V141" s="549"/>
      <c r="W141" s="181"/>
      <c r="X141" s="181"/>
      <c r="Y141" s="181"/>
      <c r="Z141" s="179"/>
      <c r="AA141" s="549"/>
      <c r="AB141" s="181"/>
      <c r="AC141" s="181"/>
      <c r="AD141" s="181"/>
      <c r="AE141" s="179"/>
      <c r="AF141" s="549"/>
      <c r="AG141" s="181"/>
      <c r="AH141" s="181"/>
      <c r="AI141" s="181"/>
      <c r="AJ141" s="179"/>
      <c r="AK141" s="549"/>
      <c r="AL141" s="181"/>
      <c r="AM141" s="181"/>
      <c r="AN141" s="181"/>
      <c r="AO141" s="179"/>
      <c r="AP141" s="549"/>
      <c r="AQ141" s="181"/>
      <c r="AR141" s="181"/>
      <c r="AS141" s="181"/>
      <c r="AT141" s="179"/>
      <c r="AU141" s="549"/>
      <c r="AV141" s="181"/>
      <c r="AW141" s="181"/>
      <c r="AX141" s="181"/>
      <c r="AY141" s="181"/>
      <c r="AZ141" s="181"/>
      <c r="BA141" s="181"/>
      <c r="BB141" s="181"/>
      <c r="BC141" s="181"/>
      <c r="BD141" s="181"/>
      <c r="BE141" s="181"/>
      <c r="BF141" s="181"/>
      <c r="BG141" s="181"/>
      <c r="BH141" s="181"/>
    </row>
    <row r="142">
      <c r="A142" s="179"/>
      <c r="B142" s="549"/>
      <c r="C142" s="181"/>
      <c r="D142" s="181"/>
      <c r="E142" s="181"/>
      <c r="F142" s="179"/>
      <c r="G142" s="549"/>
      <c r="H142" s="181"/>
      <c r="I142" s="181"/>
      <c r="J142" s="181"/>
      <c r="K142" s="156"/>
      <c r="L142" s="549"/>
      <c r="M142" s="181"/>
      <c r="N142" s="181"/>
      <c r="O142" s="181"/>
      <c r="P142" s="156"/>
      <c r="Q142" s="562"/>
      <c r="R142" s="181"/>
      <c r="S142" s="181"/>
      <c r="T142" s="181"/>
      <c r="U142" s="179"/>
      <c r="V142" s="549"/>
      <c r="W142" s="181"/>
      <c r="X142" s="181"/>
      <c r="Y142" s="181"/>
      <c r="Z142" s="179"/>
      <c r="AA142" s="549"/>
      <c r="AB142" s="181"/>
      <c r="AC142" s="181"/>
      <c r="AD142" s="181"/>
      <c r="AE142" s="179"/>
      <c r="AF142" s="549"/>
      <c r="AG142" s="181"/>
      <c r="AH142" s="181"/>
      <c r="AI142" s="181"/>
      <c r="AJ142" s="179"/>
      <c r="AK142" s="549"/>
      <c r="AL142" s="181"/>
      <c r="AM142" s="181"/>
      <c r="AN142" s="181"/>
      <c r="AO142" s="179"/>
      <c r="AP142" s="549"/>
      <c r="AQ142" s="181"/>
      <c r="AR142" s="181"/>
      <c r="AS142" s="181"/>
      <c r="AT142" s="179"/>
      <c r="AU142" s="549"/>
      <c r="AV142" s="181"/>
      <c r="AW142" s="181"/>
      <c r="AX142" s="181"/>
      <c r="AY142" s="181"/>
      <c r="AZ142" s="181"/>
      <c r="BA142" s="181"/>
      <c r="BB142" s="181"/>
      <c r="BC142" s="181"/>
      <c r="BD142" s="181"/>
      <c r="BE142" s="181"/>
      <c r="BF142" s="181"/>
      <c r="BG142" s="181"/>
      <c r="BH142" s="181"/>
    </row>
    <row r="143">
      <c r="A143" s="179"/>
      <c r="B143" s="549"/>
      <c r="C143" s="181"/>
      <c r="D143" s="181"/>
      <c r="E143" s="181"/>
      <c r="F143" s="179"/>
      <c r="G143" s="549"/>
      <c r="H143" s="181"/>
      <c r="I143" s="181"/>
      <c r="J143" s="181"/>
      <c r="K143" s="156"/>
      <c r="L143" s="549"/>
      <c r="M143" s="181"/>
      <c r="N143" s="181"/>
      <c r="O143" s="181"/>
      <c r="P143" s="156"/>
      <c r="Q143" s="562"/>
      <c r="R143" s="181"/>
      <c r="S143" s="181"/>
      <c r="T143" s="181"/>
      <c r="U143" s="179"/>
      <c r="V143" s="549"/>
      <c r="W143" s="181"/>
      <c r="X143" s="181"/>
      <c r="Y143" s="181"/>
      <c r="Z143" s="179"/>
      <c r="AA143" s="549"/>
      <c r="AB143" s="181"/>
      <c r="AC143" s="181"/>
      <c r="AD143" s="181"/>
      <c r="AE143" s="179"/>
      <c r="AF143" s="549"/>
      <c r="AG143" s="181"/>
      <c r="AH143" s="181"/>
      <c r="AI143" s="181"/>
      <c r="AJ143" s="179"/>
      <c r="AK143" s="549"/>
      <c r="AL143" s="181"/>
      <c r="AM143" s="181"/>
      <c r="AN143" s="181"/>
      <c r="AO143" s="179"/>
      <c r="AP143" s="549"/>
      <c r="AQ143" s="181"/>
      <c r="AR143" s="181"/>
      <c r="AS143" s="181"/>
      <c r="AT143" s="179"/>
      <c r="AU143" s="549"/>
      <c r="AV143" s="181"/>
      <c r="AW143" s="181"/>
      <c r="AX143" s="181"/>
      <c r="AY143" s="181"/>
      <c r="AZ143" s="181"/>
      <c r="BA143" s="181"/>
      <c r="BB143" s="181"/>
      <c r="BC143" s="181"/>
      <c r="BD143" s="181"/>
      <c r="BE143" s="181"/>
      <c r="BF143" s="181"/>
      <c r="BG143" s="181"/>
      <c r="BH143" s="181"/>
    </row>
    <row r="144">
      <c r="A144" s="179"/>
      <c r="B144" s="549"/>
      <c r="C144" s="181"/>
      <c r="D144" s="181"/>
      <c r="E144" s="181"/>
      <c r="F144" s="179"/>
      <c r="G144" s="549"/>
      <c r="H144" s="181"/>
      <c r="I144" s="181"/>
      <c r="J144" s="181"/>
      <c r="K144" s="156"/>
      <c r="L144" s="549"/>
      <c r="M144" s="181"/>
      <c r="N144" s="181"/>
      <c r="O144" s="181"/>
      <c r="P144" s="156"/>
      <c r="Q144" s="562"/>
      <c r="R144" s="181"/>
      <c r="S144" s="181"/>
      <c r="T144" s="181"/>
      <c r="U144" s="179"/>
      <c r="V144" s="549"/>
      <c r="W144" s="181"/>
      <c r="X144" s="181"/>
      <c r="Y144" s="181"/>
      <c r="Z144" s="179"/>
      <c r="AA144" s="549"/>
      <c r="AB144" s="181"/>
      <c r="AC144" s="181"/>
      <c r="AD144" s="181"/>
      <c r="AE144" s="179"/>
      <c r="AF144" s="549"/>
      <c r="AG144" s="181"/>
      <c r="AH144" s="181"/>
      <c r="AI144" s="181"/>
      <c r="AJ144" s="179"/>
      <c r="AK144" s="549"/>
      <c r="AL144" s="181"/>
      <c r="AM144" s="181"/>
      <c r="AN144" s="181"/>
      <c r="AO144" s="179"/>
      <c r="AP144" s="549"/>
      <c r="AQ144" s="181"/>
      <c r="AR144" s="181"/>
      <c r="AS144" s="181"/>
      <c r="AT144" s="179"/>
      <c r="AU144" s="549"/>
      <c r="AV144" s="181"/>
      <c r="AW144" s="181"/>
      <c r="AX144" s="181"/>
      <c r="AY144" s="181"/>
      <c r="AZ144" s="181"/>
      <c r="BA144" s="181"/>
      <c r="BB144" s="181"/>
      <c r="BC144" s="181"/>
      <c r="BD144" s="181"/>
      <c r="BE144" s="181"/>
      <c r="BF144" s="181"/>
      <c r="BG144" s="181"/>
      <c r="BH144" s="181"/>
    </row>
    <row r="145">
      <c r="A145" s="179"/>
      <c r="B145" s="549"/>
      <c r="C145" s="181"/>
      <c r="D145" s="181"/>
      <c r="E145" s="181"/>
      <c r="F145" s="179"/>
      <c r="G145" s="549"/>
      <c r="H145" s="181"/>
      <c r="I145" s="181"/>
      <c r="J145" s="181"/>
      <c r="K145" s="156"/>
      <c r="L145" s="549"/>
      <c r="M145" s="181"/>
      <c r="N145" s="181"/>
      <c r="O145" s="181"/>
      <c r="P145" s="156"/>
      <c r="Q145" s="562"/>
      <c r="R145" s="181"/>
      <c r="S145" s="181"/>
      <c r="T145" s="181"/>
      <c r="U145" s="179"/>
      <c r="V145" s="549"/>
      <c r="W145" s="181"/>
      <c r="X145" s="181"/>
      <c r="Y145" s="181"/>
      <c r="Z145" s="179"/>
      <c r="AA145" s="549"/>
      <c r="AB145" s="181"/>
      <c r="AC145" s="181"/>
      <c r="AD145" s="181"/>
      <c r="AE145" s="179"/>
      <c r="AF145" s="549"/>
      <c r="AG145" s="181"/>
      <c r="AH145" s="181"/>
      <c r="AI145" s="181"/>
      <c r="AJ145" s="179"/>
      <c r="AK145" s="549"/>
      <c r="AL145" s="181"/>
      <c r="AM145" s="181"/>
      <c r="AN145" s="181"/>
      <c r="AO145" s="179"/>
      <c r="AP145" s="549"/>
      <c r="AQ145" s="181"/>
      <c r="AR145" s="181"/>
      <c r="AS145" s="181"/>
      <c r="AT145" s="179"/>
      <c r="AU145" s="549"/>
      <c r="AV145" s="181"/>
      <c r="AW145" s="181"/>
      <c r="AX145" s="181"/>
      <c r="AY145" s="181"/>
      <c r="AZ145" s="181"/>
      <c r="BA145" s="181"/>
      <c r="BB145" s="181"/>
      <c r="BC145" s="181"/>
      <c r="BD145" s="181"/>
      <c r="BE145" s="181"/>
      <c r="BF145" s="181"/>
      <c r="BG145" s="181"/>
      <c r="BH145" s="181"/>
    </row>
    <row r="146">
      <c r="A146" s="179"/>
      <c r="B146" s="549"/>
      <c r="C146" s="181"/>
      <c r="D146" s="181"/>
      <c r="E146" s="181"/>
      <c r="F146" s="179"/>
      <c r="G146" s="549"/>
      <c r="H146" s="181"/>
      <c r="I146" s="181"/>
      <c r="J146" s="181"/>
      <c r="K146" s="156"/>
      <c r="L146" s="549"/>
      <c r="M146" s="181"/>
      <c r="N146" s="181"/>
      <c r="O146" s="181"/>
      <c r="P146" s="156"/>
      <c r="Q146" s="562"/>
      <c r="R146" s="181"/>
      <c r="S146" s="181"/>
      <c r="T146" s="181"/>
      <c r="U146" s="179"/>
      <c r="V146" s="549"/>
      <c r="W146" s="181"/>
      <c r="X146" s="181"/>
      <c r="Y146" s="181"/>
      <c r="Z146" s="179"/>
      <c r="AA146" s="549"/>
      <c r="AB146" s="181"/>
      <c r="AC146" s="181"/>
      <c r="AD146" s="181"/>
      <c r="AE146" s="179"/>
      <c r="AF146" s="549"/>
      <c r="AG146" s="181"/>
      <c r="AH146" s="181"/>
      <c r="AI146" s="181"/>
      <c r="AJ146" s="179"/>
      <c r="AK146" s="549"/>
      <c r="AL146" s="181"/>
      <c r="AM146" s="181"/>
      <c r="AN146" s="181"/>
      <c r="AO146" s="179"/>
      <c r="AP146" s="549"/>
      <c r="AQ146" s="181"/>
      <c r="AR146" s="181"/>
      <c r="AS146" s="181"/>
      <c r="AT146" s="179"/>
      <c r="AU146" s="549"/>
      <c r="AV146" s="181"/>
      <c r="AW146" s="181"/>
      <c r="AX146" s="181"/>
      <c r="AY146" s="181"/>
      <c r="AZ146" s="181"/>
      <c r="BA146" s="181"/>
      <c r="BB146" s="181"/>
      <c r="BC146" s="181"/>
      <c r="BD146" s="181"/>
      <c r="BE146" s="181"/>
      <c r="BF146" s="181"/>
      <c r="BG146" s="181"/>
      <c r="BH146" s="181"/>
    </row>
    <row r="147">
      <c r="A147" s="179"/>
      <c r="B147" s="549"/>
      <c r="C147" s="181"/>
      <c r="D147" s="181"/>
      <c r="E147" s="181"/>
      <c r="F147" s="179"/>
      <c r="G147" s="549"/>
      <c r="H147" s="181"/>
      <c r="I147" s="181"/>
      <c r="J147" s="181"/>
      <c r="K147" s="156"/>
      <c r="L147" s="549"/>
      <c r="M147" s="181"/>
      <c r="N147" s="181"/>
      <c r="O147" s="181"/>
      <c r="P147" s="156"/>
      <c r="Q147" s="562"/>
      <c r="R147" s="181"/>
      <c r="S147" s="181"/>
      <c r="T147" s="181"/>
      <c r="U147" s="179"/>
      <c r="V147" s="549"/>
      <c r="W147" s="181"/>
      <c r="X147" s="181"/>
      <c r="Y147" s="181"/>
      <c r="Z147" s="179"/>
      <c r="AA147" s="549"/>
      <c r="AB147" s="181"/>
      <c r="AC147" s="181"/>
      <c r="AD147" s="181"/>
      <c r="AE147" s="179"/>
      <c r="AF147" s="549"/>
      <c r="AG147" s="181"/>
      <c r="AH147" s="181"/>
      <c r="AI147" s="181"/>
      <c r="AJ147" s="179"/>
      <c r="AK147" s="549"/>
      <c r="AL147" s="181"/>
      <c r="AM147" s="181"/>
      <c r="AN147" s="181"/>
      <c r="AO147" s="179"/>
      <c r="AP147" s="549"/>
      <c r="AQ147" s="181"/>
      <c r="AR147" s="181"/>
      <c r="AS147" s="181"/>
      <c r="AT147" s="179"/>
      <c r="AU147" s="549"/>
      <c r="AV147" s="181"/>
      <c r="AW147" s="181"/>
      <c r="AX147" s="181"/>
      <c r="AY147" s="181"/>
      <c r="AZ147" s="181"/>
      <c r="BA147" s="181"/>
      <c r="BB147" s="181"/>
      <c r="BC147" s="181"/>
      <c r="BD147" s="181"/>
      <c r="BE147" s="181"/>
      <c r="BF147" s="181"/>
      <c r="BG147" s="181"/>
      <c r="BH147" s="181"/>
    </row>
    <row r="148">
      <c r="A148" s="179"/>
      <c r="B148" s="549"/>
      <c r="C148" s="181"/>
      <c r="D148" s="181"/>
      <c r="E148" s="181"/>
      <c r="F148" s="179"/>
      <c r="G148" s="549"/>
      <c r="H148" s="181"/>
      <c r="I148" s="181"/>
      <c r="J148" s="181"/>
      <c r="K148" s="156"/>
      <c r="L148" s="549"/>
      <c r="M148" s="181"/>
      <c r="N148" s="181"/>
      <c r="O148" s="181"/>
      <c r="P148" s="156"/>
      <c r="Q148" s="562"/>
      <c r="R148" s="181"/>
      <c r="S148" s="181"/>
      <c r="T148" s="181"/>
      <c r="U148" s="179"/>
      <c r="V148" s="549"/>
      <c r="W148" s="181"/>
      <c r="X148" s="181"/>
      <c r="Y148" s="181"/>
      <c r="Z148" s="179"/>
      <c r="AA148" s="549"/>
      <c r="AB148" s="181"/>
      <c r="AC148" s="181"/>
      <c r="AD148" s="181"/>
      <c r="AE148" s="179"/>
      <c r="AF148" s="549"/>
      <c r="AG148" s="181"/>
      <c r="AH148" s="181"/>
      <c r="AI148" s="181"/>
      <c r="AJ148" s="179"/>
      <c r="AK148" s="549"/>
      <c r="AL148" s="181"/>
      <c r="AM148" s="181"/>
      <c r="AN148" s="181"/>
      <c r="AO148" s="179"/>
      <c r="AP148" s="549"/>
      <c r="AQ148" s="181"/>
      <c r="AR148" s="181"/>
      <c r="AS148" s="181"/>
      <c r="AT148" s="179"/>
      <c r="AU148" s="549"/>
      <c r="AV148" s="181"/>
      <c r="AW148" s="181"/>
      <c r="AX148" s="181"/>
      <c r="AY148" s="181"/>
      <c r="AZ148" s="181"/>
      <c r="BA148" s="181"/>
      <c r="BB148" s="181"/>
      <c r="BC148" s="181"/>
      <c r="BD148" s="181"/>
      <c r="BE148" s="181"/>
      <c r="BF148" s="181"/>
      <c r="BG148" s="181"/>
      <c r="BH148" s="181"/>
    </row>
    <row r="149">
      <c r="A149" s="179"/>
      <c r="B149" s="549"/>
      <c r="C149" s="181"/>
      <c r="D149" s="181"/>
      <c r="E149" s="181"/>
      <c r="F149" s="179"/>
      <c r="G149" s="549"/>
      <c r="H149" s="181"/>
      <c r="I149" s="181"/>
      <c r="J149" s="181"/>
      <c r="K149" s="156"/>
      <c r="L149" s="549"/>
      <c r="M149" s="181"/>
      <c r="N149" s="181"/>
      <c r="O149" s="181"/>
      <c r="P149" s="156"/>
      <c r="Q149" s="562"/>
      <c r="R149" s="181"/>
      <c r="S149" s="181"/>
      <c r="T149" s="181"/>
      <c r="U149" s="179"/>
      <c r="V149" s="549"/>
      <c r="W149" s="181"/>
      <c r="X149" s="181"/>
      <c r="Y149" s="181"/>
      <c r="Z149" s="179"/>
      <c r="AA149" s="549"/>
      <c r="AB149" s="181"/>
      <c r="AC149" s="181"/>
      <c r="AD149" s="181"/>
      <c r="AE149" s="179"/>
      <c r="AF149" s="549"/>
      <c r="AG149" s="181"/>
      <c r="AH149" s="181"/>
      <c r="AI149" s="181"/>
      <c r="AJ149" s="179"/>
      <c r="AK149" s="549"/>
      <c r="AL149" s="181"/>
      <c r="AM149" s="181"/>
      <c r="AN149" s="181"/>
      <c r="AO149" s="179"/>
      <c r="AP149" s="549"/>
      <c r="AQ149" s="181"/>
      <c r="AR149" s="181"/>
      <c r="AS149" s="181"/>
      <c r="AT149" s="179"/>
      <c r="AU149" s="549"/>
      <c r="AV149" s="181"/>
      <c r="AW149" s="181"/>
      <c r="AX149" s="181"/>
      <c r="AY149" s="181"/>
      <c r="AZ149" s="181"/>
      <c r="BA149" s="181"/>
      <c r="BB149" s="181"/>
      <c r="BC149" s="181"/>
      <c r="BD149" s="181"/>
      <c r="BE149" s="181"/>
      <c r="BF149" s="181"/>
      <c r="BG149" s="181"/>
      <c r="BH149" s="181"/>
    </row>
    <row r="150">
      <c r="A150" s="179"/>
      <c r="B150" s="549"/>
      <c r="C150" s="181"/>
      <c r="D150" s="181"/>
      <c r="E150" s="181"/>
      <c r="F150" s="179"/>
      <c r="G150" s="549"/>
      <c r="H150" s="181"/>
      <c r="I150" s="181"/>
      <c r="J150" s="181"/>
      <c r="K150" s="156"/>
      <c r="L150" s="549"/>
      <c r="M150" s="181"/>
      <c r="N150" s="181"/>
      <c r="O150" s="181"/>
      <c r="P150" s="156"/>
      <c r="Q150" s="562"/>
      <c r="R150" s="181"/>
      <c r="S150" s="181"/>
      <c r="T150" s="181"/>
      <c r="U150" s="179"/>
      <c r="V150" s="549"/>
      <c r="W150" s="181"/>
      <c r="X150" s="181"/>
      <c r="Y150" s="181"/>
      <c r="Z150" s="179"/>
      <c r="AA150" s="549"/>
      <c r="AB150" s="181"/>
      <c r="AC150" s="181"/>
      <c r="AD150" s="181"/>
      <c r="AE150" s="179"/>
      <c r="AF150" s="549"/>
      <c r="AG150" s="181"/>
      <c r="AH150" s="181"/>
      <c r="AI150" s="181"/>
      <c r="AJ150" s="179"/>
      <c r="AK150" s="549"/>
      <c r="AL150" s="181"/>
      <c r="AM150" s="181"/>
      <c r="AN150" s="181"/>
      <c r="AO150" s="179"/>
      <c r="AP150" s="549"/>
      <c r="AQ150" s="181"/>
      <c r="AR150" s="181"/>
      <c r="AS150" s="181"/>
      <c r="AT150" s="179"/>
      <c r="AU150" s="549"/>
      <c r="AV150" s="181"/>
      <c r="AW150" s="181"/>
      <c r="AX150" s="181"/>
      <c r="AY150" s="181"/>
      <c r="AZ150" s="181"/>
      <c r="BA150" s="181"/>
      <c r="BB150" s="181"/>
      <c r="BC150" s="181"/>
      <c r="BD150" s="181"/>
      <c r="BE150" s="181"/>
      <c r="BF150" s="181"/>
      <c r="BG150" s="181"/>
      <c r="BH150" s="181"/>
    </row>
    <row r="151">
      <c r="A151" s="179"/>
      <c r="B151" s="549"/>
      <c r="C151" s="181"/>
      <c r="D151" s="181"/>
      <c r="E151" s="181"/>
      <c r="F151" s="179"/>
      <c r="G151" s="549"/>
      <c r="H151" s="181"/>
      <c r="I151" s="181"/>
      <c r="J151" s="181"/>
      <c r="K151" s="156"/>
      <c r="L151" s="549"/>
      <c r="M151" s="181"/>
      <c r="N151" s="181"/>
      <c r="O151" s="181"/>
      <c r="P151" s="156"/>
      <c r="Q151" s="562"/>
      <c r="R151" s="181"/>
      <c r="S151" s="181"/>
      <c r="T151" s="181"/>
      <c r="U151" s="179"/>
      <c r="V151" s="549"/>
      <c r="W151" s="181"/>
      <c r="X151" s="181"/>
      <c r="Y151" s="181"/>
      <c r="Z151" s="179"/>
      <c r="AA151" s="549"/>
      <c r="AB151" s="181"/>
      <c r="AC151" s="181"/>
      <c r="AD151" s="181"/>
      <c r="AE151" s="179"/>
      <c r="AF151" s="549"/>
      <c r="AG151" s="181"/>
      <c r="AH151" s="181"/>
      <c r="AI151" s="181"/>
      <c r="AJ151" s="179"/>
      <c r="AK151" s="549"/>
      <c r="AL151" s="181"/>
      <c r="AM151" s="181"/>
      <c r="AN151" s="181"/>
      <c r="AO151" s="179"/>
      <c r="AP151" s="549"/>
      <c r="AQ151" s="181"/>
      <c r="AR151" s="181"/>
      <c r="AS151" s="181"/>
      <c r="AT151" s="179"/>
      <c r="AU151" s="549"/>
      <c r="AV151" s="181"/>
      <c r="AW151" s="181"/>
      <c r="AX151" s="181"/>
      <c r="AY151" s="181"/>
      <c r="AZ151" s="181"/>
      <c r="BA151" s="181"/>
      <c r="BB151" s="181"/>
      <c r="BC151" s="181"/>
      <c r="BD151" s="181"/>
      <c r="BE151" s="181"/>
      <c r="BF151" s="181"/>
      <c r="BG151" s="181"/>
      <c r="BH151" s="181"/>
    </row>
    <row r="152">
      <c r="A152" s="179"/>
      <c r="B152" s="549"/>
      <c r="C152" s="181"/>
      <c r="D152" s="181"/>
      <c r="E152" s="181"/>
      <c r="F152" s="179"/>
      <c r="G152" s="549"/>
      <c r="H152" s="181"/>
      <c r="I152" s="181"/>
      <c r="J152" s="181"/>
      <c r="K152" s="156"/>
      <c r="L152" s="549"/>
      <c r="M152" s="181"/>
      <c r="N152" s="181"/>
      <c r="O152" s="181"/>
      <c r="P152" s="156"/>
      <c r="Q152" s="562"/>
      <c r="R152" s="181"/>
      <c r="S152" s="181"/>
      <c r="T152" s="181"/>
      <c r="U152" s="179"/>
      <c r="V152" s="549"/>
      <c r="W152" s="181"/>
      <c r="X152" s="181"/>
      <c r="Y152" s="181"/>
      <c r="Z152" s="179"/>
      <c r="AA152" s="549"/>
      <c r="AB152" s="181"/>
      <c r="AC152" s="181"/>
      <c r="AD152" s="181"/>
      <c r="AE152" s="179"/>
      <c r="AF152" s="549"/>
      <c r="AG152" s="181"/>
      <c r="AH152" s="181"/>
      <c r="AI152" s="181"/>
      <c r="AJ152" s="179"/>
      <c r="AK152" s="549"/>
      <c r="AL152" s="181"/>
      <c r="AM152" s="181"/>
      <c r="AN152" s="181"/>
      <c r="AO152" s="179"/>
      <c r="AP152" s="549"/>
      <c r="AQ152" s="181"/>
      <c r="AR152" s="181"/>
      <c r="AS152" s="181"/>
      <c r="AT152" s="179"/>
      <c r="AU152" s="549"/>
      <c r="AV152" s="181"/>
      <c r="AW152" s="181"/>
      <c r="AX152" s="181"/>
      <c r="AY152" s="181"/>
      <c r="AZ152" s="181"/>
      <c r="BA152" s="181"/>
      <c r="BB152" s="181"/>
      <c r="BC152" s="181"/>
      <c r="BD152" s="181"/>
      <c r="BE152" s="181"/>
      <c r="BF152" s="181"/>
      <c r="BG152" s="181"/>
      <c r="BH152" s="181"/>
    </row>
    <row r="153">
      <c r="A153" s="179"/>
      <c r="B153" s="549"/>
      <c r="C153" s="181"/>
      <c r="D153" s="181"/>
      <c r="E153" s="181"/>
      <c r="F153" s="179"/>
      <c r="G153" s="549"/>
      <c r="H153" s="181"/>
      <c r="I153" s="181"/>
      <c r="J153" s="181"/>
      <c r="K153" s="156"/>
      <c r="L153" s="549"/>
      <c r="M153" s="181"/>
      <c r="N153" s="181"/>
      <c r="O153" s="181"/>
      <c r="P153" s="156"/>
      <c r="Q153" s="562"/>
      <c r="R153" s="181"/>
      <c r="S153" s="181"/>
      <c r="T153" s="181"/>
      <c r="U153" s="179"/>
      <c r="V153" s="549"/>
      <c r="W153" s="181"/>
      <c r="X153" s="181"/>
      <c r="Y153" s="181"/>
      <c r="Z153" s="179"/>
      <c r="AA153" s="549"/>
      <c r="AB153" s="181"/>
      <c r="AC153" s="181"/>
      <c r="AD153" s="181"/>
      <c r="AE153" s="179"/>
      <c r="AF153" s="549"/>
      <c r="AG153" s="181"/>
      <c r="AH153" s="181"/>
      <c r="AI153" s="181"/>
      <c r="AJ153" s="179"/>
      <c r="AK153" s="549"/>
      <c r="AL153" s="181"/>
      <c r="AM153" s="181"/>
      <c r="AN153" s="181"/>
      <c r="AO153" s="179"/>
      <c r="AP153" s="549"/>
      <c r="AQ153" s="181"/>
      <c r="AR153" s="181"/>
      <c r="AS153" s="181"/>
      <c r="AT153" s="179"/>
      <c r="AU153" s="549"/>
      <c r="AV153" s="181"/>
      <c r="AW153" s="181"/>
      <c r="AX153" s="181"/>
      <c r="AY153" s="181"/>
      <c r="AZ153" s="181"/>
      <c r="BA153" s="181"/>
      <c r="BB153" s="181"/>
      <c r="BC153" s="181"/>
      <c r="BD153" s="181"/>
      <c r="BE153" s="181"/>
      <c r="BF153" s="181"/>
      <c r="BG153" s="181"/>
      <c r="BH153" s="181"/>
    </row>
    <row r="154">
      <c r="A154" s="179"/>
      <c r="B154" s="549"/>
      <c r="C154" s="181"/>
      <c r="D154" s="181"/>
      <c r="E154" s="181"/>
      <c r="F154" s="179"/>
      <c r="G154" s="549"/>
      <c r="H154" s="181"/>
      <c r="I154" s="181"/>
      <c r="J154" s="181"/>
      <c r="K154" s="156"/>
      <c r="L154" s="549"/>
      <c r="M154" s="181"/>
      <c r="N154" s="181"/>
      <c r="O154" s="181"/>
      <c r="P154" s="156"/>
      <c r="Q154" s="562"/>
      <c r="R154" s="181"/>
      <c r="S154" s="181"/>
      <c r="T154" s="181"/>
      <c r="U154" s="179"/>
      <c r="V154" s="549"/>
      <c r="W154" s="181"/>
      <c r="X154" s="181"/>
      <c r="Y154" s="181"/>
      <c r="Z154" s="179"/>
      <c r="AA154" s="549"/>
      <c r="AB154" s="181"/>
      <c r="AC154" s="181"/>
      <c r="AD154" s="181"/>
      <c r="AE154" s="179"/>
      <c r="AF154" s="549"/>
      <c r="AG154" s="181"/>
      <c r="AH154" s="181"/>
      <c r="AI154" s="181"/>
      <c r="AJ154" s="179"/>
      <c r="AK154" s="549"/>
      <c r="AL154" s="181"/>
      <c r="AM154" s="181"/>
      <c r="AN154" s="181"/>
      <c r="AO154" s="179"/>
      <c r="AP154" s="549"/>
      <c r="AQ154" s="181"/>
      <c r="AR154" s="181"/>
      <c r="AS154" s="181"/>
      <c r="AT154" s="179"/>
      <c r="AU154" s="549"/>
      <c r="AV154" s="181"/>
      <c r="AW154" s="181"/>
      <c r="AX154" s="181"/>
      <c r="AY154" s="181"/>
      <c r="AZ154" s="181"/>
      <c r="BA154" s="181"/>
      <c r="BB154" s="181"/>
      <c r="BC154" s="181"/>
      <c r="BD154" s="181"/>
      <c r="BE154" s="181"/>
      <c r="BF154" s="181"/>
      <c r="BG154" s="181"/>
      <c r="BH154" s="181"/>
    </row>
    <row r="155">
      <c r="A155" s="179"/>
      <c r="B155" s="549"/>
      <c r="C155" s="181"/>
      <c r="D155" s="181"/>
      <c r="E155" s="181"/>
      <c r="F155" s="179"/>
      <c r="G155" s="549"/>
      <c r="H155" s="181"/>
      <c r="I155" s="181"/>
      <c r="J155" s="181"/>
      <c r="K155" s="156"/>
      <c r="L155" s="549"/>
      <c r="M155" s="181"/>
      <c r="N155" s="181"/>
      <c r="O155" s="181"/>
      <c r="P155" s="156"/>
      <c r="Q155" s="562"/>
      <c r="R155" s="181"/>
      <c r="S155" s="181"/>
      <c r="T155" s="181"/>
      <c r="U155" s="179"/>
      <c r="V155" s="549"/>
      <c r="W155" s="181"/>
      <c r="X155" s="181"/>
      <c r="Y155" s="181"/>
      <c r="Z155" s="179"/>
      <c r="AA155" s="549"/>
      <c r="AB155" s="181"/>
      <c r="AC155" s="181"/>
      <c r="AD155" s="181"/>
      <c r="AE155" s="179"/>
      <c r="AF155" s="549"/>
      <c r="AG155" s="181"/>
      <c r="AH155" s="181"/>
      <c r="AI155" s="181"/>
      <c r="AJ155" s="179"/>
      <c r="AK155" s="549"/>
      <c r="AL155" s="181"/>
      <c r="AM155" s="181"/>
      <c r="AN155" s="181"/>
      <c r="AO155" s="179"/>
      <c r="AP155" s="549"/>
      <c r="AQ155" s="181"/>
      <c r="AR155" s="181"/>
      <c r="AS155" s="181"/>
      <c r="AT155" s="179"/>
      <c r="AU155" s="549"/>
      <c r="AV155" s="181"/>
      <c r="AW155" s="181"/>
      <c r="AX155" s="181"/>
      <c r="AY155" s="181"/>
      <c r="AZ155" s="181"/>
      <c r="BA155" s="181"/>
      <c r="BB155" s="181"/>
      <c r="BC155" s="181"/>
      <c r="BD155" s="181"/>
      <c r="BE155" s="181"/>
      <c r="BF155" s="181"/>
      <c r="BG155" s="181"/>
      <c r="BH155" s="181"/>
    </row>
    <row r="156">
      <c r="A156" s="179"/>
      <c r="B156" s="549"/>
      <c r="C156" s="181"/>
      <c r="D156" s="181"/>
      <c r="E156" s="181"/>
      <c r="F156" s="179"/>
      <c r="G156" s="549"/>
      <c r="H156" s="181"/>
      <c r="I156" s="181"/>
      <c r="J156" s="181"/>
      <c r="K156" s="156"/>
      <c r="L156" s="549"/>
      <c r="M156" s="181"/>
      <c r="N156" s="181"/>
      <c r="O156" s="181"/>
      <c r="P156" s="156"/>
      <c r="Q156" s="562"/>
      <c r="R156" s="181"/>
      <c r="S156" s="181"/>
      <c r="T156" s="181"/>
      <c r="U156" s="179"/>
      <c r="V156" s="549"/>
      <c r="W156" s="181"/>
      <c r="X156" s="181"/>
      <c r="Y156" s="181"/>
      <c r="Z156" s="179"/>
      <c r="AA156" s="549"/>
      <c r="AB156" s="181"/>
      <c r="AC156" s="181"/>
      <c r="AD156" s="181"/>
      <c r="AE156" s="179"/>
      <c r="AF156" s="549"/>
      <c r="AG156" s="181"/>
      <c r="AH156" s="181"/>
      <c r="AI156" s="181"/>
      <c r="AJ156" s="179"/>
      <c r="AK156" s="549"/>
      <c r="AL156" s="181"/>
      <c r="AM156" s="181"/>
      <c r="AN156" s="181"/>
      <c r="AO156" s="179"/>
      <c r="AP156" s="549"/>
      <c r="AQ156" s="181"/>
      <c r="AR156" s="181"/>
      <c r="AS156" s="181"/>
      <c r="AT156" s="179"/>
      <c r="AU156" s="549"/>
      <c r="AV156" s="181"/>
      <c r="AW156" s="181"/>
      <c r="AX156" s="181"/>
      <c r="AY156" s="181"/>
      <c r="AZ156" s="181"/>
      <c r="BA156" s="181"/>
      <c r="BB156" s="181"/>
      <c r="BC156" s="181"/>
      <c r="BD156" s="181"/>
      <c r="BE156" s="181"/>
      <c r="BF156" s="181"/>
      <c r="BG156" s="181"/>
      <c r="BH156" s="181"/>
    </row>
    <row r="157">
      <c r="A157" s="179"/>
      <c r="B157" s="549"/>
      <c r="C157" s="181"/>
      <c r="D157" s="181"/>
      <c r="E157" s="181"/>
      <c r="F157" s="179"/>
      <c r="G157" s="549"/>
      <c r="H157" s="181"/>
      <c r="I157" s="181"/>
      <c r="J157" s="181"/>
      <c r="K157" s="156"/>
      <c r="L157" s="549"/>
      <c r="M157" s="181"/>
      <c r="N157" s="181"/>
      <c r="O157" s="181"/>
      <c r="P157" s="156"/>
      <c r="Q157" s="562"/>
      <c r="R157" s="181"/>
      <c r="S157" s="181"/>
      <c r="T157" s="181"/>
      <c r="U157" s="179"/>
      <c r="V157" s="549"/>
      <c r="W157" s="181"/>
      <c r="X157" s="181"/>
      <c r="Y157" s="181"/>
      <c r="Z157" s="179"/>
      <c r="AA157" s="549"/>
      <c r="AB157" s="181"/>
      <c r="AC157" s="181"/>
      <c r="AD157" s="181"/>
      <c r="AE157" s="179"/>
      <c r="AF157" s="549"/>
      <c r="AG157" s="181"/>
      <c r="AH157" s="181"/>
      <c r="AI157" s="181"/>
      <c r="AJ157" s="179"/>
      <c r="AK157" s="549"/>
      <c r="AL157" s="181"/>
      <c r="AM157" s="181"/>
      <c r="AN157" s="181"/>
      <c r="AO157" s="179"/>
      <c r="AP157" s="549"/>
      <c r="AQ157" s="181"/>
      <c r="AR157" s="181"/>
      <c r="AS157" s="181"/>
      <c r="AT157" s="179"/>
      <c r="AU157" s="549"/>
      <c r="AV157" s="181"/>
      <c r="AW157" s="181"/>
      <c r="AX157" s="181"/>
      <c r="AY157" s="181"/>
      <c r="AZ157" s="181"/>
      <c r="BA157" s="181"/>
      <c r="BB157" s="181"/>
      <c r="BC157" s="181"/>
      <c r="BD157" s="181"/>
      <c r="BE157" s="181"/>
      <c r="BF157" s="181"/>
      <c r="BG157" s="181"/>
      <c r="BH157" s="181"/>
    </row>
    <row r="158">
      <c r="A158" s="179"/>
      <c r="B158" s="549"/>
      <c r="C158" s="181"/>
      <c r="D158" s="181"/>
      <c r="E158" s="181"/>
      <c r="F158" s="179"/>
      <c r="G158" s="549"/>
      <c r="H158" s="181"/>
      <c r="I158" s="181"/>
      <c r="J158" s="181"/>
      <c r="K158" s="156"/>
      <c r="L158" s="549"/>
      <c r="M158" s="181"/>
      <c r="N158" s="181"/>
      <c r="O158" s="181"/>
      <c r="P158" s="156"/>
      <c r="Q158" s="562"/>
      <c r="R158" s="181"/>
      <c r="S158" s="181"/>
      <c r="T158" s="181"/>
      <c r="U158" s="179"/>
      <c r="V158" s="549"/>
      <c r="W158" s="181"/>
      <c r="X158" s="181"/>
      <c r="Y158" s="181"/>
      <c r="Z158" s="179"/>
      <c r="AA158" s="549"/>
      <c r="AB158" s="181"/>
      <c r="AC158" s="181"/>
      <c r="AD158" s="181"/>
      <c r="AE158" s="179"/>
      <c r="AF158" s="549"/>
      <c r="AG158" s="181"/>
      <c r="AH158" s="181"/>
      <c r="AI158" s="181"/>
      <c r="AJ158" s="179"/>
      <c r="AK158" s="549"/>
      <c r="AL158" s="181"/>
      <c r="AM158" s="181"/>
      <c r="AN158" s="181"/>
      <c r="AO158" s="179"/>
      <c r="AP158" s="549"/>
      <c r="AQ158" s="181"/>
      <c r="AR158" s="181"/>
      <c r="AS158" s="181"/>
      <c r="AT158" s="179"/>
      <c r="AU158" s="549"/>
      <c r="AV158" s="181"/>
      <c r="AW158" s="181"/>
      <c r="AX158" s="181"/>
      <c r="AY158" s="181"/>
      <c r="AZ158" s="181"/>
      <c r="BA158" s="181"/>
      <c r="BB158" s="181"/>
      <c r="BC158" s="181"/>
      <c r="BD158" s="181"/>
      <c r="BE158" s="181"/>
      <c r="BF158" s="181"/>
      <c r="BG158" s="181"/>
      <c r="BH158" s="181"/>
    </row>
    <row r="159">
      <c r="A159" s="179"/>
      <c r="B159" s="549"/>
      <c r="C159" s="181"/>
      <c r="D159" s="181"/>
      <c r="E159" s="181"/>
      <c r="F159" s="179"/>
      <c r="G159" s="549"/>
      <c r="H159" s="181"/>
      <c r="I159" s="181"/>
      <c r="J159" s="181"/>
      <c r="K159" s="156"/>
      <c r="L159" s="549"/>
      <c r="M159" s="181"/>
      <c r="N159" s="181"/>
      <c r="O159" s="181"/>
      <c r="P159" s="156"/>
      <c r="Q159" s="562"/>
      <c r="R159" s="181"/>
      <c r="S159" s="181"/>
      <c r="T159" s="181"/>
      <c r="U159" s="179"/>
      <c r="V159" s="549"/>
      <c r="W159" s="181"/>
      <c r="X159" s="181"/>
      <c r="Y159" s="181"/>
      <c r="Z159" s="179"/>
      <c r="AA159" s="549"/>
      <c r="AB159" s="181"/>
      <c r="AC159" s="181"/>
      <c r="AD159" s="181"/>
      <c r="AE159" s="179"/>
      <c r="AF159" s="549"/>
      <c r="AG159" s="181"/>
      <c r="AH159" s="181"/>
      <c r="AI159" s="181"/>
      <c r="AJ159" s="179"/>
      <c r="AK159" s="549"/>
      <c r="AL159" s="181"/>
      <c r="AM159" s="181"/>
      <c r="AN159" s="181"/>
      <c r="AO159" s="179"/>
      <c r="AP159" s="549"/>
      <c r="AQ159" s="181"/>
      <c r="AR159" s="181"/>
      <c r="AS159" s="181"/>
      <c r="AT159" s="179"/>
      <c r="AU159" s="549"/>
      <c r="AV159" s="181"/>
      <c r="AW159" s="181"/>
      <c r="AX159" s="181"/>
      <c r="AY159" s="181"/>
      <c r="AZ159" s="181"/>
      <c r="BA159" s="181"/>
      <c r="BB159" s="181"/>
      <c r="BC159" s="181"/>
      <c r="BD159" s="181"/>
      <c r="BE159" s="181"/>
      <c r="BF159" s="181"/>
      <c r="BG159" s="181"/>
      <c r="BH159" s="181"/>
    </row>
    <row r="160">
      <c r="A160" s="179"/>
      <c r="B160" s="549"/>
      <c r="C160" s="181"/>
      <c r="D160" s="181"/>
      <c r="E160" s="181"/>
      <c r="F160" s="179"/>
      <c r="G160" s="549"/>
      <c r="H160" s="181"/>
      <c r="I160" s="181"/>
      <c r="J160" s="181"/>
      <c r="K160" s="156"/>
      <c r="L160" s="549"/>
      <c r="M160" s="181"/>
      <c r="N160" s="181"/>
      <c r="O160" s="181"/>
      <c r="P160" s="156"/>
      <c r="Q160" s="562"/>
      <c r="R160" s="181"/>
      <c r="S160" s="181"/>
      <c r="T160" s="181"/>
      <c r="U160" s="179"/>
      <c r="V160" s="549"/>
      <c r="W160" s="181"/>
      <c r="X160" s="181"/>
      <c r="Y160" s="181"/>
      <c r="Z160" s="179"/>
      <c r="AA160" s="549"/>
      <c r="AB160" s="181"/>
      <c r="AC160" s="181"/>
      <c r="AD160" s="181"/>
      <c r="AE160" s="179"/>
      <c r="AF160" s="549"/>
      <c r="AG160" s="181"/>
      <c r="AH160" s="181"/>
      <c r="AI160" s="181"/>
      <c r="AJ160" s="179"/>
      <c r="AK160" s="549"/>
      <c r="AL160" s="181"/>
      <c r="AM160" s="181"/>
      <c r="AN160" s="181"/>
      <c r="AO160" s="179"/>
      <c r="AP160" s="549"/>
      <c r="AQ160" s="181"/>
      <c r="AR160" s="181"/>
      <c r="AS160" s="181"/>
      <c r="AT160" s="179"/>
      <c r="AU160" s="549"/>
      <c r="AV160" s="181"/>
      <c r="AW160" s="181"/>
      <c r="AX160" s="181"/>
      <c r="AY160" s="181"/>
      <c r="AZ160" s="181"/>
      <c r="BA160" s="181"/>
      <c r="BB160" s="181"/>
      <c r="BC160" s="181"/>
      <c r="BD160" s="181"/>
      <c r="BE160" s="181"/>
      <c r="BF160" s="181"/>
      <c r="BG160" s="181"/>
      <c r="BH160" s="181"/>
    </row>
    <row r="161">
      <c r="A161" s="179"/>
      <c r="B161" s="549"/>
      <c r="C161" s="181"/>
      <c r="D161" s="181"/>
      <c r="E161" s="181"/>
      <c r="F161" s="179"/>
      <c r="G161" s="549"/>
      <c r="H161" s="181"/>
      <c r="I161" s="181"/>
      <c r="J161" s="181"/>
      <c r="K161" s="156"/>
      <c r="L161" s="549"/>
      <c r="M161" s="181"/>
      <c r="N161" s="181"/>
      <c r="O161" s="181"/>
      <c r="P161" s="156"/>
      <c r="Q161" s="562"/>
      <c r="R161" s="181"/>
      <c r="S161" s="181"/>
      <c r="T161" s="181"/>
      <c r="U161" s="179"/>
      <c r="V161" s="549"/>
      <c r="W161" s="181"/>
      <c r="X161" s="181"/>
      <c r="Y161" s="181"/>
      <c r="Z161" s="179"/>
      <c r="AA161" s="549"/>
      <c r="AB161" s="181"/>
      <c r="AC161" s="181"/>
      <c r="AD161" s="181"/>
      <c r="AE161" s="179"/>
      <c r="AF161" s="549"/>
      <c r="AG161" s="181"/>
      <c r="AH161" s="181"/>
      <c r="AI161" s="181"/>
      <c r="AJ161" s="179"/>
      <c r="AK161" s="549"/>
      <c r="AL161" s="181"/>
      <c r="AM161" s="181"/>
      <c r="AN161" s="181"/>
      <c r="AO161" s="179"/>
      <c r="AP161" s="549"/>
      <c r="AQ161" s="181"/>
      <c r="AR161" s="181"/>
      <c r="AS161" s="181"/>
      <c r="AT161" s="179"/>
      <c r="AU161" s="549"/>
      <c r="AV161" s="181"/>
      <c r="AW161" s="181"/>
      <c r="AX161" s="181"/>
      <c r="AY161" s="181"/>
      <c r="AZ161" s="181"/>
      <c r="BA161" s="181"/>
      <c r="BB161" s="181"/>
      <c r="BC161" s="181"/>
      <c r="BD161" s="181"/>
      <c r="BE161" s="181"/>
      <c r="BF161" s="181"/>
      <c r="BG161" s="181"/>
      <c r="BH161" s="181"/>
    </row>
    <row r="162">
      <c r="A162" s="179"/>
      <c r="B162" s="549"/>
      <c r="C162" s="181"/>
      <c r="D162" s="181"/>
      <c r="E162" s="181"/>
      <c r="F162" s="179"/>
      <c r="G162" s="549"/>
      <c r="H162" s="181"/>
      <c r="I162" s="181"/>
      <c r="J162" s="181"/>
      <c r="K162" s="156"/>
      <c r="L162" s="549"/>
      <c r="M162" s="181"/>
      <c r="N162" s="181"/>
      <c r="O162" s="181"/>
      <c r="P162" s="156"/>
      <c r="Q162" s="562"/>
      <c r="R162" s="181"/>
      <c r="S162" s="181"/>
      <c r="T162" s="181"/>
      <c r="U162" s="179"/>
      <c r="V162" s="549"/>
      <c r="W162" s="181"/>
      <c r="X162" s="181"/>
      <c r="Y162" s="181"/>
      <c r="Z162" s="179"/>
      <c r="AA162" s="549"/>
      <c r="AB162" s="181"/>
      <c r="AC162" s="181"/>
      <c r="AD162" s="181"/>
      <c r="AE162" s="179"/>
      <c r="AF162" s="549"/>
      <c r="AG162" s="181"/>
      <c r="AH162" s="181"/>
      <c r="AI162" s="181"/>
      <c r="AJ162" s="179"/>
      <c r="AK162" s="549"/>
      <c r="AL162" s="181"/>
      <c r="AM162" s="181"/>
      <c r="AN162" s="181"/>
      <c r="AO162" s="179"/>
      <c r="AP162" s="549"/>
      <c r="AQ162" s="181"/>
      <c r="AR162" s="181"/>
      <c r="AS162" s="181"/>
      <c r="AT162" s="179"/>
      <c r="AU162" s="549"/>
      <c r="AV162" s="181"/>
      <c r="AW162" s="181"/>
      <c r="AX162" s="181"/>
      <c r="AY162" s="181"/>
      <c r="AZ162" s="181"/>
      <c r="BA162" s="181"/>
      <c r="BB162" s="181"/>
      <c r="BC162" s="181"/>
      <c r="BD162" s="181"/>
      <c r="BE162" s="181"/>
      <c r="BF162" s="181"/>
      <c r="BG162" s="181"/>
      <c r="BH162" s="181"/>
    </row>
    <row r="163">
      <c r="A163" s="179"/>
      <c r="B163" s="549"/>
      <c r="C163" s="181"/>
      <c r="D163" s="181"/>
      <c r="E163" s="181"/>
      <c r="F163" s="179"/>
      <c r="G163" s="549"/>
      <c r="H163" s="181"/>
      <c r="I163" s="181"/>
      <c r="J163" s="181"/>
      <c r="K163" s="156"/>
      <c r="L163" s="549"/>
      <c r="M163" s="181"/>
      <c r="N163" s="181"/>
      <c r="O163" s="181"/>
      <c r="P163" s="156"/>
      <c r="Q163" s="562"/>
      <c r="R163" s="181"/>
      <c r="S163" s="181"/>
      <c r="T163" s="181"/>
      <c r="U163" s="179"/>
      <c r="V163" s="549"/>
      <c r="W163" s="181"/>
      <c r="X163" s="181"/>
      <c r="Y163" s="181"/>
      <c r="Z163" s="179"/>
      <c r="AA163" s="549"/>
      <c r="AB163" s="181"/>
      <c r="AC163" s="181"/>
      <c r="AD163" s="181"/>
      <c r="AE163" s="179"/>
      <c r="AF163" s="549"/>
      <c r="AG163" s="181"/>
      <c r="AH163" s="181"/>
      <c r="AI163" s="181"/>
      <c r="AJ163" s="179"/>
      <c r="AK163" s="549"/>
      <c r="AL163" s="181"/>
      <c r="AM163" s="181"/>
      <c r="AN163" s="181"/>
      <c r="AO163" s="179"/>
      <c r="AP163" s="549"/>
      <c r="AQ163" s="181"/>
      <c r="AR163" s="181"/>
      <c r="AS163" s="181"/>
      <c r="AT163" s="179"/>
      <c r="AU163" s="549"/>
      <c r="AV163" s="181"/>
      <c r="AW163" s="181"/>
      <c r="AX163" s="181"/>
      <c r="AY163" s="181"/>
      <c r="AZ163" s="181"/>
      <c r="BA163" s="181"/>
      <c r="BB163" s="181"/>
      <c r="BC163" s="181"/>
      <c r="BD163" s="181"/>
      <c r="BE163" s="181"/>
      <c r="BF163" s="181"/>
      <c r="BG163" s="181"/>
      <c r="BH163" s="181"/>
    </row>
    <row r="164">
      <c r="A164" s="179"/>
      <c r="B164" s="549"/>
      <c r="C164" s="181"/>
      <c r="D164" s="181"/>
      <c r="E164" s="181"/>
      <c r="F164" s="179"/>
      <c r="G164" s="549"/>
      <c r="H164" s="181"/>
      <c r="I164" s="181"/>
      <c r="J164" s="181"/>
      <c r="K164" s="156"/>
      <c r="L164" s="549"/>
      <c r="M164" s="181"/>
      <c r="N164" s="181"/>
      <c r="O164" s="181"/>
      <c r="P164" s="156"/>
      <c r="Q164" s="562"/>
      <c r="R164" s="181"/>
      <c r="S164" s="181"/>
      <c r="T164" s="181"/>
      <c r="U164" s="179"/>
      <c r="V164" s="549"/>
      <c r="W164" s="181"/>
      <c r="X164" s="181"/>
      <c r="Y164" s="181"/>
      <c r="Z164" s="179"/>
      <c r="AA164" s="549"/>
      <c r="AB164" s="181"/>
      <c r="AC164" s="181"/>
      <c r="AD164" s="181"/>
      <c r="AE164" s="179"/>
      <c r="AF164" s="549"/>
      <c r="AG164" s="181"/>
      <c r="AH164" s="181"/>
      <c r="AI164" s="181"/>
      <c r="AJ164" s="179"/>
      <c r="AK164" s="549"/>
      <c r="AL164" s="181"/>
      <c r="AM164" s="181"/>
      <c r="AN164" s="181"/>
      <c r="AO164" s="179"/>
      <c r="AP164" s="549"/>
      <c r="AQ164" s="181"/>
      <c r="AR164" s="181"/>
      <c r="AS164" s="181"/>
      <c r="AT164" s="179"/>
      <c r="AU164" s="549"/>
      <c r="AV164" s="181"/>
      <c r="AW164" s="181"/>
      <c r="AX164" s="181"/>
      <c r="AY164" s="181"/>
      <c r="AZ164" s="181"/>
      <c r="BA164" s="181"/>
      <c r="BB164" s="181"/>
      <c r="BC164" s="181"/>
      <c r="BD164" s="181"/>
      <c r="BE164" s="181"/>
      <c r="BF164" s="181"/>
      <c r="BG164" s="181"/>
      <c r="BH164" s="181"/>
    </row>
    <row r="165">
      <c r="A165" s="179"/>
      <c r="B165" s="549"/>
      <c r="C165" s="181"/>
      <c r="D165" s="181"/>
      <c r="E165" s="181"/>
      <c r="F165" s="179"/>
      <c r="G165" s="549"/>
      <c r="H165" s="181"/>
      <c r="I165" s="181"/>
      <c r="J165" s="181"/>
      <c r="K165" s="156"/>
      <c r="L165" s="549"/>
      <c r="M165" s="181"/>
      <c r="N165" s="181"/>
      <c r="O165" s="181"/>
      <c r="P165" s="156"/>
      <c r="Q165" s="562"/>
      <c r="R165" s="181"/>
      <c r="S165" s="181"/>
      <c r="T165" s="181"/>
      <c r="U165" s="179"/>
      <c r="V165" s="549"/>
      <c r="W165" s="181"/>
      <c r="X165" s="181"/>
      <c r="Y165" s="181"/>
      <c r="Z165" s="179"/>
      <c r="AA165" s="549"/>
      <c r="AB165" s="181"/>
      <c r="AC165" s="181"/>
      <c r="AD165" s="181"/>
      <c r="AE165" s="179"/>
      <c r="AF165" s="549"/>
      <c r="AG165" s="181"/>
      <c r="AH165" s="181"/>
      <c r="AI165" s="181"/>
      <c r="AJ165" s="179"/>
      <c r="AK165" s="549"/>
      <c r="AL165" s="181"/>
      <c r="AM165" s="181"/>
      <c r="AN165" s="181"/>
      <c r="AO165" s="179"/>
      <c r="AP165" s="549"/>
      <c r="AQ165" s="181"/>
      <c r="AR165" s="181"/>
      <c r="AS165" s="181"/>
      <c r="AT165" s="179"/>
      <c r="AU165" s="549"/>
      <c r="AV165" s="181"/>
      <c r="AW165" s="181"/>
      <c r="AX165" s="181"/>
      <c r="AY165" s="181"/>
      <c r="AZ165" s="181"/>
      <c r="BA165" s="181"/>
      <c r="BB165" s="181"/>
      <c r="BC165" s="181"/>
      <c r="BD165" s="181"/>
      <c r="BE165" s="181"/>
      <c r="BF165" s="181"/>
      <c r="BG165" s="181"/>
      <c r="BH165" s="181"/>
    </row>
    <row r="166">
      <c r="A166" s="179"/>
      <c r="B166" s="549"/>
      <c r="C166" s="181"/>
      <c r="D166" s="181"/>
      <c r="E166" s="181"/>
      <c r="F166" s="179"/>
      <c r="G166" s="549"/>
      <c r="H166" s="181"/>
      <c r="I166" s="181"/>
      <c r="J166" s="181"/>
      <c r="K166" s="156"/>
      <c r="L166" s="549"/>
      <c r="M166" s="181"/>
      <c r="N166" s="181"/>
      <c r="O166" s="181"/>
      <c r="P166" s="156"/>
      <c r="Q166" s="562"/>
      <c r="R166" s="181"/>
      <c r="S166" s="181"/>
      <c r="T166" s="181"/>
      <c r="U166" s="179"/>
      <c r="V166" s="549"/>
      <c r="W166" s="181"/>
      <c r="X166" s="181"/>
      <c r="Y166" s="181"/>
      <c r="Z166" s="179"/>
      <c r="AA166" s="549"/>
      <c r="AB166" s="181"/>
      <c r="AC166" s="181"/>
      <c r="AD166" s="181"/>
      <c r="AE166" s="179"/>
      <c r="AF166" s="549"/>
      <c r="AG166" s="181"/>
      <c r="AH166" s="181"/>
      <c r="AI166" s="181"/>
      <c r="AJ166" s="179"/>
      <c r="AK166" s="549"/>
      <c r="AL166" s="181"/>
      <c r="AM166" s="181"/>
      <c r="AN166" s="181"/>
      <c r="AO166" s="179"/>
      <c r="AP166" s="549"/>
      <c r="AQ166" s="181"/>
      <c r="AR166" s="181"/>
      <c r="AS166" s="181"/>
      <c r="AT166" s="179"/>
      <c r="AU166" s="549"/>
      <c r="AV166" s="181"/>
      <c r="AW166" s="181"/>
      <c r="AX166" s="181"/>
      <c r="AY166" s="181"/>
      <c r="AZ166" s="181"/>
      <c r="BA166" s="181"/>
      <c r="BB166" s="181"/>
      <c r="BC166" s="181"/>
      <c r="BD166" s="181"/>
      <c r="BE166" s="181"/>
      <c r="BF166" s="181"/>
      <c r="BG166" s="181"/>
      <c r="BH166" s="181"/>
    </row>
    <row r="167">
      <c r="A167" s="179"/>
      <c r="B167" s="549"/>
      <c r="C167" s="181"/>
      <c r="D167" s="181"/>
      <c r="E167" s="181"/>
      <c r="F167" s="179"/>
      <c r="G167" s="549"/>
      <c r="H167" s="181"/>
      <c r="I167" s="181"/>
      <c r="J167" s="181"/>
      <c r="K167" s="156"/>
      <c r="L167" s="549"/>
      <c r="M167" s="181"/>
      <c r="N167" s="181"/>
      <c r="O167" s="181"/>
      <c r="P167" s="156"/>
      <c r="Q167" s="562"/>
      <c r="R167" s="181"/>
      <c r="S167" s="181"/>
      <c r="T167" s="181"/>
      <c r="U167" s="179"/>
      <c r="V167" s="549"/>
      <c r="W167" s="181"/>
      <c r="X167" s="181"/>
      <c r="Y167" s="181"/>
      <c r="Z167" s="179"/>
      <c r="AA167" s="549"/>
      <c r="AB167" s="181"/>
      <c r="AC167" s="181"/>
      <c r="AD167" s="181"/>
      <c r="AE167" s="179"/>
      <c r="AF167" s="549"/>
      <c r="AG167" s="181"/>
      <c r="AH167" s="181"/>
      <c r="AI167" s="181"/>
      <c r="AJ167" s="179"/>
      <c r="AK167" s="549"/>
      <c r="AL167" s="181"/>
      <c r="AM167" s="181"/>
      <c r="AN167" s="181"/>
      <c r="AO167" s="179"/>
      <c r="AP167" s="549"/>
      <c r="AQ167" s="181"/>
      <c r="AR167" s="181"/>
      <c r="AS167" s="181"/>
      <c r="AT167" s="179"/>
      <c r="AU167" s="549"/>
      <c r="AV167" s="181"/>
      <c r="AW167" s="181"/>
      <c r="AX167" s="181"/>
      <c r="AY167" s="181"/>
      <c r="AZ167" s="181"/>
      <c r="BA167" s="181"/>
      <c r="BB167" s="181"/>
      <c r="BC167" s="181"/>
      <c r="BD167" s="181"/>
      <c r="BE167" s="181"/>
      <c r="BF167" s="181"/>
      <c r="BG167" s="181"/>
      <c r="BH167" s="181"/>
    </row>
    <row r="168">
      <c r="A168" s="179"/>
      <c r="B168" s="549"/>
      <c r="C168" s="181"/>
      <c r="D168" s="181"/>
      <c r="E168" s="181"/>
      <c r="F168" s="179"/>
      <c r="G168" s="549"/>
      <c r="H168" s="181"/>
      <c r="I168" s="181"/>
      <c r="J168" s="181"/>
      <c r="K168" s="156"/>
      <c r="L168" s="549"/>
      <c r="M168" s="181"/>
      <c r="N168" s="181"/>
      <c r="O168" s="181"/>
      <c r="P168" s="156"/>
      <c r="Q168" s="562"/>
      <c r="R168" s="181"/>
      <c r="S168" s="181"/>
      <c r="T168" s="181"/>
      <c r="U168" s="179"/>
      <c r="V168" s="549"/>
      <c r="W168" s="181"/>
      <c r="X168" s="181"/>
      <c r="Y168" s="181"/>
      <c r="Z168" s="179"/>
      <c r="AA168" s="549"/>
      <c r="AB168" s="181"/>
      <c r="AC168" s="181"/>
      <c r="AD168" s="181"/>
      <c r="AE168" s="179"/>
      <c r="AF168" s="549"/>
      <c r="AG168" s="181"/>
      <c r="AH168" s="181"/>
      <c r="AI168" s="181"/>
      <c r="AJ168" s="179"/>
      <c r="AK168" s="549"/>
      <c r="AL168" s="181"/>
      <c r="AM168" s="181"/>
      <c r="AN168" s="181"/>
      <c r="AO168" s="179"/>
      <c r="AP168" s="549"/>
      <c r="AQ168" s="181"/>
      <c r="AR168" s="181"/>
      <c r="AS168" s="181"/>
      <c r="AT168" s="179"/>
      <c r="AU168" s="549"/>
      <c r="AV168" s="181"/>
      <c r="AW168" s="181"/>
      <c r="AX168" s="181"/>
      <c r="AY168" s="181"/>
      <c r="AZ168" s="181"/>
      <c r="BA168" s="181"/>
      <c r="BB168" s="181"/>
      <c r="BC168" s="181"/>
      <c r="BD168" s="181"/>
      <c r="BE168" s="181"/>
      <c r="BF168" s="181"/>
      <c r="BG168" s="181"/>
      <c r="BH168" s="181"/>
    </row>
    <row r="169">
      <c r="A169" s="179"/>
      <c r="B169" s="549"/>
      <c r="C169" s="181"/>
      <c r="D169" s="181"/>
      <c r="E169" s="181"/>
      <c r="F169" s="179"/>
      <c r="G169" s="549"/>
      <c r="H169" s="181"/>
      <c r="I169" s="181"/>
      <c r="J169" s="181"/>
      <c r="K169" s="156"/>
      <c r="L169" s="549"/>
      <c r="M169" s="181"/>
      <c r="N169" s="181"/>
      <c r="O169" s="181"/>
      <c r="P169" s="156"/>
      <c r="Q169" s="562"/>
      <c r="R169" s="181"/>
      <c r="S169" s="181"/>
      <c r="T169" s="181"/>
      <c r="U169" s="179"/>
      <c r="V169" s="549"/>
      <c r="W169" s="181"/>
      <c r="X169" s="181"/>
      <c r="Y169" s="181"/>
      <c r="Z169" s="179"/>
      <c r="AA169" s="549"/>
      <c r="AB169" s="181"/>
      <c r="AC169" s="181"/>
      <c r="AD169" s="181"/>
      <c r="AE169" s="179"/>
      <c r="AF169" s="549"/>
      <c r="AG169" s="181"/>
      <c r="AH169" s="181"/>
      <c r="AI169" s="181"/>
      <c r="AJ169" s="179"/>
      <c r="AK169" s="549"/>
      <c r="AL169" s="181"/>
      <c r="AM169" s="181"/>
      <c r="AN169" s="181"/>
      <c r="AO169" s="179"/>
      <c r="AP169" s="549"/>
      <c r="AQ169" s="181"/>
      <c r="AR169" s="181"/>
      <c r="AS169" s="181"/>
      <c r="AT169" s="179"/>
      <c r="AU169" s="549"/>
      <c r="AV169" s="181"/>
      <c r="AW169" s="181"/>
      <c r="AX169" s="181"/>
      <c r="AY169" s="181"/>
      <c r="AZ169" s="181"/>
      <c r="BA169" s="181"/>
      <c r="BB169" s="181"/>
      <c r="BC169" s="181"/>
      <c r="BD169" s="181"/>
      <c r="BE169" s="181"/>
      <c r="BF169" s="181"/>
      <c r="BG169" s="181"/>
      <c r="BH169" s="181"/>
    </row>
    <row r="170">
      <c r="A170" s="179"/>
      <c r="B170" s="549"/>
      <c r="C170" s="181"/>
      <c r="D170" s="181"/>
      <c r="E170" s="181"/>
      <c r="F170" s="179"/>
      <c r="G170" s="549"/>
      <c r="H170" s="181"/>
      <c r="I170" s="181"/>
      <c r="J170" s="181"/>
      <c r="K170" s="156"/>
      <c r="L170" s="549"/>
      <c r="M170" s="181"/>
      <c r="N170" s="181"/>
      <c r="O170" s="181"/>
      <c r="P170" s="156"/>
      <c r="Q170" s="562"/>
      <c r="R170" s="181"/>
      <c r="S170" s="181"/>
      <c r="T170" s="181"/>
      <c r="U170" s="179"/>
      <c r="V170" s="549"/>
      <c r="W170" s="181"/>
      <c r="X170" s="181"/>
      <c r="Y170" s="181"/>
      <c r="Z170" s="179"/>
      <c r="AA170" s="549"/>
      <c r="AB170" s="181"/>
      <c r="AC170" s="181"/>
      <c r="AD170" s="181"/>
      <c r="AE170" s="179"/>
      <c r="AF170" s="549"/>
      <c r="AG170" s="181"/>
      <c r="AH170" s="181"/>
      <c r="AI170" s="181"/>
      <c r="AJ170" s="179"/>
      <c r="AK170" s="549"/>
      <c r="AL170" s="181"/>
      <c r="AM170" s="181"/>
      <c r="AN170" s="181"/>
      <c r="AO170" s="179"/>
      <c r="AP170" s="549"/>
      <c r="AQ170" s="181"/>
      <c r="AR170" s="181"/>
      <c r="AS170" s="181"/>
      <c r="AT170" s="179"/>
      <c r="AU170" s="549"/>
      <c r="AV170" s="181"/>
      <c r="AW170" s="181"/>
      <c r="AX170" s="181"/>
      <c r="AY170" s="181"/>
      <c r="AZ170" s="181"/>
      <c r="BA170" s="181"/>
      <c r="BB170" s="181"/>
      <c r="BC170" s="181"/>
      <c r="BD170" s="181"/>
      <c r="BE170" s="181"/>
      <c r="BF170" s="181"/>
      <c r="BG170" s="181"/>
      <c r="BH170" s="181"/>
    </row>
    <row r="171">
      <c r="A171" s="179"/>
      <c r="B171" s="549"/>
      <c r="C171" s="181"/>
      <c r="D171" s="181"/>
      <c r="E171" s="181"/>
      <c r="F171" s="179"/>
      <c r="G171" s="549"/>
      <c r="H171" s="181"/>
      <c r="I171" s="181"/>
      <c r="J171" s="181"/>
      <c r="K171" s="156"/>
      <c r="L171" s="549"/>
      <c r="M171" s="181"/>
      <c r="N171" s="181"/>
      <c r="O171" s="181"/>
      <c r="P171" s="156"/>
      <c r="Q171" s="562"/>
      <c r="R171" s="181"/>
      <c r="S171" s="181"/>
      <c r="T171" s="181"/>
      <c r="U171" s="179"/>
      <c r="V171" s="549"/>
      <c r="W171" s="181"/>
      <c r="X171" s="181"/>
      <c r="Y171" s="181"/>
      <c r="Z171" s="179"/>
      <c r="AA171" s="549"/>
      <c r="AB171" s="181"/>
      <c r="AC171" s="181"/>
      <c r="AD171" s="181"/>
      <c r="AE171" s="179"/>
      <c r="AF171" s="549"/>
      <c r="AG171" s="181"/>
      <c r="AH171" s="181"/>
      <c r="AI171" s="181"/>
      <c r="AJ171" s="179"/>
      <c r="AK171" s="549"/>
      <c r="AL171" s="181"/>
      <c r="AM171" s="181"/>
      <c r="AN171" s="181"/>
      <c r="AO171" s="179"/>
      <c r="AP171" s="549"/>
      <c r="AQ171" s="181"/>
      <c r="AR171" s="181"/>
      <c r="AS171" s="181"/>
      <c r="AT171" s="179"/>
      <c r="AU171" s="549"/>
      <c r="AV171" s="181"/>
      <c r="AW171" s="181"/>
      <c r="AX171" s="181"/>
      <c r="AY171" s="181"/>
      <c r="AZ171" s="181"/>
      <c r="BA171" s="181"/>
      <c r="BB171" s="181"/>
      <c r="BC171" s="181"/>
      <c r="BD171" s="181"/>
      <c r="BE171" s="181"/>
      <c r="BF171" s="181"/>
      <c r="BG171" s="181"/>
      <c r="BH171" s="181"/>
    </row>
    <row r="172">
      <c r="A172" s="179"/>
      <c r="B172" s="549"/>
      <c r="C172" s="181"/>
      <c r="D172" s="181"/>
      <c r="E172" s="181"/>
      <c r="F172" s="179"/>
      <c r="G172" s="549"/>
      <c r="H172" s="181"/>
      <c r="I172" s="181"/>
      <c r="J172" s="181"/>
      <c r="K172" s="156"/>
      <c r="L172" s="549"/>
      <c r="M172" s="181"/>
      <c r="N172" s="181"/>
      <c r="O172" s="181"/>
      <c r="P172" s="156"/>
      <c r="Q172" s="562"/>
      <c r="R172" s="181"/>
      <c r="S172" s="181"/>
      <c r="T172" s="181"/>
      <c r="U172" s="179"/>
      <c r="V172" s="549"/>
      <c r="W172" s="181"/>
      <c r="X172" s="181"/>
      <c r="Y172" s="181"/>
      <c r="Z172" s="179"/>
      <c r="AA172" s="549"/>
      <c r="AB172" s="181"/>
      <c r="AC172" s="181"/>
      <c r="AD172" s="181"/>
      <c r="AE172" s="179"/>
      <c r="AF172" s="549"/>
      <c r="AG172" s="181"/>
      <c r="AH172" s="181"/>
      <c r="AI172" s="181"/>
      <c r="AJ172" s="179"/>
      <c r="AK172" s="549"/>
      <c r="AL172" s="181"/>
      <c r="AM172" s="181"/>
      <c r="AN172" s="181"/>
      <c r="AO172" s="179"/>
      <c r="AP172" s="549"/>
      <c r="AQ172" s="181"/>
      <c r="AR172" s="181"/>
      <c r="AS172" s="181"/>
      <c r="AT172" s="179"/>
      <c r="AU172" s="549"/>
      <c r="AV172" s="181"/>
      <c r="AW172" s="181"/>
      <c r="AX172" s="181"/>
      <c r="AY172" s="181"/>
      <c r="AZ172" s="181"/>
      <c r="BA172" s="181"/>
      <c r="BB172" s="181"/>
      <c r="BC172" s="181"/>
      <c r="BD172" s="181"/>
      <c r="BE172" s="181"/>
      <c r="BF172" s="181"/>
      <c r="BG172" s="181"/>
      <c r="BH172" s="181"/>
    </row>
    <row r="173">
      <c r="A173" s="179"/>
      <c r="B173" s="549"/>
      <c r="C173" s="181"/>
      <c r="D173" s="181"/>
      <c r="E173" s="181"/>
      <c r="F173" s="179"/>
      <c r="G173" s="549"/>
      <c r="H173" s="181"/>
      <c r="I173" s="181"/>
      <c r="J173" s="181"/>
      <c r="K173" s="156"/>
      <c r="L173" s="549"/>
      <c r="M173" s="181"/>
      <c r="N173" s="181"/>
      <c r="O173" s="181"/>
      <c r="P173" s="156"/>
      <c r="Q173" s="562"/>
      <c r="R173" s="181"/>
      <c r="S173" s="181"/>
      <c r="T173" s="181"/>
      <c r="U173" s="179"/>
      <c r="V173" s="549"/>
      <c r="W173" s="181"/>
      <c r="X173" s="181"/>
      <c r="Y173" s="181"/>
      <c r="Z173" s="179"/>
      <c r="AA173" s="549"/>
      <c r="AB173" s="181"/>
      <c r="AC173" s="181"/>
      <c r="AD173" s="181"/>
      <c r="AE173" s="179"/>
      <c r="AF173" s="549"/>
      <c r="AG173" s="181"/>
      <c r="AH173" s="181"/>
      <c r="AI173" s="181"/>
      <c r="AJ173" s="179"/>
      <c r="AK173" s="549"/>
      <c r="AL173" s="181"/>
      <c r="AM173" s="181"/>
      <c r="AN173" s="181"/>
      <c r="AO173" s="179"/>
      <c r="AP173" s="549"/>
      <c r="AQ173" s="181"/>
      <c r="AR173" s="181"/>
      <c r="AS173" s="181"/>
      <c r="AT173" s="179"/>
      <c r="AU173" s="549"/>
      <c r="AV173" s="181"/>
      <c r="AW173" s="181"/>
      <c r="AX173" s="181"/>
      <c r="AY173" s="181"/>
      <c r="AZ173" s="181"/>
      <c r="BA173" s="181"/>
      <c r="BB173" s="181"/>
      <c r="BC173" s="181"/>
      <c r="BD173" s="181"/>
      <c r="BE173" s="181"/>
      <c r="BF173" s="181"/>
      <c r="BG173" s="181"/>
      <c r="BH173" s="181"/>
    </row>
    <row r="174">
      <c r="A174" s="179"/>
      <c r="B174" s="549"/>
      <c r="C174" s="181"/>
      <c r="D174" s="181"/>
      <c r="E174" s="181"/>
      <c r="F174" s="179"/>
      <c r="G174" s="549"/>
      <c r="H174" s="181"/>
      <c r="I174" s="181"/>
      <c r="J174" s="181"/>
      <c r="K174" s="156"/>
      <c r="L174" s="549"/>
      <c r="M174" s="181"/>
      <c r="N174" s="181"/>
      <c r="O174" s="181"/>
      <c r="P174" s="156"/>
      <c r="Q174" s="562"/>
      <c r="R174" s="181"/>
      <c r="S174" s="181"/>
      <c r="T174" s="181"/>
      <c r="U174" s="179"/>
      <c r="V174" s="549"/>
      <c r="W174" s="181"/>
      <c r="X174" s="181"/>
      <c r="Y174" s="181"/>
      <c r="Z174" s="179"/>
      <c r="AA174" s="549"/>
      <c r="AB174" s="181"/>
      <c r="AC174" s="181"/>
      <c r="AD174" s="181"/>
      <c r="AE174" s="179"/>
      <c r="AF174" s="549"/>
      <c r="AG174" s="181"/>
      <c r="AH174" s="181"/>
      <c r="AI174" s="181"/>
      <c r="AJ174" s="179"/>
      <c r="AK174" s="549"/>
      <c r="AL174" s="181"/>
      <c r="AM174" s="181"/>
      <c r="AN174" s="181"/>
      <c r="AO174" s="179"/>
      <c r="AP174" s="549"/>
      <c r="AQ174" s="181"/>
      <c r="AR174" s="181"/>
      <c r="AS174" s="181"/>
      <c r="AT174" s="179"/>
      <c r="AU174" s="549"/>
      <c r="AV174" s="181"/>
      <c r="AW174" s="181"/>
      <c r="AX174" s="181"/>
      <c r="AY174" s="181"/>
      <c r="AZ174" s="181"/>
      <c r="BA174" s="181"/>
      <c r="BB174" s="181"/>
      <c r="BC174" s="181"/>
      <c r="BD174" s="181"/>
      <c r="BE174" s="181"/>
      <c r="BF174" s="181"/>
      <c r="BG174" s="181"/>
      <c r="BH174" s="181"/>
    </row>
    <row r="175">
      <c r="A175" s="179"/>
      <c r="B175" s="549"/>
      <c r="C175" s="181"/>
      <c r="D175" s="181"/>
      <c r="E175" s="181"/>
      <c r="F175" s="179"/>
      <c r="G175" s="549"/>
      <c r="H175" s="181"/>
      <c r="I175" s="181"/>
      <c r="J175" s="181"/>
      <c r="K175" s="156"/>
      <c r="L175" s="549"/>
      <c r="M175" s="181"/>
      <c r="N175" s="181"/>
      <c r="O175" s="181"/>
      <c r="P175" s="156"/>
      <c r="Q175" s="562"/>
      <c r="R175" s="181"/>
      <c r="S175" s="181"/>
      <c r="T175" s="181"/>
      <c r="U175" s="179"/>
      <c r="V175" s="549"/>
      <c r="W175" s="181"/>
      <c r="X175" s="181"/>
      <c r="Y175" s="181"/>
      <c r="Z175" s="179"/>
      <c r="AA175" s="549"/>
      <c r="AB175" s="181"/>
      <c r="AC175" s="181"/>
      <c r="AD175" s="181"/>
      <c r="AE175" s="179"/>
      <c r="AF175" s="549"/>
      <c r="AG175" s="181"/>
      <c r="AH175" s="181"/>
      <c r="AI175" s="181"/>
      <c r="AJ175" s="179"/>
      <c r="AK175" s="549"/>
      <c r="AL175" s="181"/>
      <c r="AM175" s="181"/>
      <c r="AN175" s="181"/>
      <c r="AO175" s="179"/>
      <c r="AP175" s="549"/>
      <c r="AQ175" s="181"/>
      <c r="AR175" s="181"/>
      <c r="AS175" s="181"/>
      <c r="AT175" s="179"/>
      <c r="AU175" s="549"/>
      <c r="AV175" s="181"/>
      <c r="AW175" s="181"/>
      <c r="AX175" s="181"/>
      <c r="AY175" s="181"/>
      <c r="AZ175" s="181"/>
      <c r="BA175" s="181"/>
      <c r="BB175" s="181"/>
      <c r="BC175" s="181"/>
      <c r="BD175" s="181"/>
      <c r="BE175" s="181"/>
      <c r="BF175" s="181"/>
      <c r="BG175" s="181"/>
      <c r="BH175" s="181"/>
    </row>
    <row r="176">
      <c r="A176" s="179"/>
      <c r="B176" s="549"/>
      <c r="C176" s="181"/>
      <c r="D176" s="181"/>
      <c r="E176" s="181"/>
      <c r="F176" s="179"/>
      <c r="G176" s="549"/>
      <c r="H176" s="181"/>
      <c r="I176" s="181"/>
      <c r="J176" s="181"/>
      <c r="K176" s="156"/>
      <c r="L176" s="549"/>
      <c r="M176" s="181"/>
      <c r="N176" s="181"/>
      <c r="O176" s="181"/>
      <c r="P176" s="156"/>
      <c r="Q176" s="562"/>
      <c r="R176" s="181"/>
      <c r="S176" s="181"/>
      <c r="T176" s="181"/>
      <c r="U176" s="179"/>
      <c r="V176" s="549"/>
      <c r="W176" s="181"/>
      <c r="X176" s="181"/>
      <c r="Y176" s="181"/>
      <c r="Z176" s="179"/>
      <c r="AA176" s="549"/>
      <c r="AB176" s="181"/>
      <c r="AC176" s="181"/>
      <c r="AD176" s="181"/>
      <c r="AE176" s="179"/>
      <c r="AF176" s="549"/>
      <c r="AG176" s="181"/>
      <c r="AH176" s="181"/>
      <c r="AI176" s="181"/>
      <c r="AJ176" s="179"/>
      <c r="AK176" s="549"/>
      <c r="AL176" s="181"/>
      <c r="AM176" s="181"/>
      <c r="AN176" s="181"/>
      <c r="AO176" s="179"/>
      <c r="AP176" s="549"/>
      <c r="AQ176" s="181"/>
      <c r="AR176" s="181"/>
      <c r="AS176" s="181"/>
      <c r="AT176" s="179"/>
      <c r="AU176" s="549"/>
      <c r="AV176" s="181"/>
      <c r="AW176" s="181"/>
      <c r="AX176" s="181"/>
      <c r="AY176" s="181"/>
      <c r="AZ176" s="181"/>
      <c r="BA176" s="181"/>
      <c r="BB176" s="181"/>
      <c r="BC176" s="181"/>
      <c r="BD176" s="181"/>
      <c r="BE176" s="181"/>
      <c r="BF176" s="181"/>
      <c r="BG176" s="181"/>
      <c r="BH176" s="181"/>
    </row>
    <row r="177">
      <c r="A177" s="179"/>
      <c r="B177" s="549"/>
      <c r="C177" s="181"/>
      <c r="D177" s="181"/>
      <c r="E177" s="181"/>
      <c r="F177" s="179"/>
      <c r="G177" s="549"/>
      <c r="H177" s="181"/>
      <c r="I177" s="181"/>
      <c r="J177" s="181"/>
      <c r="K177" s="156"/>
      <c r="L177" s="549"/>
      <c r="M177" s="181"/>
      <c r="N177" s="181"/>
      <c r="O177" s="181"/>
      <c r="P177" s="156"/>
      <c r="Q177" s="562"/>
      <c r="R177" s="181"/>
      <c r="S177" s="181"/>
      <c r="T177" s="181"/>
      <c r="U177" s="179"/>
      <c r="V177" s="549"/>
      <c r="W177" s="181"/>
      <c r="X177" s="181"/>
      <c r="Y177" s="181"/>
      <c r="Z177" s="179"/>
      <c r="AA177" s="549"/>
      <c r="AB177" s="181"/>
      <c r="AC177" s="181"/>
      <c r="AD177" s="181"/>
      <c r="AE177" s="179"/>
      <c r="AF177" s="549"/>
      <c r="AG177" s="181"/>
      <c r="AH177" s="181"/>
      <c r="AI177" s="181"/>
      <c r="AJ177" s="179"/>
      <c r="AK177" s="549"/>
      <c r="AL177" s="181"/>
      <c r="AM177" s="181"/>
      <c r="AN177" s="181"/>
      <c r="AO177" s="179"/>
      <c r="AP177" s="549"/>
      <c r="AQ177" s="181"/>
      <c r="AR177" s="181"/>
      <c r="AS177" s="181"/>
      <c r="AT177" s="179"/>
      <c r="AU177" s="549"/>
      <c r="AV177" s="181"/>
      <c r="AW177" s="181"/>
      <c r="AX177" s="181"/>
      <c r="AY177" s="181"/>
      <c r="AZ177" s="181"/>
      <c r="BA177" s="181"/>
      <c r="BB177" s="181"/>
      <c r="BC177" s="181"/>
      <c r="BD177" s="181"/>
      <c r="BE177" s="181"/>
      <c r="BF177" s="181"/>
      <c r="BG177" s="181"/>
      <c r="BH177" s="181"/>
    </row>
    <row r="178">
      <c r="A178" s="179"/>
      <c r="B178" s="549"/>
      <c r="C178" s="181"/>
      <c r="D178" s="181"/>
      <c r="E178" s="181"/>
      <c r="F178" s="179"/>
      <c r="G178" s="549"/>
      <c r="H178" s="181"/>
      <c r="I178" s="181"/>
      <c r="J178" s="181"/>
      <c r="K178" s="156"/>
      <c r="L178" s="549"/>
      <c r="M178" s="181"/>
      <c r="N178" s="181"/>
      <c r="O178" s="181"/>
      <c r="P178" s="156"/>
      <c r="Q178" s="562"/>
      <c r="R178" s="181"/>
      <c r="S178" s="181"/>
      <c r="T178" s="181"/>
      <c r="U178" s="179"/>
      <c r="V178" s="549"/>
      <c r="W178" s="181"/>
      <c r="X178" s="181"/>
      <c r="Y178" s="181"/>
      <c r="Z178" s="179"/>
      <c r="AA178" s="549"/>
      <c r="AB178" s="181"/>
      <c r="AC178" s="181"/>
      <c r="AD178" s="181"/>
      <c r="AE178" s="179"/>
      <c r="AF178" s="549"/>
      <c r="AG178" s="181"/>
      <c r="AH178" s="181"/>
      <c r="AI178" s="181"/>
      <c r="AJ178" s="179"/>
      <c r="AK178" s="549"/>
      <c r="AL178" s="181"/>
      <c r="AM178" s="181"/>
      <c r="AN178" s="181"/>
      <c r="AO178" s="179"/>
      <c r="AP178" s="549"/>
      <c r="AQ178" s="181"/>
      <c r="AR178" s="181"/>
      <c r="AS178" s="181"/>
      <c r="AT178" s="179"/>
      <c r="AU178" s="549"/>
      <c r="AV178" s="181"/>
      <c r="AW178" s="181"/>
      <c r="AX178" s="181"/>
      <c r="AY178" s="181"/>
      <c r="AZ178" s="181"/>
      <c r="BA178" s="181"/>
      <c r="BB178" s="181"/>
      <c r="BC178" s="181"/>
      <c r="BD178" s="181"/>
      <c r="BE178" s="181"/>
      <c r="BF178" s="181"/>
      <c r="BG178" s="181"/>
      <c r="BH178" s="181"/>
    </row>
    <row r="179">
      <c r="A179" s="179"/>
      <c r="B179" s="549"/>
      <c r="C179" s="181"/>
      <c r="D179" s="181"/>
      <c r="E179" s="181"/>
      <c r="F179" s="179"/>
      <c r="G179" s="549"/>
      <c r="H179" s="181"/>
      <c r="I179" s="181"/>
      <c r="J179" s="181"/>
      <c r="K179" s="156"/>
      <c r="L179" s="549"/>
      <c r="M179" s="181"/>
      <c r="N179" s="181"/>
      <c r="O179" s="181"/>
      <c r="P179" s="156"/>
      <c r="Q179" s="562"/>
      <c r="R179" s="181"/>
      <c r="S179" s="181"/>
      <c r="T179" s="181"/>
      <c r="U179" s="179"/>
      <c r="V179" s="549"/>
      <c r="W179" s="181"/>
      <c r="X179" s="181"/>
      <c r="Y179" s="181"/>
      <c r="Z179" s="179"/>
      <c r="AA179" s="549"/>
      <c r="AB179" s="181"/>
      <c r="AC179" s="181"/>
      <c r="AD179" s="181"/>
      <c r="AE179" s="179"/>
      <c r="AF179" s="549"/>
      <c r="AG179" s="181"/>
      <c r="AH179" s="181"/>
      <c r="AI179" s="181"/>
      <c r="AJ179" s="179"/>
      <c r="AK179" s="549"/>
      <c r="AL179" s="181"/>
      <c r="AM179" s="181"/>
      <c r="AN179" s="181"/>
      <c r="AO179" s="179"/>
      <c r="AP179" s="549"/>
      <c r="AQ179" s="181"/>
      <c r="AR179" s="181"/>
      <c r="AS179" s="181"/>
      <c r="AT179" s="179"/>
      <c r="AU179" s="549"/>
      <c r="AV179" s="181"/>
      <c r="AW179" s="181"/>
      <c r="AX179" s="181"/>
      <c r="AY179" s="181"/>
      <c r="AZ179" s="181"/>
      <c r="BA179" s="181"/>
      <c r="BB179" s="181"/>
      <c r="BC179" s="181"/>
      <c r="BD179" s="181"/>
      <c r="BE179" s="181"/>
      <c r="BF179" s="181"/>
      <c r="BG179" s="181"/>
      <c r="BH179" s="181"/>
    </row>
    <row r="180">
      <c r="A180" s="179"/>
      <c r="B180" s="549"/>
      <c r="C180" s="181"/>
      <c r="D180" s="181"/>
      <c r="E180" s="181"/>
      <c r="F180" s="179"/>
      <c r="G180" s="549"/>
      <c r="H180" s="181"/>
      <c r="I180" s="181"/>
      <c r="J180" s="181"/>
      <c r="K180" s="156"/>
      <c r="L180" s="549"/>
      <c r="M180" s="181"/>
      <c r="N180" s="181"/>
      <c r="O180" s="181"/>
      <c r="P180" s="156"/>
      <c r="Q180" s="562"/>
      <c r="R180" s="181"/>
      <c r="S180" s="181"/>
      <c r="T180" s="181"/>
      <c r="U180" s="179"/>
      <c r="V180" s="549"/>
      <c r="W180" s="181"/>
      <c r="X180" s="181"/>
      <c r="Y180" s="181"/>
      <c r="Z180" s="179"/>
      <c r="AA180" s="549"/>
      <c r="AB180" s="181"/>
      <c r="AC180" s="181"/>
      <c r="AD180" s="181"/>
      <c r="AE180" s="179"/>
      <c r="AF180" s="549"/>
      <c r="AG180" s="181"/>
      <c r="AH180" s="181"/>
      <c r="AI180" s="181"/>
      <c r="AJ180" s="179"/>
      <c r="AK180" s="549"/>
      <c r="AL180" s="181"/>
      <c r="AM180" s="181"/>
      <c r="AN180" s="181"/>
      <c r="AO180" s="179"/>
      <c r="AP180" s="549"/>
      <c r="AQ180" s="181"/>
      <c r="AR180" s="181"/>
      <c r="AS180" s="181"/>
      <c r="AT180" s="179"/>
      <c r="AU180" s="549"/>
      <c r="AV180" s="181"/>
      <c r="AW180" s="181"/>
      <c r="AX180" s="181"/>
      <c r="AY180" s="181"/>
      <c r="AZ180" s="181"/>
      <c r="BA180" s="181"/>
      <c r="BB180" s="181"/>
      <c r="BC180" s="181"/>
      <c r="BD180" s="181"/>
      <c r="BE180" s="181"/>
      <c r="BF180" s="181"/>
      <c r="BG180" s="181"/>
      <c r="BH180" s="181"/>
    </row>
    <row r="181">
      <c r="A181" s="179"/>
      <c r="B181" s="549"/>
      <c r="C181" s="181"/>
      <c r="D181" s="181"/>
      <c r="E181" s="181"/>
      <c r="F181" s="179"/>
      <c r="G181" s="549"/>
      <c r="H181" s="181"/>
      <c r="I181" s="181"/>
      <c r="J181" s="181"/>
      <c r="K181" s="156"/>
      <c r="L181" s="549"/>
      <c r="M181" s="181"/>
      <c r="N181" s="181"/>
      <c r="O181" s="181"/>
      <c r="P181" s="156"/>
      <c r="Q181" s="562"/>
      <c r="R181" s="181"/>
      <c r="S181" s="181"/>
      <c r="T181" s="181"/>
      <c r="U181" s="179"/>
      <c r="V181" s="549"/>
      <c r="W181" s="181"/>
      <c r="X181" s="181"/>
      <c r="Y181" s="181"/>
      <c r="Z181" s="179"/>
      <c r="AA181" s="549"/>
      <c r="AB181" s="181"/>
      <c r="AC181" s="181"/>
      <c r="AD181" s="181"/>
      <c r="AE181" s="179"/>
      <c r="AF181" s="549"/>
      <c r="AG181" s="181"/>
      <c r="AH181" s="181"/>
      <c r="AI181" s="181"/>
      <c r="AJ181" s="179"/>
      <c r="AK181" s="549"/>
      <c r="AL181" s="181"/>
      <c r="AM181" s="181"/>
      <c r="AN181" s="181"/>
      <c r="AO181" s="179"/>
      <c r="AP181" s="549"/>
      <c r="AQ181" s="181"/>
      <c r="AR181" s="181"/>
      <c r="AS181" s="181"/>
      <c r="AT181" s="179"/>
      <c r="AU181" s="549"/>
      <c r="AV181" s="181"/>
      <c r="AW181" s="181"/>
      <c r="AX181" s="181"/>
      <c r="AY181" s="181"/>
      <c r="AZ181" s="181"/>
      <c r="BA181" s="181"/>
      <c r="BB181" s="181"/>
      <c r="BC181" s="181"/>
      <c r="BD181" s="181"/>
      <c r="BE181" s="181"/>
      <c r="BF181" s="181"/>
      <c r="BG181" s="181"/>
      <c r="BH181" s="181"/>
    </row>
    <row r="182">
      <c r="A182" s="179"/>
      <c r="B182" s="549"/>
      <c r="C182" s="181"/>
      <c r="D182" s="181"/>
      <c r="E182" s="181"/>
      <c r="F182" s="179"/>
      <c r="G182" s="549"/>
      <c r="H182" s="181"/>
      <c r="I182" s="181"/>
      <c r="J182" s="181"/>
      <c r="K182" s="156"/>
      <c r="L182" s="549"/>
      <c r="M182" s="181"/>
      <c r="N182" s="181"/>
      <c r="O182" s="181"/>
      <c r="P182" s="156"/>
      <c r="Q182" s="562"/>
      <c r="R182" s="181"/>
      <c r="S182" s="181"/>
      <c r="T182" s="181"/>
      <c r="U182" s="179"/>
      <c r="V182" s="549"/>
      <c r="W182" s="181"/>
      <c r="X182" s="181"/>
      <c r="Y182" s="181"/>
      <c r="Z182" s="179"/>
      <c r="AA182" s="549"/>
      <c r="AB182" s="181"/>
      <c r="AC182" s="181"/>
      <c r="AD182" s="181"/>
      <c r="AE182" s="179"/>
      <c r="AF182" s="549"/>
      <c r="AG182" s="181"/>
      <c r="AH182" s="181"/>
      <c r="AI182" s="181"/>
      <c r="AJ182" s="179"/>
      <c r="AK182" s="549"/>
      <c r="AL182" s="181"/>
      <c r="AM182" s="181"/>
      <c r="AN182" s="181"/>
      <c r="AO182" s="179"/>
      <c r="AP182" s="549"/>
      <c r="AQ182" s="181"/>
      <c r="AR182" s="181"/>
      <c r="AS182" s="181"/>
      <c r="AT182" s="179"/>
      <c r="AU182" s="549"/>
      <c r="AV182" s="181"/>
      <c r="AW182" s="181"/>
      <c r="AX182" s="181"/>
      <c r="AY182" s="181"/>
      <c r="AZ182" s="181"/>
      <c r="BA182" s="181"/>
      <c r="BB182" s="181"/>
      <c r="BC182" s="181"/>
      <c r="BD182" s="181"/>
      <c r="BE182" s="181"/>
      <c r="BF182" s="181"/>
      <c r="BG182" s="181"/>
      <c r="BH182" s="181"/>
    </row>
    <row r="183">
      <c r="A183" s="179"/>
      <c r="B183" s="549"/>
      <c r="C183" s="181"/>
      <c r="D183" s="181"/>
      <c r="E183" s="181"/>
      <c r="F183" s="179"/>
      <c r="G183" s="549"/>
      <c r="H183" s="181"/>
      <c r="I183" s="181"/>
      <c r="J183" s="181"/>
      <c r="K183" s="156"/>
      <c r="L183" s="549"/>
      <c r="M183" s="181"/>
      <c r="N183" s="181"/>
      <c r="O183" s="181"/>
      <c r="P183" s="156"/>
      <c r="Q183" s="562"/>
      <c r="R183" s="181"/>
      <c r="S183" s="181"/>
      <c r="T183" s="181"/>
      <c r="U183" s="179"/>
      <c r="V183" s="549"/>
      <c r="W183" s="181"/>
      <c r="X183" s="181"/>
      <c r="Y183" s="181"/>
      <c r="Z183" s="179"/>
      <c r="AA183" s="549"/>
      <c r="AB183" s="181"/>
      <c r="AC183" s="181"/>
      <c r="AD183" s="181"/>
      <c r="AE183" s="179"/>
      <c r="AF183" s="549"/>
      <c r="AG183" s="181"/>
      <c r="AH183" s="181"/>
      <c r="AI183" s="181"/>
      <c r="AJ183" s="179"/>
      <c r="AK183" s="549"/>
      <c r="AL183" s="181"/>
      <c r="AM183" s="181"/>
      <c r="AN183" s="181"/>
      <c r="AO183" s="179"/>
      <c r="AP183" s="549"/>
      <c r="AQ183" s="181"/>
      <c r="AR183" s="181"/>
      <c r="AS183" s="181"/>
      <c r="AT183" s="179"/>
      <c r="AU183" s="549"/>
      <c r="AV183" s="181"/>
      <c r="AW183" s="181"/>
      <c r="AX183" s="181"/>
      <c r="AY183" s="181"/>
      <c r="AZ183" s="181"/>
      <c r="BA183" s="181"/>
      <c r="BB183" s="181"/>
      <c r="BC183" s="181"/>
      <c r="BD183" s="181"/>
      <c r="BE183" s="181"/>
      <c r="BF183" s="181"/>
      <c r="BG183" s="181"/>
      <c r="BH183" s="181"/>
    </row>
    <row r="184">
      <c r="A184" s="179"/>
      <c r="B184" s="549"/>
      <c r="C184" s="181"/>
      <c r="D184" s="181"/>
      <c r="E184" s="181"/>
      <c r="F184" s="179"/>
      <c r="G184" s="549"/>
      <c r="H184" s="181"/>
      <c r="I184" s="181"/>
      <c r="J184" s="181"/>
      <c r="K184" s="156"/>
      <c r="L184" s="549"/>
      <c r="M184" s="181"/>
      <c r="N184" s="181"/>
      <c r="O184" s="181"/>
      <c r="P184" s="156"/>
      <c r="Q184" s="562"/>
      <c r="R184" s="181"/>
      <c r="S184" s="181"/>
      <c r="T184" s="181"/>
      <c r="U184" s="179"/>
      <c r="V184" s="549"/>
      <c r="W184" s="181"/>
      <c r="X184" s="181"/>
      <c r="Y184" s="181"/>
      <c r="Z184" s="179"/>
      <c r="AA184" s="549"/>
      <c r="AB184" s="181"/>
      <c r="AC184" s="181"/>
      <c r="AD184" s="181"/>
      <c r="AE184" s="179"/>
      <c r="AF184" s="549"/>
      <c r="AG184" s="181"/>
      <c r="AH184" s="181"/>
      <c r="AI184" s="181"/>
      <c r="AJ184" s="179"/>
      <c r="AK184" s="549"/>
      <c r="AL184" s="181"/>
      <c r="AM184" s="181"/>
      <c r="AN184" s="181"/>
      <c r="AO184" s="179"/>
      <c r="AP184" s="549"/>
      <c r="AQ184" s="181"/>
      <c r="AR184" s="181"/>
      <c r="AS184" s="181"/>
      <c r="AT184" s="179"/>
      <c r="AU184" s="549"/>
      <c r="AV184" s="181"/>
      <c r="AW184" s="181"/>
      <c r="AX184" s="181"/>
      <c r="AY184" s="181"/>
      <c r="AZ184" s="181"/>
      <c r="BA184" s="181"/>
      <c r="BB184" s="181"/>
      <c r="BC184" s="181"/>
      <c r="BD184" s="181"/>
      <c r="BE184" s="181"/>
      <c r="BF184" s="181"/>
      <c r="BG184" s="181"/>
      <c r="BH184" s="181"/>
    </row>
    <row r="185">
      <c r="A185" s="179"/>
      <c r="B185" s="549"/>
      <c r="C185" s="181"/>
      <c r="D185" s="181"/>
      <c r="E185" s="181"/>
      <c r="F185" s="179"/>
      <c r="G185" s="549"/>
      <c r="H185" s="181"/>
      <c r="I185" s="181"/>
      <c r="J185" s="181"/>
      <c r="K185" s="156"/>
      <c r="L185" s="549"/>
      <c r="M185" s="181"/>
      <c r="N185" s="181"/>
      <c r="O185" s="181"/>
      <c r="P185" s="156"/>
      <c r="Q185" s="562"/>
      <c r="R185" s="181"/>
      <c r="S185" s="181"/>
      <c r="T185" s="181"/>
      <c r="U185" s="179"/>
      <c r="V185" s="549"/>
      <c r="W185" s="181"/>
      <c r="X185" s="181"/>
      <c r="Y185" s="181"/>
      <c r="Z185" s="179"/>
      <c r="AA185" s="549"/>
      <c r="AB185" s="181"/>
      <c r="AC185" s="181"/>
      <c r="AD185" s="181"/>
      <c r="AE185" s="179"/>
      <c r="AF185" s="549"/>
      <c r="AG185" s="181"/>
      <c r="AH185" s="181"/>
      <c r="AI185" s="181"/>
      <c r="AJ185" s="179"/>
      <c r="AK185" s="549"/>
      <c r="AL185" s="181"/>
      <c r="AM185" s="181"/>
      <c r="AN185" s="181"/>
      <c r="AO185" s="179"/>
      <c r="AP185" s="549"/>
      <c r="AQ185" s="181"/>
      <c r="AR185" s="181"/>
      <c r="AS185" s="181"/>
      <c r="AT185" s="179"/>
      <c r="AU185" s="549"/>
      <c r="AV185" s="181"/>
      <c r="AW185" s="181"/>
      <c r="AX185" s="181"/>
      <c r="AY185" s="181"/>
      <c r="AZ185" s="181"/>
      <c r="BA185" s="181"/>
      <c r="BB185" s="181"/>
      <c r="BC185" s="181"/>
      <c r="BD185" s="181"/>
      <c r="BE185" s="181"/>
      <c r="BF185" s="181"/>
      <c r="BG185" s="181"/>
      <c r="BH185" s="181"/>
    </row>
    <row r="186">
      <c r="A186" s="179"/>
      <c r="B186" s="549"/>
      <c r="C186" s="181"/>
      <c r="D186" s="181"/>
      <c r="E186" s="181"/>
      <c r="F186" s="179"/>
      <c r="G186" s="549"/>
      <c r="H186" s="181"/>
      <c r="I186" s="181"/>
      <c r="J186" s="181"/>
      <c r="K186" s="156"/>
      <c r="L186" s="549"/>
      <c r="M186" s="181"/>
      <c r="N186" s="181"/>
      <c r="O186" s="181"/>
      <c r="P186" s="156"/>
      <c r="Q186" s="562"/>
      <c r="R186" s="181"/>
      <c r="S186" s="181"/>
      <c r="T186" s="181"/>
      <c r="U186" s="179"/>
      <c r="V186" s="549"/>
      <c r="W186" s="181"/>
      <c r="X186" s="181"/>
      <c r="Y186" s="181"/>
      <c r="Z186" s="179"/>
      <c r="AA186" s="549"/>
      <c r="AB186" s="181"/>
      <c r="AC186" s="181"/>
      <c r="AD186" s="181"/>
      <c r="AE186" s="179"/>
      <c r="AF186" s="549"/>
      <c r="AG186" s="181"/>
      <c r="AH186" s="181"/>
      <c r="AI186" s="181"/>
      <c r="AJ186" s="179"/>
      <c r="AK186" s="549"/>
      <c r="AL186" s="181"/>
      <c r="AM186" s="181"/>
      <c r="AN186" s="181"/>
      <c r="AO186" s="179"/>
      <c r="AP186" s="549"/>
      <c r="AQ186" s="181"/>
      <c r="AR186" s="181"/>
      <c r="AS186" s="181"/>
      <c r="AT186" s="179"/>
      <c r="AU186" s="549"/>
      <c r="AV186" s="181"/>
      <c r="AW186" s="181"/>
      <c r="AX186" s="181"/>
      <c r="AY186" s="181"/>
      <c r="AZ186" s="181"/>
      <c r="BA186" s="181"/>
      <c r="BB186" s="181"/>
      <c r="BC186" s="181"/>
      <c r="BD186" s="181"/>
      <c r="BE186" s="181"/>
      <c r="BF186" s="181"/>
      <c r="BG186" s="181"/>
      <c r="BH186" s="181"/>
    </row>
    <row r="187">
      <c r="A187" s="179"/>
      <c r="B187" s="549"/>
      <c r="C187" s="181"/>
      <c r="D187" s="181"/>
      <c r="E187" s="181"/>
      <c r="F187" s="179"/>
      <c r="G187" s="549"/>
      <c r="H187" s="181"/>
      <c r="I187" s="181"/>
      <c r="J187" s="181"/>
      <c r="K187" s="156"/>
      <c r="L187" s="549"/>
      <c r="M187" s="181"/>
      <c r="N187" s="181"/>
      <c r="O187" s="181"/>
      <c r="P187" s="156"/>
      <c r="Q187" s="562"/>
      <c r="R187" s="181"/>
      <c r="S187" s="181"/>
      <c r="T187" s="181"/>
      <c r="U187" s="179"/>
      <c r="V187" s="549"/>
      <c r="W187" s="181"/>
      <c r="X187" s="181"/>
      <c r="Y187" s="181"/>
      <c r="Z187" s="179"/>
      <c r="AA187" s="549"/>
      <c r="AB187" s="181"/>
      <c r="AC187" s="181"/>
      <c r="AD187" s="181"/>
      <c r="AE187" s="179"/>
      <c r="AF187" s="549"/>
      <c r="AG187" s="181"/>
      <c r="AH187" s="181"/>
      <c r="AI187" s="181"/>
      <c r="AJ187" s="179"/>
      <c r="AK187" s="549"/>
      <c r="AL187" s="181"/>
      <c r="AM187" s="181"/>
      <c r="AN187" s="181"/>
      <c r="AO187" s="179"/>
      <c r="AP187" s="549"/>
      <c r="AQ187" s="181"/>
      <c r="AR187" s="181"/>
      <c r="AS187" s="181"/>
      <c r="AT187" s="179"/>
      <c r="AU187" s="549"/>
      <c r="AV187" s="181"/>
      <c r="AW187" s="181"/>
      <c r="AX187" s="181"/>
      <c r="AY187" s="181"/>
      <c r="AZ187" s="181"/>
      <c r="BA187" s="181"/>
      <c r="BB187" s="181"/>
      <c r="BC187" s="181"/>
      <c r="BD187" s="181"/>
      <c r="BE187" s="181"/>
      <c r="BF187" s="181"/>
      <c r="BG187" s="181"/>
      <c r="BH187" s="181"/>
    </row>
    <row r="188">
      <c r="A188" s="179"/>
      <c r="B188" s="549"/>
      <c r="C188" s="181"/>
      <c r="D188" s="181"/>
      <c r="E188" s="181"/>
      <c r="F188" s="179"/>
      <c r="G188" s="549"/>
      <c r="H188" s="181"/>
      <c r="I188" s="181"/>
      <c r="J188" s="181"/>
      <c r="K188" s="156"/>
      <c r="L188" s="549"/>
      <c r="M188" s="181"/>
      <c r="N188" s="181"/>
      <c r="O188" s="181"/>
      <c r="P188" s="156"/>
      <c r="Q188" s="562"/>
      <c r="R188" s="181"/>
      <c r="S188" s="181"/>
      <c r="T188" s="181"/>
      <c r="U188" s="179"/>
      <c r="V188" s="549"/>
      <c r="W188" s="181"/>
      <c r="X188" s="181"/>
      <c r="Y188" s="181"/>
      <c r="Z188" s="179"/>
      <c r="AA188" s="549"/>
      <c r="AB188" s="181"/>
      <c r="AC188" s="181"/>
      <c r="AD188" s="181"/>
      <c r="AE188" s="179"/>
      <c r="AF188" s="549"/>
      <c r="AG188" s="181"/>
      <c r="AH188" s="181"/>
      <c r="AI188" s="181"/>
      <c r="AJ188" s="179"/>
      <c r="AK188" s="549"/>
      <c r="AL188" s="181"/>
      <c r="AM188" s="181"/>
      <c r="AN188" s="181"/>
      <c r="AO188" s="179"/>
      <c r="AP188" s="549"/>
      <c r="AQ188" s="181"/>
      <c r="AR188" s="181"/>
      <c r="AS188" s="181"/>
      <c r="AT188" s="179"/>
      <c r="AU188" s="549"/>
      <c r="AV188" s="181"/>
      <c r="AW188" s="181"/>
      <c r="AX188" s="181"/>
      <c r="AY188" s="181"/>
      <c r="AZ188" s="181"/>
      <c r="BA188" s="181"/>
      <c r="BB188" s="181"/>
      <c r="BC188" s="181"/>
      <c r="BD188" s="181"/>
      <c r="BE188" s="181"/>
      <c r="BF188" s="181"/>
      <c r="BG188" s="181"/>
      <c r="BH188" s="181"/>
    </row>
    <row r="189">
      <c r="A189" s="179"/>
      <c r="B189" s="549"/>
      <c r="C189" s="181"/>
      <c r="D189" s="181"/>
      <c r="E189" s="181"/>
      <c r="F189" s="179"/>
      <c r="G189" s="549"/>
      <c r="H189" s="181"/>
      <c r="I189" s="181"/>
      <c r="J189" s="181"/>
      <c r="K189" s="156"/>
      <c r="L189" s="549"/>
      <c r="M189" s="181"/>
      <c r="N189" s="181"/>
      <c r="O189" s="181"/>
      <c r="P189" s="156"/>
      <c r="Q189" s="562"/>
      <c r="R189" s="181"/>
      <c r="S189" s="181"/>
      <c r="T189" s="181"/>
      <c r="U189" s="179"/>
      <c r="V189" s="549"/>
      <c r="W189" s="181"/>
      <c r="X189" s="181"/>
      <c r="Y189" s="181"/>
      <c r="Z189" s="179"/>
      <c r="AA189" s="549"/>
      <c r="AB189" s="181"/>
      <c r="AC189" s="181"/>
      <c r="AD189" s="181"/>
      <c r="AE189" s="179"/>
      <c r="AF189" s="549"/>
      <c r="AG189" s="181"/>
      <c r="AH189" s="181"/>
      <c r="AI189" s="181"/>
      <c r="AJ189" s="179"/>
      <c r="AK189" s="549"/>
      <c r="AL189" s="181"/>
      <c r="AM189" s="181"/>
      <c r="AN189" s="181"/>
      <c r="AO189" s="179"/>
      <c r="AP189" s="549"/>
      <c r="AQ189" s="181"/>
      <c r="AR189" s="181"/>
      <c r="AS189" s="181"/>
      <c r="AT189" s="179"/>
      <c r="AU189" s="549"/>
      <c r="AV189" s="181"/>
      <c r="AW189" s="181"/>
      <c r="AX189" s="181"/>
      <c r="AY189" s="181"/>
      <c r="AZ189" s="181"/>
      <c r="BA189" s="181"/>
      <c r="BB189" s="181"/>
      <c r="BC189" s="181"/>
      <c r="BD189" s="181"/>
      <c r="BE189" s="181"/>
      <c r="BF189" s="181"/>
      <c r="BG189" s="181"/>
      <c r="BH189" s="181"/>
    </row>
    <row r="190">
      <c r="A190" s="179"/>
      <c r="B190" s="549"/>
      <c r="C190" s="181"/>
      <c r="D190" s="181"/>
      <c r="E190" s="181"/>
      <c r="F190" s="179"/>
      <c r="G190" s="549"/>
      <c r="H190" s="181"/>
      <c r="I190" s="181"/>
      <c r="J190" s="181"/>
      <c r="K190" s="156"/>
      <c r="L190" s="549"/>
      <c r="M190" s="181"/>
      <c r="N190" s="181"/>
      <c r="O190" s="181"/>
      <c r="P190" s="156"/>
      <c r="Q190" s="562"/>
      <c r="R190" s="181"/>
      <c r="S190" s="181"/>
      <c r="T190" s="181"/>
      <c r="U190" s="179"/>
      <c r="V190" s="549"/>
      <c r="W190" s="181"/>
      <c r="X190" s="181"/>
      <c r="Y190" s="181"/>
      <c r="Z190" s="179"/>
      <c r="AA190" s="549"/>
      <c r="AB190" s="181"/>
      <c r="AC190" s="181"/>
      <c r="AD190" s="181"/>
      <c r="AE190" s="179"/>
      <c r="AF190" s="549"/>
      <c r="AG190" s="181"/>
      <c r="AH190" s="181"/>
      <c r="AI190" s="181"/>
      <c r="AJ190" s="179"/>
      <c r="AK190" s="549"/>
      <c r="AL190" s="181"/>
      <c r="AM190" s="181"/>
      <c r="AN190" s="181"/>
      <c r="AO190" s="179"/>
      <c r="AP190" s="549"/>
      <c r="AQ190" s="181"/>
      <c r="AR190" s="181"/>
      <c r="AS190" s="181"/>
      <c r="AT190" s="179"/>
      <c r="AU190" s="549"/>
      <c r="AV190" s="181"/>
      <c r="AW190" s="181"/>
      <c r="AX190" s="181"/>
      <c r="AY190" s="181"/>
      <c r="AZ190" s="181"/>
      <c r="BA190" s="181"/>
      <c r="BB190" s="181"/>
      <c r="BC190" s="181"/>
      <c r="BD190" s="181"/>
      <c r="BE190" s="181"/>
      <c r="BF190" s="181"/>
      <c r="BG190" s="181"/>
      <c r="BH190" s="181"/>
    </row>
    <row r="191">
      <c r="A191" s="179"/>
      <c r="B191" s="549"/>
      <c r="C191" s="181"/>
      <c r="D191" s="181"/>
      <c r="E191" s="181"/>
      <c r="F191" s="179"/>
      <c r="G191" s="549"/>
      <c r="H191" s="181"/>
      <c r="I191" s="181"/>
      <c r="J191" s="181"/>
      <c r="K191" s="156"/>
      <c r="L191" s="549"/>
      <c r="M191" s="181"/>
      <c r="N191" s="181"/>
      <c r="O191" s="181"/>
      <c r="P191" s="156"/>
      <c r="Q191" s="562"/>
      <c r="R191" s="181"/>
      <c r="S191" s="181"/>
      <c r="T191" s="181"/>
      <c r="U191" s="179"/>
      <c r="V191" s="549"/>
      <c r="W191" s="181"/>
      <c r="X191" s="181"/>
      <c r="Y191" s="181"/>
      <c r="Z191" s="179"/>
      <c r="AA191" s="549"/>
      <c r="AB191" s="181"/>
      <c r="AC191" s="181"/>
      <c r="AD191" s="181"/>
      <c r="AE191" s="179"/>
      <c r="AF191" s="549"/>
      <c r="AG191" s="181"/>
      <c r="AH191" s="181"/>
      <c r="AI191" s="181"/>
      <c r="AJ191" s="179"/>
      <c r="AK191" s="549"/>
      <c r="AL191" s="181"/>
      <c r="AM191" s="181"/>
      <c r="AN191" s="181"/>
      <c r="AO191" s="179"/>
      <c r="AP191" s="549"/>
      <c r="AQ191" s="181"/>
      <c r="AR191" s="181"/>
      <c r="AS191" s="181"/>
      <c r="AT191" s="179"/>
      <c r="AU191" s="549"/>
      <c r="AV191" s="181"/>
      <c r="AW191" s="181"/>
      <c r="AX191" s="181"/>
      <c r="AY191" s="181"/>
      <c r="AZ191" s="181"/>
      <c r="BA191" s="181"/>
      <c r="BB191" s="181"/>
      <c r="BC191" s="181"/>
      <c r="BD191" s="181"/>
      <c r="BE191" s="181"/>
      <c r="BF191" s="181"/>
      <c r="BG191" s="181"/>
      <c r="BH191" s="181"/>
    </row>
    <row r="192">
      <c r="A192" s="179"/>
      <c r="B192" s="549"/>
      <c r="C192" s="181"/>
      <c r="D192" s="181"/>
      <c r="E192" s="181"/>
      <c r="F192" s="179"/>
      <c r="G192" s="549"/>
      <c r="H192" s="181"/>
      <c r="I192" s="181"/>
      <c r="J192" s="181"/>
      <c r="K192" s="156"/>
      <c r="L192" s="549"/>
      <c r="M192" s="181"/>
      <c r="N192" s="181"/>
      <c r="O192" s="181"/>
      <c r="P192" s="156"/>
      <c r="Q192" s="562"/>
      <c r="R192" s="181"/>
      <c r="S192" s="181"/>
      <c r="T192" s="181"/>
      <c r="U192" s="179"/>
      <c r="V192" s="549"/>
      <c r="W192" s="181"/>
      <c r="X192" s="181"/>
      <c r="Y192" s="181"/>
      <c r="Z192" s="179"/>
      <c r="AA192" s="549"/>
      <c r="AB192" s="181"/>
      <c r="AC192" s="181"/>
      <c r="AD192" s="181"/>
      <c r="AE192" s="179"/>
      <c r="AF192" s="549"/>
      <c r="AG192" s="181"/>
      <c r="AH192" s="181"/>
      <c r="AI192" s="181"/>
      <c r="AJ192" s="179"/>
      <c r="AK192" s="549"/>
      <c r="AL192" s="181"/>
      <c r="AM192" s="181"/>
      <c r="AN192" s="181"/>
      <c r="AO192" s="179"/>
      <c r="AP192" s="549"/>
      <c r="AQ192" s="181"/>
      <c r="AR192" s="181"/>
      <c r="AS192" s="181"/>
      <c r="AT192" s="179"/>
      <c r="AU192" s="549"/>
      <c r="AV192" s="181"/>
      <c r="AW192" s="181"/>
      <c r="AX192" s="181"/>
      <c r="AY192" s="181"/>
      <c r="AZ192" s="181"/>
      <c r="BA192" s="181"/>
      <c r="BB192" s="181"/>
      <c r="BC192" s="181"/>
      <c r="BD192" s="181"/>
      <c r="BE192" s="181"/>
      <c r="BF192" s="181"/>
      <c r="BG192" s="181"/>
      <c r="BH192" s="181"/>
    </row>
    <row r="193">
      <c r="A193" s="179"/>
      <c r="B193" s="549"/>
      <c r="C193" s="181"/>
      <c r="D193" s="181"/>
      <c r="E193" s="181"/>
      <c r="F193" s="179"/>
      <c r="G193" s="549"/>
      <c r="H193" s="181"/>
      <c r="I193" s="181"/>
      <c r="J193" s="181"/>
      <c r="K193" s="156"/>
      <c r="L193" s="549"/>
      <c r="M193" s="181"/>
      <c r="N193" s="181"/>
      <c r="O193" s="181"/>
      <c r="P193" s="156"/>
      <c r="Q193" s="562"/>
      <c r="R193" s="181"/>
      <c r="S193" s="181"/>
      <c r="T193" s="181"/>
      <c r="U193" s="179"/>
      <c r="V193" s="549"/>
      <c r="W193" s="181"/>
      <c r="X193" s="181"/>
      <c r="Y193" s="181"/>
      <c r="Z193" s="179"/>
      <c r="AA193" s="549"/>
      <c r="AB193" s="181"/>
      <c r="AC193" s="181"/>
      <c r="AD193" s="181"/>
      <c r="AE193" s="179"/>
      <c r="AF193" s="549"/>
      <c r="AG193" s="181"/>
      <c r="AH193" s="181"/>
      <c r="AI193" s="181"/>
      <c r="AJ193" s="179"/>
      <c r="AK193" s="549"/>
      <c r="AL193" s="181"/>
      <c r="AM193" s="181"/>
      <c r="AN193" s="181"/>
      <c r="AO193" s="179"/>
      <c r="AP193" s="549"/>
      <c r="AQ193" s="181"/>
      <c r="AR193" s="181"/>
      <c r="AS193" s="181"/>
      <c r="AT193" s="179"/>
      <c r="AU193" s="549"/>
      <c r="AV193" s="181"/>
      <c r="AW193" s="181"/>
      <c r="AX193" s="181"/>
      <c r="AY193" s="181"/>
      <c r="AZ193" s="181"/>
      <c r="BA193" s="181"/>
      <c r="BB193" s="181"/>
      <c r="BC193" s="181"/>
      <c r="BD193" s="181"/>
      <c r="BE193" s="181"/>
      <c r="BF193" s="181"/>
      <c r="BG193" s="181"/>
      <c r="BH193" s="181"/>
    </row>
    <row r="194">
      <c r="A194" s="179"/>
      <c r="B194" s="549"/>
      <c r="C194" s="181"/>
      <c r="D194" s="181"/>
      <c r="E194" s="181"/>
      <c r="F194" s="179"/>
      <c r="G194" s="549"/>
      <c r="H194" s="181"/>
      <c r="I194" s="181"/>
      <c r="J194" s="181"/>
      <c r="K194" s="156"/>
      <c r="L194" s="549"/>
      <c r="M194" s="181"/>
      <c r="N194" s="181"/>
      <c r="O194" s="181"/>
      <c r="P194" s="156"/>
      <c r="Q194" s="562"/>
      <c r="R194" s="181"/>
      <c r="S194" s="181"/>
      <c r="T194" s="181"/>
      <c r="U194" s="179"/>
      <c r="V194" s="549"/>
      <c r="W194" s="181"/>
      <c r="X194" s="181"/>
      <c r="Y194" s="181"/>
      <c r="Z194" s="179"/>
      <c r="AA194" s="549"/>
      <c r="AB194" s="181"/>
      <c r="AC194" s="181"/>
      <c r="AD194" s="181"/>
      <c r="AE194" s="179"/>
      <c r="AF194" s="549"/>
      <c r="AG194" s="181"/>
      <c r="AH194" s="181"/>
      <c r="AI194" s="181"/>
      <c r="AJ194" s="179"/>
      <c r="AK194" s="549"/>
      <c r="AL194" s="181"/>
      <c r="AM194" s="181"/>
      <c r="AN194" s="181"/>
      <c r="AO194" s="179"/>
      <c r="AP194" s="549"/>
      <c r="AQ194" s="181"/>
      <c r="AR194" s="181"/>
      <c r="AS194" s="181"/>
      <c r="AT194" s="179"/>
      <c r="AU194" s="549"/>
      <c r="AV194" s="181"/>
      <c r="AW194" s="181"/>
      <c r="AX194" s="181"/>
      <c r="AY194" s="181"/>
      <c r="AZ194" s="181"/>
      <c r="BA194" s="181"/>
      <c r="BB194" s="181"/>
      <c r="BC194" s="181"/>
      <c r="BD194" s="181"/>
      <c r="BE194" s="181"/>
      <c r="BF194" s="181"/>
      <c r="BG194" s="181"/>
      <c r="BH194" s="181"/>
    </row>
    <row r="195">
      <c r="A195" s="179"/>
      <c r="B195" s="549"/>
      <c r="C195" s="181"/>
      <c r="D195" s="181"/>
      <c r="E195" s="181"/>
      <c r="F195" s="179"/>
      <c r="G195" s="549"/>
      <c r="H195" s="181"/>
      <c r="I195" s="181"/>
      <c r="J195" s="181"/>
      <c r="K195" s="156"/>
      <c r="L195" s="549"/>
      <c r="M195" s="181"/>
      <c r="N195" s="181"/>
      <c r="O195" s="181"/>
      <c r="P195" s="156"/>
      <c r="Q195" s="562"/>
      <c r="R195" s="181"/>
      <c r="S195" s="181"/>
      <c r="T195" s="181"/>
      <c r="U195" s="179"/>
      <c r="V195" s="549"/>
      <c r="W195" s="181"/>
      <c r="X195" s="181"/>
      <c r="Y195" s="181"/>
      <c r="Z195" s="179"/>
      <c r="AA195" s="549"/>
      <c r="AB195" s="181"/>
      <c r="AC195" s="181"/>
      <c r="AD195" s="181"/>
      <c r="AE195" s="179"/>
      <c r="AF195" s="549"/>
      <c r="AG195" s="181"/>
      <c r="AH195" s="181"/>
      <c r="AI195" s="181"/>
      <c r="AJ195" s="179"/>
      <c r="AK195" s="549"/>
      <c r="AL195" s="181"/>
      <c r="AM195" s="181"/>
      <c r="AN195" s="181"/>
      <c r="AO195" s="179"/>
      <c r="AP195" s="549"/>
      <c r="AQ195" s="181"/>
      <c r="AR195" s="181"/>
      <c r="AS195" s="181"/>
      <c r="AT195" s="179"/>
      <c r="AU195" s="549"/>
      <c r="AV195" s="181"/>
      <c r="AW195" s="181"/>
      <c r="AX195" s="181"/>
      <c r="AY195" s="181"/>
      <c r="AZ195" s="181"/>
      <c r="BA195" s="181"/>
      <c r="BB195" s="181"/>
      <c r="BC195" s="181"/>
      <c r="BD195" s="181"/>
      <c r="BE195" s="181"/>
      <c r="BF195" s="181"/>
      <c r="BG195" s="181"/>
      <c r="BH195" s="181"/>
    </row>
    <row r="196">
      <c r="A196" s="179"/>
      <c r="B196" s="549"/>
      <c r="C196" s="181"/>
      <c r="D196" s="181"/>
      <c r="E196" s="181"/>
      <c r="F196" s="179"/>
      <c r="G196" s="549"/>
      <c r="H196" s="181"/>
      <c r="I196" s="181"/>
      <c r="J196" s="181"/>
      <c r="K196" s="156"/>
      <c r="L196" s="549"/>
      <c r="M196" s="181"/>
      <c r="N196" s="181"/>
      <c r="O196" s="181"/>
      <c r="P196" s="156"/>
      <c r="Q196" s="562"/>
      <c r="R196" s="181"/>
      <c r="S196" s="181"/>
      <c r="T196" s="181"/>
      <c r="U196" s="179"/>
      <c r="V196" s="549"/>
      <c r="W196" s="181"/>
      <c r="X196" s="181"/>
      <c r="Y196" s="181"/>
      <c r="Z196" s="179"/>
      <c r="AA196" s="549"/>
      <c r="AB196" s="181"/>
      <c r="AC196" s="181"/>
      <c r="AD196" s="181"/>
      <c r="AE196" s="179"/>
      <c r="AF196" s="549"/>
      <c r="AG196" s="181"/>
      <c r="AH196" s="181"/>
      <c r="AI196" s="181"/>
      <c r="AJ196" s="179"/>
      <c r="AK196" s="549"/>
      <c r="AL196" s="181"/>
      <c r="AM196" s="181"/>
      <c r="AN196" s="181"/>
      <c r="AO196" s="179"/>
      <c r="AP196" s="549"/>
      <c r="AQ196" s="181"/>
      <c r="AR196" s="181"/>
      <c r="AS196" s="181"/>
      <c r="AT196" s="179"/>
      <c r="AU196" s="549"/>
      <c r="AV196" s="181"/>
      <c r="AW196" s="181"/>
      <c r="AX196" s="181"/>
      <c r="AY196" s="181"/>
      <c r="AZ196" s="181"/>
      <c r="BA196" s="181"/>
      <c r="BB196" s="181"/>
      <c r="BC196" s="181"/>
      <c r="BD196" s="181"/>
      <c r="BE196" s="181"/>
      <c r="BF196" s="181"/>
      <c r="BG196" s="181"/>
      <c r="BH196" s="181"/>
    </row>
    <row r="197">
      <c r="A197" s="179"/>
      <c r="B197" s="549"/>
      <c r="C197" s="181"/>
      <c r="D197" s="181"/>
      <c r="E197" s="181"/>
      <c r="F197" s="179"/>
      <c r="G197" s="549"/>
      <c r="H197" s="181"/>
      <c r="I197" s="181"/>
      <c r="J197" s="181"/>
      <c r="K197" s="156"/>
      <c r="L197" s="549"/>
      <c r="M197" s="181"/>
      <c r="N197" s="181"/>
      <c r="O197" s="181"/>
      <c r="P197" s="156"/>
      <c r="Q197" s="562"/>
      <c r="R197" s="181"/>
      <c r="S197" s="181"/>
      <c r="T197" s="181"/>
      <c r="U197" s="179"/>
      <c r="V197" s="549"/>
      <c r="W197" s="181"/>
      <c r="X197" s="181"/>
      <c r="Y197" s="181"/>
      <c r="Z197" s="179"/>
      <c r="AA197" s="549"/>
      <c r="AB197" s="181"/>
      <c r="AC197" s="181"/>
      <c r="AD197" s="181"/>
      <c r="AE197" s="179"/>
      <c r="AF197" s="549"/>
      <c r="AG197" s="181"/>
      <c r="AH197" s="181"/>
      <c r="AI197" s="181"/>
      <c r="AJ197" s="179"/>
      <c r="AK197" s="549"/>
      <c r="AL197" s="181"/>
      <c r="AM197" s="181"/>
      <c r="AN197" s="181"/>
      <c r="AO197" s="179"/>
      <c r="AP197" s="549"/>
      <c r="AQ197" s="181"/>
      <c r="AR197" s="181"/>
      <c r="AS197" s="181"/>
      <c r="AT197" s="179"/>
      <c r="AU197" s="549"/>
      <c r="AV197" s="181"/>
      <c r="AW197" s="181"/>
      <c r="AX197" s="181"/>
      <c r="AY197" s="181"/>
      <c r="AZ197" s="181"/>
      <c r="BA197" s="181"/>
      <c r="BB197" s="181"/>
      <c r="BC197" s="181"/>
      <c r="BD197" s="181"/>
      <c r="BE197" s="181"/>
      <c r="BF197" s="181"/>
      <c r="BG197" s="181"/>
      <c r="BH197" s="181"/>
    </row>
    <row r="198">
      <c r="A198" s="179"/>
      <c r="B198" s="549"/>
      <c r="C198" s="181"/>
      <c r="D198" s="181"/>
      <c r="E198" s="181"/>
      <c r="F198" s="179"/>
      <c r="G198" s="549"/>
      <c r="H198" s="181"/>
      <c r="I198" s="181"/>
      <c r="J198" s="181"/>
      <c r="K198" s="156"/>
      <c r="L198" s="549"/>
      <c r="M198" s="181"/>
      <c r="N198" s="181"/>
      <c r="O198" s="181"/>
      <c r="P198" s="156"/>
      <c r="Q198" s="562"/>
      <c r="R198" s="181"/>
      <c r="S198" s="181"/>
      <c r="T198" s="181"/>
      <c r="U198" s="179"/>
      <c r="V198" s="549"/>
      <c r="W198" s="181"/>
      <c r="X198" s="181"/>
      <c r="Y198" s="181"/>
      <c r="Z198" s="179"/>
      <c r="AA198" s="549"/>
      <c r="AB198" s="181"/>
      <c r="AC198" s="181"/>
      <c r="AD198" s="181"/>
      <c r="AE198" s="179"/>
      <c r="AF198" s="549"/>
      <c r="AG198" s="181"/>
      <c r="AH198" s="181"/>
      <c r="AI198" s="181"/>
      <c r="AJ198" s="179"/>
      <c r="AK198" s="549"/>
      <c r="AL198" s="181"/>
      <c r="AM198" s="181"/>
      <c r="AN198" s="181"/>
      <c r="AO198" s="179"/>
      <c r="AP198" s="549"/>
      <c r="AQ198" s="181"/>
      <c r="AR198" s="181"/>
      <c r="AS198" s="181"/>
      <c r="AT198" s="179"/>
      <c r="AU198" s="549"/>
      <c r="AV198" s="181"/>
      <c r="AW198" s="181"/>
      <c r="AX198" s="181"/>
      <c r="AY198" s="181"/>
      <c r="AZ198" s="181"/>
      <c r="BA198" s="181"/>
      <c r="BB198" s="181"/>
      <c r="BC198" s="181"/>
      <c r="BD198" s="181"/>
      <c r="BE198" s="181"/>
      <c r="BF198" s="181"/>
      <c r="BG198" s="181"/>
      <c r="BH198" s="181"/>
    </row>
    <row r="199">
      <c r="A199" s="179"/>
      <c r="B199" s="549"/>
      <c r="C199" s="181"/>
      <c r="D199" s="181"/>
      <c r="E199" s="181"/>
      <c r="F199" s="179"/>
      <c r="G199" s="549"/>
      <c r="H199" s="181"/>
      <c r="I199" s="181"/>
      <c r="J199" s="181"/>
      <c r="K199" s="156"/>
      <c r="L199" s="549"/>
      <c r="M199" s="181"/>
      <c r="N199" s="181"/>
      <c r="O199" s="181"/>
      <c r="P199" s="156"/>
      <c r="Q199" s="562"/>
      <c r="R199" s="181"/>
      <c r="S199" s="181"/>
      <c r="T199" s="181"/>
      <c r="U199" s="179"/>
      <c r="V199" s="549"/>
      <c r="W199" s="181"/>
      <c r="X199" s="181"/>
      <c r="Y199" s="181"/>
      <c r="Z199" s="179"/>
      <c r="AA199" s="549"/>
      <c r="AB199" s="181"/>
      <c r="AC199" s="181"/>
      <c r="AD199" s="181"/>
      <c r="AE199" s="179"/>
      <c r="AF199" s="549"/>
      <c r="AG199" s="181"/>
      <c r="AH199" s="181"/>
      <c r="AI199" s="181"/>
      <c r="AJ199" s="179"/>
      <c r="AK199" s="549"/>
      <c r="AL199" s="181"/>
      <c r="AM199" s="181"/>
      <c r="AN199" s="181"/>
      <c r="AO199" s="179"/>
      <c r="AP199" s="549"/>
      <c r="AQ199" s="181"/>
      <c r="AR199" s="181"/>
      <c r="AS199" s="181"/>
      <c r="AT199" s="179"/>
      <c r="AU199" s="549"/>
      <c r="AV199" s="181"/>
      <c r="AW199" s="181"/>
      <c r="AX199" s="181"/>
      <c r="AY199" s="181"/>
      <c r="AZ199" s="181"/>
      <c r="BA199" s="181"/>
      <c r="BB199" s="181"/>
      <c r="BC199" s="181"/>
      <c r="BD199" s="181"/>
      <c r="BE199" s="181"/>
      <c r="BF199" s="181"/>
      <c r="BG199" s="181"/>
      <c r="BH199" s="181"/>
    </row>
    <row r="200">
      <c r="A200" s="179"/>
      <c r="B200" s="549"/>
      <c r="C200" s="181"/>
      <c r="D200" s="181"/>
      <c r="E200" s="181"/>
      <c r="F200" s="179"/>
      <c r="G200" s="549"/>
      <c r="H200" s="181"/>
      <c r="I200" s="181"/>
      <c r="J200" s="181"/>
      <c r="K200" s="156"/>
      <c r="L200" s="549"/>
      <c r="M200" s="181"/>
      <c r="N200" s="181"/>
      <c r="O200" s="181"/>
      <c r="P200" s="156"/>
      <c r="Q200" s="562"/>
      <c r="R200" s="181"/>
      <c r="S200" s="181"/>
      <c r="T200" s="181"/>
      <c r="U200" s="179"/>
      <c r="V200" s="549"/>
      <c r="W200" s="181"/>
      <c r="X200" s="181"/>
      <c r="Y200" s="181"/>
      <c r="Z200" s="179"/>
      <c r="AA200" s="549"/>
      <c r="AB200" s="181"/>
      <c r="AC200" s="181"/>
      <c r="AD200" s="181"/>
      <c r="AE200" s="179"/>
      <c r="AF200" s="549"/>
      <c r="AG200" s="181"/>
      <c r="AH200" s="181"/>
      <c r="AI200" s="181"/>
      <c r="AJ200" s="179"/>
      <c r="AK200" s="549"/>
      <c r="AL200" s="181"/>
      <c r="AM200" s="181"/>
      <c r="AN200" s="181"/>
      <c r="AO200" s="179"/>
      <c r="AP200" s="549"/>
      <c r="AQ200" s="181"/>
      <c r="AR200" s="181"/>
      <c r="AS200" s="181"/>
      <c r="AT200" s="179"/>
      <c r="AU200" s="549"/>
      <c r="AV200" s="181"/>
      <c r="AW200" s="181"/>
      <c r="AX200" s="181"/>
      <c r="AY200" s="181"/>
      <c r="AZ200" s="181"/>
      <c r="BA200" s="181"/>
      <c r="BB200" s="181"/>
      <c r="BC200" s="181"/>
      <c r="BD200" s="181"/>
      <c r="BE200" s="181"/>
      <c r="BF200" s="181"/>
      <c r="BG200" s="181"/>
      <c r="BH200" s="181"/>
    </row>
    <row r="201">
      <c r="A201" s="179"/>
      <c r="B201" s="549"/>
      <c r="C201" s="181"/>
      <c r="D201" s="181"/>
      <c r="E201" s="181"/>
      <c r="F201" s="179"/>
      <c r="G201" s="549"/>
      <c r="H201" s="181"/>
      <c r="I201" s="181"/>
      <c r="J201" s="181"/>
      <c r="K201" s="156"/>
      <c r="L201" s="549"/>
      <c r="M201" s="181"/>
      <c r="N201" s="181"/>
      <c r="O201" s="181"/>
      <c r="P201" s="156"/>
      <c r="Q201" s="562"/>
      <c r="R201" s="181"/>
      <c r="S201" s="181"/>
      <c r="T201" s="181"/>
      <c r="U201" s="179"/>
      <c r="V201" s="549"/>
      <c r="W201" s="181"/>
      <c r="X201" s="181"/>
      <c r="Y201" s="181"/>
      <c r="Z201" s="179"/>
      <c r="AA201" s="549"/>
      <c r="AB201" s="181"/>
      <c r="AC201" s="181"/>
      <c r="AD201" s="181"/>
      <c r="AE201" s="179"/>
      <c r="AF201" s="549"/>
      <c r="AG201" s="181"/>
      <c r="AH201" s="181"/>
      <c r="AI201" s="181"/>
      <c r="AJ201" s="179"/>
      <c r="AK201" s="549"/>
      <c r="AL201" s="181"/>
      <c r="AM201" s="181"/>
      <c r="AN201" s="181"/>
      <c r="AO201" s="179"/>
      <c r="AP201" s="549"/>
      <c r="AQ201" s="181"/>
      <c r="AR201" s="181"/>
      <c r="AS201" s="181"/>
      <c r="AT201" s="179"/>
      <c r="AU201" s="549"/>
      <c r="AV201" s="181"/>
      <c r="AW201" s="181"/>
      <c r="AX201" s="181"/>
      <c r="AY201" s="181"/>
      <c r="AZ201" s="181"/>
      <c r="BA201" s="181"/>
      <c r="BB201" s="181"/>
      <c r="BC201" s="181"/>
      <c r="BD201" s="181"/>
      <c r="BE201" s="181"/>
      <c r="BF201" s="181"/>
      <c r="BG201" s="181"/>
      <c r="BH201" s="181"/>
    </row>
    <row r="202">
      <c r="A202" s="179"/>
      <c r="B202" s="549"/>
      <c r="C202" s="181"/>
      <c r="D202" s="181"/>
      <c r="E202" s="181"/>
      <c r="F202" s="179"/>
      <c r="G202" s="549"/>
      <c r="H202" s="181"/>
      <c r="I202" s="181"/>
      <c r="J202" s="181"/>
      <c r="K202" s="156"/>
      <c r="L202" s="549"/>
      <c r="M202" s="181"/>
      <c r="N202" s="181"/>
      <c r="O202" s="181"/>
      <c r="P202" s="156"/>
      <c r="Q202" s="562"/>
      <c r="R202" s="181"/>
      <c r="S202" s="181"/>
      <c r="T202" s="181"/>
      <c r="U202" s="179"/>
      <c r="V202" s="549"/>
      <c r="W202" s="181"/>
      <c r="X202" s="181"/>
      <c r="Y202" s="181"/>
      <c r="Z202" s="179"/>
      <c r="AA202" s="549"/>
      <c r="AB202" s="181"/>
      <c r="AC202" s="181"/>
      <c r="AD202" s="181"/>
      <c r="AE202" s="179"/>
      <c r="AF202" s="549"/>
      <c r="AG202" s="181"/>
      <c r="AH202" s="181"/>
      <c r="AI202" s="181"/>
      <c r="AJ202" s="179"/>
      <c r="AK202" s="549"/>
      <c r="AL202" s="181"/>
      <c r="AM202" s="181"/>
      <c r="AN202" s="181"/>
      <c r="AO202" s="179"/>
      <c r="AP202" s="549"/>
      <c r="AQ202" s="181"/>
      <c r="AR202" s="181"/>
      <c r="AS202" s="181"/>
      <c r="AT202" s="179"/>
      <c r="AU202" s="549"/>
      <c r="AV202" s="181"/>
      <c r="AW202" s="181"/>
      <c r="AX202" s="181"/>
      <c r="AY202" s="181"/>
      <c r="AZ202" s="181"/>
      <c r="BA202" s="181"/>
      <c r="BB202" s="181"/>
      <c r="BC202" s="181"/>
      <c r="BD202" s="181"/>
      <c r="BE202" s="181"/>
      <c r="BF202" s="181"/>
      <c r="BG202" s="181"/>
      <c r="BH202" s="181"/>
    </row>
    <row r="203">
      <c r="A203" s="179"/>
      <c r="B203" s="549"/>
      <c r="C203" s="181"/>
      <c r="D203" s="181"/>
      <c r="E203" s="181"/>
      <c r="F203" s="179"/>
      <c r="G203" s="549"/>
      <c r="H203" s="181"/>
      <c r="I203" s="181"/>
      <c r="J203" s="181"/>
      <c r="K203" s="156"/>
      <c r="L203" s="549"/>
      <c r="M203" s="181"/>
      <c r="N203" s="181"/>
      <c r="O203" s="181"/>
      <c r="P203" s="156"/>
      <c r="Q203" s="562"/>
      <c r="R203" s="181"/>
      <c r="S203" s="181"/>
      <c r="T203" s="181"/>
      <c r="U203" s="179"/>
      <c r="V203" s="549"/>
      <c r="W203" s="181"/>
      <c r="X203" s="181"/>
      <c r="Y203" s="181"/>
      <c r="Z203" s="179"/>
      <c r="AA203" s="549"/>
      <c r="AB203" s="181"/>
      <c r="AC203" s="181"/>
      <c r="AD203" s="181"/>
      <c r="AE203" s="179"/>
      <c r="AF203" s="549"/>
      <c r="AG203" s="181"/>
      <c r="AH203" s="181"/>
      <c r="AI203" s="181"/>
      <c r="AJ203" s="179"/>
      <c r="AK203" s="549"/>
      <c r="AL203" s="181"/>
      <c r="AM203" s="181"/>
      <c r="AN203" s="181"/>
      <c r="AO203" s="179"/>
      <c r="AP203" s="549"/>
      <c r="AQ203" s="181"/>
      <c r="AR203" s="181"/>
      <c r="AS203" s="181"/>
      <c r="AT203" s="179"/>
      <c r="AU203" s="549"/>
      <c r="AV203" s="181"/>
      <c r="AW203" s="181"/>
      <c r="AX203" s="181"/>
      <c r="AY203" s="181"/>
      <c r="AZ203" s="181"/>
      <c r="BA203" s="181"/>
      <c r="BB203" s="181"/>
      <c r="BC203" s="181"/>
      <c r="BD203" s="181"/>
      <c r="BE203" s="181"/>
      <c r="BF203" s="181"/>
      <c r="BG203" s="181"/>
      <c r="BH203" s="181"/>
    </row>
    <row r="204">
      <c r="A204" s="179"/>
      <c r="B204" s="549"/>
      <c r="C204" s="181"/>
      <c r="D204" s="181"/>
      <c r="E204" s="181"/>
      <c r="F204" s="179"/>
      <c r="G204" s="549"/>
      <c r="H204" s="181"/>
      <c r="I204" s="181"/>
      <c r="J204" s="181"/>
      <c r="K204" s="156"/>
      <c r="L204" s="549"/>
      <c r="M204" s="181"/>
      <c r="N204" s="181"/>
      <c r="O204" s="181"/>
      <c r="P204" s="156"/>
      <c r="Q204" s="562"/>
      <c r="R204" s="181"/>
      <c r="S204" s="181"/>
      <c r="T204" s="181"/>
      <c r="U204" s="179"/>
      <c r="V204" s="549"/>
      <c r="W204" s="181"/>
      <c r="X204" s="181"/>
      <c r="Y204" s="181"/>
      <c r="Z204" s="179"/>
      <c r="AA204" s="549"/>
      <c r="AB204" s="181"/>
      <c r="AC204" s="181"/>
      <c r="AD204" s="181"/>
      <c r="AE204" s="179"/>
      <c r="AF204" s="549"/>
      <c r="AG204" s="181"/>
      <c r="AH204" s="181"/>
      <c r="AI204" s="181"/>
      <c r="AJ204" s="179"/>
      <c r="AK204" s="549"/>
      <c r="AL204" s="181"/>
      <c r="AM204" s="181"/>
      <c r="AN204" s="181"/>
      <c r="AO204" s="179"/>
      <c r="AP204" s="549"/>
      <c r="AQ204" s="181"/>
      <c r="AR204" s="181"/>
      <c r="AS204" s="181"/>
      <c r="AT204" s="179"/>
      <c r="AU204" s="549"/>
      <c r="AV204" s="181"/>
      <c r="AW204" s="181"/>
      <c r="AX204" s="181"/>
      <c r="AY204" s="181"/>
      <c r="AZ204" s="181"/>
      <c r="BA204" s="181"/>
      <c r="BB204" s="181"/>
      <c r="BC204" s="181"/>
      <c r="BD204" s="181"/>
      <c r="BE204" s="181"/>
      <c r="BF204" s="181"/>
      <c r="BG204" s="181"/>
      <c r="BH204" s="181"/>
    </row>
    <row r="205">
      <c r="A205" s="179"/>
      <c r="B205" s="549"/>
      <c r="C205" s="181"/>
      <c r="D205" s="181"/>
      <c r="E205" s="181"/>
      <c r="F205" s="179"/>
      <c r="G205" s="549"/>
      <c r="H205" s="181"/>
      <c r="I205" s="181"/>
      <c r="J205" s="181"/>
      <c r="K205" s="156"/>
      <c r="L205" s="549"/>
      <c r="M205" s="181"/>
      <c r="N205" s="181"/>
      <c r="O205" s="181"/>
      <c r="P205" s="156"/>
      <c r="Q205" s="562"/>
      <c r="R205" s="181"/>
      <c r="S205" s="181"/>
      <c r="T205" s="181"/>
      <c r="U205" s="179"/>
      <c r="V205" s="549"/>
      <c r="W205" s="181"/>
      <c r="X205" s="181"/>
      <c r="Y205" s="181"/>
      <c r="Z205" s="179"/>
      <c r="AA205" s="549"/>
      <c r="AB205" s="181"/>
      <c r="AC205" s="181"/>
      <c r="AD205" s="181"/>
      <c r="AE205" s="179"/>
      <c r="AF205" s="549"/>
      <c r="AG205" s="181"/>
      <c r="AH205" s="181"/>
      <c r="AI205" s="181"/>
      <c r="AJ205" s="179"/>
      <c r="AK205" s="549"/>
      <c r="AL205" s="181"/>
      <c r="AM205" s="181"/>
      <c r="AN205" s="181"/>
      <c r="AO205" s="179"/>
      <c r="AP205" s="549"/>
      <c r="AQ205" s="181"/>
      <c r="AR205" s="181"/>
      <c r="AS205" s="181"/>
      <c r="AT205" s="179"/>
      <c r="AU205" s="549"/>
      <c r="AV205" s="181"/>
      <c r="AW205" s="181"/>
      <c r="AX205" s="181"/>
      <c r="AY205" s="181"/>
      <c r="AZ205" s="181"/>
      <c r="BA205" s="181"/>
      <c r="BB205" s="181"/>
      <c r="BC205" s="181"/>
      <c r="BD205" s="181"/>
      <c r="BE205" s="181"/>
      <c r="BF205" s="181"/>
      <c r="BG205" s="181"/>
      <c r="BH205" s="181"/>
    </row>
    <row r="206">
      <c r="A206" s="179"/>
      <c r="B206" s="549"/>
      <c r="C206" s="181"/>
      <c r="D206" s="181"/>
      <c r="E206" s="181"/>
      <c r="F206" s="179"/>
      <c r="G206" s="549"/>
      <c r="H206" s="181"/>
      <c r="I206" s="181"/>
      <c r="J206" s="181"/>
      <c r="K206" s="156"/>
      <c r="L206" s="549"/>
      <c r="M206" s="181"/>
      <c r="N206" s="181"/>
      <c r="O206" s="181"/>
      <c r="P206" s="156"/>
      <c r="Q206" s="562"/>
      <c r="R206" s="181"/>
      <c r="S206" s="181"/>
      <c r="T206" s="181"/>
      <c r="U206" s="179"/>
      <c r="V206" s="549"/>
      <c r="W206" s="181"/>
      <c r="X206" s="181"/>
      <c r="Y206" s="181"/>
      <c r="Z206" s="179"/>
      <c r="AA206" s="549"/>
      <c r="AB206" s="181"/>
      <c r="AC206" s="181"/>
      <c r="AD206" s="181"/>
      <c r="AE206" s="179"/>
      <c r="AF206" s="549"/>
      <c r="AG206" s="181"/>
      <c r="AH206" s="181"/>
      <c r="AI206" s="181"/>
      <c r="AJ206" s="179"/>
      <c r="AK206" s="549"/>
      <c r="AL206" s="181"/>
      <c r="AM206" s="181"/>
      <c r="AN206" s="181"/>
      <c r="AO206" s="179"/>
      <c r="AP206" s="549"/>
      <c r="AQ206" s="181"/>
      <c r="AR206" s="181"/>
      <c r="AS206" s="181"/>
      <c r="AT206" s="179"/>
      <c r="AU206" s="549"/>
      <c r="AV206" s="181"/>
      <c r="AW206" s="181"/>
      <c r="AX206" s="181"/>
      <c r="AY206" s="181"/>
      <c r="AZ206" s="181"/>
      <c r="BA206" s="181"/>
      <c r="BB206" s="181"/>
      <c r="BC206" s="181"/>
      <c r="BD206" s="181"/>
      <c r="BE206" s="181"/>
      <c r="BF206" s="181"/>
      <c r="BG206" s="181"/>
      <c r="BH206" s="181"/>
    </row>
    <row r="207">
      <c r="A207" s="179"/>
      <c r="B207" s="549"/>
      <c r="C207" s="181"/>
      <c r="D207" s="181"/>
      <c r="E207" s="181"/>
      <c r="F207" s="179"/>
      <c r="G207" s="549"/>
      <c r="H207" s="181"/>
      <c r="I207" s="181"/>
      <c r="J207" s="181"/>
      <c r="K207" s="156"/>
      <c r="L207" s="549"/>
      <c r="M207" s="181"/>
      <c r="N207" s="181"/>
      <c r="O207" s="181"/>
      <c r="P207" s="156"/>
      <c r="Q207" s="562"/>
      <c r="R207" s="181"/>
      <c r="S207" s="181"/>
      <c r="T207" s="181"/>
      <c r="U207" s="179"/>
      <c r="V207" s="549"/>
      <c r="W207" s="181"/>
      <c r="X207" s="181"/>
      <c r="Y207" s="181"/>
      <c r="Z207" s="179"/>
      <c r="AA207" s="549"/>
      <c r="AB207" s="181"/>
      <c r="AC207" s="181"/>
      <c r="AD207" s="181"/>
      <c r="AE207" s="179"/>
      <c r="AF207" s="549"/>
      <c r="AG207" s="181"/>
      <c r="AH207" s="181"/>
      <c r="AI207" s="181"/>
      <c r="AJ207" s="179"/>
      <c r="AK207" s="549"/>
      <c r="AL207" s="181"/>
      <c r="AM207" s="181"/>
      <c r="AN207" s="181"/>
      <c r="AO207" s="179"/>
      <c r="AP207" s="549"/>
      <c r="AQ207" s="181"/>
      <c r="AR207" s="181"/>
      <c r="AS207" s="181"/>
      <c r="AT207" s="179"/>
      <c r="AU207" s="549"/>
      <c r="AV207" s="181"/>
      <c r="AW207" s="181"/>
      <c r="AX207" s="181"/>
      <c r="AY207" s="181"/>
      <c r="AZ207" s="181"/>
      <c r="BA207" s="181"/>
      <c r="BB207" s="181"/>
      <c r="BC207" s="181"/>
      <c r="BD207" s="181"/>
      <c r="BE207" s="181"/>
      <c r="BF207" s="181"/>
      <c r="BG207" s="181"/>
      <c r="BH207" s="181"/>
    </row>
    <row r="208">
      <c r="A208" s="179"/>
      <c r="B208" s="549"/>
      <c r="C208" s="181"/>
      <c r="D208" s="181"/>
      <c r="E208" s="181"/>
      <c r="F208" s="179"/>
      <c r="G208" s="549"/>
      <c r="H208" s="181"/>
      <c r="I208" s="181"/>
      <c r="J208" s="181"/>
      <c r="K208" s="156"/>
      <c r="L208" s="549"/>
      <c r="M208" s="181"/>
      <c r="N208" s="181"/>
      <c r="O208" s="181"/>
      <c r="P208" s="156"/>
      <c r="Q208" s="562"/>
      <c r="R208" s="181"/>
      <c r="S208" s="181"/>
      <c r="T208" s="181"/>
      <c r="U208" s="179"/>
      <c r="V208" s="549"/>
      <c r="W208" s="181"/>
      <c r="X208" s="181"/>
      <c r="Y208" s="181"/>
      <c r="Z208" s="179"/>
      <c r="AA208" s="549"/>
      <c r="AB208" s="181"/>
      <c r="AC208" s="181"/>
      <c r="AD208" s="181"/>
      <c r="AE208" s="179"/>
      <c r="AF208" s="549"/>
      <c r="AG208" s="181"/>
      <c r="AH208" s="181"/>
      <c r="AI208" s="181"/>
      <c r="AJ208" s="179"/>
      <c r="AK208" s="549"/>
      <c r="AL208" s="181"/>
      <c r="AM208" s="181"/>
      <c r="AN208" s="181"/>
      <c r="AO208" s="179"/>
      <c r="AP208" s="549"/>
      <c r="AQ208" s="181"/>
      <c r="AR208" s="181"/>
      <c r="AS208" s="181"/>
      <c r="AT208" s="179"/>
      <c r="AU208" s="549"/>
      <c r="AV208" s="181"/>
      <c r="AW208" s="181"/>
      <c r="AX208" s="181"/>
      <c r="AY208" s="181"/>
      <c r="AZ208" s="181"/>
      <c r="BA208" s="181"/>
      <c r="BB208" s="181"/>
      <c r="BC208" s="181"/>
      <c r="BD208" s="181"/>
      <c r="BE208" s="181"/>
      <c r="BF208" s="181"/>
      <c r="BG208" s="181"/>
      <c r="BH208" s="181"/>
    </row>
    <row r="209">
      <c r="A209" s="179"/>
      <c r="B209" s="549"/>
      <c r="C209" s="181"/>
      <c r="D209" s="181"/>
      <c r="E209" s="181"/>
      <c r="F209" s="179"/>
      <c r="G209" s="549"/>
      <c r="H209" s="181"/>
      <c r="I209" s="181"/>
      <c r="J209" s="181"/>
      <c r="K209" s="156"/>
      <c r="L209" s="549"/>
      <c r="M209" s="181"/>
      <c r="N209" s="181"/>
      <c r="O209" s="181"/>
      <c r="P209" s="156"/>
      <c r="Q209" s="562"/>
      <c r="R209" s="181"/>
      <c r="S209" s="181"/>
      <c r="T209" s="181"/>
      <c r="U209" s="179"/>
      <c r="V209" s="549"/>
      <c r="W209" s="181"/>
      <c r="X209" s="181"/>
      <c r="Y209" s="181"/>
      <c r="Z209" s="179"/>
      <c r="AA209" s="549"/>
      <c r="AB209" s="181"/>
      <c r="AC209" s="181"/>
      <c r="AD209" s="181"/>
      <c r="AE209" s="179"/>
      <c r="AF209" s="549"/>
      <c r="AG209" s="181"/>
      <c r="AH209" s="181"/>
      <c r="AI209" s="181"/>
      <c r="AJ209" s="179"/>
      <c r="AK209" s="549"/>
      <c r="AL209" s="181"/>
      <c r="AM209" s="181"/>
      <c r="AN209" s="181"/>
      <c r="AO209" s="179"/>
      <c r="AP209" s="549"/>
      <c r="AQ209" s="181"/>
      <c r="AR209" s="181"/>
      <c r="AS209" s="181"/>
      <c r="AT209" s="179"/>
      <c r="AU209" s="549"/>
      <c r="AV209" s="181"/>
      <c r="AW209" s="181"/>
      <c r="AX209" s="181"/>
      <c r="AY209" s="181"/>
      <c r="AZ209" s="181"/>
      <c r="BA209" s="181"/>
      <c r="BB209" s="181"/>
      <c r="BC209" s="181"/>
      <c r="BD209" s="181"/>
      <c r="BE209" s="181"/>
      <c r="BF209" s="181"/>
      <c r="BG209" s="181"/>
      <c r="BH209" s="181"/>
    </row>
    <row r="210">
      <c r="A210" s="179"/>
      <c r="B210" s="549"/>
      <c r="C210" s="181"/>
      <c r="D210" s="181"/>
      <c r="E210" s="181"/>
      <c r="F210" s="179"/>
      <c r="G210" s="549"/>
      <c r="H210" s="181"/>
      <c r="I210" s="181"/>
      <c r="J210" s="181"/>
      <c r="K210" s="156"/>
      <c r="L210" s="549"/>
      <c r="M210" s="181"/>
      <c r="N210" s="181"/>
      <c r="O210" s="181"/>
      <c r="P210" s="156"/>
      <c r="Q210" s="562"/>
      <c r="R210" s="181"/>
      <c r="S210" s="181"/>
      <c r="T210" s="181"/>
      <c r="U210" s="179"/>
      <c r="V210" s="549"/>
      <c r="W210" s="181"/>
      <c r="X210" s="181"/>
      <c r="Y210" s="181"/>
      <c r="Z210" s="179"/>
      <c r="AA210" s="549"/>
      <c r="AB210" s="181"/>
      <c r="AC210" s="181"/>
      <c r="AD210" s="181"/>
      <c r="AE210" s="179"/>
      <c r="AF210" s="549"/>
      <c r="AG210" s="181"/>
      <c r="AH210" s="181"/>
      <c r="AI210" s="181"/>
      <c r="AJ210" s="179"/>
      <c r="AK210" s="549"/>
      <c r="AL210" s="181"/>
      <c r="AM210" s="181"/>
      <c r="AN210" s="181"/>
      <c r="AO210" s="179"/>
      <c r="AP210" s="549"/>
      <c r="AQ210" s="181"/>
      <c r="AR210" s="181"/>
      <c r="AS210" s="181"/>
      <c r="AT210" s="179"/>
      <c r="AU210" s="549"/>
      <c r="AV210" s="181"/>
      <c r="AW210" s="181"/>
      <c r="AX210" s="181"/>
      <c r="AY210" s="181"/>
      <c r="AZ210" s="181"/>
      <c r="BA210" s="181"/>
      <c r="BB210" s="181"/>
      <c r="BC210" s="181"/>
      <c r="BD210" s="181"/>
      <c r="BE210" s="181"/>
      <c r="BF210" s="181"/>
      <c r="BG210" s="181"/>
      <c r="BH210" s="181"/>
    </row>
    <row r="211">
      <c r="A211" s="179"/>
      <c r="B211" s="549"/>
      <c r="C211" s="181"/>
      <c r="D211" s="181"/>
      <c r="E211" s="181"/>
      <c r="F211" s="179"/>
      <c r="G211" s="549"/>
      <c r="H211" s="181"/>
      <c r="I211" s="181"/>
      <c r="J211" s="181"/>
      <c r="K211" s="156"/>
      <c r="L211" s="549"/>
      <c r="M211" s="181"/>
      <c r="N211" s="181"/>
      <c r="O211" s="181"/>
      <c r="P211" s="156"/>
      <c r="Q211" s="562"/>
      <c r="R211" s="181"/>
      <c r="S211" s="181"/>
      <c r="T211" s="181"/>
      <c r="U211" s="179"/>
      <c r="V211" s="549"/>
      <c r="W211" s="181"/>
      <c r="X211" s="181"/>
      <c r="Y211" s="181"/>
      <c r="Z211" s="179"/>
      <c r="AA211" s="549"/>
      <c r="AB211" s="181"/>
      <c r="AC211" s="181"/>
      <c r="AD211" s="181"/>
      <c r="AE211" s="179"/>
      <c r="AF211" s="549"/>
      <c r="AG211" s="181"/>
      <c r="AH211" s="181"/>
      <c r="AI211" s="181"/>
      <c r="AJ211" s="179"/>
      <c r="AK211" s="549"/>
      <c r="AL211" s="181"/>
      <c r="AM211" s="181"/>
      <c r="AN211" s="181"/>
      <c r="AO211" s="179"/>
      <c r="AP211" s="549"/>
      <c r="AQ211" s="181"/>
      <c r="AR211" s="181"/>
      <c r="AS211" s="181"/>
      <c r="AT211" s="179"/>
      <c r="AU211" s="549"/>
      <c r="AV211" s="181"/>
      <c r="AW211" s="181"/>
      <c r="AX211" s="181"/>
      <c r="AY211" s="181"/>
      <c r="AZ211" s="181"/>
      <c r="BA211" s="181"/>
      <c r="BB211" s="181"/>
      <c r="BC211" s="181"/>
      <c r="BD211" s="181"/>
      <c r="BE211" s="181"/>
      <c r="BF211" s="181"/>
      <c r="BG211" s="181"/>
      <c r="BH211" s="181"/>
    </row>
    <row r="212">
      <c r="A212" s="179"/>
      <c r="B212" s="549"/>
      <c r="C212" s="181"/>
      <c r="D212" s="181"/>
      <c r="E212" s="181"/>
      <c r="F212" s="179"/>
      <c r="G212" s="549"/>
      <c r="H212" s="181"/>
      <c r="I212" s="181"/>
      <c r="J212" s="181"/>
      <c r="K212" s="156"/>
      <c r="L212" s="549"/>
      <c r="M212" s="181"/>
      <c r="N212" s="181"/>
      <c r="O212" s="181"/>
      <c r="P212" s="156"/>
      <c r="Q212" s="562"/>
      <c r="R212" s="181"/>
      <c r="S212" s="181"/>
      <c r="T212" s="181"/>
      <c r="U212" s="179"/>
      <c r="V212" s="549"/>
      <c r="W212" s="181"/>
      <c r="X212" s="181"/>
      <c r="Y212" s="181"/>
      <c r="Z212" s="179"/>
      <c r="AA212" s="549"/>
      <c r="AB212" s="181"/>
      <c r="AC212" s="181"/>
      <c r="AD212" s="181"/>
      <c r="AE212" s="179"/>
      <c r="AF212" s="549"/>
      <c r="AG212" s="181"/>
      <c r="AH212" s="181"/>
      <c r="AI212" s="181"/>
      <c r="AJ212" s="179"/>
      <c r="AK212" s="549"/>
      <c r="AL212" s="181"/>
      <c r="AM212" s="181"/>
      <c r="AN212" s="181"/>
      <c r="AO212" s="179"/>
      <c r="AP212" s="549"/>
      <c r="AQ212" s="181"/>
      <c r="AR212" s="181"/>
      <c r="AS212" s="181"/>
      <c r="AT212" s="179"/>
      <c r="AU212" s="549"/>
      <c r="AV212" s="181"/>
      <c r="AW212" s="181"/>
      <c r="AX212" s="181"/>
      <c r="AY212" s="181"/>
      <c r="AZ212" s="181"/>
      <c r="BA212" s="181"/>
      <c r="BB212" s="181"/>
      <c r="BC212" s="181"/>
      <c r="BD212" s="181"/>
      <c r="BE212" s="181"/>
      <c r="BF212" s="181"/>
      <c r="BG212" s="181"/>
      <c r="BH212" s="181"/>
    </row>
    <row r="213">
      <c r="A213" s="179"/>
      <c r="B213" s="549"/>
      <c r="C213" s="181"/>
      <c r="D213" s="181"/>
      <c r="E213" s="181"/>
      <c r="F213" s="179"/>
      <c r="G213" s="549"/>
      <c r="H213" s="181"/>
      <c r="I213" s="181"/>
      <c r="J213" s="181"/>
      <c r="K213" s="156"/>
      <c r="L213" s="549"/>
      <c r="M213" s="181"/>
      <c r="N213" s="181"/>
      <c r="O213" s="181"/>
      <c r="P213" s="156"/>
      <c r="Q213" s="562"/>
      <c r="R213" s="181"/>
      <c r="S213" s="181"/>
      <c r="T213" s="181"/>
      <c r="U213" s="179"/>
      <c r="V213" s="549"/>
      <c r="W213" s="181"/>
      <c r="X213" s="181"/>
      <c r="Y213" s="181"/>
      <c r="Z213" s="179"/>
      <c r="AA213" s="549"/>
      <c r="AB213" s="181"/>
      <c r="AC213" s="181"/>
      <c r="AD213" s="181"/>
      <c r="AE213" s="179"/>
      <c r="AF213" s="549"/>
      <c r="AG213" s="181"/>
      <c r="AH213" s="181"/>
      <c r="AI213" s="181"/>
      <c r="AJ213" s="179"/>
      <c r="AK213" s="549"/>
      <c r="AL213" s="181"/>
      <c r="AM213" s="181"/>
      <c r="AN213" s="181"/>
      <c r="AO213" s="179"/>
      <c r="AP213" s="549"/>
      <c r="AQ213" s="181"/>
      <c r="AR213" s="181"/>
      <c r="AS213" s="181"/>
      <c r="AT213" s="179"/>
      <c r="AU213" s="549"/>
      <c r="AV213" s="181"/>
      <c r="AW213" s="181"/>
      <c r="AX213" s="181"/>
      <c r="AY213" s="181"/>
      <c r="AZ213" s="181"/>
      <c r="BA213" s="181"/>
      <c r="BB213" s="181"/>
      <c r="BC213" s="181"/>
      <c r="BD213" s="181"/>
      <c r="BE213" s="181"/>
      <c r="BF213" s="181"/>
      <c r="BG213" s="181"/>
      <c r="BH213" s="181"/>
    </row>
    <row r="214">
      <c r="A214" s="179"/>
      <c r="B214" s="549"/>
      <c r="C214" s="181"/>
      <c r="D214" s="181"/>
      <c r="E214" s="181"/>
      <c r="F214" s="179"/>
      <c r="G214" s="549"/>
      <c r="H214" s="181"/>
      <c r="I214" s="181"/>
      <c r="J214" s="181"/>
      <c r="K214" s="156"/>
      <c r="L214" s="549"/>
      <c r="M214" s="181"/>
      <c r="N214" s="181"/>
      <c r="O214" s="181"/>
      <c r="P214" s="156"/>
      <c r="Q214" s="562"/>
      <c r="R214" s="181"/>
      <c r="S214" s="181"/>
      <c r="T214" s="181"/>
      <c r="U214" s="179"/>
      <c r="V214" s="549"/>
      <c r="W214" s="181"/>
      <c r="X214" s="181"/>
      <c r="Y214" s="181"/>
      <c r="Z214" s="179"/>
      <c r="AA214" s="549"/>
      <c r="AB214" s="181"/>
      <c r="AC214" s="181"/>
      <c r="AD214" s="181"/>
      <c r="AE214" s="179"/>
      <c r="AF214" s="549"/>
      <c r="AG214" s="181"/>
      <c r="AH214" s="181"/>
      <c r="AI214" s="181"/>
      <c r="AJ214" s="179"/>
      <c r="AK214" s="549"/>
      <c r="AL214" s="181"/>
      <c r="AM214" s="181"/>
      <c r="AN214" s="181"/>
      <c r="AO214" s="179"/>
      <c r="AP214" s="549"/>
      <c r="AQ214" s="181"/>
      <c r="AR214" s="181"/>
      <c r="AS214" s="181"/>
      <c r="AT214" s="179"/>
      <c r="AU214" s="549"/>
      <c r="AV214" s="181"/>
      <c r="AW214" s="181"/>
      <c r="AX214" s="181"/>
      <c r="AY214" s="181"/>
      <c r="AZ214" s="181"/>
      <c r="BA214" s="181"/>
      <c r="BB214" s="181"/>
      <c r="BC214" s="181"/>
      <c r="BD214" s="181"/>
      <c r="BE214" s="181"/>
      <c r="BF214" s="181"/>
      <c r="BG214" s="181"/>
      <c r="BH214" s="181"/>
    </row>
    <row r="215">
      <c r="A215" s="179"/>
      <c r="B215" s="549"/>
      <c r="C215" s="181"/>
      <c r="D215" s="181"/>
      <c r="E215" s="181"/>
      <c r="F215" s="179"/>
      <c r="G215" s="549"/>
      <c r="H215" s="181"/>
      <c r="I215" s="181"/>
      <c r="J215" s="181"/>
      <c r="K215" s="156"/>
      <c r="L215" s="549"/>
      <c r="M215" s="181"/>
      <c r="N215" s="181"/>
      <c r="O215" s="181"/>
      <c r="P215" s="156"/>
      <c r="Q215" s="562"/>
      <c r="R215" s="181"/>
      <c r="S215" s="181"/>
      <c r="T215" s="181"/>
      <c r="U215" s="179"/>
      <c r="V215" s="549"/>
      <c r="W215" s="181"/>
      <c r="X215" s="181"/>
      <c r="Y215" s="181"/>
      <c r="Z215" s="179"/>
      <c r="AA215" s="549"/>
      <c r="AB215" s="181"/>
      <c r="AC215" s="181"/>
      <c r="AD215" s="181"/>
      <c r="AE215" s="179"/>
      <c r="AF215" s="549"/>
      <c r="AG215" s="181"/>
      <c r="AH215" s="181"/>
      <c r="AI215" s="181"/>
      <c r="AJ215" s="179"/>
      <c r="AK215" s="549"/>
      <c r="AL215" s="181"/>
      <c r="AM215" s="181"/>
      <c r="AN215" s="181"/>
      <c r="AO215" s="179"/>
      <c r="AP215" s="549"/>
      <c r="AQ215" s="181"/>
      <c r="AR215" s="181"/>
      <c r="AS215" s="181"/>
      <c r="AT215" s="179"/>
      <c r="AU215" s="549"/>
      <c r="AV215" s="181"/>
      <c r="AW215" s="181"/>
      <c r="AX215" s="181"/>
      <c r="AY215" s="181"/>
      <c r="AZ215" s="181"/>
      <c r="BA215" s="181"/>
      <c r="BB215" s="181"/>
      <c r="BC215" s="181"/>
      <c r="BD215" s="181"/>
      <c r="BE215" s="181"/>
      <c r="BF215" s="181"/>
      <c r="BG215" s="181"/>
      <c r="BH215" s="181"/>
    </row>
    <row r="216">
      <c r="A216" s="179"/>
      <c r="B216" s="549"/>
      <c r="C216" s="181"/>
      <c r="D216" s="181"/>
      <c r="E216" s="181"/>
      <c r="F216" s="179"/>
      <c r="G216" s="549"/>
      <c r="H216" s="181"/>
      <c r="I216" s="181"/>
      <c r="J216" s="181"/>
      <c r="K216" s="156"/>
      <c r="L216" s="549"/>
      <c r="M216" s="181"/>
      <c r="N216" s="181"/>
      <c r="O216" s="181"/>
      <c r="P216" s="156"/>
      <c r="Q216" s="562"/>
      <c r="R216" s="181"/>
      <c r="S216" s="181"/>
      <c r="T216" s="181"/>
      <c r="U216" s="179"/>
      <c r="V216" s="549"/>
      <c r="W216" s="181"/>
      <c r="X216" s="181"/>
      <c r="Y216" s="181"/>
      <c r="Z216" s="179"/>
      <c r="AA216" s="549"/>
      <c r="AB216" s="181"/>
      <c r="AC216" s="181"/>
      <c r="AD216" s="181"/>
      <c r="AE216" s="179"/>
      <c r="AF216" s="549"/>
      <c r="AG216" s="181"/>
      <c r="AH216" s="181"/>
      <c r="AI216" s="181"/>
      <c r="AJ216" s="179"/>
      <c r="AK216" s="549"/>
      <c r="AL216" s="181"/>
      <c r="AM216" s="181"/>
      <c r="AN216" s="181"/>
      <c r="AO216" s="179"/>
      <c r="AP216" s="549"/>
      <c r="AQ216" s="181"/>
      <c r="AR216" s="181"/>
      <c r="AS216" s="181"/>
      <c r="AT216" s="179"/>
      <c r="AU216" s="549"/>
      <c r="AV216" s="181"/>
      <c r="AW216" s="181"/>
      <c r="AX216" s="181"/>
      <c r="AY216" s="181"/>
      <c r="AZ216" s="181"/>
      <c r="BA216" s="181"/>
      <c r="BB216" s="181"/>
      <c r="BC216" s="181"/>
      <c r="BD216" s="181"/>
      <c r="BE216" s="181"/>
      <c r="BF216" s="181"/>
      <c r="BG216" s="181"/>
      <c r="BH216" s="181"/>
    </row>
    <row r="217">
      <c r="A217" s="179"/>
      <c r="B217" s="549"/>
      <c r="C217" s="181"/>
      <c r="D217" s="181"/>
      <c r="E217" s="181"/>
      <c r="F217" s="179"/>
      <c r="G217" s="549"/>
      <c r="H217" s="181"/>
      <c r="I217" s="181"/>
      <c r="J217" s="181"/>
      <c r="K217" s="156"/>
      <c r="L217" s="549"/>
      <c r="M217" s="181"/>
      <c r="N217" s="181"/>
      <c r="O217" s="181"/>
      <c r="P217" s="156"/>
      <c r="Q217" s="562"/>
      <c r="R217" s="181"/>
      <c r="S217" s="181"/>
      <c r="T217" s="181"/>
      <c r="U217" s="179"/>
      <c r="V217" s="549"/>
      <c r="W217" s="181"/>
      <c r="X217" s="181"/>
      <c r="Y217" s="181"/>
      <c r="Z217" s="179"/>
      <c r="AA217" s="549"/>
      <c r="AB217" s="181"/>
      <c r="AC217" s="181"/>
      <c r="AD217" s="181"/>
      <c r="AE217" s="179"/>
      <c r="AF217" s="549"/>
      <c r="AG217" s="181"/>
      <c r="AH217" s="181"/>
      <c r="AI217" s="181"/>
      <c r="AJ217" s="179"/>
      <c r="AK217" s="549"/>
      <c r="AL217" s="181"/>
      <c r="AM217" s="181"/>
      <c r="AN217" s="181"/>
      <c r="AO217" s="179"/>
      <c r="AP217" s="549"/>
      <c r="AQ217" s="181"/>
      <c r="AR217" s="181"/>
      <c r="AS217" s="181"/>
      <c r="AT217" s="179"/>
      <c r="AU217" s="549"/>
      <c r="AV217" s="181"/>
      <c r="AW217" s="181"/>
      <c r="AX217" s="181"/>
      <c r="AY217" s="181"/>
      <c r="AZ217" s="181"/>
      <c r="BA217" s="181"/>
      <c r="BB217" s="181"/>
      <c r="BC217" s="181"/>
      <c r="BD217" s="181"/>
      <c r="BE217" s="181"/>
      <c r="BF217" s="181"/>
      <c r="BG217" s="181"/>
      <c r="BH217" s="181"/>
    </row>
    <row r="218">
      <c r="A218" s="179"/>
      <c r="B218" s="549"/>
      <c r="C218" s="181"/>
      <c r="D218" s="181"/>
      <c r="E218" s="181"/>
      <c r="F218" s="179"/>
      <c r="G218" s="549"/>
      <c r="H218" s="181"/>
      <c r="I218" s="181"/>
      <c r="J218" s="181"/>
      <c r="K218" s="156"/>
      <c r="L218" s="549"/>
      <c r="M218" s="181"/>
      <c r="N218" s="181"/>
      <c r="O218" s="181"/>
      <c r="P218" s="156"/>
      <c r="Q218" s="562"/>
      <c r="R218" s="181"/>
      <c r="S218" s="181"/>
      <c r="T218" s="181"/>
      <c r="U218" s="179"/>
      <c r="V218" s="549"/>
      <c r="W218" s="181"/>
      <c r="X218" s="181"/>
      <c r="Y218" s="181"/>
      <c r="Z218" s="179"/>
      <c r="AA218" s="549"/>
      <c r="AB218" s="181"/>
      <c r="AC218" s="181"/>
      <c r="AD218" s="181"/>
      <c r="AE218" s="179"/>
      <c r="AF218" s="549"/>
      <c r="AG218" s="181"/>
      <c r="AH218" s="181"/>
      <c r="AI218" s="181"/>
      <c r="AJ218" s="179"/>
      <c r="AK218" s="549"/>
      <c r="AL218" s="181"/>
      <c r="AM218" s="181"/>
      <c r="AN218" s="181"/>
      <c r="AO218" s="179"/>
      <c r="AP218" s="549"/>
      <c r="AQ218" s="181"/>
      <c r="AR218" s="181"/>
      <c r="AS218" s="181"/>
      <c r="AT218" s="179"/>
      <c r="AU218" s="549"/>
      <c r="AV218" s="181"/>
      <c r="AW218" s="181"/>
      <c r="AX218" s="181"/>
      <c r="AY218" s="181"/>
      <c r="AZ218" s="181"/>
      <c r="BA218" s="181"/>
      <c r="BB218" s="181"/>
      <c r="BC218" s="181"/>
      <c r="BD218" s="181"/>
      <c r="BE218" s="181"/>
      <c r="BF218" s="181"/>
      <c r="BG218" s="181"/>
      <c r="BH218" s="181"/>
    </row>
    <row r="219">
      <c r="A219" s="179"/>
      <c r="B219" s="549"/>
      <c r="C219" s="181"/>
      <c r="D219" s="181"/>
      <c r="E219" s="181"/>
      <c r="F219" s="179"/>
      <c r="G219" s="549"/>
      <c r="H219" s="181"/>
      <c r="I219" s="181"/>
      <c r="J219" s="181"/>
      <c r="K219" s="156"/>
      <c r="L219" s="549"/>
      <c r="M219" s="181"/>
      <c r="N219" s="181"/>
      <c r="O219" s="181"/>
      <c r="P219" s="156"/>
      <c r="Q219" s="562"/>
      <c r="R219" s="181"/>
      <c r="S219" s="181"/>
      <c r="T219" s="181"/>
      <c r="U219" s="179"/>
      <c r="V219" s="549"/>
      <c r="W219" s="181"/>
      <c r="X219" s="181"/>
      <c r="Y219" s="181"/>
      <c r="Z219" s="179"/>
      <c r="AA219" s="549"/>
      <c r="AB219" s="181"/>
      <c r="AC219" s="181"/>
      <c r="AD219" s="181"/>
      <c r="AE219" s="179"/>
      <c r="AF219" s="549"/>
      <c r="AG219" s="181"/>
      <c r="AH219" s="181"/>
      <c r="AI219" s="181"/>
      <c r="AJ219" s="179"/>
      <c r="AK219" s="549"/>
      <c r="AL219" s="181"/>
      <c r="AM219" s="181"/>
      <c r="AN219" s="181"/>
      <c r="AO219" s="179"/>
      <c r="AP219" s="549"/>
      <c r="AQ219" s="181"/>
      <c r="AR219" s="181"/>
      <c r="AS219" s="181"/>
      <c r="AT219" s="179"/>
      <c r="AU219" s="549"/>
      <c r="AV219" s="181"/>
      <c r="AW219" s="181"/>
      <c r="AX219" s="181"/>
      <c r="AY219" s="181"/>
      <c r="AZ219" s="181"/>
      <c r="BA219" s="181"/>
      <c r="BB219" s="181"/>
      <c r="BC219" s="181"/>
      <c r="BD219" s="181"/>
      <c r="BE219" s="181"/>
      <c r="BF219" s="181"/>
      <c r="BG219" s="181"/>
      <c r="BH219" s="181"/>
    </row>
    <row r="220">
      <c r="A220" s="179"/>
      <c r="B220" s="549"/>
      <c r="C220" s="181"/>
      <c r="D220" s="181"/>
      <c r="E220" s="181"/>
      <c r="F220" s="179"/>
      <c r="G220" s="549"/>
      <c r="H220" s="181"/>
      <c r="I220" s="181"/>
      <c r="J220" s="181"/>
      <c r="K220" s="156"/>
      <c r="L220" s="549"/>
      <c r="M220" s="181"/>
      <c r="N220" s="181"/>
      <c r="O220" s="181"/>
      <c r="P220" s="156"/>
      <c r="Q220" s="562"/>
      <c r="R220" s="181"/>
      <c r="S220" s="181"/>
      <c r="T220" s="181"/>
      <c r="U220" s="179"/>
      <c r="V220" s="549"/>
      <c r="W220" s="181"/>
      <c r="X220" s="181"/>
      <c r="Y220" s="181"/>
      <c r="Z220" s="179"/>
      <c r="AA220" s="549"/>
      <c r="AB220" s="181"/>
      <c r="AC220" s="181"/>
      <c r="AD220" s="181"/>
      <c r="AE220" s="179"/>
      <c r="AF220" s="549"/>
      <c r="AG220" s="181"/>
      <c r="AH220" s="181"/>
      <c r="AI220" s="181"/>
      <c r="AJ220" s="179"/>
      <c r="AK220" s="549"/>
      <c r="AL220" s="181"/>
      <c r="AM220" s="181"/>
      <c r="AN220" s="181"/>
      <c r="AO220" s="179"/>
      <c r="AP220" s="549"/>
      <c r="AQ220" s="181"/>
      <c r="AR220" s="181"/>
      <c r="AS220" s="181"/>
      <c r="AT220" s="179"/>
      <c r="AU220" s="549"/>
      <c r="AV220" s="181"/>
      <c r="AW220" s="181"/>
      <c r="AX220" s="181"/>
      <c r="AY220" s="181"/>
      <c r="AZ220" s="181"/>
      <c r="BA220" s="181"/>
      <c r="BB220" s="181"/>
      <c r="BC220" s="181"/>
      <c r="BD220" s="181"/>
      <c r="BE220" s="181"/>
      <c r="BF220" s="181"/>
      <c r="BG220" s="181"/>
      <c r="BH220" s="181"/>
    </row>
    <row r="221">
      <c r="A221" s="179"/>
      <c r="B221" s="549"/>
      <c r="C221" s="181"/>
      <c r="D221" s="181"/>
      <c r="E221" s="181"/>
      <c r="F221" s="179"/>
      <c r="G221" s="549"/>
      <c r="H221" s="181"/>
      <c r="I221" s="181"/>
      <c r="J221" s="181"/>
      <c r="K221" s="156"/>
      <c r="L221" s="549"/>
      <c r="M221" s="181"/>
      <c r="N221" s="181"/>
      <c r="O221" s="181"/>
      <c r="P221" s="156"/>
      <c r="Q221" s="562"/>
      <c r="R221" s="181"/>
      <c r="S221" s="181"/>
      <c r="T221" s="181"/>
      <c r="U221" s="179"/>
      <c r="V221" s="549"/>
      <c r="W221" s="181"/>
      <c r="X221" s="181"/>
      <c r="Y221" s="181"/>
      <c r="Z221" s="179"/>
      <c r="AA221" s="549"/>
      <c r="AB221" s="181"/>
      <c r="AC221" s="181"/>
      <c r="AD221" s="181"/>
      <c r="AE221" s="179"/>
      <c r="AF221" s="549"/>
      <c r="AG221" s="181"/>
      <c r="AH221" s="181"/>
      <c r="AI221" s="181"/>
      <c r="AJ221" s="179"/>
      <c r="AK221" s="549"/>
      <c r="AL221" s="181"/>
      <c r="AM221" s="181"/>
      <c r="AN221" s="181"/>
      <c r="AO221" s="179"/>
      <c r="AP221" s="549"/>
      <c r="AQ221" s="181"/>
      <c r="AR221" s="181"/>
      <c r="AS221" s="181"/>
      <c r="AT221" s="179"/>
      <c r="AU221" s="549"/>
      <c r="AV221" s="181"/>
      <c r="AW221" s="181"/>
      <c r="AX221" s="181"/>
      <c r="AY221" s="181"/>
      <c r="AZ221" s="181"/>
      <c r="BA221" s="181"/>
      <c r="BB221" s="181"/>
      <c r="BC221" s="181"/>
      <c r="BD221" s="181"/>
      <c r="BE221" s="181"/>
      <c r="BF221" s="181"/>
      <c r="BG221" s="181"/>
      <c r="BH221" s="181"/>
    </row>
    <row r="222">
      <c r="A222" s="179"/>
      <c r="B222" s="549"/>
      <c r="C222" s="181"/>
      <c r="D222" s="181"/>
      <c r="E222" s="181"/>
      <c r="F222" s="179"/>
      <c r="G222" s="549"/>
      <c r="H222" s="181"/>
      <c r="I222" s="181"/>
      <c r="J222" s="181"/>
      <c r="K222" s="156"/>
      <c r="L222" s="549"/>
      <c r="M222" s="181"/>
      <c r="N222" s="181"/>
      <c r="O222" s="181"/>
      <c r="P222" s="156"/>
      <c r="Q222" s="562"/>
      <c r="R222" s="181"/>
      <c r="S222" s="181"/>
      <c r="T222" s="181"/>
      <c r="U222" s="179"/>
      <c r="V222" s="549"/>
      <c r="W222" s="181"/>
      <c r="X222" s="181"/>
      <c r="Y222" s="181"/>
      <c r="Z222" s="179"/>
      <c r="AA222" s="549"/>
      <c r="AB222" s="181"/>
      <c r="AC222" s="181"/>
      <c r="AD222" s="181"/>
      <c r="AE222" s="179"/>
      <c r="AF222" s="549"/>
      <c r="AG222" s="181"/>
      <c r="AH222" s="181"/>
      <c r="AI222" s="181"/>
      <c r="AJ222" s="179"/>
      <c r="AK222" s="549"/>
      <c r="AL222" s="181"/>
      <c r="AM222" s="181"/>
      <c r="AN222" s="181"/>
      <c r="AO222" s="179"/>
      <c r="AP222" s="549"/>
      <c r="AQ222" s="181"/>
      <c r="AR222" s="181"/>
      <c r="AS222" s="181"/>
      <c r="AT222" s="179"/>
      <c r="AU222" s="549"/>
      <c r="AV222" s="181"/>
      <c r="AW222" s="181"/>
      <c r="AX222" s="181"/>
      <c r="AY222" s="181"/>
      <c r="AZ222" s="181"/>
      <c r="BA222" s="181"/>
      <c r="BB222" s="181"/>
      <c r="BC222" s="181"/>
      <c r="BD222" s="181"/>
      <c r="BE222" s="181"/>
      <c r="BF222" s="181"/>
      <c r="BG222" s="181"/>
      <c r="BH222" s="181"/>
    </row>
    <row r="223">
      <c r="A223" s="179"/>
      <c r="B223" s="549"/>
      <c r="C223" s="181"/>
      <c r="D223" s="181"/>
      <c r="E223" s="181"/>
      <c r="F223" s="179"/>
      <c r="G223" s="549"/>
      <c r="H223" s="181"/>
      <c r="I223" s="181"/>
      <c r="J223" s="181"/>
      <c r="K223" s="156"/>
      <c r="L223" s="549"/>
      <c r="M223" s="181"/>
      <c r="N223" s="181"/>
      <c r="O223" s="181"/>
      <c r="P223" s="156"/>
      <c r="Q223" s="562"/>
      <c r="R223" s="181"/>
      <c r="S223" s="181"/>
      <c r="T223" s="181"/>
      <c r="U223" s="179"/>
      <c r="V223" s="549"/>
      <c r="W223" s="181"/>
      <c r="X223" s="181"/>
      <c r="Y223" s="181"/>
      <c r="Z223" s="179"/>
      <c r="AA223" s="549"/>
      <c r="AB223" s="181"/>
      <c r="AC223" s="181"/>
      <c r="AD223" s="181"/>
      <c r="AE223" s="179"/>
      <c r="AF223" s="549"/>
      <c r="AG223" s="181"/>
      <c r="AH223" s="181"/>
      <c r="AI223" s="181"/>
      <c r="AJ223" s="179"/>
      <c r="AK223" s="549"/>
      <c r="AL223" s="181"/>
      <c r="AM223" s="181"/>
      <c r="AN223" s="181"/>
      <c r="AO223" s="179"/>
      <c r="AP223" s="549"/>
      <c r="AQ223" s="181"/>
      <c r="AR223" s="181"/>
      <c r="AS223" s="181"/>
      <c r="AT223" s="179"/>
      <c r="AU223" s="549"/>
      <c r="AV223" s="181"/>
      <c r="AW223" s="181"/>
      <c r="AX223" s="181"/>
      <c r="AY223" s="181"/>
      <c r="AZ223" s="181"/>
      <c r="BA223" s="181"/>
      <c r="BB223" s="181"/>
      <c r="BC223" s="181"/>
      <c r="BD223" s="181"/>
      <c r="BE223" s="181"/>
      <c r="BF223" s="181"/>
      <c r="BG223" s="181"/>
      <c r="BH223" s="181"/>
    </row>
    <row r="224">
      <c r="A224" s="179"/>
      <c r="B224" s="549"/>
      <c r="C224" s="181"/>
      <c r="D224" s="181"/>
      <c r="E224" s="181"/>
      <c r="F224" s="179"/>
      <c r="G224" s="549"/>
      <c r="H224" s="181"/>
      <c r="I224" s="181"/>
      <c r="J224" s="181"/>
      <c r="K224" s="156"/>
      <c r="L224" s="549"/>
      <c r="M224" s="181"/>
      <c r="N224" s="181"/>
      <c r="O224" s="181"/>
      <c r="P224" s="156"/>
      <c r="Q224" s="562"/>
      <c r="R224" s="181"/>
      <c r="S224" s="181"/>
      <c r="T224" s="181"/>
      <c r="U224" s="179"/>
      <c r="V224" s="549"/>
      <c r="W224" s="181"/>
      <c r="X224" s="181"/>
      <c r="Y224" s="181"/>
      <c r="Z224" s="179"/>
      <c r="AA224" s="549"/>
      <c r="AB224" s="181"/>
      <c r="AC224" s="181"/>
      <c r="AD224" s="181"/>
      <c r="AE224" s="179"/>
      <c r="AF224" s="549"/>
      <c r="AG224" s="181"/>
      <c r="AH224" s="181"/>
      <c r="AI224" s="181"/>
      <c r="AJ224" s="179"/>
      <c r="AK224" s="549"/>
      <c r="AL224" s="181"/>
      <c r="AM224" s="181"/>
      <c r="AN224" s="181"/>
      <c r="AO224" s="179"/>
      <c r="AP224" s="549"/>
      <c r="AQ224" s="181"/>
      <c r="AR224" s="181"/>
      <c r="AS224" s="181"/>
      <c r="AT224" s="179"/>
      <c r="AU224" s="549"/>
      <c r="AV224" s="181"/>
      <c r="AW224" s="181"/>
      <c r="AX224" s="181"/>
      <c r="AY224" s="181"/>
      <c r="AZ224" s="181"/>
      <c r="BA224" s="181"/>
      <c r="BB224" s="181"/>
      <c r="BC224" s="181"/>
      <c r="BD224" s="181"/>
      <c r="BE224" s="181"/>
      <c r="BF224" s="181"/>
      <c r="BG224" s="181"/>
      <c r="BH224" s="181"/>
    </row>
    <row r="225">
      <c r="A225" s="179"/>
      <c r="B225" s="549"/>
      <c r="C225" s="181"/>
      <c r="D225" s="181"/>
      <c r="E225" s="181"/>
      <c r="F225" s="179"/>
      <c r="G225" s="549"/>
      <c r="H225" s="181"/>
      <c r="I225" s="181"/>
      <c r="J225" s="181"/>
      <c r="K225" s="156"/>
      <c r="L225" s="549"/>
      <c r="M225" s="181"/>
      <c r="N225" s="181"/>
      <c r="O225" s="181"/>
      <c r="P225" s="156"/>
      <c r="Q225" s="562"/>
      <c r="R225" s="181"/>
      <c r="S225" s="181"/>
      <c r="T225" s="181"/>
      <c r="U225" s="179"/>
      <c r="V225" s="549"/>
      <c r="W225" s="181"/>
      <c r="X225" s="181"/>
      <c r="Y225" s="181"/>
      <c r="Z225" s="179"/>
      <c r="AA225" s="549"/>
      <c r="AB225" s="181"/>
      <c r="AC225" s="181"/>
      <c r="AD225" s="181"/>
      <c r="AE225" s="179"/>
      <c r="AF225" s="549"/>
      <c r="AG225" s="181"/>
      <c r="AH225" s="181"/>
      <c r="AI225" s="181"/>
      <c r="AJ225" s="179"/>
      <c r="AK225" s="549"/>
      <c r="AL225" s="181"/>
      <c r="AM225" s="181"/>
      <c r="AN225" s="181"/>
      <c r="AO225" s="179"/>
      <c r="AP225" s="549"/>
      <c r="AQ225" s="181"/>
      <c r="AR225" s="181"/>
      <c r="AS225" s="181"/>
      <c r="AT225" s="179"/>
      <c r="AU225" s="549"/>
      <c r="AV225" s="181"/>
      <c r="AW225" s="181"/>
      <c r="AX225" s="181"/>
      <c r="AY225" s="181"/>
      <c r="AZ225" s="181"/>
      <c r="BA225" s="181"/>
      <c r="BB225" s="181"/>
      <c r="BC225" s="181"/>
      <c r="BD225" s="181"/>
      <c r="BE225" s="181"/>
      <c r="BF225" s="181"/>
      <c r="BG225" s="181"/>
      <c r="BH225" s="181"/>
    </row>
    <row r="226">
      <c r="A226" s="179"/>
      <c r="B226" s="549"/>
      <c r="C226" s="181"/>
      <c r="D226" s="181"/>
      <c r="E226" s="181"/>
      <c r="F226" s="179"/>
      <c r="G226" s="549"/>
      <c r="H226" s="181"/>
      <c r="I226" s="181"/>
      <c r="J226" s="181"/>
      <c r="K226" s="156"/>
      <c r="L226" s="549"/>
      <c r="M226" s="181"/>
      <c r="N226" s="181"/>
      <c r="O226" s="181"/>
      <c r="P226" s="156"/>
      <c r="Q226" s="562"/>
      <c r="R226" s="181"/>
      <c r="S226" s="181"/>
      <c r="T226" s="181"/>
      <c r="U226" s="179"/>
      <c r="V226" s="549"/>
      <c r="W226" s="181"/>
      <c r="X226" s="181"/>
      <c r="Y226" s="181"/>
      <c r="Z226" s="179"/>
      <c r="AA226" s="549"/>
      <c r="AB226" s="181"/>
      <c r="AC226" s="181"/>
      <c r="AD226" s="181"/>
      <c r="AE226" s="179"/>
      <c r="AF226" s="549"/>
      <c r="AG226" s="181"/>
      <c r="AH226" s="181"/>
      <c r="AI226" s="181"/>
      <c r="AJ226" s="179"/>
      <c r="AK226" s="549"/>
      <c r="AL226" s="181"/>
      <c r="AM226" s="181"/>
      <c r="AN226" s="181"/>
      <c r="AO226" s="179"/>
      <c r="AP226" s="549"/>
      <c r="AQ226" s="181"/>
      <c r="AR226" s="181"/>
      <c r="AS226" s="181"/>
      <c r="AT226" s="179"/>
      <c r="AU226" s="549"/>
      <c r="AV226" s="181"/>
      <c r="AW226" s="181"/>
      <c r="AX226" s="181"/>
      <c r="AY226" s="181"/>
      <c r="AZ226" s="181"/>
      <c r="BA226" s="181"/>
      <c r="BB226" s="181"/>
      <c r="BC226" s="181"/>
      <c r="BD226" s="181"/>
      <c r="BE226" s="181"/>
      <c r="BF226" s="181"/>
      <c r="BG226" s="181"/>
      <c r="BH226" s="181"/>
    </row>
    <row r="227">
      <c r="A227" s="179"/>
      <c r="B227" s="549"/>
      <c r="C227" s="181"/>
      <c r="D227" s="181"/>
      <c r="E227" s="181"/>
      <c r="F227" s="179"/>
      <c r="G227" s="549"/>
      <c r="H227" s="181"/>
      <c r="I227" s="181"/>
      <c r="J227" s="181"/>
      <c r="K227" s="156"/>
      <c r="L227" s="549"/>
      <c r="M227" s="181"/>
      <c r="N227" s="181"/>
      <c r="O227" s="181"/>
      <c r="P227" s="156"/>
      <c r="Q227" s="562"/>
      <c r="R227" s="181"/>
      <c r="S227" s="181"/>
      <c r="T227" s="181"/>
      <c r="U227" s="179"/>
      <c r="V227" s="549"/>
      <c r="W227" s="181"/>
      <c r="X227" s="181"/>
      <c r="Y227" s="181"/>
      <c r="Z227" s="179"/>
      <c r="AA227" s="549"/>
      <c r="AB227" s="181"/>
      <c r="AC227" s="181"/>
      <c r="AD227" s="181"/>
      <c r="AE227" s="179"/>
      <c r="AF227" s="549"/>
      <c r="AG227" s="181"/>
      <c r="AH227" s="181"/>
      <c r="AI227" s="181"/>
      <c r="AJ227" s="179"/>
      <c r="AK227" s="549"/>
      <c r="AL227" s="181"/>
      <c r="AM227" s="181"/>
      <c r="AN227" s="181"/>
      <c r="AO227" s="179"/>
      <c r="AP227" s="549"/>
      <c r="AQ227" s="181"/>
      <c r="AR227" s="181"/>
      <c r="AS227" s="181"/>
      <c r="AT227" s="179"/>
      <c r="AU227" s="549"/>
      <c r="AV227" s="181"/>
      <c r="AW227" s="181"/>
      <c r="AX227" s="181"/>
      <c r="AY227" s="181"/>
      <c r="AZ227" s="181"/>
      <c r="BA227" s="181"/>
      <c r="BB227" s="181"/>
      <c r="BC227" s="181"/>
      <c r="BD227" s="181"/>
      <c r="BE227" s="181"/>
      <c r="BF227" s="181"/>
      <c r="BG227" s="181"/>
      <c r="BH227" s="181"/>
    </row>
    <row r="228">
      <c r="A228" s="179"/>
      <c r="B228" s="549"/>
      <c r="C228" s="181"/>
      <c r="D228" s="181"/>
      <c r="E228" s="181"/>
      <c r="F228" s="179"/>
      <c r="G228" s="549"/>
      <c r="H228" s="181"/>
      <c r="I228" s="181"/>
      <c r="J228" s="181"/>
      <c r="K228" s="156"/>
      <c r="L228" s="549"/>
      <c r="M228" s="181"/>
      <c r="N228" s="181"/>
      <c r="O228" s="181"/>
      <c r="P228" s="156"/>
      <c r="Q228" s="562"/>
      <c r="R228" s="181"/>
      <c r="S228" s="181"/>
      <c r="T228" s="181"/>
      <c r="U228" s="179"/>
      <c r="V228" s="549"/>
      <c r="W228" s="181"/>
      <c r="X228" s="181"/>
      <c r="Y228" s="181"/>
      <c r="Z228" s="179"/>
      <c r="AA228" s="549"/>
      <c r="AB228" s="181"/>
      <c r="AC228" s="181"/>
      <c r="AD228" s="181"/>
      <c r="AE228" s="179"/>
      <c r="AF228" s="549"/>
      <c r="AG228" s="181"/>
      <c r="AH228" s="181"/>
      <c r="AI228" s="181"/>
      <c r="AJ228" s="179"/>
      <c r="AK228" s="549"/>
      <c r="AL228" s="181"/>
      <c r="AM228" s="181"/>
      <c r="AN228" s="181"/>
      <c r="AO228" s="179"/>
      <c r="AP228" s="549"/>
      <c r="AQ228" s="181"/>
      <c r="AR228" s="181"/>
      <c r="AS228" s="181"/>
      <c r="AT228" s="179"/>
      <c r="AU228" s="549"/>
      <c r="AV228" s="181"/>
      <c r="AW228" s="181"/>
      <c r="AX228" s="181"/>
      <c r="AY228" s="181"/>
      <c r="AZ228" s="181"/>
      <c r="BA228" s="181"/>
      <c r="BB228" s="181"/>
      <c r="BC228" s="181"/>
      <c r="BD228" s="181"/>
      <c r="BE228" s="181"/>
      <c r="BF228" s="181"/>
      <c r="BG228" s="181"/>
      <c r="BH228" s="181"/>
    </row>
    <row r="229">
      <c r="A229" s="179"/>
      <c r="B229" s="549"/>
      <c r="C229" s="181"/>
      <c r="D229" s="181"/>
      <c r="E229" s="181"/>
      <c r="F229" s="179"/>
      <c r="G229" s="549"/>
      <c r="H229" s="181"/>
      <c r="I229" s="181"/>
      <c r="J229" s="181"/>
      <c r="K229" s="156"/>
      <c r="L229" s="549"/>
      <c r="M229" s="181"/>
      <c r="N229" s="181"/>
      <c r="O229" s="181"/>
      <c r="P229" s="156"/>
      <c r="Q229" s="562"/>
      <c r="R229" s="181"/>
      <c r="S229" s="181"/>
      <c r="T229" s="181"/>
      <c r="U229" s="179"/>
      <c r="V229" s="549"/>
      <c r="W229" s="181"/>
      <c r="X229" s="181"/>
      <c r="Y229" s="181"/>
      <c r="Z229" s="179"/>
      <c r="AA229" s="549"/>
      <c r="AB229" s="181"/>
      <c r="AC229" s="181"/>
      <c r="AD229" s="181"/>
      <c r="AE229" s="179"/>
      <c r="AF229" s="549"/>
      <c r="AG229" s="181"/>
      <c r="AH229" s="181"/>
      <c r="AI229" s="181"/>
      <c r="AJ229" s="179"/>
      <c r="AK229" s="549"/>
      <c r="AL229" s="181"/>
      <c r="AM229" s="181"/>
      <c r="AN229" s="181"/>
      <c r="AO229" s="179"/>
      <c r="AP229" s="549"/>
      <c r="AQ229" s="181"/>
      <c r="AR229" s="181"/>
      <c r="AS229" s="181"/>
      <c r="AT229" s="179"/>
      <c r="AU229" s="549"/>
      <c r="AV229" s="181"/>
      <c r="AW229" s="181"/>
      <c r="AX229" s="181"/>
      <c r="AY229" s="181"/>
      <c r="AZ229" s="181"/>
      <c r="BA229" s="181"/>
      <c r="BB229" s="181"/>
      <c r="BC229" s="181"/>
      <c r="BD229" s="181"/>
      <c r="BE229" s="181"/>
      <c r="BF229" s="181"/>
      <c r="BG229" s="181"/>
      <c r="BH229" s="181"/>
    </row>
    <row r="230">
      <c r="A230" s="179"/>
      <c r="B230" s="549"/>
      <c r="C230" s="181"/>
      <c r="D230" s="181"/>
      <c r="E230" s="181"/>
      <c r="F230" s="179"/>
      <c r="G230" s="549"/>
      <c r="H230" s="181"/>
      <c r="I230" s="181"/>
      <c r="J230" s="181"/>
      <c r="K230" s="156"/>
      <c r="L230" s="549"/>
      <c r="M230" s="181"/>
      <c r="N230" s="181"/>
      <c r="O230" s="181"/>
      <c r="P230" s="156"/>
      <c r="Q230" s="562"/>
      <c r="R230" s="181"/>
      <c r="S230" s="181"/>
      <c r="T230" s="181"/>
      <c r="U230" s="179"/>
      <c r="V230" s="549"/>
      <c r="W230" s="181"/>
      <c r="X230" s="181"/>
      <c r="Y230" s="181"/>
      <c r="Z230" s="179"/>
      <c r="AA230" s="549"/>
      <c r="AB230" s="181"/>
      <c r="AC230" s="181"/>
      <c r="AD230" s="181"/>
      <c r="AE230" s="179"/>
      <c r="AF230" s="549"/>
      <c r="AG230" s="181"/>
      <c r="AH230" s="181"/>
      <c r="AI230" s="181"/>
      <c r="AJ230" s="179"/>
      <c r="AK230" s="549"/>
      <c r="AL230" s="181"/>
      <c r="AM230" s="181"/>
      <c r="AN230" s="181"/>
      <c r="AO230" s="179"/>
      <c r="AP230" s="549"/>
      <c r="AQ230" s="181"/>
      <c r="AR230" s="181"/>
      <c r="AS230" s="181"/>
      <c r="AT230" s="179"/>
      <c r="AU230" s="549"/>
      <c r="AV230" s="181"/>
      <c r="AW230" s="181"/>
      <c r="AX230" s="181"/>
      <c r="AY230" s="181"/>
      <c r="AZ230" s="181"/>
      <c r="BA230" s="181"/>
      <c r="BB230" s="181"/>
      <c r="BC230" s="181"/>
      <c r="BD230" s="181"/>
      <c r="BE230" s="181"/>
      <c r="BF230" s="181"/>
      <c r="BG230" s="181"/>
      <c r="BH230" s="181"/>
    </row>
    <row r="231">
      <c r="A231" s="179"/>
      <c r="B231" s="549"/>
      <c r="C231" s="181"/>
      <c r="D231" s="181"/>
      <c r="E231" s="181"/>
      <c r="F231" s="179"/>
      <c r="G231" s="549"/>
      <c r="H231" s="181"/>
      <c r="I231" s="181"/>
      <c r="J231" s="181"/>
      <c r="K231" s="156"/>
      <c r="L231" s="549"/>
      <c r="M231" s="181"/>
      <c r="N231" s="181"/>
      <c r="O231" s="181"/>
      <c r="P231" s="156"/>
      <c r="Q231" s="562"/>
      <c r="R231" s="181"/>
      <c r="S231" s="181"/>
      <c r="T231" s="181"/>
      <c r="U231" s="179"/>
      <c r="V231" s="549"/>
      <c r="W231" s="181"/>
      <c r="X231" s="181"/>
      <c r="Y231" s="181"/>
      <c r="Z231" s="179"/>
      <c r="AA231" s="549"/>
      <c r="AB231" s="181"/>
      <c r="AC231" s="181"/>
      <c r="AD231" s="181"/>
      <c r="AE231" s="179"/>
      <c r="AF231" s="549"/>
      <c r="AG231" s="181"/>
      <c r="AH231" s="181"/>
      <c r="AI231" s="181"/>
      <c r="AJ231" s="179"/>
      <c r="AK231" s="549"/>
      <c r="AL231" s="181"/>
      <c r="AM231" s="181"/>
      <c r="AN231" s="181"/>
      <c r="AO231" s="179"/>
      <c r="AP231" s="549"/>
      <c r="AQ231" s="181"/>
      <c r="AR231" s="181"/>
      <c r="AS231" s="181"/>
      <c r="AT231" s="179"/>
      <c r="AU231" s="549"/>
      <c r="AV231" s="181"/>
      <c r="AW231" s="181"/>
      <c r="AX231" s="181"/>
      <c r="AY231" s="181"/>
      <c r="AZ231" s="181"/>
      <c r="BA231" s="181"/>
      <c r="BB231" s="181"/>
      <c r="BC231" s="181"/>
      <c r="BD231" s="181"/>
      <c r="BE231" s="181"/>
      <c r="BF231" s="181"/>
      <c r="BG231" s="181"/>
      <c r="BH231" s="181"/>
    </row>
    <row r="232">
      <c r="A232" s="179"/>
      <c r="B232" s="549"/>
      <c r="C232" s="181"/>
      <c r="D232" s="181"/>
      <c r="E232" s="181"/>
      <c r="F232" s="179"/>
      <c r="G232" s="549"/>
      <c r="H232" s="181"/>
      <c r="I232" s="181"/>
      <c r="J232" s="181"/>
      <c r="K232" s="156"/>
      <c r="L232" s="549"/>
      <c r="M232" s="181"/>
      <c r="N232" s="181"/>
      <c r="O232" s="181"/>
      <c r="P232" s="156"/>
      <c r="Q232" s="562"/>
      <c r="R232" s="181"/>
      <c r="S232" s="181"/>
      <c r="T232" s="181"/>
      <c r="U232" s="179"/>
      <c r="V232" s="549"/>
      <c r="W232" s="181"/>
      <c r="X232" s="181"/>
      <c r="Y232" s="181"/>
      <c r="Z232" s="179"/>
      <c r="AA232" s="549"/>
      <c r="AB232" s="181"/>
      <c r="AC232" s="181"/>
      <c r="AD232" s="181"/>
      <c r="AE232" s="179"/>
      <c r="AF232" s="549"/>
      <c r="AG232" s="181"/>
      <c r="AH232" s="181"/>
      <c r="AI232" s="181"/>
      <c r="AJ232" s="179"/>
      <c r="AK232" s="549"/>
      <c r="AL232" s="181"/>
      <c r="AM232" s="181"/>
      <c r="AN232" s="181"/>
      <c r="AO232" s="179"/>
      <c r="AP232" s="549"/>
      <c r="AQ232" s="181"/>
      <c r="AR232" s="181"/>
      <c r="AS232" s="181"/>
      <c r="AT232" s="179"/>
      <c r="AU232" s="549"/>
      <c r="AV232" s="181"/>
      <c r="AW232" s="181"/>
      <c r="AX232" s="181"/>
      <c r="AY232" s="181"/>
      <c r="AZ232" s="181"/>
      <c r="BA232" s="181"/>
      <c r="BB232" s="181"/>
      <c r="BC232" s="181"/>
      <c r="BD232" s="181"/>
      <c r="BE232" s="181"/>
      <c r="BF232" s="181"/>
      <c r="BG232" s="181"/>
      <c r="BH232" s="181"/>
    </row>
    <row r="233">
      <c r="A233" s="179"/>
      <c r="B233" s="549"/>
      <c r="C233" s="181"/>
      <c r="D233" s="181"/>
      <c r="E233" s="181"/>
      <c r="F233" s="179"/>
      <c r="G233" s="549"/>
      <c r="H233" s="181"/>
      <c r="I233" s="181"/>
      <c r="J233" s="181"/>
      <c r="K233" s="156"/>
      <c r="L233" s="549"/>
      <c r="M233" s="181"/>
      <c r="N233" s="181"/>
      <c r="O233" s="181"/>
      <c r="P233" s="156"/>
      <c r="Q233" s="562"/>
      <c r="R233" s="181"/>
      <c r="S233" s="181"/>
      <c r="T233" s="181"/>
      <c r="U233" s="179"/>
      <c r="V233" s="549"/>
      <c r="W233" s="181"/>
      <c r="X233" s="181"/>
      <c r="Y233" s="181"/>
      <c r="Z233" s="179"/>
      <c r="AA233" s="549"/>
      <c r="AB233" s="181"/>
      <c r="AC233" s="181"/>
      <c r="AD233" s="181"/>
      <c r="AE233" s="179"/>
      <c r="AF233" s="549"/>
      <c r="AG233" s="181"/>
      <c r="AH233" s="181"/>
      <c r="AI233" s="181"/>
      <c r="AJ233" s="179"/>
      <c r="AK233" s="549"/>
      <c r="AL233" s="181"/>
      <c r="AM233" s="181"/>
      <c r="AN233" s="181"/>
      <c r="AO233" s="179"/>
      <c r="AP233" s="549"/>
      <c r="AQ233" s="181"/>
      <c r="AR233" s="181"/>
      <c r="AS233" s="181"/>
      <c r="AT233" s="179"/>
      <c r="AU233" s="549"/>
      <c r="AV233" s="181"/>
      <c r="AW233" s="181"/>
      <c r="AX233" s="181"/>
      <c r="AY233" s="181"/>
      <c r="AZ233" s="181"/>
      <c r="BA233" s="181"/>
      <c r="BB233" s="181"/>
      <c r="BC233" s="181"/>
      <c r="BD233" s="181"/>
      <c r="BE233" s="181"/>
      <c r="BF233" s="181"/>
      <c r="BG233" s="181"/>
      <c r="BH233" s="181"/>
    </row>
    <row r="234">
      <c r="A234" s="179"/>
      <c r="B234" s="549"/>
      <c r="C234" s="181"/>
      <c r="D234" s="181"/>
      <c r="E234" s="181"/>
      <c r="F234" s="179"/>
      <c r="G234" s="549"/>
      <c r="H234" s="181"/>
      <c r="I234" s="181"/>
      <c r="J234" s="181"/>
      <c r="K234" s="156"/>
      <c r="L234" s="549"/>
      <c r="M234" s="181"/>
      <c r="N234" s="181"/>
      <c r="O234" s="181"/>
      <c r="P234" s="156"/>
      <c r="Q234" s="562"/>
      <c r="R234" s="181"/>
      <c r="S234" s="181"/>
      <c r="T234" s="181"/>
      <c r="U234" s="179"/>
      <c r="V234" s="549"/>
      <c r="W234" s="181"/>
      <c r="X234" s="181"/>
      <c r="Y234" s="181"/>
      <c r="Z234" s="179"/>
      <c r="AA234" s="549"/>
      <c r="AB234" s="181"/>
      <c r="AC234" s="181"/>
      <c r="AD234" s="181"/>
      <c r="AE234" s="179"/>
      <c r="AF234" s="549"/>
      <c r="AG234" s="181"/>
      <c r="AH234" s="181"/>
      <c r="AI234" s="181"/>
      <c r="AJ234" s="179"/>
      <c r="AK234" s="549"/>
      <c r="AL234" s="181"/>
      <c r="AM234" s="181"/>
      <c r="AN234" s="181"/>
      <c r="AO234" s="179"/>
      <c r="AP234" s="549"/>
      <c r="AQ234" s="181"/>
      <c r="AR234" s="181"/>
      <c r="AS234" s="181"/>
      <c r="AT234" s="179"/>
      <c r="AU234" s="549"/>
      <c r="AV234" s="181"/>
      <c r="AW234" s="181"/>
      <c r="AX234" s="181"/>
      <c r="AY234" s="181"/>
      <c r="AZ234" s="181"/>
      <c r="BA234" s="181"/>
      <c r="BB234" s="181"/>
      <c r="BC234" s="181"/>
      <c r="BD234" s="181"/>
      <c r="BE234" s="181"/>
      <c r="BF234" s="181"/>
      <c r="BG234" s="181"/>
      <c r="BH234" s="181"/>
    </row>
    <row r="235">
      <c r="A235" s="179"/>
      <c r="B235" s="549"/>
      <c r="C235" s="181"/>
      <c r="D235" s="181"/>
      <c r="E235" s="181"/>
      <c r="F235" s="179"/>
      <c r="G235" s="549"/>
      <c r="H235" s="181"/>
      <c r="I235" s="181"/>
      <c r="J235" s="181"/>
      <c r="K235" s="156"/>
      <c r="L235" s="549"/>
      <c r="M235" s="181"/>
      <c r="N235" s="181"/>
      <c r="O235" s="181"/>
      <c r="P235" s="156"/>
      <c r="Q235" s="562"/>
      <c r="R235" s="181"/>
      <c r="S235" s="181"/>
      <c r="T235" s="181"/>
      <c r="U235" s="179"/>
      <c r="V235" s="549"/>
      <c r="W235" s="181"/>
      <c r="X235" s="181"/>
      <c r="Y235" s="181"/>
      <c r="Z235" s="179"/>
      <c r="AA235" s="549"/>
      <c r="AB235" s="181"/>
      <c r="AC235" s="181"/>
      <c r="AD235" s="181"/>
      <c r="AE235" s="179"/>
      <c r="AF235" s="549"/>
      <c r="AG235" s="181"/>
      <c r="AH235" s="181"/>
      <c r="AI235" s="181"/>
      <c r="AJ235" s="179"/>
      <c r="AK235" s="549"/>
      <c r="AL235" s="181"/>
      <c r="AM235" s="181"/>
      <c r="AN235" s="181"/>
      <c r="AO235" s="179"/>
      <c r="AP235" s="549"/>
      <c r="AQ235" s="181"/>
      <c r="AR235" s="181"/>
      <c r="AS235" s="181"/>
      <c r="AT235" s="179"/>
      <c r="AU235" s="549"/>
      <c r="AV235" s="181"/>
      <c r="AW235" s="181"/>
      <c r="AX235" s="181"/>
      <c r="AY235" s="181"/>
      <c r="AZ235" s="181"/>
      <c r="BA235" s="181"/>
      <c r="BB235" s="181"/>
      <c r="BC235" s="181"/>
      <c r="BD235" s="181"/>
      <c r="BE235" s="181"/>
      <c r="BF235" s="181"/>
      <c r="BG235" s="181"/>
      <c r="BH235" s="181"/>
    </row>
    <row r="236">
      <c r="A236" s="179"/>
      <c r="B236" s="549"/>
      <c r="C236" s="181"/>
      <c r="D236" s="181"/>
      <c r="E236" s="181"/>
      <c r="F236" s="179"/>
      <c r="G236" s="549"/>
      <c r="H236" s="181"/>
      <c r="I236" s="181"/>
      <c r="J236" s="181"/>
      <c r="K236" s="156"/>
      <c r="L236" s="549"/>
      <c r="M236" s="181"/>
      <c r="N236" s="181"/>
      <c r="O236" s="181"/>
      <c r="P236" s="156"/>
      <c r="Q236" s="562"/>
      <c r="R236" s="181"/>
      <c r="S236" s="181"/>
      <c r="T236" s="181"/>
      <c r="U236" s="179"/>
      <c r="V236" s="549"/>
      <c r="W236" s="181"/>
      <c r="X236" s="181"/>
      <c r="Y236" s="181"/>
      <c r="Z236" s="179"/>
      <c r="AA236" s="549"/>
      <c r="AB236" s="181"/>
      <c r="AC236" s="181"/>
      <c r="AD236" s="181"/>
      <c r="AE236" s="179"/>
      <c r="AF236" s="549"/>
      <c r="AG236" s="181"/>
      <c r="AH236" s="181"/>
      <c r="AI236" s="181"/>
      <c r="AJ236" s="179"/>
      <c r="AK236" s="549"/>
      <c r="AL236" s="181"/>
      <c r="AM236" s="181"/>
      <c r="AN236" s="181"/>
      <c r="AO236" s="179"/>
      <c r="AP236" s="549"/>
      <c r="AQ236" s="181"/>
      <c r="AR236" s="181"/>
      <c r="AS236" s="181"/>
      <c r="AT236" s="179"/>
      <c r="AU236" s="549"/>
      <c r="AV236" s="181"/>
      <c r="AW236" s="181"/>
      <c r="AX236" s="181"/>
      <c r="AY236" s="181"/>
      <c r="AZ236" s="181"/>
      <c r="BA236" s="181"/>
      <c r="BB236" s="181"/>
      <c r="BC236" s="181"/>
      <c r="BD236" s="181"/>
      <c r="BE236" s="181"/>
      <c r="BF236" s="181"/>
      <c r="BG236" s="181"/>
      <c r="BH236" s="181"/>
    </row>
    <row r="237">
      <c r="A237" s="179"/>
      <c r="B237" s="549"/>
      <c r="C237" s="181"/>
      <c r="D237" s="181"/>
      <c r="E237" s="181"/>
      <c r="F237" s="179"/>
      <c r="G237" s="549"/>
      <c r="H237" s="181"/>
      <c r="I237" s="181"/>
      <c r="J237" s="181"/>
      <c r="K237" s="156"/>
      <c r="L237" s="549"/>
      <c r="M237" s="181"/>
      <c r="N237" s="181"/>
      <c r="O237" s="181"/>
      <c r="P237" s="156"/>
      <c r="Q237" s="562"/>
      <c r="R237" s="181"/>
      <c r="S237" s="181"/>
      <c r="T237" s="181"/>
      <c r="U237" s="179"/>
      <c r="V237" s="549"/>
      <c r="W237" s="181"/>
      <c r="X237" s="181"/>
      <c r="Y237" s="181"/>
      <c r="Z237" s="179"/>
      <c r="AA237" s="549"/>
      <c r="AB237" s="181"/>
      <c r="AC237" s="181"/>
      <c r="AD237" s="181"/>
      <c r="AE237" s="179"/>
      <c r="AF237" s="549"/>
      <c r="AG237" s="181"/>
      <c r="AH237" s="181"/>
      <c r="AI237" s="181"/>
      <c r="AJ237" s="179"/>
      <c r="AK237" s="549"/>
      <c r="AL237" s="181"/>
      <c r="AM237" s="181"/>
      <c r="AN237" s="181"/>
      <c r="AO237" s="179"/>
      <c r="AP237" s="549"/>
      <c r="AQ237" s="181"/>
      <c r="AR237" s="181"/>
      <c r="AS237" s="181"/>
      <c r="AT237" s="179"/>
      <c r="AU237" s="549"/>
      <c r="AV237" s="181"/>
      <c r="AW237" s="181"/>
      <c r="AX237" s="181"/>
      <c r="AY237" s="181"/>
      <c r="AZ237" s="181"/>
      <c r="BA237" s="181"/>
      <c r="BB237" s="181"/>
      <c r="BC237" s="181"/>
      <c r="BD237" s="181"/>
      <c r="BE237" s="181"/>
      <c r="BF237" s="181"/>
      <c r="BG237" s="181"/>
      <c r="BH237" s="181"/>
    </row>
    <row r="238">
      <c r="A238" s="179"/>
      <c r="B238" s="549"/>
      <c r="C238" s="181"/>
      <c r="D238" s="181"/>
      <c r="E238" s="181"/>
      <c r="F238" s="179"/>
      <c r="G238" s="549"/>
      <c r="H238" s="181"/>
      <c r="I238" s="181"/>
      <c r="J238" s="181"/>
      <c r="K238" s="156"/>
      <c r="L238" s="549"/>
      <c r="M238" s="181"/>
      <c r="N238" s="181"/>
      <c r="O238" s="181"/>
      <c r="P238" s="156"/>
      <c r="Q238" s="562"/>
      <c r="R238" s="181"/>
      <c r="S238" s="181"/>
      <c r="T238" s="181"/>
      <c r="U238" s="179"/>
      <c r="V238" s="549"/>
      <c r="W238" s="181"/>
      <c r="X238" s="181"/>
      <c r="Y238" s="181"/>
      <c r="Z238" s="179"/>
      <c r="AA238" s="549"/>
      <c r="AB238" s="181"/>
      <c r="AC238" s="181"/>
      <c r="AD238" s="181"/>
      <c r="AE238" s="179"/>
      <c r="AF238" s="549"/>
      <c r="AG238" s="181"/>
      <c r="AH238" s="181"/>
      <c r="AI238" s="181"/>
      <c r="AJ238" s="179"/>
      <c r="AK238" s="549"/>
      <c r="AL238" s="181"/>
      <c r="AM238" s="181"/>
      <c r="AN238" s="181"/>
      <c r="AO238" s="179"/>
      <c r="AP238" s="549"/>
      <c r="AQ238" s="181"/>
      <c r="AR238" s="181"/>
      <c r="AS238" s="181"/>
      <c r="AT238" s="179"/>
      <c r="AU238" s="549"/>
      <c r="AV238" s="181"/>
      <c r="AW238" s="181"/>
      <c r="AX238" s="181"/>
      <c r="AY238" s="181"/>
      <c r="AZ238" s="181"/>
      <c r="BA238" s="181"/>
      <c r="BB238" s="181"/>
      <c r="BC238" s="181"/>
      <c r="BD238" s="181"/>
      <c r="BE238" s="181"/>
      <c r="BF238" s="181"/>
      <c r="BG238" s="181"/>
      <c r="BH238" s="181"/>
    </row>
    <row r="239">
      <c r="A239" s="179"/>
      <c r="B239" s="549"/>
      <c r="C239" s="181"/>
      <c r="D239" s="181"/>
      <c r="E239" s="181"/>
      <c r="F239" s="179"/>
      <c r="G239" s="549"/>
      <c r="H239" s="181"/>
      <c r="I239" s="181"/>
      <c r="J239" s="181"/>
      <c r="K239" s="156"/>
      <c r="L239" s="549"/>
      <c r="M239" s="181"/>
      <c r="N239" s="181"/>
      <c r="O239" s="181"/>
      <c r="P239" s="156"/>
      <c r="Q239" s="562"/>
      <c r="R239" s="181"/>
      <c r="S239" s="181"/>
      <c r="T239" s="181"/>
      <c r="U239" s="179"/>
      <c r="V239" s="549"/>
      <c r="W239" s="181"/>
      <c r="X239" s="181"/>
      <c r="Y239" s="181"/>
      <c r="Z239" s="179"/>
      <c r="AA239" s="549"/>
      <c r="AB239" s="181"/>
      <c r="AC239" s="181"/>
      <c r="AD239" s="181"/>
      <c r="AE239" s="179"/>
      <c r="AF239" s="549"/>
      <c r="AG239" s="181"/>
      <c r="AH239" s="181"/>
      <c r="AI239" s="181"/>
      <c r="AJ239" s="179"/>
      <c r="AK239" s="549"/>
      <c r="AL239" s="181"/>
      <c r="AM239" s="181"/>
      <c r="AN239" s="181"/>
      <c r="AO239" s="179"/>
      <c r="AP239" s="549"/>
      <c r="AQ239" s="181"/>
      <c r="AR239" s="181"/>
      <c r="AS239" s="181"/>
      <c r="AT239" s="179"/>
      <c r="AU239" s="549"/>
      <c r="AV239" s="181"/>
      <c r="AW239" s="181"/>
      <c r="AX239" s="181"/>
      <c r="AY239" s="181"/>
      <c r="AZ239" s="181"/>
      <c r="BA239" s="181"/>
      <c r="BB239" s="181"/>
      <c r="BC239" s="181"/>
      <c r="BD239" s="181"/>
      <c r="BE239" s="181"/>
      <c r="BF239" s="181"/>
      <c r="BG239" s="181"/>
      <c r="BH239" s="181"/>
    </row>
    <row r="240">
      <c r="A240" s="179"/>
      <c r="B240" s="549"/>
      <c r="C240" s="181"/>
      <c r="D240" s="181"/>
      <c r="E240" s="181"/>
      <c r="F240" s="179"/>
      <c r="G240" s="549"/>
      <c r="H240" s="181"/>
      <c r="I240" s="181"/>
      <c r="J240" s="181"/>
      <c r="K240" s="156"/>
      <c r="L240" s="549"/>
      <c r="M240" s="181"/>
      <c r="N240" s="181"/>
      <c r="O240" s="181"/>
      <c r="P240" s="156"/>
      <c r="Q240" s="562"/>
      <c r="R240" s="181"/>
      <c r="S240" s="181"/>
      <c r="T240" s="181"/>
      <c r="U240" s="179"/>
      <c r="V240" s="549"/>
      <c r="W240" s="181"/>
      <c r="X240" s="181"/>
      <c r="Y240" s="181"/>
      <c r="Z240" s="179"/>
      <c r="AA240" s="549"/>
      <c r="AB240" s="181"/>
      <c r="AC240" s="181"/>
      <c r="AD240" s="181"/>
      <c r="AE240" s="179"/>
      <c r="AF240" s="549"/>
      <c r="AG240" s="181"/>
      <c r="AH240" s="181"/>
      <c r="AI240" s="181"/>
      <c r="AJ240" s="179"/>
      <c r="AK240" s="549"/>
      <c r="AL240" s="181"/>
      <c r="AM240" s="181"/>
      <c r="AN240" s="181"/>
      <c r="AO240" s="179"/>
      <c r="AP240" s="549"/>
      <c r="AQ240" s="181"/>
      <c r="AR240" s="181"/>
      <c r="AS240" s="181"/>
      <c r="AT240" s="179"/>
      <c r="AU240" s="549"/>
      <c r="AV240" s="181"/>
      <c r="AW240" s="181"/>
      <c r="AX240" s="181"/>
      <c r="AY240" s="181"/>
      <c r="AZ240" s="181"/>
      <c r="BA240" s="181"/>
      <c r="BB240" s="181"/>
      <c r="BC240" s="181"/>
      <c r="BD240" s="181"/>
      <c r="BE240" s="181"/>
      <c r="BF240" s="181"/>
      <c r="BG240" s="181"/>
      <c r="BH240" s="181"/>
    </row>
    <row r="241">
      <c r="A241" s="179"/>
      <c r="B241" s="549"/>
      <c r="C241" s="181"/>
      <c r="D241" s="181"/>
      <c r="E241" s="181"/>
      <c r="F241" s="179"/>
      <c r="G241" s="549"/>
      <c r="H241" s="181"/>
      <c r="I241" s="181"/>
      <c r="J241" s="181"/>
      <c r="K241" s="156"/>
      <c r="L241" s="549"/>
      <c r="M241" s="181"/>
      <c r="N241" s="181"/>
      <c r="O241" s="181"/>
      <c r="P241" s="156"/>
      <c r="Q241" s="562"/>
      <c r="R241" s="181"/>
      <c r="S241" s="181"/>
      <c r="T241" s="181"/>
      <c r="U241" s="179"/>
      <c r="V241" s="549"/>
      <c r="W241" s="181"/>
      <c r="X241" s="181"/>
      <c r="Y241" s="181"/>
      <c r="Z241" s="179"/>
      <c r="AA241" s="549"/>
      <c r="AB241" s="181"/>
      <c r="AC241" s="181"/>
      <c r="AD241" s="181"/>
      <c r="AE241" s="179"/>
      <c r="AF241" s="549"/>
      <c r="AG241" s="181"/>
      <c r="AH241" s="181"/>
      <c r="AI241" s="181"/>
      <c r="AJ241" s="179"/>
      <c r="AK241" s="549"/>
      <c r="AL241" s="181"/>
      <c r="AM241" s="181"/>
      <c r="AN241" s="181"/>
      <c r="AO241" s="179"/>
      <c r="AP241" s="549"/>
      <c r="AQ241" s="181"/>
      <c r="AR241" s="181"/>
      <c r="AS241" s="181"/>
      <c r="AT241" s="179"/>
      <c r="AU241" s="549"/>
      <c r="AV241" s="181"/>
      <c r="AW241" s="181"/>
      <c r="AX241" s="181"/>
      <c r="AY241" s="181"/>
      <c r="AZ241" s="181"/>
      <c r="BA241" s="181"/>
      <c r="BB241" s="181"/>
      <c r="BC241" s="181"/>
      <c r="BD241" s="181"/>
      <c r="BE241" s="181"/>
      <c r="BF241" s="181"/>
      <c r="BG241" s="181"/>
      <c r="BH241" s="181"/>
    </row>
    <row r="242">
      <c r="A242" s="179"/>
      <c r="B242" s="549"/>
      <c r="C242" s="181"/>
      <c r="D242" s="181"/>
      <c r="E242" s="181"/>
      <c r="F242" s="179"/>
      <c r="G242" s="549"/>
      <c r="H242" s="181"/>
      <c r="I242" s="181"/>
      <c r="J242" s="181"/>
      <c r="K242" s="156"/>
      <c r="L242" s="549"/>
      <c r="M242" s="181"/>
      <c r="N242" s="181"/>
      <c r="O242" s="181"/>
      <c r="P242" s="156"/>
      <c r="Q242" s="562"/>
      <c r="R242" s="181"/>
      <c r="S242" s="181"/>
      <c r="T242" s="181"/>
      <c r="U242" s="179"/>
      <c r="V242" s="549"/>
      <c r="W242" s="181"/>
      <c r="X242" s="181"/>
      <c r="Y242" s="181"/>
      <c r="Z242" s="179"/>
      <c r="AA242" s="549"/>
      <c r="AB242" s="181"/>
      <c r="AC242" s="181"/>
      <c r="AD242" s="181"/>
      <c r="AE242" s="179"/>
      <c r="AF242" s="549"/>
      <c r="AG242" s="181"/>
      <c r="AH242" s="181"/>
      <c r="AI242" s="181"/>
      <c r="AJ242" s="179"/>
      <c r="AK242" s="549"/>
      <c r="AL242" s="181"/>
      <c r="AM242" s="181"/>
      <c r="AN242" s="181"/>
      <c r="AO242" s="179"/>
      <c r="AP242" s="549"/>
      <c r="AQ242" s="181"/>
      <c r="AR242" s="181"/>
      <c r="AS242" s="181"/>
      <c r="AT242" s="179"/>
      <c r="AU242" s="549"/>
      <c r="AV242" s="181"/>
      <c r="AW242" s="181"/>
      <c r="AX242" s="181"/>
      <c r="AY242" s="181"/>
      <c r="AZ242" s="181"/>
      <c r="BA242" s="181"/>
      <c r="BB242" s="181"/>
      <c r="BC242" s="181"/>
      <c r="BD242" s="181"/>
      <c r="BE242" s="181"/>
      <c r="BF242" s="181"/>
      <c r="BG242" s="181"/>
      <c r="BH242" s="181"/>
    </row>
    <row r="243">
      <c r="A243" s="179"/>
      <c r="B243" s="549"/>
      <c r="C243" s="181"/>
      <c r="D243" s="181"/>
      <c r="E243" s="181"/>
      <c r="F243" s="179"/>
      <c r="G243" s="549"/>
      <c r="H243" s="181"/>
      <c r="I243" s="181"/>
      <c r="J243" s="181"/>
      <c r="K243" s="156"/>
      <c r="L243" s="549"/>
      <c r="M243" s="181"/>
      <c r="N243" s="181"/>
      <c r="O243" s="181"/>
      <c r="P243" s="156"/>
      <c r="Q243" s="562"/>
      <c r="R243" s="181"/>
      <c r="S243" s="181"/>
      <c r="T243" s="181"/>
      <c r="U243" s="179"/>
      <c r="V243" s="549"/>
      <c r="W243" s="181"/>
      <c r="X243" s="181"/>
      <c r="Y243" s="181"/>
      <c r="Z243" s="179"/>
      <c r="AA243" s="549"/>
      <c r="AB243" s="181"/>
      <c r="AC243" s="181"/>
      <c r="AD243" s="181"/>
      <c r="AE243" s="179"/>
      <c r="AF243" s="549"/>
      <c r="AG243" s="181"/>
      <c r="AH243" s="181"/>
      <c r="AI243" s="181"/>
      <c r="AJ243" s="179"/>
      <c r="AK243" s="549"/>
      <c r="AL243" s="181"/>
      <c r="AM243" s="181"/>
      <c r="AN243" s="181"/>
      <c r="AO243" s="179"/>
      <c r="AP243" s="549"/>
      <c r="AQ243" s="181"/>
      <c r="AR243" s="181"/>
      <c r="AS243" s="181"/>
      <c r="AT243" s="179"/>
      <c r="AU243" s="549"/>
      <c r="AV243" s="181"/>
      <c r="AW243" s="181"/>
      <c r="AX243" s="181"/>
      <c r="AY243" s="181"/>
      <c r="AZ243" s="181"/>
      <c r="BA243" s="181"/>
      <c r="BB243" s="181"/>
      <c r="BC243" s="181"/>
      <c r="BD243" s="181"/>
      <c r="BE243" s="181"/>
      <c r="BF243" s="181"/>
      <c r="BG243" s="181"/>
      <c r="BH243" s="181"/>
    </row>
    <row r="244">
      <c r="A244" s="179"/>
      <c r="B244" s="549"/>
      <c r="C244" s="181"/>
      <c r="D244" s="181"/>
      <c r="E244" s="181"/>
      <c r="F244" s="179"/>
      <c r="G244" s="549"/>
      <c r="H244" s="181"/>
      <c r="I244" s="181"/>
      <c r="J244" s="181"/>
      <c r="K244" s="156"/>
      <c r="L244" s="549"/>
      <c r="M244" s="181"/>
      <c r="N244" s="181"/>
      <c r="O244" s="181"/>
      <c r="P244" s="156"/>
      <c r="Q244" s="562"/>
      <c r="R244" s="181"/>
      <c r="S244" s="181"/>
      <c r="T244" s="181"/>
      <c r="U244" s="179"/>
      <c r="V244" s="549"/>
      <c r="W244" s="181"/>
      <c r="X244" s="181"/>
      <c r="Y244" s="181"/>
      <c r="Z244" s="179"/>
      <c r="AA244" s="549"/>
      <c r="AB244" s="181"/>
      <c r="AC244" s="181"/>
      <c r="AD244" s="181"/>
      <c r="AE244" s="179"/>
      <c r="AF244" s="549"/>
      <c r="AG244" s="181"/>
      <c r="AH244" s="181"/>
      <c r="AI244" s="181"/>
      <c r="AJ244" s="179"/>
      <c r="AK244" s="549"/>
      <c r="AL244" s="181"/>
      <c r="AM244" s="181"/>
      <c r="AN244" s="181"/>
      <c r="AO244" s="179"/>
      <c r="AP244" s="549"/>
      <c r="AQ244" s="181"/>
      <c r="AR244" s="181"/>
      <c r="AS244" s="181"/>
      <c r="AT244" s="179"/>
      <c r="AU244" s="549"/>
      <c r="AV244" s="181"/>
      <c r="AW244" s="181"/>
      <c r="AX244" s="181"/>
      <c r="AY244" s="181"/>
      <c r="AZ244" s="181"/>
      <c r="BA244" s="181"/>
      <c r="BB244" s="181"/>
      <c r="BC244" s="181"/>
      <c r="BD244" s="181"/>
      <c r="BE244" s="181"/>
      <c r="BF244" s="181"/>
      <c r="BG244" s="181"/>
      <c r="BH244" s="181"/>
    </row>
    <row r="245">
      <c r="A245" s="179"/>
      <c r="B245" s="549"/>
      <c r="C245" s="181"/>
      <c r="D245" s="181"/>
      <c r="E245" s="181"/>
      <c r="F245" s="179"/>
      <c r="G245" s="549"/>
      <c r="H245" s="181"/>
      <c r="I245" s="181"/>
      <c r="J245" s="181"/>
      <c r="K245" s="156"/>
      <c r="L245" s="549"/>
      <c r="M245" s="181"/>
      <c r="N245" s="181"/>
      <c r="O245" s="181"/>
      <c r="P245" s="156"/>
      <c r="Q245" s="562"/>
      <c r="R245" s="181"/>
      <c r="S245" s="181"/>
      <c r="T245" s="181"/>
      <c r="U245" s="179"/>
      <c r="V245" s="549"/>
      <c r="W245" s="181"/>
      <c r="X245" s="181"/>
      <c r="Y245" s="181"/>
      <c r="Z245" s="179"/>
      <c r="AA245" s="549"/>
      <c r="AB245" s="181"/>
      <c r="AC245" s="181"/>
      <c r="AD245" s="181"/>
      <c r="AE245" s="179"/>
      <c r="AF245" s="549"/>
      <c r="AG245" s="181"/>
      <c r="AH245" s="181"/>
      <c r="AI245" s="181"/>
      <c r="AJ245" s="179"/>
      <c r="AK245" s="549"/>
      <c r="AL245" s="181"/>
      <c r="AM245" s="181"/>
      <c r="AN245" s="181"/>
      <c r="AO245" s="179"/>
      <c r="AP245" s="549"/>
      <c r="AQ245" s="181"/>
      <c r="AR245" s="181"/>
      <c r="AS245" s="181"/>
      <c r="AT245" s="179"/>
      <c r="AU245" s="549"/>
      <c r="AV245" s="181"/>
      <c r="AW245" s="181"/>
      <c r="AX245" s="181"/>
      <c r="AY245" s="181"/>
      <c r="AZ245" s="181"/>
      <c r="BA245" s="181"/>
      <c r="BB245" s="181"/>
      <c r="BC245" s="181"/>
      <c r="BD245" s="181"/>
      <c r="BE245" s="181"/>
      <c r="BF245" s="181"/>
      <c r="BG245" s="181"/>
      <c r="BH245" s="181"/>
    </row>
    <row r="246">
      <c r="A246" s="179"/>
      <c r="B246" s="549"/>
      <c r="C246" s="181"/>
      <c r="D246" s="181"/>
      <c r="E246" s="181"/>
      <c r="F246" s="179"/>
      <c r="G246" s="549"/>
      <c r="H246" s="181"/>
      <c r="I246" s="181"/>
      <c r="J246" s="181"/>
      <c r="K246" s="156"/>
      <c r="L246" s="549"/>
      <c r="M246" s="181"/>
      <c r="N246" s="181"/>
      <c r="O246" s="181"/>
      <c r="P246" s="156"/>
      <c r="Q246" s="562"/>
      <c r="R246" s="181"/>
      <c r="S246" s="181"/>
      <c r="T246" s="181"/>
      <c r="U246" s="179"/>
      <c r="V246" s="549"/>
      <c r="W246" s="181"/>
      <c r="X246" s="181"/>
      <c r="Y246" s="181"/>
      <c r="Z246" s="179"/>
      <c r="AA246" s="549"/>
      <c r="AB246" s="181"/>
      <c r="AC246" s="181"/>
      <c r="AD246" s="181"/>
      <c r="AE246" s="179"/>
      <c r="AF246" s="549"/>
      <c r="AG246" s="181"/>
      <c r="AH246" s="181"/>
      <c r="AI246" s="181"/>
      <c r="AJ246" s="179"/>
      <c r="AK246" s="549"/>
      <c r="AL246" s="181"/>
      <c r="AM246" s="181"/>
      <c r="AN246" s="181"/>
      <c r="AO246" s="179"/>
      <c r="AP246" s="549"/>
      <c r="AQ246" s="181"/>
      <c r="AR246" s="181"/>
      <c r="AS246" s="181"/>
      <c r="AT246" s="179"/>
      <c r="AU246" s="549"/>
      <c r="AV246" s="181"/>
      <c r="AW246" s="181"/>
      <c r="AX246" s="181"/>
      <c r="AY246" s="181"/>
      <c r="AZ246" s="181"/>
      <c r="BA246" s="181"/>
      <c r="BB246" s="181"/>
      <c r="BC246" s="181"/>
      <c r="BD246" s="181"/>
      <c r="BE246" s="181"/>
      <c r="BF246" s="181"/>
      <c r="BG246" s="181"/>
      <c r="BH246" s="181"/>
    </row>
    <row r="247">
      <c r="A247" s="179"/>
      <c r="B247" s="549"/>
      <c r="C247" s="181"/>
      <c r="D247" s="181"/>
      <c r="E247" s="181"/>
      <c r="F247" s="179"/>
      <c r="G247" s="549"/>
      <c r="H247" s="181"/>
      <c r="I247" s="181"/>
      <c r="J247" s="181"/>
      <c r="K247" s="156"/>
      <c r="L247" s="549"/>
      <c r="M247" s="181"/>
      <c r="N247" s="181"/>
      <c r="O247" s="181"/>
      <c r="P247" s="156"/>
      <c r="Q247" s="562"/>
      <c r="R247" s="181"/>
      <c r="S247" s="181"/>
      <c r="T247" s="181"/>
      <c r="U247" s="179"/>
      <c r="V247" s="549"/>
      <c r="W247" s="181"/>
      <c r="X247" s="181"/>
      <c r="Y247" s="181"/>
      <c r="Z247" s="179"/>
      <c r="AA247" s="549"/>
      <c r="AB247" s="181"/>
      <c r="AC247" s="181"/>
      <c r="AD247" s="181"/>
      <c r="AE247" s="179"/>
      <c r="AF247" s="549"/>
      <c r="AG247" s="181"/>
      <c r="AH247" s="181"/>
      <c r="AI247" s="181"/>
      <c r="AJ247" s="179"/>
      <c r="AK247" s="549"/>
      <c r="AL247" s="181"/>
      <c r="AM247" s="181"/>
      <c r="AN247" s="181"/>
      <c r="AO247" s="179"/>
      <c r="AP247" s="549"/>
      <c r="AQ247" s="181"/>
      <c r="AR247" s="181"/>
      <c r="AS247" s="181"/>
      <c r="AT247" s="179"/>
      <c r="AU247" s="549"/>
      <c r="AV247" s="181"/>
      <c r="AW247" s="181"/>
      <c r="AX247" s="181"/>
      <c r="AY247" s="181"/>
      <c r="AZ247" s="181"/>
      <c r="BA247" s="181"/>
      <c r="BB247" s="181"/>
      <c r="BC247" s="181"/>
      <c r="BD247" s="181"/>
      <c r="BE247" s="181"/>
      <c r="BF247" s="181"/>
      <c r="BG247" s="181"/>
      <c r="BH247" s="181"/>
    </row>
    <row r="248">
      <c r="A248" s="179"/>
      <c r="B248" s="549"/>
      <c r="C248" s="181"/>
      <c r="D248" s="181"/>
      <c r="E248" s="181"/>
      <c r="F248" s="179"/>
      <c r="G248" s="549"/>
      <c r="H248" s="181"/>
      <c r="I248" s="181"/>
      <c r="J248" s="181"/>
      <c r="K248" s="156"/>
      <c r="L248" s="549"/>
      <c r="M248" s="181"/>
      <c r="N248" s="181"/>
      <c r="O248" s="181"/>
      <c r="P248" s="156"/>
      <c r="Q248" s="562"/>
      <c r="R248" s="181"/>
      <c r="S248" s="181"/>
      <c r="T248" s="181"/>
      <c r="U248" s="179"/>
      <c r="V248" s="549"/>
      <c r="W248" s="181"/>
      <c r="X248" s="181"/>
      <c r="Y248" s="181"/>
      <c r="Z248" s="179"/>
      <c r="AA248" s="549"/>
      <c r="AB248" s="181"/>
      <c r="AC248" s="181"/>
      <c r="AD248" s="181"/>
      <c r="AE248" s="179"/>
      <c r="AF248" s="549"/>
      <c r="AG248" s="181"/>
      <c r="AH248" s="181"/>
      <c r="AI248" s="181"/>
      <c r="AJ248" s="179"/>
      <c r="AK248" s="549"/>
      <c r="AL248" s="181"/>
      <c r="AM248" s="181"/>
      <c r="AN248" s="181"/>
      <c r="AO248" s="179"/>
      <c r="AP248" s="549"/>
      <c r="AQ248" s="181"/>
      <c r="AR248" s="181"/>
      <c r="AS248" s="181"/>
      <c r="AT248" s="179"/>
      <c r="AU248" s="549"/>
      <c r="AV248" s="181"/>
      <c r="AW248" s="181"/>
      <c r="AX248" s="181"/>
      <c r="AY248" s="181"/>
      <c r="AZ248" s="181"/>
      <c r="BA248" s="181"/>
      <c r="BB248" s="181"/>
      <c r="BC248" s="181"/>
      <c r="BD248" s="181"/>
      <c r="BE248" s="181"/>
      <c r="BF248" s="181"/>
      <c r="BG248" s="181"/>
      <c r="BH248" s="181"/>
    </row>
    <row r="249">
      <c r="A249" s="179"/>
      <c r="B249" s="549"/>
      <c r="C249" s="181"/>
      <c r="D249" s="181"/>
      <c r="E249" s="181"/>
      <c r="F249" s="179"/>
      <c r="G249" s="549"/>
      <c r="H249" s="181"/>
      <c r="I249" s="181"/>
      <c r="J249" s="181"/>
      <c r="K249" s="156"/>
      <c r="L249" s="549"/>
      <c r="M249" s="181"/>
      <c r="N249" s="181"/>
      <c r="O249" s="181"/>
      <c r="P249" s="156"/>
      <c r="Q249" s="562"/>
      <c r="R249" s="181"/>
      <c r="S249" s="181"/>
      <c r="T249" s="181"/>
      <c r="U249" s="179"/>
      <c r="V249" s="549"/>
      <c r="W249" s="181"/>
      <c r="X249" s="181"/>
      <c r="Y249" s="181"/>
      <c r="Z249" s="179"/>
      <c r="AA249" s="549"/>
      <c r="AB249" s="181"/>
      <c r="AC249" s="181"/>
      <c r="AD249" s="181"/>
      <c r="AE249" s="179"/>
      <c r="AF249" s="549"/>
      <c r="AG249" s="181"/>
      <c r="AH249" s="181"/>
      <c r="AI249" s="181"/>
      <c r="AJ249" s="179"/>
      <c r="AK249" s="549"/>
      <c r="AL249" s="181"/>
      <c r="AM249" s="181"/>
      <c r="AN249" s="181"/>
      <c r="AO249" s="179"/>
      <c r="AP249" s="549"/>
      <c r="AQ249" s="181"/>
      <c r="AR249" s="181"/>
      <c r="AS249" s="181"/>
      <c r="AT249" s="179"/>
      <c r="AU249" s="549"/>
      <c r="AV249" s="181"/>
      <c r="AW249" s="181"/>
      <c r="AX249" s="181"/>
      <c r="AY249" s="181"/>
      <c r="AZ249" s="181"/>
      <c r="BA249" s="181"/>
      <c r="BB249" s="181"/>
      <c r="BC249" s="181"/>
      <c r="BD249" s="181"/>
      <c r="BE249" s="181"/>
      <c r="BF249" s="181"/>
      <c r="BG249" s="181"/>
      <c r="BH249" s="181"/>
    </row>
    <row r="250">
      <c r="A250" s="179"/>
      <c r="B250" s="549"/>
      <c r="C250" s="181"/>
      <c r="D250" s="181"/>
      <c r="E250" s="181"/>
      <c r="F250" s="179"/>
      <c r="G250" s="549"/>
      <c r="H250" s="181"/>
      <c r="I250" s="181"/>
      <c r="J250" s="181"/>
      <c r="K250" s="156"/>
      <c r="L250" s="549"/>
      <c r="M250" s="181"/>
      <c r="N250" s="181"/>
      <c r="O250" s="181"/>
      <c r="P250" s="156"/>
      <c r="Q250" s="562"/>
      <c r="R250" s="181"/>
      <c r="S250" s="181"/>
      <c r="T250" s="181"/>
      <c r="U250" s="179"/>
      <c r="V250" s="549"/>
      <c r="W250" s="181"/>
      <c r="X250" s="181"/>
      <c r="Y250" s="181"/>
      <c r="Z250" s="179"/>
      <c r="AA250" s="549"/>
      <c r="AB250" s="181"/>
      <c r="AC250" s="181"/>
      <c r="AD250" s="181"/>
      <c r="AE250" s="179"/>
      <c r="AF250" s="549"/>
      <c r="AG250" s="181"/>
      <c r="AH250" s="181"/>
      <c r="AI250" s="181"/>
      <c r="AJ250" s="179"/>
      <c r="AK250" s="549"/>
      <c r="AL250" s="181"/>
      <c r="AM250" s="181"/>
      <c r="AN250" s="181"/>
      <c r="AO250" s="179"/>
      <c r="AP250" s="549"/>
      <c r="AQ250" s="181"/>
      <c r="AR250" s="181"/>
      <c r="AS250" s="181"/>
      <c r="AT250" s="179"/>
      <c r="AU250" s="549"/>
      <c r="AV250" s="181"/>
      <c r="AW250" s="181"/>
      <c r="AX250" s="181"/>
      <c r="AY250" s="181"/>
      <c r="AZ250" s="181"/>
      <c r="BA250" s="181"/>
      <c r="BB250" s="181"/>
      <c r="BC250" s="181"/>
      <c r="BD250" s="181"/>
      <c r="BE250" s="181"/>
      <c r="BF250" s="181"/>
      <c r="BG250" s="181"/>
      <c r="BH250" s="181"/>
    </row>
    <row r="251">
      <c r="A251" s="179"/>
      <c r="B251" s="549"/>
      <c r="C251" s="181"/>
      <c r="D251" s="181"/>
      <c r="E251" s="181"/>
      <c r="F251" s="179"/>
      <c r="G251" s="549"/>
      <c r="H251" s="181"/>
      <c r="I251" s="181"/>
      <c r="J251" s="181"/>
      <c r="K251" s="156"/>
      <c r="L251" s="549"/>
      <c r="M251" s="181"/>
      <c r="N251" s="181"/>
      <c r="O251" s="181"/>
      <c r="P251" s="156"/>
      <c r="Q251" s="562"/>
      <c r="R251" s="181"/>
      <c r="S251" s="181"/>
      <c r="T251" s="181"/>
      <c r="U251" s="179"/>
      <c r="V251" s="549"/>
      <c r="W251" s="181"/>
      <c r="X251" s="181"/>
      <c r="Y251" s="181"/>
      <c r="Z251" s="179"/>
      <c r="AA251" s="549"/>
      <c r="AB251" s="181"/>
      <c r="AC251" s="181"/>
      <c r="AD251" s="181"/>
      <c r="AE251" s="179"/>
      <c r="AF251" s="549"/>
      <c r="AG251" s="181"/>
      <c r="AH251" s="181"/>
      <c r="AI251" s="181"/>
      <c r="AJ251" s="179"/>
      <c r="AK251" s="549"/>
      <c r="AL251" s="181"/>
      <c r="AM251" s="181"/>
      <c r="AN251" s="181"/>
      <c r="AO251" s="179"/>
      <c r="AP251" s="549"/>
      <c r="AQ251" s="181"/>
      <c r="AR251" s="181"/>
      <c r="AS251" s="181"/>
      <c r="AT251" s="179"/>
      <c r="AU251" s="549"/>
      <c r="AV251" s="181"/>
      <c r="AW251" s="181"/>
      <c r="AX251" s="181"/>
      <c r="AY251" s="181"/>
      <c r="AZ251" s="181"/>
      <c r="BA251" s="181"/>
      <c r="BB251" s="181"/>
      <c r="BC251" s="181"/>
      <c r="BD251" s="181"/>
      <c r="BE251" s="181"/>
      <c r="BF251" s="181"/>
      <c r="BG251" s="181"/>
      <c r="BH251" s="181"/>
    </row>
    <row r="252">
      <c r="A252" s="179"/>
      <c r="B252" s="549"/>
      <c r="C252" s="181"/>
      <c r="D252" s="181"/>
      <c r="E252" s="181"/>
      <c r="F252" s="179"/>
      <c r="G252" s="549"/>
      <c r="H252" s="181"/>
      <c r="I252" s="181"/>
      <c r="J252" s="181"/>
      <c r="K252" s="156"/>
      <c r="L252" s="549"/>
      <c r="M252" s="181"/>
      <c r="N252" s="181"/>
      <c r="O252" s="181"/>
      <c r="P252" s="156"/>
      <c r="Q252" s="562"/>
      <c r="R252" s="181"/>
      <c r="S252" s="181"/>
      <c r="T252" s="181"/>
      <c r="U252" s="179"/>
      <c r="V252" s="549"/>
      <c r="W252" s="181"/>
      <c r="X252" s="181"/>
      <c r="Y252" s="181"/>
      <c r="Z252" s="179"/>
      <c r="AA252" s="549"/>
      <c r="AB252" s="181"/>
      <c r="AC252" s="181"/>
      <c r="AD252" s="181"/>
      <c r="AE252" s="179"/>
      <c r="AF252" s="549"/>
      <c r="AG252" s="181"/>
      <c r="AH252" s="181"/>
      <c r="AI252" s="181"/>
      <c r="AJ252" s="179"/>
      <c r="AK252" s="549"/>
      <c r="AL252" s="181"/>
      <c r="AM252" s="181"/>
      <c r="AN252" s="181"/>
      <c r="AO252" s="179"/>
      <c r="AP252" s="549"/>
      <c r="AQ252" s="181"/>
      <c r="AR252" s="181"/>
      <c r="AS252" s="181"/>
      <c r="AT252" s="179"/>
      <c r="AU252" s="549"/>
      <c r="AV252" s="181"/>
      <c r="AW252" s="181"/>
      <c r="AX252" s="181"/>
      <c r="AY252" s="181"/>
      <c r="AZ252" s="181"/>
      <c r="BA252" s="181"/>
      <c r="BB252" s="181"/>
      <c r="BC252" s="181"/>
      <c r="BD252" s="181"/>
      <c r="BE252" s="181"/>
      <c r="BF252" s="181"/>
      <c r="BG252" s="181"/>
      <c r="BH252" s="181"/>
    </row>
    <row r="253">
      <c r="A253" s="179"/>
      <c r="B253" s="549"/>
      <c r="C253" s="181"/>
      <c r="D253" s="181"/>
      <c r="E253" s="181"/>
      <c r="F253" s="179"/>
      <c r="G253" s="549"/>
      <c r="H253" s="181"/>
      <c r="I253" s="181"/>
      <c r="J253" s="181"/>
      <c r="K253" s="156"/>
      <c r="L253" s="549"/>
      <c r="M253" s="181"/>
      <c r="N253" s="181"/>
      <c r="O253" s="181"/>
      <c r="P253" s="156"/>
      <c r="Q253" s="562"/>
      <c r="R253" s="181"/>
      <c r="S253" s="181"/>
      <c r="T253" s="181"/>
      <c r="U253" s="179"/>
      <c r="V253" s="549"/>
      <c r="W253" s="181"/>
      <c r="X253" s="181"/>
      <c r="Y253" s="181"/>
      <c r="Z253" s="179"/>
      <c r="AA253" s="549"/>
      <c r="AB253" s="181"/>
      <c r="AC253" s="181"/>
      <c r="AD253" s="181"/>
      <c r="AE253" s="179"/>
      <c r="AF253" s="549"/>
      <c r="AG253" s="181"/>
      <c r="AH253" s="181"/>
      <c r="AI253" s="181"/>
      <c r="AJ253" s="179"/>
      <c r="AK253" s="549"/>
      <c r="AL253" s="181"/>
      <c r="AM253" s="181"/>
      <c r="AN253" s="181"/>
      <c r="AO253" s="179"/>
      <c r="AP253" s="549"/>
      <c r="AQ253" s="181"/>
      <c r="AR253" s="181"/>
      <c r="AS253" s="181"/>
      <c r="AT253" s="179"/>
      <c r="AU253" s="549"/>
      <c r="AV253" s="181"/>
      <c r="AW253" s="181"/>
      <c r="AX253" s="181"/>
      <c r="AY253" s="181"/>
      <c r="AZ253" s="181"/>
      <c r="BA253" s="181"/>
      <c r="BB253" s="181"/>
      <c r="BC253" s="181"/>
      <c r="BD253" s="181"/>
      <c r="BE253" s="181"/>
      <c r="BF253" s="181"/>
      <c r="BG253" s="181"/>
      <c r="BH253" s="181"/>
    </row>
    <row r="254">
      <c r="A254" s="179"/>
      <c r="B254" s="549"/>
      <c r="C254" s="181"/>
      <c r="D254" s="181"/>
      <c r="E254" s="181"/>
      <c r="F254" s="179"/>
      <c r="G254" s="549"/>
      <c r="H254" s="181"/>
      <c r="I254" s="181"/>
      <c r="J254" s="181"/>
      <c r="K254" s="156"/>
      <c r="L254" s="549"/>
      <c r="M254" s="181"/>
      <c r="N254" s="181"/>
      <c r="O254" s="181"/>
      <c r="P254" s="156"/>
      <c r="Q254" s="562"/>
      <c r="R254" s="181"/>
      <c r="S254" s="181"/>
      <c r="T254" s="181"/>
      <c r="U254" s="179"/>
      <c r="V254" s="549"/>
      <c r="W254" s="181"/>
      <c r="X254" s="181"/>
      <c r="Y254" s="181"/>
      <c r="Z254" s="179"/>
      <c r="AA254" s="549"/>
      <c r="AB254" s="181"/>
      <c r="AC254" s="181"/>
      <c r="AD254" s="181"/>
      <c r="AE254" s="179"/>
      <c r="AF254" s="549"/>
      <c r="AG254" s="181"/>
      <c r="AH254" s="181"/>
      <c r="AI254" s="181"/>
      <c r="AJ254" s="179"/>
      <c r="AK254" s="549"/>
      <c r="AL254" s="181"/>
      <c r="AM254" s="181"/>
      <c r="AN254" s="181"/>
      <c r="AO254" s="179"/>
      <c r="AP254" s="549"/>
      <c r="AQ254" s="181"/>
      <c r="AR254" s="181"/>
      <c r="AS254" s="181"/>
      <c r="AT254" s="179"/>
      <c r="AU254" s="549"/>
      <c r="AV254" s="181"/>
      <c r="AW254" s="181"/>
      <c r="AX254" s="181"/>
      <c r="AY254" s="181"/>
      <c r="AZ254" s="181"/>
      <c r="BA254" s="181"/>
      <c r="BB254" s="181"/>
      <c r="BC254" s="181"/>
      <c r="BD254" s="181"/>
      <c r="BE254" s="181"/>
      <c r="BF254" s="181"/>
      <c r="BG254" s="181"/>
      <c r="BH254" s="181"/>
    </row>
    <row r="255">
      <c r="A255" s="179"/>
      <c r="B255" s="549"/>
      <c r="C255" s="181"/>
      <c r="D255" s="181"/>
      <c r="E255" s="181"/>
      <c r="F255" s="179"/>
      <c r="G255" s="549"/>
      <c r="H255" s="181"/>
      <c r="I255" s="181"/>
      <c r="J255" s="181"/>
      <c r="K255" s="156"/>
      <c r="L255" s="549"/>
      <c r="M255" s="181"/>
      <c r="N255" s="181"/>
      <c r="O255" s="181"/>
      <c r="P255" s="156"/>
      <c r="Q255" s="562"/>
      <c r="R255" s="181"/>
      <c r="S255" s="181"/>
      <c r="T255" s="181"/>
      <c r="U255" s="179"/>
      <c r="V255" s="549"/>
      <c r="W255" s="181"/>
      <c r="X255" s="181"/>
      <c r="Y255" s="181"/>
      <c r="Z255" s="179"/>
      <c r="AA255" s="549"/>
      <c r="AB255" s="181"/>
      <c r="AC255" s="181"/>
      <c r="AD255" s="181"/>
      <c r="AE255" s="179"/>
      <c r="AF255" s="549"/>
      <c r="AG255" s="181"/>
      <c r="AH255" s="181"/>
      <c r="AI255" s="181"/>
      <c r="AJ255" s="179"/>
      <c r="AK255" s="549"/>
      <c r="AL255" s="181"/>
      <c r="AM255" s="181"/>
      <c r="AN255" s="181"/>
      <c r="AO255" s="179"/>
      <c r="AP255" s="549"/>
      <c r="AQ255" s="181"/>
      <c r="AR255" s="181"/>
      <c r="AS255" s="181"/>
      <c r="AT255" s="179"/>
      <c r="AU255" s="549"/>
      <c r="AV255" s="181"/>
      <c r="AW255" s="181"/>
      <c r="AX255" s="181"/>
      <c r="AY255" s="181"/>
      <c r="AZ255" s="181"/>
      <c r="BA255" s="181"/>
      <c r="BB255" s="181"/>
      <c r="BC255" s="181"/>
      <c r="BD255" s="181"/>
      <c r="BE255" s="181"/>
      <c r="BF255" s="181"/>
      <c r="BG255" s="181"/>
      <c r="BH255" s="181"/>
    </row>
    <row r="256">
      <c r="A256" s="179"/>
      <c r="B256" s="549"/>
      <c r="C256" s="181"/>
      <c r="D256" s="181"/>
      <c r="E256" s="181"/>
      <c r="F256" s="179"/>
      <c r="G256" s="549"/>
      <c r="H256" s="181"/>
      <c r="I256" s="181"/>
      <c r="J256" s="181"/>
      <c r="K256" s="156"/>
      <c r="L256" s="549"/>
      <c r="M256" s="181"/>
      <c r="N256" s="181"/>
      <c r="O256" s="181"/>
      <c r="P256" s="156"/>
      <c r="Q256" s="562"/>
      <c r="R256" s="181"/>
      <c r="S256" s="181"/>
      <c r="T256" s="181"/>
      <c r="U256" s="179"/>
      <c r="V256" s="549"/>
      <c r="W256" s="181"/>
      <c r="X256" s="181"/>
      <c r="Y256" s="181"/>
      <c r="Z256" s="179"/>
      <c r="AA256" s="549"/>
      <c r="AB256" s="181"/>
      <c r="AC256" s="181"/>
      <c r="AD256" s="181"/>
      <c r="AE256" s="179"/>
      <c r="AF256" s="549"/>
      <c r="AG256" s="181"/>
      <c r="AH256" s="181"/>
      <c r="AI256" s="181"/>
      <c r="AJ256" s="179"/>
      <c r="AK256" s="549"/>
      <c r="AL256" s="181"/>
      <c r="AM256" s="181"/>
      <c r="AN256" s="181"/>
      <c r="AO256" s="179"/>
      <c r="AP256" s="549"/>
      <c r="AQ256" s="181"/>
      <c r="AR256" s="181"/>
      <c r="AS256" s="181"/>
      <c r="AT256" s="179"/>
      <c r="AU256" s="549"/>
      <c r="AV256" s="181"/>
      <c r="AW256" s="181"/>
      <c r="AX256" s="181"/>
      <c r="AY256" s="181"/>
      <c r="AZ256" s="181"/>
      <c r="BA256" s="181"/>
      <c r="BB256" s="181"/>
      <c r="BC256" s="181"/>
      <c r="BD256" s="181"/>
      <c r="BE256" s="181"/>
      <c r="BF256" s="181"/>
      <c r="BG256" s="181"/>
      <c r="BH256" s="181"/>
    </row>
    <row r="257">
      <c r="A257" s="179"/>
      <c r="B257" s="549"/>
      <c r="C257" s="181"/>
      <c r="D257" s="181"/>
      <c r="E257" s="181"/>
      <c r="F257" s="179"/>
      <c r="G257" s="549"/>
      <c r="H257" s="181"/>
      <c r="I257" s="181"/>
      <c r="J257" s="181"/>
      <c r="K257" s="156"/>
      <c r="L257" s="549"/>
      <c r="M257" s="181"/>
      <c r="N257" s="181"/>
      <c r="O257" s="181"/>
      <c r="P257" s="156"/>
      <c r="Q257" s="562"/>
      <c r="R257" s="181"/>
      <c r="S257" s="181"/>
      <c r="T257" s="181"/>
      <c r="U257" s="179"/>
      <c r="V257" s="549"/>
      <c r="W257" s="181"/>
      <c r="X257" s="181"/>
      <c r="Y257" s="181"/>
      <c r="Z257" s="179"/>
      <c r="AA257" s="549"/>
      <c r="AB257" s="181"/>
      <c r="AC257" s="181"/>
      <c r="AD257" s="181"/>
      <c r="AE257" s="179"/>
      <c r="AF257" s="549"/>
      <c r="AG257" s="181"/>
      <c r="AH257" s="181"/>
      <c r="AI257" s="181"/>
      <c r="AJ257" s="179"/>
      <c r="AK257" s="549"/>
      <c r="AL257" s="181"/>
      <c r="AM257" s="181"/>
      <c r="AN257" s="181"/>
      <c r="AO257" s="179"/>
      <c r="AP257" s="549"/>
      <c r="AQ257" s="181"/>
      <c r="AR257" s="181"/>
      <c r="AS257" s="181"/>
      <c r="AT257" s="179"/>
      <c r="AU257" s="549"/>
      <c r="AV257" s="181"/>
      <c r="AW257" s="181"/>
      <c r="AX257" s="181"/>
      <c r="AY257" s="181"/>
      <c r="AZ257" s="181"/>
      <c r="BA257" s="181"/>
      <c r="BB257" s="181"/>
      <c r="BC257" s="181"/>
      <c r="BD257" s="181"/>
      <c r="BE257" s="181"/>
      <c r="BF257" s="181"/>
      <c r="BG257" s="181"/>
      <c r="BH257" s="181"/>
    </row>
    <row r="258">
      <c r="A258" s="179"/>
      <c r="B258" s="549"/>
      <c r="C258" s="181"/>
      <c r="D258" s="181"/>
      <c r="E258" s="181"/>
      <c r="F258" s="179"/>
      <c r="G258" s="549"/>
      <c r="H258" s="181"/>
      <c r="I258" s="181"/>
      <c r="J258" s="181"/>
      <c r="K258" s="156"/>
      <c r="L258" s="549"/>
      <c r="M258" s="181"/>
      <c r="N258" s="181"/>
      <c r="O258" s="181"/>
      <c r="P258" s="156"/>
      <c r="Q258" s="562"/>
      <c r="R258" s="181"/>
      <c r="S258" s="181"/>
      <c r="T258" s="181"/>
      <c r="U258" s="179"/>
      <c r="V258" s="549"/>
      <c r="W258" s="181"/>
      <c r="X258" s="181"/>
      <c r="Y258" s="181"/>
      <c r="Z258" s="179"/>
      <c r="AA258" s="549"/>
      <c r="AB258" s="181"/>
      <c r="AC258" s="181"/>
      <c r="AD258" s="181"/>
      <c r="AE258" s="179"/>
      <c r="AF258" s="549"/>
      <c r="AG258" s="181"/>
      <c r="AH258" s="181"/>
      <c r="AI258" s="181"/>
      <c r="AJ258" s="179"/>
      <c r="AK258" s="549"/>
      <c r="AL258" s="181"/>
      <c r="AM258" s="181"/>
      <c r="AN258" s="181"/>
      <c r="AO258" s="179"/>
      <c r="AP258" s="549"/>
      <c r="AQ258" s="181"/>
      <c r="AR258" s="181"/>
      <c r="AS258" s="181"/>
      <c r="AT258" s="179"/>
      <c r="AU258" s="549"/>
      <c r="AV258" s="181"/>
      <c r="AW258" s="181"/>
      <c r="AX258" s="181"/>
      <c r="AY258" s="181"/>
      <c r="AZ258" s="181"/>
      <c r="BA258" s="181"/>
      <c r="BB258" s="181"/>
      <c r="BC258" s="181"/>
      <c r="BD258" s="181"/>
      <c r="BE258" s="181"/>
      <c r="BF258" s="181"/>
      <c r="BG258" s="181"/>
      <c r="BH258" s="181"/>
    </row>
    <row r="259">
      <c r="A259" s="179"/>
      <c r="B259" s="549"/>
      <c r="C259" s="181"/>
      <c r="D259" s="181"/>
      <c r="E259" s="181"/>
      <c r="F259" s="179"/>
      <c r="G259" s="549"/>
      <c r="H259" s="181"/>
      <c r="I259" s="181"/>
      <c r="J259" s="181"/>
      <c r="K259" s="156"/>
      <c r="L259" s="549"/>
      <c r="M259" s="181"/>
      <c r="N259" s="181"/>
      <c r="O259" s="181"/>
      <c r="P259" s="156"/>
      <c r="Q259" s="562"/>
      <c r="R259" s="181"/>
      <c r="S259" s="181"/>
      <c r="T259" s="181"/>
      <c r="U259" s="179"/>
      <c r="V259" s="549"/>
      <c r="W259" s="181"/>
      <c r="X259" s="181"/>
      <c r="Y259" s="181"/>
      <c r="Z259" s="179"/>
      <c r="AA259" s="549"/>
      <c r="AB259" s="181"/>
      <c r="AC259" s="181"/>
      <c r="AD259" s="181"/>
      <c r="AE259" s="179"/>
      <c r="AF259" s="549"/>
      <c r="AG259" s="181"/>
      <c r="AH259" s="181"/>
      <c r="AI259" s="181"/>
      <c r="AJ259" s="179"/>
      <c r="AK259" s="549"/>
      <c r="AL259" s="181"/>
      <c r="AM259" s="181"/>
      <c r="AN259" s="181"/>
      <c r="AO259" s="179"/>
      <c r="AP259" s="549"/>
      <c r="AQ259" s="181"/>
      <c r="AR259" s="181"/>
      <c r="AS259" s="181"/>
      <c r="AT259" s="179"/>
      <c r="AU259" s="549"/>
      <c r="AV259" s="181"/>
      <c r="AW259" s="181"/>
      <c r="AX259" s="181"/>
      <c r="AY259" s="181"/>
      <c r="AZ259" s="181"/>
      <c r="BA259" s="181"/>
      <c r="BB259" s="181"/>
      <c r="BC259" s="181"/>
      <c r="BD259" s="181"/>
      <c r="BE259" s="181"/>
      <c r="BF259" s="181"/>
      <c r="BG259" s="181"/>
      <c r="BH259" s="181"/>
    </row>
    <row r="260">
      <c r="A260" s="179"/>
      <c r="B260" s="549"/>
      <c r="C260" s="181"/>
      <c r="D260" s="181"/>
      <c r="E260" s="181"/>
      <c r="F260" s="179"/>
      <c r="G260" s="549"/>
      <c r="H260" s="181"/>
      <c r="I260" s="181"/>
      <c r="J260" s="181"/>
      <c r="K260" s="156"/>
      <c r="L260" s="549"/>
      <c r="M260" s="181"/>
      <c r="N260" s="181"/>
      <c r="O260" s="181"/>
      <c r="P260" s="156"/>
      <c r="Q260" s="562"/>
      <c r="R260" s="181"/>
      <c r="S260" s="181"/>
      <c r="T260" s="181"/>
      <c r="U260" s="179"/>
      <c r="V260" s="549"/>
      <c r="W260" s="181"/>
      <c r="X260" s="181"/>
      <c r="Y260" s="181"/>
      <c r="Z260" s="179"/>
      <c r="AA260" s="549"/>
      <c r="AB260" s="181"/>
      <c r="AC260" s="181"/>
      <c r="AD260" s="181"/>
      <c r="AE260" s="179"/>
      <c r="AF260" s="549"/>
      <c r="AG260" s="181"/>
      <c r="AH260" s="181"/>
      <c r="AI260" s="181"/>
      <c r="AJ260" s="179"/>
      <c r="AK260" s="549"/>
      <c r="AL260" s="181"/>
      <c r="AM260" s="181"/>
      <c r="AN260" s="181"/>
      <c r="AO260" s="179"/>
      <c r="AP260" s="549"/>
      <c r="AQ260" s="181"/>
      <c r="AR260" s="181"/>
      <c r="AS260" s="181"/>
      <c r="AT260" s="179"/>
      <c r="AU260" s="549"/>
      <c r="AV260" s="181"/>
      <c r="AW260" s="181"/>
      <c r="AX260" s="181"/>
      <c r="AY260" s="181"/>
      <c r="AZ260" s="181"/>
      <c r="BA260" s="181"/>
      <c r="BB260" s="181"/>
      <c r="BC260" s="181"/>
      <c r="BD260" s="181"/>
      <c r="BE260" s="181"/>
      <c r="BF260" s="181"/>
      <c r="BG260" s="181"/>
      <c r="BH260" s="181"/>
    </row>
    <row r="261">
      <c r="A261" s="179"/>
      <c r="B261" s="549"/>
      <c r="C261" s="181"/>
      <c r="D261" s="181"/>
      <c r="E261" s="181"/>
      <c r="F261" s="179"/>
      <c r="G261" s="549"/>
      <c r="H261" s="181"/>
      <c r="I261" s="181"/>
      <c r="J261" s="181"/>
      <c r="K261" s="156"/>
      <c r="L261" s="549"/>
      <c r="M261" s="181"/>
      <c r="N261" s="181"/>
      <c r="O261" s="181"/>
      <c r="P261" s="156"/>
      <c r="Q261" s="562"/>
      <c r="R261" s="181"/>
      <c r="S261" s="181"/>
      <c r="T261" s="181"/>
      <c r="U261" s="179"/>
      <c r="V261" s="549"/>
      <c r="W261" s="181"/>
      <c r="X261" s="181"/>
      <c r="Y261" s="181"/>
      <c r="Z261" s="179"/>
      <c r="AA261" s="549"/>
      <c r="AB261" s="181"/>
      <c r="AC261" s="181"/>
      <c r="AD261" s="181"/>
      <c r="AE261" s="179"/>
      <c r="AF261" s="549"/>
      <c r="AG261" s="181"/>
      <c r="AH261" s="181"/>
      <c r="AI261" s="181"/>
      <c r="AJ261" s="179"/>
      <c r="AK261" s="549"/>
      <c r="AL261" s="181"/>
      <c r="AM261" s="181"/>
      <c r="AN261" s="181"/>
      <c r="AO261" s="179"/>
      <c r="AP261" s="549"/>
      <c r="AQ261" s="181"/>
      <c r="AR261" s="181"/>
      <c r="AS261" s="181"/>
      <c r="AT261" s="179"/>
      <c r="AU261" s="549"/>
      <c r="AV261" s="181"/>
      <c r="AW261" s="181"/>
      <c r="AX261" s="181"/>
      <c r="AY261" s="181"/>
      <c r="AZ261" s="181"/>
      <c r="BA261" s="181"/>
      <c r="BB261" s="181"/>
      <c r="BC261" s="181"/>
      <c r="BD261" s="181"/>
      <c r="BE261" s="181"/>
      <c r="BF261" s="181"/>
      <c r="BG261" s="181"/>
      <c r="BH261" s="181"/>
    </row>
    <row r="262">
      <c r="A262" s="179"/>
      <c r="B262" s="549"/>
      <c r="C262" s="181"/>
      <c r="D262" s="181"/>
      <c r="E262" s="181"/>
      <c r="F262" s="179"/>
      <c r="G262" s="549"/>
      <c r="H262" s="181"/>
      <c r="I262" s="181"/>
      <c r="J262" s="181"/>
      <c r="K262" s="156"/>
      <c r="L262" s="549"/>
      <c r="M262" s="181"/>
      <c r="N262" s="181"/>
      <c r="O262" s="181"/>
      <c r="P262" s="156"/>
      <c r="Q262" s="562"/>
      <c r="R262" s="181"/>
      <c r="S262" s="181"/>
      <c r="T262" s="181"/>
      <c r="U262" s="179"/>
      <c r="V262" s="549"/>
      <c r="W262" s="181"/>
      <c r="X262" s="181"/>
      <c r="Y262" s="181"/>
      <c r="Z262" s="179"/>
      <c r="AA262" s="549"/>
      <c r="AB262" s="181"/>
      <c r="AC262" s="181"/>
      <c r="AD262" s="181"/>
      <c r="AE262" s="179"/>
      <c r="AF262" s="549"/>
      <c r="AG262" s="181"/>
      <c r="AH262" s="181"/>
      <c r="AI262" s="181"/>
      <c r="AJ262" s="179"/>
      <c r="AK262" s="549"/>
      <c r="AL262" s="181"/>
      <c r="AM262" s="181"/>
      <c r="AN262" s="181"/>
      <c r="AO262" s="179"/>
      <c r="AP262" s="549"/>
      <c r="AQ262" s="181"/>
      <c r="AR262" s="181"/>
      <c r="AS262" s="181"/>
      <c r="AT262" s="179"/>
      <c r="AU262" s="549"/>
      <c r="AV262" s="181"/>
      <c r="AW262" s="181"/>
      <c r="AX262" s="181"/>
      <c r="AY262" s="181"/>
      <c r="AZ262" s="181"/>
      <c r="BA262" s="181"/>
      <c r="BB262" s="181"/>
      <c r="BC262" s="181"/>
      <c r="BD262" s="181"/>
      <c r="BE262" s="181"/>
      <c r="BF262" s="181"/>
      <c r="BG262" s="181"/>
      <c r="BH262" s="181"/>
    </row>
    <row r="263">
      <c r="A263" s="179"/>
      <c r="B263" s="549"/>
      <c r="C263" s="181"/>
      <c r="D263" s="181"/>
      <c r="E263" s="181"/>
      <c r="F263" s="179"/>
      <c r="G263" s="549"/>
      <c r="H263" s="181"/>
      <c r="I263" s="181"/>
      <c r="J263" s="181"/>
      <c r="K263" s="156"/>
      <c r="L263" s="549"/>
      <c r="M263" s="181"/>
      <c r="N263" s="181"/>
      <c r="O263" s="181"/>
      <c r="P263" s="156"/>
      <c r="Q263" s="562"/>
      <c r="R263" s="181"/>
      <c r="S263" s="181"/>
      <c r="T263" s="181"/>
      <c r="U263" s="179"/>
      <c r="V263" s="549"/>
      <c r="W263" s="181"/>
      <c r="X263" s="181"/>
      <c r="Y263" s="181"/>
      <c r="Z263" s="179"/>
      <c r="AA263" s="549"/>
      <c r="AB263" s="181"/>
      <c r="AC263" s="181"/>
      <c r="AD263" s="181"/>
      <c r="AE263" s="179"/>
      <c r="AF263" s="549"/>
      <c r="AG263" s="181"/>
      <c r="AH263" s="181"/>
      <c r="AI263" s="181"/>
      <c r="AJ263" s="179"/>
      <c r="AK263" s="549"/>
      <c r="AL263" s="181"/>
      <c r="AM263" s="181"/>
      <c r="AN263" s="181"/>
      <c r="AO263" s="179"/>
      <c r="AP263" s="549"/>
      <c r="AQ263" s="181"/>
      <c r="AR263" s="181"/>
      <c r="AS263" s="181"/>
      <c r="AT263" s="179"/>
      <c r="AU263" s="549"/>
      <c r="AV263" s="181"/>
      <c r="AW263" s="181"/>
      <c r="AX263" s="181"/>
      <c r="AY263" s="181"/>
      <c r="AZ263" s="181"/>
      <c r="BA263" s="181"/>
      <c r="BB263" s="181"/>
      <c r="BC263" s="181"/>
      <c r="BD263" s="181"/>
      <c r="BE263" s="181"/>
      <c r="BF263" s="181"/>
      <c r="BG263" s="181"/>
      <c r="BH263" s="181"/>
    </row>
    <row r="264">
      <c r="A264" s="179"/>
      <c r="B264" s="549"/>
      <c r="C264" s="181"/>
      <c r="D264" s="181"/>
      <c r="E264" s="181"/>
      <c r="F264" s="179"/>
      <c r="G264" s="549"/>
      <c r="H264" s="181"/>
      <c r="I264" s="181"/>
      <c r="J264" s="181"/>
      <c r="K264" s="156"/>
      <c r="L264" s="549"/>
      <c r="M264" s="181"/>
      <c r="N264" s="181"/>
      <c r="O264" s="181"/>
      <c r="P264" s="156"/>
      <c r="Q264" s="562"/>
      <c r="R264" s="181"/>
      <c r="S264" s="181"/>
      <c r="T264" s="181"/>
      <c r="U264" s="179"/>
      <c r="V264" s="549"/>
      <c r="W264" s="181"/>
      <c r="X264" s="181"/>
      <c r="Y264" s="181"/>
      <c r="Z264" s="179"/>
      <c r="AA264" s="549"/>
      <c r="AB264" s="181"/>
      <c r="AC264" s="181"/>
      <c r="AD264" s="181"/>
      <c r="AE264" s="179"/>
      <c r="AF264" s="549"/>
      <c r="AG264" s="181"/>
      <c r="AH264" s="181"/>
      <c r="AI264" s="181"/>
      <c r="AJ264" s="179"/>
      <c r="AK264" s="549"/>
      <c r="AL264" s="181"/>
      <c r="AM264" s="181"/>
      <c r="AN264" s="181"/>
      <c r="AO264" s="179"/>
      <c r="AP264" s="549"/>
      <c r="AQ264" s="181"/>
      <c r="AR264" s="181"/>
      <c r="AS264" s="181"/>
      <c r="AT264" s="179"/>
      <c r="AU264" s="549"/>
      <c r="AV264" s="181"/>
      <c r="AW264" s="181"/>
      <c r="AX264" s="181"/>
      <c r="AY264" s="181"/>
      <c r="AZ264" s="181"/>
      <c r="BA264" s="181"/>
      <c r="BB264" s="181"/>
      <c r="BC264" s="181"/>
      <c r="BD264" s="181"/>
      <c r="BE264" s="181"/>
      <c r="BF264" s="181"/>
      <c r="BG264" s="181"/>
      <c r="BH264" s="181"/>
    </row>
    <row r="265">
      <c r="A265" s="179"/>
      <c r="B265" s="549"/>
      <c r="C265" s="181"/>
      <c r="D265" s="181"/>
      <c r="E265" s="181"/>
      <c r="F265" s="179"/>
      <c r="G265" s="549"/>
      <c r="H265" s="181"/>
      <c r="I265" s="181"/>
      <c r="J265" s="181"/>
      <c r="K265" s="156"/>
      <c r="L265" s="549"/>
      <c r="M265" s="181"/>
      <c r="N265" s="181"/>
      <c r="O265" s="181"/>
      <c r="P265" s="156"/>
      <c r="Q265" s="562"/>
      <c r="R265" s="181"/>
      <c r="S265" s="181"/>
      <c r="T265" s="181"/>
      <c r="U265" s="179"/>
      <c r="V265" s="549"/>
      <c r="W265" s="181"/>
      <c r="X265" s="181"/>
      <c r="Y265" s="181"/>
      <c r="Z265" s="179"/>
      <c r="AA265" s="549"/>
      <c r="AB265" s="181"/>
      <c r="AC265" s="181"/>
      <c r="AD265" s="181"/>
      <c r="AE265" s="179"/>
      <c r="AF265" s="549"/>
      <c r="AG265" s="181"/>
      <c r="AH265" s="181"/>
      <c r="AI265" s="181"/>
      <c r="AJ265" s="179"/>
      <c r="AK265" s="549"/>
      <c r="AL265" s="181"/>
      <c r="AM265" s="181"/>
      <c r="AN265" s="181"/>
      <c r="AO265" s="179"/>
      <c r="AP265" s="549"/>
      <c r="AQ265" s="181"/>
      <c r="AR265" s="181"/>
      <c r="AS265" s="181"/>
      <c r="AT265" s="179"/>
      <c r="AU265" s="549"/>
      <c r="AV265" s="181"/>
      <c r="AW265" s="181"/>
      <c r="AX265" s="181"/>
      <c r="AY265" s="181"/>
      <c r="AZ265" s="181"/>
      <c r="BA265" s="181"/>
      <c r="BB265" s="181"/>
      <c r="BC265" s="181"/>
      <c r="BD265" s="181"/>
      <c r="BE265" s="181"/>
      <c r="BF265" s="181"/>
      <c r="BG265" s="181"/>
      <c r="BH265" s="181"/>
    </row>
    <row r="266">
      <c r="A266" s="179"/>
      <c r="B266" s="549"/>
      <c r="C266" s="181"/>
      <c r="D266" s="181"/>
      <c r="E266" s="181"/>
      <c r="F266" s="179"/>
      <c r="G266" s="549"/>
      <c r="H266" s="181"/>
      <c r="I266" s="181"/>
      <c r="J266" s="181"/>
      <c r="K266" s="156"/>
      <c r="L266" s="549"/>
      <c r="M266" s="181"/>
      <c r="N266" s="181"/>
      <c r="O266" s="181"/>
      <c r="P266" s="156"/>
      <c r="Q266" s="562"/>
      <c r="R266" s="181"/>
      <c r="S266" s="181"/>
      <c r="T266" s="181"/>
      <c r="U266" s="179"/>
      <c r="V266" s="549"/>
      <c r="W266" s="181"/>
      <c r="X266" s="181"/>
      <c r="Y266" s="181"/>
      <c r="Z266" s="179"/>
      <c r="AA266" s="549"/>
      <c r="AB266" s="181"/>
      <c r="AC266" s="181"/>
      <c r="AD266" s="181"/>
      <c r="AE266" s="179"/>
      <c r="AF266" s="549"/>
      <c r="AG266" s="181"/>
      <c r="AH266" s="181"/>
      <c r="AI266" s="181"/>
      <c r="AJ266" s="179"/>
      <c r="AK266" s="549"/>
      <c r="AL266" s="181"/>
      <c r="AM266" s="181"/>
      <c r="AN266" s="181"/>
      <c r="AO266" s="179"/>
      <c r="AP266" s="549"/>
      <c r="AQ266" s="181"/>
      <c r="AR266" s="181"/>
      <c r="AS266" s="181"/>
      <c r="AT266" s="528"/>
      <c r="AU266" s="528"/>
      <c r="AV266" s="528"/>
      <c r="AW266" s="528"/>
      <c r="AX266" s="528"/>
      <c r="AY266" s="528"/>
      <c r="AZ266" s="528"/>
      <c r="BA266" s="528"/>
      <c r="BB266" s="528"/>
      <c r="BC266" s="528"/>
      <c r="BD266" s="528"/>
      <c r="BE266" s="528"/>
      <c r="BF266" s="528"/>
      <c r="BG266" s="528"/>
      <c r="BH266" s="528"/>
    </row>
    <row r="267">
      <c r="A267" s="179"/>
      <c r="B267" s="549"/>
      <c r="C267" s="181"/>
      <c r="D267" s="181"/>
      <c r="E267" s="181"/>
      <c r="F267" s="179"/>
      <c r="G267" s="549"/>
      <c r="H267" s="181"/>
      <c r="I267" s="181"/>
      <c r="J267" s="181"/>
      <c r="K267" s="156"/>
      <c r="L267" s="549"/>
      <c r="M267" s="181"/>
      <c r="N267" s="181"/>
      <c r="O267" s="181"/>
      <c r="P267" s="156"/>
      <c r="Q267" s="562"/>
      <c r="R267" s="181"/>
      <c r="S267" s="181"/>
      <c r="T267" s="181"/>
      <c r="U267" s="179"/>
      <c r="V267" s="549"/>
      <c r="W267" s="181"/>
      <c r="X267" s="181"/>
      <c r="Y267" s="181"/>
      <c r="Z267" s="179"/>
      <c r="AA267" s="549"/>
      <c r="AB267" s="181"/>
      <c r="AC267" s="181"/>
      <c r="AD267" s="181"/>
      <c r="AE267" s="179"/>
      <c r="AF267" s="549"/>
      <c r="AG267" s="181"/>
      <c r="AH267" s="181"/>
      <c r="AI267" s="181"/>
      <c r="AJ267" s="179"/>
      <c r="AK267" s="549"/>
      <c r="AL267" s="181"/>
      <c r="AM267" s="181"/>
      <c r="AN267" s="181"/>
      <c r="AO267" s="179"/>
      <c r="AP267" s="549"/>
      <c r="AQ267" s="181"/>
      <c r="AR267" s="181"/>
      <c r="AS267" s="181"/>
      <c r="AT267" s="528"/>
      <c r="AU267" s="528"/>
      <c r="AV267" s="528"/>
      <c r="AW267" s="528"/>
      <c r="AX267" s="528"/>
      <c r="AY267" s="528"/>
      <c r="AZ267" s="528"/>
      <c r="BA267" s="528"/>
      <c r="BB267" s="528"/>
      <c r="BC267" s="528"/>
      <c r="BD267" s="528"/>
      <c r="BE267" s="528"/>
      <c r="BF267" s="528"/>
      <c r="BG267" s="528"/>
      <c r="BH267" s="528"/>
    </row>
    <row r="268">
      <c r="A268" s="179"/>
      <c r="B268" s="549"/>
      <c r="C268" s="181"/>
      <c r="D268" s="181"/>
      <c r="E268" s="181"/>
      <c r="F268" s="179"/>
      <c r="G268" s="549"/>
      <c r="H268" s="181"/>
      <c r="I268" s="181"/>
      <c r="J268" s="181"/>
      <c r="K268" s="156"/>
      <c r="L268" s="549"/>
      <c r="M268" s="181"/>
      <c r="N268" s="181"/>
      <c r="O268" s="181"/>
      <c r="P268" s="156"/>
      <c r="Q268" s="562"/>
      <c r="R268" s="181"/>
      <c r="S268" s="181"/>
      <c r="T268" s="181"/>
      <c r="U268" s="179"/>
      <c r="V268" s="549"/>
      <c r="W268" s="181"/>
      <c r="X268" s="181"/>
      <c r="Y268" s="181"/>
      <c r="Z268" s="179"/>
      <c r="AA268" s="549"/>
      <c r="AB268" s="181"/>
      <c r="AC268" s="181"/>
      <c r="AD268" s="181"/>
      <c r="AE268" s="179"/>
      <c r="AF268" s="549"/>
      <c r="AG268" s="181"/>
      <c r="AH268" s="181"/>
      <c r="AI268" s="181"/>
      <c r="AJ268" s="179"/>
      <c r="AK268" s="549"/>
      <c r="AL268" s="181"/>
      <c r="AM268" s="181"/>
      <c r="AN268" s="181"/>
      <c r="AO268" s="179"/>
      <c r="AP268" s="549"/>
      <c r="AQ268" s="181"/>
      <c r="AR268" s="181"/>
      <c r="AS268" s="181"/>
      <c r="AT268" s="528"/>
      <c r="AU268" s="528"/>
      <c r="AV268" s="528"/>
      <c r="AW268" s="528"/>
      <c r="AX268" s="528"/>
      <c r="AY268" s="528"/>
      <c r="AZ268" s="528"/>
      <c r="BA268" s="528"/>
      <c r="BB268" s="528"/>
      <c r="BC268" s="528"/>
      <c r="BD268" s="528"/>
      <c r="BE268" s="528"/>
      <c r="BF268" s="528"/>
      <c r="BG268" s="528"/>
      <c r="BH268" s="528"/>
    </row>
    <row r="269">
      <c r="A269" s="179"/>
      <c r="B269" s="549"/>
      <c r="C269" s="181"/>
      <c r="D269" s="181"/>
      <c r="E269" s="181"/>
      <c r="F269" s="179"/>
      <c r="G269" s="549"/>
      <c r="H269" s="181"/>
      <c r="I269" s="181"/>
      <c r="J269" s="181"/>
      <c r="K269" s="156"/>
      <c r="L269" s="549"/>
      <c r="M269" s="181"/>
      <c r="N269" s="181"/>
      <c r="O269" s="181"/>
      <c r="P269" s="156"/>
      <c r="Q269" s="562"/>
      <c r="R269" s="181"/>
      <c r="S269" s="181"/>
      <c r="T269" s="181"/>
      <c r="U269" s="179"/>
      <c r="V269" s="549"/>
      <c r="W269" s="181"/>
      <c r="X269" s="181"/>
      <c r="Y269" s="181"/>
      <c r="Z269" s="179"/>
      <c r="AA269" s="549"/>
      <c r="AB269" s="181"/>
      <c r="AC269" s="181"/>
      <c r="AD269" s="181"/>
      <c r="AE269" s="179"/>
      <c r="AF269" s="549"/>
      <c r="AG269" s="181"/>
      <c r="AH269" s="181"/>
      <c r="AI269" s="181"/>
      <c r="AJ269" s="179"/>
      <c r="AK269" s="549"/>
      <c r="AL269" s="181"/>
      <c r="AM269" s="181"/>
      <c r="AN269" s="181"/>
      <c r="AO269" s="179"/>
      <c r="AP269" s="549"/>
      <c r="AQ269" s="181"/>
      <c r="AR269" s="181"/>
      <c r="AS269" s="181"/>
      <c r="AT269" s="528"/>
      <c r="AU269" s="528"/>
      <c r="AV269" s="528"/>
      <c r="AW269" s="528"/>
      <c r="AX269" s="528"/>
      <c r="AY269" s="528"/>
      <c r="AZ269" s="528"/>
      <c r="BA269" s="528"/>
      <c r="BB269" s="528"/>
      <c r="BC269" s="528"/>
      <c r="BD269" s="528"/>
      <c r="BE269" s="528"/>
      <c r="BF269" s="528"/>
      <c r="BG269" s="528"/>
      <c r="BH269" s="528"/>
    </row>
    <row r="270">
      <c r="A270" s="179"/>
      <c r="B270" s="549"/>
      <c r="C270" s="181"/>
      <c r="D270" s="181"/>
      <c r="E270" s="181"/>
      <c r="F270" s="179"/>
      <c r="G270" s="549"/>
      <c r="H270" s="181"/>
      <c r="I270" s="181"/>
      <c r="J270" s="181"/>
      <c r="K270" s="156"/>
      <c r="L270" s="549"/>
      <c r="M270" s="181"/>
      <c r="N270" s="181"/>
      <c r="O270" s="181"/>
      <c r="P270" s="156"/>
      <c r="Q270" s="562"/>
      <c r="R270" s="181"/>
      <c r="S270" s="181"/>
      <c r="T270" s="181"/>
      <c r="U270" s="179"/>
      <c r="V270" s="549"/>
      <c r="W270" s="181"/>
      <c r="X270" s="181"/>
      <c r="Y270" s="181"/>
      <c r="Z270" s="179"/>
      <c r="AA270" s="549"/>
      <c r="AB270" s="181"/>
      <c r="AC270" s="181"/>
      <c r="AD270" s="181"/>
      <c r="AE270" s="179"/>
      <c r="AF270" s="549"/>
      <c r="AG270" s="181"/>
      <c r="AH270" s="181"/>
      <c r="AI270" s="181"/>
      <c r="AJ270" s="179"/>
      <c r="AK270" s="549"/>
      <c r="AL270" s="181"/>
      <c r="AM270" s="181"/>
      <c r="AN270" s="181"/>
      <c r="AO270" s="179"/>
      <c r="AP270" s="549"/>
      <c r="AQ270" s="181"/>
      <c r="AR270" s="181"/>
      <c r="AS270" s="181"/>
      <c r="AT270" s="528"/>
      <c r="AU270" s="528"/>
      <c r="AV270" s="528"/>
      <c r="AW270" s="528"/>
      <c r="AX270" s="528"/>
      <c r="AY270" s="528"/>
      <c r="AZ270" s="528"/>
      <c r="BA270" s="528"/>
      <c r="BB270" s="528"/>
      <c r="BC270" s="528"/>
      <c r="BD270" s="528"/>
      <c r="BE270" s="528"/>
      <c r="BF270" s="528"/>
      <c r="BG270" s="528"/>
      <c r="BH270" s="528"/>
    </row>
    <row r="271">
      <c r="A271" s="179"/>
      <c r="B271" s="549"/>
      <c r="C271" s="181"/>
      <c r="D271" s="181"/>
      <c r="E271" s="181"/>
      <c r="F271" s="179"/>
      <c r="G271" s="549"/>
      <c r="H271" s="181"/>
      <c r="I271" s="181"/>
      <c r="J271" s="181"/>
      <c r="K271" s="156"/>
      <c r="L271" s="549"/>
      <c r="M271" s="181"/>
      <c r="N271" s="181"/>
      <c r="O271" s="181"/>
      <c r="P271" s="156"/>
      <c r="Q271" s="562"/>
      <c r="R271" s="181"/>
      <c r="S271" s="181"/>
      <c r="T271" s="181"/>
      <c r="U271" s="179"/>
      <c r="V271" s="549"/>
      <c r="W271" s="181"/>
      <c r="X271" s="181"/>
      <c r="Y271" s="181"/>
      <c r="Z271" s="179"/>
      <c r="AA271" s="549"/>
      <c r="AB271" s="181"/>
      <c r="AC271" s="181"/>
      <c r="AD271" s="181"/>
      <c r="AE271" s="179"/>
      <c r="AF271" s="549"/>
      <c r="AG271" s="181"/>
      <c r="AH271" s="181"/>
      <c r="AI271" s="181"/>
      <c r="AJ271" s="179"/>
      <c r="AK271" s="549"/>
      <c r="AL271" s="181"/>
      <c r="AM271" s="181"/>
      <c r="AN271" s="181"/>
      <c r="AO271" s="179"/>
      <c r="AP271" s="549"/>
      <c r="AQ271" s="181"/>
      <c r="AR271" s="181"/>
      <c r="AS271" s="181"/>
      <c r="AT271" s="528"/>
      <c r="AU271" s="528"/>
      <c r="AV271" s="528"/>
      <c r="AW271" s="528"/>
      <c r="AX271" s="528"/>
      <c r="AY271" s="528"/>
      <c r="AZ271" s="528"/>
      <c r="BA271" s="528"/>
      <c r="BB271" s="528"/>
      <c r="BC271" s="528"/>
      <c r="BD271" s="528"/>
      <c r="BE271" s="528"/>
      <c r="BF271" s="528"/>
      <c r="BG271" s="528"/>
      <c r="BH271" s="528"/>
    </row>
    <row r="272">
      <c r="A272" s="179"/>
      <c r="B272" s="549"/>
      <c r="C272" s="181"/>
      <c r="D272" s="181"/>
      <c r="E272" s="181"/>
      <c r="F272" s="179"/>
      <c r="G272" s="549"/>
      <c r="H272" s="181"/>
      <c r="I272" s="181"/>
      <c r="J272" s="181"/>
      <c r="K272" s="156"/>
      <c r="L272" s="549"/>
      <c r="M272" s="181"/>
      <c r="N272" s="181"/>
      <c r="O272" s="181"/>
      <c r="P272" s="156"/>
      <c r="Q272" s="562"/>
      <c r="R272" s="181"/>
      <c r="S272" s="181"/>
      <c r="T272" s="181"/>
      <c r="U272" s="179"/>
      <c r="V272" s="549"/>
      <c r="W272" s="181"/>
      <c r="X272" s="181"/>
      <c r="Y272" s="181"/>
      <c r="Z272" s="179"/>
      <c r="AA272" s="549"/>
      <c r="AB272" s="181"/>
      <c r="AC272" s="181"/>
      <c r="AD272" s="181"/>
      <c r="AE272" s="179"/>
      <c r="AF272" s="549"/>
      <c r="AG272" s="181"/>
      <c r="AH272" s="181"/>
      <c r="AI272" s="181"/>
      <c r="AJ272" s="179"/>
      <c r="AK272" s="549"/>
      <c r="AL272" s="181"/>
      <c r="AM272" s="181"/>
      <c r="AN272" s="181"/>
      <c r="AO272" s="179"/>
      <c r="AP272" s="549"/>
      <c r="AQ272" s="181"/>
      <c r="AR272" s="181"/>
      <c r="AS272" s="181"/>
      <c r="AT272" s="528"/>
      <c r="AU272" s="528"/>
      <c r="AV272" s="528"/>
      <c r="AW272" s="528"/>
      <c r="AX272" s="528"/>
      <c r="AY272" s="528"/>
      <c r="AZ272" s="528"/>
      <c r="BA272" s="528"/>
      <c r="BB272" s="528"/>
      <c r="BC272" s="528"/>
      <c r="BD272" s="528"/>
      <c r="BE272" s="528"/>
      <c r="BF272" s="528"/>
      <c r="BG272" s="528"/>
      <c r="BH272" s="528"/>
    </row>
    <row r="273">
      <c r="A273" s="179"/>
      <c r="B273" s="549"/>
      <c r="C273" s="181"/>
      <c r="D273" s="181"/>
      <c r="E273" s="181"/>
      <c r="F273" s="179"/>
      <c r="G273" s="549"/>
      <c r="H273" s="181"/>
      <c r="I273" s="181"/>
      <c r="J273" s="181"/>
      <c r="K273" s="156"/>
      <c r="L273" s="549"/>
      <c r="M273" s="181"/>
      <c r="N273" s="181"/>
      <c r="O273" s="181"/>
      <c r="P273" s="156"/>
      <c r="Q273" s="562"/>
      <c r="R273" s="181"/>
      <c r="S273" s="181"/>
      <c r="T273" s="181"/>
      <c r="U273" s="179"/>
      <c r="V273" s="549"/>
      <c r="W273" s="181"/>
      <c r="X273" s="181"/>
      <c r="Y273" s="181"/>
      <c r="Z273" s="179"/>
      <c r="AA273" s="549"/>
      <c r="AB273" s="181"/>
      <c r="AC273" s="181"/>
      <c r="AD273" s="181"/>
      <c r="AE273" s="179"/>
      <c r="AF273" s="549"/>
      <c r="AG273" s="181"/>
      <c r="AH273" s="181"/>
      <c r="AI273" s="181"/>
      <c r="AJ273" s="179"/>
      <c r="AK273" s="549"/>
      <c r="AL273" s="181"/>
      <c r="AM273" s="181"/>
      <c r="AN273" s="181"/>
      <c r="AO273" s="179"/>
      <c r="AP273" s="549"/>
      <c r="AQ273" s="181"/>
      <c r="AR273" s="181"/>
      <c r="AS273" s="181"/>
      <c r="AT273" s="528"/>
      <c r="AU273" s="528"/>
      <c r="AV273" s="528"/>
      <c r="AW273" s="528"/>
      <c r="AX273" s="528"/>
      <c r="AY273" s="528"/>
      <c r="AZ273" s="528"/>
      <c r="BA273" s="528"/>
      <c r="BB273" s="528"/>
      <c r="BC273" s="528"/>
      <c r="BD273" s="528"/>
      <c r="BE273" s="528"/>
      <c r="BF273" s="528"/>
      <c r="BG273" s="528"/>
      <c r="BH273" s="528"/>
    </row>
    <row r="274">
      <c r="A274" s="179"/>
      <c r="B274" s="549"/>
      <c r="C274" s="181"/>
      <c r="D274" s="181"/>
      <c r="E274" s="181"/>
      <c r="F274" s="179"/>
      <c r="G274" s="549"/>
      <c r="H274" s="181"/>
      <c r="I274" s="181"/>
      <c r="J274" s="181"/>
      <c r="K274" s="156"/>
      <c r="L274" s="549"/>
      <c r="M274" s="181"/>
      <c r="N274" s="181"/>
      <c r="O274" s="181"/>
      <c r="P274" s="156"/>
      <c r="Q274" s="562"/>
      <c r="R274" s="181"/>
      <c r="S274" s="181"/>
      <c r="T274" s="181"/>
      <c r="U274" s="179"/>
      <c r="V274" s="549"/>
      <c r="W274" s="181"/>
      <c r="X274" s="181"/>
      <c r="Y274" s="181"/>
      <c r="Z274" s="179"/>
      <c r="AA274" s="549"/>
      <c r="AB274" s="181"/>
      <c r="AC274" s="181"/>
      <c r="AD274" s="181"/>
      <c r="AE274" s="179"/>
      <c r="AF274" s="549"/>
      <c r="AG274" s="181"/>
      <c r="AH274" s="181"/>
      <c r="AI274" s="181"/>
      <c r="AJ274" s="179"/>
      <c r="AK274" s="549"/>
      <c r="AL274" s="181"/>
      <c r="AM274" s="181"/>
      <c r="AN274" s="181"/>
      <c r="AO274" s="179"/>
      <c r="AP274" s="549"/>
      <c r="AQ274" s="181"/>
      <c r="AR274" s="181"/>
      <c r="AS274" s="181"/>
      <c r="AT274" s="528"/>
      <c r="AU274" s="528"/>
      <c r="AV274" s="528"/>
      <c r="AW274" s="528"/>
      <c r="AX274" s="528"/>
      <c r="AY274" s="528"/>
      <c r="AZ274" s="528"/>
      <c r="BA274" s="528"/>
      <c r="BB274" s="528"/>
      <c r="BC274" s="528"/>
      <c r="BD274" s="528"/>
      <c r="BE274" s="528"/>
      <c r="BF274" s="528"/>
      <c r="BG274" s="528"/>
      <c r="BH274" s="528"/>
    </row>
    <row r="275">
      <c r="A275" s="179"/>
      <c r="B275" s="549"/>
      <c r="C275" s="181"/>
      <c r="D275" s="181"/>
      <c r="E275" s="181"/>
      <c r="F275" s="179"/>
      <c r="G275" s="549"/>
      <c r="H275" s="181"/>
      <c r="I275" s="181"/>
      <c r="J275" s="181"/>
      <c r="K275" s="156"/>
      <c r="L275" s="549"/>
      <c r="M275" s="181"/>
      <c r="N275" s="181"/>
      <c r="O275" s="181"/>
      <c r="P275" s="156"/>
      <c r="Q275" s="562"/>
      <c r="R275" s="181"/>
      <c r="S275" s="181"/>
      <c r="T275" s="181"/>
      <c r="U275" s="179"/>
      <c r="V275" s="549"/>
      <c r="W275" s="181"/>
      <c r="X275" s="181"/>
      <c r="Y275" s="181"/>
      <c r="Z275" s="179"/>
      <c r="AA275" s="549"/>
      <c r="AB275" s="181"/>
      <c r="AC275" s="181"/>
      <c r="AD275" s="181"/>
      <c r="AE275" s="179"/>
      <c r="AF275" s="549"/>
      <c r="AG275" s="181"/>
      <c r="AH275" s="181"/>
      <c r="AI275" s="181"/>
      <c r="AJ275" s="179"/>
      <c r="AK275" s="549"/>
      <c r="AL275" s="181"/>
      <c r="AM275" s="181"/>
      <c r="AN275" s="181"/>
      <c r="AO275" s="179"/>
      <c r="AP275" s="549"/>
      <c r="AQ275" s="181"/>
      <c r="AR275" s="181"/>
      <c r="AS275" s="181"/>
      <c r="AT275" s="528"/>
      <c r="AU275" s="528"/>
      <c r="AV275" s="528"/>
      <c r="AW275" s="528"/>
      <c r="AX275" s="528"/>
      <c r="AY275" s="528"/>
      <c r="AZ275" s="528"/>
      <c r="BA275" s="528"/>
      <c r="BB275" s="528"/>
      <c r="BC275" s="528"/>
      <c r="BD275" s="528"/>
      <c r="BE275" s="528"/>
      <c r="BF275" s="528"/>
      <c r="BG275" s="528"/>
      <c r="BH275" s="528"/>
    </row>
    <row r="276">
      <c r="A276" s="179"/>
      <c r="B276" s="549"/>
      <c r="C276" s="181"/>
      <c r="D276" s="181"/>
      <c r="E276" s="181"/>
      <c r="F276" s="179"/>
      <c r="G276" s="549"/>
      <c r="H276" s="181"/>
      <c r="I276" s="181"/>
      <c r="J276" s="181"/>
      <c r="K276" s="156"/>
      <c r="L276" s="549"/>
      <c r="M276" s="181"/>
      <c r="N276" s="181"/>
      <c r="O276" s="181"/>
      <c r="P276" s="156"/>
      <c r="Q276" s="562"/>
      <c r="R276" s="181"/>
      <c r="S276" s="181"/>
      <c r="T276" s="181"/>
      <c r="U276" s="179"/>
      <c r="V276" s="549"/>
      <c r="W276" s="181"/>
      <c r="X276" s="181"/>
      <c r="Y276" s="181"/>
      <c r="Z276" s="179"/>
      <c r="AA276" s="549"/>
      <c r="AB276" s="181"/>
      <c r="AC276" s="181"/>
      <c r="AD276" s="181"/>
      <c r="AE276" s="179"/>
      <c r="AF276" s="549"/>
      <c r="AG276" s="181"/>
      <c r="AH276" s="181"/>
      <c r="AI276" s="181"/>
      <c r="AJ276" s="179"/>
      <c r="AK276" s="549"/>
      <c r="AL276" s="181"/>
      <c r="AM276" s="181"/>
      <c r="AN276" s="181"/>
      <c r="AO276" s="179"/>
      <c r="AP276" s="549"/>
      <c r="AQ276" s="181"/>
      <c r="AR276" s="181"/>
      <c r="AS276" s="181"/>
      <c r="AT276" s="528"/>
      <c r="AU276" s="528"/>
      <c r="AV276" s="528"/>
      <c r="AW276" s="528"/>
      <c r="AX276" s="528"/>
      <c r="AY276" s="528"/>
      <c r="AZ276" s="528"/>
      <c r="BA276" s="528"/>
      <c r="BB276" s="528"/>
      <c r="BC276" s="528"/>
      <c r="BD276" s="528"/>
      <c r="BE276" s="528"/>
      <c r="BF276" s="528"/>
      <c r="BG276" s="528"/>
      <c r="BH276" s="528"/>
    </row>
    <row r="277">
      <c r="A277" s="179"/>
      <c r="B277" s="549"/>
      <c r="C277" s="181"/>
      <c r="D277" s="181"/>
      <c r="E277" s="181"/>
      <c r="F277" s="179"/>
      <c r="G277" s="549"/>
      <c r="H277" s="181"/>
      <c r="I277" s="181"/>
      <c r="J277" s="181"/>
      <c r="K277" s="156"/>
      <c r="L277" s="549"/>
      <c r="M277" s="181"/>
      <c r="N277" s="181"/>
      <c r="O277" s="181"/>
      <c r="P277" s="156"/>
      <c r="Q277" s="562"/>
      <c r="R277" s="181"/>
      <c r="S277" s="181"/>
      <c r="T277" s="181"/>
      <c r="U277" s="179"/>
      <c r="V277" s="549"/>
      <c r="W277" s="181"/>
      <c r="X277" s="181"/>
      <c r="Y277" s="181"/>
      <c r="Z277" s="179"/>
      <c r="AA277" s="549"/>
      <c r="AB277" s="181"/>
      <c r="AC277" s="181"/>
      <c r="AD277" s="181"/>
      <c r="AE277" s="179"/>
      <c r="AF277" s="549"/>
      <c r="AG277" s="181"/>
      <c r="AH277" s="181"/>
      <c r="AI277" s="181"/>
      <c r="AJ277" s="179"/>
      <c r="AK277" s="549"/>
      <c r="AL277" s="181"/>
      <c r="AM277" s="181"/>
      <c r="AN277" s="181"/>
      <c r="AO277" s="179"/>
      <c r="AP277" s="549"/>
      <c r="AQ277" s="181"/>
      <c r="AR277" s="181"/>
      <c r="AS277" s="181"/>
      <c r="AT277" s="528"/>
      <c r="AU277" s="528"/>
      <c r="AV277" s="528"/>
      <c r="AW277" s="528"/>
      <c r="AX277" s="528"/>
      <c r="AY277" s="528"/>
      <c r="AZ277" s="528"/>
      <c r="BA277" s="528"/>
      <c r="BB277" s="528"/>
      <c r="BC277" s="528"/>
      <c r="BD277" s="528"/>
      <c r="BE277" s="528"/>
      <c r="BF277" s="528"/>
      <c r="BG277" s="528"/>
      <c r="BH277" s="528"/>
    </row>
    <row r="278">
      <c r="A278" s="179"/>
      <c r="B278" s="549"/>
      <c r="C278" s="181"/>
      <c r="D278" s="181"/>
      <c r="E278" s="181"/>
      <c r="F278" s="179"/>
      <c r="G278" s="549"/>
      <c r="H278" s="181"/>
      <c r="I278" s="181"/>
      <c r="J278" s="181"/>
      <c r="K278" s="156"/>
      <c r="L278" s="549"/>
      <c r="M278" s="181"/>
      <c r="N278" s="181"/>
      <c r="O278" s="181"/>
      <c r="P278" s="156"/>
      <c r="Q278" s="562"/>
      <c r="R278" s="181"/>
      <c r="S278" s="181"/>
      <c r="T278" s="181"/>
      <c r="U278" s="179"/>
      <c r="V278" s="549"/>
      <c r="W278" s="181"/>
      <c r="X278" s="181"/>
      <c r="Y278" s="181"/>
      <c r="Z278" s="179"/>
      <c r="AA278" s="549"/>
      <c r="AB278" s="181"/>
      <c r="AC278" s="181"/>
      <c r="AD278" s="181"/>
      <c r="AE278" s="179"/>
      <c r="AF278" s="549"/>
      <c r="AG278" s="181"/>
      <c r="AH278" s="181"/>
      <c r="AI278" s="181"/>
      <c r="AJ278" s="179"/>
      <c r="AK278" s="549"/>
      <c r="AL278" s="181"/>
      <c r="AM278" s="181"/>
      <c r="AN278" s="181"/>
      <c r="AO278" s="179"/>
      <c r="AP278" s="549"/>
      <c r="AQ278" s="181"/>
      <c r="AR278" s="181"/>
      <c r="AS278" s="181"/>
      <c r="AT278" s="528"/>
      <c r="AU278" s="528"/>
      <c r="AV278" s="528"/>
      <c r="AW278" s="528"/>
      <c r="AX278" s="528"/>
      <c r="AY278" s="528"/>
      <c r="AZ278" s="528"/>
      <c r="BA278" s="528"/>
      <c r="BB278" s="528"/>
      <c r="BC278" s="528"/>
      <c r="BD278" s="528"/>
      <c r="BE278" s="528"/>
      <c r="BF278" s="528"/>
      <c r="BG278" s="528"/>
      <c r="BH278" s="528"/>
    </row>
    <row r="279">
      <c r="A279" s="179"/>
      <c r="B279" s="549"/>
      <c r="C279" s="181"/>
      <c r="D279" s="181"/>
      <c r="E279" s="181"/>
      <c r="F279" s="179"/>
      <c r="G279" s="549"/>
      <c r="H279" s="181"/>
      <c r="I279" s="181"/>
      <c r="J279" s="181"/>
      <c r="K279" s="156"/>
      <c r="L279" s="549"/>
      <c r="M279" s="181"/>
      <c r="N279" s="181"/>
      <c r="O279" s="181"/>
      <c r="P279" s="156"/>
      <c r="Q279" s="562"/>
      <c r="R279" s="181"/>
      <c r="S279" s="181"/>
      <c r="T279" s="181"/>
      <c r="U279" s="179"/>
      <c r="V279" s="549"/>
      <c r="W279" s="181"/>
      <c r="X279" s="181"/>
      <c r="Y279" s="181"/>
      <c r="Z279" s="179"/>
      <c r="AA279" s="549"/>
      <c r="AB279" s="181"/>
      <c r="AC279" s="181"/>
      <c r="AD279" s="181"/>
      <c r="AE279" s="179"/>
      <c r="AF279" s="549"/>
      <c r="AG279" s="181"/>
      <c r="AH279" s="181"/>
      <c r="AI279" s="181"/>
      <c r="AJ279" s="179"/>
      <c r="AK279" s="549"/>
      <c r="AL279" s="181"/>
      <c r="AM279" s="181"/>
      <c r="AN279" s="181"/>
      <c r="AO279" s="179"/>
      <c r="AP279" s="549"/>
      <c r="AQ279" s="181"/>
      <c r="AR279" s="181"/>
      <c r="AS279" s="181"/>
      <c r="AT279" s="528"/>
      <c r="AU279" s="528"/>
      <c r="AV279" s="528"/>
      <c r="AW279" s="528"/>
      <c r="AX279" s="528"/>
      <c r="AY279" s="528"/>
      <c r="AZ279" s="528"/>
      <c r="BA279" s="528"/>
      <c r="BB279" s="528"/>
      <c r="BC279" s="528"/>
      <c r="BD279" s="528"/>
      <c r="BE279" s="528"/>
      <c r="BF279" s="528"/>
      <c r="BG279" s="528"/>
      <c r="BH279" s="528"/>
    </row>
    <row r="280">
      <c r="A280" s="179"/>
      <c r="B280" s="549"/>
      <c r="C280" s="181"/>
      <c r="D280" s="181"/>
      <c r="E280" s="181"/>
      <c r="F280" s="179"/>
      <c r="G280" s="549"/>
      <c r="H280" s="181"/>
      <c r="I280" s="181"/>
      <c r="J280" s="181"/>
      <c r="K280" s="156"/>
      <c r="L280" s="549"/>
      <c r="M280" s="181"/>
      <c r="N280" s="181"/>
      <c r="O280" s="181"/>
      <c r="P280" s="156"/>
      <c r="Q280" s="562"/>
      <c r="R280" s="181"/>
      <c r="S280" s="181"/>
      <c r="T280" s="181"/>
      <c r="U280" s="179"/>
      <c r="V280" s="549"/>
      <c r="W280" s="181"/>
      <c r="X280" s="181"/>
      <c r="Y280" s="181"/>
      <c r="Z280" s="179"/>
      <c r="AA280" s="549"/>
      <c r="AB280" s="181"/>
      <c r="AC280" s="181"/>
      <c r="AD280" s="181"/>
      <c r="AE280" s="179"/>
      <c r="AF280" s="549"/>
      <c r="AG280" s="181"/>
      <c r="AH280" s="181"/>
      <c r="AI280" s="181"/>
      <c r="AJ280" s="179"/>
      <c r="AK280" s="549"/>
      <c r="AL280" s="181"/>
      <c r="AM280" s="181"/>
      <c r="AN280" s="181"/>
      <c r="AO280" s="179"/>
      <c r="AP280" s="549"/>
      <c r="AQ280" s="181"/>
      <c r="AR280" s="181"/>
      <c r="AS280" s="181"/>
      <c r="AT280" s="528"/>
      <c r="AU280" s="528"/>
      <c r="AV280" s="528"/>
      <c r="AW280" s="528"/>
      <c r="AX280" s="528"/>
      <c r="AY280" s="528"/>
      <c r="AZ280" s="528"/>
      <c r="BA280" s="528"/>
      <c r="BB280" s="528"/>
      <c r="BC280" s="528"/>
      <c r="BD280" s="528"/>
      <c r="BE280" s="528"/>
      <c r="BF280" s="528"/>
      <c r="BG280" s="528"/>
      <c r="BH280" s="528"/>
    </row>
    <row r="281">
      <c r="A281" s="179"/>
      <c r="B281" s="549"/>
      <c r="C281" s="181"/>
      <c r="D281" s="181"/>
      <c r="E281" s="181"/>
      <c r="F281" s="179"/>
      <c r="G281" s="549"/>
      <c r="H281" s="181"/>
      <c r="I281" s="181"/>
      <c r="J281" s="181"/>
      <c r="K281" s="156"/>
      <c r="L281" s="549"/>
      <c r="M281" s="181"/>
      <c r="N281" s="181"/>
      <c r="O281" s="181"/>
      <c r="P281" s="156"/>
      <c r="Q281" s="562"/>
      <c r="R281" s="181"/>
      <c r="S281" s="181"/>
      <c r="T281" s="181"/>
      <c r="U281" s="179"/>
      <c r="V281" s="549"/>
      <c r="W281" s="181"/>
      <c r="X281" s="181"/>
      <c r="Y281" s="181"/>
      <c r="Z281" s="179"/>
      <c r="AA281" s="549"/>
      <c r="AB281" s="181"/>
      <c r="AC281" s="181"/>
      <c r="AD281" s="181"/>
      <c r="AE281" s="179"/>
      <c r="AF281" s="549"/>
      <c r="AG281" s="181"/>
      <c r="AH281" s="181"/>
      <c r="AI281" s="181"/>
      <c r="AJ281" s="179"/>
      <c r="AK281" s="549"/>
      <c r="AL281" s="181"/>
      <c r="AM281" s="181"/>
      <c r="AN281" s="181"/>
      <c r="AO281" s="179"/>
      <c r="AP281" s="549"/>
      <c r="AQ281" s="181"/>
      <c r="AR281" s="181"/>
      <c r="AS281" s="181"/>
      <c r="AT281" s="528"/>
      <c r="AU281" s="528"/>
      <c r="AV281" s="528"/>
      <c r="AW281" s="528"/>
      <c r="AX281" s="528"/>
      <c r="AY281" s="528"/>
      <c r="AZ281" s="528"/>
      <c r="BA281" s="528"/>
      <c r="BB281" s="528"/>
      <c r="BC281" s="528"/>
      <c r="BD281" s="528"/>
      <c r="BE281" s="528"/>
      <c r="BF281" s="528"/>
      <c r="BG281" s="528"/>
      <c r="BH281" s="528"/>
    </row>
    <row r="282">
      <c r="A282" s="179"/>
      <c r="B282" s="549"/>
      <c r="C282" s="181"/>
      <c r="D282" s="181"/>
      <c r="E282" s="181"/>
      <c r="F282" s="179"/>
      <c r="G282" s="549"/>
      <c r="H282" s="181"/>
      <c r="I282" s="181"/>
      <c r="J282" s="181"/>
      <c r="K282" s="156"/>
      <c r="L282" s="549"/>
      <c r="M282" s="181"/>
      <c r="N282" s="181"/>
      <c r="O282" s="181"/>
      <c r="P282" s="156"/>
      <c r="Q282" s="562"/>
      <c r="R282" s="181"/>
      <c r="S282" s="181"/>
      <c r="T282" s="181"/>
      <c r="U282" s="179"/>
      <c r="V282" s="549"/>
      <c r="W282" s="181"/>
      <c r="X282" s="181"/>
      <c r="Y282" s="181"/>
      <c r="Z282" s="179"/>
      <c r="AA282" s="549"/>
      <c r="AB282" s="181"/>
      <c r="AC282" s="181"/>
      <c r="AD282" s="181"/>
      <c r="AE282" s="179"/>
      <c r="AF282" s="549"/>
      <c r="AG282" s="181"/>
      <c r="AH282" s="181"/>
      <c r="AI282" s="181"/>
      <c r="AJ282" s="179"/>
      <c r="AK282" s="549"/>
      <c r="AL282" s="181"/>
      <c r="AM282" s="181"/>
      <c r="AN282" s="181"/>
      <c r="AO282" s="179"/>
      <c r="AP282" s="549"/>
      <c r="AQ282" s="181"/>
      <c r="AR282" s="181"/>
      <c r="AS282" s="181"/>
      <c r="AT282" s="528"/>
      <c r="AU282" s="528"/>
      <c r="AV282" s="528"/>
      <c r="AW282" s="528"/>
      <c r="AX282" s="528"/>
      <c r="AY282" s="528"/>
      <c r="AZ282" s="528"/>
      <c r="BA282" s="528"/>
      <c r="BB282" s="528"/>
      <c r="BC282" s="528"/>
      <c r="BD282" s="528"/>
      <c r="BE282" s="528"/>
      <c r="BF282" s="528"/>
      <c r="BG282" s="528"/>
      <c r="BH282" s="528"/>
    </row>
    <row r="283">
      <c r="A283" s="179"/>
      <c r="B283" s="549"/>
      <c r="C283" s="181"/>
      <c r="D283" s="181"/>
      <c r="E283" s="181"/>
      <c r="F283" s="179"/>
      <c r="G283" s="549"/>
      <c r="H283" s="181"/>
      <c r="I283" s="181"/>
      <c r="J283" s="181"/>
      <c r="K283" s="156"/>
      <c r="L283" s="549"/>
      <c r="M283" s="181"/>
      <c r="N283" s="181"/>
      <c r="O283" s="181"/>
      <c r="P283" s="156"/>
      <c r="Q283" s="562"/>
      <c r="R283" s="181"/>
      <c r="S283" s="181"/>
      <c r="T283" s="181"/>
      <c r="U283" s="179"/>
      <c r="V283" s="549"/>
      <c r="W283" s="181"/>
      <c r="X283" s="181"/>
      <c r="Y283" s="181"/>
      <c r="Z283" s="179"/>
      <c r="AA283" s="549"/>
      <c r="AB283" s="181"/>
      <c r="AC283" s="181"/>
      <c r="AD283" s="181"/>
      <c r="AE283" s="179"/>
      <c r="AF283" s="549"/>
      <c r="AG283" s="181"/>
      <c r="AH283" s="181"/>
      <c r="AI283" s="181"/>
      <c r="AJ283" s="179"/>
      <c r="AK283" s="549"/>
      <c r="AL283" s="181"/>
      <c r="AM283" s="181"/>
      <c r="AN283" s="181"/>
      <c r="AO283" s="179"/>
      <c r="AP283" s="549"/>
      <c r="AQ283" s="181"/>
      <c r="AR283" s="181"/>
      <c r="AS283" s="181"/>
      <c r="AT283" s="528"/>
      <c r="AU283" s="528"/>
      <c r="AV283" s="528"/>
      <c r="AW283" s="528"/>
      <c r="AX283" s="528"/>
      <c r="AY283" s="528"/>
      <c r="AZ283" s="528"/>
      <c r="BA283" s="528"/>
      <c r="BB283" s="528"/>
      <c r="BC283" s="528"/>
      <c r="BD283" s="528"/>
      <c r="BE283" s="528"/>
      <c r="BF283" s="528"/>
      <c r="BG283" s="528"/>
      <c r="BH283" s="528"/>
    </row>
    <row r="284">
      <c r="A284" s="179"/>
      <c r="B284" s="549"/>
      <c r="C284" s="181"/>
      <c r="D284" s="181"/>
      <c r="E284" s="181"/>
      <c r="F284" s="179"/>
      <c r="G284" s="549"/>
      <c r="H284" s="181"/>
      <c r="I284" s="181"/>
      <c r="J284" s="181"/>
      <c r="K284" s="156"/>
      <c r="L284" s="549"/>
      <c r="M284" s="181"/>
      <c r="N284" s="181"/>
      <c r="O284" s="181"/>
      <c r="P284" s="156"/>
      <c r="Q284" s="562"/>
      <c r="R284" s="181"/>
      <c r="S284" s="181"/>
      <c r="T284" s="181"/>
      <c r="U284" s="179"/>
      <c r="V284" s="549"/>
      <c r="W284" s="181"/>
      <c r="X284" s="181"/>
      <c r="Y284" s="181"/>
      <c r="Z284" s="179"/>
      <c r="AA284" s="549"/>
      <c r="AB284" s="181"/>
      <c r="AC284" s="181"/>
      <c r="AD284" s="181"/>
      <c r="AE284" s="179"/>
      <c r="AF284" s="549"/>
      <c r="AG284" s="181"/>
      <c r="AH284" s="181"/>
      <c r="AI284" s="181"/>
      <c r="AJ284" s="179"/>
      <c r="AK284" s="549"/>
      <c r="AL284" s="181"/>
      <c r="AM284" s="181"/>
      <c r="AN284" s="181"/>
      <c r="AO284" s="179"/>
      <c r="AP284" s="549"/>
      <c r="AQ284" s="181"/>
      <c r="AR284" s="181"/>
      <c r="AS284" s="181"/>
      <c r="AT284" s="528"/>
      <c r="AU284" s="528"/>
      <c r="AV284" s="528"/>
      <c r="AW284" s="528"/>
      <c r="AX284" s="528"/>
      <c r="AY284" s="528"/>
      <c r="AZ284" s="528"/>
      <c r="BA284" s="528"/>
      <c r="BB284" s="528"/>
      <c r="BC284" s="528"/>
      <c r="BD284" s="528"/>
      <c r="BE284" s="528"/>
      <c r="BF284" s="528"/>
      <c r="BG284" s="528"/>
      <c r="BH284" s="528"/>
    </row>
    <row r="285">
      <c r="A285" s="179"/>
      <c r="B285" s="549"/>
      <c r="C285" s="181"/>
      <c r="D285" s="181"/>
      <c r="E285" s="181"/>
      <c r="F285" s="179"/>
      <c r="G285" s="549"/>
      <c r="H285" s="181"/>
      <c r="I285" s="181"/>
      <c r="J285" s="181"/>
      <c r="K285" s="156"/>
      <c r="L285" s="549"/>
      <c r="M285" s="181"/>
      <c r="N285" s="181"/>
      <c r="O285" s="181"/>
      <c r="P285" s="156"/>
      <c r="Q285" s="562"/>
      <c r="R285" s="181"/>
      <c r="S285" s="181"/>
      <c r="T285" s="181"/>
      <c r="U285" s="179"/>
      <c r="V285" s="549"/>
      <c r="W285" s="181"/>
      <c r="X285" s="181"/>
      <c r="Y285" s="181"/>
      <c r="Z285" s="179"/>
      <c r="AA285" s="549"/>
      <c r="AB285" s="181"/>
      <c r="AC285" s="181"/>
      <c r="AD285" s="181"/>
      <c r="AE285" s="179"/>
      <c r="AF285" s="549"/>
      <c r="AG285" s="181"/>
      <c r="AH285" s="181"/>
      <c r="AI285" s="181"/>
      <c r="AJ285" s="179"/>
      <c r="AK285" s="549"/>
      <c r="AL285" s="181"/>
      <c r="AM285" s="181"/>
      <c r="AN285" s="181"/>
      <c r="AO285" s="179"/>
      <c r="AP285" s="549"/>
      <c r="AQ285" s="181"/>
      <c r="AR285" s="181"/>
      <c r="AS285" s="181"/>
      <c r="AT285" s="528"/>
      <c r="AU285" s="528"/>
      <c r="AV285" s="528"/>
      <c r="AW285" s="528"/>
      <c r="AX285" s="528"/>
      <c r="AY285" s="528"/>
      <c r="AZ285" s="528"/>
      <c r="BA285" s="528"/>
      <c r="BB285" s="528"/>
      <c r="BC285" s="528"/>
      <c r="BD285" s="528"/>
      <c r="BE285" s="528"/>
      <c r="BF285" s="528"/>
      <c r="BG285" s="528"/>
      <c r="BH285" s="528"/>
    </row>
    <row r="286">
      <c r="A286" s="179"/>
      <c r="B286" s="549"/>
      <c r="C286" s="181"/>
      <c r="D286" s="181"/>
      <c r="E286" s="181"/>
      <c r="F286" s="179"/>
      <c r="G286" s="549"/>
      <c r="H286" s="181"/>
      <c r="I286" s="181"/>
      <c r="J286" s="181"/>
      <c r="K286" s="156"/>
      <c r="L286" s="549"/>
      <c r="M286" s="181"/>
      <c r="N286" s="181"/>
      <c r="O286" s="181"/>
      <c r="P286" s="156"/>
      <c r="Q286" s="562"/>
      <c r="R286" s="181"/>
      <c r="S286" s="181"/>
      <c r="T286" s="181"/>
      <c r="U286" s="179"/>
      <c r="V286" s="549"/>
      <c r="W286" s="181"/>
      <c r="X286" s="181"/>
      <c r="Y286" s="181"/>
      <c r="Z286" s="179"/>
      <c r="AA286" s="549"/>
      <c r="AB286" s="181"/>
      <c r="AC286" s="181"/>
      <c r="AD286" s="181"/>
      <c r="AE286" s="179"/>
      <c r="AF286" s="549"/>
      <c r="AG286" s="181"/>
      <c r="AH286" s="181"/>
      <c r="AI286" s="181"/>
      <c r="AJ286" s="179"/>
      <c r="AK286" s="549"/>
      <c r="AL286" s="181"/>
      <c r="AM286" s="181"/>
      <c r="AN286" s="181"/>
      <c r="AO286" s="179"/>
      <c r="AP286" s="549"/>
      <c r="AQ286" s="181"/>
      <c r="AR286" s="181"/>
      <c r="AS286" s="181"/>
      <c r="AT286" s="528"/>
      <c r="AU286" s="528"/>
      <c r="AV286" s="528"/>
      <c r="AW286" s="528"/>
      <c r="AX286" s="528"/>
      <c r="AY286" s="528"/>
      <c r="AZ286" s="528"/>
      <c r="BA286" s="528"/>
      <c r="BB286" s="528"/>
      <c r="BC286" s="528"/>
      <c r="BD286" s="528"/>
      <c r="BE286" s="528"/>
      <c r="BF286" s="528"/>
      <c r="BG286" s="528"/>
      <c r="BH286" s="528"/>
    </row>
    <row r="287">
      <c r="A287" s="179"/>
      <c r="B287" s="549"/>
      <c r="C287" s="181"/>
      <c r="D287" s="181"/>
      <c r="E287" s="181"/>
      <c r="F287" s="179"/>
      <c r="G287" s="549"/>
      <c r="H287" s="181"/>
      <c r="I287" s="181"/>
      <c r="J287" s="181"/>
      <c r="K287" s="156"/>
      <c r="L287" s="549"/>
      <c r="M287" s="181"/>
      <c r="N287" s="181"/>
      <c r="O287" s="181"/>
      <c r="P287" s="156"/>
      <c r="Q287" s="562"/>
      <c r="R287" s="181"/>
      <c r="S287" s="181"/>
      <c r="T287" s="181"/>
      <c r="U287" s="179"/>
      <c r="V287" s="549"/>
      <c r="W287" s="181"/>
      <c r="X287" s="181"/>
      <c r="Y287" s="181"/>
      <c r="Z287" s="179"/>
      <c r="AA287" s="549"/>
      <c r="AB287" s="181"/>
      <c r="AC287" s="181"/>
      <c r="AD287" s="181"/>
      <c r="AE287" s="179"/>
      <c r="AF287" s="549"/>
      <c r="AG287" s="181"/>
      <c r="AH287" s="181"/>
      <c r="AI287" s="181"/>
      <c r="AJ287" s="179"/>
      <c r="AK287" s="549"/>
      <c r="AL287" s="181"/>
      <c r="AM287" s="181"/>
      <c r="AN287" s="181"/>
      <c r="AO287" s="179"/>
      <c r="AP287" s="549"/>
      <c r="AQ287" s="181"/>
      <c r="AR287" s="181"/>
      <c r="AS287" s="181"/>
      <c r="AT287" s="528"/>
      <c r="AU287" s="528"/>
      <c r="AV287" s="528"/>
      <c r="AW287" s="528"/>
      <c r="AX287" s="528"/>
      <c r="AY287" s="528"/>
      <c r="AZ287" s="528"/>
      <c r="BA287" s="528"/>
      <c r="BB287" s="528"/>
      <c r="BC287" s="528"/>
      <c r="BD287" s="528"/>
      <c r="BE287" s="528"/>
      <c r="BF287" s="528"/>
      <c r="BG287" s="528"/>
      <c r="BH287" s="528"/>
    </row>
    <row r="288">
      <c r="A288" s="179"/>
      <c r="B288" s="549"/>
      <c r="C288" s="181"/>
      <c r="D288" s="181"/>
      <c r="E288" s="181"/>
      <c r="F288" s="179"/>
      <c r="G288" s="549"/>
      <c r="H288" s="181"/>
      <c r="I288" s="181"/>
      <c r="J288" s="181"/>
      <c r="K288" s="156"/>
      <c r="L288" s="549"/>
      <c r="M288" s="181"/>
      <c r="N288" s="181"/>
      <c r="O288" s="181"/>
      <c r="P288" s="156"/>
      <c r="Q288" s="562"/>
      <c r="R288" s="181"/>
      <c r="S288" s="181"/>
      <c r="T288" s="181"/>
      <c r="U288" s="179"/>
      <c r="V288" s="549"/>
      <c r="W288" s="181"/>
      <c r="X288" s="181"/>
      <c r="Y288" s="181"/>
      <c r="Z288" s="179"/>
      <c r="AA288" s="549"/>
      <c r="AB288" s="181"/>
      <c r="AC288" s="181"/>
      <c r="AD288" s="181"/>
      <c r="AE288" s="179"/>
      <c r="AF288" s="549"/>
      <c r="AG288" s="181"/>
      <c r="AH288" s="181"/>
      <c r="AI288" s="181"/>
      <c r="AJ288" s="179"/>
      <c r="AK288" s="549"/>
      <c r="AL288" s="181"/>
      <c r="AM288" s="181"/>
      <c r="AN288" s="181"/>
      <c r="AO288" s="179"/>
      <c r="AP288" s="549"/>
      <c r="AQ288" s="181"/>
      <c r="AR288" s="181"/>
      <c r="AS288" s="181"/>
      <c r="AT288" s="528"/>
      <c r="AU288" s="528"/>
      <c r="AV288" s="528"/>
      <c r="AW288" s="528"/>
      <c r="AX288" s="528"/>
      <c r="AY288" s="528"/>
      <c r="AZ288" s="528"/>
      <c r="BA288" s="528"/>
      <c r="BB288" s="528"/>
      <c r="BC288" s="528"/>
      <c r="BD288" s="528"/>
      <c r="BE288" s="528"/>
      <c r="BF288" s="528"/>
      <c r="BG288" s="528"/>
      <c r="BH288" s="528"/>
    </row>
    <row r="289">
      <c r="A289" s="179"/>
      <c r="B289" s="549"/>
      <c r="C289" s="181"/>
      <c r="D289" s="181"/>
      <c r="E289" s="181"/>
      <c r="F289" s="179"/>
      <c r="G289" s="549"/>
      <c r="H289" s="181"/>
      <c r="I289" s="181"/>
      <c r="J289" s="181"/>
      <c r="K289" s="156"/>
      <c r="L289" s="549"/>
      <c r="M289" s="181"/>
      <c r="N289" s="181"/>
      <c r="O289" s="181"/>
      <c r="P289" s="156"/>
      <c r="Q289" s="562"/>
      <c r="R289" s="181"/>
      <c r="S289" s="181"/>
      <c r="T289" s="181"/>
      <c r="U289" s="179"/>
      <c r="V289" s="549"/>
      <c r="W289" s="181"/>
      <c r="X289" s="181"/>
      <c r="Y289" s="181"/>
      <c r="Z289" s="179"/>
      <c r="AA289" s="549"/>
      <c r="AB289" s="181"/>
      <c r="AC289" s="181"/>
      <c r="AD289" s="181"/>
      <c r="AE289" s="179"/>
      <c r="AF289" s="549"/>
      <c r="AG289" s="181"/>
      <c r="AH289" s="181"/>
      <c r="AI289" s="181"/>
      <c r="AJ289" s="179"/>
      <c r="AK289" s="549"/>
      <c r="AL289" s="181"/>
      <c r="AM289" s="181"/>
      <c r="AN289" s="181"/>
      <c r="AO289" s="179"/>
      <c r="AP289" s="549"/>
      <c r="AQ289" s="181"/>
      <c r="AR289" s="181"/>
      <c r="AS289" s="181"/>
      <c r="AT289" s="528"/>
      <c r="AU289" s="528"/>
      <c r="AV289" s="528"/>
      <c r="AW289" s="528"/>
      <c r="AX289" s="528"/>
      <c r="AY289" s="528"/>
      <c r="AZ289" s="528"/>
      <c r="BA289" s="528"/>
      <c r="BB289" s="528"/>
      <c r="BC289" s="528"/>
      <c r="BD289" s="528"/>
      <c r="BE289" s="528"/>
      <c r="BF289" s="528"/>
      <c r="BG289" s="528"/>
      <c r="BH289" s="528"/>
    </row>
    <row r="290">
      <c r="A290" s="179"/>
      <c r="B290" s="549"/>
      <c r="C290" s="181"/>
      <c r="D290" s="181"/>
      <c r="E290" s="181"/>
      <c r="F290" s="179"/>
      <c r="G290" s="549"/>
      <c r="H290" s="181"/>
      <c r="I290" s="181"/>
      <c r="J290" s="181"/>
      <c r="K290" s="156"/>
      <c r="L290" s="549"/>
      <c r="M290" s="181"/>
      <c r="N290" s="181"/>
      <c r="O290" s="181"/>
      <c r="P290" s="156"/>
      <c r="Q290" s="562"/>
      <c r="R290" s="181"/>
      <c r="S290" s="181"/>
      <c r="T290" s="181"/>
      <c r="U290" s="179"/>
      <c r="V290" s="549"/>
      <c r="W290" s="181"/>
      <c r="X290" s="181"/>
      <c r="Y290" s="181"/>
      <c r="Z290" s="179"/>
      <c r="AA290" s="549"/>
      <c r="AB290" s="181"/>
      <c r="AC290" s="181"/>
      <c r="AD290" s="181"/>
      <c r="AE290" s="179"/>
      <c r="AF290" s="549"/>
      <c r="AG290" s="181"/>
      <c r="AH290" s="181"/>
      <c r="AI290" s="181"/>
      <c r="AJ290" s="179"/>
      <c r="AK290" s="549"/>
      <c r="AL290" s="181"/>
      <c r="AM290" s="181"/>
      <c r="AN290" s="181"/>
      <c r="AO290" s="179"/>
      <c r="AP290" s="549"/>
      <c r="AQ290" s="181"/>
      <c r="AR290" s="181"/>
      <c r="AS290" s="181"/>
      <c r="AT290" s="528"/>
      <c r="AU290" s="528"/>
      <c r="AV290" s="528"/>
      <c r="AW290" s="528"/>
      <c r="AX290" s="528"/>
      <c r="AY290" s="528"/>
      <c r="AZ290" s="528"/>
      <c r="BA290" s="528"/>
      <c r="BB290" s="528"/>
      <c r="BC290" s="528"/>
      <c r="BD290" s="528"/>
      <c r="BE290" s="528"/>
      <c r="BF290" s="528"/>
      <c r="BG290" s="528"/>
      <c r="BH290" s="528"/>
    </row>
    <row r="291">
      <c r="A291" s="179"/>
      <c r="B291" s="549"/>
      <c r="C291" s="181"/>
      <c r="D291" s="181"/>
      <c r="E291" s="181"/>
      <c r="F291" s="179"/>
      <c r="G291" s="549"/>
      <c r="H291" s="181"/>
      <c r="I291" s="181"/>
      <c r="J291" s="181"/>
      <c r="K291" s="156"/>
      <c r="L291" s="549"/>
      <c r="M291" s="181"/>
      <c r="N291" s="181"/>
      <c r="O291" s="181"/>
      <c r="P291" s="156"/>
      <c r="Q291" s="562"/>
      <c r="R291" s="181"/>
      <c r="S291" s="181"/>
      <c r="T291" s="181"/>
      <c r="U291" s="179"/>
      <c r="V291" s="549"/>
      <c r="W291" s="181"/>
      <c r="X291" s="181"/>
      <c r="Y291" s="181"/>
      <c r="Z291" s="179"/>
      <c r="AA291" s="549"/>
      <c r="AB291" s="181"/>
      <c r="AC291" s="181"/>
      <c r="AD291" s="181"/>
      <c r="AE291" s="179"/>
      <c r="AF291" s="549"/>
      <c r="AG291" s="181"/>
      <c r="AH291" s="181"/>
      <c r="AI291" s="181"/>
      <c r="AJ291" s="179"/>
      <c r="AK291" s="549"/>
      <c r="AL291" s="181"/>
      <c r="AM291" s="181"/>
      <c r="AN291" s="181"/>
      <c r="AO291" s="179"/>
      <c r="AP291" s="549"/>
      <c r="AQ291" s="181"/>
      <c r="AR291" s="181"/>
      <c r="AS291" s="181"/>
      <c r="AT291" s="528"/>
      <c r="AU291" s="528"/>
      <c r="AV291" s="528"/>
      <c r="AW291" s="528"/>
      <c r="AX291" s="528"/>
      <c r="AY291" s="528"/>
      <c r="AZ291" s="528"/>
      <c r="BA291" s="528"/>
      <c r="BB291" s="528"/>
      <c r="BC291" s="528"/>
      <c r="BD291" s="528"/>
      <c r="BE291" s="528"/>
      <c r="BF291" s="528"/>
      <c r="BG291" s="528"/>
      <c r="BH291" s="528"/>
    </row>
    <row r="292">
      <c r="A292" s="179"/>
      <c r="B292" s="549"/>
      <c r="C292" s="181"/>
      <c r="D292" s="181"/>
      <c r="E292" s="181"/>
      <c r="F292" s="179"/>
      <c r="G292" s="549"/>
      <c r="H292" s="181"/>
      <c r="I292" s="181"/>
      <c r="J292" s="181"/>
      <c r="K292" s="156"/>
      <c r="L292" s="549"/>
      <c r="M292" s="181"/>
      <c r="N292" s="181"/>
      <c r="O292" s="181"/>
      <c r="P292" s="156"/>
      <c r="Q292" s="562"/>
      <c r="R292" s="181"/>
      <c r="S292" s="181"/>
      <c r="T292" s="181"/>
      <c r="U292" s="179"/>
      <c r="V292" s="549"/>
      <c r="W292" s="181"/>
      <c r="X292" s="181"/>
      <c r="Y292" s="181"/>
      <c r="Z292" s="179"/>
      <c r="AA292" s="549"/>
      <c r="AB292" s="181"/>
      <c r="AC292" s="181"/>
      <c r="AD292" s="181"/>
      <c r="AE292" s="179"/>
      <c r="AF292" s="549"/>
      <c r="AG292" s="181"/>
      <c r="AH292" s="181"/>
      <c r="AI292" s="181"/>
      <c r="AJ292" s="179"/>
      <c r="AK292" s="549"/>
      <c r="AL292" s="181"/>
      <c r="AM292" s="181"/>
      <c r="AN292" s="181"/>
      <c r="AO292" s="179"/>
      <c r="AP292" s="549"/>
      <c r="AQ292" s="181"/>
      <c r="AR292" s="181"/>
      <c r="AS292" s="181"/>
      <c r="AT292" s="528"/>
      <c r="AU292" s="528"/>
      <c r="AV292" s="528"/>
      <c r="AW292" s="528"/>
      <c r="AX292" s="528"/>
      <c r="AY292" s="528"/>
      <c r="AZ292" s="528"/>
      <c r="BA292" s="528"/>
      <c r="BB292" s="528"/>
      <c r="BC292" s="528"/>
      <c r="BD292" s="528"/>
      <c r="BE292" s="528"/>
      <c r="BF292" s="528"/>
      <c r="BG292" s="528"/>
      <c r="BH292" s="528"/>
    </row>
    <row r="293">
      <c r="A293" s="179"/>
      <c r="B293" s="549"/>
      <c r="C293" s="181"/>
      <c r="D293" s="181"/>
      <c r="E293" s="181"/>
      <c r="F293" s="179"/>
      <c r="G293" s="549"/>
      <c r="H293" s="181"/>
      <c r="I293" s="181"/>
      <c r="J293" s="181"/>
      <c r="K293" s="156"/>
      <c r="L293" s="549"/>
      <c r="M293" s="181"/>
      <c r="N293" s="181"/>
      <c r="O293" s="181"/>
      <c r="P293" s="156"/>
      <c r="Q293" s="562"/>
      <c r="R293" s="181"/>
      <c r="S293" s="181"/>
      <c r="T293" s="181"/>
      <c r="U293" s="179"/>
      <c r="V293" s="549"/>
      <c r="W293" s="181"/>
      <c r="X293" s="181"/>
      <c r="Y293" s="181"/>
      <c r="Z293" s="179"/>
      <c r="AA293" s="549"/>
      <c r="AB293" s="181"/>
      <c r="AC293" s="181"/>
      <c r="AD293" s="181"/>
      <c r="AE293" s="179"/>
      <c r="AF293" s="549"/>
      <c r="AG293" s="181"/>
      <c r="AH293" s="181"/>
      <c r="AI293" s="181"/>
      <c r="AJ293" s="179"/>
      <c r="AK293" s="549"/>
      <c r="AL293" s="181"/>
      <c r="AM293" s="181"/>
      <c r="AN293" s="181"/>
      <c r="AO293" s="179"/>
      <c r="AP293" s="549"/>
      <c r="AQ293" s="181"/>
      <c r="AR293" s="181"/>
      <c r="AS293" s="181"/>
      <c r="AT293" s="528"/>
      <c r="AU293" s="528"/>
      <c r="AV293" s="528"/>
      <c r="AW293" s="528"/>
      <c r="AX293" s="528"/>
      <c r="AY293" s="528"/>
      <c r="AZ293" s="528"/>
      <c r="BA293" s="528"/>
      <c r="BB293" s="528"/>
      <c r="BC293" s="528"/>
      <c r="BD293" s="528"/>
      <c r="BE293" s="528"/>
      <c r="BF293" s="528"/>
      <c r="BG293" s="528"/>
      <c r="BH293" s="528"/>
    </row>
    <row r="294">
      <c r="A294" s="179"/>
      <c r="B294" s="549"/>
      <c r="C294" s="181"/>
      <c r="D294" s="181"/>
      <c r="E294" s="181"/>
      <c r="F294" s="179"/>
      <c r="G294" s="549"/>
      <c r="H294" s="181"/>
      <c r="I294" s="181"/>
      <c r="J294" s="181"/>
      <c r="K294" s="156"/>
      <c r="L294" s="549"/>
      <c r="M294" s="181"/>
      <c r="N294" s="181"/>
      <c r="O294" s="181"/>
      <c r="P294" s="156"/>
      <c r="Q294" s="562"/>
      <c r="R294" s="181"/>
      <c r="S294" s="181"/>
      <c r="T294" s="181"/>
      <c r="U294" s="179"/>
      <c r="V294" s="549"/>
      <c r="W294" s="181"/>
      <c r="X294" s="181"/>
      <c r="Y294" s="181"/>
      <c r="Z294" s="179"/>
      <c r="AA294" s="549"/>
      <c r="AB294" s="181"/>
      <c r="AC294" s="181"/>
      <c r="AD294" s="181"/>
      <c r="AE294" s="179"/>
      <c r="AF294" s="549"/>
      <c r="AG294" s="181"/>
      <c r="AH294" s="181"/>
      <c r="AI294" s="181"/>
      <c r="AJ294" s="179"/>
      <c r="AK294" s="549"/>
      <c r="AL294" s="181"/>
      <c r="AM294" s="181"/>
      <c r="AN294" s="181"/>
      <c r="AO294" s="179"/>
      <c r="AP294" s="549"/>
      <c r="AQ294" s="181"/>
      <c r="AR294" s="181"/>
      <c r="AS294" s="181"/>
      <c r="AT294" s="528"/>
      <c r="AU294" s="528"/>
      <c r="AV294" s="528"/>
      <c r="AW294" s="528"/>
      <c r="AX294" s="528"/>
      <c r="AY294" s="528"/>
      <c r="AZ294" s="528"/>
      <c r="BA294" s="528"/>
      <c r="BB294" s="528"/>
      <c r="BC294" s="528"/>
      <c r="BD294" s="528"/>
      <c r="BE294" s="528"/>
      <c r="BF294" s="528"/>
      <c r="BG294" s="528"/>
      <c r="BH294" s="528"/>
    </row>
    <row r="295">
      <c r="A295" s="179"/>
      <c r="B295" s="549"/>
      <c r="C295" s="181"/>
      <c r="D295" s="181"/>
      <c r="E295" s="181"/>
      <c r="F295" s="179"/>
      <c r="G295" s="549"/>
      <c r="H295" s="181"/>
      <c r="I295" s="181"/>
      <c r="J295" s="181"/>
      <c r="K295" s="156"/>
      <c r="L295" s="549"/>
      <c r="M295" s="181"/>
      <c r="N295" s="181"/>
      <c r="O295" s="181"/>
      <c r="P295" s="156"/>
      <c r="Q295" s="562"/>
      <c r="R295" s="181"/>
      <c r="S295" s="181"/>
      <c r="T295" s="181"/>
      <c r="U295" s="179"/>
      <c r="V295" s="549"/>
      <c r="W295" s="181"/>
      <c r="X295" s="181"/>
      <c r="Y295" s="181"/>
      <c r="Z295" s="179"/>
      <c r="AA295" s="549"/>
      <c r="AB295" s="181"/>
      <c r="AC295" s="181"/>
      <c r="AD295" s="181"/>
      <c r="AE295" s="179"/>
      <c r="AF295" s="549"/>
      <c r="AG295" s="181"/>
      <c r="AH295" s="181"/>
      <c r="AI295" s="181"/>
      <c r="AJ295" s="179"/>
      <c r="AK295" s="549"/>
      <c r="AL295" s="181"/>
      <c r="AM295" s="181"/>
      <c r="AN295" s="181"/>
      <c r="AO295" s="179"/>
      <c r="AP295" s="549"/>
      <c r="AQ295" s="181"/>
      <c r="AR295" s="181"/>
      <c r="AS295" s="181"/>
      <c r="AT295" s="528"/>
      <c r="AU295" s="528"/>
      <c r="AV295" s="528"/>
      <c r="AW295" s="528"/>
      <c r="AX295" s="528"/>
      <c r="AY295" s="528"/>
      <c r="AZ295" s="528"/>
      <c r="BA295" s="528"/>
      <c r="BB295" s="528"/>
      <c r="BC295" s="528"/>
      <c r="BD295" s="528"/>
      <c r="BE295" s="528"/>
      <c r="BF295" s="528"/>
      <c r="BG295" s="528"/>
      <c r="BH295" s="528"/>
    </row>
    <row r="296">
      <c r="A296" s="179"/>
      <c r="B296" s="549"/>
      <c r="C296" s="181"/>
      <c r="D296" s="181"/>
      <c r="E296" s="181"/>
      <c r="F296" s="179"/>
      <c r="G296" s="549"/>
      <c r="H296" s="181"/>
      <c r="I296" s="181"/>
      <c r="J296" s="181"/>
      <c r="K296" s="156"/>
      <c r="L296" s="549"/>
      <c r="M296" s="181"/>
      <c r="N296" s="181"/>
      <c r="O296" s="181"/>
      <c r="P296" s="156"/>
      <c r="Q296" s="562"/>
      <c r="R296" s="181"/>
      <c r="S296" s="181"/>
      <c r="T296" s="181"/>
      <c r="U296" s="179"/>
      <c r="V296" s="549"/>
      <c r="W296" s="181"/>
      <c r="X296" s="181"/>
      <c r="Y296" s="181"/>
      <c r="Z296" s="179"/>
      <c r="AA296" s="549"/>
      <c r="AB296" s="181"/>
      <c r="AC296" s="181"/>
      <c r="AD296" s="181"/>
      <c r="AE296" s="179"/>
      <c r="AF296" s="549"/>
      <c r="AG296" s="181"/>
      <c r="AH296" s="181"/>
      <c r="AI296" s="181"/>
      <c r="AJ296" s="179"/>
      <c r="AK296" s="549"/>
      <c r="AL296" s="181"/>
      <c r="AM296" s="181"/>
      <c r="AN296" s="181"/>
      <c r="AO296" s="179"/>
      <c r="AP296" s="549"/>
      <c r="AQ296" s="181"/>
      <c r="AR296" s="181"/>
      <c r="AS296" s="181"/>
      <c r="AT296" s="528"/>
      <c r="AU296" s="528"/>
      <c r="AV296" s="528"/>
      <c r="AW296" s="528"/>
      <c r="AX296" s="528"/>
      <c r="AY296" s="528"/>
      <c r="AZ296" s="528"/>
      <c r="BA296" s="528"/>
      <c r="BB296" s="528"/>
      <c r="BC296" s="528"/>
      <c r="BD296" s="528"/>
      <c r="BE296" s="528"/>
      <c r="BF296" s="528"/>
      <c r="BG296" s="528"/>
      <c r="BH296" s="528"/>
    </row>
    <row r="297">
      <c r="A297" s="179"/>
      <c r="B297" s="549"/>
      <c r="C297" s="181"/>
      <c r="D297" s="181"/>
      <c r="E297" s="181"/>
      <c r="F297" s="179"/>
      <c r="G297" s="549"/>
      <c r="H297" s="181"/>
      <c r="I297" s="181"/>
      <c r="J297" s="181"/>
      <c r="K297" s="156"/>
      <c r="L297" s="549"/>
      <c r="M297" s="181"/>
      <c r="N297" s="181"/>
      <c r="O297" s="181"/>
      <c r="P297" s="156"/>
      <c r="Q297" s="562"/>
      <c r="R297" s="181"/>
      <c r="S297" s="181"/>
      <c r="T297" s="181"/>
      <c r="U297" s="179"/>
      <c r="V297" s="549"/>
      <c r="W297" s="181"/>
      <c r="X297" s="181"/>
      <c r="Y297" s="181"/>
      <c r="Z297" s="179"/>
      <c r="AA297" s="549"/>
      <c r="AB297" s="181"/>
      <c r="AC297" s="181"/>
      <c r="AD297" s="181"/>
      <c r="AE297" s="179"/>
      <c r="AF297" s="549"/>
      <c r="AG297" s="181"/>
      <c r="AH297" s="181"/>
      <c r="AI297" s="181"/>
      <c r="AJ297" s="179"/>
      <c r="AK297" s="549"/>
      <c r="AL297" s="181"/>
      <c r="AM297" s="181"/>
      <c r="AN297" s="181"/>
      <c r="AO297" s="179"/>
      <c r="AP297" s="549"/>
      <c r="AQ297" s="181"/>
      <c r="AR297" s="181"/>
      <c r="AS297" s="181"/>
      <c r="AT297" s="528"/>
      <c r="AU297" s="528"/>
      <c r="AV297" s="528"/>
      <c r="AW297" s="528"/>
      <c r="AX297" s="528"/>
      <c r="AY297" s="528"/>
      <c r="AZ297" s="528"/>
      <c r="BA297" s="528"/>
      <c r="BB297" s="528"/>
      <c r="BC297" s="528"/>
      <c r="BD297" s="528"/>
      <c r="BE297" s="528"/>
      <c r="BF297" s="528"/>
      <c r="BG297" s="528"/>
      <c r="BH297" s="528"/>
    </row>
    <row r="298">
      <c r="A298" s="179"/>
      <c r="B298" s="549"/>
      <c r="C298" s="181"/>
      <c r="D298" s="181"/>
      <c r="E298" s="181"/>
      <c r="F298" s="179"/>
      <c r="G298" s="549"/>
      <c r="H298" s="181"/>
      <c r="I298" s="181"/>
      <c r="J298" s="181"/>
      <c r="K298" s="156"/>
      <c r="L298" s="549"/>
      <c r="M298" s="181"/>
      <c r="N298" s="181"/>
      <c r="O298" s="181"/>
      <c r="P298" s="156"/>
      <c r="Q298" s="562"/>
      <c r="R298" s="181"/>
      <c r="S298" s="181"/>
      <c r="T298" s="181"/>
      <c r="U298" s="179"/>
      <c r="V298" s="549"/>
      <c r="W298" s="181"/>
      <c r="X298" s="181"/>
      <c r="Y298" s="181"/>
      <c r="Z298" s="179"/>
      <c r="AA298" s="549"/>
      <c r="AB298" s="181"/>
      <c r="AC298" s="181"/>
      <c r="AD298" s="181"/>
      <c r="AE298" s="179"/>
      <c r="AF298" s="549"/>
      <c r="AG298" s="181"/>
      <c r="AH298" s="181"/>
      <c r="AI298" s="181"/>
      <c r="AJ298" s="179"/>
      <c r="AK298" s="549"/>
      <c r="AL298" s="181"/>
      <c r="AM298" s="181"/>
      <c r="AN298" s="181"/>
      <c r="AO298" s="179"/>
      <c r="AP298" s="549"/>
      <c r="AQ298" s="181"/>
      <c r="AR298" s="181"/>
      <c r="AS298" s="181"/>
      <c r="AT298" s="528"/>
      <c r="AU298" s="528"/>
      <c r="AV298" s="528"/>
      <c r="AW298" s="528"/>
      <c r="AX298" s="528"/>
      <c r="AY298" s="528"/>
      <c r="AZ298" s="528"/>
      <c r="BA298" s="528"/>
      <c r="BB298" s="528"/>
      <c r="BC298" s="528"/>
      <c r="BD298" s="528"/>
      <c r="BE298" s="528"/>
      <c r="BF298" s="528"/>
      <c r="BG298" s="528"/>
      <c r="BH298" s="528"/>
    </row>
    <row r="299">
      <c r="A299" s="179"/>
      <c r="B299" s="549"/>
      <c r="C299" s="181"/>
      <c r="D299" s="181"/>
      <c r="E299" s="181"/>
      <c r="F299" s="179"/>
      <c r="G299" s="549"/>
      <c r="H299" s="181"/>
      <c r="I299" s="181"/>
      <c r="J299" s="181"/>
      <c r="K299" s="156"/>
      <c r="L299" s="549"/>
      <c r="M299" s="181"/>
      <c r="N299" s="181"/>
      <c r="O299" s="181"/>
      <c r="P299" s="156"/>
      <c r="Q299" s="562"/>
      <c r="R299" s="181"/>
      <c r="S299" s="181"/>
      <c r="T299" s="181"/>
      <c r="U299" s="179"/>
      <c r="V299" s="549"/>
      <c r="W299" s="181"/>
      <c r="X299" s="181"/>
      <c r="Y299" s="181"/>
      <c r="Z299" s="179"/>
      <c r="AA299" s="549"/>
      <c r="AB299" s="181"/>
      <c r="AC299" s="181"/>
      <c r="AD299" s="181"/>
      <c r="AE299" s="179"/>
      <c r="AF299" s="549"/>
      <c r="AG299" s="181"/>
      <c r="AH299" s="181"/>
      <c r="AI299" s="181"/>
      <c r="AJ299" s="179"/>
      <c r="AK299" s="549"/>
      <c r="AL299" s="181"/>
      <c r="AM299" s="181"/>
      <c r="AN299" s="181"/>
      <c r="AO299" s="179"/>
      <c r="AP299" s="549"/>
      <c r="AQ299" s="181"/>
      <c r="AR299" s="181"/>
      <c r="AS299" s="181"/>
      <c r="AT299" s="528"/>
      <c r="AU299" s="528"/>
      <c r="AV299" s="528"/>
      <c r="AW299" s="528"/>
      <c r="AX299" s="528"/>
      <c r="AY299" s="528"/>
      <c r="AZ299" s="528"/>
      <c r="BA299" s="528"/>
      <c r="BB299" s="528"/>
      <c r="BC299" s="528"/>
      <c r="BD299" s="528"/>
      <c r="BE299" s="528"/>
      <c r="BF299" s="528"/>
      <c r="BG299" s="528"/>
      <c r="BH299" s="528"/>
    </row>
    <row r="300">
      <c r="A300" s="179"/>
      <c r="B300" s="549"/>
      <c r="C300" s="181"/>
      <c r="D300" s="181"/>
      <c r="E300" s="181"/>
      <c r="F300" s="179"/>
      <c r="G300" s="549"/>
      <c r="H300" s="181"/>
      <c r="I300" s="181"/>
      <c r="J300" s="181"/>
      <c r="K300" s="156"/>
      <c r="L300" s="549"/>
      <c r="M300" s="181"/>
      <c r="N300" s="181"/>
      <c r="O300" s="181"/>
      <c r="P300" s="156"/>
      <c r="Q300" s="562"/>
      <c r="R300" s="181"/>
      <c r="S300" s="181"/>
      <c r="T300" s="181"/>
      <c r="U300" s="179"/>
      <c r="V300" s="549"/>
      <c r="W300" s="181"/>
      <c r="X300" s="181"/>
      <c r="Y300" s="181"/>
      <c r="Z300" s="179"/>
      <c r="AA300" s="549"/>
      <c r="AB300" s="181"/>
      <c r="AC300" s="181"/>
      <c r="AD300" s="181"/>
      <c r="AE300" s="179"/>
      <c r="AF300" s="549"/>
      <c r="AG300" s="181"/>
      <c r="AH300" s="181"/>
      <c r="AI300" s="181"/>
      <c r="AJ300" s="179"/>
      <c r="AK300" s="549"/>
      <c r="AL300" s="181"/>
      <c r="AM300" s="181"/>
      <c r="AN300" s="181"/>
      <c r="AO300" s="179"/>
      <c r="AP300" s="549"/>
      <c r="AQ300" s="181"/>
      <c r="AR300" s="181"/>
      <c r="AS300" s="181"/>
      <c r="AT300" s="528"/>
      <c r="AU300" s="528"/>
      <c r="AV300" s="528"/>
      <c r="AW300" s="528"/>
      <c r="AX300" s="528"/>
      <c r="AY300" s="528"/>
      <c r="AZ300" s="528"/>
      <c r="BA300" s="528"/>
      <c r="BB300" s="528"/>
      <c r="BC300" s="528"/>
      <c r="BD300" s="528"/>
      <c r="BE300" s="528"/>
      <c r="BF300" s="528"/>
      <c r="BG300" s="528"/>
      <c r="BH300" s="528"/>
    </row>
    <row r="301">
      <c r="A301" s="179"/>
      <c r="B301" s="549"/>
      <c r="C301" s="181"/>
      <c r="D301" s="181"/>
      <c r="E301" s="181"/>
      <c r="F301" s="179"/>
      <c r="G301" s="549"/>
      <c r="H301" s="181"/>
      <c r="I301" s="181"/>
      <c r="J301" s="181"/>
      <c r="K301" s="156"/>
      <c r="L301" s="549"/>
      <c r="M301" s="181"/>
      <c r="N301" s="181"/>
      <c r="O301" s="181"/>
      <c r="P301" s="156"/>
      <c r="Q301" s="562"/>
      <c r="R301" s="181"/>
      <c r="S301" s="181"/>
      <c r="T301" s="181"/>
      <c r="U301" s="179"/>
      <c r="V301" s="549"/>
      <c r="W301" s="181"/>
      <c r="X301" s="181"/>
      <c r="Y301" s="181"/>
      <c r="Z301" s="179"/>
      <c r="AA301" s="549"/>
      <c r="AB301" s="181"/>
      <c r="AC301" s="181"/>
      <c r="AD301" s="181"/>
      <c r="AE301" s="179"/>
      <c r="AF301" s="549"/>
      <c r="AG301" s="181"/>
      <c r="AH301" s="181"/>
      <c r="AI301" s="181"/>
      <c r="AJ301" s="179"/>
      <c r="AK301" s="549"/>
      <c r="AL301" s="181"/>
      <c r="AM301" s="181"/>
      <c r="AN301" s="181"/>
      <c r="AO301" s="179"/>
      <c r="AP301" s="549"/>
      <c r="AQ301" s="181"/>
      <c r="AR301" s="181"/>
      <c r="AS301" s="181"/>
      <c r="AT301" s="528"/>
      <c r="AU301" s="528"/>
      <c r="AV301" s="528"/>
      <c r="AW301" s="528"/>
      <c r="AX301" s="528"/>
      <c r="AY301" s="528"/>
      <c r="AZ301" s="528"/>
      <c r="BA301" s="528"/>
      <c r="BB301" s="528"/>
      <c r="BC301" s="528"/>
      <c r="BD301" s="528"/>
      <c r="BE301" s="528"/>
      <c r="BF301" s="528"/>
      <c r="BG301" s="528"/>
      <c r="BH301" s="528"/>
    </row>
    <row r="302">
      <c r="A302" s="179"/>
      <c r="B302" s="549"/>
      <c r="C302" s="181"/>
      <c r="D302" s="181"/>
      <c r="E302" s="181"/>
      <c r="F302" s="179"/>
      <c r="G302" s="549"/>
      <c r="H302" s="181"/>
      <c r="I302" s="181"/>
      <c r="J302" s="181"/>
      <c r="K302" s="156"/>
      <c r="L302" s="549"/>
      <c r="M302" s="181"/>
      <c r="N302" s="181"/>
      <c r="O302" s="181"/>
      <c r="P302" s="156"/>
      <c r="Q302" s="562"/>
      <c r="R302" s="181"/>
      <c r="S302" s="181"/>
      <c r="T302" s="181"/>
      <c r="U302" s="179"/>
      <c r="V302" s="549"/>
      <c r="W302" s="181"/>
      <c r="X302" s="181"/>
      <c r="Y302" s="181"/>
      <c r="Z302" s="179"/>
      <c r="AA302" s="549"/>
      <c r="AB302" s="181"/>
      <c r="AC302" s="181"/>
      <c r="AD302" s="181"/>
      <c r="AE302" s="179"/>
      <c r="AF302" s="549"/>
      <c r="AG302" s="181"/>
      <c r="AH302" s="181"/>
      <c r="AI302" s="181"/>
      <c r="AJ302" s="179"/>
      <c r="AK302" s="549"/>
      <c r="AL302" s="181"/>
      <c r="AM302" s="181"/>
      <c r="AN302" s="181"/>
      <c r="AO302" s="179"/>
      <c r="AP302" s="549"/>
      <c r="AQ302" s="181"/>
      <c r="AR302" s="181"/>
      <c r="AS302" s="181"/>
      <c r="AT302" s="528"/>
      <c r="AU302" s="528"/>
      <c r="AV302" s="528"/>
      <c r="AW302" s="528"/>
      <c r="AX302" s="528"/>
      <c r="AY302" s="528"/>
      <c r="AZ302" s="528"/>
      <c r="BA302" s="528"/>
      <c r="BB302" s="528"/>
      <c r="BC302" s="528"/>
      <c r="BD302" s="528"/>
      <c r="BE302" s="528"/>
      <c r="BF302" s="528"/>
      <c r="BG302" s="528"/>
      <c r="BH302" s="528"/>
    </row>
    <row r="303">
      <c r="A303" s="179"/>
      <c r="B303" s="549"/>
      <c r="C303" s="181"/>
      <c r="D303" s="181"/>
      <c r="E303" s="181"/>
      <c r="F303" s="179"/>
      <c r="G303" s="549"/>
      <c r="H303" s="181"/>
      <c r="I303" s="181"/>
      <c r="J303" s="181"/>
      <c r="K303" s="156"/>
      <c r="L303" s="549"/>
      <c r="M303" s="181"/>
      <c r="N303" s="181"/>
      <c r="O303" s="181"/>
      <c r="P303" s="156"/>
      <c r="Q303" s="562"/>
      <c r="R303" s="181"/>
      <c r="S303" s="181"/>
      <c r="T303" s="181"/>
      <c r="U303" s="179"/>
      <c r="V303" s="549"/>
      <c r="W303" s="181"/>
      <c r="X303" s="181"/>
      <c r="Y303" s="181"/>
      <c r="Z303" s="179"/>
      <c r="AA303" s="549"/>
      <c r="AB303" s="181"/>
      <c r="AC303" s="181"/>
      <c r="AD303" s="181"/>
      <c r="AE303" s="179"/>
      <c r="AF303" s="549"/>
      <c r="AG303" s="181"/>
      <c r="AH303" s="181"/>
      <c r="AI303" s="181"/>
      <c r="AJ303" s="179"/>
      <c r="AK303" s="549"/>
      <c r="AL303" s="181"/>
      <c r="AM303" s="181"/>
      <c r="AN303" s="181"/>
      <c r="AO303" s="179"/>
      <c r="AP303" s="549"/>
      <c r="AQ303" s="181"/>
      <c r="AR303" s="181"/>
      <c r="AS303" s="181"/>
      <c r="AT303" s="528"/>
      <c r="AU303" s="528"/>
      <c r="AV303" s="528"/>
      <c r="AW303" s="528"/>
      <c r="AX303" s="528"/>
      <c r="AY303" s="528"/>
      <c r="AZ303" s="528"/>
      <c r="BA303" s="528"/>
      <c r="BB303" s="528"/>
      <c r="BC303" s="528"/>
      <c r="BD303" s="528"/>
      <c r="BE303" s="528"/>
      <c r="BF303" s="528"/>
      <c r="BG303" s="528"/>
      <c r="BH303" s="528"/>
    </row>
    <row r="304">
      <c r="A304" s="179"/>
      <c r="B304" s="549"/>
      <c r="C304" s="181"/>
      <c r="D304" s="181"/>
      <c r="E304" s="181"/>
      <c r="F304" s="179"/>
      <c r="G304" s="549"/>
      <c r="H304" s="181"/>
      <c r="I304" s="181"/>
      <c r="J304" s="181"/>
      <c r="K304" s="156"/>
      <c r="L304" s="549"/>
      <c r="M304" s="181"/>
      <c r="N304" s="181"/>
      <c r="O304" s="181"/>
      <c r="P304" s="156"/>
      <c r="Q304" s="562"/>
      <c r="R304" s="181"/>
      <c r="S304" s="181"/>
      <c r="T304" s="181"/>
      <c r="U304" s="179"/>
      <c r="V304" s="549"/>
      <c r="W304" s="181"/>
      <c r="X304" s="181"/>
      <c r="Y304" s="181"/>
      <c r="Z304" s="179"/>
      <c r="AA304" s="549"/>
      <c r="AB304" s="181"/>
      <c r="AC304" s="181"/>
      <c r="AD304" s="181"/>
      <c r="AE304" s="179"/>
      <c r="AF304" s="549"/>
      <c r="AG304" s="181"/>
      <c r="AH304" s="181"/>
      <c r="AI304" s="181"/>
      <c r="AJ304" s="179"/>
      <c r="AK304" s="549"/>
      <c r="AL304" s="181"/>
      <c r="AM304" s="181"/>
      <c r="AN304" s="181"/>
      <c r="AO304" s="179"/>
      <c r="AP304" s="549"/>
      <c r="AQ304" s="181"/>
      <c r="AR304" s="181"/>
      <c r="AS304" s="181"/>
      <c r="AT304" s="528"/>
      <c r="AU304" s="528"/>
      <c r="AV304" s="528"/>
      <c r="AW304" s="528"/>
      <c r="AX304" s="528"/>
      <c r="AY304" s="528"/>
      <c r="AZ304" s="528"/>
      <c r="BA304" s="528"/>
      <c r="BB304" s="528"/>
      <c r="BC304" s="528"/>
      <c r="BD304" s="528"/>
      <c r="BE304" s="528"/>
      <c r="BF304" s="528"/>
      <c r="BG304" s="528"/>
      <c r="BH304" s="528"/>
    </row>
    <row r="305">
      <c r="A305" s="179"/>
      <c r="B305" s="549"/>
      <c r="C305" s="181"/>
      <c r="D305" s="181"/>
      <c r="E305" s="181"/>
      <c r="F305" s="179"/>
      <c r="G305" s="549"/>
      <c r="H305" s="181"/>
      <c r="I305" s="181"/>
      <c r="J305" s="181"/>
      <c r="K305" s="156"/>
      <c r="L305" s="549"/>
      <c r="M305" s="181"/>
      <c r="N305" s="181"/>
      <c r="O305" s="181"/>
      <c r="P305" s="156"/>
      <c r="Q305" s="562"/>
      <c r="R305" s="181"/>
      <c r="S305" s="181"/>
      <c r="T305" s="181"/>
      <c r="U305" s="179"/>
      <c r="V305" s="549"/>
      <c r="W305" s="181"/>
      <c r="X305" s="181"/>
      <c r="Y305" s="181"/>
      <c r="Z305" s="179"/>
      <c r="AA305" s="549"/>
      <c r="AB305" s="181"/>
      <c r="AC305" s="181"/>
      <c r="AD305" s="181"/>
      <c r="AE305" s="179"/>
      <c r="AF305" s="549"/>
      <c r="AG305" s="181"/>
      <c r="AH305" s="181"/>
      <c r="AI305" s="181"/>
      <c r="AJ305" s="179"/>
      <c r="AK305" s="549"/>
      <c r="AL305" s="181"/>
      <c r="AM305" s="181"/>
      <c r="AN305" s="181"/>
      <c r="AO305" s="179"/>
      <c r="AP305" s="549"/>
      <c r="AQ305" s="181"/>
      <c r="AR305" s="181"/>
      <c r="AS305" s="181"/>
      <c r="AT305" s="528"/>
      <c r="AU305" s="528"/>
      <c r="AV305" s="528"/>
      <c r="AW305" s="528"/>
      <c r="AX305" s="528"/>
      <c r="AY305" s="528"/>
      <c r="AZ305" s="528"/>
      <c r="BA305" s="528"/>
      <c r="BB305" s="528"/>
      <c r="BC305" s="528"/>
      <c r="BD305" s="528"/>
      <c r="BE305" s="528"/>
      <c r="BF305" s="528"/>
      <c r="BG305" s="528"/>
      <c r="BH305" s="528"/>
    </row>
    <row r="306">
      <c r="A306" s="179"/>
      <c r="B306" s="549"/>
      <c r="C306" s="181"/>
      <c r="D306" s="181"/>
      <c r="E306" s="181"/>
      <c r="F306" s="179"/>
      <c r="G306" s="549"/>
      <c r="H306" s="181"/>
      <c r="I306" s="181"/>
      <c r="J306" s="181"/>
      <c r="K306" s="156"/>
      <c r="L306" s="549"/>
      <c r="M306" s="181"/>
      <c r="N306" s="181"/>
      <c r="O306" s="181"/>
      <c r="P306" s="156"/>
      <c r="Q306" s="562"/>
      <c r="R306" s="181"/>
      <c r="S306" s="181"/>
      <c r="T306" s="181"/>
      <c r="U306" s="179"/>
      <c r="V306" s="549"/>
      <c r="W306" s="181"/>
      <c r="X306" s="181"/>
      <c r="Y306" s="181"/>
      <c r="Z306" s="179"/>
      <c r="AA306" s="549"/>
      <c r="AB306" s="181"/>
      <c r="AC306" s="181"/>
      <c r="AD306" s="181"/>
      <c r="AE306" s="179"/>
      <c r="AF306" s="549"/>
      <c r="AG306" s="181"/>
      <c r="AH306" s="181"/>
      <c r="AI306" s="181"/>
      <c r="AJ306" s="179"/>
      <c r="AK306" s="549"/>
      <c r="AL306" s="181"/>
      <c r="AM306" s="181"/>
      <c r="AN306" s="181"/>
      <c r="AO306" s="179"/>
      <c r="AP306" s="549"/>
      <c r="AQ306" s="181"/>
      <c r="AR306" s="181"/>
      <c r="AS306" s="181"/>
      <c r="AT306" s="528"/>
      <c r="AU306" s="528"/>
      <c r="AV306" s="528"/>
      <c r="AW306" s="528"/>
      <c r="AX306" s="528"/>
      <c r="AY306" s="528"/>
      <c r="AZ306" s="528"/>
      <c r="BA306" s="528"/>
      <c r="BB306" s="528"/>
      <c r="BC306" s="528"/>
      <c r="BD306" s="528"/>
      <c r="BE306" s="528"/>
      <c r="BF306" s="528"/>
      <c r="BG306" s="528"/>
      <c r="BH306" s="528"/>
    </row>
    <row r="307">
      <c r="A307" s="179"/>
      <c r="B307" s="549"/>
      <c r="C307" s="181"/>
      <c r="D307" s="181"/>
      <c r="E307" s="181"/>
      <c r="F307" s="179"/>
      <c r="G307" s="549"/>
      <c r="H307" s="181"/>
      <c r="I307" s="181"/>
      <c r="J307" s="181"/>
      <c r="K307" s="156"/>
      <c r="L307" s="549"/>
      <c r="M307" s="181"/>
      <c r="N307" s="181"/>
      <c r="O307" s="181"/>
      <c r="P307" s="156"/>
      <c r="Q307" s="562"/>
      <c r="R307" s="181"/>
      <c r="S307" s="181"/>
      <c r="T307" s="181"/>
      <c r="U307" s="179"/>
      <c r="V307" s="549"/>
      <c r="W307" s="181"/>
      <c r="X307" s="181"/>
      <c r="Y307" s="181"/>
      <c r="Z307" s="179"/>
      <c r="AA307" s="549"/>
      <c r="AB307" s="181"/>
      <c r="AC307" s="181"/>
      <c r="AD307" s="181"/>
      <c r="AE307" s="179"/>
      <c r="AF307" s="549"/>
      <c r="AG307" s="181"/>
      <c r="AH307" s="181"/>
      <c r="AI307" s="181"/>
      <c r="AJ307" s="179"/>
      <c r="AK307" s="549"/>
      <c r="AL307" s="181"/>
      <c r="AM307" s="181"/>
      <c r="AN307" s="181"/>
      <c r="AO307" s="179"/>
      <c r="AP307" s="549"/>
      <c r="AQ307" s="181"/>
      <c r="AR307" s="181"/>
      <c r="AS307" s="181"/>
      <c r="AT307" s="528"/>
      <c r="AU307" s="528"/>
      <c r="AV307" s="528"/>
      <c r="AW307" s="528"/>
      <c r="AX307" s="528"/>
      <c r="AY307" s="528"/>
      <c r="AZ307" s="528"/>
      <c r="BA307" s="528"/>
      <c r="BB307" s="528"/>
      <c r="BC307" s="528"/>
      <c r="BD307" s="528"/>
      <c r="BE307" s="528"/>
      <c r="BF307" s="528"/>
      <c r="BG307" s="528"/>
      <c r="BH307" s="528"/>
    </row>
    <row r="308">
      <c r="A308" s="179"/>
      <c r="B308" s="549"/>
      <c r="C308" s="181"/>
      <c r="D308" s="181"/>
      <c r="E308" s="181"/>
      <c r="F308" s="179"/>
      <c r="G308" s="549"/>
      <c r="H308" s="181"/>
      <c r="I308" s="181"/>
      <c r="J308" s="181"/>
      <c r="K308" s="156"/>
      <c r="L308" s="549"/>
      <c r="M308" s="181"/>
      <c r="N308" s="181"/>
      <c r="O308" s="181"/>
      <c r="P308" s="156"/>
      <c r="Q308" s="562"/>
      <c r="R308" s="181"/>
      <c r="S308" s="181"/>
      <c r="T308" s="181"/>
      <c r="U308" s="179"/>
      <c r="V308" s="549"/>
      <c r="W308" s="181"/>
      <c r="X308" s="181"/>
      <c r="Y308" s="181"/>
      <c r="Z308" s="179"/>
      <c r="AA308" s="549"/>
      <c r="AB308" s="181"/>
      <c r="AC308" s="181"/>
      <c r="AD308" s="181"/>
      <c r="AE308" s="179"/>
      <c r="AF308" s="549"/>
      <c r="AG308" s="181"/>
      <c r="AH308" s="181"/>
      <c r="AI308" s="181"/>
      <c r="AJ308" s="179"/>
      <c r="AK308" s="549"/>
      <c r="AL308" s="181"/>
      <c r="AM308" s="181"/>
      <c r="AN308" s="181"/>
      <c r="AO308" s="179"/>
      <c r="AP308" s="549"/>
      <c r="AQ308" s="181"/>
      <c r="AR308" s="181"/>
      <c r="AS308" s="181"/>
      <c r="AT308" s="528"/>
      <c r="AU308" s="528"/>
      <c r="AV308" s="528"/>
      <c r="AW308" s="528"/>
      <c r="AX308" s="528"/>
      <c r="AY308" s="528"/>
      <c r="AZ308" s="528"/>
      <c r="BA308" s="528"/>
      <c r="BB308" s="528"/>
      <c r="BC308" s="528"/>
      <c r="BD308" s="528"/>
      <c r="BE308" s="528"/>
      <c r="BF308" s="528"/>
      <c r="BG308" s="528"/>
      <c r="BH308" s="528"/>
    </row>
    <row r="309">
      <c r="A309" s="179"/>
      <c r="B309" s="549"/>
      <c r="C309" s="181"/>
      <c r="D309" s="181"/>
      <c r="E309" s="181"/>
      <c r="F309" s="179"/>
      <c r="G309" s="549"/>
      <c r="H309" s="181"/>
      <c r="I309" s="181"/>
      <c r="J309" s="181"/>
      <c r="K309" s="156"/>
      <c r="L309" s="549"/>
      <c r="M309" s="181"/>
      <c r="N309" s="181"/>
      <c r="O309" s="181"/>
      <c r="P309" s="156"/>
      <c r="Q309" s="562"/>
      <c r="R309" s="181"/>
      <c r="S309" s="181"/>
      <c r="T309" s="181"/>
      <c r="U309" s="179"/>
      <c r="V309" s="549"/>
      <c r="W309" s="181"/>
      <c r="X309" s="181"/>
      <c r="Y309" s="181"/>
      <c r="Z309" s="179"/>
      <c r="AA309" s="549"/>
      <c r="AB309" s="181"/>
      <c r="AC309" s="181"/>
      <c r="AD309" s="181"/>
      <c r="AE309" s="179"/>
      <c r="AF309" s="549"/>
      <c r="AG309" s="181"/>
      <c r="AH309" s="181"/>
      <c r="AI309" s="181"/>
      <c r="AJ309" s="179"/>
      <c r="AK309" s="549"/>
      <c r="AL309" s="181"/>
      <c r="AM309" s="181"/>
      <c r="AN309" s="181"/>
      <c r="AO309" s="179"/>
      <c r="AP309" s="549"/>
      <c r="AQ309" s="181"/>
      <c r="AR309" s="181"/>
      <c r="AS309" s="181"/>
      <c r="AT309" s="528"/>
      <c r="AU309" s="528"/>
      <c r="AV309" s="528"/>
      <c r="AW309" s="528"/>
      <c r="AX309" s="528"/>
      <c r="AY309" s="528"/>
      <c r="AZ309" s="528"/>
      <c r="BA309" s="528"/>
      <c r="BB309" s="528"/>
      <c r="BC309" s="528"/>
      <c r="BD309" s="528"/>
      <c r="BE309" s="528"/>
      <c r="BF309" s="528"/>
      <c r="BG309" s="528"/>
      <c r="BH309" s="528"/>
    </row>
    <row r="310">
      <c r="A310" s="179"/>
      <c r="B310" s="549"/>
      <c r="C310" s="181"/>
      <c r="D310" s="181"/>
      <c r="E310" s="181"/>
      <c r="F310" s="179"/>
      <c r="G310" s="549"/>
      <c r="H310" s="181"/>
      <c r="I310" s="181"/>
      <c r="J310" s="181"/>
      <c r="K310" s="156"/>
      <c r="L310" s="549"/>
      <c r="M310" s="181"/>
      <c r="N310" s="181"/>
      <c r="O310" s="181"/>
      <c r="P310" s="156"/>
      <c r="Q310" s="562"/>
      <c r="R310" s="181"/>
      <c r="S310" s="181"/>
      <c r="T310" s="181"/>
      <c r="U310" s="179"/>
      <c r="V310" s="549"/>
      <c r="W310" s="181"/>
      <c r="X310" s="181"/>
      <c r="Y310" s="181"/>
      <c r="Z310" s="179"/>
      <c r="AA310" s="549"/>
      <c r="AB310" s="181"/>
      <c r="AC310" s="181"/>
      <c r="AD310" s="181"/>
      <c r="AE310" s="179"/>
      <c r="AF310" s="549"/>
      <c r="AG310" s="181"/>
      <c r="AH310" s="181"/>
      <c r="AI310" s="181"/>
      <c r="AJ310" s="179"/>
      <c r="AK310" s="549"/>
      <c r="AL310" s="181"/>
      <c r="AM310" s="181"/>
      <c r="AN310" s="181"/>
      <c r="AO310" s="179"/>
      <c r="AP310" s="549"/>
      <c r="AQ310" s="181"/>
      <c r="AR310" s="181"/>
      <c r="AS310" s="181"/>
      <c r="AT310" s="528"/>
      <c r="AU310" s="528"/>
      <c r="AV310" s="528"/>
      <c r="AW310" s="528"/>
      <c r="AX310" s="528"/>
      <c r="AY310" s="528"/>
      <c r="AZ310" s="528"/>
      <c r="BA310" s="528"/>
      <c r="BB310" s="528"/>
      <c r="BC310" s="528"/>
      <c r="BD310" s="528"/>
      <c r="BE310" s="528"/>
      <c r="BF310" s="528"/>
      <c r="BG310" s="528"/>
      <c r="BH310" s="528"/>
    </row>
    <row r="311">
      <c r="A311" s="179"/>
      <c r="B311" s="549"/>
      <c r="C311" s="181"/>
      <c r="D311" s="181"/>
      <c r="E311" s="181"/>
      <c r="F311" s="179"/>
      <c r="G311" s="549"/>
      <c r="H311" s="181"/>
      <c r="I311" s="181"/>
      <c r="J311" s="181"/>
      <c r="K311" s="156"/>
      <c r="L311" s="549"/>
      <c r="M311" s="181"/>
      <c r="N311" s="181"/>
      <c r="O311" s="181"/>
      <c r="P311" s="156"/>
      <c r="Q311" s="562"/>
      <c r="R311" s="181"/>
      <c r="S311" s="181"/>
      <c r="T311" s="181"/>
      <c r="U311" s="179"/>
      <c r="V311" s="549"/>
      <c r="W311" s="181"/>
      <c r="X311" s="181"/>
      <c r="Y311" s="181"/>
      <c r="Z311" s="179"/>
      <c r="AA311" s="549"/>
      <c r="AB311" s="181"/>
      <c r="AC311" s="181"/>
      <c r="AD311" s="181"/>
      <c r="AE311" s="179"/>
      <c r="AF311" s="549"/>
      <c r="AG311" s="181"/>
      <c r="AH311" s="181"/>
      <c r="AI311" s="181"/>
      <c r="AJ311" s="179"/>
      <c r="AK311" s="549"/>
      <c r="AL311" s="181"/>
      <c r="AM311" s="181"/>
      <c r="AN311" s="181"/>
      <c r="AO311" s="179"/>
      <c r="AP311" s="549"/>
      <c r="AQ311" s="181"/>
      <c r="AR311" s="181"/>
      <c r="AS311" s="181"/>
      <c r="AT311" s="528"/>
      <c r="AU311" s="528"/>
      <c r="AV311" s="528"/>
      <c r="AW311" s="528"/>
      <c r="AX311" s="528"/>
      <c r="AY311" s="528"/>
      <c r="AZ311" s="528"/>
      <c r="BA311" s="528"/>
      <c r="BB311" s="528"/>
      <c r="BC311" s="528"/>
      <c r="BD311" s="528"/>
      <c r="BE311" s="528"/>
      <c r="BF311" s="528"/>
      <c r="BG311" s="528"/>
      <c r="BH311" s="528"/>
    </row>
    <row r="312">
      <c r="A312" s="179"/>
      <c r="B312" s="549"/>
      <c r="C312" s="181"/>
      <c r="D312" s="181"/>
      <c r="E312" s="181"/>
      <c r="F312" s="179"/>
      <c r="G312" s="549"/>
      <c r="H312" s="181"/>
      <c r="I312" s="181"/>
      <c r="J312" s="181"/>
      <c r="K312" s="156"/>
      <c r="L312" s="549"/>
      <c r="M312" s="181"/>
      <c r="N312" s="181"/>
      <c r="O312" s="181"/>
      <c r="P312" s="156"/>
      <c r="Q312" s="562"/>
      <c r="R312" s="181"/>
      <c r="S312" s="181"/>
      <c r="T312" s="181"/>
      <c r="U312" s="179"/>
      <c r="V312" s="549"/>
      <c r="W312" s="181"/>
      <c r="X312" s="181"/>
      <c r="Y312" s="181"/>
      <c r="Z312" s="179"/>
      <c r="AA312" s="549"/>
      <c r="AB312" s="181"/>
      <c r="AC312" s="181"/>
      <c r="AD312" s="181"/>
      <c r="AE312" s="179"/>
      <c r="AF312" s="549"/>
      <c r="AG312" s="181"/>
      <c r="AH312" s="181"/>
      <c r="AI312" s="181"/>
      <c r="AJ312" s="179"/>
      <c r="AK312" s="549"/>
      <c r="AL312" s="181"/>
      <c r="AM312" s="181"/>
      <c r="AN312" s="181"/>
      <c r="AO312" s="179"/>
      <c r="AP312" s="549"/>
      <c r="AQ312" s="181"/>
      <c r="AR312" s="181"/>
      <c r="AS312" s="181"/>
      <c r="AT312" s="528"/>
      <c r="AU312" s="528"/>
      <c r="AV312" s="528"/>
      <c r="AW312" s="528"/>
      <c r="AX312" s="528"/>
      <c r="AY312" s="528"/>
      <c r="AZ312" s="528"/>
      <c r="BA312" s="528"/>
      <c r="BB312" s="528"/>
      <c r="BC312" s="528"/>
      <c r="BD312" s="528"/>
      <c r="BE312" s="528"/>
      <c r="BF312" s="528"/>
      <c r="BG312" s="528"/>
      <c r="BH312" s="528"/>
    </row>
    <row r="313">
      <c r="A313" s="179"/>
      <c r="B313" s="549"/>
      <c r="C313" s="181"/>
      <c r="D313" s="181"/>
      <c r="E313" s="181"/>
      <c r="F313" s="179"/>
      <c r="G313" s="549"/>
      <c r="H313" s="181"/>
      <c r="I313" s="181"/>
      <c r="J313" s="181"/>
      <c r="K313" s="156"/>
      <c r="L313" s="549"/>
      <c r="M313" s="181"/>
      <c r="N313" s="181"/>
      <c r="O313" s="181"/>
      <c r="P313" s="156"/>
      <c r="Q313" s="562"/>
      <c r="R313" s="181"/>
      <c r="S313" s="181"/>
      <c r="T313" s="181"/>
      <c r="U313" s="179"/>
      <c r="V313" s="549"/>
      <c r="W313" s="181"/>
      <c r="X313" s="181"/>
      <c r="Y313" s="181"/>
      <c r="Z313" s="179"/>
      <c r="AA313" s="549"/>
      <c r="AB313" s="181"/>
      <c r="AC313" s="181"/>
      <c r="AD313" s="181"/>
      <c r="AE313" s="179"/>
      <c r="AF313" s="549"/>
      <c r="AG313" s="181"/>
      <c r="AH313" s="181"/>
      <c r="AI313" s="181"/>
      <c r="AJ313" s="179"/>
      <c r="AK313" s="549"/>
      <c r="AL313" s="181"/>
      <c r="AM313" s="181"/>
      <c r="AN313" s="181"/>
      <c r="AO313" s="179"/>
      <c r="AP313" s="549"/>
      <c r="AQ313" s="181"/>
      <c r="AR313" s="181"/>
      <c r="AS313" s="181"/>
      <c r="AT313" s="528"/>
      <c r="AU313" s="528"/>
      <c r="AV313" s="528"/>
      <c r="AW313" s="528"/>
      <c r="AX313" s="528"/>
      <c r="AY313" s="528"/>
      <c r="AZ313" s="528"/>
      <c r="BA313" s="528"/>
      <c r="BB313" s="528"/>
      <c r="BC313" s="528"/>
      <c r="BD313" s="528"/>
      <c r="BE313" s="528"/>
      <c r="BF313" s="528"/>
      <c r="BG313" s="528"/>
      <c r="BH313" s="528"/>
    </row>
    <row r="314">
      <c r="A314" s="179"/>
      <c r="B314" s="549"/>
      <c r="C314" s="181"/>
      <c r="D314" s="181"/>
      <c r="E314" s="181"/>
      <c r="F314" s="179"/>
      <c r="G314" s="549"/>
      <c r="H314" s="181"/>
      <c r="I314" s="181"/>
      <c r="J314" s="181"/>
      <c r="K314" s="156"/>
      <c r="L314" s="549"/>
      <c r="M314" s="181"/>
      <c r="N314" s="181"/>
      <c r="O314" s="181"/>
      <c r="P314" s="156"/>
      <c r="Q314" s="562"/>
      <c r="R314" s="181"/>
      <c r="S314" s="181"/>
      <c r="T314" s="181"/>
      <c r="U314" s="179"/>
      <c r="V314" s="549"/>
      <c r="W314" s="181"/>
      <c r="X314" s="181"/>
      <c r="Y314" s="181"/>
      <c r="Z314" s="179"/>
      <c r="AA314" s="549"/>
      <c r="AB314" s="181"/>
      <c r="AC314" s="181"/>
      <c r="AD314" s="181"/>
      <c r="AE314" s="179"/>
      <c r="AF314" s="549"/>
      <c r="AG314" s="181"/>
      <c r="AH314" s="181"/>
      <c r="AI314" s="181"/>
      <c r="AJ314" s="179"/>
      <c r="AK314" s="549"/>
      <c r="AL314" s="181"/>
      <c r="AM314" s="181"/>
      <c r="AN314" s="181"/>
      <c r="AO314" s="179"/>
      <c r="AP314" s="549"/>
      <c r="AQ314" s="181"/>
      <c r="AR314" s="181"/>
      <c r="AS314" s="181"/>
      <c r="AT314" s="528"/>
      <c r="AU314" s="528"/>
      <c r="AV314" s="528"/>
      <c r="AW314" s="528"/>
      <c r="AX314" s="528"/>
      <c r="AY314" s="528"/>
      <c r="AZ314" s="528"/>
      <c r="BA314" s="528"/>
      <c r="BB314" s="528"/>
      <c r="BC314" s="528"/>
      <c r="BD314" s="528"/>
      <c r="BE314" s="528"/>
      <c r="BF314" s="528"/>
      <c r="BG314" s="528"/>
      <c r="BH314" s="528"/>
    </row>
    <row r="315">
      <c r="A315" s="179"/>
      <c r="B315" s="549"/>
      <c r="C315" s="181"/>
      <c r="D315" s="181"/>
      <c r="E315" s="181"/>
      <c r="F315" s="179"/>
      <c r="G315" s="549"/>
      <c r="H315" s="181"/>
      <c r="I315" s="181"/>
      <c r="J315" s="181"/>
      <c r="K315" s="156"/>
      <c r="L315" s="549"/>
      <c r="M315" s="181"/>
      <c r="N315" s="181"/>
      <c r="O315" s="181"/>
      <c r="P315" s="156"/>
      <c r="Q315" s="562"/>
      <c r="R315" s="181"/>
      <c r="S315" s="181"/>
      <c r="T315" s="181"/>
      <c r="U315" s="179"/>
      <c r="V315" s="549"/>
      <c r="W315" s="181"/>
      <c r="X315" s="181"/>
      <c r="Y315" s="181"/>
      <c r="Z315" s="179"/>
      <c r="AA315" s="549"/>
      <c r="AB315" s="181"/>
      <c r="AC315" s="181"/>
      <c r="AD315" s="181"/>
      <c r="AE315" s="179"/>
      <c r="AF315" s="549"/>
      <c r="AG315" s="181"/>
      <c r="AH315" s="181"/>
      <c r="AI315" s="181"/>
      <c r="AJ315" s="179"/>
      <c r="AK315" s="549"/>
      <c r="AL315" s="181"/>
      <c r="AM315" s="181"/>
      <c r="AN315" s="181"/>
      <c r="AO315" s="179"/>
      <c r="AP315" s="549"/>
      <c r="AQ315" s="181"/>
      <c r="AR315" s="181"/>
      <c r="AS315" s="181"/>
      <c r="AT315" s="528"/>
      <c r="AU315" s="528"/>
      <c r="AV315" s="528"/>
      <c r="AW315" s="528"/>
      <c r="AX315" s="528"/>
      <c r="AY315" s="528"/>
      <c r="AZ315" s="528"/>
      <c r="BA315" s="528"/>
      <c r="BB315" s="528"/>
      <c r="BC315" s="528"/>
      <c r="BD315" s="528"/>
      <c r="BE315" s="528"/>
      <c r="BF315" s="528"/>
      <c r="BG315" s="528"/>
      <c r="BH315" s="528"/>
    </row>
    <row r="316">
      <c r="A316" s="179"/>
      <c r="B316" s="549"/>
      <c r="C316" s="181"/>
      <c r="D316" s="181"/>
      <c r="E316" s="181"/>
      <c r="F316" s="179"/>
      <c r="G316" s="549"/>
      <c r="H316" s="181"/>
      <c r="I316" s="181"/>
      <c r="J316" s="181"/>
      <c r="K316" s="156"/>
      <c r="L316" s="549"/>
      <c r="M316" s="181"/>
      <c r="N316" s="181"/>
      <c r="O316" s="181"/>
      <c r="P316" s="156"/>
      <c r="Q316" s="562"/>
      <c r="R316" s="181"/>
      <c r="S316" s="181"/>
      <c r="T316" s="181"/>
      <c r="U316" s="179"/>
      <c r="V316" s="549"/>
      <c r="W316" s="181"/>
      <c r="X316" s="181"/>
      <c r="Y316" s="181"/>
      <c r="Z316" s="179"/>
      <c r="AA316" s="549"/>
      <c r="AB316" s="181"/>
      <c r="AC316" s="181"/>
      <c r="AD316" s="181"/>
      <c r="AE316" s="179"/>
      <c r="AF316" s="549"/>
      <c r="AG316" s="181"/>
      <c r="AH316" s="181"/>
      <c r="AI316" s="181"/>
      <c r="AJ316" s="179"/>
      <c r="AK316" s="549"/>
      <c r="AL316" s="181"/>
      <c r="AM316" s="181"/>
      <c r="AN316" s="181"/>
      <c r="AO316" s="179"/>
      <c r="AP316" s="549"/>
      <c r="AQ316" s="181"/>
      <c r="AR316" s="181"/>
      <c r="AS316" s="181"/>
      <c r="AT316" s="528"/>
      <c r="AU316" s="528"/>
      <c r="AV316" s="528"/>
      <c r="AW316" s="528"/>
      <c r="AX316" s="528"/>
      <c r="AY316" s="528"/>
      <c r="AZ316" s="528"/>
      <c r="BA316" s="528"/>
      <c r="BB316" s="528"/>
      <c r="BC316" s="528"/>
      <c r="BD316" s="528"/>
      <c r="BE316" s="528"/>
      <c r="BF316" s="528"/>
      <c r="BG316" s="528"/>
      <c r="BH316" s="528"/>
    </row>
    <row r="317">
      <c r="A317" s="179"/>
      <c r="B317" s="549"/>
      <c r="C317" s="181"/>
      <c r="D317" s="181"/>
      <c r="E317" s="181"/>
      <c r="F317" s="179"/>
      <c r="G317" s="549"/>
      <c r="H317" s="181"/>
      <c r="I317" s="181"/>
      <c r="J317" s="181"/>
      <c r="K317" s="156"/>
      <c r="L317" s="549"/>
      <c r="M317" s="181"/>
      <c r="N317" s="181"/>
      <c r="O317" s="181"/>
      <c r="P317" s="156"/>
      <c r="Q317" s="562"/>
      <c r="R317" s="181"/>
      <c r="S317" s="181"/>
      <c r="T317" s="181"/>
      <c r="U317" s="179"/>
      <c r="V317" s="549"/>
      <c r="W317" s="181"/>
      <c r="X317" s="181"/>
      <c r="Y317" s="181"/>
      <c r="Z317" s="179"/>
      <c r="AA317" s="549"/>
      <c r="AB317" s="181"/>
      <c r="AC317" s="181"/>
      <c r="AD317" s="181"/>
      <c r="AE317" s="179"/>
      <c r="AF317" s="549"/>
      <c r="AG317" s="181"/>
      <c r="AH317" s="181"/>
      <c r="AI317" s="181"/>
      <c r="AJ317" s="179"/>
      <c r="AK317" s="549"/>
      <c r="AL317" s="181"/>
      <c r="AM317" s="181"/>
      <c r="AN317" s="181"/>
      <c r="AO317" s="179"/>
      <c r="AP317" s="549"/>
      <c r="AQ317" s="181"/>
      <c r="AR317" s="181"/>
      <c r="AS317" s="181"/>
      <c r="AT317" s="528"/>
      <c r="AU317" s="528"/>
      <c r="AV317" s="528"/>
      <c r="AW317" s="528"/>
      <c r="AX317" s="528"/>
      <c r="AY317" s="528"/>
      <c r="AZ317" s="528"/>
      <c r="BA317" s="528"/>
      <c r="BB317" s="528"/>
      <c r="BC317" s="528"/>
      <c r="BD317" s="528"/>
      <c r="BE317" s="528"/>
      <c r="BF317" s="528"/>
      <c r="BG317" s="528"/>
      <c r="BH317" s="528"/>
    </row>
    <row r="318">
      <c r="A318" s="179"/>
      <c r="B318" s="549"/>
      <c r="C318" s="181"/>
      <c r="D318" s="181"/>
      <c r="E318" s="181"/>
      <c r="F318" s="179"/>
      <c r="G318" s="549"/>
      <c r="H318" s="181"/>
      <c r="I318" s="181"/>
      <c r="J318" s="181"/>
      <c r="K318" s="156"/>
      <c r="L318" s="549"/>
      <c r="M318" s="181"/>
      <c r="N318" s="181"/>
      <c r="O318" s="181"/>
      <c r="P318" s="156"/>
      <c r="Q318" s="562"/>
      <c r="R318" s="181"/>
      <c r="S318" s="181"/>
      <c r="T318" s="181"/>
      <c r="U318" s="179"/>
      <c r="V318" s="549"/>
      <c r="W318" s="181"/>
      <c r="X318" s="181"/>
      <c r="Y318" s="181"/>
      <c r="Z318" s="179"/>
      <c r="AA318" s="549"/>
      <c r="AB318" s="181"/>
      <c r="AC318" s="181"/>
      <c r="AD318" s="181"/>
      <c r="AE318" s="179"/>
      <c r="AF318" s="549"/>
      <c r="AG318" s="181"/>
      <c r="AH318" s="181"/>
      <c r="AI318" s="181"/>
      <c r="AJ318" s="179"/>
      <c r="AK318" s="549"/>
      <c r="AL318" s="181"/>
      <c r="AM318" s="181"/>
      <c r="AN318" s="181"/>
      <c r="AO318" s="179"/>
      <c r="AP318" s="549"/>
      <c r="AQ318" s="181"/>
      <c r="AR318" s="181"/>
      <c r="AS318" s="181"/>
      <c r="AT318" s="528"/>
      <c r="AU318" s="528"/>
      <c r="AV318" s="528"/>
      <c r="AW318" s="528"/>
      <c r="AX318" s="528"/>
      <c r="AY318" s="528"/>
      <c r="AZ318" s="528"/>
      <c r="BA318" s="528"/>
      <c r="BB318" s="528"/>
      <c r="BC318" s="528"/>
      <c r="BD318" s="528"/>
      <c r="BE318" s="528"/>
      <c r="BF318" s="528"/>
      <c r="BG318" s="528"/>
      <c r="BH318" s="528"/>
    </row>
    <row r="319">
      <c r="A319" s="179"/>
      <c r="B319" s="549"/>
      <c r="C319" s="181"/>
      <c r="D319" s="181"/>
      <c r="E319" s="181"/>
      <c r="F319" s="179"/>
      <c r="G319" s="549"/>
      <c r="H319" s="181"/>
      <c r="I319" s="181"/>
      <c r="J319" s="181"/>
      <c r="K319" s="156"/>
      <c r="L319" s="549"/>
      <c r="M319" s="181"/>
      <c r="N319" s="181"/>
      <c r="O319" s="181"/>
      <c r="P319" s="156"/>
      <c r="Q319" s="562"/>
      <c r="R319" s="181"/>
      <c r="S319" s="181"/>
      <c r="T319" s="181"/>
      <c r="U319" s="179"/>
      <c r="V319" s="549"/>
      <c r="W319" s="181"/>
      <c r="X319" s="181"/>
      <c r="Y319" s="181"/>
      <c r="Z319" s="179"/>
      <c r="AA319" s="549"/>
      <c r="AB319" s="181"/>
      <c r="AC319" s="181"/>
      <c r="AD319" s="181"/>
      <c r="AE319" s="179"/>
      <c r="AF319" s="549"/>
      <c r="AG319" s="181"/>
      <c r="AH319" s="181"/>
      <c r="AI319" s="181"/>
      <c r="AJ319" s="179"/>
      <c r="AK319" s="549"/>
      <c r="AL319" s="181"/>
      <c r="AM319" s="181"/>
      <c r="AN319" s="181"/>
      <c r="AO319" s="179"/>
      <c r="AP319" s="549"/>
      <c r="AQ319" s="181"/>
      <c r="AR319" s="181"/>
      <c r="AS319" s="181"/>
      <c r="AT319" s="528"/>
      <c r="AU319" s="528"/>
      <c r="AV319" s="528"/>
      <c r="AW319" s="528"/>
      <c r="AX319" s="528"/>
      <c r="AY319" s="528"/>
      <c r="AZ319" s="528"/>
      <c r="BA319" s="528"/>
      <c r="BB319" s="528"/>
      <c r="BC319" s="528"/>
      <c r="BD319" s="528"/>
      <c r="BE319" s="528"/>
      <c r="BF319" s="528"/>
      <c r="BG319" s="528"/>
      <c r="BH319" s="528"/>
    </row>
    <row r="320">
      <c r="A320" s="179"/>
      <c r="B320" s="549"/>
      <c r="C320" s="181"/>
      <c r="D320" s="181"/>
      <c r="E320" s="181"/>
      <c r="F320" s="179"/>
      <c r="G320" s="549"/>
      <c r="H320" s="181"/>
      <c r="I320" s="181"/>
      <c r="J320" s="181"/>
      <c r="K320" s="156"/>
      <c r="L320" s="549"/>
      <c r="M320" s="181"/>
      <c r="N320" s="181"/>
      <c r="O320" s="181"/>
      <c r="P320" s="156"/>
      <c r="Q320" s="562"/>
      <c r="R320" s="181"/>
      <c r="S320" s="181"/>
      <c r="T320" s="181"/>
      <c r="U320" s="179"/>
      <c r="V320" s="549"/>
      <c r="W320" s="181"/>
      <c r="X320" s="181"/>
      <c r="Y320" s="181"/>
      <c r="Z320" s="179"/>
      <c r="AA320" s="549"/>
      <c r="AB320" s="181"/>
      <c r="AC320" s="181"/>
      <c r="AD320" s="181"/>
      <c r="AE320" s="179"/>
      <c r="AF320" s="549"/>
      <c r="AG320" s="181"/>
      <c r="AH320" s="181"/>
      <c r="AI320" s="181"/>
      <c r="AJ320" s="179"/>
      <c r="AK320" s="549"/>
      <c r="AL320" s="181"/>
      <c r="AM320" s="181"/>
      <c r="AN320" s="181"/>
      <c r="AO320" s="179"/>
      <c r="AP320" s="549"/>
      <c r="AQ320" s="181"/>
      <c r="AR320" s="181"/>
      <c r="AS320" s="181"/>
      <c r="AT320" s="528"/>
      <c r="AU320" s="528"/>
      <c r="AV320" s="528"/>
      <c r="AW320" s="528"/>
      <c r="AX320" s="528"/>
      <c r="AY320" s="528"/>
      <c r="AZ320" s="528"/>
      <c r="BA320" s="528"/>
      <c r="BB320" s="528"/>
      <c r="BC320" s="528"/>
      <c r="BD320" s="528"/>
      <c r="BE320" s="528"/>
      <c r="BF320" s="528"/>
      <c r="BG320" s="528"/>
      <c r="BH320" s="528"/>
    </row>
    <row r="321">
      <c r="A321" s="179"/>
      <c r="B321" s="549"/>
      <c r="C321" s="181"/>
      <c r="D321" s="181"/>
      <c r="E321" s="181"/>
      <c r="F321" s="179"/>
      <c r="G321" s="549"/>
      <c r="H321" s="181"/>
      <c r="I321" s="181"/>
      <c r="J321" s="181"/>
      <c r="K321" s="156"/>
      <c r="L321" s="549"/>
      <c r="M321" s="181"/>
      <c r="N321" s="181"/>
      <c r="O321" s="181"/>
      <c r="P321" s="156"/>
      <c r="Q321" s="562"/>
      <c r="R321" s="181"/>
      <c r="S321" s="181"/>
      <c r="T321" s="181"/>
      <c r="U321" s="179"/>
      <c r="V321" s="549"/>
      <c r="W321" s="181"/>
      <c r="X321" s="181"/>
      <c r="Y321" s="181"/>
      <c r="Z321" s="179"/>
      <c r="AA321" s="549"/>
      <c r="AB321" s="181"/>
      <c r="AC321" s="181"/>
      <c r="AD321" s="181"/>
      <c r="AE321" s="179"/>
      <c r="AF321" s="549"/>
      <c r="AG321" s="181"/>
      <c r="AH321" s="181"/>
      <c r="AI321" s="181"/>
      <c r="AJ321" s="179"/>
      <c r="AK321" s="549"/>
      <c r="AL321" s="181"/>
      <c r="AM321" s="181"/>
      <c r="AN321" s="181"/>
      <c r="AO321" s="179"/>
      <c r="AP321" s="549"/>
      <c r="AQ321" s="181"/>
      <c r="AR321" s="181"/>
      <c r="AS321" s="181"/>
      <c r="AT321" s="528"/>
      <c r="AU321" s="528"/>
      <c r="AV321" s="528"/>
      <c r="AW321" s="528"/>
      <c r="AX321" s="528"/>
      <c r="AY321" s="528"/>
      <c r="AZ321" s="528"/>
      <c r="BA321" s="528"/>
      <c r="BB321" s="528"/>
      <c r="BC321" s="528"/>
      <c r="BD321" s="528"/>
      <c r="BE321" s="528"/>
      <c r="BF321" s="528"/>
      <c r="BG321" s="528"/>
      <c r="BH321" s="528"/>
    </row>
    <row r="322">
      <c r="A322" s="179"/>
      <c r="B322" s="549"/>
      <c r="C322" s="181"/>
      <c r="D322" s="181"/>
      <c r="E322" s="181"/>
      <c r="F322" s="179"/>
      <c r="G322" s="549"/>
      <c r="H322" s="181"/>
      <c r="I322" s="181"/>
      <c r="J322" s="181"/>
      <c r="K322" s="156"/>
      <c r="L322" s="549"/>
      <c r="M322" s="181"/>
      <c r="N322" s="181"/>
      <c r="O322" s="181"/>
      <c r="P322" s="156"/>
      <c r="Q322" s="562"/>
      <c r="R322" s="181"/>
      <c r="S322" s="181"/>
      <c r="T322" s="181"/>
      <c r="U322" s="179"/>
      <c r="V322" s="549"/>
      <c r="W322" s="181"/>
      <c r="X322" s="181"/>
      <c r="Y322" s="181"/>
      <c r="Z322" s="179"/>
      <c r="AA322" s="549"/>
      <c r="AB322" s="181"/>
      <c r="AC322" s="181"/>
      <c r="AD322" s="181"/>
      <c r="AE322" s="179"/>
      <c r="AF322" s="549"/>
      <c r="AG322" s="181"/>
      <c r="AH322" s="181"/>
      <c r="AI322" s="181"/>
      <c r="AJ322" s="179"/>
      <c r="AK322" s="549"/>
      <c r="AL322" s="181"/>
      <c r="AM322" s="181"/>
      <c r="AN322" s="181"/>
      <c r="AO322" s="179"/>
      <c r="AP322" s="549"/>
      <c r="AQ322" s="181"/>
      <c r="AR322" s="181"/>
      <c r="AS322" s="181"/>
      <c r="AT322" s="528"/>
      <c r="AU322" s="528"/>
      <c r="AV322" s="528"/>
      <c r="AW322" s="528"/>
      <c r="AX322" s="528"/>
      <c r="AY322" s="528"/>
      <c r="AZ322" s="528"/>
      <c r="BA322" s="528"/>
      <c r="BB322" s="528"/>
      <c r="BC322" s="528"/>
      <c r="BD322" s="528"/>
      <c r="BE322" s="528"/>
      <c r="BF322" s="528"/>
      <c r="BG322" s="528"/>
      <c r="BH322" s="528"/>
    </row>
    <row r="323">
      <c r="A323" s="179"/>
      <c r="B323" s="549"/>
      <c r="C323" s="181"/>
      <c r="D323" s="181"/>
      <c r="E323" s="181"/>
      <c r="F323" s="179"/>
      <c r="G323" s="549"/>
      <c r="H323" s="181"/>
      <c r="I323" s="181"/>
      <c r="J323" s="181"/>
      <c r="K323" s="156"/>
      <c r="L323" s="549"/>
      <c r="M323" s="181"/>
      <c r="N323" s="181"/>
      <c r="O323" s="181"/>
      <c r="P323" s="156"/>
      <c r="Q323" s="562"/>
      <c r="R323" s="181"/>
      <c r="S323" s="181"/>
      <c r="T323" s="181"/>
      <c r="U323" s="179"/>
      <c r="V323" s="549"/>
      <c r="W323" s="181"/>
      <c r="X323" s="181"/>
      <c r="Y323" s="181"/>
      <c r="Z323" s="179"/>
      <c r="AA323" s="549"/>
      <c r="AB323" s="181"/>
      <c r="AC323" s="181"/>
      <c r="AD323" s="181"/>
      <c r="AE323" s="179"/>
      <c r="AF323" s="549"/>
      <c r="AG323" s="181"/>
      <c r="AH323" s="181"/>
      <c r="AI323" s="181"/>
      <c r="AJ323" s="179"/>
      <c r="AK323" s="549"/>
      <c r="AL323" s="181"/>
      <c r="AM323" s="181"/>
      <c r="AN323" s="181"/>
      <c r="AO323" s="179"/>
      <c r="AP323" s="549"/>
      <c r="AQ323" s="181"/>
      <c r="AR323" s="181"/>
      <c r="AS323" s="181"/>
      <c r="AT323" s="528"/>
      <c r="AU323" s="528"/>
      <c r="AV323" s="528"/>
      <c r="AW323" s="528"/>
      <c r="AX323" s="528"/>
      <c r="AY323" s="528"/>
      <c r="AZ323" s="528"/>
      <c r="BA323" s="528"/>
      <c r="BB323" s="528"/>
      <c r="BC323" s="528"/>
      <c r="BD323" s="528"/>
      <c r="BE323" s="528"/>
      <c r="BF323" s="528"/>
      <c r="BG323" s="528"/>
      <c r="BH323" s="528"/>
    </row>
    <row r="324">
      <c r="A324" s="179"/>
      <c r="B324" s="549"/>
      <c r="C324" s="181"/>
      <c r="D324" s="181"/>
      <c r="E324" s="181"/>
      <c r="F324" s="179"/>
      <c r="G324" s="549"/>
      <c r="H324" s="181"/>
      <c r="I324" s="181"/>
      <c r="J324" s="181"/>
      <c r="K324" s="156"/>
      <c r="L324" s="549"/>
      <c r="M324" s="181"/>
      <c r="N324" s="181"/>
      <c r="O324" s="181"/>
      <c r="P324" s="156"/>
      <c r="Q324" s="562"/>
      <c r="R324" s="181"/>
      <c r="S324" s="181"/>
      <c r="T324" s="181"/>
      <c r="U324" s="179"/>
      <c r="V324" s="549"/>
      <c r="W324" s="181"/>
      <c r="X324" s="181"/>
      <c r="Y324" s="181"/>
      <c r="Z324" s="179"/>
      <c r="AA324" s="549"/>
      <c r="AB324" s="181"/>
      <c r="AC324" s="181"/>
      <c r="AD324" s="181"/>
      <c r="AE324" s="179"/>
      <c r="AF324" s="549"/>
      <c r="AG324" s="181"/>
      <c r="AH324" s="181"/>
      <c r="AI324" s="181"/>
      <c r="AJ324" s="179"/>
      <c r="AK324" s="549"/>
      <c r="AL324" s="181"/>
      <c r="AM324" s="181"/>
      <c r="AN324" s="181"/>
      <c r="AO324" s="179"/>
      <c r="AP324" s="549"/>
      <c r="AQ324" s="181"/>
      <c r="AR324" s="181"/>
      <c r="AS324" s="181"/>
      <c r="AT324" s="528"/>
      <c r="AU324" s="528"/>
      <c r="AV324" s="528"/>
      <c r="AW324" s="528"/>
      <c r="AX324" s="528"/>
      <c r="AY324" s="528"/>
      <c r="AZ324" s="528"/>
      <c r="BA324" s="528"/>
      <c r="BB324" s="528"/>
      <c r="BC324" s="528"/>
      <c r="BD324" s="528"/>
      <c r="BE324" s="528"/>
      <c r="BF324" s="528"/>
      <c r="BG324" s="528"/>
      <c r="BH324" s="528"/>
    </row>
    <row r="325">
      <c r="A325" s="179"/>
      <c r="B325" s="549"/>
      <c r="C325" s="181"/>
      <c r="D325" s="181"/>
      <c r="E325" s="181"/>
      <c r="F325" s="179"/>
      <c r="G325" s="549"/>
      <c r="H325" s="181"/>
      <c r="I325" s="181"/>
      <c r="J325" s="181"/>
      <c r="K325" s="156"/>
      <c r="L325" s="549"/>
      <c r="M325" s="181"/>
      <c r="N325" s="181"/>
      <c r="O325" s="181"/>
      <c r="P325" s="156"/>
      <c r="Q325" s="562"/>
      <c r="R325" s="181"/>
      <c r="S325" s="181"/>
      <c r="T325" s="181"/>
      <c r="U325" s="179"/>
      <c r="V325" s="549"/>
      <c r="W325" s="181"/>
      <c r="X325" s="181"/>
      <c r="Y325" s="181"/>
      <c r="Z325" s="179"/>
      <c r="AA325" s="549"/>
      <c r="AB325" s="181"/>
      <c r="AC325" s="181"/>
      <c r="AD325" s="181"/>
      <c r="AE325" s="179"/>
      <c r="AF325" s="549"/>
      <c r="AG325" s="181"/>
      <c r="AH325" s="181"/>
      <c r="AI325" s="181"/>
      <c r="AJ325" s="179"/>
      <c r="AK325" s="549"/>
      <c r="AL325" s="181"/>
      <c r="AM325" s="181"/>
      <c r="AN325" s="181"/>
      <c r="AO325" s="179"/>
      <c r="AP325" s="549"/>
      <c r="AQ325" s="181"/>
      <c r="AR325" s="181"/>
      <c r="AS325" s="181"/>
      <c r="AT325" s="528"/>
      <c r="AU325" s="528"/>
      <c r="AV325" s="528"/>
      <c r="AW325" s="528"/>
      <c r="AX325" s="528"/>
      <c r="AY325" s="528"/>
      <c r="AZ325" s="528"/>
      <c r="BA325" s="528"/>
      <c r="BB325" s="528"/>
      <c r="BC325" s="528"/>
      <c r="BD325" s="528"/>
      <c r="BE325" s="528"/>
      <c r="BF325" s="528"/>
      <c r="BG325" s="528"/>
      <c r="BH325" s="528"/>
    </row>
    <row r="326">
      <c r="A326" s="179"/>
      <c r="B326" s="549"/>
      <c r="C326" s="181"/>
      <c r="D326" s="181"/>
      <c r="E326" s="181"/>
      <c r="F326" s="179"/>
      <c r="G326" s="549"/>
      <c r="H326" s="181"/>
      <c r="I326" s="181"/>
      <c r="J326" s="181"/>
      <c r="K326" s="156"/>
      <c r="L326" s="549"/>
      <c r="M326" s="181"/>
      <c r="N326" s="181"/>
      <c r="O326" s="181"/>
      <c r="P326" s="156"/>
      <c r="Q326" s="562"/>
      <c r="R326" s="181"/>
      <c r="S326" s="181"/>
      <c r="T326" s="181"/>
      <c r="U326" s="179"/>
      <c r="V326" s="549"/>
      <c r="W326" s="181"/>
      <c r="X326" s="181"/>
      <c r="Y326" s="181"/>
      <c r="Z326" s="179"/>
      <c r="AA326" s="549"/>
      <c r="AB326" s="181"/>
      <c r="AC326" s="181"/>
      <c r="AD326" s="181"/>
      <c r="AE326" s="179"/>
      <c r="AF326" s="549"/>
      <c r="AG326" s="181"/>
      <c r="AH326" s="181"/>
      <c r="AI326" s="181"/>
      <c r="AJ326" s="179"/>
      <c r="AK326" s="549"/>
      <c r="AL326" s="181"/>
      <c r="AM326" s="181"/>
      <c r="AN326" s="181"/>
      <c r="AO326" s="179"/>
      <c r="AP326" s="549"/>
      <c r="AQ326" s="181"/>
      <c r="AR326" s="181"/>
      <c r="AS326" s="181"/>
      <c r="AT326" s="528"/>
      <c r="AU326" s="528"/>
      <c r="AV326" s="528"/>
      <c r="AW326" s="528"/>
      <c r="AX326" s="528"/>
      <c r="AY326" s="528"/>
      <c r="AZ326" s="528"/>
      <c r="BA326" s="528"/>
      <c r="BB326" s="528"/>
      <c r="BC326" s="528"/>
      <c r="BD326" s="528"/>
      <c r="BE326" s="528"/>
      <c r="BF326" s="528"/>
      <c r="BG326" s="528"/>
      <c r="BH326" s="528"/>
    </row>
    <row r="327">
      <c r="A327" s="179"/>
      <c r="B327" s="549"/>
      <c r="C327" s="181"/>
      <c r="D327" s="181"/>
      <c r="E327" s="181"/>
      <c r="F327" s="179"/>
      <c r="G327" s="549"/>
      <c r="H327" s="181"/>
      <c r="I327" s="181"/>
      <c r="J327" s="181"/>
      <c r="K327" s="156"/>
      <c r="L327" s="549"/>
      <c r="M327" s="181"/>
      <c r="N327" s="181"/>
      <c r="O327" s="181"/>
      <c r="P327" s="156"/>
      <c r="Q327" s="562"/>
      <c r="R327" s="181"/>
      <c r="S327" s="181"/>
      <c r="T327" s="181"/>
      <c r="U327" s="179"/>
      <c r="V327" s="549"/>
      <c r="W327" s="181"/>
      <c r="X327" s="181"/>
      <c r="Y327" s="181"/>
      <c r="Z327" s="179"/>
      <c r="AA327" s="549"/>
      <c r="AB327" s="181"/>
      <c r="AC327" s="181"/>
      <c r="AD327" s="181"/>
      <c r="AE327" s="179"/>
      <c r="AF327" s="549"/>
      <c r="AG327" s="181"/>
      <c r="AH327" s="181"/>
      <c r="AI327" s="181"/>
      <c r="AJ327" s="179"/>
      <c r="AK327" s="549"/>
      <c r="AL327" s="181"/>
      <c r="AM327" s="181"/>
      <c r="AN327" s="181"/>
      <c r="AO327" s="179"/>
      <c r="AP327" s="549"/>
      <c r="AQ327" s="181"/>
      <c r="AR327" s="181"/>
      <c r="AS327" s="181"/>
      <c r="AT327" s="528"/>
      <c r="AU327" s="528"/>
      <c r="AV327" s="528"/>
      <c r="AW327" s="528"/>
      <c r="AX327" s="528"/>
      <c r="AY327" s="528"/>
      <c r="AZ327" s="528"/>
      <c r="BA327" s="528"/>
      <c r="BB327" s="528"/>
      <c r="BC327" s="528"/>
      <c r="BD327" s="528"/>
      <c r="BE327" s="528"/>
      <c r="BF327" s="528"/>
      <c r="BG327" s="528"/>
      <c r="BH327" s="528"/>
    </row>
    <row r="328">
      <c r="A328" s="179"/>
      <c r="B328" s="549"/>
      <c r="C328" s="181"/>
      <c r="D328" s="181"/>
      <c r="E328" s="181"/>
      <c r="F328" s="179"/>
      <c r="G328" s="549"/>
      <c r="H328" s="181"/>
      <c r="I328" s="181"/>
      <c r="J328" s="181"/>
      <c r="K328" s="156"/>
      <c r="L328" s="549"/>
      <c r="M328" s="181"/>
      <c r="N328" s="181"/>
      <c r="O328" s="181"/>
      <c r="P328" s="156"/>
      <c r="Q328" s="562"/>
      <c r="R328" s="181"/>
      <c r="S328" s="181"/>
      <c r="T328" s="181"/>
      <c r="U328" s="179"/>
      <c r="V328" s="549"/>
      <c r="W328" s="181"/>
      <c r="X328" s="181"/>
      <c r="Y328" s="181"/>
      <c r="Z328" s="179"/>
      <c r="AA328" s="549"/>
      <c r="AB328" s="181"/>
      <c r="AC328" s="181"/>
      <c r="AD328" s="181"/>
      <c r="AE328" s="179"/>
      <c r="AF328" s="549"/>
      <c r="AG328" s="181"/>
      <c r="AH328" s="181"/>
      <c r="AI328" s="181"/>
      <c r="AJ328" s="179"/>
      <c r="AK328" s="549"/>
      <c r="AL328" s="181"/>
      <c r="AM328" s="181"/>
      <c r="AN328" s="181"/>
      <c r="AO328" s="179"/>
      <c r="AP328" s="549"/>
      <c r="AQ328" s="181"/>
      <c r="AR328" s="181"/>
      <c r="AS328" s="181"/>
      <c r="AT328" s="528"/>
      <c r="AU328" s="528"/>
      <c r="AV328" s="528"/>
      <c r="AW328" s="528"/>
      <c r="AX328" s="528"/>
      <c r="AY328" s="528"/>
      <c r="AZ328" s="528"/>
      <c r="BA328" s="528"/>
      <c r="BB328" s="528"/>
      <c r="BC328" s="528"/>
      <c r="BD328" s="528"/>
      <c r="BE328" s="528"/>
      <c r="BF328" s="528"/>
      <c r="BG328" s="528"/>
      <c r="BH328" s="528"/>
    </row>
    <row r="329">
      <c r="A329" s="179"/>
      <c r="B329" s="549"/>
      <c r="C329" s="181"/>
      <c r="D329" s="181"/>
      <c r="E329" s="181"/>
      <c r="F329" s="179"/>
      <c r="G329" s="549"/>
      <c r="H329" s="181"/>
      <c r="I329" s="181"/>
      <c r="J329" s="181"/>
      <c r="K329" s="156"/>
      <c r="L329" s="549"/>
      <c r="M329" s="181"/>
      <c r="N329" s="181"/>
      <c r="O329" s="181"/>
      <c r="P329" s="156"/>
      <c r="Q329" s="562"/>
      <c r="R329" s="181"/>
      <c r="S329" s="181"/>
      <c r="T329" s="181"/>
      <c r="U329" s="179"/>
      <c r="V329" s="549"/>
      <c r="W329" s="181"/>
      <c r="X329" s="181"/>
      <c r="Y329" s="181"/>
      <c r="Z329" s="179"/>
      <c r="AA329" s="549"/>
      <c r="AB329" s="181"/>
      <c r="AC329" s="181"/>
      <c r="AD329" s="181"/>
      <c r="AE329" s="179"/>
      <c r="AF329" s="549"/>
      <c r="AG329" s="181"/>
      <c r="AH329" s="181"/>
      <c r="AI329" s="181"/>
      <c r="AJ329" s="179"/>
      <c r="AK329" s="549"/>
      <c r="AL329" s="181"/>
      <c r="AM329" s="181"/>
      <c r="AN329" s="181"/>
      <c r="AO329" s="179"/>
      <c r="AP329" s="549"/>
      <c r="AQ329" s="181"/>
      <c r="AR329" s="181"/>
      <c r="AS329" s="181"/>
      <c r="AT329" s="528"/>
      <c r="AU329" s="528"/>
      <c r="AV329" s="528"/>
      <c r="AW329" s="528"/>
      <c r="AX329" s="528"/>
      <c r="AY329" s="528"/>
      <c r="AZ329" s="528"/>
      <c r="BA329" s="528"/>
      <c r="BB329" s="528"/>
      <c r="BC329" s="528"/>
      <c r="BD329" s="528"/>
      <c r="BE329" s="528"/>
      <c r="BF329" s="528"/>
      <c r="BG329" s="528"/>
      <c r="BH329" s="528"/>
    </row>
    <row r="330">
      <c r="A330" s="179"/>
      <c r="B330" s="549"/>
      <c r="C330" s="181"/>
      <c r="D330" s="181"/>
      <c r="E330" s="181"/>
      <c r="F330" s="179"/>
      <c r="G330" s="549"/>
      <c r="H330" s="181"/>
      <c r="I330" s="181"/>
      <c r="J330" s="181"/>
      <c r="K330" s="156"/>
      <c r="L330" s="549"/>
      <c r="M330" s="181"/>
      <c r="N330" s="181"/>
      <c r="O330" s="181"/>
      <c r="P330" s="156"/>
      <c r="Q330" s="562"/>
      <c r="R330" s="181"/>
      <c r="S330" s="181"/>
      <c r="T330" s="181"/>
      <c r="U330" s="179"/>
      <c r="V330" s="549"/>
      <c r="W330" s="181"/>
      <c r="X330" s="181"/>
      <c r="Y330" s="181"/>
      <c r="Z330" s="179"/>
      <c r="AA330" s="549"/>
      <c r="AB330" s="181"/>
      <c r="AC330" s="181"/>
      <c r="AD330" s="181"/>
      <c r="AE330" s="179"/>
      <c r="AF330" s="549"/>
      <c r="AG330" s="181"/>
      <c r="AH330" s="181"/>
      <c r="AI330" s="181"/>
      <c r="AJ330" s="179"/>
      <c r="AK330" s="549"/>
      <c r="AL330" s="181"/>
      <c r="AM330" s="181"/>
      <c r="AN330" s="181"/>
      <c r="AO330" s="179"/>
      <c r="AP330" s="549"/>
      <c r="AQ330" s="181"/>
      <c r="AR330" s="181"/>
      <c r="AS330" s="181"/>
      <c r="AT330" s="528"/>
      <c r="AU330" s="528"/>
      <c r="AV330" s="528"/>
      <c r="AW330" s="528"/>
      <c r="AX330" s="528"/>
      <c r="AY330" s="528"/>
      <c r="AZ330" s="528"/>
      <c r="BA330" s="528"/>
      <c r="BB330" s="528"/>
      <c r="BC330" s="528"/>
      <c r="BD330" s="528"/>
      <c r="BE330" s="528"/>
      <c r="BF330" s="528"/>
      <c r="BG330" s="528"/>
      <c r="BH330" s="528"/>
    </row>
    <row r="331">
      <c r="A331" s="179"/>
      <c r="B331" s="549"/>
      <c r="C331" s="181"/>
      <c r="D331" s="181"/>
      <c r="E331" s="181"/>
      <c r="F331" s="179"/>
      <c r="G331" s="549"/>
      <c r="H331" s="181"/>
      <c r="I331" s="181"/>
      <c r="J331" s="181"/>
      <c r="K331" s="156"/>
      <c r="L331" s="549"/>
      <c r="M331" s="181"/>
      <c r="N331" s="181"/>
      <c r="O331" s="181"/>
      <c r="P331" s="156"/>
      <c r="Q331" s="562"/>
      <c r="R331" s="181"/>
      <c r="S331" s="181"/>
      <c r="T331" s="181"/>
      <c r="U331" s="179"/>
      <c r="V331" s="549"/>
      <c r="W331" s="181"/>
      <c r="X331" s="181"/>
      <c r="Y331" s="181"/>
      <c r="Z331" s="179"/>
      <c r="AA331" s="549"/>
      <c r="AB331" s="181"/>
      <c r="AC331" s="181"/>
      <c r="AD331" s="181"/>
      <c r="AE331" s="179"/>
      <c r="AF331" s="549"/>
      <c r="AG331" s="181"/>
      <c r="AH331" s="181"/>
      <c r="AI331" s="181"/>
      <c r="AJ331" s="179"/>
      <c r="AK331" s="549"/>
      <c r="AL331" s="181"/>
      <c r="AM331" s="181"/>
      <c r="AN331" s="181"/>
      <c r="AO331" s="179"/>
      <c r="AP331" s="549"/>
      <c r="AQ331" s="181"/>
      <c r="AR331" s="181"/>
      <c r="AS331" s="181"/>
      <c r="AT331" s="528"/>
      <c r="AU331" s="528"/>
      <c r="AV331" s="528"/>
      <c r="AW331" s="528"/>
      <c r="AX331" s="528"/>
      <c r="AY331" s="528"/>
      <c r="AZ331" s="528"/>
      <c r="BA331" s="528"/>
      <c r="BB331" s="528"/>
      <c r="BC331" s="528"/>
      <c r="BD331" s="528"/>
      <c r="BE331" s="528"/>
      <c r="BF331" s="528"/>
      <c r="BG331" s="528"/>
      <c r="BH331" s="528"/>
    </row>
    <row r="332">
      <c r="A332" s="179"/>
      <c r="B332" s="549"/>
      <c r="C332" s="181"/>
      <c r="D332" s="181"/>
      <c r="E332" s="181"/>
      <c r="F332" s="179"/>
      <c r="G332" s="549"/>
      <c r="H332" s="181"/>
      <c r="I332" s="181"/>
      <c r="J332" s="181"/>
      <c r="K332" s="156"/>
      <c r="L332" s="549"/>
      <c r="M332" s="181"/>
      <c r="N332" s="181"/>
      <c r="O332" s="181"/>
      <c r="P332" s="156"/>
      <c r="Q332" s="562"/>
      <c r="R332" s="181"/>
      <c r="S332" s="181"/>
      <c r="T332" s="181"/>
      <c r="U332" s="179"/>
      <c r="V332" s="549"/>
      <c r="W332" s="181"/>
      <c r="X332" s="181"/>
      <c r="Y332" s="181"/>
      <c r="Z332" s="179"/>
      <c r="AA332" s="549"/>
      <c r="AB332" s="181"/>
      <c r="AC332" s="181"/>
      <c r="AD332" s="181"/>
      <c r="AE332" s="179"/>
      <c r="AF332" s="549"/>
      <c r="AG332" s="181"/>
      <c r="AH332" s="181"/>
      <c r="AI332" s="181"/>
      <c r="AJ332" s="179"/>
      <c r="AK332" s="549"/>
      <c r="AL332" s="181"/>
      <c r="AM332" s="181"/>
      <c r="AN332" s="181"/>
      <c r="AO332" s="179"/>
      <c r="AP332" s="549"/>
      <c r="AQ332" s="181"/>
      <c r="AR332" s="181"/>
      <c r="AS332" s="181"/>
      <c r="AT332" s="528"/>
      <c r="AU332" s="528"/>
      <c r="AV332" s="528"/>
      <c r="AW332" s="528"/>
      <c r="AX332" s="528"/>
      <c r="AY332" s="528"/>
      <c r="AZ332" s="528"/>
      <c r="BA332" s="528"/>
      <c r="BB332" s="528"/>
      <c r="BC332" s="528"/>
      <c r="BD332" s="528"/>
      <c r="BE332" s="528"/>
      <c r="BF332" s="528"/>
      <c r="BG332" s="528"/>
      <c r="BH332" s="528"/>
    </row>
    <row r="333">
      <c r="A333" s="179"/>
      <c r="B333" s="549"/>
      <c r="C333" s="181"/>
      <c r="D333" s="181"/>
      <c r="E333" s="181"/>
      <c r="F333" s="179"/>
      <c r="G333" s="549"/>
      <c r="H333" s="181"/>
      <c r="I333" s="181"/>
      <c r="J333" s="181"/>
      <c r="K333" s="156"/>
      <c r="L333" s="549"/>
      <c r="M333" s="181"/>
      <c r="N333" s="181"/>
      <c r="O333" s="181"/>
      <c r="P333" s="156"/>
      <c r="Q333" s="562"/>
      <c r="R333" s="181"/>
      <c r="S333" s="181"/>
      <c r="T333" s="181"/>
      <c r="U333" s="179"/>
      <c r="V333" s="549"/>
      <c r="W333" s="181"/>
      <c r="X333" s="181"/>
      <c r="Y333" s="181"/>
      <c r="Z333" s="179"/>
      <c r="AA333" s="549"/>
      <c r="AB333" s="181"/>
      <c r="AC333" s="181"/>
      <c r="AD333" s="181"/>
      <c r="AE333" s="179"/>
      <c r="AF333" s="549"/>
      <c r="AG333" s="181"/>
      <c r="AH333" s="181"/>
      <c r="AI333" s="181"/>
      <c r="AJ333" s="179"/>
      <c r="AK333" s="549"/>
      <c r="AL333" s="181"/>
      <c r="AM333" s="181"/>
      <c r="AN333" s="181"/>
      <c r="AO333" s="179"/>
      <c r="AP333" s="549"/>
      <c r="AQ333" s="181"/>
      <c r="AR333" s="181"/>
      <c r="AS333" s="181"/>
      <c r="AT333" s="528"/>
      <c r="AU333" s="528"/>
      <c r="AV333" s="528"/>
      <c r="AW333" s="528"/>
      <c r="AX333" s="528"/>
      <c r="AY333" s="528"/>
      <c r="AZ333" s="528"/>
      <c r="BA333" s="528"/>
      <c r="BB333" s="528"/>
      <c r="BC333" s="528"/>
      <c r="BD333" s="528"/>
      <c r="BE333" s="528"/>
      <c r="BF333" s="528"/>
      <c r="BG333" s="528"/>
      <c r="BH333" s="528"/>
    </row>
    <row r="334">
      <c r="A334" s="179"/>
      <c r="B334" s="549"/>
      <c r="C334" s="181"/>
      <c r="D334" s="181"/>
      <c r="E334" s="181"/>
      <c r="F334" s="179"/>
      <c r="G334" s="549"/>
      <c r="H334" s="181"/>
      <c r="I334" s="181"/>
      <c r="J334" s="181"/>
      <c r="K334" s="156"/>
      <c r="L334" s="549"/>
      <c r="M334" s="181"/>
      <c r="N334" s="181"/>
      <c r="O334" s="181"/>
      <c r="P334" s="156"/>
      <c r="Q334" s="562"/>
      <c r="R334" s="181"/>
      <c r="S334" s="181"/>
      <c r="T334" s="181"/>
      <c r="U334" s="179"/>
      <c r="V334" s="549"/>
      <c r="W334" s="181"/>
      <c r="X334" s="181"/>
      <c r="Y334" s="181"/>
      <c r="Z334" s="179"/>
      <c r="AA334" s="549"/>
      <c r="AB334" s="181"/>
      <c r="AC334" s="181"/>
      <c r="AD334" s="181"/>
      <c r="AE334" s="179"/>
      <c r="AF334" s="549"/>
      <c r="AG334" s="181"/>
      <c r="AH334" s="181"/>
      <c r="AI334" s="181"/>
      <c r="AJ334" s="179"/>
      <c r="AK334" s="549"/>
      <c r="AL334" s="181"/>
      <c r="AM334" s="181"/>
      <c r="AN334" s="181"/>
      <c r="AO334" s="179"/>
      <c r="AP334" s="549"/>
      <c r="AQ334" s="181"/>
      <c r="AR334" s="181"/>
      <c r="AS334" s="181"/>
      <c r="AT334" s="528"/>
      <c r="AU334" s="528"/>
      <c r="AV334" s="528"/>
      <c r="AW334" s="528"/>
      <c r="AX334" s="528"/>
      <c r="AY334" s="528"/>
      <c r="AZ334" s="528"/>
      <c r="BA334" s="528"/>
      <c r="BB334" s="528"/>
      <c r="BC334" s="528"/>
      <c r="BD334" s="528"/>
      <c r="BE334" s="528"/>
      <c r="BF334" s="528"/>
      <c r="BG334" s="528"/>
      <c r="BH334" s="528"/>
    </row>
    <row r="335">
      <c r="A335" s="179"/>
      <c r="B335" s="549"/>
      <c r="C335" s="181"/>
      <c r="D335" s="181"/>
      <c r="E335" s="181"/>
      <c r="F335" s="179"/>
      <c r="G335" s="549"/>
      <c r="H335" s="181"/>
      <c r="I335" s="181"/>
      <c r="J335" s="181"/>
      <c r="K335" s="156"/>
      <c r="L335" s="549"/>
      <c r="M335" s="181"/>
      <c r="N335" s="181"/>
      <c r="O335" s="181"/>
      <c r="P335" s="156"/>
      <c r="Q335" s="562"/>
      <c r="R335" s="181"/>
      <c r="S335" s="181"/>
      <c r="T335" s="181"/>
      <c r="U335" s="179"/>
      <c r="V335" s="549"/>
      <c r="W335" s="181"/>
      <c r="X335" s="181"/>
      <c r="Y335" s="181"/>
      <c r="Z335" s="179"/>
      <c r="AA335" s="549"/>
      <c r="AB335" s="181"/>
      <c r="AC335" s="181"/>
      <c r="AD335" s="181"/>
      <c r="AE335" s="179"/>
      <c r="AF335" s="549"/>
      <c r="AG335" s="181"/>
      <c r="AH335" s="181"/>
      <c r="AI335" s="181"/>
      <c r="AJ335" s="179"/>
      <c r="AK335" s="549"/>
      <c r="AL335" s="181"/>
      <c r="AM335" s="181"/>
      <c r="AN335" s="181"/>
      <c r="AO335" s="179"/>
      <c r="AP335" s="549"/>
      <c r="AQ335" s="181"/>
      <c r="AR335" s="181"/>
      <c r="AS335" s="181"/>
      <c r="AT335" s="528"/>
      <c r="AU335" s="528"/>
      <c r="AV335" s="528"/>
      <c r="AW335" s="528"/>
      <c r="AX335" s="528"/>
      <c r="AY335" s="528"/>
      <c r="AZ335" s="528"/>
      <c r="BA335" s="528"/>
      <c r="BB335" s="528"/>
      <c r="BC335" s="528"/>
      <c r="BD335" s="528"/>
      <c r="BE335" s="528"/>
      <c r="BF335" s="528"/>
      <c r="BG335" s="528"/>
      <c r="BH335" s="528"/>
    </row>
    <row r="336">
      <c r="A336" s="179"/>
      <c r="B336" s="549"/>
      <c r="C336" s="181"/>
      <c r="D336" s="181"/>
      <c r="E336" s="181"/>
      <c r="F336" s="179"/>
      <c r="G336" s="549"/>
      <c r="H336" s="181"/>
      <c r="I336" s="181"/>
      <c r="J336" s="181"/>
      <c r="K336" s="156"/>
      <c r="L336" s="549"/>
      <c r="M336" s="181"/>
      <c r="N336" s="181"/>
      <c r="O336" s="181"/>
      <c r="P336" s="156"/>
      <c r="Q336" s="562"/>
      <c r="R336" s="181"/>
      <c r="S336" s="181"/>
      <c r="T336" s="181"/>
      <c r="U336" s="179"/>
      <c r="V336" s="549"/>
      <c r="W336" s="181"/>
      <c r="X336" s="181"/>
      <c r="Y336" s="181"/>
      <c r="Z336" s="179"/>
      <c r="AA336" s="549"/>
      <c r="AB336" s="181"/>
      <c r="AC336" s="181"/>
      <c r="AD336" s="181"/>
      <c r="AE336" s="179"/>
      <c r="AF336" s="549"/>
      <c r="AG336" s="181"/>
      <c r="AH336" s="181"/>
      <c r="AI336" s="181"/>
      <c r="AJ336" s="179"/>
      <c r="AK336" s="549"/>
      <c r="AL336" s="181"/>
      <c r="AM336" s="181"/>
      <c r="AN336" s="181"/>
      <c r="AO336" s="179"/>
      <c r="AP336" s="549"/>
      <c r="AQ336" s="181"/>
      <c r="AR336" s="181"/>
      <c r="AS336" s="181"/>
      <c r="AT336" s="528"/>
      <c r="AU336" s="528"/>
      <c r="AV336" s="528"/>
      <c r="AW336" s="528"/>
      <c r="AX336" s="528"/>
      <c r="AY336" s="528"/>
      <c r="AZ336" s="528"/>
      <c r="BA336" s="528"/>
      <c r="BB336" s="528"/>
      <c r="BC336" s="528"/>
      <c r="BD336" s="528"/>
      <c r="BE336" s="528"/>
      <c r="BF336" s="528"/>
      <c r="BG336" s="528"/>
      <c r="BH336" s="528"/>
    </row>
    <row r="337">
      <c r="A337" s="179"/>
      <c r="B337" s="549"/>
      <c r="C337" s="181"/>
      <c r="D337" s="181"/>
      <c r="E337" s="181"/>
      <c r="F337" s="179"/>
      <c r="G337" s="549"/>
      <c r="H337" s="181"/>
      <c r="I337" s="181"/>
      <c r="J337" s="181"/>
      <c r="K337" s="156"/>
      <c r="L337" s="549"/>
      <c r="M337" s="181"/>
      <c r="N337" s="181"/>
      <c r="O337" s="181"/>
      <c r="P337" s="156"/>
      <c r="Q337" s="562"/>
      <c r="R337" s="181"/>
      <c r="S337" s="181"/>
      <c r="T337" s="181"/>
      <c r="U337" s="179"/>
      <c r="V337" s="549"/>
      <c r="W337" s="181"/>
      <c r="X337" s="181"/>
      <c r="Y337" s="181"/>
      <c r="Z337" s="179"/>
      <c r="AA337" s="549"/>
      <c r="AB337" s="181"/>
      <c r="AC337" s="181"/>
      <c r="AD337" s="181"/>
      <c r="AE337" s="179"/>
      <c r="AF337" s="549"/>
      <c r="AG337" s="181"/>
      <c r="AH337" s="181"/>
      <c r="AI337" s="181"/>
      <c r="AJ337" s="179"/>
      <c r="AK337" s="549"/>
      <c r="AL337" s="181"/>
      <c r="AM337" s="181"/>
      <c r="AN337" s="181"/>
      <c r="AO337" s="179"/>
      <c r="AP337" s="549"/>
      <c r="AQ337" s="181"/>
      <c r="AR337" s="181"/>
      <c r="AS337" s="181"/>
      <c r="AT337" s="528"/>
      <c r="AU337" s="528"/>
      <c r="AV337" s="528"/>
      <c r="AW337" s="528"/>
      <c r="AX337" s="528"/>
      <c r="AY337" s="528"/>
      <c r="AZ337" s="528"/>
      <c r="BA337" s="528"/>
      <c r="BB337" s="528"/>
      <c r="BC337" s="528"/>
      <c r="BD337" s="528"/>
      <c r="BE337" s="528"/>
      <c r="BF337" s="528"/>
      <c r="BG337" s="528"/>
      <c r="BH337" s="528"/>
    </row>
    <row r="338">
      <c r="A338" s="179"/>
      <c r="B338" s="549"/>
      <c r="C338" s="181"/>
      <c r="D338" s="181"/>
      <c r="E338" s="181"/>
      <c r="F338" s="179"/>
      <c r="G338" s="549"/>
      <c r="H338" s="181"/>
      <c r="I338" s="181"/>
      <c r="J338" s="181"/>
      <c r="K338" s="156"/>
      <c r="L338" s="549"/>
      <c r="M338" s="181"/>
      <c r="N338" s="181"/>
      <c r="O338" s="181"/>
      <c r="P338" s="156"/>
      <c r="Q338" s="562"/>
      <c r="R338" s="181"/>
      <c r="S338" s="181"/>
      <c r="T338" s="181"/>
      <c r="U338" s="179"/>
      <c r="V338" s="549"/>
      <c r="W338" s="181"/>
      <c r="X338" s="181"/>
      <c r="Y338" s="181"/>
      <c r="Z338" s="179"/>
      <c r="AA338" s="549"/>
      <c r="AB338" s="181"/>
      <c r="AC338" s="181"/>
      <c r="AD338" s="181"/>
      <c r="AE338" s="179"/>
      <c r="AF338" s="549"/>
      <c r="AG338" s="181"/>
      <c r="AH338" s="181"/>
      <c r="AI338" s="181"/>
      <c r="AJ338" s="179"/>
      <c r="AK338" s="549"/>
      <c r="AL338" s="181"/>
      <c r="AM338" s="181"/>
      <c r="AN338" s="181"/>
      <c r="AO338" s="179"/>
      <c r="AP338" s="549"/>
      <c r="AQ338" s="181"/>
      <c r="AR338" s="181"/>
      <c r="AS338" s="181"/>
      <c r="AT338" s="528"/>
      <c r="AU338" s="528"/>
      <c r="AV338" s="528"/>
      <c r="AW338" s="528"/>
      <c r="AX338" s="528"/>
      <c r="AY338" s="528"/>
      <c r="AZ338" s="528"/>
      <c r="BA338" s="528"/>
      <c r="BB338" s="528"/>
      <c r="BC338" s="528"/>
      <c r="BD338" s="528"/>
      <c r="BE338" s="528"/>
      <c r="BF338" s="528"/>
      <c r="BG338" s="528"/>
      <c r="BH338" s="528"/>
    </row>
    <row r="339">
      <c r="A339" s="179"/>
      <c r="B339" s="549"/>
      <c r="C339" s="181"/>
      <c r="D339" s="181"/>
      <c r="E339" s="181"/>
      <c r="F339" s="179"/>
      <c r="G339" s="549"/>
      <c r="H339" s="181"/>
      <c r="I339" s="181"/>
      <c r="J339" s="181"/>
      <c r="K339" s="156"/>
      <c r="L339" s="549"/>
      <c r="M339" s="181"/>
      <c r="N339" s="181"/>
      <c r="O339" s="181"/>
      <c r="P339" s="156"/>
      <c r="Q339" s="562"/>
      <c r="R339" s="181"/>
      <c r="S339" s="181"/>
      <c r="T339" s="181"/>
      <c r="U339" s="179"/>
      <c r="V339" s="549"/>
      <c r="W339" s="181"/>
      <c r="X339" s="181"/>
      <c r="Y339" s="181"/>
      <c r="Z339" s="179"/>
      <c r="AA339" s="549"/>
      <c r="AB339" s="181"/>
      <c r="AC339" s="181"/>
      <c r="AD339" s="181"/>
      <c r="AE339" s="179"/>
      <c r="AF339" s="549"/>
      <c r="AG339" s="181"/>
      <c r="AH339" s="181"/>
      <c r="AI339" s="181"/>
      <c r="AJ339" s="179"/>
      <c r="AK339" s="549"/>
      <c r="AL339" s="181"/>
      <c r="AM339" s="181"/>
      <c r="AN339" s="181"/>
      <c r="AO339" s="179"/>
      <c r="AP339" s="549"/>
      <c r="AQ339" s="181"/>
      <c r="AR339" s="181"/>
      <c r="AS339" s="181"/>
      <c r="AT339" s="528"/>
      <c r="AU339" s="528"/>
      <c r="AV339" s="528"/>
      <c r="AW339" s="528"/>
      <c r="AX339" s="528"/>
      <c r="AY339" s="528"/>
      <c r="AZ339" s="528"/>
      <c r="BA339" s="528"/>
      <c r="BB339" s="528"/>
      <c r="BC339" s="528"/>
      <c r="BD339" s="528"/>
      <c r="BE339" s="528"/>
      <c r="BF339" s="528"/>
      <c r="BG339" s="528"/>
      <c r="BH339" s="528"/>
    </row>
    <row r="340">
      <c r="A340" s="179"/>
      <c r="B340" s="549"/>
      <c r="C340" s="181"/>
      <c r="D340" s="181"/>
      <c r="E340" s="181"/>
      <c r="F340" s="179"/>
      <c r="G340" s="549"/>
      <c r="H340" s="181"/>
      <c r="I340" s="181"/>
      <c r="J340" s="181"/>
      <c r="K340" s="156"/>
      <c r="L340" s="549"/>
      <c r="M340" s="181"/>
      <c r="N340" s="181"/>
      <c r="O340" s="181"/>
      <c r="P340" s="156"/>
      <c r="Q340" s="562"/>
      <c r="R340" s="181"/>
      <c r="S340" s="181"/>
      <c r="T340" s="181"/>
      <c r="U340" s="179"/>
      <c r="V340" s="549"/>
      <c r="W340" s="181"/>
      <c r="X340" s="181"/>
      <c r="Y340" s="181"/>
      <c r="Z340" s="179"/>
      <c r="AA340" s="549"/>
      <c r="AB340" s="181"/>
      <c r="AC340" s="181"/>
      <c r="AD340" s="181"/>
      <c r="AE340" s="179"/>
      <c r="AF340" s="549"/>
      <c r="AG340" s="181"/>
      <c r="AH340" s="181"/>
      <c r="AI340" s="181"/>
      <c r="AJ340" s="179"/>
      <c r="AK340" s="549"/>
      <c r="AL340" s="181"/>
      <c r="AM340" s="181"/>
      <c r="AN340" s="181"/>
      <c r="AO340" s="179"/>
      <c r="AP340" s="549"/>
      <c r="AQ340" s="181"/>
      <c r="AR340" s="181"/>
      <c r="AS340" s="181"/>
      <c r="AT340" s="528"/>
      <c r="AU340" s="528"/>
      <c r="AV340" s="528"/>
      <c r="AW340" s="528"/>
      <c r="AX340" s="528"/>
      <c r="AY340" s="528"/>
      <c r="AZ340" s="528"/>
      <c r="BA340" s="528"/>
      <c r="BB340" s="528"/>
      <c r="BC340" s="528"/>
      <c r="BD340" s="528"/>
      <c r="BE340" s="528"/>
      <c r="BF340" s="528"/>
      <c r="BG340" s="528"/>
      <c r="BH340" s="528"/>
    </row>
    <row r="341">
      <c r="A341" s="179"/>
      <c r="B341" s="549"/>
      <c r="C341" s="181"/>
      <c r="D341" s="181"/>
      <c r="E341" s="181"/>
      <c r="F341" s="179"/>
      <c r="G341" s="549"/>
      <c r="H341" s="181"/>
      <c r="I341" s="181"/>
      <c r="J341" s="181"/>
      <c r="K341" s="156"/>
      <c r="L341" s="549"/>
      <c r="M341" s="181"/>
      <c r="N341" s="181"/>
      <c r="O341" s="181"/>
      <c r="P341" s="156"/>
      <c r="Q341" s="562"/>
      <c r="R341" s="181"/>
      <c r="S341" s="181"/>
      <c r="T341" s="181"/>
      <c r="U341" s="179"/>
      <c r="V341" s="549"/>
      <c r="W341" s="181"/>
      <c r="X341" s="181"/>
      <c r="Y341" s="181"/>
      <c r="Z341" s="179"/>
      <c r="AA341" s="549"/>
      <c r="AB341" s="181"/>
      <c r="AC341" s="181"/>
      <c r="AD341" s="181"/>
      <c r="AE341" s="179"/>
      <c r="AF341" s="549"/>
      <c r="AG341" s="181"/>
      <c r="AH341" s="181"/>
      <c r="AI341" s="181"/>
      <c r="AJ341" s="179"/>
      <c r="AK341" s="549"/>
      <c r="AL341" s="181"/>
      <c r="AM341" s="181"/>
      <c r="AN341" s="181"/>
      <c r="AO341" s="179"/>
      <c r="AP341" s="549"/>
      <c r="AQ341" s="181"/>
      <c r="AR341" s="181"/>
      <c r="AS341" s="181"/>
      <c r="AT341" s="528"/>
      <c r="AU341" s="528"/>
      <c r="AV341" s="528"/>
      <c r="AW341" s="528"/>
      <c r="AX341" s="528"/>
      <c r="AY341" s="528"/>
      <c r="AZ341" s="528"/>
      <c r="BA341" s="528"/>
      <c r="BB341" s="528"/>
      <c r="BC341" s="528"/>
      <c r="BD341" s="528"/>
      <c r="BE341" s="528"/>
      <c r="BF341" s="528"/>
      <c r="BG341" s="528"/>
      <c r="BH341" s="528"/>
    </row>
    <row r="342">
      <c r="A342" s="179"/>
      <c r="B342" s="549"/>
      <c r="C342" s="181"/>
      <c r="D342" s="181"/>
      <c r="E342" s="181"/>
      <c r="F342" s="179"/>
      <c r="G342" s="549"/>
      <c r="H342" s="181"/>
      <c r="I342" s="181"/>
      <c r="J342" s="181"/>
      <c r="K342" s="156"/>
      <c r="L342" s="549"/>
      <c r="M342" s="181"/>
      <c r="N342" s="181"/>
      <c r="O342" s="181"/>
      <c r="P342" s="156"/>
      <c r="Q342" s="562"/>
      <c r="R342" s="181"/>
      <c r="S342" s="181"/>
      <c r="T342" s="181"/>
      <c r="U342" s="179"/>
      <c r="V342" s="549"/>
      <c r="W342" s="181"/>
      <c r="X342" s="181"/>
      <c r="Y342" s="181"/>
      <c r="Z342" s="179"/>
      <c r="AA342" s="549"/>
      <c r="AB342" s="181"/>
      <c r="AC342" s="181"/>
      <c r="AD342" s="181"/>
      <c r="AE342" s="179"/>
      <c r="AF342" s="549"/>
      <c r="AG342" s="181"/>
      <c r="AH342" s="181"/>
      <c r="AI342" s="181"/>
      <c r="AJ342" s="179"/>
      <c r="AK342" s="549"/>
      <c r="AL342" s="181"/>
      <c r="AM342" s="181"/>
      <c r="AN342" s="181"/>
      <c r="AO342" s="179"/>
      <c r="AP342" s="549"/>
      <c r="AQ342" s="181"/>
      <c r="AR342" s="181"/>
      <c r="AS342" s="181"/>
      <c r="AT342" s="528"/>
      <c r="AU342" s="528"/>
      <c r="AV342" s="528"/>
      <c r="AW342" s="528"/>
      <c r="AX342" s="528"/>
      <c r="AY342" s="528"/>
      <c r="AZ342" s="528"/>
      <c r="BA342" s="528"/>
      <c r="BB342" s="528"/>
      <c r="BC342" s="528"/>
      <c r="BD342" s="528"/>
      <c r="BE342" s="528"/>
      <c r="BF342" s="528"/>
      <c r="BG342" s="528"/>
      <c r="BH342" s="528"/>
    </row>
    <row r="343">
      <c r="A343" s="179"/>
      <c r="B343" s="549"/>
      <c r="C343" s="181"/>
      <c r="D343" s="181"/>
      <c r="E343" s="181"/>
      <c r="F343" s="179"/>
      <c r="G343" s="549"/>
      <c r="H343" s="181"/>
      <c r="I343" s="181"/>
      <c r="J343" s="181"/>
      <c r="K343" s="156"/>
      <c r="L343" s="549"/>
      <c r="M343" s="181"/>
      <c r="N343" s="181"/>
      <c r="O343" s="181"/>
      <c r="P343" s="156"/>
      <c r="Q343" s="562"/>
      <c r="R343" s="181"/>
      <c r="S343" s="181"/>
      <c r="T343" s="181"/>
      <c r="U343" s="179"/>
      <c r="V343" s="549"/>
      <c r="W343" s="181"/>
      <c r="X343" s="181"/>
      <c r="Y343" s="181"/>
      <c r="Z343" s="179"/>
      <c r="AA343" s="549"/>
      <c r="AB343" s="181"/>
      <c r="AC343" s="181"/>
      <c r="AD343" s="181"/>
      <c r="AE343" s="179"/>
      <c r="AF343" s="549"/>
      <c r="AG343" s="181"/>
      <c r="AH343" s="181"/>
      <c r="AI343" s="181"/>
      <c r="AJ343" s="179"/>
      <c r="AK343" s="549"/>
      <c r="AL343" s="181"/>
      <c r="AM343" s="181"/>
      <c r="AN343" s="181"/>
      <c r="AO343" s="179"/>
      <c r="AP343" s="549"/>
      <c r="AQ343" s="181"/>
      <c r="AR343" s="181"/>
      <c r="AS343" s="181"/>
      <c r="AT343" s="528"/>
      <c r="AU343" s="528"/>
      <c r="AV343" s="528"/>
      <c r="AW343" s="528"/>
      <c r="AX343" s="528"/>
      <c r="AY343" s="528"/>
      <c r="AZ343" s="528"/>
      <c r="BA343" s="528"/>
      <c r="BB343" s="528"/>
      <c r="BC343" s="528"/>
      <c r="BD343" s="528"/>
      <c r="BE343" s="528"/>
      <c r="BF343" s="528"/>
      <c r="BG343" s="528"/>
      <c r="BH343" s="528"/>
    </row>
    <row r="344">
      <c r="A344" s="179"/>
      <c r="B344" s="549"/>
      <c r="C344" s="181"/>
      <c r="D344" s="181"/>
      <c r="E344" s="181"/>
      <c r="F344" s="179"/>
      <c r="G344" s="549"/>
      <c r="H344" s="181"/>
      <c r="I344" s="181"/>
      <c r="J344" s="181"/>
      <c r="K344" s="156"/>
      <c r="L344" s="549"/>
      <c r="M344" s="181"/>
      <c r="N344" s="181"/>
      <c r="O344" s="181"/>
      <c r="P344" s="156"/>
      <c r="Q344" s="562"/>
      <c r="R344" s="181"/>
      <c r="S344" s="181"/>
      <c r="T344" s="181"/>
      <c r="U344" s="179"/>
      <c r="V344" s="549"/>
      <c r="W344" s="181"/>
      <c r="X344" s="181"/>
      <c r="Y344" s="181"/>
      <c r="Z344" s="179"/>
      <c r="AA344" s="549"/>
      <c r="AB344" s="181"/>
      <c r="AC344" s="181"/>
      <c r="AD344" s="181"/>
      <c r="AE344" s="179"/>
      <c r="AF344" s="549"/>
      <c r="AG344" s="181"/>
      <c r="AH344" s="181"/>
      <c r="AI344" s="181"/>
      <c r="AJ344" s="179"/>
      <c r="AK344" s="549"/>
      <c r="AL344" s="181"/>
      <c r="AM344" s="181"/>
      <c r="AN344" s="181"/>
      <c r="AO344" s="179"/>
      <c r="AP344" s="549"/>
      <c r="AQ344" s="181"/>
      <c r="AR344" s="181"/>
      <c r="AS344" s="181"/>
      <c r="AT344" s="528"/>
      <c r="AU344" s="528"/>
      <c r="AV344" s="528"/>
      <c r="AW344" s="528"/>
      <c r="AX344" s="528"/>
      <c r="AY344" s="528"/>
      <c r="AZ344" s="528"/>
      <c r="BA344" s="528"/>
      <c r="BB344" s="528"/>
      <c r="BC344" s="528"/>
      <c r="BD344" s="528"/>
      <c r="BE344" s="528"/>
      <c r="BF344" s="528"/>
      <c r="BG344" s="528"/>
      <c r="BH344" s="528"/>
    </row>
    <row r="345">
      <c r="A345" s="179"/>
      <c r="B345" s="549"/>
      <c r="C345" s="181"/>
      <c r="D345" s="181"/>
      <c r="E345" s="181"/>
      <c r="F345" s="179"/>
      <c r="G345" s="549"/>
      <c r="H345" s="181"/>
      <c r="I345" s="181"/>
      <c r="J345" s="181"/>
      <c r="K345" s="156"/>
      <c r="L345" s="549"/>
      <c r="M345" s="181"/>
      <c r="N345" s="181"/>
      <c r="O345" s="181"/>
      <c r="P345" s="156"/>
      <c r="Q345" s="562"/>
      <c r="R345" s="181"/>
      <c r="S345" s="181"/>
      <c r="T345" s="181"/>
      <c r="U345" s="179"/>
      <c r="V345" s="549"/>
      <c r="W345" s="181"/>
      <c r="X345" s="181"/>
      <c r="Y345" s="181"/>
      <c r="Z345" s="179"/>
      <c r="AA345" s="549"/>
      <c r="AB345" s="181"/>
      <c r="AC345" s="181"/>
      <c r="AD345" s="181"/>
      <c r="AE345" s="179"/>
      <c r="AF345" s="549"/>
      <c r="AG345" s="181"/>
      <c r="AH345" s="181"/>
      <c r="AI345" s="181"/>
      <c r="AJ345" s="179"/>
      <c r="AK345" s="549"/>
      <c r="AL345" s="181"/>
      <c r="AM345" s="181"/>
      <c r="AN345" s="181"/>
      <c r="AO345" s="179"/>
      <c r="AP345" s="549"/>
      <c r="AQ345" s="181"/>
      <c r="AR345" s="181"/>
      <c r="AS345" s="181"/>
      <c r="AT345" s="528"/>
      <c r="AU345" s="528"/>
      <c r="AV345" s="528"/>
      <c r="AW345" s="528"/>
      <c r="AX345" s="528"/>
      <c r="AY345" s="528"/>
      <c r="AZ345" s="528"/>
      <c r="BA345" s="528"/>
      <c r="BB345" s="528"/>
      <c r="BC345" s="528"/>
      <c r="BD345" s="528"/>
      <c r="BE345" s="528"/>
      <c r="BF345" s="528"/>
      <c r="BG345" s="528"/>
      <c r="BH345" s="528"/>
    </row>
    <row r="346">
      <c r="A346" s="179"/>
      <c r="B346" s="549"/>
      <c r="C346" s="181"/>
      <c r="D346" s="181"/>
      <c r="E346" s="181"/>
      <c r="F346" s="179"/>
      <c r="G346" s="549"/>
      <c r="H346" s="181"/>
      <c r="I346" s="181"/>
      <c r="J346" s="181"/>
      <c r="K346" s="156"/>
      <c r="L346" s="549"/>
      <c r="M346" s="181"/>
      <c r="N346" s="181"/>
      <c r="O346" s="181"/>
      <c r="P346" s="156"/>
      <c r="Q346" s="562"/>
      <c r="R346" s="181"/>
      <c r="S346" s="181"/>
      <c r="T346" s="181"/>
      <c r="U346" s="179"/>
      <c r="V346" s="549"/>
      <c r="W346" s="181"/>
      <c r="X346" s="181"/>
      <c r="Y346" s="181"/>
      <c r="Z346" s="179"/>
      <c r="AA346" s="549"/>
      <c r="AB346" s="181"/>
      <c r="AC346" s="181"/>
      <c r="AD346" s="181"/>
      <c r="AE346" s="179"/>
      <c r="AF346" s="549"/>
      <c r="AG346" s="181"/>
      <c r="AH346" s="181"/>
      <c r="AI346" s="181"/>
      <c r="AJ346" s="179"/>
      <c r="AK346" s="549"/>
      <c r="AL346" s="181"/>
      <c r="AM346" s="181"/>
      <c r="AN346" s="181"/>
      <c r="AO346" s="179"/>
      <c r="AP346" s="549"/>
      <c r="AQ346" s="181"/>
      <c r="AR346" s="181"/>
      <c r="AS346" s="181"/>
      <c r="AT346" s="528"/>
      <c r="AU346" s="528"/>
      <c r="AV346" s="528"/>
      <c r="AW346" s="528"/>
      <c r="AX346" s="528"/>
      <c r="AY346" s="528"/>
      <c r="AZ346" s="528"/>
      <c r="BA346" s="528"/>
      <c r="BB346" s="528"/>
      <c r="BC346" s="528"/>
      <c r="BD346" s="528"/>
      <c r="BE346" s="528"/>
      <c r="BF346" s="528"/>
      <c r="BG346" s="528"/>
      <c r="BH346" s="528"/>
    </row>
    <row r="347">
      <c r="A347" s="179"/>
      <c r="B347" s="549"/>
      <c r="C347" s="181"/>
      <c r="D347" s="181"/>
      <c r="E347" s="181"/>
      <c r="F347" s="179"/>
      <c r="G347" s="549"/>
      <c r="H347" s="181"/>
      <c r="I347" s="181"/>
      <c r="J347" s="181"/>
      <c r="K347" s="156"/>
      <c r="L347" s="549"/>
      <c r="M347" s="181"/>
      <c r="N347" s="181"/>
      <c r="O347" s="181"/>
      <c r="P347" s="156"/>
      <c r="Q347" s="562"/>
      <c r="R347" s="181"/>
      <c r="S347" s="181"/>
      <c r="T347" s="181"/>
      <c r="U347" s="179"/>
      <c r="V347" s="549"/>
      <c r="W347" s="181"/>
      <c r="X347" s="181"/>
      <c r="Y347" s="181"/>
      <c r="Z347" s="179"/>
      <c r="AA347" s="549"/>
      <c r="AB347" s="181"/>
      <c r="AC347" s="181"/>
      <c r="AD347" s="181"/>
      <c r="AE347" s="179"/>
      <c r="AF347" s="549"/>
      <c r="AG347" s="181"/>
      <c r="AH347" s="181"/>
      <c r="AI347" s="181"/>
      <c r="AJ347" s="179"/>
      <c r="AK347" s="549"/>
      <c r="AL347" s="181"/>
      <c r="AM347" s="181"/>
      <c r="AN347" s="181"/>
      <c r="AO347" s="179"/>
      <c r="AP347" s="549"/>
      <c r="AQ347" s="181"/>
      <c r="AR347" s="181"/>
      <c r="AS347" s="181"/>
      <c r="AT347" s="528"/>
      <c r="AU347" s="528"/>
      <c r="AV347" s="528"/>
      <c r="AW347" s="528"/>
      <c r="AX347" s="528"/>
      <c r="AY347" s="528"/>
      <c r="AZ347" s="528"/>
      <c r="BA347" s="528"/>
      <c r="BB347" s="528"/>
      <c r="BC347" s="528"/>
      <c r="BD347" s="528"/>
      <c r="BE347" s="528"/>
      <c r="BF347" s="528"/>
      <c r="BG347" s="528"/>
      <c r="BH347" s="528"/>
    </row>
    <row r="348">
      <c r="A348" s="179"/>
      <c r="B348" s="549"/>
      <c r="C348" s="181"/>
      <c r="D348" s="181"/>
      <c r="E348" s="181"/>
      <c r="F348" s="179"/>
      <c r="G348" s="549"/>
      <c r="H348" s="181"/>
      <c r="I348" s="181"/>
      <c r="J348" s="181"/>
      <c r="K348" s="156"/>
      <c r="L348" s="549"/>
      <c r="M348" s="181"/>
      <c r="N348" s="181"/>
      <c r="O348" s="181"/>
      <c r="P348" s="156"/>
      <c r="Q348" s="562"/>
      <c r="R348" s="181"/>
      <c r="S348" s="181"/>
      <c r="T348" s="181"/>
      <c r="U348" s="179"/>
      <c r="V348" s="549"/>
      <c r="W348" s="181"/>
      <c r="X348" s="181"/>
      <c r="Y348" s="181"/>
      <c r="Z348" s="179"/>
      <c r="AA348" s="549"/>
      <c r="AB348" s="181"/>
      <c r="AC348" s="181"/>
      <c r="AD348" s="181"/>
      <c r="AE348" s="179"/>
      <c r="AF348" s="549"/>
      <c r="AG348" s="181"/>
      <c r="AH348" s="181"/>
      <c r="AI348" s="181"/>
      <c r="AJ348" s="179"/>
      <c r="AK348" s="549"/>
      <c r="AL348" s="181"/>
      <c r="AM348" s="181"/>
      <c r="AN348" s="181"/>
      <c r="AO348" s="179"/>
      <c r="AP348" s="549"/>
      <c r="AQ348" s="181"/>
      <c r="AR348" s="181"/>
      <c r="AS348" s="181"/>
      <c r="AT348" s="528"/>
      <c r="AU348" s="528"/>
      <c r="AV348" s="528"/>
      <c r="AW348" s="528"/>
      <c r="AX348" s="528"/>
      <c r="AY348" s="528"/>
      <c r="AZ348" s="528"/>
      <c r="BA348" s="528"/>
      <c r="BB348" s="528"/>
      <c r="BC348" s="528"/>
      <c r="BD348" s="528"/>
      <c r="BE348" s="528"/>
      <c r="BF348" s="528"/>
      <c r="BG348" s="528"/>
      <c r="BH348" s="528"/>
    </row>
    <row r="349">
      <c r="A349" s="179"/>
      <c r="B349" s="549"/>
      <c r="C349" s="181"/>
      <c r="D349" s="181"/>
      <c r="E349" s="181"/>
      <c r="F349" s="179"/>
      <c r="G349" s="549"/>
      <c r="H349" s="181"/>
      <c r="I349" s="181"/>
      <c r="J349" s="181"/>
      <c r="K349" s="156"/>
      <c r="L349" s="549"/>
      <c r="M349" s="181"/>
      <c r="N349" s="181"/>
      <c r="O349" s="181"/>
      <c r="P349" s="156"/>
      <c r="Q349" s="562"/>
      <c r="R349" s="181"/>
      <c r="S349" s="181"/>
      <c r="T349" s="181"/>
      <c r="U349" s="179"/>
      <c r="V349" s="549"/>
      <c r="W349" s="181"/>
      <c r="X349" s="181"/>
      <c r="Y349" s="181"/>
      <c r="Z349" s="179"/>
      <c r="AA349" s="549"/>
      <c r="AB349" s="181"/>
      <c r="AC349" s="181"/>
      <c r="AD349" s="181"/>
      <c r="AE349" s="179"/>
      <c r="AF349" s="549"/>
      <c r="AG349" s="181"/>
      <c r="AH349" s="181"/>
      <c r="AI349" s="181"/>
      <c r="AJ349" s="179"/>
      <c r="AK349" s="549"/>
      <c r="AL349" s="181"/>
      <c r="AM349" s="181"/>
      <c r="AN349" s="181"/>
      <c r="AO349" s="179"/>
      <c r="AP349" s="549"/>
      <c r="AQ349" s="181"/>
      <c r="AR349" s="181"/>
      <c r="AS349" s="181"/>
      <c r="AT349" s="528"/>
      <c r="AU349" s="528"/>
      <c r="AV349" s="528"/>
      <c r="AW349" s="528"/>
      <c r="AX349" s="528"/>
      <c r="AY349" s="528"/>
      <c r="AZ349" s="528"/>
      <c r="BA349" s="528"/>
      <c r="BB349" s="528"/>
      <c r="BC349" s="528"/>
      <c r="BD349" s="528"/>
      <c r="BE349" s="528"/>
      <c r="BF349" s="528"/>
      <c r="BG349" s="528"/>
      <c r="BH349" s="528"/>
    </row>
    <row r="350">
      <c r="A350" s="179"/>
      <c r="B350" s="549"/>
      <c r="C350" s="181"/>
      <c r="D350" s="181"/>
      <c r="E350" s="181"/>
      <c r="F350" s="179"/>
      <c r="G350" s="549"/>
      <c r="H350" s="181"/>
      <c r="I350" s="181"/>
      <c r="J350" s="181"/>
      <c r="K350" s="156"/>
      <c r="L350" s="549"/>
      <c r="M350" s="181"/>
      <c r="N350" s="181"/>
      <c r="O350" s="181"/>
      <c r="P350" s="156"/>
      <c r="Q350" s="562"/>
      <c r="R350" s="181"/>
      <c r="S350" s="181"/>
      <c r="T350" s="181"/>
      <c r="U350" s="179"/>
      <c r="V350" s="549"/>
      <c r="W350" s="181"/>
      <c r="X350" s="181"/>
      <c r="Y350" s="181"/>
      <c r="Z350" s="179"/>
      <c r="AA350" s="549"/>
      <c r="AB350" s="181"/>
      <c r="AC350" s="181"/>
      <c r="AD350" s="181"/>
      <c r="AE350" s="179"/>
      <c r="AF350" s="549"/>
      <c r="AG350" s="181"/>
      <c r="AH350" s="181"/>
      <c r="AI350" s="181"/>
      <c r="AJ350" s="179"/>
      <c r="AK350" s="549"/>
      <c r="AL350" s="181"/>
      <c r="AM350" s="181"/>
      <c r="AN350" s="181"/>
      <c r="AO350" s="179"/>
      <c r="AP350" s="549"/>
      <c r="AQ350" s="181"/>
      <c r="AR350" s="181"/>
      <c r="AS350" s="181"/>
      <c r="AT350" s="528"/>
      <c r="AU350" s="528"/>
      <c r="AV350" s="528"/>
      <c r="AW350" s="528"/>
      <c r="AX350" s="528"/>
      <c r="AY350" s="528"/>
      <c r="AZ350" s="528"/>
      <c r="BA350" s="528"/>
      <c r="BB350" s="528"/>
      <c r="BC350" s="528"/>
      <c r="BD350" s="528"/>
      <c r="BE350" s="528"/>
      <c r="BF350" s="528"/>
      <c r="BG350" s="528"/>
      <c r="BH350" s="528"/>
    </row>
    <row r="351">
      <c r="A351" s="179"/>
      <c r="B351" s="549"/>
      <c r="C351" s="181"/>
      <c r="D351" s="181"/>
      <c r="E351" s="181"/>
      <c r="F351" s="179"/>
      <c r="G351" s="549"/>
      <c r="H351" s="181"/>
      <c r="I351" s="181"/>
      <c r="J351" s="181"/>
      <c r="K351" s="156"/>
      <c r="L351" s="549"/>
      <c r="M351" s="181"/>
      <c r="N351" s="181"/>
      <c r="O351" s="181"/>
      <c r="P351" s="156"/>
      <c r="Q351" s="562"/>
      <c r="R351" s="181"/>
      <c r="S351" s="181"/>
      <c r="T351" s="181"/>
      <c r="U351" s="179"/>
      <c r="V351" s="549"/>
      <c r="W351" s="181"/>
      <c r="X351" s="181"/>
      <c r="Y351" s="181"/>
      <c r="Z351" s="179"/>
      <c r="AA351" s="549"/>
      <c r="AB351" s="181"/>
      <c r="AC351" s="181"/>
      <c r="AD351" s="181"/>
      <c r="AE351" s="179"/>
      <c r="AF351" s="549"/>
      <c r="AG351" s="181"/>
      <c r="AH351" s="181"/>
      <c r="AI351" s="181"/>
      <c r="AJ351" s="179"/>
      <c r="AK351" s="549"/>
      <c r="AL351" s="181"/>
      <c r="AM351" s="181"/>
      <c r="AN351" s="181"/>
      <c r="AO351" s="179"/>
      <c r="AP351" s="549"/>
      <c r="AQ351" s="181"/>
      <c r="AR351" s="181"/>
      <c r="AS351" s="181"/>
      <c r="AT351" s="528"/>
      <c r="AU351" s="528"/>
      <c r="AV351" s="528"/>
      <c r="AW351" s="528"/>
      <c r="AX351" s="528"/>
      <c r="AY351" s="528"/>
      <c r="AZ351" s="528"/>
      <c r="BA351" s="528"/>
      <c r="BB351" s="528"/>
      <c r="BC351" s="528"/>
      <c r="BD351" s="528"/>
      <c r="BE351" s="528"/>
      <c r="BF351" s="528"/>
      <c r="BG351" s="528"/>
      <c r="BH351" s="528"/>
    </row>
    <row r="352">
      <c r="A352" s="179"/>
      <c r="B352" s="549"/>
      <c r="C352" s="181"/>
      <c r="D352" s="181"/>
      <c r="E352" s="181"/>
      <c r="F352" s="179"/>
      <c r="G352" s="549"/>
      <c r="H352" s="181"/>
      <c r="I352" s="181"/>
      <c r="J352" s="181"/>
      <c r="K352" s="156"/>
      <c r="L352" s="549"/>
      <c r="M352" s="181"/>
      <c r="N352" s="181"/>
      <c r="O352" s="181"/>
      <c r="P352" s="156"/>
      <c r="Q352" s="562"/>
      <c r="R352" s="181"/>
      <c r="S352" s="181"/>
      <c r="T352" s="181"/>
      <c r="U352" s="179"/>
      <c r="V352" s="549"/>
      <c r="W352" s="181"/>
      <c r="X352" s="181"/>
      <c r="Y352" s="181"/>
      <c r="Z352" s="179"/>
      <c r="AA352" s="549"/>
      <c r="AB352" s="181"/>
      <c r="AC352" s="181"/>
      <c r="AD352" s="181"/>
      <c r="AE352" s="179"/>
      <c r="AF352" s="549"/>
      <c r="AG352" s="181"/>
      <c r="AH352" s="181"/>
      <c r="AI352" s="181"/>
      <c r="AJ352" s="179"/>
      <c r="AK352" s="549"/>
      <c r="AL352" s="181"/>
      <c r="AM352" s="181"/>
      <c r="AN352" s="181"/>
      <c r="AO352" s="179"/>
      <c r="AP352" s="549"/>
      <c r="AQ352" s="181"/>
      <c r="AR352" s="181"/>
      <c r="AS352" s="181"/>
      <c r="AT352" s="528"/>
      <c r="AU352" s="528"/>
      <c r="AV352" s="528"/>
      <c r="AW352" s="528"/>
      <c r="AX352" s="528"/>
      <c r="AY352" s="528"/>
      <c r="AZ352" s="528"/>
      <c r="BA352" s="528"/>
      <c r="BB352" s="528"/>
      <c r="BC352" s="528"/>
      <c r="BD352" s="528"/>
      <c r="BE352" s="528"/>
      <c r="BF352" s="528"/>
      <c r="BG352" s="528"/>
      <c r="BH352" s="528"/>
    </row>
    <row r="353">
      <c r="A353" s="179"/>
      <c r="B353" s="549"/>
      <c r="C353" s="181"/>
      <c r="D353" s="181"/>
      <c r="E353" s="181"/>
      <c r="F353" s="179"/>
      <c r="G353" s="549"/>
      <c r="H353" s="181"/>
      <c r="I353" s="181"/>
      <c r="J353" s="181"/>
      <c r="K353" s="156"/>
      <c r="L353" s="549"/>
      <c r="M353" s="181"/>
      <c r="N353" s="181"/>
      <c r="O353" s="181"/>
      <c r="P353" s="156"/>
      <c r="Q353" s="562"/>
      <c r="R353" s="181"/>
      <c r="S353" s="181"/>
      <c r="T353" s="181"/>
      <c r="U353" s="179"/>
      <c r="V353" s="549"/>
      <c r="W353" s="181"/>
      <c r="X353" s="181"/>
      <c r="Y353" s="181"/>
      <c r="Z353" s="179"/>
      <c r="AA353" s="549"/>
      <c r="AB353" s="181"/>
      <c r="AC353" s="181"/>
      <c r="AD353" s="181"/>
      <c r="AE353" s="179"/>
      <c r="AF353" s="549"/>
      <c r="AG353" s="181"/>
      <c r="AH353" s="181"/>
      <c r="AI353" s="181"/>
      <c r="AJ353" s="179"/>
      <c r="AK353" s="549"/>
      <c r="AL353" s="181"/>
      <c r="AM353" s="181"/>
      <c r="AN353" s="181"/>
      <c r="AO353" s="179"/>
      <c r="AP353" s="549"/>
      <c r="AQ353" s="181"/>
      <c r="AR353" s="181"/>
      <c r="AS353" s="181"/>
      <c r="AT353" s="528"/>
      <c r="AU353" s="528"/>
      <c r="AV353" s="528"/>
      <c r="AW353" s="528"/>
      <c r="AX353" s="528"/>
      <c r="AY353" s="528"/>
      <c r="AZ353" s="528"/>
      <c r="BA353" s="528"/>
      <c r="BB353" s="528"/>
      <c r="BC353" s="528"/>
      <c r="BD353" s="528"/>
      <c r="BE353" s="528"/>
      <c r="BF353" s="528"/>
      <c r="BG353" s="528"/>
      <c r="BH353" s="528"/>
    </row>
    <row r="354">
      <c r="A354" s="179"/>
      <c r="B354" s="549"/>
      <c r="C354" s="181"/>
      <c r="D354" s="181"/>
      <c r="E354" s="181"/>
      <c r="F354" s="179"/>
      <c r="G354" s="549"/>
      <c r="H354" s="181"/>
      <c r="I354" s="181"/>
      <c r="J354" s="181"/>
      <c r="K354" s="156"/>
      <c r="L354" s="549"/>
      <c r="M354" s="181"/>
      <c r="N354" s="181"/>
      <c r="O354" s="181"/>
      <c r="P354" s="156"/>
      <c r="Q354" s="562"/>
      <c r="R354" s="181"/>
      <c r="S354" s="181"/>
      <c r="T354" s="181"/>
      <c r="U354" s="179"/>
      <c r="V354" s="549"/>
      <c r="W354" s="181"/>
      <c r="X354" s="181"/>
      <c r="Y354" s="181"/>
      <c r="Z354" s="179"/>
      <c r="AA354" s="549"/>
      <c r="AB354" s="181"/>
      <c r="AC354" s="181"/>
      <c r="AD354" s="181"/>
      <c r="AE354" s="179"/>
      <c r="AF354" s="549"/>
      <c r="AG354" s="181"/>
      <c r="AH354" s="181"/>
      <c r="AI354" s="181"/>
      <c r="AJ354" s="179"/>
      <c r="AK354" s="549"/>
      <c r="AL354" s="181"/>
      <c r="AM354" s="181"/>
      <c r="AN354" s="181"/>
      <c r="AO354" s="179"/>
      <c r="AP354" s="549"/>
      <c r="AQ354" s="181"/>
      <c r="AR354" s="181"/>
      <c r="AS354" s="181"/>
      <c r="AT354" s="528"/>
      <c r="AU354" s="528"/>
      <c r="AV354" s="528"/>
      <c r="AW354" s="528"/>
      <c r="AX354" s="528"/>
      <c r="AY354" s="528"/>
      <c r="AZ354" s="528"/>
      <c r="BA354" s="528"/>
      <c r="BB354" s="528"/>
      <c r="BC354" s="528"/>
      <c r="BD354" s="528"/>
      <c r="BE354" s="528"/>
      <c r="BF354" s="528"/>
      <c r="BG354" s="528"/>
      <c r="BH354" s="528"/>
    </row>
    <row r="355">
      <c r="A355" s="179"/>
      <c r="B355" s="549"/>
      <c r="C355" s="181"/>
      <c r="D355" s="181"/>
      <c r="E355" s="181"/>
      <c r="F355" s="179"/>
      <c r="G355" s="549"/>
      <c r="H355" s="181"/>
      <c r="I355" s="181"/>
      <c r="J355" s="181"/>
      <c r="K355" s="156"/>
      <c r="L355" s="549"/>
      <c r="M355" s="181"/>
      <c r="N355" s="181"/>
      <c r="O355" s="181"/>
      <c r="P355" s="156"/>
      <c r="Q355" s="562"/>
      <c r="R355" s="181"/>
      <c r="S355" s="181"/>
      <c r="T355" s="181"/>
      <c r="U355" s="179"/>
      <c r="V355" s="549"/>
      <c r="W355" s="181"/>
      <c r="X355" s="181"/>
      <c r="Y355" s="181"/>
      <c r="Z355" s="179"/>
      <c r="AA355" s="549"/>
      <c r="AB355" s="181"/>
      <c r="AC355" s="181"/>
      <c r="AD355" s="181"/>
      <c r="AE355" s="179"/>
      <c r="AF355" s="549"/>
      <c r="AG355" s="181"/>
      <c r="AH355" s="181"/>
      <c r="AI355" s="181"/>
      <c r="AJ355" s="179"/>
      <c r="AK355" s="549"/>
      <c r="AL355" s="181"/>
      <c r="AM355" s="181"/>
      <c r="AN355" s="181"/>
      <c r="AO355" s="179"/>
      <c r="AP355" s="549"/>
      <c r="AQ355" s="181"/>
      <c r="AR355" s="181"/>
      <c r="AS355" s="181"/>
      <c r="AT355" s="528"/>
      <c r="AU355" s="528"/>
      <c r="AV355" s="528"/>
      <c r="AW355" s="528"/>
      <c r="AX355" s="528"/>
      <c r="AY355" s="528"/>
      <c r="AZ355" s="528"/>
      <c r="BA355" s="528"/>
      <c r="BB355" s="528"/>
      <c r="BC355" s="528"/>
      <c r="BD355" s="528"/>
      <c r="BE355" s="528"/>
      <c r="BF355" s="528"/>
      <c r="BG355" s="528"/>
      <c r="BH355" s="528"/>
    </row>
    <row r="356">
      <c r="A356" s="179"/>
      <c r="B356" s="549"/>
      <c r="C356" s="181"/>
      <c r="D356" s="181"/>
      <c r="E356" s="181"/>
      <c r="F356" s="179"/>
      <c r="G356" s="549"/>
      <c r="H356" s="181"/>
      <c r="I356" s="181"/>
      <c r="J356" s="181"/>
      <c r="K356" s="156"/>
      <c r="L356" s="549"/>
      <c r="M356" s="181"/>
      <c r="N356" s="181"/>
      <c r="O356" s="181"/>
      <c r="P356" s="156"/>
      <c r="Q356" s="562"/>
      <c r="R356" s="181"/>
      <c r="S356" s="181"/>
      <c r="T356" s="181"/>
      <c r="U356" s="179"/>
      <c r="V356" s="549"/>
      <c r="W356" s="181"/>
      <c r="X356" s="181"/>
      <c r="Y356" s="181"/>
      <c r="Z356" s="179"/>
      <c r="AA356" s="549"/>
      <c r="AB356" s="181"/>
      <c r="AC356" s="181"/>
      <c r="AD356" s="181"/>
      <c r="AE356" s="179"/>
      <c r="AF356" s="549"/>
      <c r="AG356" s="181"/>
      <c r="AH356" s="181"/>
      <c r="AI356" s="181"/>
      <c r="AJ356" s="179"/>
      <c r="AK356" s="549"/>
      <c r="AL356" s="181"/>
      <c r="AM356" s="181"/>
      <c r="AN356" s="181"/>
      <c r="AO356" s="179"/>
      <c r="AP356" s="549"/>
      <c r="AQ356" s="181"/>
      <c r="AR356" s="181"/>
      <c r="AS356" s="181"/>
      <c r="AT356" s="528"/>
      <c r="AU356" s="528"/>
      <c r="AV356" s="528"/>
      <c r="AW356" s="528"/>
      <c r="AX356" s="528"/>
      <c r="AY356" s="528"/>
      <c r="AZ356" s="528"/>
      <c r="BA356" s="528"/>
      <c r="BB356" s="528"/>
      <c r="BC356" s="528"/>
      <c r="BD356" s="528"/>
      <c r="BE356" s="528"/>
      <c r="BF356" s="528"/>
      <c r="BG356" s="528"/>
      <c r="BH356" s="528"/>
    </row>
    <row r="357">
      <c r="A357" s="179"/>
      <c r="B357" s="549"/>
      <c r="C357" s="181"/>
      <c r="D357" s="181"/>
      <c r="E357" s="181"/>
      <c r="F357" s="179"/>
      <c r="G357" s="549"/>
      <c r="H357" s="181"/>
      <c r="I357" s="181"/>
      <c r="J357" s="181"/>
      <c r="K357" s="156"/>
      <c r="L357" s="549"/>
      <c r="M357" s="181"/>
      <c r="N357" s="181"/>
      <c r="O357" s="181"/>
      <c r="P357" s="156"/>
      <c r="Q357" s="562"/>
      <c r="R357" s="181"/>
      <c r="S357" s="181"/>
      <c r="T357" s="181"/>
      <c r="U357" s="179"/>
      <c r="V357" s="549"/>
      <c r="W357" s="181"/>
      <c r="X357" s="181"/>
      <c r="Y357" s="181"/>
      <c r="Z357" s="179"/>
      <c r="AA357" s="549"/>
      <c r="AB357" s="181"/>
      <c r="AC357" s="181"/>
      <c r="AD357" s="181"/>
      <c r="AE357" s="179"/>
      <c r="AF357" s="549"/>
      <c r="AG357" s="181"/>
      <c r="AH357" s="181"/>
      <c r="AI357" s="181"/>
      <c r="AJ357" s="179"/>
      <c r="AK357" s="549"/>
      <c r="AL357" s="181"/>
      <c r="AM357" s="181"/>
      <c r="AN357" s="181"/>
      <c r="AO357" s="179"/>
      <c r="AP357" s="549"/>
      <c r="AQ357" s="181"/>
      <c r="AR357" s="181"/>
      <c r="AS357" s="181"/>
      <c r="AT357" s="528"/>
      <c r="AU357" s="528"/>
      <c r="AV357" s="528"/>
      <c r="AW357" s="528"/>
      <c r="AX357" s="528"/>
      <c r="AY357" s="528"/>
      <c r="AZ357" s="528"/>
      <c r="BA357" s="528"/>
      <c r="BB357" s="528"/>
      <c r="BC357" s="528"/>
      <c r="BD357" s="528"/>
      <c r="BE357" s="528"/>
      <c r="BF357" s="528"/>
      <c r="BG357" s="528"/>
      <c r="BH357" s="528"/>
    </row>
    <row r="358">
      <c r="A358" s="179"/>
      <c r="B358" s="549"/>
      <c r="C358" s="181"/>
      <c r="D358" s="181"/>
      <c r="E358" s="181"/>
      <c r="F358" s="179"/>
      <c r="G358" s="549"/>
      <c r="H358" s="181"/>
      <c r="I358" s="181"/>
      <c r="J358" s="181"/>
      <c r="K358" s="156"/>
      <c r="L358" s="549"/>
      <c r="M358" s="181"/>
      <c r="N358" s="181"/>
      <c r="O358" s="181"/>
      <c r="P358" s="156"/>
      <c r="Q358" s="562"/>
      <c r="R358" s="181"/>
      <c r="S358" s="181"/>
      <c r="T358" s="181"/>
      <c r="U358" s="179"/>
      <c r="V358" s="549"/>
      <c r="W358" s="181"/>
      <c r="X358" s="181"/>
      <c r="Y358" s="181"/>
      <c r="Z358" s="179"/>
      <c r="AA358" s="549"/>
      <c r="AB358" s="181"/>
      <c r="AC358" s="181"/>
      <c r="AD358" s="181"/>
      <c r="AE358" s="179"/>
      <c r="AF358" s="549"/>
      <c r="AG358" s="181"/>
      <c r="AH358" s="181"/>
      <c r="AI358" s="181"/>
      <c r="AJ358" s="179"/>
      <c r="AK358" s="549"/>
      <c r="AL358" s="181"/>
      <c r="AM358" s="181"/>
      <c r="AN358" s="181"/>
      <c r="AO358" s="179"/>
      <c r="AP358" s="549"/>
      <c r="AQ358" s="181"/>
      <c r="AR358" s="181"/>
      <c r="AS358" s="181"/>
      <c r="AT358" s="528"/>
      <c r="AU358" s="528"/>
      <c r="AV358" s="528"/>
      <c r="AW358" s="528"/>
      <c r="AX358" s="528"/>
      <c r="AY358" s="528"/>
      <c r="AZ358" s="528"/>
      <c r="BA358" s="528"/>
      <c r="BB358" s="528"/>
      <c r="BC358" s="528"/>
      <c r="BD358" s="528"/>
      <c r="BE358" s="528"/>
      <c r="BF358" s="528"/>
      <c r="BG358" s="528"/>
      <c r="BH358" s="528"/>
    </row>
    <row r="359">
      <c r="A359" s="179"/>
      <c r="B359" s="549"/>
      <c r="C359" s="181"/>
      <c r="D359" s="181"/>
      <c r="E359" s="181"/>
      <c r="F359" s="179"/>
      <c r="G359" s="549"/>
      <c r="H359" s="181"/>
      <c r="I359" s="181"/>
      <c r="J359" s="181"/>
      <c r="K359" s="156"/>
      <c r="L359" s="549"/>
      <c r="M359" s="181"/>
      <c r="N359" s="181"/>
      <c r="O359" s="181"/>
      <c r="P359" s="156"/>
      <c r="Q359" s="562"/>
      <c r="R359" s="181"/>
      <c r="S359" s="181"/>
      <c r="T359" s="181"/>
      <c r="U359" s="179"/>
      <c r="V359" s="549"/>
      <c r="W359" s="181"/>
      <c r="X359" s="181"/>
      <c r="Y359" s="181"/>
      <c r="Z359" s="179"/>
      <c r="AA359" s="549"/>
      <c r="AB359" s="181"/>
      <c r="AC359" s="181"/>
      <c r="AD359" s="181"/>
      <c r="AE359" s="179"/>
      <c r="AF359" s="549"/>
      <c r="AG359" s="181"/>
      <c r="AH359" s="181"/>
      <c r="AI359" s="181"/>
      <c r="AJ359" s="179"/>
      <c r="AK359" s="549"/>
      <c r="AL359" s="181"/>
      <c r="AM359" s="181"/>
      <c r="AN359" s="181"/>
      <c r="AO359" s="179"/>
      <c r="AP359" s="549"/>
      <c r="AQ359" s="181"/>
      <c r="AR359" s="181"/>
      <c r="AS359" s="181"/>
      <c r="AT359" s="528"/>
      <c r="AU359" s="528"/>
      <c r="AV359" s="528"/>
      <c r="AW359" s="528"/>
      <c r="AX359" s="528"/>
      <c r="AY359" s="528"/>
      <c r="AZ359" s="528"/>
      <c r="BA359" s="528"/>
      <c r="BB359" s="528"/>
      <c r="BC359" s="528"/>
      <c r="BD359" s="528"/>
      <c r="BE359" s="528"/>
      <c r="BF359" s="528"/>
      <c r="BG359" s="528"/>
      <c r="BH359" s="528"/>
    </row>
    <row r="360">
      <c r="A360" s="179"/>
      <c r="B360" s="549"/>
      <c r="C360" s="181"/>
      <c r="D360" s="181"/>
      <c r="E360" s="181"/>
      <c r="F360" s="179"/>
      <c r="G360" s="549"/>
      <c r="H360" s="181"/>
      <c r="I360" s="181"/>
      <c r="J360" s="181"/>
      <c r="K360" s="156"/>
      <c r="L360" s="549"/>
      <c r="M360" s="181"/>
      <c r="N360" s="181"/>
      <c r="O360" s="181"/>
      <c r="P360" s="156"/>
      <c r="Q360" s="562"/>
      <c r="R360" s="181"/>
      <c r="S360" s="181"/>
      <c r="T360" s="181"/>
      <c r="U360" s="179"/>
      <c r="V360" s="549"/>
      <c r="W360" s="181"/>
      <c r="X360" s="181"/>
      <c r="Y360" s="181"/>
      <c r="Z360" s="179"/>
      <c r="AA360" s="549"/>
      <c r="AB360" s="181"/>
      <c r="AC360" s="181"/>
      <c r="AD360" s="181"/>
      <c r="AE360" s="179"/>
      <c r="AF360" s="549"/>
      <c r="AG360" s="181"/>
      <c r="AH360" s="181"/>
      <c r="AI360" s="181"/>
      <c r="AJ360" s="179"/>
      <c r="AK360" s="549"/>
      <c r="AL360" s="181"/>
      <c r="AM360" s="181"/>
      <c r="AN360" s="181"/>
      <c r="AO360" s="179"/>
      <c r="AP360" s="549"/>
      <c r="AQ360" s="181"/>
      <c r="AR360" s="181"/>
      <c r="AS360" s="181"/>
      <c r="AT360" s="528"/>
      <c r="AU360" s="528"/>
      <c r="AV360" s="528"/>
      <c r="AW360" s="528"/>
      <c r="AX360" s="528"/>
      <c r="AY360" s="528"/>
      <c r="AZ360" s="528"/>
      <c r="BA360" s="528"/>
      <c r="BB360" s="528"/>
      <c r="BC360" s="528"/>
      <c r="BD360" s="528"/>
      <c r="BE360" s="528"/>
      <c r="BF360" s="528"/>
      <c r="BG360" s="528"/>
      <c r="BH360" s="528"/>
    </row>
    <row r="361">
      <c r="A361" s="179"/>
      <c r="B361" s="549"/>
      <c r="C361" s="181"/>
      <c r="D361" s="181"/>
      <c r="E361" s="181"/>
      <c r="F361" s="179"/>
      <c r="G361" s="549"/>
      <c r="H361" s="181"/>
      <c r="I361" s="181"/>
      <c r="J361" s="181"/>
      <c r="K361" s="156"/>
      <c r="L361" s="549"/>
      <c r="M361" s="181"/>
      <c r="N361" s="181"/>
      <c r="O361" s="181"/>
      <c r="P361" s="156"/>
      <c r="Q361" s="562"/>
      <c r="R361" s="181"/>
      <c r="S361" s="181"/>
      <c r="T361" s="181"/>
      <c r="U361" s="179"/>
      <c r="V361" s="549"/>
      <c r="W361" s="181"/>
      <c r="X361" s="181"/>
      <c r="Y361" s="181"/>
      <c r="Z361" s="179"/>
      <c r="AA361" s="549"/>
      <c r="AB361" s="181"/>
      <c r="AC361" s="181"/>
      <c r="AD361" s="181"/>
      <c r="AE361" s="179"/>
      <c r="AF361" s="549"/>
      <c r="AG361" s="181"/>
      <c r="AH361" s="181"/>
      <c r="AI361" s="181"/>
      <c r="AJ361" s="179"/>
      <c r="AK361" s="549"/>
      <c r="AL361" s="181"/>
      <c r="AM361" s="181"/>
      <c r="AN361" s="181"/>
      <c r="AO361" s="179"/>
      <c r="AP361" s="549"/>
      <c r="AQ361" s="181"/>
      <c r="AR361" s="181"/>
      <c r="AS361" s="181"/>
      <c r="AT361" s="528"/>
      <c r="AU361" s="528"/>
      <c r="AV361" s="528"/>
      <c r="AW361" s="528"/>
      <c r="AX361" s="528"/>
      <c r="AY361" s="528"/>
      <c r="AZ361" s="528"/>
      <c r="BA361" s="528"/>
      <c r="BB361" s="528"/>
      <c r="BC361" s="528"/>
      <c r="BD361" s="528"/>
      <c r="BE361" s="528"/>
      <c r="BF361" s="528"/>
      <c r="BG361" s="528"/>
      <c r="BH361" s="528"/>
    </row>
    <row r="362">
      <c r="A362" s="179"/>
      <c r="B362" s="549"/>
      <c r="C362" s="181"/>
      <c r="D362" s="181"/>
      <c r="E362" s="181"/>
      <c r="F362" s="179"/>
      <c r="G362" s="549"/>
      <c r="H362" s="181"/>
      <c r="I362" s="181"/>
      <c r="J362" s="181"/>
      <c r="K362" s="156"/>
      <c r="L362" s="549"/>
      <c r="M362" s="181"/>
      <c r="N362" s="181"/>
      <c r="O362" s="181"/>
      <c r="P362" s="156"/>
      <c r="Q362" s="562"/>
      <c r="R362" s="181"/>
      <c r="S362" s="181"/>
      <c r="T362" s="181"/>
      <c r="U362" s="179"/>
      <c r="V362" s="549"/>
      <c r="W362" s="181"/>
      <c r="X362" s="181"/>
      <c r="Y362" s="181"/>
      <c r="Z362" s="179"/>
      <c r="AA362" s="549"/>
      <c r="AB362" s="181"/>
      <c r="AC362" s="181"/>
      <c r="AD362" s="181"/>
      <c r="AE362" s="179"/>
      <c r="AF362" s="549"/>
      <c r="AG362" s="181"/>
      <c r="AH362" s="181"/>
      <c r="AI362" s="181"/>
      <c r="AJ362" s="179"/>
      <c r="AK362" s="549"/>
      <c r="AL362" s="181"/>
      <c r="AM362" s="181"/>
      <c r="AN362" s="181"/>
      <c r="AO362" s="179"/>
      <c r="AP362" s="549"/>
      <c r="AQ362" s="181"/>
      <c r="AR362" s="181"/>
      <c r="AS362" s="181"/>
      <c r="AT362" s="528"/>
      <c r="AU362" s="528"/>
      <c r="AV362" s="528"/>
      <c r="AW362" s="528"/>
      <c r="AX362" s="528"/>
      <c r="AY362" s="528"/>
      <c r="AZ362" s="528"/>
      <c r="BA362" s="528"/>
      <c r="BB362" s="528"/>
      <c r="BC362" s="528"/>
      <c r="BD362" s="528"/>
      <c r="BE362" s="528"/>
      <c r="BF362" s="528"/>
      <c r="BG362" s="528"/>
      <c r="BH362" s="528"/>
    </row>
    <row r="363">
      <c r="A363" s="179"/>
      <c r="B363" s="549"/>
      <c r="C363" s="181"/>
      <c r="D363" s="181"/>
      <c r="E363" s="181"/>
      <c r="F363" s="179"/>
      <c r="G363" s="549"/>
      <c r="H363" s="181"/>
      <c r="I363" s="181"/>
      <c r="J363" s="181"/>
      <c r="K363" s="156"/>
      <c r="L363" s="549"/>
      <c r="M363" s="181"/>
      <c r="N363" s="181"/>
      <c r="O363" s="181"/>
      <c r="P363" s="156"/>
      <c r="Q363" s="562"/>
      <c r="R363" s="181"/>
      <c r="S363" s="181"/>
      <c r="T363" s="181"/>
      <c r="U363" s="179"/>
      <c r="V363" s="549"/>
      <c r="W363" s="181"/>
      <c r="X363" s="181"/>
      <c r="Y363" s="181"/>
      <c r="Z363" s="179"/>
      <c r="AA363" s="549"/>
      <c r="AB363" s="181"/>
      <c r="AC363" s="181"/>
      <c r="AD363" s="181"/>
      <c r="AE363" s="179"/>
      <c r="AF363" s="549"/>
      <c r="AG363" s="181"/>
      <c r="AH363" s="181"/>
      <c r="AI363" s="181"/>
      <c r="AJ363" s="179"/>
      <c r="AK363" s="549"/>
      <c r="AL363" s="181"/>
      <c r="AM363" s="181"/>
      <c r="AN363" s="181"/>
      <c r="AO363" s="179"/>
      <c r="AP363" s="549"/>
      <c r="AQ363" s="181"/>
      <c r="AR363" s="181"/>
      <c r="AS363" s="181"/>
      <c r="AT363" s="528"/>
      <c r="AU363" s="528"/>
      <c r="AV363" s="528"/>
      <c r="AW363" s="528"/>
      <c r="AX363" s="528"/>
      <c r="AY363" s="528"/>
      <c r="AZ363" s="528"/>
      <c r="BA363" s="528"/>
      <c r="BB363" s="528"/>
      <c r="BC363" s="528"/>
      <c r="BD363" s="528"/>
      <c r="BE363" s="528"/>
      <c r="BF363" s="528"/>
      <c r="BG363" s="528"/>
      <c r="BH363" s="528"/>
    </row>
    <row r="364">
      <c r="A364" s="179"/>
      <c r="B364" s="549"/>
      <c r="C364" s="181"/>
      <c r="D364" s="181"/>
      <c r="E364" s="181"/>
      <c r="F364" s="179"/>
      <c r="G364" s="549"/>
      <c r="H364" s="181"/>
      <c r="I364" s="181"/>
      <c r="J364" s="181"/>
      <c r="K364" s="156"/>
      <c r="L364" s="549"/>
      <c r="M364" s="181"/>
      <c r="N364" s="181"/>
      <c r="O364" s="181"/>
      <c r="P364" s="156"/>
      <c r="Q364" s="562"/>
      <c r="R364" s="181"/>
      <c r="S364" s="181"/>
      <c r="T364" s="181"/>
      <c r="U364" s="179"/>
      <c r="V364" s="549"/>
      <c r="W364" s="181"/>
      <c r="X364" s="181"/>
      <c r="Y364" s="181"/>
      <c r="Z364" s="179"/>
      <c r="AA364" s="549"/>
      <c r="AB364" s="181"/>
      <c r="AC364" s="181"/>
      <c r="AD364" s="181"/>
      <c r="AE364" s="179"/>
      <c r="AF364" s="549"/>
      <c r="AG364" s="181"/>
      <c r="AH364" s="181"/>
      <c r="AI364" s="181"/>
      <c r="AJ364" s="179"/>
      <c r="AK364" s="549"/>
      <c r="AL364" s="181"/>
      <c r="AM364" s="181"/>
      <c r="AN364" s="181"/>
      <c r="AO364" s="179"/>
      <c r="AP364" s="549"/>
      <c r="AQ364" s="181"/>
      <c r="AR364" s="181"/>
      <c r="AS364" s="181"/>
      <c r="AT364" s="528"/>
      <c r="AU364" s="528"/>
      <c r="AV364" s="528"/>
      <c r="AW364" s="528"/>
      <c r="AX364" s="528"/>
      <c r="AY364" s="528"/>
      <c r="AZ364" s="528"/>
      <c r="BA364" s="528"/>
      <c r="BB364" s="528"/>
      <c r="BC364" s="528"/>
      <c r="BD364" s="528"/>
      <c r="BE364" s="528"/>
      <c r="BF364" s="528"/>
      <c r="BG364" s="528"/>
      <c r="BH364" s="528"/>
    </row>
    <row r="365">
      <c r="A365" s="179"/>
      <c r="B365" s="549"/>
      <c r="C365" s="181"/>
      <c r="D365" s="181"/>
      <c r="E365" s="181"/>
      <c r="F365" s="179"/>
      <c r="G365" s="549"/>
      <c r="H365" s="181"/>
      <c r="I365" s="181"/>
      <c r="J365" s="181"/>
      <c r="K365" s="156"/>
      <c r="L365" s="549"/>
      <c r="M365" s="181"/>
      <c r="N365" s="181"/>
      <c r="O365" s="181"/>
      <c r="P365" s="156"/>
      <c r="Q365" s="562"/>
      <c r="R365" s="181"/>
      <c r="S365" s="181"/>
      <c r="T365" s="181"/>
      <c r="U365" s="179"/>
      <c r="V365" s="549"/>
      <c r="W365" s="181"/>
      <c r="X365" s="181"/>
      <c r="Y365" s="181"/>
      <c r="Z365" s="179"/>
      <c r="AA365" s="549"/>
      <c r="AB365" s="181"/>
      <c r="AC365" s="181"/>
      <c r="AD365" s="181"/>
      <c r="AE365" s="179"/>
      <c r="AF365" s="549"/>
      <c r="AG365" s="181"/>
      <c r="AH365" s="181"/>
      <c r="AI365" s="181"/>
      <c r="AJ365" s="179"/>
      <c r="AK365" s="549"/>
      <c r="AL365" s="181"/>
      <c r="AM365" s="181"/>
      <c r="AN365" s="181"/>
      <c r="AO365" s="179"/>
      <c r="AP365" s="549"/>
      <c r="AQ365" s="181"/>
      <c r="AR365" s="181"/>
      <c r="AS365" s="181"/>
      <c r="AT365" s="528"/>
      <c r="AU365" s="528"/>
      <c r="AV365" s="528"/>
      <c r="AW365" s="528"/>
      <c r="AX365" s="528"/>
      <c r="AY365" s="528"/>
      <c r="AZ365" s="528"/>
      <c r="BA365" s="528"/>
      <c r="BB365" s="528"/>
      <c r="BC365" s="528"/>
      <c r="BD365" s="528"/>
      <c r="BE365" s="528"/>
      <c r="BF365" s="528"/>
      <c r="BG365" s="528"/>
      <c r="BH365" s="528"/>
    </row>
    <row r="366">
      <c r="A366" s="179"/>
      <c r="B366" s="549"/>
      <c r="C366" s="181"/>
      <c r="D366" s="181"/>
      <c r="E366" s="181"/>
      <c r="F366" s="179"/>
      <c r="G366" s="549"/>
      <c r="H366" s="181"/>
      <c r="I366" s="181"/>
      <c r="J366" s="181"/>
      <c r="K366" s="156"/>
      <c r="L366" s="549"/>
      <c r="M366" s="181"/>
      <c r="N366" s="181"/>
      <c r="O366" s="181"/>
      <c r="P366" s="156"/>
      <c r="Q366" s="562"/>
      <c r="R366" s="181"/>
      <c r="S366" s="181"/>
      <c r="T366" s="181"/>
      <c r="U366" s="179"/>
      <c r="V366" s="549"/>
      <c r="W366" s="181"/>
      <c r="X366" s="181"/>
      <c r="Y366" s="181"/>
      <c r="Z366" s="179"/>
      <c r="AA366" s="549"/>
      <c r="AB366" s="181"/>
      <c r="AC366" s="181"/>
      <c r="AD366" s="181"/>
      <c r="AE366" s="179"/>
      <c r="AF366" s="549"/>
      <c r="AG366" s="181"/>
      <c r="AH366" s="181"/>
      <c r="AI366" s="181"/>
      <c r="AJ366" s="179"/>
      <c r="AK366" s="549"/>
      <c r="AL366" s="181"/>
      <c r="AM366" s="181"/>
      <c r="AN366" s="181"/>
      <c r="AO366" s="179"/>
      <c r="AP366" s="549"/>
      <c r="AQ366" s="181"/>
      <c r="AR366" s="181"/>
      <c r="AS366" s="181"/>
      <c r="AT366" s="528"/>
      <c r="AU366" s="528"/>
      <c r="AV366" s="528"/>
      <c r="AW366" s="528"/>
      <c r="AX366" s="528"/>
      <c r="AY366" s="528"/>
      <c r="AZ366" s="528"/>
      <c r="BA366" s="528"/>
      <c r="BB366" s="528"/>
      <c r="BC366" s="528"/>
      <c r="BD366" s="528"/>
      <c r="BE366" s="528"/>
      <c r="BF366" s="528"/>
      <c r="BG366" s="528"/>
      <c r="BH366" s="528"/>
    </row>
    <row r="367">
      <c r="A367" s="179"/>
      <c r="B367" s="549"/>
      <c r="C367" s="181"/>
      <c r="D367" s="181"/>
      <c r="E367" s="181"/>
      <c r="F367" s="179"/>
      <c r="G367" s="549"/>
      <c r="H367" s="181"/>
      <c r="I367" s="181"/>
      <c r="J367" s="181"/>
      <c r="K367" s="156"/>
      <c r="L367" s="549"/>
      <c r="M367" s="181"/>
      <c r="N367" s="181"/>
      <c r="O367" s="181"/>
      <c r="P367" s="156"/>
      <c r="Q367" s="562"/>
      <c r="R367" s="181"/>
      <c r="S367" s="181"/>
      <c r="T367" s="181"/>
      <c r="U367" s="179"/>
      <c r="V367" s="549"/>
      <c r="W367" s="181"/>
      <c r="X367" s="181"/>
      <c r="Y367" s="181"/>
      <c r="Z367" s="179"/>
      <c r="AA367" s="549"/>
      <c r="AB367" s="181"/>
      <c r="AC367" s="181"/>
      <c r="AD367" s="181"/>
      <c r="AE367" s="179"/>
      <c r="AF367" s="549"/>
      <c r="AG367" s="181"/>
      <c r="AH367" s="181"/>
      <c r="AI367" s="181"/>
      <c r="AJ367" s="179"/>
      <c r="AK367" s="549"/>
      <c r="AL367" s="181"/>
      <c r="AM367" s="181"/>
      <c r="AN367" s="181"/>
      <c r="AO367" s="179"/>
      <c r="AP367" s="549"/>
      <c r="AQ367" s="181"/>
      <c r="AR367" s="181"/>
      <c r="AS367" s="181"/>
      <c r="AT367" s="528"/>
      <c r="AU367" s="528"/>
      <c r="AV367" s="528"/>
      <c r="AW367" s="528"/>
      <c r="AX367" s="528"/>
      <c r="AY367" s="528"/>
      <c r="AZ367" s="528"/>
      <c r="BA367" s="528"/>
      <c r="BB367" s="528"/>
      <c r="BC367" s="528"/>
      <c r="BD367" s="528"/>
      <c r="BE367" s="528"/>
      <c r="BF367" s="528"/>
      <c r="BG367" s="528"/>
      <c r="BH367" s="528"/>
    </row>
    <row r="368">
      <c r="A368" s="179"/>
      <c r="B368" s="549"/>
      <c r="C368" s="181"/>
      <c r="D368" s="181"/>
      <c r="E368" s="181"/>
      <c r="F368" s="179"/>
      <c r="G368" s="549"/>
      <c r="H368" s="181"/>
      <c r="I368" s="181"/>
      <c r="J368" s="181"/>
      <c r="K368" s="156"/>
      <c r="L368" s="549"/>
      <c r="M368" s="181"/>
      <c r="N368" s="181"/>
      <c r="O368" s="181"/>
      <c r="P368" s="156"/>
      <c r="Q368" s="562"/>
      <c r="R368" s="181"/>
      <c r="S368" s="181"/>
      <c r="T368" s="181"/>
      <c r="U368" s="179"/>
      <c r="V368" s="549"/>
      <c r="W368" s="181"/>
      <c r="X368" s="181"/>
      <c r="Y368" s="181"/>
      <c r="Z368" s="179"/>
      <c r="AA368" s="549"/>
      <c r="AB368" s="181"/>
      <c r="AC368" s="181"/>
      <c r="AD368" s="181"/>
      <c r="AE368" s="179"/>
      <c r="AF368" s="549"/>
      <c r="AG368" s="181"/>
      <c r="AH368" s="181"/>
      <c r="AI368" s="181"/>
      <c r="AJ368" s="179"/>
      <c r="AK368" s="549"/>
      <c r="AL368" s="181"/>
      <c r="AM368" s="181"/>
      <c r="AN368" s="181"/>
      <c r="AO368" s="179"/>
      <c r="AP368" s="549"/>
      <c r="AQ368" s="181"/>
      <c r="AR368" s="181"/>
      <c r="AS368" s="181"/>
      <c r="AT368" s="528"/>
      <c r="AU368" s="528"/>
      <c r="AV368" s="528"/>
      <c r="AW368" s="528"/>
      <c r="AX368" s="528"/>
      <c r="AY368" s="528"/>
      <c r="AZ368" s="528"/>
      <c r="BA368" s="528"/>
      <c r="BB368" s="528"/>
      <c r="BC368" s="528"/>
      <c r="BD368" s="528"/>
      <c r="BE368" s="528"/>
      <c r="BF368" s="528"/>
      <c r="BG368" s="528"/>
      <c r="BH368" s="528"/>
    </row>
    <row r="369">
      <c r="A369" s="179"/>
      <c r="B369" s="549"/>
      <c r="C369" s="181"/>
      <c r="D369" s="181"/>
      <c r="E369" s="181"/>
      <c r="F369" s="179"/>
      <c r="G369" s="549"/>
      <c r="H369" s="181"/>
      <c r="I369" s="181"/>
      <c r="J369" s="181"/>
      <c r="K369" s="156"/>
      <c r="L369" s="549"/>
      <c r="M369" s="181"/>
      <c r="N369" s="181"/>
      <c r="O369" s="181"/>
      <c r="P369" s="156"/>
      <c r="Q369" s="562"/>
      <c r="R369" s="181"/>
      <c r="S369" s="181"/>
      <c r="T369" s="181"/>
      <c r="U369" s="179"/>
      <c r="V369" s="549"/>
      <c r="W369" s="181"/>
      <c r="X369" s="181"/>
      <c r="Y369" s="181"/>
      <c r="Z369" s="179"/>
      <c r="AA369" s="549"/>
      <c r="AB369" s="181"/>
      <c r="AC369" s="181"/>
      <c r="AD369" s="181"/>
      <c r="AE369" s="179"/>
      <c r="AF369" s="549"/>
      <c r="AG369" s="181"/>
      <c r="AH369" s="181"/>
      <c r="AI369" s="181"/>
      <c r="AJ369" s="179"/>
      <c r="AK369" s="549"/>
      <c r="AL369" s="181"/>
      <c r="AM369" s="181"/>
      <c r="AN369" s="181"/>
      <c r="AO369" s="179"/>
      <c r="AP369" s="549"/>
      <c r="AQ369" s="181"/>
      <c r="AR369" s="181"/>
      <c r="AS369" s="181"/>
      <c r="AT369" s="528"/>
      <c r="AU369" s="528"/>
      <c r="AV369" s="528"/>
      <c r="AW369" s="528"/>
      <c r="AX369" s="528"/>
      <c r="AY369" s="528"/>
      <c r="AZ369" s="528"/>
      <c r="BA369" s="528"/>
      <c r="BB369" s="528"/>
      <c r="BC369" s="528"/>
      <c r="BD369" s="528"/>
      <c r="BE369" s="528"/>
      <c r="BF369" s="528"/>
      <c r="BG369" s="528"/>
      <c r="BH369" s="528"/>
    </row>
    <row r="370">
      <c r="A370" s="179"/>
      <c r="B370" s="549"/>
      <c r="C370" s="181"/>
      <c r="D370" s="181"/>
      <c r="E370" s="181"/>
      <c r="F370" s="179"/>
      <c r="G370" s="549"/>
      <c r="H370" s="181"/>
      <c r="I370" s="181"/>
      <c r="J370" s="181"/>
      <c r="K370" s="156"/>
      <c r="L370" s="549"/>
      <c r="M370" s="181"/>
      <c r="N370" s="181"/>
      <c r="O370" s="181"/>
      <c r="P370" s="156"/>
      <c r="Q370" s="562"/>
      <c r="R370" s="181"/>
      <c r="S370" s="181"/>
      <c r="T370" s="181"/>
      <c r="U370" s="179"/>
      <c r="V370" s="549"/>
      <c r="W370" s="181"/>
      <c r="X370" s="181"/>
      <c r="Y370" s="181"/>
      <c r="Z370" s="179"/>
      <c r="AA370" s="549"/>
      <c r="AB370" s="181"/>
      <c r="AC370" s="181"/>
      <c r="AD370" s="181"/>
      <c r="AE370" s="179"/>
      <c r="AF370" s="549"/>
      <c r="AG370" s="181"/>
      <c r="AH370" s="181"/>
      <c r="AI370" s="181"/>
      <c r="AJ370" s="179"/>
      <c r="AK370" s="549"/>
      <c r="AL370" s="181"/>
      <c r="AM370" s="181"/>
      <c r="AN370" s="181"/>
      <c r="AO370" s="179"/>
      <c r="AP370" s="549"/>
      <c r="AQ370" s="181"/>
      <c r="AR370" s="181"/>
      <c r="AS370" s="181"/>
      <c r="AT370" s="528"/>
      <c r="AU370" s="528"/>
      <c r="AV370" s="528"/>
      <c r="AW370" s="528"/>
      <c r="AX370" s="528"/>
      <c r="AY370" s="528"/>
      <c r="AZ370" s="528"/>
      <c r="BA370" s="528"/>
      <c r="BB370" s="528"/>
      <c r="BC370" s="528"/>
      <c r="BD370" s="528"/>
      <c r="BE370" s="528"/>
      <c r="BF370" s="528"/>
      <c r="BG370" s="528"/>
      <c r="BH370" s="528"/>
    </row>
    <row r="371">
      <c r="A371" s="179"/>
      <c r="B371" s="549"/>
      <c r="C371" s="181"/>
      <c r="D371" s="181"/>
      <c r="E371" s="181"/>
      <c r="F371" s="179"/>
      <c r="G371" s="549"/>
      <c r="H371" s="181"/>
      <c r="I371" s="181"/>
      <c r="J371" s="181"/>
      <c r="K371" s="156"/>
      <c r="L371" s="549"/>
      <c r="M371" s="181"/>
      <c r="N371" s="181"/>
      <c r="O371" s="181"/>
      <c r="P371" s="156"/>
      <c r="Q371" s="562"/>
      <c r="R371" s="181"/>
      <c r="S371" s="181"/>
      <c r="T371" s="181"/>
      <c r="U371" s="179"/>
      <c r="V371" s="549"/>
      <c r="W371" s="181"/>
      <c r="X371" s="181"/>
      <c r="Y371" s="181"/>
      <c r="Z371" s="179"/>
      <c r="AA371" s="549"/>
      <c r="AB371" s="181"/>
      <c r="AC371" s="181"/>
      <c r="AD371" s="181"/>
      <c r="AE371" s="179"/>
      <c r="AF371" s="549"/>
      <c r="AG371" s="181"/>
      <c r="AH371" s="181"/>
      <c r="AI371" s="181"/>
      <c r="AJ371" s="179"/>
      <c r="AK371" s="549"/>
      <c r="AL371" s="181"/>
      <c r="AM371" s="181"/>
      <c r="AN371" s="181"/>
      <c r="AO371" s="179"/>
      <c r="AP371" s="549"/>
      <c r="AQ371" s="181"/>
      <c r="AR371" s="181"/>
      <c r="AS371" s="181"/>
      <c r="AT371" s="528"/>
      <c r="AU371" s="528"/>
      <c r="AV371" s="528"/>
      <c r="AW371" s="528"/>
      <c r="AX371" s="528"/>
      <c r="AY371" s="528"/>
      <c r="AZ371" s="528"/>
      <c r="BA371" s="528"/>
      <c r="BB371" s="528"/>
      <c r="BC371" s="528"/>
      <c r="BD371" s="528"/>
      <c r="BE371" s="528"/>
      <c r="BF371" s="528"/>
      <c r="BG371" s="528"/>
      <c r="BH371" s="528"/>
    </row>
    <row r="372">
      <c r="A372" s="179"/>
      <c r="B372" s="549"/>
      <c r="C372" s="181"/>
      <c r="D372" s="181"/>
      <c r="E372" s="181"/>
      <c r="F372" s="179"/>
      <c r="G372" s="549"/>
      <c r="H372" s="181"/>
      <c r="I372" s="181"/>
      <c r="J372" s="181"/>
      <c r="K372" s="156"/>
      <c r="L372" s="549"/>
      <c r="M372" s="181"/>
      <c r="N372" s="181"/>
      <c r="O372" s="181"/>
      <c r="P372" s="156"/>
      <c r="Q372" s="562"/>
      <c r="R372" s="181"/>
      <c r="S372" s="181"/>
      <c r="T372" s="181"/>
      <c r="U372" s="179"/>
      <c r="V372" s="549"/>
      <c r="W372" s="181"/>
      <c r="X372" s="181"/>
      <c r="Y372" s="181"/>
      <c r="Z372" s="179"/>
      <c r="AA372" s="549"/>
      <c r="AB372" s="181"/>
      <c r="AC372" s="181"/>
      <c r="AD372" s="181"/>
      <c r="AE372" s="179"/>
      <c r="AF372" s="549"/>
      <c r="AG372" s="181"/>
      <c r="AH372" s="181"/>
      <c r="AI372" s="181"/>
      <c r="AJ372" s="179"/>
      <c r="AK372" s="549"/>
      <c r="AL372" s="181"/>
      <c r="AM372" s="181"/>
      <c r="AN372" s="181"/>
      <c r="AO372" s="179"/>
      <c r="AP372" s="549"/>
      <c r="AQ372" s="181"/>
      <c r="AR372" s="181"/>
      <c r="AS372" s="181"/>
      <c r="AT372" s="528"/>
      <c r="AU372" s="528"/>
      <c r="AV372" s="528"/>
      <c r="AW372" s="528"/>
      <c r="AX372" s="528"/>
      <c r="AY372" s="528"/>
      <c r="AZ372" s="528"/>
      <c r="BA372" s="528"/>
      <c r="BB372" s="528"/>
      <c r="BC372" s="528"/>
      <c r="BD372" s="528"/>
      <c r="BE372" s="528"/>
      <c r="BF372" s="528"/>
      <c r="BG372" s="528"/>
      <c r="BH372" s="528"/>
    </row>
    <row r="373">
      <c r="A373" s="179"/>
      <c r="B373" s="549"/>
      <c r="C373" s="181"/>
      <c r="D373" s="181"/>
      <c r="E373" s="181"/>
      <c r="F373" s="179"/>
      <c r="G373" s="549"/>
      <c r="H373" s="181"/>
      <c r="I373" s="181"/>
      <c r="J373" s="181"/>
      <c r="K373" s="156"/>
      <c r="L373" s="549"/>
      <c r="M373" s="181"/>
      <c r="N373" s="181"/>
      <c r="O373" s="181"/>
      <c r="P373" s="156"/>
      <c r="Q373" s="562"/>
      <c r="R373" s="181"/>
      <c r="S373" s="181"/>
      <c r="T373" s="181"/>
      <c r="U373" s="179"/>
      <c r="V373" s="549"/>
      <c r="W373" s="181"/>
      <c r="X373" s="181"/>
      <c r="Y373" s="181"/>
      <c r="Z373" s="179"/>
      <c r="AA373" s="549"/>
      <c r="AB373" s="181"/>
      <c r="AC373" s="181"/>
      <c r="AD373" s="181"/>
      <c r="AE373" s="179"/>
      <c r="AF373" s="549"/>
      <c r="AG373" s="181"/>
      <c r="AH373" s="181"/>
      <c r="AI373" s="181"/>
      <c r="AJ373" s="179"/>
      <c r="AK373" s="549"/>
      <c r="AL373" s="181"/>
      <c r="AM373" s="181"/>
      <c r="AN373" s="181"/>
      <c r="AO373" s="179"/>
      <c r="AP373" s="549"/>
      <c r="AQ373" s="181"/>
      <c r="AR373" s="181"/>
      <c r="AS373" s="181"/>
      <c r="AT373" s="528"/>
      <c r="AU373" s="528"/>
      <c r="AV373" s="528"/>
      <c r="AW373" s="528"/>
      <c r="AX373" s="528"/>
      <c r="AY373" s="528"/>
      <c r="AZ373" s="528"/>
      <c r="BA373" s="528"/>
      <c r="BB373" s="528"/>
      <c r="BC373" s="528"/>
      <c r="BD373" s="528"/>
      <c r="BE373" s="528"/>
      <c r="BF373" s="528"/>
      <c r="BG373" s="528"/>
      <c r="BH373" s="528"/>
    </row>
    <row r="374">
      <c r="A374" s="179"/>
      <c r="B374" s="549"/>
      <c r="C374" s="181"/>
      <c r="D374" s="181"/>
      <c r="E374" s="181"/>
      <c r="F374" s="179"/>
      <c r="G374" s="549"/>
      <c r="H374" s="181"/>
      <c r="I374" s="181"/>
      <c r="J374" s="181"/>
      <c r="K374" s="156"/>
      <c r="L374" s="549"/>
      <c r="M374" s="181"/>
      <c r="N374" s="181"/>
      <c r="O374" s="181"/>
      <c r="P374" s="156"/>
      <c r="Q374" s="562"/>
      <c r="R374" s="181"/>
      <c r="S374" s="181"/>
      <c r="T374" s="181"/>
      <c r="U374" s="179"/>
      <c r="V374" s="549"/>
      <c r="W374" s="181"/>
      <c r="X374" s="181"/>
      <c r="Y374" s="181"/>
      <c r="Z374" s="179"/>
      <c r="AA374" s="549"/>
      <c r="AB374" s="181"/>
      <c r="AC374" s="181"/>
      <c r="AD374" s="181"/>
      <c r="AE374" s="179"/>
      <c r="AF374" s="549"/>
      <c r="AG374" s="181"/>
      <c r="AH374" s="181"/>
      <c r="AI374" s="181"/>
      <c r="AJ374" s="179"/>
      <c r="AK374" s="549"/>
      <c r="AL374" s="181"/>
      <c r="AM374" s="181"/>
      <c r="AN374" s="181"/>
      <c r="AO374" s="179"/>
      <c r="AP374" s="549"/>
      <c r="AQ374" s="181"/>
      <c r="AR374" s="181"/>
      <c r="AS374" s="181"/>
      <c r="AT374" s="528"/>
      <c r="AU374" s="528"/>
      <c r="AV374" s="528"/>
      <c r="AW374" s="528"/>
      <c r="AX374" s="528"/>
      <c r="AY374" s="528"/>
      <c r="AZ374" s="528"/>
      <c r="BA374" s="528"/>
      <c r="BB374" s="528"/>
      <c r="BC374" s="528"/>
      <c r="BD374" s="528"/>
      <c r="BE374" s="528"/>
      <c r="BF374" s="528"/>
      <c r="BG374" s="528"/>
      <c r="BH374" s="528"/>
    </row>
    <row r="375">
      <c r="A375" s="179"/>
      <c r="B375" s="549"/>
      <c r="C375" s="181"/>
      <c r="D375" s="181"/>
      <c r="E375" s="181"/>
      <c r="F375" s="179"/>
      <c r="G375" s="549"/>
      <c r="H375" s="181"/>
      <c r="I375" s="181"/>
      <c r="J375" s="181"/>
      <c r="K375" s="156"/>
      <c r="L375" s="549"/>
      <c r="M375" s="181"/>
      <c r="N375" s="181"/>
      <c r="O375" s="181"/>
      <c r="P375" s="156"/>
      <c r="Q375" s="562"/>
      <c r="R375" s="181"/>
      <c r="S375" s="181"/>
      <c r="T375" s="181"/>
      <c r="U375" s="179"/>
      <c r="V375" s="549"/>
      <c r="W375" s="181"/>
      <c r="X375" s="181"/>
      <c r="Y375" s="181"/>
      <c r="Z375" s="179"/>
      <c r="AA375" s="549"/>
      <c r="AB375" s="181"/>
      <c r="AC375" s="181"/>
      <c r="AD375" s="181"/>
      <c r="AE375" s="179"/>
      <c r="AF375" s="549"/>
      <c r="AG375" s="181"/>
      <c r="AH375" s="181"/>
      <c r="AI375" s="181"/>
      <c r="AJ375" s="179"/>
      <c r="AK375" s="549"/>
      <c r="AL375" s="181"/>
      <c r="AM375" s="181"/>
      <c r="AN375" s="181"/>
      <c r="AO375" s="179"/>
      <c r="AP375" s="549"/>
      <c r="AQ375" s="181"/>
      <c r="AR375" s="181"/>
      <c r="AS375" s="181"/>
      <c r="AT375" s="528"/>
      <c r="AU375" s="528"/>
      <c r="AV375" s="528"/>
      <c r="AW375" s="528"/>
      <c r="AX375" s="528"/>
      <c r="AY375" s="528"/>
      <c r="AZ375" s="528"/>
      <c r="BA375" s="528"/>
      <c r="BB375" s="528"/>
      <c r="BC375" s="528"/>
      <c r="BD375" s="528"/>
      <c r="BE375" s="528"/>
      <c r="BF375" s="528"/>
      <c r="BG375" s="528"/>
      <c r="BH375" s="528"/>
    </row>
    <row r="376">
      <c r="A376" s="179"/>
      <c r="B376" s="549"/>
      <c r="C376" s="181"/>
      <c r="D376" s="181"/>
      <c r="E376" s="181"/>
      <c r="F376" s="179"/>
      <c r="G376" s="549"/>
      <c r="H376" s="181"/>
      <c r="I376" s="181"/>
      <c r="J376" s="181"/>
      <c r="K376" s="156"/>
      <c r="L376" s="549"/>
      <c r="M376" s="181"/>
      <c r="N376" s="181"/>
      <c r="O376" s="181"/>
      <c r="P376" s="156"/>
      <c r="Q376" s="562"/>
      <c r="R376" s="181"/>
      <c r="S376" s="181"/>
      <c r="T376" s="181"/>
      <c r="U376" s="179"/>
      <c r="V376" s="549"/>
      <c r="W376" s="181"/>
      <c r="X376" s="181"/>
      <c r="Y376" s="181"/>
      <c r="Z376" s="179"/>
      <c r="AA376" s="549"/>
      <c r="AB376" s="181"/>
      <c r="AC376" s="181"/>
      <c r="AD376" s="181"/>
      <c r="AE376" s="179"/>
      <c r="AF376" s="549"/>
      <c r="AG376" s="181"/>
      <c r="AH376" s="181"/>
      <c r="AI376" s="181"/>
      <c r="AJ376" s="179"/>
      <c r="AK376" s="549"/>
      <c r="AL376" s="181"/>
      <c r="AM376" s="181"/>
      <c r="AN376" s="181"/>
      <c r="AO376" s="179"/>
      <c r="AP376" s="549"/>
      <c r="AQ376" s="181"/>
      <c r="AR376" s="181"/>
      <c r="AS376" s="181"/>
      <c r="AT376" s="528"/>
      <c r="AU376" s="528"/>
      <c r="AV376" s="528"/>
      <c r="AW376" s="528"/>
      <c r="AX376" s="528"/>
      <c r="AY376" s="528"/>
      <c r="AZ376" s="528"/>
      <c r="BA376" s="528"/>
      <c r="BB376" s="528"/>
      <c r="BC376" s="528"/>
      <c r="BD376" s="528"/>
      <c r="BE376" s="528"/>
      <c r="BF376" s="528"/>
      <c r="BG376" s="528"/>
      <c r="BH376" s="528"/>
    </row>
    <row r="377">
      <c r="A377" s="179"/>
      <c r="B377" s="549"/>
      <c r="C377" s="181"/>
      <c r="D377" s="181"/>
      <c r="E377" s="181"/>
      <c r="F377" s="179"/>
      <c r="G377" s="549"/>
      <c r="H377" s="181"/>
      <c r="I377" s="181"/>
      <c r="J377" s="181"/>
      <c r="K377" s="156"/>
      <c r="L377" s="549"/>
      <c r="M377" s="181"/>
      <c r="N377" s="181"/>
      <c r="O377" s="181"/>
      <c r="P377" s="156"/>
      <c r="Q377" s="562"/>
      <c r="R377" s="181"/>
      <c r="S377" s="181"/>
      <c r="T377" s="181"/>
      <c r="U377" s="179"/>
      <c r="V377" s="549"/>
      <c r="W377" s="181"/>
      <c r="X377" s="181"/>
      <c r="Y377" s="181"/>
      <c r="Z377" s="179"/>
      <c r="AA377" s="549"/>
      <c r="AB377" s="181"/>
      <c r="AC377" s="181"/>
      <c r="AD377" s="181"/>
      <c r="AE377" s="179"/>
      <c r="AF377" s="549"/>
      <c r="AG377" s="181"/>
      <c r="AH377" s="181"/>
      <c r="AI377" s="181"/>
      <c r="AJ377" s="179"/>
      <c r="AK377" s="549"/>
      <c r="AL377" s="181"/>
      <c r="AM377" s="181"/>
      <c r="AN377" s="181"/>
      <c r="AO377" s="179"/>
      <c r="AP377" s="549"/>
      <c r="AQ377" s="181"/>
      <c r="AR377" s="181"/>
      <c r="AS377" s="181"/>
      <c r="AT377" s="528"/>
      <c r="AU377" s="528"/>
      <c r="AV377" s="528"/>
      <c r="AW377" s="528"/>
      <c r="AX377" s="528"/>
      <c r="AY377" s="528"/>
      <c r="AZ377" s="528"/>
      <c r="BA377" s="528"/>
      <c r="BB377" s="528"/>
      <c r="BC377" s="528"/>
      <c r="BD377" s="528"/>
      <c r="BE377" s="528"/>
      <c r="BF377" s="528"/>
      <c r="BG377" s="528"/>
      <c r="BH377" s="528"/>
    </row>
    <row r="378">
      <c r="A378" s="179"/>
      <c r="B378" s="549"/>
      <c r="C378" s="181"/>
      <c r="D378" s="181"/>
      <c r="E378" s="181"/>
      <c r="F378" s="179"/>
      <c r="G378" s="549"/>
      <c r="H378" s="181"/>
      <c r="I378" s="181"/>
      <c r="J378" s="181"/>
      <c r="K378" s="156"/>
      <c r="L378" s="549"/>
      <c r="M378" s="181"/>
      <c r="N378" s="181"/>
      <c r="O378" s="181"/>
      <c r="P378" s="156"/>
      <c r="Q378" s="562"/>
      <c r="R378" s="181"/>
      <c r="S378" s="181"/>
      <c r="T378" s="181"/>
      <c r="U378" s="179"/>
      <c r="V378" s="549"/>
      <c r="W378" s="181"/>
      <c r="X378" s="181"/>
      <c r="Y378" s="181"/>
      <c r="Z378" s="179"/>
      <c r="AA378" s="549"/>
      <c r="AB378" s="181"/>
      <c r="AC378" s="181"/>
      <c r="AD378" s="181"/>
      <c r="AE378" s="179"/>
      <c r="AF378" s="549"/>
      <c r="AG378" s="181"/>
      <c r="AH378" s="181"/>
      <c r="AI378" s="181"/>
      <c r="AJ378" s="179"/>
      <c r="AK378" s="549"/>
      <c r="AL378" s="181"/>
      <c r="AM378" s="181"/>
      <c r="AN378" s="181"/>
      <c r="AO378" s="179"/>
      <c r="AP378" s="549"/>
      <c r="AQ378" s="181"/>
      <c r="AR378" s="181"/>
      <c r="AS378" s="181"/>
      <c r="AT378" s="528"/>
      <c r="AU378" s="528"/>
      <c r="AV378" s="528"/>
      <c r="AW378" s="528"/>
      <c r="AX378" s="528"/>
      <c r="AY378" s="528"/>
      <c r="AZ378" s="528"/>
      <c r="BA378" s="528"/>
      <c r="BB378" s="528"/>
      <c r="BC378" s="528"/>
      <c r="BD378" s="528"/>
      <c r="BE378" s="528"/>
      <c r="BF378" s="528"/>
      <c r="BG378" s="528"/>
      <c r="BH378" s="528"/>
    </row>
    <row r="379">
      <c r="A379" s="179"/>
      <c r="B379" s="549"/>
      <c r="C379" s="181"/>
      <c r="D379" s="181"/>
      <c r="E379" s="181"/>
      <c r="F379" s="179"/>
      <c r="G379" s="549"/>
      <c r="H379" s="181"/>
      <c r="I379" s="181"/>
      <c r="J379" s="181"/>
      <c r="K379" s="156"/>
      <c r="L379" s="549"/>
      <c r="M379" s="181"/>
      <c r="N379" s="181"/>
      <c r="O379" s="181"/>
      <c r="P379" s="156"/>
      <c r="Q379" s="562"/>
      <c r="R379" s="181"/>
      <c r="S379" s="181"/>
      <c r="T379" s="181"/>
      <c r="U379" s="179"/>
      <c r="V379" s="549"/>
      <c r="W379" s="181"/>
      <c r="X379" s="181"/>
      <c r="Y379" s="181"/>
      <c r="Z379" s="179"/>
      <c r="AA379" s="549"/>
      <c r="AB379" s="181"/>
      <c r="AC379" s="181"/>
      <c r="AD379" s="181"/>
      <c r="AE379" s="179"/>
      <c r="AF379" s="549"/>
      <c r="AG379" s="181"/>
      <c r="AH379" s="181"/>
      <c r="AI379" s="181"/>
      <c r="AJ379" s="179"/>
      <c r="AK379" s="549"/>
      <c r="AL379" s="181"/>
      <c r="AM379" s="181"/>
      <c r="AN379" s="181"/>
      <c r="AO379" s="179"/>
      <c r="AP379" s="549"/>
      <c r="AQ379" s="181"/>
      <c r="AR379" s="181"/>
      <c r="AS379" s="181"/>
      <c r="AT379" s="528"/>
      <c r="AU379" s="528"/>
      <c r="AV379" s="528"/>
      <c r="AW379" s="528"/>
      <c r="AX379" s="528"/>
      <c r="AY379" s="528"/>
      <c r="AZ379" s="528"/>
      <c r="BA379" s="528"/>
      <c r="BB379" s="528"/>
      <c r="BC379" s="528"/>
      <c r="BD379" s="528"/>
      <c r="BE379" s="528"/>
      <c r="BF379" s="528"/>
      <c r="BG379" s="528"/>
      <c r="BH379" s="528"/>
    </row>
    <row r="380">
      <c r="A380" s="179"/>
      <c r="B380" s="549"/>
      <c r="C380" s="181"/>
      <c r="D380" s="181"/>
      <c r="E380" s="181"/>
      <c r="F380" s="179"/>
      <c r="G380" s="549"/>
      <c r="H380" s="181"/>
      <c r="I380" s="181"/>
      <c r="J380" s="181"/>
      <c r="K380" s="156"/>
      <c r="L380" s="549"/>
      <c r="M380" s="181"/>
      <c r="N380" s="181"/>
      <c r="O380" s="181"/>
      <c r="P380" s="156"/>
      <c r="Q380" s="562"/>
      <c r="R380" s="181"/>
      <c r="S380" s="181"/>
      <c r="T380" s="181"/>
      <c r="U380" s="179"/>
      <c r="V380" s="549"/>
      <c r="W380" s="181"/>
      <c r="X380" s="181"/>
      <c r="Y380" s="181"/>
      <c r="Z380" s="179"/>
      <c r="AA380" s="549"/>
      <c r="AB380" s="181"/>
      <c r="AC380" s="181"/>
      <c r="AD380" s="181"/>
      <c r="AE380" s="179"/>
      <c r="AF380" s="549"/>
      <c r="AG380" s="181"/>
      <c r="AH380" s="181"/>
      <c r="AI380" s="181"/>
      <c r="AJ380" s="179"/>
      <c r="AK380" s="549"/>
      <c r="AL380" s="181"/>
      <c r="AM380" s="181"/>
      <c r="AN380" s="181"/>
      <c r="AO380" s="179"/>
      <c r="AP380" s="549"/>
      <c r="AQ380" s="181"/>
      <c r="AR380" s="181"/>
      <c r="AS380" s="181"/>
      <c r="AT380" s="528"/>
      <c r="AU380" s="528"/>
      <c r="AV380" s="528"/>
      <c r="AW380" s="528"/>
      <c r="AX380" s="528"/>
      <c r="AY380" s="528"/>
      <c r="AZ380" s="528"/>
      <c r="BA380" s="528"/>
      <c r="BB380" s="528"/>
      <c r="BC380" s="528"/>
      <c r="BD380" s="528"/>
      <c r="BE380" s="528"/>
      <c r="BF380" s="528"/>
      <c r="BG380" s="528"/>
      <c r="BH380" s="528"/>
    </row>
    <row r="381">
      <c r="A381" s="179"/>
      <c r="B381" s="549"/>
      <c r="C381" s="181"/>
      <c r="D381" s="181"/>
      <c r="E381" s="181"/>
      <c r="F381" s="179"/>
      <c r="G381" s="549"/>
      <c r="H381" s="181"/>
      <c r="I381" s="181"/>
      <c r="J381" s="181"/>
      <c r="K381" s="156"/>
      <c r="L381" s="549"/>
      <c r="M381" s="181"/>
      <c r="N381" s="181"/>
      <c r="O381" s="181"/>
      <c r="P381" s="156"/>
      <c r="Q381" s="562"/>
      <c r="R381" s="181"/>
      <c r="S381" s="181"/>
      <c r="T381" s="181"/>
      <c r="U381" s="179"/>
      <c r="V381" s="549"/>
      <c r="W381" s="181"/>
      <c r="X381" s="181"/>
      <c r="Y381" s="181"/>
      <c r="Z381" s="179"/>
      <c r="AA381" s="549"/>
      <c r="AB381" s="181"/>
      <c r="AC381" s="181"/>
      <c r="AD381" s="181"/>
      <c r="AE381" s="179"/>
      <c r="AF381" s="549"/>
      <c r="AG381" s="181"/>
      <c r="AH381" s="181"/>
      <c r="AI381" s="181"/>
      <c r="AJ381" s="179"/>
      <c r="AK381" s="549"/>
      <c r="AL381" s="181"/>
      <c r="AM381" s="181"/>
      <c r="AN381" s="181"/>
      <c r="AO381" s="179"/>
      <c r="AP381" s="549"/>
      <c r="AQ381" s="181"/>
      <c r="AR381" s="181"/>
      <c r="AS381" s="181"/>
      <c r="AT381" s="528"/>
      <c r="AU381" s="528"/>
      <c r="AV381" s="528"/>
      <c r="AW381" s="528"/>
      <c r="AX381" s="528"/>
      <c r="AY381" s="528"/>
      <c r="AZ381" s="528"/>
      <c r="BA381" s="528"/>
      <c r="BB381" s="528"/>
      <c r="BC381" s="528"/>
      <c r="BD381" s="528"/>
      <c r="BE381" s="528"/>
      <c r="BF381" s="528"/>
      <c r="BG381" s="528"/>
      <c r="BH381" s="528"/>
    </row>
    <row r="382">
      <c r="A382" s="179"/>
      <c r="B382" s="549"/>
      <c r="C382" s="181"/>
      <c r="D382" s="181"/>
      <c r="E382" s="181"/>
      <c r="F382" s="179"/>
      <c r="G382" s="549"/>
      <c r="H382" s="181"/>
      <c r="I382" s="181"/>
      <c r="J382" s="181"/>
      <c r="K382" s="156"/>
      <c r="L382" s="549"/>
      <c r="M382" s="181"/>
      <c r="N382" s="181"/>
      <c r="O382" s="181"/>
      <c r="P382" s="156"/>
      <c r="Q382" s="562"/>
      <c r="R382" s="181"/>
      <c r="S382" s="181"/>
      <c r="T382" s="181"/>
      <c r="U382" s="179"/>
      <c r="V382" s="549"/>
      <c r="W382" s="181"/>
      <c r="X382" s="181"/>
      <c r="Y382" s="181"/>
      <c r="Z382" s="179"/>
      <c r="AA382" s="549"/>
      <c r="AB382" s="181"/>
      <c r="AC382" s="181"/>
      <c r="AD382" s="181"/>
      <c r="AE382" s="179"/>
      <c r="AF382" s="549"/>
      <c r="AG382" s="181"/>
      <c r="AH382" s="181"/>
      <c r="AI382" s="181"/>
      <c r="AJ382" s="179"/>
      <c r="AK382" s="549"/>
      <c r="AL382" s="181"/>
      <c r="AM382" s="181"/>
      <c r="AN382" s="181"/>
      <c r="AO382" s="179"/>
      <c r="AP382" s="549"/>
      <c r="AQ382" s="181"/>
      <c r="AR382" s="181"/>
      <c r="AS382" s="181"/>
      <c r="AT382" s="528"/>
      <c r="AU382" s="528"/>
      <c r="AV382" s="528"/>
      <c r="AW382" s="528"/>
      <c r="AX382" s="528"/>
      <c r="AY382" s="528"/>
      <c r="AZ382" s="528"/>
      <c r="BA382" s="528"/>
      <c r="BB382" s="528"/>
      <c r="BC382" s="528"/>
      <c r="BD382" s="528"/>
      <c r="BE382" s="528"/>
      <c r="BF382" s="528"/>
      <c r="BG382" s="528"/>
      <c r="BH382" s="528"/>
    </row>
    <row r="383">
      <c r="A383" s="179"/>
      <c r="B383" s="549"/>
      <c r="C383" s="181"/>
      <c r="D383" s="181"/>
      <c r="E383" s="181"/>
      <c r="F383" s="179"/>
      <c r="G383" s="549"/>
      <c r="H383" s="181"/>
      <c r="I383" s="181"/>
      <c r="J383" s="181"/>
      <c r="K383" s="156"/>
      <c r="L383" s="549"/>
      <c r="M383" s="181"/>
      <c r="N383" s="181"/>
      <c r="O383" s="181"/>
      <c r="P383" s="156"/>
      <c r="Q383" s="562"/>
      <c r="R383" s="181"/>
      <c r="S383" s="181"/>
      <c r="T383" s="181"/>
      <c r="U383" s="179"/>
      <c r="V383" s="549"/>
      <c r="W383" s="181"/>
      <c r="X383" s="181"/>
      <c r="Y383" s="181"/>
      <c r="Z383" s="179"/>
      <c r="AA383" s="549"/>
      <c r="AB383" s="181"/>
      <c r="AC383" s="181"/>
      <c r="AD383" s="181"/>
      <c r="AE383" s="179"/>
      <c r="AF383" s="549"/>
      <c r="AG383" s="181"/>
      <c r="AH383" s="181"/>
      <c r="AI383" s="181"/>
      <c r="AJ383" s="179"/>
      <c r="AK383" s="549"/>
      <c r="AL383" s="181"/>
      <c r="AM383" s="181"/>
      <c r="AN383" s="181"/>
      <c r="AO383" s="179"/>
      <c r="AP383" s="549"/>
      <c r="AQ383" s="181"/>
      <c r="AR383" s="181"/>
      <c r="AS383" s="181"/>
      <c r="AT383" s="528"/>
      <c r="AU383" s="528"/>
      <c r="AV383" s="528"/>
      <c r="AW383" s="528"/>
      <c r="AX383" s="528"/>
      <c r="AY383" s="528"/>
      <c r="AZ383" s="528"/>
      <c r="BA383" s="528"/>
      <c r="BB383" s="528"/>
      <c r="BC383" s="528"/>
      <c r="BD383" s="528"/>
      <c r="BE383" s="528"/>
      <c r="BF383" s="528"/>
      <c r="BG383" s="528"/>
      <c r="BH383" s="528"/>
    </row>
    <row r="384">
      <c r="A384" s="179"/>
      <c r="B384" s="549"/>
      <c r="C384" s="181"/>
      <c r="D384" s="181"/>
      <c r="E384" s="181"/>
      <c r="F384" s="179"/>
      <c r="G384" s="549"/>
      <c r="H384" s="181"/>
      <c r="I384" s="181"/>
      <c r="J384" s="181"/>
      <c r="K384" s="156"/>
      <c r="L384" s="549"/>
      <c r="M384" s="181"/>
      <c r="N384" s="181"/>
      <c r="O384" s="181"/>
      <c r="P384" s="156"/>
      <c r="Q384" s="562"/>
      <c r="R384" s="181"/>
      <c r="S384" s="181"/>
      <c r="T384" s="181"/>
      <c r="U384" s="179"/>
      <c r="V384" s="549"/>
      <c r="W384" s="181"/>
      <c r="X384" s="181"/>
      <c r="Y384" s="181"/>
      <c r="Z384" s="179"/>
      <c r="AA384" s="549"/>
      <c r="AB384" s="181"/>
      <c r="AC384" s="181"/>
      <c r="AD384" s="181"/>
      <c r="AE384" s="179"/>
      <c r="AF384" s="549"/>
      <c r="AG384" s="181"/>
      <c r="AH384" s="181"/>
      <c r="AI384" s="181"/>
      <c r="AJ384" s="179"/>
      <c r="AK384" s="549"/>
      <c r="AL384" s="181"/>
      <c r="AM384" s="181"/>
      <c r="AN384" s="181"/>
      <c r="AO384" s="179"/>
      <c r="AP384" s="549"/>
      <c r="AQ384" s="181"/>
      <c r="AR384" s="181"/>
      <c r="AS384" s="181"/>
      <c r="AT384" s="528"/>
      <c r="AU384" s="528"/>
      <c r="AV384" s="528"/>
      <c r="AW384" s="528"/>
      <c r="AX384" s="528"/>
      <c r="AY384" s="528"/>
      <c r="AZ384" s="528"/>
      <c r="BA384" s="528"/>
      <c r="BB384" s="528"/>
      <c r="BC384" s="528"/>
      <c r="BD384" s="528"/>
      <c r="BE384" s="528"/>
      <c r="BF384" s="528"/>
      <c r="BG384" s="528"/>
      <c r="BH384" s="528"/>
    </row>
    <row r="385">
      <c r="A385" s="179"/>
      <c r="B385" s="549"/>
      <c r="C385" s="181"/>
      <c r="D385" s="181"/>
      <c r="E385" s="181"/>
      <c r="F385" s="179"/>
      <c r="G385" s="549"/>
      <c r="H385" s="181"/>
      <c r="I385" s="181"/>
      <c r="J385" s="181"/>
      <c r="K385" s="156"/>
      <c r="L385" s="549"/>
      <c r="M385" s="181"/>
      <c r="N385" s="181"/>
      <c r="O385" s="181"/>
      <c r="P385" s="156"/>
      <c r="Q385" s="562"/>
      <c r="R385" s="181"/>
      <c r="S385" s="181"/>
      <c r="T385" s="181"/>
      <c r="U385" s="179"/>
      <c r="V385" s="549"/>
      <c r="W385" s="181"/>
      <c r="X385" s="181"/>
      <c r="Y385" s="181"/>
      <c r="Z385" s="179"/>
      <c r="AA385" s="549"/>
      <c r="AB385" s="181"/>
      <c r="AC385" s="181"/>
      <c r="AD385" s="181"/>
      <c r="AE385" s="179"/>
      <c r="AF385" s="549"/>
      <c r="AG385" s="181"/>
      <c r="AH385" s="181"/>
      <c r="AI385" s="181"/>
      <c r="AJ385" s="179"/>
      <c r="AK385" s="549"/>
      <c r="AL385" s="181"/>
      <c r="AM385" s="181"/>
      <c r="AN385" s="181"/>
      <c r="AO385" s="179"/>
      <c r="AP385" s="549"/>
      <c r="AQ385" s="181"/>
      <c r="AR385" s="181"/>
      <c r="AS385" s="181"/>
      <c r="AT385" s="528"/>
      <c r="AU385" s="528"/>
      <c r="AV385" s="528"/>
      <c r="AW385" s="528"/>
      <c r="AX385" s="528"/>
      <c r="AY385" s="528"/>
      <c r="AZ385" s="528"/>
      <c r="BA385" s="528"/>
      <c r="BB385" s="528"/>
      <c r="BC385" s="528"/>
      <c r="BD385" s="528"/>
      <c r="BE385" s="528"/>
      <c r="BF385" s="528"/>
      <c r="BG385" s="528"/>
      <c r="BH385" s="528"/>
    </row>
    <row r="386">
      <c r="A386" s="179"/>
      <c r="B386" s="549"/>
      <c r="C386" s="181"/>
      <c r="D386" s="181"/>
      <c r="E386" s="181"/>
      <c r="F386" s="179"/>
      <c r="G386" s="549"/>
      <c r="H386" s="181"/>
      <c r="I386" s="181"/>
      <c r="J386" s="181"/>
      <c r="K386" s="156"/>
      <c r="L386" s="549"/>
      <c r="M386" s="181"/>
      <c r="N386" s="181"/>
      <c r="O386" s="181"/>
      <c r="P386" s="156"/>
      <c r="Q386" s="562"/>
      <c r="R386" s="181"/>
      <c r="S386" s="181"/>
      <c r="T386" s="181"/>
      <c r="U386" s="179"/>
      <c r="V386" s="549"/>
      <c r="W386" s="181"/>
      <c r="X386" s="181"/>
      <c r="Y386" s="181"/>
      <c r="Z386" s="179"/>
      <c r="AA386" s="549"/>
      <c r="AB386" s="181"/>
      <c r="AC386" s="181"/>
      <c r="AD386" s="181"/>
      <c r="AE386" s="179"/>
      <c r="AF386" s="549"/>
      <c r="AG386" s="181"/>
      <c r="AH386" s="181"/>
      <c r="AI386" s="181"/>
      <c r="AJ386" s="179"/>
      <c r="AK386" s="549"/>
      <c r="AL386" s="181"/>
      <c r="AM386" s="181"/>
      <c r="AN386" s="181"/>
      <c r="AO386" s="179"/>
      <c r="AP386" s="549"/>
      <c r="AQ386" s="181"/>
      <c r="AR386" s="181"/>
      <c r="AS386" s="181"/>
      <c r="AT386" s="528"/>
      <c r="AU386" s="528"/>
      <c r="AV386" s="528"/>
      <c r="AW386" s="528"/>
      <c r="AX386" s="528"/>
      <c r="AY386" s="528"/>
      <c r="AZ386" s="528"/>
      <c r="BA386" s="528"/>
      <c r="BB386" s="528"/>
      <c r="BC386" s="528"/>
      <c r="BD386" s="528"/>
      <c r="BE386" s="528"/>
      <c r="BF386" s="528"/>
      <c r="BG386" s="528"/>
      <c r="BH386" s="528"/>
    </row>
    <row r="387">
      <c r="A387" s="179"/>
      <c r="B387" s="549"/>
      <c r="C387" s="181"/>
      <c r="D387" s="181"/>
      <c r="E387" s="181"/>
      <c r="F387" s="179"/>
      <c r="G387" s="549"/>
      <c r="H387" s="181"/>
      <c r="I387" s="181"/>
      <c r="J387" s="181"/>
      <c r="K387" s="156"/>
      <c r="L387" s="549"/>
      <c r="M387" s="181"/>
      <c r="N387" s="181"/>
      <c r="O387" s="181"/>
      <c r="P387" s="156"/>
      <c r="Q387" s="562"/>
      <c r="R387" s="181"/>
      <c r="S387" s="181"/>
      <c r="T387" s="181"/>
      <c r="U387" s="179"/>
      <c r="V387" s="549"/>
      <c r="W387" s="181"/>
      <c r="X387" s="181"/>
      <c r="Y387" s="181"/>
      <c r="Z387" s="179"/>
      <c r="AA387" s="549"/>
      <c r="AB387" s="181"/>
      <c r="AC387" s="181"/>
      <c r="AD387" s="181"/>
      <c r="AE387" s="179"/>
      <c r="AF387" s="549"/>
      <c r="AG387" s="181"/>
      <c r="AH387" s="181"/>
      <c r="AI387" s="181"/>
      <c r="AJ387" s="179"/>
      <c r="AK387" s="549"/>
      <c r="AL387" s="181"/>
      <c r="AM387" s="181"/>
      <c r="AN387" s="181"/>
      <c r="AO387" s="179"/>
      <c r="AP387" s="549"/>
      <c r="AQ387" s="181"/>
      <c r="AR387" s="181"/>
      <c r="AS387" s="181"/>
      <c r="AT387" s="528"/>
      <c r="AU387" s="528"/>
      <c r="AV387" s="528"/>
      <c r="AW387" s="528"/>
      <c r="AX387" s="528"/>
      <c r="AY387" s="528"/>
      <c r="AZ387" s="528"/>
      <c r="BA387" s="528"/>
      <c r="BB387" s="528"/>
      <c r="BC387" s="528"/>
      <c r="BD387" s="528"/>
      <c r="BE387" s="528"/>
      <c r="BF387" s="528"/>
      <c r="BG387" s="528"/>
      <c r="BH387" s="528"/>
    </row>
    <row r="388">
      <c r="A388" s="179"/>
      <c r="B388" s="549"/>
      <c r="C388" s="181"/>
      <c r="D388" s="181"/>
      <c r="E388" s="181"/>
      <c r="F388" s="179"/>
      <c r="G388" s="549"/>
      <c r="H388" s="181"/>
      <c r="I388" s="181"/>
      <c r="J388" s="181"/>
      <c r="K388" s="156"/>
      <c r="L388" s="549"/>
      <c r="M388" s="181"/>
      <c r="N388" s="181"/>
      <c r="O388" s="181"/>
      <c r="P388" s="156"/>
      <c r="Q388" s="562"/>
      <c r="R388" s="181"/>
      <c r="S388" s="181"/>
      <c r="T388" s="181"/>
      <c r="U388" s="179"/>
      <c r="V388" s="549"/>
      <c r="W388" s="181"/>
      <c r="X388" s="181"/>
      <c r="Y388" s="181"/>
      <c r="Z388" s="179"/>
      <c r="AA388" s="549"/>
      <c r="AB388" s="181"/>
      <c r="AC388" s="181"/>
      <c r="AD388" s="181"/>
      <c r="AE388" s="179"/>
      <c r="AF388" s="549"/>
      <c r="AG388" s="181"/>
      <c r="AH388" s="181"/>
      <c r="AI388" s="181"/>
      <c r="AJ388" s="179"/>
      <c r="AK388" s="549"/>
      <c r="AL388" s="181"/>
      <c r="AM388" s="181"/>
      <c r="AN388" s="181"/>
      <c r="AO388" s="179"/>
      <c r="AP388" s="549"/>
      <c r="AQ388" s="181"/>
      <c r="AR388" s="181"/>
      <c r="AS388" s="181"/>
      <c r="AT388" s="528"/>
      <c r="AU388" s="528"/>
      <c r="AV388" s="528"/>
      <c r="AW388" s="528"/>
      <c r="AX388" s="528"/>
      <c r="AY388" s="528"/>
      <c r="AZ388" s="528"/>
      <c r="BA388" s="528"/>
      <c r="BB388" s="528"/>
      <c r="BC388" s="528"/>
      <c r="BD388" s="528"/>
      <c r="BE388" s="528"/>
      <c r="BF388" s="528"/>
      <c r="BG388" s="528"/>
      <c r="BH388" s="528"/>
    </row>
    <row r="389">
      <c r="A389" s="179"/>
      <c r="B389" s="549"/>
      <c r="C389" s="181"/>
      <c r="D389" s="181"/>
      <c r="E389" s="181"/>
      <c r="F389" s="179"/>
      <c r="G389" s="549"/>
      <c r="H389" s="181"/>
      <c r="I389" s="181"/>
      <c r="J389" s="181"/>
      <c r="K389" s="156"/>
      <c r="L389" s="549"/>
      <c r="M389" s="181"/>
      <c r="N389" s="181"/>
      <c r="O389" s="181"/>
      <c r="P389" s="156"/>
      <c r="Q389" s="562"/>
      <c r="R389" s="181"/>
      <c r="S389" s="181"/>
      <c r="T389" s="181"/>
      <c r="U389" s="179"/>
      <c r="V389" s="549"/>
      <c r="W389" s="181"/>
      <c r="X389" s="181"/>
      <c r="Y389" s="181"/>
      <c r="Z389" s="179"/>
      <c r="AA389" s="549"/>
      <c r="AB389" s="181"/>
      <c r="AC389" s="181"/>
      <c r="AD389" s="181"/>
      <c r="AE389" s="179"/>
      <c r="AF389" s="549"/>
      <c r="AG389" s="181"/>
      <c r="AH389" s="181"/>
      <c r="AI389" s="181"/>
      <c r="AJ389" s="179"/>
      <c r="AK389" s="549"/>
      <c r="AL389" s="181"/>
      <c r="AM389" s="181"/>
      <c r="AN389" s="181"/>
      <c r="AO389" s="179"/>
      <c r="AP389" s="549"/>
      <c r="AQ389" s="181"/>
      <c r="AR389" s="181"/>
      <c r="AS389" s="181"/>
      <c r="AT389" s="528"/>
      <c r="AU389" s="528"/>
      <c r="AV389" s="528"/>
      <c r="AW389" s="528"/>
      <c r="AX389" s="528"/>
      <c r="AY389" s="528"/>
      <c r="AZ389" s="528"/>
      <c r="BA389" s="528"/>
      <c r="BB389" s="528"/>
      <c r="BC389" s="528"/>
      <c r="BD389" s="528"/>
      <c r="BE389" s="528"/>
      <c r="BF389" s="528"/>
      <c r="BG389" s="528"/>
      <c r="BH389" s="528"/>
    </row>
    <row r="390">
      <c r="A390" s="179"/>
      <c r="B390" s="549"/>
      <c r="C390" s="181"/>
      <c r="D390" s="181"/>
      <c r="E390" s="181"/>
      <c r="F390" s="179"/>
      <c r="G390" s="549"/>
      <c r="H390" s="181"/>
      <c r="I390" s="181"/>
      <c r="J390" s="181"/>
      <c r="K390" s="156"/>
      <c r="L390" s="549"/>
      <c r="M390" s="181"/>
      <c r="N390" s="181"/>
      <c r="O390" s="181"/>
      <c r="P390" s="156"/>
      <c r="Q390" s="562"/>
      <c r="R390" s="181"/>
      <c r="S390" s="181"/>
      <c r="T390" s="181"/>
      <c r="U390" s="179"/>
      <c r="V390" s="549"/>
      <c r="W390" s="181"/>
      <c r="X390" s="181"/>
      <c r="Y390" s="181"/>
      <c r="Z390" s="179"/>
      <c r="AA390" s="549"/>
      <c r="AB390" s="181"/>
      <c r="AC390" s="181"/>
      <c r="AD390" s="181"/>
      <c r="AE390" s="179"/>
      <c r="AF390" s="549"/>
      <c r="AG390" s="181"/>
      <c r="AH390" s="181"/>
      <c r="AI390" s="181"/>
      <c r="AJ390" s="179"/>
      <c r="AK390" s="549"/>
      <c r="AL390" s="181"/>
      <c r="AM390" s="181"/>
      <c r="AN390" s="181"/>
      <c r="AO390" s="179"/>
      <c r="AP390" s="549"/>
      <c r="AQ390" s="181"/>
      <c r="AR390" s="181"/>
      <c r="AS390" s="181"/>
      <c r="AT390" s="528"/>
      <c r="AU390" s="528"/>
      <c r="AV390" s="528"/>
      <c r="AW390" s="528"/>
      <c r="AX390" s="528"/>
      <c r="AY390" s="528"/>
      <c r="AZ390" s="528"/>
      <c r="BA390" s="528"/>
      <c r="BB390" s="528"/>
      <c r="BC390" s="528"/>
      <c r="BD390" s="528"/>
      <c r="BE390" s="528"/>
      <c r="BF390" s="528"/>
      <c r="BG390" s="528"/>
      <c r="BH390" s="528"/>
    </row>
    <row r="391">
      <c r="A391" s="179"/>
      <c r="B391" s="549"/>
      <c r="C391" s="181"/>
      <c r="D391" s="181"/>
      <c r="E391" s="181"/>
      <c r="F391" s="179"/>
      <c r="G391" s="549"/>
      <c r="H391" s="181"/>
      <c r="I391" s="181"/>
      <c r="J391" s="181"/>
      <c r="K391" s="156"/>
      <c r="L391" s="549"/>
      <c r="M391" s="181"/>
      <c r="N391" s="181"/>
      <c r="O391" s="181"/>
      <c r="P391" s="156"/>
      <c r="Q391" s="562"/>
      <c r="R391" s="181"/>
      <c r="S391" s="181"/>
      <c r="T391" s="181"/>
      <c r="U391" s="179"/>
      <c r="V391" s="549"/>
      <c r="W391" s="181"/>
      <c r="X391" s="181"/>
      <c r="Y391" s="181"/>
      <c r="Z391" s="179"/>
      <c r="AA391" s="549"/>
      <c r="AB391" s="181"/>
      <c r="AC391" s="181"/>
      <c r="AD391" s="181"/>
      <c r="AE391" s="179"/>
      <c r="AF391" s="549"/>
      <c r="AG391" s="181"/>
      <c r="AH391" s="181"/>
      <c r="AI391" s="181"/>
      <c r="AJ391" s="179"/>
      <c r="AK391" s="549"/>
      <c r="AL391" s="181"/>
      <c r="AM391" s="181"/>
      <c r="AN391" s="181"/>
      <c r="AO391" s="179"/>
      <c r="AP391" s="549"/>
      <c r="AQ391" s="181"/>
      <c r="AR391" s="181"/>
      <c r="AS391" s="181"/>
      <c r="AT391" s="528"/>
      <c r="AU391" s="528"/>
      <c r="AV391" s="528"/>
      <c r="AW391" s="528"/>
      <c r="AX391" s="528"/>
      <c r="AY391" s="528"/>
      <c r="AZ391" s="528"/>
      <c r="BA391" s="528"/>
      <c r="BB391" s="528"/>
      <c r="BC391" s="528"/>
      <c r="BD391" s="528"/>
      <c r="BE391" s="528"/>
      <c r="BF391" s="528"/>
      <c r="BG391" s="528"/>
      <c r="BH391" s="528"/>
    </row>
    <row r="392">
      <c r="A392" s="179"/>
      <c r="B392" s="549"/>
      <c r="C392" s="181"/>
      <c r="D392" s="181"/>
      <c r="E392" s="181"/>
      <c r="F392" s="179"/>
      <c r="G392" s="549"/>
      <c r="H392" s="181"/>
      <c r="I392" s="181"/>
      <c r="J392" s="181"/>
      <c r="K392" s="156"/>
      <c r="L392" s="549"/>
      <c r="M392" s="181"/>
      <c r="N392" s="181"/>
      <c r="O392" s="181"/>
      <c r="P392" s="156"/>
      <c r="Q392" s="562"/>
      <c r="R392" s="181"/>
      <c r="S392" s="181"/>
      <c r="T392" s="181"/>
      <c r="U392" s="179"/>
      <c r="V392" s="549"/>
      <c r="W392" s="181"/>
      <c r="X392" s="181"/>
      <c r="Y392" s="181"/>
      <c r="Z392" s="179"/>
      <c r="AA392" s="549"/>
      <c r="AB392" s="181"/>
      <c r="AC392" s="181"/>
      <c r="AD392" s="181"/>
      <c r="AE392" s="179"/>
      <c r="AF392" s="549"/>
      <c r="AG392" s="181"/>
      <c r="AH392" s="181"/>
      <c r="AI392" s="181"/>
      <c r="AJ392" s="179"/>
      <c r="AK392" s="549"/>
      <c r="AL392" s="181"/>
      <c r="AM392" s="181"/>
      <c r="AN392" s="181"/>
      <c r="AO392" s="179"/>
      <c r="AP392" s="549"/>
      <c r="AQ392" s="181"/>
      <c r="AR392" s="181"/>
      <c r="AS392" s="181"/>
      <c r="AT392" s="528"/>
      <c r="AU392" s="528"/>
      <c r="AV392" s="528"/>
      <c r="AW392" s="528"/>
      <c r="AX392" s="528"/>
      <c r="AY392" s="528"/>
      <c r="AZ392" s="528"/>
      <c r="BA392" s="528"/>
      <c r="BB392" s="528"/>
      <c r="BC392" s="528"/>
      <c r="BD392" s="528"/>
      <c r="BE392" s="528"/>
      <c r="BF392" s="528"/>
      <c r="BG392" s="528"/>
      <c r="BH392" s="528"/>
    </row>
    <row r="393">
      <c r="A393" s="179"/>
      <c r="B393" s="549"/>
      <c r="C393" s="181"/>
      <c r="D393" s="181"/>
      <c r="E393" s="181"/>
      <c r="F393" s="179"/>
      <c r="G393" s="549"/>
      <c r="H393" s="181"/>
      <c r="I393" s="181"/>
      <c r="J393" s="181"/>
      <c r="K393" s="156"/>
      <c r="L393" s="549"/>
      <c r="M393" s="181"/>
      <c r="N393" s="181"/>
      <c r="O393" s="181"/>
      <c r="P393" s="156"/>
      <c r="Q393" s="562"/>
      <c r="R393" s="181"/>
      <c r="S393" s="181"/>
      <c r="T393" s="181"/>
      <c r="U393" s="179"/>
      <c r="V393" s="549"/>
      <c r="W393" s="181"/>
      <c r="X393" s="181"/>
      <c r="Y393" s="181"/>
      <c r="Z393" s="179"/>
      <c r="AA393" s="549"/>
      <c r="AB393" s="181"/>
      <c r="AC393" s="181"/>
      <c r="AD393" s="181"/>
      <c r="AE393" s="179"/>
      <c r="AF393" s="549"/>
      <c r="AG393" s="181"/>
      <c r="AH393" s="181"/>
      <c r="AI393" s="181"/>
      <c r="AJ393" s="179"/>
      <c r="AK393" s="549"/>
      <c r="AL393" s="181"/>
      <c r="AM393" s="181"/>
      <c r="AN393" s="181"/>
      <c r="AO393" s="179"/>
      <c r="AP393" s="549"/>
      <c r="AQ393" s="181"/>
      <c r="AR393" s="181"/>
      <c r="AS393" s="181"/>
      <c r="AT393" s="528"/>
      <c r="AU393" s="528"/>
      <c r="AV393" s="528"/>
      <c r="AW393" s="528"/>
      <c r="AX393" s="528"/>
      <c r="AY393" s="528"/>
      <c r="AZ393" s="528"/>
      <c r="BA393" s="528"/>
      <c r="BB393" s="528"/>
      <c r="BC393" s="528"/>
      <c r="BD393" s="528"/>
      <c r="BE393" s="528"/>
      <c r="BF393" s="528"/>
      <c r="BG393" s="528"/>
      <c r="BH393" s="528"/>
    </row>
    <row r="394">
      <c r="A394" s="179"/>
      <c r="B394" s="549"/>
      <c r="C394" s="181"/>
      <c r="D394" s="181"/>
      <c r="E394" s="181"/>
      <c r="F394" s="179"/>
      <c r="G394" s="549"/>
      <c r="H394" s="181"/>
      <c r="I394" s="181"/>
      <c r="J394" s="181"/>
      <c r="K394" s="156"/>
      <c r="L394" s="549"/>
      <c r="M394" s="181"/>
      <c r="N394" s="181"/>
      <c r="O394" s="181"/>
      <c r="P394" s="156"/>
      <c r="Q394" s="562"/>
      <c r="R394" s="181"/>
      <c r="S394" s="181"/>
      <c r="T394" s="181"/>
      <c r="U394" s="179"/>
      <c r="V394" s="549"/>
      <c r="W394" s="181"/>
      <c r="X394" s="181"/>
      <c r="Y394" s="181"/>
      <c r="Z394" s="179"/>
      <c r="AA394" s="549"/>
      <c r="AB394" s="181"/>
      <c r="AC394" s="181"/>
      <c r="AD394" s="181"/>
      <c r="AE394" s="179"/>
      <c r="AF394" s="549"/>
      <c r="AG394" s="181"/>
      <c r="AH394" s="181"/>
      <c r="AI394" s="181"/>
      <c r="AJ394" s="179"/>
      <c r="AK394" s="549"/>
      <c r="AL394" s="181"/>
      <c r="AM394" s="181"/>
      <c r="AN394" s="181"/>
      <c r="AO394" s="179"/>
      <c r="AP394" s="549"/>
      <c r="AQ394" s="181"/>
      <c r="AR394" s="181"/>
      <c r="AS394" s="181"/>
      <c r="AT394" s="528"/>
      <c r="AU394" s="528"/>
      <c r="AV394" s="528"/>
      <c r="AW394" s="528"/>
      <c r="AX394" s="528"/>
      <c r="AY394" s="528"/>
      <c r="AZ394" s="528"/>
      <c r="BA394" s="528"/>
      <c r="BB394" s="528"/>
      <c r="BC394" s="528"/>
      <c r="BD394" s="528"/>
      <c r="BE394" s="528"/>
      <c r="BF394" s="528"/>
      <c r="BG394" s="528"/>
      <c r="BH394" s="528"/>
    </row>
    <row r="395">
      <c r="A395" s="179"/>
      <c r="B395" s="549"/>
      <c r="C395" s="181"/>
      <c r="D395" s="181"/>
      <c r="E395" s="181"/>
      <c r="F395" s="179"/>
      <c r="G395" s="549"/>
      <c r="H395" s="181"/>
      <c r="I395" s="181"/>
      <c r="J395" s="181"/>
      <c r="K395" s="156"/>
      <c r="L395" s="549"/>
      <c r="M395" s="181"/>
      <c r="N395" s="181"/>
      <c r="O395" s="181"/>
      <c r="P395" s="156"/>
      <c r="Q395" s="562"/>
      <c r="R395" s="181"/>
      <c r="S395" s="181"/>
      <c r="T395" s="181"/>
      <c r="U395" s="179"/>
      <c r="V395" s="549"/>
      <c r="W395" s="181"/>
      <c r="X395" s="181"/>
      <c r="Y395" s="181"/>
      <c r="Z395" s="179"/>
      <c r="AA395" s="549"/>
      <c r="AB395" s="181"/>
      <c r="AC395" s="181"/>
      <c r="AD395" s="181"/>
      <c r="AE395" s="179"/>
      <c r="AF395" s="549"/>
      <c r="AG395" s="181"/>
      <c r="AH395" s="181"/>
      <c r="AI395" s="181"/>
      <c r="AJ395" s="179"/>
      <c r="AK395" s="549"/>
      <c r="AL395" s="181"/>
      <c r="AM395" s="181"/>
      <c r="AN395" s="181"/>
      <c r="AO395" s="179"/>
      <c r="AP395" s="549"/>
      <c r="AQ395" s="181"/>
      <c r="AR395" s="181"/>
      <c r="AS395" s="181"/>
      <c r="AT395" s="528"/>
      <c r="AU395" s="528"/>
      <c r="AV395" s="528"/>
      <c r="AW395" s="528"/>
      <c r="AX395" s="528"/>
      <c r="AY395" s="528"/>
      <c r="AZ395" s="528"/>
      <c r="BA395" s="528"/>
      <c r="BB395" s="528"/>
      <c r="BC395" s="528"/>
      <c r="BD395" s="528"/>
      <c r="BE395" s="528"/>
      <c r="BF395" s="528"/>
      <c r="BG395" s="528"/>
      <c r="BH395" s="528"/>
    </row>
    <row r="396">
      <c r="A396" s="179"/>
      <c r="B396" s="549"/>
      <c r="C396" s="181"/>
      <c r="D396" s="181"/>
      <c r="E396" s="181"/>
      <c r="F396" s="179"/>
      <c r="G396" s="549"/>
      <c r="H396" s="181"/>
      <c r="I396" s="181"/>
      <c r="J396" s="181"/>
      <c r="K396" s="156"/>
      <c r="L396" s="549"/>
      <c r="M396" s="181"/>
      <c r="N396" s="181"/>
      <c r="O396" s="181"/>
      <c r="P396" s="156"/>
      <c r="Q396" s="562"/>
      <c r="R396" s="181"/>
      <c r="S396" s="181"/>
      <c r="T396" s="181"/>
      <c r="U396" s="179"/>
      <c r="V396" s="549"/>
      <c r="W396" s="181"/>
      <c r="X396" s="181"/>
      <c r="Y396" s="181"/>
      <c r="Z396" s="179"/>
      <c r="AA396" s="549"/>
      <c r="AB396" s="181"/>
      <c r="AC396" s="181"/>
      <c r="AD396" s="181"/>
      <c r="AE396" s="179"/>
      <c r="AF396" s="549"/>
      <c r="AG396" s="181"/>
      <c r="AH396" s="181"/>
      <c r="AI396" s="181"/>
      <c r="AJ396" s="179"/>
      <c r="AK396" s="549"/>
      <c r="AL396" s="181"/>
      <c r="AM396" s="181"/>
      <c r="AN396" s="181"/>
      <c r="AO396" s="179"/>
      <c r="AP396" s="549"/>
      <c r="AQ396" s="181"/>
      <c r="AR396" s="181"/>
      <c r="AS396" s="181"/>
      <c r="AT396" s="528"/>
      <c r="AU396" s="528"/>
      <c r="AV396" s="528"/>
      <c r="AW396" s="528"/>
      <c r="AX396" s="528"/>
      <c r="AY396" s="528"/>
      <c r="AZ396" s="528"/>
      <c r="BA396" s="528"/>
      <c r="BB396" s="528"/>
      <c r="BC396" s="528"/>
      <c r="BD396" s="528"/>
      <c r="BE396" s="528"/>
      <c r="BF396" s="528"/>
      <c r="BG396" s="528"/>
      <c r="BH396" s="528"/>
    </row>
    <row r="397">
      <c r="A397" s="179"/>
      <c r="B397" s="549"/>
      <c r="C397" s="181"/>
      <c r="D397" s="181"/>
      <c r="E397" s="181"/>
      <c r="F397" s="179"/>
      <c r="G397" s="549"/>
      <c r="H397" s="181"/>
      <c r="I397" s="181"/>
      <c r="J397" s="181"/>
      <c r="K397" s="156"/>
      <c r="L397" s="549"/>
      <c r="M397" s="181"/>
      <c r="N397" s="181"/>
      <c r="O397" s="181"/>
      <c r="P397" s="156"/>
      <c r="Q397" s="562"/>
      <c r="R397" s="181"/>
      <c r="S397" s="181"/>
      <c r="T397" s="181"/>
      <c r="U397" s="179"/>
      <c r="V397" s="549"/>
      <c r="W397" s="181"/>
      <c r="X397" s="181"/>
      <c r="Y397" s="181"/>
      <c r="Z397" s="179"/>
      <c r="AA397" s="549"/>
      <c r="AB397" s="181"/>
      <c r="AC397" s="181"/>
      <c r="AD397" s="181"/>
      <c r="AE397" s="179"/>
      <c r="AF397" s="549"/>
      <c r="AG397" s="181"/>
      <c r="AH397" s="181"/>
      <c r="AI397" s="181"/>
      <c r="AJ397" s="179"/>
      <c r="AK397" s="549"/>
      <c r="AL397" s="181"/>
      <c r="AM397" s="181"/>
      <c r="AN397" s="181"/>
      <c r="AO397" s="179"/>
      <c r="AP397" s="549"/>
      <c r="AQ397" s="181"/>
      <c r="AR397" s="181"/>
      <c r="AS397" s="181"/>
      <c r="AT397" s="528"/>
      <c r="AU397" s="528"/>
      <c r="AV397" s="528"/>
      <c r="AW397" s="528"/>
      <c r="AX397" s="528"/>
      <c r="AY397" s="528"/>
      <c r="AZ397" s="528"/>
      <c r="BA397" s="528"/>
      <c r="BB397" s="528"/>
      <c r="BC397" s="528"/>
      <c r="BD397" s="528"/>
      <c r="BE397" s="528"/>
      <c r="BF397" s="528"/>
      <c r="BG397" s="528"/>
      <c r="BH397" s="528"/>
    </row>
    <row r="398">
      <c r="A398" s="179"/>
      <c r="B398" s="549"/>
      <c r="C398" s="181"/>
      <c r="D398" s="181"/>
      <c r="E398" s="181"/>
      <c r="F398" s="179"/>
      <c r="G398" s="549"/>
      <c r="H398" s="181"/>
      <c r="I398" s="181"/>
      <c r="J398" s="181"/>
      <c r="K398" s="156"/>
      <c r="L398" s="549"/>
      <c r="M398" s="181"/>
      <c r="N398" s="181"/>
      <c r="O398" s="181"/>
      <c r="P398" s="156"/>
      <c r="Q398" s="562"/>
      <c r="R398" s="181"/>
      <c r="S398" s="181"/>
      <c r="T398" s="181"/>
      <c r="U398" s="179"/>
      <c r="V398" s="549"/>
      <c r="W398" s="181"/>
      <c r="X398" s="181"/>
      <c r="Y398" s="181"/>
      <c r="Z398" s="179"/>
      <c r="AA398" s="549"/>
      <c r="AB398" s="181"/>
      <c r="AC398" s="181"/>
      <c r="AD398" s="181"/>
      <c r="AE398" s="179"/>
      <c r="AF398" s="549"/>
      <c r="AG398" s="181"/>
      <c r="AH398" s="181"/>
      <c r="AI398" s="181"/>
      <c r="AJ398" s="179"/>
      <c r="AK398" s="549"/>
      <c r="AL398" s="181"/>
      <c r="AM398" s="181"/>
      <c r="AN398" s="181"/>
      <c r="AO398" s="179"/>
      <c r="AP398" s="549"/>
      <c r="AQ398" s="181"/>
      <c r="AR398" s="181"/>
      <c r="AS398" s="181"/>
      <c r="AT398" s="528"/>
      <c r="AU398" s="528"/>
      <c r="AV398" s="528"/>
      <c r="AW398" s="528"/>
      <c r="AX398" s="528"/>
      <c r="AY398" s="528"/>
      <c r="AZ398" s="528"/>
      <c r="BA398" s="528"/>
      <c r="BB398" s="528"/>
      <c r="BC398" s="528"/>
      <c r="BD398" s="528"/>
      <c r="BE398" s="528"/>
      <c r="BF398" s="528"/>
      <c r="BG398" s="528"/>
      <c r="BH398" s="528"/>
    </row>
    <row r="399">
      <c r="A399" s="179"/>
      <c r="B399" s="549"/>
      <c r="C399" s="181"/>
      <c r="D399" s="181"/>
      <c r="E399" s="181"/>
      <c r="F399" s="179"/>
      <c r="G399" s="549"/>
      <c r="H399" s="181"/>
      <c r="I399" s="181"/>
      <c r="J399" s="181"/>
      <c r="K399" s="156"/>
      <c r="L399" s="549"/>
      <c r="M399" s="181"/>
      <c r="N399" s="181"/>
      <c r="O399" s="181"/>
      <c r="P399" s="156"/>
      <c r="Q399" s="562"/>
      <c r="R399" s="181"/>
      <c r="S399" s="181"/>
      <c r="T399" s="181"/>
      <c r="U399" s="179"/>
      <c r="V399" s="549"/>
      <c r="W399" s="181"/>
      <c r="X399" s="181"/>
      <c r="Y399" s="181"/>
      <c r="Z399" s="179"/>
      <c r="AA399" s="549"/>
      <c r="AB399" s="181"/>
      <c r="AC399" s="181"/>
      <c r="AD399" s="181"/>
      <c r="AE399" s="179"/>
      <c r="AF399" s="549"/>
      <c r="AG399" s="181"/>
      <c r="AH399" s="181"/>
      <c r="AI399" s="181"/>
      <c r="AJ399" s="179"/>
      <c r="AK399" s="549"/>
      <c r="AL399" s="181"/>
      <c r="AM399" s="181"/>
      <c r="AN399" s="181"/>
      <c r="AO399" s="179"/>
      <c r="AP399" s="549"/>
      <c r="AQ399" s="181"/>
      <c r="AR399" s="181"/>
      <c r="AS399" s="181"/>
      <c r="AT399" s="528"/>
      <c r="AU399" s="528"/>
      <c r="AV399" s="528"/>
      <c r="AW399" s="528"/>
      <c r="AX399" s="528"/>
      <c r="AY399" s="528"/>
      <c r="AZ399" s="528"/>
      <c r="BA399" s="528"/>
      <c r="BB399" s="528"/>
      <c r="BC399" s="528"/>
      <c r="BD399" s="528"/>
      <c r="BE399" s="528"/>
      <c r="BF399" s="528"/>
      <c r="BG399" s="528"/>
      <c r="BH399" s="528"/>
    </row>
    <row r="400">
      <c r="A400" s="179"/>
      <c r="B400" s="549"/>
      <c r="C400" s="181"/>
      <c r="D400" s="181"/>
      <c r="E400" s="181"/>
      <c r="F400" s="179"/>
      <c r="G400" s="549"/>
      <c r="H400" s="181"/>
      <c r="I400" s="181"/>
      <c r="J400" s="181"/>
      <c r="K400" s="156"/>
      <c r="L400" s="549"/>
      <c r="M400" s="181"/>
      <c r="N400" s="181"/>
      <c r="O400" s="181"/>
      <c r="P400" s="156"/>
      <c r="Q400" s="562"/>
      <c r="R400" s="181"/>
      <c r="S400" s="181"/>
      <c r="T400" s="181"/>
      <c r="U400" s="179"/>
      <c r="V400" s="549"/>
      <c r="W400" s="181"/>
      <c r="X400" s="181"/>
      <c r="Y400" s="181"/>
      <c r="Z400" s="179"/>
      <c r="AA400" s="549"/>
      <c r="AB400" s="181"/>
      <c r="AC400" s="181"/>
      <c r="AD400" s="181"/>
      <c r="AE400" s="179"/>
      <c r="AF400" s="549"/>
      <c r="AG400" s="181"/>
      <c r="AH400" s="181"/>
      <c r="AI400" s="181"/>
      <c r="AJ400" s="179"/>
      <c r="AK400" s="549"/>
      <c r="AL400" s="181"/>
      <c r="AM400" s="181"/>
      <c r="AN400" s="181"/>
      <c r="AO400" s="179"/>
      <c r="AP400" s="549"/>
      <c r="AQ400" s="181"/>
      <c r="AR400" s="181"/>
      <c r="AS400" s="181"/>
      <c r="AT400" s="528"/>
      <c r="AU400" s="528"/>
      <c r="AV400" s="528"/>
      <c r="AW400" s="528"/>
      <c r="AX400" s="528"/>
      <c r="AY400" s="528"/>
      <c r="AZ400" s="528"/>
      <c r="BA400" s="528"/>
      <c r="BB400" s="528"/>
      <c r="BC400" s="528"/>
      <c r="BD400" s="528"/>
      <c r="BE400" s="528"/>
      <c r="BF400" s="528"/>
      <c r="BG400" s="528"/>
      <c r="BH400" s="528"/>
    </row>
    <row r="401">
      <c r="A401" s="179"/>
      <c r="B401" s="549"/>
      <c r="C401" s="181"/>
      <c r="D401" s="181"/>
      <c r="E401" s="181"/>
      <c r="F401" s="179"/>
      <c r="G401" s="549"/>
      <c r="H401" s="181"/>
      <c r="I401" s="181"/>
      <c r="J401" s="181"/>
      <c r="K401" s="156"/>
      <c r="L401" s="549"/>
      <c r="M401" s="181"/>
      <c r="N401" s="181"/>
      <c r="O401" s="181"/>
      <c r="P401" s="156"/>
      <c r="Q401" s="562"/>
      <c r="R401" s="181"/>
      <c r="S401" s="181"/>
      <c r="T401" s="181"/>
      <c r="U401" s="179"/>
      <c r="V401" s="549"/>
      <c r="W401" s="181"/>
      <c r="X401" s="181"/>
      <c r="Y401" s="181"/>
      <c r="Z401" s="179"/>
      <c r="AA401" s="549"/>
      <c r="AB401" s="181"/>
      <c r="AC401" s="181"/>
      <c r="AD401" s="181"/>
      <c r="AE401" s="179"/>
      <c r="AF401" s="549"/>
      <c r="AG401" s="181"/>
      <c r="AH401" s="181"/>
      <c r="AI401" s="181"/>
      <c r="AJ401" s="179"/>
      <c r="AK401" s="549"/>
      <c r="AL401" s="181"/>
      <c r="AM401" s="181"/>
      <c r="AN401" s="181"/>
      <c r="AO401" s="179"/>
      <c r="AP401" s="549"/>
      <c r="AQ401" s="181"/>
      <c r="AR401" s="181"/>
      <c r="AS401" s="181"/>
      <c r="AT401" s="528"/>
      <c r="AU401" s="528"/>
      <c r="AV401" s="528"/>
      <c r="AW401" s="528"/>
      <c r="AX401" s="528"/>
      <c r="AY401" s="528"/>
      <c r="AZ401" s="528"/>
      <c r="BA401" s="528"/>
      <c r="BB401" s="528"/>
      <c r="BC401" s="528"/>
      <c r="BD401" s="528"/>
      <c r="BE401" s="528"/>
      <c r="BF401" s="528"/>
      <c r="BG401" s="528"/>
      <c r="BH401" s="528"/>
    </row>
    <row r="402">
      <c r="A402" s="179"/>
      <c r="B402" s="549"/>
      <c r="C402" s="181"/>
      <c r="D402" s="181"/>
      <c r="E402" s="181"/>
      <c r="F402" s="179"/>
      <c r="G402" s="549"/>
      <c r="H402" s="181"/>
      <c r="I402" s="181"/>
      <c r="J402" s="181"/>
      <c r="K402" s="156"/>
      <c r="L402" s="549"/>
      <c r="M402" s="181"/>
      <c r="N402" s="181"/>
      <c r="O402" s="181"/>
      <c r="P402" s="156"/>
      <c r="Q402" s="562"/>
      <c r="R402" s="181"/>
      <c r="S402" s="181"/>
      <c r="T402" s="181"/>
      <c r="U402" s="179"/>
      <c r="V402" s="549"/>
      <c r="W402" s="181"/>
      <c r="X402" s="181"/>
      <c r="Y402" s="181"/>
      <c r="Z402" s="179"/>
      <c r="AA402" s="549"/>
      <c r="AB402" s="181"/>
      <c r="AC402" s="181"/>
      <c r="AD402" s="181"/>
      <c r="AE402" s="179"/>
      <c r="AF402" s="549"/>
      <c r="AG402" s="181"/>
      <c r="AH402" s="181"/>
      <c r="AI402" s="181"/>
      <c r="AJ402" s="179"/>
      <c r="AK402" s="549"/>
      <c r="AL402" s="181"/>
      <c r="AM402" s="181"/>
      <c r="AN402" s="181"/>
      <c r="AO402" s="179"/>
      <c r="AP402" s="549"/>
      <c r="AQ402" s="181"/>
      <c r="AR402" s="181"/>
      <c r="AS402" s="181"/>
      <c r="AT402" s="528"/>
      <c r="AU402" s="528"/>
      <c r="AV402" s="528"/>
      <c r="AW402" s="528"/>
      <c r="AX402" s="528"/>
      <c r="AY402" s="528"/>
      <c r="AZ402" s="528"/>
      <c r="BA402" s="528"/>
      <c r="BB402" s="528"/>
      <c r="BC402" s="528"/>
      <c r="BD402" s="528"/>
      <c r="BE402" s="528"/>
      <c r="BF402" s="528"/>
      <c r="BG402" s="528"/>
      <c r="BH402" s="528"/>
    </row>
    <row r="403">
      <c r="A403" s="179"/>
      <c r="B403" s="549"/>
      <c r="C403" s="181"/>
      <c r="D403" s="181"/>
      <c r="E403" s="181"/>
      <c r="F403" s="179"/>
      <c r="G403" s="549"/>
      <c r="H403" s="181"/>
      <c r="I403" s="181"/>
      <c r="J403" s="181"/>
      <c r="K403" s="156"/>
      <c r="L403" s="549"/>
      <c r="M403" s="181"/>
      <c r="N403" s="181"/>
      <c r="O403" s="181"/>
      <c r="P403" s="156"/>
      <c r="Q403" s="562"/>
      <c r="R403" s="181"/>
      <c r="S403" s="181"/>
      <c r="T403" s="181"/>
      <c r="U403" s="179"/>
      <c r="V403" s="549"/>
      <c r="W403" s="181"/>
      <c r="X403" s="181"/>
      <c r="Y403" s="181"/>
      <c r="Z403" s="179"/>
      <c r="AA403" s="549"/>
      <c r="AB403" s="181"/>
      <c r="AC403" s="181"/>
      <c r="AD403" s="181"/>
      <c r="AE403" s="179"/>
      <c r="AF403" s="549"/>
      <c r="AG403" s="181"/>
      <c r="AH403" s="181"/>
      <c r="AI403" s="181"/>
      <c r="AJ403" s="179"/>
      <c r="AK403" s="549"/>
      <c r="AL403" s="181"/>
      <c r="AM403" s="181"/>
      <c r="AN403" s="181"/>
      <c r="AO403" s="179"/>
      <c r="AP403" s="549"/>
      <c r="AQ403" s="181"/>
      <c r="AR403" s="181"/>
      <c r="AS403" s="181"/>
      <c r="AT403" s="528"/>
      <c r="AU403" s="528"/>
      <c r="AV403" s="528"/>
      <c r="AW403" s="528"/>
      <c r="AX403" s="528"/>
      <c r="AY403" s="528"/>
      <c r="AZ403" s="528"/>
      <c r="BA403" s="528"/>
      <c r="BB403" s="528"/>
      <c r="BC403" s="528"/>
      <c r="BD403" s="528"/>
      <c r="BE403" s="528"/>
      <c r="BF403" s="528"/>
      <c r="BG403" s="528"/>
      <c r="BH403" s="528"/>
    </row>
    <row r="404">
      <c r="A404" s="179"/>
      <c r="B404" s="549"/>
      <c r="C404" s="181"/>
      <c r="D404" s="181"/>
      <c r="E404" s="181"/>
      <c r="F404" s="179"/>
      <c r="G404" s="549"/>
      <c r="H404" s="181"/>
      <c r="I404" s="181"/>
      <c r="J404" s="181"/>
      <c r="K404" s="156"/>
      <c r="L404" s="549"/>
      <c r="M404" s="181"/>
      <c r="N404" s="181"/>
      <c r="O404" s="181"/>
      <c r="P404" s="156"/>
      <c r="Q404" s="562"/>
      <c r="R404" s="181"/>
      <c r="S404" s="181"/>
      <c r="T404" s="181"/>
      <c r="U404" s="179"/>
      <c r="V404" s="549"/>
      <c r="W404" s="181"/>
      <c r="X404" s="181"/>
      <c r="Y404" s="181"/>
      <c r="Z404" s="179"/>
      <c r="AA404" s="549"/>
      <c r="AB404" s="181"/>
      <c r="AC404" s="181"/>
      <c r="AD404" s="181"/>
      <c r="AE404" s="179"/>
      <c r="AF404" s="549"/>
      <c r="AG404" s="181"/>
      <c r="AH404" s="181"/>
      <c r="AI404" s="181"/>
      <c r="AJ404" s="179"/>
      <c r="AK404" s="549"/>
      <c r="AL404" s="181"/>
      <c r="AM404" s="181"/>
      <c r="AN404" s="181"/>
      <c r="AO404" s="179"/>
      <c r="AP404" s="549"/>
      <c r="AQ404" s="181"/>
      <c r="AR404" s="181"/>
      <c r="AS404" s="181"/>
      <c r="AT404" s="528"/>
      <c r="AU404" s="528"/>
      <c r="AV404" s="528"/>
      <c r="AW404" s="528"/>
      <c r="AX404" s="528"/>
      <c r="AY404" s="528"/>
      <c r="AZ404" s="528"/>
      <c r="BA404" s="528"/>
      <c r="BB404" s="528"/>
      <c r="BC404" s="528"/>
      <c r="BD404" s="528"/>
      <c r="BE404" s="528"/>
      <c r="BF404" s="528"/>
      <c r="BG404" s="528"/>
      <c r="BH404" s="528"/>
    </row>
    <row r="405">
      <c r="A405" s="179"/>
      <c r="B405" s="549"/>
      <c r="C405" s="181"/>
      <c r="D405" s="181"/>
      <c r="E405" s="181"/>
      <c r="F405" s="179"/>
      <c r="G405" s="549"/>
      <c r="H405" s="181"/>
      <c r="I405" s="181"/>
      <c r="J405" s="181"/>
      <c r="K405" s="156"/>
      <c r="L405" s="549"/>
      <c r="M405" s="181"/>
      <c r="N405" s="181"/>
      <c r="O405" s="181"/>
      <c r="P405" s="156"/>
      <c r="Q405" s="562"/>
      <c r="R405" s="181"/>
      <c r="S405" s="181"/>
      <c r="T405" s="181"/>
      <c r="U405" s="179"/>
      <c r="V405" s="549"/>
      <c r="W405" s="181"/>
      <c r="X405" s="181"/>
      <c r="Y405" s="181"/>
      <c r="Z405" s="179"/>
      <c r="AA405" s="549"/>
      <c r="AB405" s="181"/>
      <c r="AC405" s="181"/>
      <c r="AD405" s="181"/>
      <c r="AE405" s="179"/>
      <c r="AF405" s="549"/>
      <c r="AG405" s="181"/>
      <c r="AH405" s="181"/>
      <c r="AI405" s="181"/>
      <c r="AJ405" s="179"/>
      <c r="AK405" s="549"/>
      <c r="AL405" s="181"/>
      <c r="AM405" s="181"/>
      <c r="AN405" s="181"/>
      <c r="AO405" s="179"/>
      <c r="AP405" s="549"/>
      <c r="AQ405" s="181"/>
      <c r="AR405" s="181"/>
      <c r="AS405" s="181"/>
      <c r="AT405" s="528"/>
      <c r="AU405" s="528"/>
      <c r="AV405" s="528"/>
      <c r="AW405" s="528"/>
      <c r="AX405" s="528"/>
      <c r="AY405" s="528"/>
      <c r="AZ405" s="528"/>
      <c r="BA405" s="528"/>
      <c r="BB405" s="528"/>
      <c r="BC405" s="528"/>
      <c r="BD405" s="528"/>
      <c r="BE405" s="528"/>
      <c r="BF405" s="528"/>
      <c r="BG405" s="528"/>
      <c r="BH405" s="528"/>
    </row>
    <row r="406">
      <c r="A406" s="179"/>
      <c r="B406" s="549"/>
      <c r="C406" s="181"/>
      <c r="D406" s="181"/>
      <c r="E406" s="181"/>
      <c r="F406" s="179"/>
      <c r="G406" s="549"/>
      <c r="H406" s="181"/>
      <c r="I406" s="181"/>
      <c r="J406" s="181"/>
      <c r="K406" s="156"/>
      <c r="L406" s="549"/>
      <c r="M406" s="181"/>
      <c r="N406" s="181"/>
      <c r="O406" s="181"/>
      <c r="P406" s="156"/>
      <c r="Q406" s="562"/>
      <c r="R406" s="181"/>
      <c r="S406" s="181"/>
      <c r="T406" s="181"/>
      <c r="U406" s="179"/>
      <c r="V406" s="549"/>
      <c r="W406" s="181"/>
      <c r="X406" s="181"/>
      <c r="Y406" s="181"/>
      <c r="Z406" s="179"/>
      <c r="AA406" s="549"/>
      <c r="AB406" s="181"/>
      <c r="AC406" s="181"/>
      <c r="AD406" s="181"/>
      <c r="AE406" s="179"/>
      <c r="AF406" s="549"/>
      <c r="AG406" s="181"/>
      <c r="AH406" s="181"/>
      <c r="AI406" s="181"/>
      <c r="AJ406" s="179"/>
      <c r="AK406" s="549"/>
      <c r="AL406" s="181"/>
      <c r="AM406" s="181"/>
      <c r="AN406" s="181"/>
      <c r="AO406" s="179"/>
      <c r="AP406" s="549"/>
      <c r="AQ406" s="181"/>
      <c r="AR406" s="181"/>
      <c r="AS406" s="181"/>
      <c r="AT406" s="528"/>
      <c r="AU406" s="528"/>
      <c r="AV406" s="528"/>
      <c r="AW406" s="528"/>
      <c r="AX406" s="528"/>
      <c r="AY406" s="528"/>
      <c r="AZ406" s="528"/>
      <c r="BA406" s="528"/>
      <c r="BB406" s="528"/>
      <c r="BC406" s="528"/>
      <c r="BD406" s="528"/>
      <c r="BE406" s="528"/>
      <c r="BF406" s="528"/>
      <c r="BG406" s="528"/>
      <c r="BH406" s="528"/>
    </row>
    <row r="407">
      <c r="A407" s="179"/>
      <c r="B407" s="549"/>
      <c r="C407" s="181"/>
      <c r="D407" s="181"/>
      <c r="E407" s="181"/>
      <c r="F407" s="179"/>
      <c r="G407" s="549"/>
      <c r="H407" s="181"/>
      <c r="I407" s="181"/>
      <c r="J407" s="181"/>
      <c r="K407" s="156"/>
      <c r="L407" s="549"/>
      <c r="M407" s="181"/>
      <c r="N407" s="181"/>
      <c r="O407" s="181"/>
      <c r="P407" s="156"/>
      <c r="Q407" s="562"/>
      <c r="R407" s="181"/>
      <c r="S407" s="181"/>
      <c r="T407" s="181"/>
      <c r="U407" s="179"/>
      <c r="V407" s="549"/>
      <c r="W407" s="181"/>
      <c r="X407" s="181"/>
      <c r="Y407" s="181"/>
      <c r="Z407" s="179"/>
      <c r="AA407" s="549"/>
      <c r="AB407" s="181"/>
      <c r="AC407" s="181"/>
      <c r="AD407" s="181"/>
      <c r="AE407" s="179"/>
      <c r="AF407" s="549"/>
      <c r="AG407" s="181"/>
      <c r="AH407" s="181"/>
      <c r="AI407" s="181"/>
      <c r="AJ407" s="179"/>
      <c r="AK407" s="549"/>
      <c r="AL407" s="181"/>
      <c r="AM407" s="181"/>
      <c r="AN407" s="181"/>
      <c r="AO407" s="179"/>
      <c r="AP407" s="549"/>
      <c r="AQ407" s="181"/>
      <c r="AR407" s="181"/>
      <c r="AS407" s="181"/>
      <c r="AT407" s="528"/>
      <c r="AU407" s="528"/>
      <c r="AV407" s="528"/>
      <c r="AW407" s="528"/>
      <c r="AX407" s="528"/>
      <c r="AY407" s="528"/>
      <c r="AZ407" s="528"/>
      <c r="BA407" s="528"/>
      <c r="BB407" s="528"/>
      <c r="BC407" s="528"/>
      <c r="BD407" s="528"/>
      <c r="BE407" s="528"/>
      <c r="BF407" s="528"/>
      <c r="BG407" s="528"/>
      <c r="BH407" s="528"/>
    </row>
    <row r="408">
      <c r="A408" s="179"/>
      <c r="B408" s="549"/>
      <c r="C408" s="181"/>
      <c r="D408" s="181"/>
      <c r="E408" s="181"/>
      <c r="F408" s="179"/>
      <c r="G408" s="549"/>
      <c r="H408" s="181"/>
      <c r="I408" s="181"/>
      <c r="J408" s="181"/>
      <c r="K408" s="156"/>
      <c r="L408" s="549"/>
      <c r="M408" s="181"/>
      <c r="N408" s="181"/>
      <c r="O408" s="181"/>
      <c r="P408" s="156"/>
      <c r="Q408" s="562"/>
      <c r="R408" s="181"/>
      <c r="S408" s="181"/>
      <c r="T408" s="181"/>
      <c r="U408" s="179"/>
      <c r="V408" s="549"/>
      <c r="W408" s="181"/>
      <c r="X408" s="181"/>
      <c r="Y408" s="181"/>
      <c r="Z408" s="179"/>
      <c r="AA408" s="549"/>
      <c r="AB408" s="181"/>
      <c r="AC408" s="181"/>
      <c r="AD408" s="181"/>
      <c r="AE408" s="179"/>
      <c r="AF408" s="549"/>
      <c r="AG408" s="181"/>
      <c r="AH408" s="181"/>
      <c r="AI408" s="181"/>
      <c r="AJ408" s="179"/>
      <c r="AK408" s="549"/>
      <c r="AL408" s="181"/>
      <c r="AM408" s="181"/>
      <c r="AN408" s="181"/>
      <c r="AO408" s="179"/>
      <c r="AP408" s="549"/>
      <c r="AQ408" s="181"/>
      <c r="AR408" s="181"/>
      <c r="AS408" s="181"/>
      <c r="AT408" s="528"/>
      <c r="AU408" s="528"/>
      <c r="AV408" s="528"/>
      <c r="AW408" s="528"/>
      <c r="AX408" s="528"/>
      <c r="AY408" s="528"/>
      <c r="AZ408" s="528"/>
      <c r="BA408" s="528"/>
      <c r="BB408" s="528"/>
      <c r="BC408" s="528"/>
      <c r="BD408" s="528"/>
      <c r="BE408" s="528"/>
      <c r="BF408" s="528"/>
      <c r="BG408" s="528"/>
      <c r="BH408" s="528"/>
    </row>
    <row r="409">
      <c r="A409" s="179"/>
      <c r="B409" s="549"/>
      <c r="C409" s="181"/>
      <c r="D409" s="181"/>
      <c r="E409" s="181"/>
      <c r="F409" s="179"/>
      <c r="G409" s="549"/>
      <c r="H409" s="181"/>
      <c r="I409" s="181"/>
      <c r="J409" s="181"/>
      <c r="K409" s="156"/>
      <c r="L409" s="549"/>
      <c r="M409" s="181"/>
      <c r="N409" s="181"/>
      <c r="O409" s="181"/>
      <c r="P409" s="156"/>
      <c r="Q409" s="562"/>
      <c r="R409" s="181"/>
      <c r="S409" s="181"/>
      <c r="T409" s="181"/>
      <c r="U409" s="179"/>
      <c r="V409" s="549"/>
      <c r="W409" s="181"/>
      <c r="X409" s="181"/>
      <c r="Y409" s="181"/>
      <c r="Z409" s="179"/>
      <c r="AA409" s="549"/>
      <c r="AB409" s="181"/>
      <c r="AC409" s="181"/>
      <c r="AD409" s="181"/>
      <c r="AE409" s="179"/>
      <c r="AF409" s="549"/>
      <c r="AG409" s="181"/>
      <c r="AH409" s="181"/>
      <c r="AI409" s="181"/>
      <c r="AJ409" s="179"/>
      <c r="AK409" s="549"/>
      <c r="AL409" s="181"/>
      <c r="AM409" s="181"/>
      <c r="AN409" s="181"/>
      <c r="AO409" s="179"/>
      <c r="AP409" s="549"/>
      <c r="AQ409" s="181"/>
      <c r="AR409" s="181"/>
      <c r="AS409" s="181"/>
      <c r="AT409" s="528"/>
      <c r="AU409" s="528"/>
      <c r="AV409" s="528"/>
      <c r="AW409" s="528"/>
      <c r="AX409" s="528"/>
      <c r="AY409" s="528"/>
      <c r="AZ409" s="528"/>
      <c r="BA409" s="528"/>
      <c r="BB409" s="528"/>
      <c r="BC409" s="528"/>
      <c r="BD409" s="528"/>
      <c r="BE409" s="528"/>
      <c r="BF409" s="528"/>
      <c r="BG409" s="528"/>
      <c r="BH409" s="528"/>
    </row>
    <row r="410">
      <c r="A410" s="179"/>
      <c r="B410" s="549"/>
      <c r="C410" s="181"/>
      <c r="D410" s="181"/>
      <c r="E410" s="181"/>
      <c r="F410" s="179"/>
      <c r="G410" s="549"/>
      <c r="H410" s="181"/>
      <c r="I410" s="181"/>
      <c r="J410" s="181"/>
      <c r="K410" s="156"/>
      <c r="L410" s="549"/>
      <c r="M410" s="181"/>
      <c r="N410" s="181"/>
      <c r="O410" s="181"/>
      <c r="P410" s="156"/>
      <c r="Q410" s="562"/>
      <c r="R410" s="181"/>
      <c r="S410" s="181"/>
      <c r="T410" s="181"/>
      <c r="U410" s="179"/>
      <c r="V410" s="549"/>
      <c r="W410" s="181"/>
      <c r="X410" s="181"/>
      <c r="Y410" s="181"/>
      <c r="Z410" s="179"/>
      <c r="AA410" s="549"/>
      <c r="AB410" s="181"/>
      <c r="AC410" s="181"/>
      <c r="AD410" s="181"/>
      <c r="AE410" s="179"/>
      <c r="AF410" s="549"/>
      <c r="AG410" s="181"/>
      <c r="AH410" s="181"/>
      <c r="AI410" s="181"/>
      <c r="AJ410" s="179"/>
      <c r="AK410" s="549"/>
      <c r="AL410" s="181"/>
      <c r="AM410" s="181"/>
      <c r="AN410" s="181"/>
      <c r="AO410" s="179"/>
      <c r="AP410" s="549"/>
      <c r="AQ410" s="181"/>
      <c r="AR410" s="181"/>
      <c r="AS410" s="181"/>
      <c r="AT410" s="528"/>
      <c r="AU410" s="528"/>
      <c r="AV410" s="528"/>
      <c r="AW410" s="528"/>
      <c r="AX410" s="528"/>
      <c r="AY410" s="528"/>
      <c r="AZ410" s="528"/>
      <c r="BA410" s="528"/>
      <c r="BB410" s="528"/>
      <c r="BC410" s="528"/>
      <c r="BD410" s="528"/>
      <c r="BE410" s="528"/>
      <c r="BF410" s="528"/>
      <c r="BG410" s="528"/>
      <c r="BH410" s="528"/>
    </row>
    <row r="411">
      <c r="A411" s="179"/>
      <c r="B411" s="549"/>
      <c r="C411" s="181"/>
      <c r="D411" s="181"/>
      <c r="E411" s="181"/>
      <c r="F411" s="179"/>
      <c r="G411" s="549"/>
      <c r="H411" s="181"/>
      <c r="I411" s="181"/>
      <c r="J411" s="181"/>
      <c r="K411" s="156"/>
      <c r="L411" s="549"/>
      <c r="M411" s="181"/>
      <c r="N411" s="181"/>
      <c r="O411" s="181"/>
      <c r="P411" s="156"/>
      <c r="Q411" s="562"/>
      <c r="R411" s="181"/>
      <c r="S411" s="181"/>
      <c r="T411" s="181"/>
      <c r="U411" s="179"/>
      <c r="V411" s="549"/>
      <c r="W411" s="181"/>
      <c r="X411" s="181"/>
      <c r="Y411" s="181"/>
      <c r="Z411" s="179"/>
      <c r="AA411" s="549"/>
      <c r="AB411" s="181"/>
      <c r="AC411" s="181"/>
      <c r="AD411" s="181"/>
      <c r="AE411" s="179"/>
      <c r="AF411" s="549"/>
      <c r="AG411" s="181"/>
      <c r="AH411" s="181"/>
      <c r="AI411" s="181"/>
      <c r="AJ411" s="179"/>
      <c r="AK411" s="549"/>
      <c r="AL411" s="181"/>
      <c r="AM411" s="181"/>
      <c r="AN411" s="181"/>
      <c r="AO411" s="179"/>
      <c r="AP411" s="549"/>
      <c r="AQ411" s="181"/>
      <c r="AR411" s="181"/>
      <c r="AS411" s="181"/>
      <c r="AT411" s="528"/>
      <c r="AU411" s="528"/>
      <c r="AV411" s="528"/>
      <c r="AW411" s="528"/>
      <c r="AX411" s="528"/>
      <c r="AY411" s="528"/>
      <c r="AZ411" s="528"/>
      <c r="BA411" s="528"/>
      <c r="BB411" s="528"/>
      <c r="BC411" s="528"/>
      <c r="BD411" s="528"/>
      <c r="BE411" s="528"/>
      <c r="BF411" s="528"/>
      <c r="BG411" s="528"/>
      <c r="BH411" s="528"/>
    </row>
    <row r="412">
      <c r="A412" s="179"/>
      <c r="B412" s="549"/>
      <c r="C412" s="181"/>
      <c r="D412" s="181"/>
      <c r="E412" s="181"/>
      <c r="F412" s="179"/>
      <c r="G412" s="549"/>
      <c r="H412" s="181"/>
      <c r="I412" s="181"/>
      <c r="J412" s="181"/>
      <c r="K412" s="156"/>
      <c r="L412" s="549"/>
      <c r="M412" s="181"/>
      <c r="N412" s="181"/>
      <c r="O412" s="181"/>
      <c r="P412" s="156"/>
      <c r="Q412" s="562"/>
      <c r="R412" s="181"/>
      <c r="S412" s="181"/>
      <c r="T412" s="181"/>
      <c r="U412" s="179"/>
      <c r="V412" s="549"/>
      <c r="W412" s="181"/>
      <c r="X412" s="181"/>
      <c r="Y412" s="181"/>
      <c r="Z412" s="179"/>
      <c r="AA412" s="549"/>
      <c r="AB412" s="181"/>
      <c r="AC412" s="181"/>
      <c r="AD412" s="181"/>
      <c r="AE412" s="179"/>
      <c r="AF412" s="549"/>
      <c r="AG412" s="181"/>
      <c r="AH412" s="181"/>
      <c r="AI412" s="181"/>
      <c r="AJ412" s="179"/>
      <c r="AK412" s="549"/>
      <c r="AL412" s="181"/>
      <c r="AM412" s="181"/>
      <c r="AN412" s="181"/>
      <c r="AO412" s="179"/>
      <c r="AP412" s="549"/>
      <c r="AQ412" s="181"/>
      <c r="AR412" s="181"/>
      <c r="AS412" s="181"/>
      <c r="AT412" s="528"/>
      <c r="AU412" s="528"/>
      <c r="AV412" s="528"/>
      <c r="AW412" s="528"/>
      <c r="AX412" s="528"/>
      <c r="AY412" s="528"/>
      <c r="AZ412" s="528"/>
      <c r="BA412" s="528"/>
      <c r="BB412" s="528"/>
      <c r="BC412" s="528"/>
      <c r="BD412" s="528"/>
      <c r="BE412" s="528"/>
      <c r="BF412" s="528"/>
      <c r="BG412" s="528"/>
      <c r="BH412" s="528"/>
    </row>
    <row r="413">
      <c r="A413" s="179"/>
      <c r="B413" s="549"/>
      <c r="C413" s="181"/>
      <c r="D413" s="181"/>
      <c r="E413" s="181"/>
      <c r="F413" s="179"/>
      <c r="G413" s="549"/>
      <c r="H413" s="181"/>
      <c r="I413" s="181"/>
      <c r="J413" s="181"/>
      <c r="K413" s="156"/>
      <c r="L413" s="549"/>
      <c r="M413" s="181"/>
      <c r="N413" s="181"/>
      <c r="O413" s="181"/>
      <c r="P413" s="156"/>
      <c r="Q413" s="562"/>
      <c r="R413" s="181"/>
      <c r="S413" s="181"/>
      <c r="T413" s="181"/>
      <c r="U413" s="179"/>
      <c r="V413" s="549"/>
      <c r="W413" s="181"/>
      <c r="X413" s="181"/>
      <c r="Y413" s="181"/>
      <c r="Z413" s="179"/>
      <c r="AA413" s="549"/>
      <c r="AB413" s="181"/>
      <c r="AC413" s="181"/>
      <c r="AD413" s="181"/>
      <c r="AE413" s="179"/>
      <c r="AF413" s="549"/>
      <c r="AG413" s="181"/>
      <c r="AH413" s="181"/>
      <c r="AI413" s="181"/>
      <c r="AJ413" s="179"/>
      <c r="AK413" s="549"/>
      <c r="AL413" s="181"/>
      <c r="AM413" s="181"/>
      <c r="AN413" s="181"/>
      <c r="AO413" s="179"/>
      <c r="AP413" s="549"/>
      <c r="AQ413" s="181"/>
      <c r="AR413" s="181"/>
      <c r="AS413" s="181"/>
      <c r="AT413" s="528"/>
      <c r="AU413" s="528"/>
      <c r="AV413" s="528"/>
      <c r="AW413" s="528"/>
      <c r="AX413" s="528"/>
      <c r="AY413" s="528"/>
      <c r="AZ413" s="528"/>
      <c r="BA413" s="528"/>
      <c r="BB413" s="528"/>
      <c r="BC413" s="528"/>
      <c r="BD413" s="528"/>
      <c r="BE413" s="528"/>
      <c r="BF413" s="528"/>
      <c r="BG413" s="528"/>
      <c r="BH413" s="528"/>
    </row>
    <row r="414">
      <c r="A414" s="179"/>
      <c r="B414" s="549"/>
      <c r="C414" s="181"/>
      <c r="D414" s="181"/>
      <c r="E414" s="181"/>
      <c r="F414" s="179"/>
      <c r="G414" s="549"/>
      <c r="H414" s="181"/>
      <c r="I414" s="181"/>
      <c r="J414" s="181"/>
      <c r="K414" s="156"/>
      <c r="L414" s="549"/>
      <c r="M414" s="181"/>
      <c r="N414" s="181"/>
      <c r="O414" s="181"/>
      <c r="P414" s="156"/>
      <c r="Q414" s="562"/>
      <c r="R414" s="181"/>
      <c r="S414" s="181"/>
      <c r="T414" s="181"/>
      <c r="U414" s="179"/>
      <c r="V414" s="549"/>
      <c r="W414" s="181"/>
      <c r="X414" s="181"/>
      <c r="Y414" s="181"/>
      <c r="Z414" s="179"/>
      <c r="AA414" s="549"/>
      <c r="AB414" s="181"/>
      <c r="AC414" s="181"/>
      <c r="AD414" s="181"/>
      <c r="AE414" s="179"/>
      <c r="AF414" s="549"/>
      <c r="AG414" s="181"/>
      <c r="AH414" s="181"/>
      <c r="AI414" s="181"/>
      <c r="AJ414" s="179"/>
      <c r="AK414" s="549"/>
      <c r="AL414" s="181"/>
      <c r="AM414" s="181"/>
      <c r="AN414" s="181"/>
      <c r="AO414" s="179"/>
      <c r="AP414" s="549"/>
      <c r="AQ414" s="181"/>
      <c r="AR414" s="181"/>
      <c r="AS414" s="181"/>
      <c r="AT414" s="528"/>
      <c r="AU414" s="528"/>
      <c r="AV414" s="528"/>
      <c r="AW414" s="528"/>
      <c r="AX414" s="528"/>
      <c r="AY414" s="528"/>
      <c r="AZ414" s="528"/>
      <c r="BA414" s="528"/>
      <c r="BB414" s="528"/>
      <c r="BC414" s="528"/>
      <c r="BD414" s="528"/>
      <c r="BE414" s="528"/>
      <c r="BF414" s="528"/>
      <c r="BG414" s="528"/>
      <c r="BH414" s="528"/>
    </row>
    <row r="415">
      <c r="A415" s="179"/>
      <c r="B415" s="549"/>
      <c r="C415" s="181"/>
      <c r="D415" s="181"/>
      <c r="E415" s="181"/>
      <c r="F415" s="179"/>
      <c r="G415" s="549"/>
      <c r="H415" s="181"/>
      <c r="I415" s="181"/>
      <c r="J415" s="181"/>
      <c r="K415" s="156"/>
      <c r="L415" s="549"/>
      <c r="M415" s="181"/>
      <c r="N415" s="181"/>
      <c r="O415" s="181"/>
      <c r="P415" s="156"/>
      <c r="Q415" s="562"/>
      <c r="R415" s="181"/>
      <c r="S415" s="181"/>
      <c r="T415" s="181"/>
      <c r="U415" s="179"/>
      <c r="V415" s="549"/>
      <c r="W415" s="181"/>
      <c r="X415" s="181"/>
      <c r="Y415" s="181"/>
      <c r="Z415" s="179"/>
      <c r="AA415" s="549"/>
      <c r="AB415" s="181"/>
      <c r="AC415" s="181"/>
      <c r="AD415" s="181"/>
      <c r="AE415" s="179"/>
      <c r="AF415" s="549"/>
      <c r="AG415" s="181"/>
      <c r="AH415" s="181"/>
      <c r="AI415" s="181"/>
      <c r="AJ415" s="179"/>
      <c r="AK415" s="549"/>
      <c r="AL415" s="181"/>
      <c r="AM415" s="181"/>
      <c r="AN415" s="181"/>
      <c r="AO415" s="179"/>
      <c r="AP415" s="549"/>
      <c r="AQ415" s="181"/>
      <c r="AR415" s="181"/>
      <c r="AS415" s="181"/>
      <c r="AT415" s="528"/>
      <c r="AU415" s="528"/>
      <c r="AV415" s="528"/>
      <c r="AW415" s="528"/>
      <c r="AX415" s="528"/>
      <c r="AY415" s="528"/>
      <c r="AZ415" s="528"/>
      <c r="BA415" s="528"/>
      <c r="BB415" s="528"/>
      <c r="BC415" s="528"/>
      <c r="BD415" s="528"/>
      <c r="BE415" s="528"/>
      <c r="BF415" s="528"/>
      <c r="BG415" s="528"/>
      <c r="BH415" s="528"/>
    </row>
    <row r="416">
      <c r="A416" s="179"/>
      <c r="B416" s="549"/>
      <c r="C416" s="181"/>
      <c r="D416" s="181"/>
      <c r="E416" s="181"/>
      <c r="F416" s="179"/>
      <c r="G416" s="549"/>
      <c r="H416" s="181"/>
      <c r="I416" s="181"/>
      <c r="J416" s="181"/>
      <c r="K416" s="156"/>
      <c r="L416" s="549"/>
      <c r="M416" s="181"/>
      <c r="N416" s="181"/>
      <c r="O416" s="181"/>
      <c r="P416" s="156"/>
      <c r="Q416" s="562"/>
      <c r="R416" s="181"/>
      <c r="S416" s="181"/>
      <c r="T416" s="181"/>
      <c r="U416" s="179"/>
      <c r="V416" s="549"/>
      <c r="W416" s="181"/>
      <c r="X416" s="181"/>
      <c r="Y416" s="181"/>
      <c r="Z416" s="179"/>
      <c r="AA416" s="549"/>
      <c r="AB416" s="181"/>
      <c r="AC416" s="181"/>
      <c r="AD416" s="181"/>
      <c r="AE416" s="179"/>
      <c r="AF416" s="549"/>
      <c r="AG416" s="181"/>
      <c r="AH416" s="181"/>
      <c r="AI416" s="181"/>
      <c r="AJ416" s="179"/>
      <c r="AK416" s="549"/>
      <c r="AL416" s="181"/>
      <c r="AM416" s="181"/>
      <c r="AN416" s="181"/>
      <c r="AO416" s="179"/>
      <c r="AP416" s="549"/>
      <c r="AQ416" s="181"/>
      <c r="AR416" s="181"/>
      <c r="AS416" s="181"/>
      <c r="AT416" s="528"/>
      <c r="AU416" s="528"/>
      <c r="AV416" s="528"/>
      <c r="AW416" s="528"/>
      <c r="AX416" s="528"/>
      <c r="AY416" s="528"/>
      <c r="AZ416" s="528"/>
      <c r="BA416" s="528"/>
      <c r="BB416" s="528"/>
      <c r="BC416" s="528"/>
      <c r="BD416" s="528"/>
      <c r="BE416" s="528"/>
      <c r="BF416" s="528"/>
      <c r="BG416" s="528"/>
      <c r="BH416" s="528"/>
    </row>
    <row r="417">
      <c r="A417" s="179"/>
      <c r="B417" s="549"/>
      <c r="C417" s="181"/>
      <c r="D417" s="181"/>
      <c r="E417" s="181"/>
      <c r="F417" s="179"/>
      <c r="G417" s="549"/>
      <c r="H417" s="181"/>
      <c r="I417" s="181"/>
      <c r="J417" s="181"/>
      <c r="K417" s="156"/>
      <c r="L417" s="549"/>
      <c r="M417" s="181"/>
      <c r="N417" s="181"/>
      <c r="O417" s="181"/>
      <c r="P417" s="156"/>
      <c r="Q417" s="562"/>
      <c r="R417" s="181"/>
      <c r="S417" s="181"/>
      <c r="T417" s="181"/>
      <c r="U417" s="179"/>
      <c r="V417" s="549"/>
      <c r="W417" s="181"/>
      <c r="X417" s="181"/>
      <c r="Y417" s="181"/>
      <c r="Z417" s="179"/>
      <c r="AA417" s="549"/>
      <c r="AB417" s="181"/>
      <c r="AC417" s="181"/>
      <c r="AD417" s="181"/>
      <c r="AE417" s="179"/>
      <c r="AF417" s="549"/>
      <c r="AG417" s="181"/>
      <c r="AH417" s="181"/>
      <c r="AI417" s="181"/>
      <c r="AJ417" s="179"/>
      <c r="AK417" s="549"/>
      <c r="AL417" s="181"/>
      <c r="AM417" s="181"/>
      <c r="AN417" s="181"/>
      <c r="AO417" s="179"/>
      <c r="AP417" s="549"/>
      <c r="AQ417" s="181"/>
      <c r="AR417" s="181"/>
      <c r="AS417" s="181"/>
      <c r="AT417" s="528"/>
      <c r="AU417" s="528"/>
      <c r="AV417" s="528"/>
      <c r="AW417" s="528"/>
      <c r="AX417" s="528"/>
      <c r="AY417" s="528"/>
      <c r="AZ417" s="528"/>
      <c r="BA417" s="528"/>
      <c r="BB417" s="528"/>
      <c r="BC417" s="528"/>
      <c r="BD417" s="528"/>
      <c r="BE417" s="528"/>
      <c r="BF417" s="528"/>
      <c r="BG417" s="528"/>
      <c r="BH417" s="528"/>
    </row>
    <row r="418">
      <c r="A418" s="179"/>
      <c r="B418" s="549"/>
      <c r="C418" s="181"/>
      <c r="D418" s="181"/>
      <c r="E418" s="181"/>
      <c r="F418" s="179"/>
      <c r="G418" s="549"/>
      <c r="H418" s="181"/>
      <c r="I418" s="181"/>
      <c r="J418" s="181"/>
      <c r="K418" s="156"/>
      <c r="L418" s="549"/>
      <c r="M418" s="181"/>
      <c r="N418" s="181"/>
      <c r="O418" s="181"/>
      <c r="P418" s="156"/>
      <c r="Q418" s="562"/>
      <c r="R418" s="181"/>
      <c r="S418" s="181"/>
      <c r="T418" s="181"/>
      <c r="U418" s="179"/>
      <c r="V418" s="549"/>
      <c r="W418" s="181"/>
      <c r="X418" s="181"/>
      <c r="Y418" s="181"/>
      <c r="Z418" s="179"/>
      <c r="AA418" s="549"/>
      <c r="AB418" s="181"/>
      <c r="AC418" s="181"/>
      <c r="AD418" s="181"/>
      <c r="AE418" s="179"/>
      <c r="AF418" s="549"/>
      <c r="AG418" s="181"/>
      <c r="AH418" s="181"/>
      <c r="AI418" s="181"/>
      <c r="AJ418" s="179"/>
      <c r="AK418" s="549"/>
      <c r="AL418" s="181"/>
      <c r="AM418" s="181"/>
      <c r="AN418" s="181"/>
      <c r="AO418" s="179"/>
      <c r="AP418" s="549"/>
      <c r="AQ418" s="181"/>
      <c r="AR418" s="181"/>
      <c r="AS418" s="181"/>
      <c r="AT418" s="528"/>
      <c r="AU418" s="528"/>
      <c r="AV418" s="528"/>
      <c r="AW418" s="528"/>
      <c r="AX418" s="528"/>
      <c r="AY418" s="528"/>
      <c r="AZ418" s="528"/>
      <c r="BA418" s="528"/>
      <c r="BB418" s="528"/>
      <c r="BC418" s="528"/>
      <c r="BD418" s="528"/>
      <c r="BE418" s="528"/>
      <c r="BF418" s="528"/>
      <c r="BG418" s="528"/>
      <c r="BH418" s="528"/>
    </row>
    <row r="419">
      <c r="A419" s="179"/>
      <c r="B419" s="549"/>
      <c r="C419" s="181"/>
      <c r="D419" s="181"/>
      <c r="E419" s="181"/>
      <c r="F419" s="179"/>
      <c r="G419" s="549"/>
      <c r="H419" s="181"/>
      <c r="I419" s="181"/>
      <c r="J419" s="181"/>
      <c r="K419" s="156"/>
      <c r="L419" s="549"/>
      <c r="M419" s="181"/>
      <c r="N419" s="181"/>
      <c r="O419" s="181"/>
      <c r="P419" s="156"/>
      <c r="Q419" s="562"/>
      <c r="R419" s="181"/>
      <c r="S419" s="181"/>
      <c r="T419" s="181"/>
      <c r="U419" s="179"/>
      <c r="V419" s="549"/>
      <c r="W419" s="181"/>
      <c r="X419" s="181"/>
      <c r="Y419" s="181"/>
      <c r="Z419" s="179"/>
      <c r="AA419" s="549"/>
      <c r="AB419" s="181"/>
      <c r="AC419" s="181"/>
      <c r="AD419" s="181"/>
      <c r="AE419" s="179"/>
      <c r="AF419" s="549"/>
      <c r="AG419" s="181"/>
      <c r="AH419" s="181"/>
      <c r="AI419" s="181"/>
      <c r="AJ419" s="179"/>
      <c r="AK419" s="549"/>
      <c r="AL419" s="181"/>
      <c r="AM419" s="181"/>
      <c r="AN419" s="181"/>
      <c r="AO419" s="179"/>
      <c r="AP419" s="549"/>
      <c r="AQ419" s="181"/>
      <c r="AR419" s="181"/>
      <c r="AS419" s="181"/>
      <c r="AT419" s="528"/>
      <c r="AU419" s="528"/>
      <c r="AV419" s="528"/>
      <c r="AW419" s="528"/>
      <c r="AX419" s="528"/>
      <c r="AY419" s="528"/>
      <c r="AZ419" s="528"/>
      <c r="BA419" s="528"/>
      <c r="BB419" s="528"/>
      <c r="BC419" s="528"/>
      <c r="BD419" s="528"/>
      <c r="BE419" s="528"/>
      <c r="BF419" s="528"/>
      <c r="BG419" s="528"/>
      <c r="BH419" s="528"/>
    </row>
    <row r="420">
      <c r="A420" s="179"/>
      <c r="B420" s="549"/>
      <c r="C420" s="181"/>
      <c r="D420" s="181"/>
      <c r="E420" s="181"/>
      <c r="F420" s="179"/>
      <c r="G420" s="549"/>
      <c r="H420" s="181"/>
      <c r="I420" s="181"/>
      <c r="J420" s="181"/>
      <c r="K420" s="156"/>
      <c r="L420" s="549"/>
      <c r="M420" s="181"/>
      <c r="N420" s="181"/>
      <c r="O420" s="181"/>
      <c r="P420" s="156"/>
      <c r="Q420" s="562"/>
      <c r="R420" s="181"/>
      <c r="S420" s="181"/>
      <c r="T420" s="181"/>
      <c r="U420" s="179"/>
      <c r="V420" s="549"/>
      <c r="W420" s="181"/>
      <c r="X420" s="181"/>
      <c r="Y420" s="181"/>
      <c r="Z420" s="179"/>
      <c r="AA420" s="549"/>
      <c r="AB420" s="181"/>
      <c r="AC420" s="181"/>
      <c r="AD420" s="181"/>
      <c r="AE420" s="179"/>
      <c r="AF420" s="549"/>
      <c r="AG420" s="181"/>
      <c r="AH420" s="181"/>
      <c r="AI420" s="181"/>
      <c r="AJ420" s="179"/>
      <c r="AK420" s="549"/>
      <c r="AL420" s="181"/>
      <c r="AM420" s="181"/>
      <c r="AN420" s="181"/>
      <c r="AO420" s="179"/>
      <c r="AP420" s="549"/>
      <c r="AQ420" s="181"/>
      <c r="AR420" s="181"/>
      <c r="AS420" s="181"/>
      <c r="AT420" s="528"/>
      <c r="AU420" s="528"/>
      <c r="AV420" s="528"/>
      <c r="AW420" s="528"/>
      <c r="AX420" s="528"/>
      <c r="AY420" s="528"/>
      <c r="AZ420" s="528"/>
      <c r="BA420" s="528"/>
      <c r="BB420" s="528"/>
      <c r="BC420" s="528"/>
      <c r="BD420" s="528"/>
      <c r="BE420" s="528"/>
      <c r="BF420" s="528"/>
      <c r="BG420" s="528"/>
      <c r="BH420" s="528"/>
    </row>
    <row r="421">
      <c r="A421" s="179"/>
      <c r="B421" s="549"/>
      <c r="C421" s="181"/>
      <c r="D421" s="181"/>
      <c r="E421" s="181"/>
      <c r="F421" s="179"/>
      <c r="G421" s="549"/>
      <c r="H421" s="181"/>
      <c r="I421" s="181"/>
      <c r="J421" s="181"/>
      <c r="K421" s="156"/>
      <c r="L421" s="549"/>
      <c r="M421" s="181"/>
      <c r="N421" s="181"/>
      <c r="O421" s="181"/>
      <c r="P421" s="156"/>
      <c r="Q421" s="562"/>
      <c r="R421" s="181"/>
      <c r="S421" s="181"/>
      <c r="T421" s="181"/>
      <c r="U421" s="179"/>
      <c r="V421" s="549"/>
      <c r="W421" s="181"/>
      <c r="X421" s="181"/>
      <c r="Y421" s="181"/>
      <c r="Z421" s="179"/>
      <c r="AA421" s="549"/>
      <c r="AB421" s="181"/>
      <c r="AC421" s="181"/>
      <c r="AD421" s="181"/>
      <c r="AE421" s="179"/>
      <c r="AF421" s="549"/>
      <c r="AG421" s="181"/>
      <c r="AH421" s="181"/>
      <c r="AI421" s="181"/>
      <c r="AJ421" s="179"/>
      <c r="AK421" s="549"/>
      <c r="AL421" s="181"/>
      <c r="AM421" s="181"/>
      <c r="AN421" s="181"/>
      <c r="AO421" s="179"/>
      <c r="AP421" s="549"/>
      <c r="AQ421" s="181"/>
      <c r="AR421" s="181"/>
      <c r="AS421" s="181"/>
      <c r="AT421" s="528"/>
      <c r="AU421" s="528"/>
      <c r="AV421" s="528"/>
      <c r="AW421" s="528"/>
      <c r="AX421" s="528"/>
      <c r="AY421" s="528"/>
      <c r="AZ421" s="528"/>
      <c r="BA421" s="528"/>
      <c r="BB421" s="528"/>
      <c r="BC421" s="528"/>
      <c r="BD421" s="528"/>
      <c r="BE421" s="528"/>
      <c r="BF421" s="528"/>
      <c r="BG421" s="528"/>
      <c r="BH421" s="528"/>
    </row>
    <row r="422">
      <c r="A422" s="179"/>
      <c r="B422" s="549"/>
      <c r="C422" s="181"/>
      <c r="D422" s="181"/>
      <c r="E422" s="181"/>
      <c r="F422" s="179"/>
      <c r="G422" s="549"/>
      <c r="H422" s="181"/>
      <c r="I422" s="181"/>
      <c r="J422" s="181"/>
      <c r="K422" s="156"/>
      <c r="L422" s="549"/>
      <c r="M422" s="181"/>
      <c r="N422" s="181"/>
      <c r="O422" s="181"/>
      <c r="P422" s="156"/>
      <c r="Q422" s="562"/>
      <c r="R422" s="181"/>
      <c r="S422" s="181"/>
      <c r="T422" s="181"/>
      <c r="U422" s="179"/>
      <c r="V422" s="549"/>
      <c r="W422" s="181"/>
      <c r="X422" s="181"/>
      <c r="Y422" s="181"/>
      <c r="Z422" s="179"/>
      <c r="AA422" s="549"/>
      <c r="AB422" s="181"/>
      <c r="AC422" s="181"/>
      <c r="AD422" s="181"/>
      <c r="AE422" s="179"/>
      <c r="AF422" s="549"/>
      <c r="AG422" s="181"/>
      <c r="AH422" s="181"/>
      <c r="AI422" s="181"/>
      <c r="AJ422" s="179"/>
      <c r="AK422" s="549"/>
      <c r="AL422" s="181"/>
      <c r="AM422" s="181"/>
      <c r="AN422" s="181"/>
      <c r="AO422" s="179"/>
      <c r="AP422" s="549"/>
      <c r="AQ422" s="181"/>
      <c r="AR422" s="181"/>
      <c r="AS422" s="181"/>
      <c r="AT422" s="528"/>
      <c r="AU422" s="528"/>
      <c r="AV422" s="528"/>
      <c r="AW422" s="528"/>
      <c r="AX422" s="528"/>
      <c r="AY422" s="528"/>
      <c r="AZ422" s="528"/>
      <c r="BA422" s="528"/>
      <c r="BB422" s="528"/>
      <c r="BC422" s="528"/>
      <c r="BD422" s="528"/>
      <c r="BE422" s="528"/>
      <c r="BF422" s="528"/>
      <c r="BG422" s="528"/>
      <c r="BH422" s="528"/>
    </row>
    <row r="423">
      <c r="A423" s="179"/>
      <c r="B423" s="549"/>
      <c r="C423" s="181"/>
      <c r="D423" s="181"/>
      <c r="E423" s="181"/>
      <c r="F423" s="179"/>
      <c r="G423" s="549"/>
      <c r="H423" s="181"/>
      <c r="I423" s="181"/>
      <c r="J423" s="181"/>
      <c r="K423" s="156"/>
      <c r="L423" s="549"/>
      <c r="M423" s="181"/>
      <c r="N423" s="181"/>
      <c r="O423" s="181"/>
      <c r="P423" s="156"/>
      <c r="Q423" s="562"/>
      <c r="R423" s="181"/>
      <c r="S423" s="181"/>
      <c r="T423" s="181"/>
      <c r="U423" s="179"/>
      <c r="V423" s="549"/>
      <c r="W423" s="181"/>
      <c r="X423" s="181"/>
      <c r="Y423" s="181"/>
      <c r="Z423" s="179"/>
      <c r="AA423" s="549"/>
      <c r="AB423" s="181"/>
      <c r="AC423" s="181"/>
      <c r="AD423" s="181"/>
      <c r="AE423" s="179"/>
      <c r="AF423" s="549"/>
      <c r="AG423" s="181"/>
      <c r="AH423" s="181"/>
      <c r="AI423" s="181"/>
      <c r="AJ423" s="179"/>
      <c r="AK423" s="549"/>
      <c r="AL423" s="181"/>
      <c r="AM423" s="181"/>
      <c r="AN423" s="181"/>
      <c r="AO423" s="179"/>
      <c r="AP423" s="549"/>
      <c r="AQ423" s="181"/>
      <c r="AR423" s="181"/>
      <c r="AS423" s="181"/>
      <c r="AT423" s="528"/>
      <c r="AU423" s="528"/>
      <c r="AV423" s="528"/>
      <c r="AW423" s="528"/>
      <c r="AX423" s="528"/>
      <c r="AY423" s="528"/>
      <c r="AZ423" s="528"/>
      <c r="BA423" s="528"/>
      <c r="BB423" s="528"/>
      <c r="BC423" s="528"/>
      <c r="BD423" s="528"/>
      <c r="BE423" s="528"/>
      <c r="BF423" s="528"/>
      <c r="BG423" s="528"/>
      <c r="BH423" s="528"/>
    </row>
    <row r="424">
      <c r="A424" s="179"/>
      <c r="B424" s="549"/>
      <c r="C424" s="181"/>
      <c r="D424" s="181"/>
      <c r="E424" s="181"/>
      <c r="F424" s="179"/>
      <c r="G424" s="549"/>
      <c r="H424" s="181"/>
      <c r="I424" s="181"/>
      <c r="J424" s="181"/>
      <c r="K424" s="156"/>
      <c r="L424" s="549"/>
      <c r="M424" s="181"/>
      <c r="N424" s="181"/>
      <c r="O424" s="181"/>
      <c r="P424" s="156"/>
      <c r="Q424" s="562"/>
      <c r="R424" s="181"/>
      <c r="S424" s="181"/>
      <c r="T424" s="181"/>
      <c r="U424" s="179"/>
      <c r="V424" s="549"/>
      <c r="W424" s="181"/>
      <c r="X424" s="181"/>
      <c r="Y424" s="181"/>
      <c r="Z424" s="179"/>
      <c r="AA424" s="549"/>
      <c r="AB424" s="181"/>
      <c r="AC424" s="181"/>
      <c r="AD424" s="181"/>
      <c r="AE424" s="179"/>
      <c r="AF424" s="549"/>
      <c r="AG424" s="181"/>
      <c r="AH424" s="181"/>
      <c r="AI424" s="181"/>
      <c r="AJ424" s="179"/>
      <c r="AK424" s="549"/>
      <c r="AL424" s="181"/>
      <c r="AM424" s="181"/>
      <c r="AN424" s="181"/>
      <c r="AO424" s="179"/>
      <c r="AP424" s="549"/>
      <c r="AQ424" s="181"/>
      <c r="AR424" s="181"/>
      <c r="AS424" s="181"/>
      <c r="AT424" s="528"/>
      <c r="AU424" s="528"/>
      <c r="AV424" s="528"/>
      <c r="AW424" s="528"/>
      <c r="AX424" s="528"/>
      <c r="AY424" s="528"/>
      <c r="AZ424" s="528"/>
      <c r="BA424" s="528"/>
      <c r="BB424" s="528"/>
      <c r="BC424" s="528"/>
      <c r="BD424" s="528"/>
      <c r="BE424" s="528"/>
      <c r="BF424" s="528"/>
      <c r="BG424" s="528"/>
      <c r="BH424" s="528"/>
    </row>
    <row r="425">
      <c r="A425" s="179"/>
      <c r="B425" s="549"/>
      <c r="C425" s="181"/>
      <c r="D425" s="181"/>
      <c r="E425" s="181"/>
      <c r="F425" s="179"/>
      <c r="G425" s="549"/>
      <c r="H425" s="181"/>
      <c r="I425" s="181"/>
      <c r="J425" s="181"/>
      <c r="K425" s="156"/>
      <c r="L425" s="549"/>
      <c r="M425" s="181"/>
      <c r="N425" s="181"/>
      <c r="O425" s="181"/>
      <c r="P425" s="156"/>
      <c r="Q425" s="562"/>
      <c r="R425" s="181"/>
      <c r="S425" s="181"/>
      <c r="T425" s="181"/>
      <c r="U425" s="179"/>
      <c r="V425" s="549"/>
      <c r="W425" s="181"/>
      <c r="X425" s="181"/>
      <c r="Y425" s="181"/>
      <c r="Z425" s="179"/>
      <c r="AA425" s="549"/>
      <c r="AB425" s="181"/>
      <c r="AC425" s="181"/>
      <c r="AD425" s="181"/>
      <c r="AE425" s="179"/>
      <c r="AF425" s="549"/>
      <c r="AG425" s="181"/>
      <c r="AH425" s="181"/>
      <c r="AI425" s="181"/>
      <c r="AJ425" s="179"/>
      <c r="AK425" s="549"/>
      <c r="AL425" s="181"/>
      <c r="AM425" s="181"/>
      <c r="AN425" s="181"/>
      <c r="AO425" s="179"/>
      <c r="AP425" s="549"/>
      <c r="AQ425" s="181"/>
      <c r="AR425" s="181"/>
      <c r="AS425" s="181"/>
      <c r="AT425" s="528"/>
      <c r="AU425" s="528"/>
      <c r="AV425" s="528"/>
      <c r="AW425" s="528"/>
      <c r="AX425" s="528"/>
      <c r="AY425" s="528"/>
      <c r="AZ425" s="528"/>
      <c r="BA425" s="528"/>
      <c r="BB425" s="528"/>
      <c r="BC425" s="528"/>
      <c r="BD425" s="528"/>
      <c r="BE425" s="528"/>
      <c r="BF425" s="528"/>
      <c r="BG425" s="528"/>
      <c r="BH425" s="528"/>
    </row>
    <row r="426">
      <c r="A426" s="179"/>
      <c r="B426" s="549"/>
      <c r="C426" s="181"/>
      <c r="D426" s="181"/>
      <c r="E426" s="181"/>
      <c r="F426" s="179"/>
      <c r="G426" s="549"/>
      <c r="H426" s="181"/>
      <c r="I426" s="181"/>
      <c r="J426" s="181"/>
      <c r="K426" s="156"/>
      <c r="L426" s="549"/>
      <c r="M426" s="181"/>
      <c r="N426" s="181"/>
      <c r="O426" s="181"/>
      <c r="P426" s="156"/>
      <c r="Q426" s="562"/>
      <c r="R426" s="181"/>
      <c r="S426" s="181"/>
      <c r="T426" s="181"/>
      <c r="U426" s="179"/>
      <c r="V426" s="549"/>
      <c r="W426" s="181"/>
      <c r="X426" s="181"/>
      <c r="Y426" s="181"/>
      <c r="Z426" s="179"/>
      <c r="AA426" s="549"/>
      <c r="AB426" s="181"/>
      <c r="AC426" s="181"/>
      <c r="AD426" s="181"/>
      <c r="AE426" s="179"/>
      <c r="AF426" s="549"/>
      <c r="AG426" s="181"/>
      <c r="AH426" s="181"/>
      <c r="AI426" s="181"/>
      <c r="AJ426" s="179"/>
      <c r="AK426" s="549"/>
      <c r="AL426" s="181"/>
      <c r="AM426" s="181"/>
      <c r="AN426" s="181"/>
      <c r="AO426" s="179"/>
      <c r="AP426" s="549"/>
      <c r="AQ426" s="181"/>
      <c r="AR426" s="181"/>
      <c r="AS426" s="181"/>
      <c r="AT426" s="528"/>
      <c r="AU426" s="528"/>
      <c r="AV426" s="528"/>
      <c r="AW426" s="528"/>
      <c r="AX426" s="528"/>
      <c r="AY426" s="528"/>
      <c r="AZ426" s="528"/>
      <c r="BA426" s="528"/>
      <c r="BB426" s="528"/>
      <c r="BC426" s="528"/>
      <c r="BD426" s="528"/>
      <c r="BE426" s="528"/>
      <c r="BF426" s="528"/>
      <c r="BG426" s="528"/>
      <c r="BH426" s="528"/>
    </row>
    <row r="427">
      <c r="A427" s="179"/>
      <c r="B427" s="549"/>
      <c r="C427" s="181"/>
      <c r="D427" s="181"/>
      <c r="E427" s="181"/>
      <c r="F427" s="179"/>
      <c r="G427" s="549"/>
      <c r="H427" s="181"/>
      <c r="I427" s="181"/>
      <c r="J427" s="181"/>
      <c r="K427" s="156"/>
      <c r="L427" s="549"/>
      <c r="M427" s="181"/>
      <c r="N427" s="181"/>
      <c r="O427" s="181"/>
      <c r="P427" s="156"/>
      <c r="Q427" s="562"/>
      <c r="R427" s="181"/>
      <c r="S427" s="181"/>
      <c r="T427" s="181"/>
      <c r="U427" s="179"/>
      <c r="V427" s="549"/>
      <c r="W427" s="181"/>
      <c r="X427" s="181"/>
      <c r="Y427" s="181"/>
      <c r="Z427" s="179"/>
      <c r="AA427" s="549"/>
      <c r="AB427" s="181"/>
      <c r="AC427" s="181"/>
      <c r="AD427" s="181"/>
      <c r="AE427" s="179"/>
      <c r="AF427" s="549"/>
      <c r="AG427" s="181"/>
      <c r="AH427" s="181"/>
      <c r="AI427" s="181"/>
      <c r="AJ427" s="179"/>
      <c r="AK427" s="549"/>
      <c r="AL427" s="181"/>
      <c r="AM427" s="181"/>
      <c r="AN427" s="181"/>
      <c r="AO427" s="179"/>
      <c r="AP427" s="549"/>
      <c r="AQ427" s="181"/>
      <c r="AR427" s="181"/>
      <c r="AS427" s="181"/>
      <c r="AT427" s="528"/>
      <c r="AU427" s="528"/>
      <c r="AV427" s="528"/>
      <c r="AW427" s="528"/>
      <c r="AX427" s="528"/>
      <c r="AY427" s="528"/>
      <c r="AZ427" s="528"/>
      <c r="BA427" s="528"/>
      <c r="BB427" s="528"/>
      <c r="BC427" s="528"/>
      <c r="BD427" s="528"/>
      <c r="BE427" s="528"/>
      <c r="BF427" s="528"/>
      <c r="BG427" s="528"/>
      <c r="BH427" s="528"/>
    </row>
    <row r="428">
      <c r="A428" s="179"/>
      <c r="B428" s="549"/>
      <c r="C428" s="181"/>
      <c r="D428" s="181"/>
      <c r="E428" s="181"/>
      <c r="F428" s="179"/>
      <c r="G428" s="549"/>
      <c r="H428" s="181"/>
      <c r="I428" s="181"/>
      <c r="J428" s="181"/>
      <c r="K428" s="156"/>
      <c r="L428" s="549"/>
      <c r="M428" s="181"/>
      <c r="N428" s="181"/>
      <c r="O428" s="181"/>
      <c r="P428" s="156"/>
      <c r="Q428" s="562"/>
      <c r="R428" s="181"/>
      <c r="S428" s="181"/>
      <c r="T428" s="181"/>
      <c r="U428" s="179"/>
      <c r="V428" s="549"/>
      <c r="W428" s="181"/>
      <c r="X428" s="181"/>
      <c r="Y428" s="181"/>
      <c r="Z428" s="179"/>
      <c r="AA428" s="549"/>
      <c r="AB428" s="181"/>
      <c r="AC428" s="181"/>
      <c r="AD428" s="181"/>
      <c r="AE428" s="179"/>
      <c r="AF428" s="549"/>
      <c r="AG428" s="181"/>
      <c r="AH428" s="181"/>
      <c r="AI428" s="181"/>
      <c r="AJ428" s="179"/>
      <c r="AK428" s="549"/>
      <c r="AL428" s="181"/>
      <c r="AM428" s="181"/>
      <c r="AN428" s="181"/>
      <c r="AO428" s="179"/>
      <c r="AP428" s="549"/>
      <c r="AQ428" s="181"/>
      <c r="AR428" s="181"/>
      <c r="AS428" s="181"/>
      <c r="AT428" s="528"/>
      <c r="AU428" s="528"/>
      <c r="AV428" s="528"/>
      <c r="AW428" s="528"/>
      <c r="AX428" s="528"/>
      <c r="AY428" s="528"/>
      <c r="AZ428" s="528"/>
      <c r="BA428" s="528"/>
      <c r="BB428" s="528"/>
      <c r="BC428" s="528"/>
      <c r="BD428" s="528"/>
      <c r="BE428" s="528"/>
      <c r="BF428" s="528"/>
      <c r="BG428" s="528"/>
      <c r="BH428" s="528"/>
    </row>
    <row r="429">
      <c r="A429" s="179"/>
      <c r="B429" s="549"/>
      <c r="C429" s="181"/>
      <c r="D429" s="181"/>
      <c r="E429" s="181"/>
      <c r="F429" s="179"/>
      <c r="G429" s="549"/>
      <c r="H429" s="181"/>
      <c r="I429" s="181"/>
      <c r="J429" s="181"/>
      <c r="K429" s="156"/>
      <c r="L429" s="549"/>
      <c r="M429" s="181"/>
      <c r="N429" s="181"/>
      <c r="O429" s="181"/>
      <c r="P429" s="156"/>
      <c r="Q429" s="562"/>
      <c r="R429" s="181"/>
      <c r="S429" s="181"/>
      <c r="T429" s="181"/>
      <c r="U429" s="179"/>
      <c r="V429" s="549"/>
      <c r="W429" s="181"/>
      <c r="X429" s="181"/>
      <c r="Y429" s="181"/>
      <c r="Z429" s="179"/>
      <c r="AA429" s="549"/>
      <c r="AB429" s="181"/>
      <c r="AC429" s="181"/>
      <c r="AD429" s="181"/>
      <c r="AE429" s="179"/>
      <c r="AF429" s="549"/>
      <c r="AG429" s="181"/>
      <c r="AH429" s="181"/>
      <c r="AI429" s="181"/>
      <c r="AJ429" s="179"/>
      <c r="AK429" s="549"/>
      <c r="AL429" s="181"/>
      <c r="AM429" s="181"/>
      <c r="AN429" s="181"/>
      <c r="AO429" s="179"/>
      <c r="AP429" s="549"/>
      <c r="AQ429" s="181"/>
      <c r="AR429" s="181"/>
      <c r="AS429" s="181"/>
      <c r="AT429" s="528"/>
      <c r="AU429" s="528"/>
      <c r="AV429" s="528"/>
      <c r="AW429" s="528"/>
      <c r="AX429" s="528"/>
      <c r="AY429" s="528"/>
      <c r="AZ429" s="528"/>
      <c r="BA429" s="528"/>
      <c r="BB429" s="528"/>
      <c r="BC429" s="528"/>
      <c r="BD429" s="528"/>
      <c r="BE429" s="528"/>
      <c r="BF429" s="528"/>
      <c r="BG429" s="528"/>
      <c r="BH429" s="528"/>
    </row>
    <row r="430">
      <c r="A430" s="179"/>
      <c r="B430" s="549"/>
      <c r="C430" s="181"/>
      <c r="D430" s="181"/>
      <c r="E430" s="181"/>
      <c r="F430" s="179"/>
      <c r="G430" s="549"/>
      <c r="H430" s="181"/>
      <c r="I430" s="181"/>
      <c r="J430" s="181"/>
      <c r="K430" s="156"/>
      <c r="L430" s="549"/>
      <c r="M430" s="181"/>
      <c r="N430" s="181"/>
      <c r="O430" s="181"/>
      <c r="P430" s="156"/>
      <c r="Q430" s="562"/>
      <c r="R430" s="181"/>
      <c r="S430" s="181"/>
      <c r="T430" s="181"/>
      <c r="U430" s="179"/>
      <c r="V430" s="549"/>
      <c r="W430" s="181"/>
      <c r="X430" s="181"/>
      <c r="Y430" s="181"/>
      <c r="Z430" s="179"/>
      <c r="AA430" s="549"/>
      <c r="AB430" s="181"/>
      <c r="AC430" s="181"/>
      <c r="AD430" s="181"/>
      <c r="AE430" s="179"/>
      <c r="AF430" s="549"/>
      <c r="AG430" s="181"/>
      <c r="AH430" s="181"/>
      <c r="AI430" s="181"/>
      <c r="AJ430" s="179"/>
      <c r="AK430" s="549"/>
      <c r="AL430" s="181"/>
      <c r="AM430" s="181"/>
      <c r="AN430" s="181"/>
      <c r="AO430" s="179"/>
      <c r="AP430" s="549"/>
      <c r="AQ430" s="181"/>
      <c r="AR430" s="181"/>
      <c r="AS430" s="181"/>
      <c r="AT430" s="528"/>
      <c r="AU430" s="528"/>
      <c r="AV430" s="528"/>
      <c r="AW430" s="528"/>
      <c r="AX430" s="528"/>
      <c r="AY430" s="528"/>
      <c r="AZ430" s="528"/>
      <c r="BA430" s="528"/>
      <c r="BB430" s="528"/>
      <c r="BC430" s="528"/>
      <c r="BD430" s="528"/>
      <c r="BE430" s="528"/>
      <c r="BF430" s="528"/>
      <c r="BG430" s="528"/>
      <c r="BH430" s="528"/>
    </row>
    <row r="431">
      <c r="A431" s="179"/>
      <c r="B431" s="549"/>
      <c r="C431" s="181"/>
      <c r="D431" s="181"/>
      <c r="E431" s="181"/>
      <c r="F431" s="179"/>
      <c r="G431" s="549"/>
      <c r="H431" s="181"/>
      <c r="I431" s="181"/>
      <c r="J431" s="181"/>
      <c r="K431" s="156"/>
      <c r="L431" s="549"/>
      <c r="M431" s="181"/>
      <c r="N431" s="181"/>
      <c r="O431" s="181"/>
      <c r="P431" s="156"/>
      <c r="Q431" s="562"/>
      <c r="R431" s="181"/>
      <c r="S431" s="181"/>
      <c r="T431" s="181"/>
      <c r="U431" s="179"/>
      <c r="V431" s="549"/>
      <c r="W431" s="181"/>
      <c r="X431" s="181"/>
      <c r="Y431" s="181"/>
      <c r="Z431" s="179"/>
      <c r="AA431" s="549"/>
      <c r="AB431" s="181"/>
      <c r="AC431" s="181"/>
      <c r="AD431" s="181"/>
      <c r="AE431" s="179"/>
      <c r="AF431" s="549"/>
      <c r="AG431" s="181"/>
      <c r="AH431" s="181"/>
      <c r="AI431" s="181"/>
      <c r="AJ431" s="179"/>
      <c r="AK431" s="549"/>
      <c r="AL431" s="181"/>
      <c r="AM431" s="181"/>
      <c r="AN431" s="181"/>
      <c r="AO431" s="179"/>
      <c r="AP431" s="549"/>
      <c r="AQ431" s="181"/>
      <c r="AR431" s="181"/>
      <c r="AS431" s="181"/>
      <c r="AT431" s="528"/>
      <c r="AU431" s="528"/>
      <c r="AV431" s="528"/>
      <c r="AW431" s="528"/>
      <c r="AX431" s="528"/>
      <c r="AY431" s="528"/>
      <c r="AZ431" s="528"/>
      <c r="BA431" s="528"/>
      <c r="BB431" s="528"/>
      <c r="BC431" s="528"/>
      <c r="BD431" s="528"/>
      <c r="BE431" s="528"/>
      <c r="BF431" s="528"/>
      <c r="BG431" s="528"/>
      <c r="BH431" s="528"/>
    </row>
    <row r="432">
      <c r="A432" s="179"/>
      <c r="B432" s="549"/>
      <c r="C432" s="181"/>
      <c r="D432" s="181"/>
      <c r="E432" s="181"/>
      <c r="F432" s="179"/>
      <c r="G432" s="549"/>
      <c r="H432" s="181"/>
      <c r="I432" s="181"/>
      <c r="J432" s="181"/>
      <c r="K432" s="156"/>
      <c r="L432" s="549"/>
      <c r="M432" s="181"/>
      <c r="N432" s="181"/>
      <c r="O432" s="181"/>
      <c r="P432" s="156"/>
      <c r="Q432" s="562"/>
      <c r="R432" s="181"/>
      <c r="S432" s="181"/>
      <c r="T432" s="181"/>
      <c r="U432" s="179"/>
      <c r="V432" s="549"/>
      <c r="W432" s="181"/>
      <c r="X432" s="181"/>
      <c r="Y432" s="181"/>
      <c r="Z432" s="179"/>
      <c r="AA432" s="549"/>
      <c r="AB432" s="181"/>
      <c r="AC432" s="181"/>
      <c r="AD432" s="181"/>
      <c r="AE432" s="179"/>
      <c r="AF432" s="549"/>
      <c r="AG432" s="181"/>
      <c r="AH432" s="181"/>
      <c r="AI432" s="181"/>
      <c r="AJ432" s="179"/>
      <c r="AK432" s="549"/>
      <c r="AL432" s="181"/>
      <c r="AM432" s="181"/>
      <c r="AN432" s="181"/>
      <c r="AO432" s="179"/>
      <c r="AP432" s="549"/>
      <c r="AQ432" s="181"/>
      <c r="AR432" s="181"/>
      <c r="AS432" s="181"/>
      <c r="AT432" s="528"/>
      <c r="AU432" s="528"/>
      <c r="AV432" s="528"/>
      <c r="AW432" s="528"/>
      <c r="AX432" s="528"/>
      <c r="AY432" s="528"/>
      <c r="AZ432" s="528"/>
      <c r="BA432" s="528"/>
      <c r="BB432" s="528"/>
      <c r="BC432" s="528"/>
      <c r="BD432" s="528"/>
      <c r="BE432" s="528"/>
      <c r="BF432" s="528"/>
      <c r="BG432" s="528"/>
      <c r="BH432" s="528"/>
    </row>
    <row r="433">
      <c r="A433" s="179"/>
      <c r="B433" s="549"/>
      <c r="C433" s="181"/>
      <c r="D433" s="181"/>
      <c r="E433" s="181"/>
      <c r="F433" s="179"/>
      <c r="G433" s="549"/>
      <c r="H433" s="181"/>
      <c r="I433" s="181"/>
      <c r="J433" s="181"/>
      <c r="K433" s="156"/>
      <c r="L433" s="549"/>
      <c r="M433" s="181"/>
      <c r="N433" s="181"/>
      <c r="O433" s="181"/>
      <c r="P433" s="156"/>
      <c r="Q433" s="562"/>
      <c r="R433" s="181"/>
      <c r="S433" s="181"/>
      <c r="T433" s="181"/>
      <c r="U433" s="179"/>
      <c r="V433" s="549"/>
      <c r="W433" s="181"/>
      <c r="X433" s="181"/>
      <c r="Y433" s="181"/>
      <c r="Z433" s="179"/>
      <c r="AA433" s="549"/>
      <c r="AB433" s="181"/>
      <c r="AC433" s="181"/>
      <c r="AD433" s="181"/>
      <c r="AE433" s="179"/>
      <c r="AF433" s="549"/>
      <c r="AG433" s="181"/>
      <c r="AH433" s="181"/>
      <c r="AI433" s="181"/>
      <c r="AJ433" s="179"/>
      <c r="AK433" s="549"/>
      <c r="AL433" s="181"/>
      <c r="AM433" s="181"/>
      <c r="AN433" s="181"/>
      <c r="AO433" s="179"/>
      <c r="AP433" s="549"/>
      <c r="AQ433" s="181"/>
      <c r="AR433" s="181"/>
      <c r="AS433" s="181"/>
      <c r="AT433" s="528"/>
      <c r="AU433" s="528"/>
      <c r="AV433" s="528"/>
      <c r="AW433" s="528"/>
      <c r="AX433" s="528"/>
      <c r="AY433" s="528"/>
      <c r="AZ433" s="528"/>
      <c r="BA433" s="528"/>
      <c r="BB433" s="528"/>
      <c r="BC433" s="528"/>
      <c r="BD433" s="528"/>
      <c r="BE433" s="528"/>
      <c r="BF433" s="528"/>
      <c r="BG433" s="528"/>
      <c r="BH433" s="528"/>
    </row>
    <row r="434">
      <c r="A434" s="179"/>
      <c r="B434" s="549"/>
      <c r="C434" s="181"/>
      <c r="D434" s="181"/>
      <c r="E434" s="181"/>
      <c r="F434" s="179"/>
      <c r="G434" s="549"/>
      <c r="H434" s="181"/>
      <c r="I434" s="181"/>
      <c r="J434" s="181"/>
      <c r="K434" s="156"/>
      <c r="L434" s="549"/>
      <c r="M434" s="181"/>
      <c r="N434" s="181"/>
      <c r="O434" s="181"/>
      <c r="P434" s="156"/>
      <c r="Q434" s="562"/>
      <c r="R434" s="181"/>
      <c r="S434" s="181"/>
      <c r="T434" s="181"/>
      <c r="U434" s="179"/>
      <c r="V434" s="549"/>
      <c r="W434" s="181"/>
      <c r="X434" s="181"/>
      <c r="Y434" s="181"/>
      <c r="Z434" s="179"/>
      <c r="AA434" s="549"/>
      <c r="AB434" s="181"/>
      <c r="AC434" s="181"/>
      <c r="AD434" s="181"/>
      <c r="AE434" s="179"/>
      <c r="AF434" s="549"/>
      <c r="AG434" s="181"/>
      <c r="AH434" s="181"/>
      <c r="AI434" s="181"/>
      <c r="AJ434" s="179"/>
      <c r="AK434" s="549"/>
      <c r="AL434" s="181"/>
      <c r="AM434" s="181"/>
      <c r="AN434" s="181"/>
      <c r="AO434" s="179"/>
      <c r="AP434" s="549"/>
      <c r="AQ434" s="181"/>
      <c r="AR434" s="181"/>
      <c r="AS434" s="181"/>
      <c r="AT434" s="528"/>
      <c r="AU434" s="528"/>
      <c r="AV434" s="528"/>
      <c r="AW434" s="528"/>
      <c r="AX434" s="528"/>
      <c r="AY434" s="528"/>
      <c r="AZ434" s="528"/>
      <c r="BA434" s="528"/>
      <c r="BB434" s="528"/>
      <c r="BC434" s="528"/>
      <c r="BD434" s="528"/>
      <c r="BE434" s="528"/>
      <c r="BF434" s="528"/>
      <c r="BG434" s="528"/>
      <c r="BH434" s="528"/>
    </row>
    <row r="435">
      <c r="A435" s="179"/>
      <c r="B435" s="549"/>
      <c r="C435" s="181"/>
      <c r="D435" s="181"/>
      <c r="E435" s="181"/>
      <c r="F435" s="179"/>
      <c r="G435" s="549"/>
      <c r="H435" s="181"/>
      <c r="I435" s="181"/>
      <c r="J435" s="181"/>
      <c r="K435" s="156"/>
      <c r="L435" s="549"/>
      <c r="M435" s="181"/>
      <c r="N435" s="181"/>
      <c r="O435" s="181"/>
      <c r="P435" s="156"/>
      <c r="Q435" s="562"/>
      <c r="R435" s="181"/>
      <c r="S435" s="181"/>
      <c r="T435" s="181"/>
      <c r="U435" s="179"/>
      <c r="V435" s="549"/>
      <c r="W435" s="181"/>
      <c r="X435" s="181"/>
      <c r="Y435" s="181"/>
      <c r="Z435" s="179"/>
      <c r="AA435" s="549"/>
      <c r="AB435" s="181"/>
      <c r="AC435" s="181"/>
      <c r="AD435" s="181"/>
      <c r="AE435" s="179"/>
      <c r="AF435" s="549"/>
      <c r="AG435" s="181"/>
      <c r="AH435" s="181"/>
      <c r="AI435" s="181"/>
      <c r="AJ435" s="179"/>
      <c r="AK435" s="549"/>
      <c r="AL435" s="181"/>
      <c r="AM435" s="181"/>
      <c r="AN435" s="181"/>
      <c r="AO435" s="179"/>
      <c r="AP435" s="549"/>
      <c r="AQ435" s="181"/>
      <c r="AR435" s="181"/>
      <c r="AS435" s="181"/>
      <c r="AT435" s="528"/>
      <c r="AU435" s="528"/>
      <c r="AV435" s="528"/>
      <c r="AW435" s="528"/>
      <c r="AX435" s="528"/>
      <c r="AY435" s="528"/>
      <c r="AZ435" s="528"/>
      <c r="BA435" s="528"/>
      <c r="BB435" s="528"/>
      <c r="BC435" s="528"/>
      <c r="BD435" s="528"/>
      <c r="BE435" s="528"/>
      <c r="BF435" s="528"/>
      <c r="BG435" s="528"/>
      <c r="BH435" s="528"/>
    </row>
    <row r="436">
      <c r="A436" s="179"/>
      <c r="B436" s="549"/>
      <c r="C436" s="181"/>
      <c r="D436" s="181"/>
      <c r="E436" s="181"/>
      <c r="F436" s="179"/>
      <c r="G436" s="549"/>
      <c r="H436" s="181"/>
      <c r="I436" s="181"/>
      <c r="J436" s="181"/>
      <c r="K436" s="156"/>
      <c r="L436" s="549"/>
      <c r="M436" s="181"/>
      <c r="N436" s="181"/>
      <c r="O436" s="181"/>
      <c r="P436" s="156"/>
      <c r="Q436" s="562"/>
      <c r="R436" s="181"/>
      <c r="S436" s="181"/>
      <c r="T436" s="181"/>
      <c r="U436" s="179"/>
      <c r="V436" s="549"/>
      <c r="W436" s="181"/>
      <c r="X436" s="181"/>
      <c r="Y436" s="181"/>
      <c r="Z436" s="179"/>
      <c r="AA436" s="549"/>
      <c r="AB436" s="181"/>
      <c r="AC436" s="181"/>
      <c r="AD436" s="181"/>
      <c r="AE436" s="179"/>
      <c r="AF436" s="549"/>
      <c r="AG436" s="181"/>
      <c r="AH436" s="181"/>
      <c r="AI436" s="181"/>
      <c r="AJ436" s="179"/>
      <c r="AK436" s="549"/>
      <c r="AL436" s="181"/>
      <c r="AM436" s="181"/>
      <c r="AN436" s="181"/>
      <c r="AO436" s="179"/>
      <c r="AP436" s="549"/>
      <c r="AQ436" s="181"/>
      <c r="AR436" s="181"/>
      <c r="AS436" s="181"/>
      <c r="AT436" s="528"/>
      <c r="AU436" s="528"/>
      <c r="AV436" s="528"/>
      <c r="AW436" s="528"/>
      <c r="AX436" s="528"/>
      <c r="AY436" s="528"/>
      <c r="AZ436" s="528"/>
      <c r="BA436" s="528"/>
      <c r="BB436" s="528"/>
      <c r="BC436" s="528"/>
      <c r="BD436" s="528"/>
      <c r="BE436" s="528"/>
      <c r="BF436" s="528"/>
      <c r="BG436" s="528"/>
      <c r="BH436" s="528"/>
    </row>
    <row r="437">
      <c r="A437" s="179"/>
      <c r="B437" s="549"/>
      <c r="C437" s="181"/>
      <c r="D437" s="181"/>
      <c r="E437" s="181"/>
      <c r="F437" s="179"/>
      <c r="G437" s="549"/>
      <c r="H437" s="181"/>
      <c r="I437" s="181"/>
      <c r="J437" s="181"/>
      <c r="K437" s="156"/>
      <c r="L437" s="549"/>
      <c r="M437" s="181"/>
      <c r="N437" s="181"/>
      <c r="O437" s="181"/>
      <c r="P437" s="156"/>
      <c r="Q437" s="562"/>
      <c r="R437" s="181"/>
      <c r="S437" s="181"/>
      <c r="T437" s="181"/>
      <c r="U437" s="179"/>
      <c r="V437" s="549"/>
      <c r="W437" s="181"/>
      <c r="X437" s="181"/>
      <c r="Y437" s="181"/>
      <c r="Z437" s="179"/>
      <c r="AA437" s="549"/>
      <c r="AB437" s="181"/>
      <c r="AC437" s="181"/>
      <c r="AD437" s="181"/>
      <c r="AE437" s="179"/>
      <c r="AF437" s="549"/>
      <c r="AG437" s="181"/>
      <c r="AH437" s="181"/>
      <c r="AI437" s="181"/>
      <c r="AJ437" s="179"/>
      <c r="AK437" s="549"/>
      <c r="AL437" s="181"/>
      <c r="AM437" s="181"/>
      <c r="AN437" s="181"/>
      <c r="AO437" s="179"/>
      <c r="AP437" s="549"/>
      <c r="AQ437" s="181"/>
      <c r="AR437" s="181"/>
      <c r="AS437" s="181"/>
      <c r="AT437" s="528"/>
      <c r="AU437" s="528"/>
      <c r="AV437" s="528"/>
      <c r="AW437" s="528"/>
      <c r="AX437" s="528"/>
      <c r="AY437" s="528"/>
      <c r="AZ437" s="528"/>
      <c r="BA437" s="528"/>
      <c r="BB437" s="528"/>
      <c r="BC437" s="528"/>
      <c r="BD437" s="528"/>
      <c r="BE437" s="528"/>
      <c r="BF437" s="528"/>
      <c r="BG437" s="528"/>
      <c r="BH437" s="528"/>
    </row>
    <row r="438">
      <c r="A438" s="179"/>
      <c r="B438" s="549"/>
      <c r="C438" s="181"/>
      <c r="D438" s="181"/>
      <c r="E438" s="181"/>
      <c r="F438" s="179"/>
      <c r="G438" s="549"/>
      <c r="H438" s="181"/>
      <c r="I438" s="181"/>
      <c r="J438" s="181"/>
      <c r="K438" s="156"/>
      <c r="L438" s="549"/>
      <c r="M438" s="181"/>
      <c r="N438" s="181"/>
      <c r="O438" s="181"/>
      <c r="P438" s="156"/>
      <c r="Q438" s="562"/>
      <c r="R438" s="181"/>
      <c r="S438" s="181"/>
      <c r="T438" s="181"/>
      <c r="U438" s="179"/>
      <c r="V438" s="549"/>
      <c r="W438" s="181"/>
      <c r="X438" s="181"/>
      <c r="Y438" s="181"/>
      <c r="Z438" s="179"/>
      <c r="AA438" s="549"/>
      <c r="AB438" s="181"/>
      <c r="AC438" s="181"/>
      <c r="AD438" s="181"/>
      <c r="AE438" s="179"/>
      <c r="AF438" s="549"/>
      <c r="AG438" s="181"/>
      <c r="AH438" s="181"/>
      <c r="AI438" s="181"/>
      <c r="AJ438" s="179"/>
      <c r="AK438" s="549"/>
      <c r="AL438" s="181"/>
      <c r="AM438" s="181"/>
      <c r="AN438" s="181"/>
      <c r="AO438" s="179"/>
      <c r="AP438" s="549"/>
      <c r="AQ438" s="181"/>
      <c r="AR438" s="181"/>
      <c r="AS438" s="181"/>
      <c r="AT438" s="528"/>
      <c r="AU438" s="528"/>
      <c r="AV438" s="528"/>
      <c r="AW438" s="528"/>
      <c r="AX438" s="528"/>
      <c r="AY438" s="528"/>
      <c r="AZ438" s="528"/>
      <c r="BA438" s="528"/>
      <c r="BB438" s="528"/>
      <c r="BC438" s="528"/>
      <c r="BD438" s="528"/>
      <c r="BE438" s="528"/>
      <c r="BF438" s="528"/>
      <c r="BG438" s="528"/>
      <c r="BH438" s="528"/>
    </row>
    <row r="439">
      <c r="A439" s="179"/>
      <c r="B439" s="549"/>
      <c r="C439" s="181"/>
      <c r="D439" s="181"/>
      <c r="E439" s="181"/>
      <c r="F439" s="179"/>
      <c r="G439" s="549"/>
      <c r="H439" s="181"/>
      <c r="I439" s="181"/>
      <c r="J439" s="181"/>
      <c r="K439" s="156"/>
      <c r="L439" s="549"/>
      <c r="M439" s="181"/>
      <c r="N439" s="181"/>
      <c r="O439" s="181"/>
      <c r="P439" s="156"/>
      <c r="Q439" s="562"/>
      <c r="R439" s="181"/>
      <c r="S439" s="181"/>
      <c r="T439" s="181"/>
      <c r="U439" s="179"/>
      <c r="V439" s="549"/>
      <c r="W439" s="181"/>
      <c r="X439" s="181"/>
      <c r="Y439" s="181"/>
      <c r="Z439" s="179"/>
      <c r="AA439" s="549"/>
      <c r="AB439" s="181"/>
      <c r="AC439" s="181"/>
      <c r="AD439" s="181"/>
      <c r="AE439" s="179"/>
      <c r="AF439" s="549"/>
      <c r="AG439" s="181"/>
      <c r="AH439" s="181"/>
      <c r="AI439" s="181"/>
      <c r="AJ439" s="179"/>
      <c r="AK439" s="549"/>
      <c r="AL439" s="181"/>
      <c r="AM439" s="181"/>
      <c r="AN439" s="181"/>
      <c r="AO439" s="179"/>
      <c r="AP439" s="549"/>
      <c r="AQ439" s="181"/>
      <c r="AR439" s="181"/>
      <c r="AS439" s="181"/>
      <c r="AT439" s="528"/>
      <c r="AU439" s="528"/>
      <c r="AV439" s="528"/>
      <c r="AW439" s="528"/>
      <c r="AX439" s="528"/>
      <c r="AY439" s="528"/>
      <c r="AZ439" s="528"/>
      <c r="BA439" s="528"/>
      <c r="BB439" s="528"/>
      <c r="BC439" s="528"/>
      <c r="BD439" s="528"/>
      <c r="BE439" s="528"/>
      <c r="BF439" s="528"/>
      <c r="BG439" s="528"/>
      <c r="BH439" s="528"/>
    </row>
    <row r="440">
      <c r="A440" s="179"/>
      <c r="B440" s="549"/>
      <c r="C440" s="181"/>
      <c r="D440" s="181"/>
      <c r="E440" s="181"/>
      <c r="F440" s="179"/>
      <c r="G440" s="549"/>
      <c r="H440" s="181"/>
      <c r="I440" s="181"/>
      <c r="J440" s="181"/>
      <c r="K440" s="156"/>
      <c r="L440" s="549"/>
      <c r="M440" s="181"/>
      <c r="N440" s="181"/>
      <c r="O440" s="181"/>
      <c r="P440" s="156"/>
      <c r="Q440" s="562"/>
      <c r="R440" s="181"/>
      <c r="S440" s="181"/>
      <c r="T440" s="181"/>
      <c r="U440" s="179"/>
      <c r="V440" s="549"/>
      <c r="W440" s="181"/>
      <c r="X440" s="181"/>
      <c r="Y440" s="181"/>
      <c r="Z440" s="179"/>
      <c r="AA440" s="549"/>
      <c r="AB440" s="181"/>
      <c r="AC440" s="181"/>
      <c r="AD440" s="181"/>
      <c r="AE440" s="179"/>
      <c r="AF440" s="549"/>
      <c r="AG440" s="181"/>
      <c r="AH440" s="181"/>
      <c r="AI440" s="181"/>
      <c r="AJ440" s="179"/>
      <c r="AK440" s="549"/>
      <c r="AL440" s="181"/>
      <c r="AM440" s="181"/>
      <c r="AN440" s="181"/>
      <c r="AO440" s="179"/>
      <c r="AP440" s="549"/>
      <c r="AQ440" s="181"/>
      <c r="AR440" s="181"/>
      <c r="AS440" s="181"/>
      <c r="AT440" s="528"/>
      <c r="AU440" s="528"/>
      <c r="AV440" s="528"/>
      <c r="AW440" s="528"/>
      <c r="AX440" s="528"/>
      <c r="AY440" s="528"/>
      <c r="AZ440" s="528"/>
      <c r="BA440" s="528"/>
      <c r="BB440" s="528"/>
      <c r="BC440" s="528"/>
      <c r="BD440" s="528"/>
      <c r="BE440" s="528"/>
      <c r="BF440" s="528"/>
      <c r="BG440" s="528"/>
      <c r="BH440" s="528"/>
    </row>
    <row r="441">
      <c r="A441" s="179"/>
      <c r="B441" s="549"/>
      <c r="C441" s="181"/>
      <c r="D441" s="181"/>
      <c r="E441" s="181"/>
      <c r="F441" s="179"/>
      <c r="G441" s="549"/>
      <c r="H441" s="181"/>
      <c r="I441" s="181"/>
      <c r="J441" s="181"/>
      <c r="K441" s="156"/>
      <c r="L441" s="549"/>
      <c r="M441" s="181"/>
      <c r="N441" s="181"/>
      <c r="O441" s="181"/>
      <c r="P441" s="156"/>
      <c r="Q441" s="562"/>
      <c r="R441" s="181"/>
      <c r="S441" s="181"/>
      <c r="T441" s="181"/>
      <c r="U441" s="179"/>
      <c r="V441" s="549"/>
      <c r="W441" s="181"/>
      <c r="X441" s="181"/>
      <c r="Y441" s="181"/>
      <c r="Z441" s="179"/>
      <c r="AA441" s="549"/>
      <c r="AB441" s="181"/>
      <c r="AC441" s="181"/>
      <c r="AD441" s="181"/>
      <c r="AE441" s="179"/>
      <c r="AF441" s="549"/>
      <c r="AG441" s="181"/>
      <c r="AH441" s="181"/>
      <c r="AI441" s="181"/>
      <c r="AJ441" s="179"/>
      <c r="AK441" s="549"/>
      <c r="AL441" s="181"/>
      <c r="AM441" s="181"/>
      <c r="AN441" s="181"/>
      <c r="AO441" s="179"/>
      <c r="AP441" s="549"/>
      <c r="AQ441" s="181"/>
      <c r="AR441" s="181"/>
      <c r="AS441" s="181"/>
      <c r="AT441" s="528"/>
      <c r="AU441" s="528"/>
      <c r="AV441" s="528"/>
      <c r="AW441" s="528"/>
      <c r="AX441" s="528"/>
      <c r="AY441" s="528"/>
      <c r="AZ441" s="528"/>
      <c r="BA441" s="528"/>
      <c r="BB441" s="528"/>
      <c r="BC441" s="528"/>
      <c r="BD441" s="528"/>
      <c r="BE441" s="528"/>
      <c r="BF441" s="528"/>
      <c r="BG441" s="528"/>
      <c r="BH441" s="528"/>
    </row>
    <row r="442">
      <c r="A442" s="179"/>
      <c r="B442" s="549"/>
      <c r="C442" s="181"/>
      <c r="D442" s="181"/>
      <c r="E442" s="181"/>
      <c r="F442" s="179"/>
      <c r="G442" s="549"/>
      <c r="H442" s="181"/>
      <c r="I442" s="181"/>
      <c r="J442" s="181"/>
      <c r="K442" s="156"/>
      <c r="L442" s="549"/>
      <c r="M442" s="181"/>
      <c r="N442" s="181"/>
      <c r="O442" s="181"/>
      <c r="P442" s="156"/>
      <c r="Q442" s="562"/>
      <c r="R442" s="181"/>
      <c r="S442" s="181"/>
      <c r="T442" s="181"/>
      <c r="U442" s="179"/>
      <c r="V442" s="549"/>
      <c r="W442" s="181"/>
      <c r="X442" s="181"/>
      <c r="Y442" s="181"/>
      <c r="Z442" s="179"/>
      <c r="AA442" s="549"/>
      <c r="AB442" s="181"/>
      <c r="AC442" s="181"/>
      <c r="AD442" s="181"/>
      <c r="AE442" s="179"/>
      <c r="AF442" s="549"/>
      <c r="AG442" s="181"/>
      <c r="AH442" s="181"/>
      <c r="AI442" s="181"/>
      <c r="AJ442" s="179"/>
      <c r="AK442" s="549"/>
      <c r="AL442" s="181"/>
      <c r="AM442" s="181"/>
      <c r="AN442" s="181"/>
      <c r="AO442" s="179"/>
      <c r="AP442" s="549"/>
      <c r="AQ442" s="181"/>
      <c r="AR442" s="181"/>
      <c r="AS442" s="181"/>
      <c r="AT442" s="528"/>
      <c r="AU442" s="528"/>
      <c r="AV442" s="528"/>
      <c r="AW442" s="528"/>
      <c r="AX442" s="528"/>
      <c r="AY442" s="528"/>
      <c r="AZ442" s="528"/>
      <c r="BA442" s="528"/>
      <c r="BB442" s="528"/>
      <c r="BC442" s="528"/>
      <c r="BD442" s="528"/>
      <c r="BE442" s="528"/>
      <c r="BF442" s="528"/>
      <c r="BG442" s="528"/>
      <c r="BH442" s="528"/>
    </row>
    <row r="443">
      <c r="A443" s="179"/>
      <c r="B443" s="549"/>
      <c r="C443" s="181"/>
      <c r="D443" s="181"/>
      <c r="E443" s="181"/>
      <c r="F443" s="179"/>
      <c r="G443" s="549"/>
      <c r="H443" s="181"/>
      <c r="I443" s="181"/>
      <c r="J443" s="181"/>
      <c r="K443" s="156"/>
      <c r="L443" s="549"/>
      <c r="M443" s="181"/>
      <c r="N443" s="181"/>
      <c r="O443" s="181"/>
      <c r="P443" s="156"/>
      <c r="Q443" s="562"/>
      <c r="R443" s="181"/>
      <c r="S443" s="181"/>
      <c r="T443" s="181"/>
      <c r="U443" s="179"/>
      <c r="V443" s="549"/>
      <c r="W443" s="181"/>
      <c r="X443" s="181"/>
      <c r="Y443" s="181"/>
      <c r="Z443" s="179"/>
      <c r="AA443" s="549"/>
      <c r="AB443" s="181"/>
      <c r="AC443" s="181"/>
      <c r="AD443" s="181"/>
      <c r="AE443" s="179"/>
      <c r="AF443" s="549"/>
      <c r="AG443" s="181"/>
      <c r="AH443" s="181"/>
      <c r="AI443" s="181"/>
      <c r="AJ443" s="179"/>
      <c r="AK443" s="549"/>
      <c r="AL443" s="181"/>
      <c r="AM443" s="181"/>
      <c r="AN443" s="181"/>
      <c r="AO443" s="179"/>
      <c r="AP443" s="549"/>
      <c r="AQ443" s="181"/>
      <c r="AR443" s="181"/>
      <c r="AS443" s="181"/>
      <c r="AT443" s="528"/>
      <c r="AU443" s="528"/>
      <c r="AV443" s="528"/>
      <c r="AW443" s="528"/>
      <c r="AX443" s="528"/>
      <c r="AY443" s="528"/>
      <c r="AZ443" s="528"/>
      <c r="BA443" s="528"/>
      <c r="BB443" s="528"/>
      <c r="BC443" s="528"/>
      <c r="BD443" s="528"/>
      <c r="BE443" s="528"/>
      <c r="BF443" s="528"/>
      <c r="BG443" s="528"/>
      <c r="BH443" s="528"/>
    </row>
    <row r="444">
      <c r="A444" s="179"/>
      <c r="B444" s="549"/>
      <c r="C444" s="181"/>
      <c r="D444" s="181"/>
      <c r="E444" s="181"/>
      <c r="F444" s="179"/>
      <c r="G444" s="549"/>
      <c r="H444" s="181"/>
      <c r="I444" s="181"/>
      <c r="J444" s="181"/>
      <c r="K444" s="156"/>
      <c r="L444" s="549"/>
      <c r="M444" s="181"/>
      <c r="N444" s="181"/>
      <c r="O444" s="181"/>
      <c r="P444" s="156"/>
      <c r="Q444" s="562"/>
      <c r="R444" s="181"/>
      <c r="S444" s="181"/>
      <c r="T444" s="181"/>
      <c r="U444" s="179"/>
      <c r="V444" s="549"/>
      <c r="W444" s="181"/>
      <c r="X444" s="181"/>
      <c r="Y444" s="181"/>
      <c r="Z444" s="179"/>
      <c r="AA444" s="549"/>
      <c r="AB444" s="181"/>
      <c r="AC444" s="181"/>
      <c r="AD444" s="181"/>
      <c r="AE444" s="179"/>
      <c r="AF444" s="549"/>
      <c r="AG444" s="181"/>
      <c r="AH444" s="181"/>
      <c r="AI444" s="181"/>
      <c r="AJ444" s="179"/>
      <c r="AK444" s="549"/>
      <c r="AL444" s="181"/>
      <c r="AM444" s="181"/>
      <c r="AN444" s="181"/>
      <c r="AO444" s="179"/>
      <c r="AP444" s="549"/>
      <c r="AQ444" s="181"/>
      <c r="AR444" s="181"/>
      <c r="AS444" s="181"/>
      <c r="AT444" s="528"/>
      <c r="AU444" s="528"/>
      <c r="AV444" s="528"/>
      <c r="AW444" s="528"/>
      <c r="AX444" s="528"/>
      <c r="AY444" s="528"/>
      <c r="AZ444" s="528"/>
      <c r="BA444" s="528"/>
      <c r="BB444" s="528"/>
      <c r="BC444" s="528"/>
      <c r="BD444" s="528"/>
      <c r="BE444" s="528"/>
      <c r="BF444" s="528"/>
      <c r="BG444" s="528"/>
      <c r="BH444" s="528"/>
    </row>
    <row r="445">
      <c r="A445" s="179"/>
      <c r="B445" s="549"/>
      <c r="C445" s="181"/>
      <c r="D445" s="181"/>
      <c r="E445" s="181"/>
      <c r="F445" s="179"/>
      <c r="G445" s="549"/>
      <c r="H445" s="181"/>
      <c r="I445" s="181"/>
      <c r="J445" s="181"/>
      <c r="K445" s="156"/>
      <c r="L445" s="549"/>
      <c r="M445" s="181"/>
      <c r="N445" s="181"/>
      <c r="O445" s="181"/>
      <c r="P445" s="156"/>
      <c r="Q445" s="562"/>
      <c r="R445" s="181"/>
      <c r="S445" s="181"/>
      <c r="T445" s="181"/>
      <c r="U445" s="179"/>
      <c r="V445" s="549"/>
      <c r="W445" s="181"/>
      <c r="X445" s="181"/>
      <c r="Y445" s="181"/>
      <c r="Z445" s="179"/>
      <c r="AA445" s="549"/>
      <c r="AB445" s="181"/>
      <c r="AC445" s="181"/>
      <c r="AD445" s="181"/>
      <c r="AE445" s="179"/>
      <c r="AF445" s="549"/>
      <c r="AG445" s="181"/>
      <c r="AH445" s="181"/>
      <c r="AI445" s="181"/>
      <c r="AJ445" s="179"/>
      <c r="AK445" s="549"/>
      <c r="AL445" s="181"/>
      <c r="AM445" s="181"/>
      <c r="AN445" s="181"/>
      <c r="AO445" s="179"/>
      <c r="AP445" s="549"/>
      <c r="AQ445" s="181"/>
      <c r="AR445" s="181"/>
      <c r="AS445" s="181"/>
      <c r="AT445" s="528"/>
      <c r="AU445" s="528"/>
      <c r="AV445" s="528"/>
      <c r="AW445" s="528"/>
      <c r="AX445" s="528"/>
      <c r="AY445" s="528"/>
      <c r="AZ445" s="528"/>
      <c r="BA445" s="528"/>
      <c r="BB445" s="528"/>
      <c r="BC445" s="528"/>
      <c r="BD445" s="528"/>
      <c r="BE445" s="528"/>
      <c r="BF445" s="528"/>
      <c r="BG445" s="528"/>
      <c r="BH445" s="528"/>
    </row>
    <row r="446">
      <c r="A446" s="179"/>
      <c r="B446" s="549"/>
      <c r="C446" s="181"/>
      <c r="D446" s="181"/>
      <c r="E446" s="181"/>
      <c r="F446" s="179"/>
      <c r="G446" s="549"/>
      <c r="H446" s="181"/>
      <c r="I446" s="181"/>
      <c r="J446" s="181"/>
      <c r="K446" s="156"/>
      <c r="L446" s="549"/>
      <c r="M446" s="181"/>
      <c r="N446" s="181"/>
      <c r="O446" s="181"/>
      <c r="P446" s="156"/>
      <c r="Q446" s="562"/>
      <c r="R446" s="181"/>
      <c r="S446" s="181"/>
      <c r="T446" s="181"/>
      <c r="U446" s="179"/>
      <c r="V446" s="549"/>
      <c r="W446" s="181"/>
      <c r="X446" s="181"/>
      <c r="Y446" s="181"/>
      <c r="Z446" s="179"/>
      <c r="AA446" s="549"/>
      <c r="AB446" s="181"/>
      <c r="AC446" s="181"/>
      <c r="AD446" s="181"/>
      <c r="AE446" s="179"/>
      <c r="AF446" s="549"/>
      <c r="AG446" s="181"/>
      <c r="AH446" s="181"/>
      <c r="AI446" s="181"/>
      <c r="AJ446" s="179"/>
      <c r="AK446" s="549"/>
      <c r="AL446" s="181"/>
      <c r="AM446" s="181"/>
      <c r="AN446" s="181"/>
      <c r="AO446" s="179"/>
      <c r="AP446" s="549"/>
      <c r="AQ446" s="181"/>
      <c r="AR446" s="181"/>
      <c r="AS446" s="181"/>
      <c r="AT446" s="528"/>
      <c r="AU446" s="528"/>
      <c r="AV446" s="528"/>
      <c r="AW446" s="528"/>
      <c r="AX446" s="528"/>
      <c r="AY446" s="528"/>
      <c r="AZ446" s="528"/>
      <c r="BA446" s="528"/>
      <c r="BB446" s="528"/>
      <c r="BC446" s="528"/>
      <c r="BD446" s="528"/>
      <c r="BE446" s="528"/>
      <c r="BF446" s="528"/>
      <c r="BG446" s="528"/>
      <c r="BH446" s="528"/>
    </row>
    <row r="447">
      <c r="A447" s="179"/>
      <c r="B447" s="549"/>
      <c r="C447" s="181"/>
      <c r="D447" s="181"/>
      <c r="E447" s="181"/>
      <c r="F447" s="179"/>
      <c r="G447" s="549"/>
      <c r="H447" s="181"/>
      <c r="I447" s="181"/>
      <c r="J447" s="181"/>
      <c r="K447" s="156"/>
      <c r="L447" s="549"/>
      <c r="M447" s="181"/>
      <c r="N447" s="181"/>
      <c r="O447" s="181"/>
      <c r="P447" s="156"/>
      <c r="Q447" s="562"/>
      <c r="R447" s="181"/>
      <c r="S447" s="181"/>
      <c r="T447" s="181"/>
      <c r="U447" s="179"/>
      <c r="V447" s="549"/>
      <c r="W447" s="181"/>
      <c r="X447" s="181"/>
      <c r="Y447" s="181"/>
      <c r="Z447" s="179"/>
      <c r="AA447" s="549"/>
      <c r="AB447" s="181"/>
      <c r="AC447" s="181"/>
      <c r="AD447" s="181"/>
      <c r="AE447" s="179"/>
      <c r="AF447" s="549"/>
      <c r="AG447" s="181"/>
      <c r="AH447" s="181"/>
      <c r="AI447" s="181"/>
      <c r="AJ447" s="179"/>
      <c r="AK447" s="549"/>
      <c r="AL447" s="181"/>
      <c r="AM447" s="181"/>
      <c r="AN447" s="181"/>
      <c r="AO447" s="179"/>
      <c r="AP447" s="549"/>
      <c r="AQ447" s="181"/>
      <c r="AR447" s="181"/>
      <c r="AS447" s="181"/>
      <c r="AT447" s="528"/>
      <c r="AU447" s="528"/>
      <c r="AV447" s="528"/>
      <c r="AW447" s="528"/>
      <c r="AX447" s="528"/>
      <c r="AY447" s="528"/>
      <c r="AZ447" s="528"/>
      <c r="BA447" s="528"/>
      <c r="BB447" s="528"/>
      <c r="BC447" s="528"/>
      <c r="BD447" s="528"/>
      <c r="BE447" s="528"/>
      <c r="BF447" s="528"/>
      <c r="BG447" s="528"/>
      <c r="BH447" s="528"/>
    </row>
    <row r="448">
      <c r="A448" s="179"/>
      <c r="B448" s="549"/>
      <c r="C448" s="181"/>
      <c r="D448" s="181"/>
      <c r="E448" s="181"/>
      <c r="F448" s="179"/>
      <c r="G448" s="549"/>
      <c r="H448" s="181"/>
      <c r="I448" s="181"/>
      <c r="J448" s="181"/>
      <c r="K448" s="156"/>
      <c r="L448" s="549"/>
      <c r="M448" s="181"/>
      <c r="N448" s="181"/>
      <c r="O448" s="181"/>
      <c r="P448" s="156"/>
      <c r="Q448" s="562"/>
      <c r="R448" s="181"/>
      <c r="S448" s="181"/>
      <c r="T448" s="181"/>
      <c r="U448" s="179"/>
      <c r="V448" s="549"/>
      <c r="W448" s="181"/>
      <c r="X448" s="181"/>
      <c r="Y448" s="181"/>
      <c r="Z448" s="179"/>
      <c r="AA448" s="549"/>
      <c r="AB448" s="181"/>
      <c r="AC448" s="181"/>
      <c r="AD448" s="181"/>
      <c r="AE448" s="179"/>
      <c r="AF448" s="549"/>
      <c r="AG448" s="181"/>
      <c r="AH448" s="181"/>
      <c r="AI448" s="181"/>
      <c r="AJ448" s="179"/>
      <c r="AK448" s="549"/>
      <c r="AL448" s="181"/>
      <c r="AM448" s="181"/>
      <c r="AN448" s="181"/>
      <c r="AO448" s="179"/>
      <c r="AP448" s="549"/>
      <c r="AQ448" s="181"/>
      <c r="AR448" s="181"/>
      <c r="AS448" s="181"/>
      <c r="AT448" s="528"/>
      <c r="AU448" s="528"/>
      <c r="AV448" s="528"/>
      <c r="AW448" s="528"/>
      <c r="AX448" s="528"/>
      <c r="AY448" s="528"/>
      <c r="AZ448" s="528"/>
      <c r="BA448" s="528"/>
      <c r="BB448" s="528"/>
      <c r="BC448" s="528"/>
      <c r="BD448" s="528"/>
      <c r="BE448" s="528"/>
      <c r="BF448" s="528"/>
      <c r="BG448" s="528"/>
      <c r="BH448" s="528"/>
    </row>
    <row r="449">
      <c r="A449" s="179"/>
      <c r="B449" s="549"/>
      <c r="C449" s="181"/>
      <c r="D449" s="181"/>
      <c r="E449" s="181"/>
      <c r="F449" s="179"/>
      <c r="G449" s="549"/>
      <c r="H449" s="181"/>
      <c r="I449" s="181"/>
      <c r="J449" s="181"/>
      <c r="K449" s="156"/>
      <c r="L449" s="549"/>
      <c r="M449" s="181"/>
      <c r="N449" s="181"/>
      <c r="O449" s="181"/>
      <c r="P449" s="156"/>
      <c r="Q449" s="562"/>
      <c r="R449" s="181"/>
      <c r="S449" s="181"/>
      <c r="T449" s="181"/>
      <c r="U449" s="179"/>
      <c r="V449" s="549"/>
      <c r="W449" s="181"/>
      <c r="X449" s="181"/>
      <c r="Y449" s="181"/>
      <c r="Z449" s="179"/>
      <c r="AA449" s="549"/>
      <c r="AB449" s="181"/>
      <c r="AC449" s="181"/>
      <c r="AD449" s="181"/>
      <c r="AE449" s="179"/>
      <c r="AF449" s="549"/>
      <c r="AG449" s="181"/>
      <c r="AH449" s="181"/>
      <c r="AI449" s="181"/>
      <c r="AJ449" s="179"/>
      <c r="AK449" s="549"/>
      <c r="AL449" s="181"/>
      <c r="AM449" s="181"/>
      <c r="AN449" s="181"/>
      <c r="AO449" s="179"/>
      <c r="AP449" s="549"/>
      <c r="AQ449" s="181"/>
      <c r="AR449" s="181"/>
      <c r="AS449" s="181"/>
      <c r="AT449" s="528"/>
      <c r="AU449" s="528"/>
      <c r="AV449" s="528"/>
      <c r="AW449" s="528"/>
      <c r="AX449" s="528"/>
      <c r="AY449" s="528"/>
      <c r="AZ449" s="528"/>
      <c r="BA449" s="528"/>
      <c r="BB449" s="528"/>
      <c r="BC449" s="528"/>
      <c r="BD449" s="528"/>
      <c r="BE449" s="528"/>
      <c r="BF449" s="528"/>
      <c r="BG449" s="528"/>
      <c r="BH449" s="528"/>
    </row>
    <row r="450">
      <c r="A450" s="179"/>
      <c r="B450" s="549"/>
      <c r="C450" s="181"/>
      <c r="D450" s="181"/>
      <c r="E450" s="181"/>
      <c r="F450" s="179"/>
      <c r="G450" s="549"/>
      <c r="H450" s="181"/>
      <c r="I450" s="181"/>
      <c r="J450" s="181"/>
      <c r="K450" s="156"/>
      <c r="L450" s="549"/>
      <c r="M450" s="181"/>
      <c r="N450" s="181"/>
      <c r="O450" s="181"/>
      <c r="P450" s="156"/>
      <c r="Q450" s="562"/>
      <c r="R450" s="181"/>
      <c r="S450" s="181"/>
      <c r="T450" s="181"/>
      <c r="U450" s="179"/>
      <c r="V450" s="549"/>
      <c r="W450" s="181"/>
      <c r="X450" s="181"/>
      <c r="Y450" s="181"/>
      <c r="Z450" s="179"/>
      <c r="AA450" s="549"/>
      <c r="AB450" s="181"/>
      <c r="AC450" s="181"/>
      <c r="AD450" s="181"/>
      <c r="AE450" s="179"/>
      <c r="AF450" s="549"/>
      <c r="AG450" s="181"/>
      <c r="AH450" s="181"/>
      <c r="AI450" s="181"/>
      <c r="AJ450" s="179"/>
      <c r="AK450" s="549"/>
      <c r="AL450" s="181"/>
      <c r="AM450" s="181"/>
      <c r="AN450" s="181"/>
      <c r="AO450" s="179"/>
      <c r="AP450" s="549"/>
      <c r="AQ450" s="181"/>
      <c r="AR450" s="181"/>
      <c r="AS450" s="181"/>
      <c r="AT450" s="528"/>
      <c r="AU450" s="528"/>
      <c r="AV450" s="528"/>
      <c r="AW450" s="528"/>
      <c r="AX450" s="528"/>
      <c r="AY450" s="528"/>
      <c r="AZ450" s="528"/>
      <c r="BA450" s="528"/>
      <c r="BB450" s="528"/>
      <c r="BC450" s="528"/>
      <c r="BD450" s="528"/>
      <c r="BE450" s="528"/>
      <c r="BF450" s="528"/>
      <c r="BG450" s="528"/>
      <c r="BH450" s="528"/>
    </row>
    <row r="451">
      <c r="A451" s="179"/>
      <c r="B451" s="549"/>
      <c r="C451" s="181"/>
      <c r="D451" s="181"/>
      <c r="E451" s="181"/>
      <c r="F451" s="179"/>
      <c r="G451" s="549"/>
      <c r="H451" s="181"/>
      <c r="I451" s="181"/>
      <c r="J451" s="181"/>
      <c r="K451" s="156"/>
      <c r="L451" s="549"/>
      <c r="M451" s="181"/>
      <c r="N451" s="181"/>
      <c r="O451" s="181"/>
      <c r="P451" s="156"/>
      <c r="Q451" s="562"/>
      <c r="R451" s="181"/>
      <c r="S451" s="181"/>
      <c r="T451" s="181"/>
      <c r="U451" s="179"/>
      <c r="V451" s="549"/>
      <c r="W451" s="181"/>
      <c r="X451" s="181"/>
      <c r="Y451" s="181"/>
      <c r="Z451" s="179"/>
      <c r="AA451" s="549"/>
      <c r="AB451" s="181"/>
      <c r="AC451" s="181"/>
      <c r="AD451" s="181"/>
      <c r="AE451" s="179"/>
      <c r="AF451" s="549"/>
      <c r="AG451" s="181"/>
      <c r="AH451" s="181"/>
      <c r="AI451" s="181"/>
      <c r="AJ451" s="179"/>
      <c r="AK451" s="549"/>
      <c r="AL451" s="181"/>
      <c r="AM451" s="181"/>
      <c r="AN451" s="181"/>
      <c r="AO451" s="179"/>
      <c r="AP451" s="549"/>
      <c r="AQ451" s="181"/>
      <c r="AR451" s="181"/>
      <c r="AS451" s="181"/>
      <c r="AT451" s="528"/>
      <c r="AU451" s="528"/>
      <c r="AV451" s="528"/>
      <c r="AW451" s="528"/>
      <c r="AX451" s="528"/>
      <c r="AY451" s="528"/>
      <c r="AZ451" s="528"/>
      <c r="BA451" s="528"/>
      <c r="BB451" s="528"/>
      <c r="BC451" s="528"/>
      <c r="BD451" s="528"/>
      <c r="BE451" s="528"/>
      <c r="BF451" s="528"/>
      <c r="BG451" s="528"/>
      <c r="BH451" s="528"/>
    </row>
    <row r="452">
      <c r="A452" s="179"/>
      <c r="B452" s="549"/>
      <c r="C452" s="181"/>
      <c r="D452" s="181"/>
      <c r="E452" s="181"/>
      <c r="F452" s="179"/>
      <c r="G452" s="549"/>
      <c r="H452" s="181"/>
      <c r="I452" s="181"/>
      <c r="J452" s="181"/>
      <c r="K452" s="156"/>
      <c r="L452" s="549"/>
      <c r="M452" s="181"/>
      <c r="N452" s="181"/>
      <c r="O452" s="181"/>
      <c r="P452" s="156"/>
      <c r="Q452" s="562"/>
      <c r="R452" s="181"/>
      <c r="S452" s="181"/>
      <c r="T452" s="181"/>
      <c r="U452" s="179"/>
      <c r="V452" s="549"/>
      <c r="W452" s="181"/>
      <c r="X452" s="181"/>
      <c r="Y452" s="181"/>
      <c r="Z452" s="179"/>
      <c r="AA452" s="549"/>
      <c r="AB452" s="181"/>
      <c r="AC452" s="181"/>
      <c r="AD452" s="181"/>
      <c r="AE452" s="179"/>
      <c r="AF452" s="549"/>
      <c r="AG452" s="181"/>
      <c r="AH452" s="181"/>
      <c r="AI452" s="181"/>
      <c r="AJ452" s="179"/>
      <c r="AK452" s="549"/>
      <c r="AL452" s="181"/>
      <c r="AM452" s="181"/>
      <c r="AN452" s="181"/>
      <c r="AO452" s="179"/>
      <c r="AP452" s="549"/>
      <c r="AQ452" s="181"/>
      <c r="AR452" s="181"/>
      <c r="AS452" s="181"/>
      <c r="AT452" s="528"/>
      <c r="AU452" s="528"/>
      <c r="AV452" s="528"/>
      <c r="AW452" s="528"/>
      <c r="AX452" s="528"/>
      <c r="AY452" s="528"/>
      <c r="AZ452" s="528"/>
      <c r="BA452" s="528"/>
      <c r="BB452" s="528"/>
      <c r="BC452" s="528"/>
      <c r="BD452" s="528"/>
      <c r="BE452" s="528"/>
      <c r="BF452" s="528"/>
      <c r="BG452" s="528"/>
      <c r="BH452" s="528"/>
    </row>
    <row r="453">
      <c r="A453" s="179"/>
      <c r="B453" s="549"/>
      <c r="C453" s="181"/>
      <c r="D453" s="181"/>
      <c r="E453" s="181"/>
      <c r="F453" s="179"/>
      <c r="G453" s="549"/>
      <c r="H453" s="181"/>
      <c r="I453" s="181"/>
      <c r="J453" s="181"/>
      <c r="K453" s="156"/>
      <c r="L453" s="549"/>
      <c r="M453" s="181"/>
      <c r="N453" s="181"/>
      <c r="O453" s="181"/>
      <c r="P453" s="156"/>
      <c r="Q453" s="562"/>
      <c r="R453" s="181"/>
      <c r="S453" s="181"/>
      <c r="T453" s="181"/>
      <c r="U453" s="179"/>
      <c r="V453" s="549"/>
      <c r="W453" s="181"/>
      <c r="X453" s="181"/>
      <c r="Y453" s="181"/>
      <c r="Z453" s="179"/>
      <c r="AA453" s="549"/>
      <c r="AB453" s="181"/>
      <c r="AC453" s="181"/>
      <c r="AD453" s="181"/>
      <c r="AE453" s="179"/>
      <c r="AF453" s="549"/>
      <c r="AG453" s="181"/>
      <c r="AH453" s="181"/>
      <c r="AI453" s="181"/>
      <c r="AJ453" s="179"/>
      <c r="AK453" s="549"/>
      <c r="AL453" s="181"/>
      <c r="AM453" s="181"/>
      <c r="AN453" s="181"/>
      <c r="AO453" s="179"/>
      <c r="AP453" s="549"/>
      <c r="AQ453" s="181"/>
      <c r="AR453" s="181"/>
      <c r="AS453" s="181"/>
      <c r="AT453" s="528"/>
      <c r="AU453" s="528"/>
      <c r="AV453" s="528"/>
      <c r="AW453" s="528"/>
      <c r="AX453" s="528"/>
      <c r="AY453" s="528"/>
      <c r="AZ453" s="528"/>
      <c r="BA453" s="528"/>
      <c r="BB453" s="528"/>
      <c r="BC453" s="528"/>
      <c r="BD453" s="528"/>
      <c r="BE453" s="528"/>
      <c r="BF453" s="528"/>
      <c r="BG453" s="528"/>
      <c r="BH453" s="528"/>
    </row>
    <row r="454">
      <c r="A454" s="179"/>
      <c r="B454" s="549"/>
      <c r="C454" s="181"/>
      <c r="D454" s="181"/>
      <c r="E454" s="181"/>
      <c r="F454" s="179"/>
      <c r="G454" s="549"/>
      <c r="H454" s="181"/>
      <c r="I454" s="181"/>
      <c r="J454" s="181"/>
      <c r="K454" s="156"/>
      <c r="L454" s="549"/>
      <c r="M454" s="181"/>
      <c r="N454" s="181"/>
      <c r="O454" s="181"/>
      <c r="P454" s="156"/>
      <c r="Q454" s="562"/>
      <c r="R454" s="181"/>
      <c r="S454" s="181"/>
      <c r="T454" s="181"/>
      <c r="U454" s="179"/>
      <c r="V454" s="549"/>
      <c r="W454" s="181"/>
      <c r="X454" s="181"/>
      <c r="Y454" s="181"/>
      <c r="Z454" s="179"/>
      <c r="AA454" s="549"/>
      <c r="AB454" s="181"/>
      <c r="AC454" s="181"/>
      <c r="AD454" s="181"/>
      <c r="AE454" s="179"/>
      <c r="AF454" s="549"/>
      <c r="AG454" s="181"/>
      <c r="AH454" s="181"/>
      <c r="AI454" s="181"/>
      <c r="AJ454" s="179"/>
      <c r="AK454" s="549"/>
      <c r="AL454" s="181"/>
      <c r="AM454" s="181"/>
      <c r="AN454" s="181"/>
      <c r="AO454" s="179"/>
      <c r="AP454" s="549"/>
      <c r="AQ454" s="181"/>
      <c r="AR454" s="181"/>
      <c r="AS454" s="181"/>
      <c r="AT454" s="528"/>
      <c r="AU454" s="528"/>
      <c r="AV454" s="528"/>
      <c r="AW454" s="528"/>
      <c r="AX454" s="528"/>
      <c r="AY454" s="528"/>
      <c r="AZ454" s="528"/>
      <c r="BA454" s="528"/>
      <c r="BB454" s="528"/>
      <c r="BC454" s="528"/>
      <c r="BD454" s="528"/>
      <c r="BE454" s="528"/>
      <c r="BF454" s="528"/>
      <c r="BG454" s="528"/>
      <c r="BH454" s="528"/>
    </row>
    <row r="455">
      <c r="A455" s="179"/>
      <c r="B455" s="549"/>
      <c r="C455" s="181"/>
      <c r="D455" s="181"/>
      <c r="E455" s="181"/>
      <c r="F455" s="179"/>
      <c r="G455" s="549"/>
      <c r="H455" s="181"/>
      <c r="I455" s="181"/>
      <c r="J455" s="181"/>
      <c r="K455" s="156"/>
      <c r="L455" s="549"/>
      <c r="M455" s="181"/>
      <c r="N455" s="181"/>
      <c r="O455" s="181"/>
      <c r="P455" s="156"/>
      <c r="Q455" s="562"/>
      <c r="R455" s="181"/>
      <c r="S455" s="181"/>
      <c r="T455" s="181"/>
      <c r="U455" s="179"/>
      <c r="V455" s="549"/>
      <c r="W455" s="181"/>
      <c r="X455" s="181"/>
      <c r="Y455" s="181"/>
      <c r="Z455" s="179"/>
      <c r="AA455" s="549"/>
      <c r="AB455" s="181"/>
      <c r="AC455" s="181"/>
      <c r="AD455" s="181"/>
      <c r="AE455" s="179"/>
      <c r="AF455" s="549"/>
      <c r="AG455" s="181"/>
      <c r="AH455" s="181"/>
      <c r="AI455" s="181"/>
      <c r="AJ455" s="179"/>
      <c r="AK455" s="549"/>
      <c r="AL455" s="181"/>
      <c r="AM455" s="181"/>
      <c r="AN455" s="181"/>
      <c r="AO455" s="179"/>
      <c r="AP455" s="549"/>
      <c r="AQ455" s="181"/>
      <c r="AR455" s="181"/>
      <c r="AS455" s="181"/>
      <c r="AT455" s="528"/>
      <c r="AU455" s="528"/>
      <c r="AV455" s="528"/>
      <c r="AW455" s="528"/>
      <c r="AX455" s="528"/>
      <c r="AY455" s="528"/>
      <c r="AZ455" s="528"/>
      <c r="BA455" s="528"/>
      <c r="BB455" s="528"/>
      <c r="BC455" s="528"/>
      <c r="BD455" s="528"/>
      <c r="BE455" s="528"/>
      <c r="BF455" s="528"/>
      <c r="BG455" s="528"/>
      <c r="BH455" s="528"/>
    </row>
    <row r="456">
      <c r="A456" s="179"/>
      <c r="B456" s="549"/>
      <c r="C456" s="181"/>
      <c r="D456" s="181"/>
      <c r="E456" s="181"/>
      <c r="F456" s="179"/>
      <c r="G456" s="549"/>
      <c r="H456" s="181"/>
      <c r="I456" s="181"/>
      <c r="J456" s="181"/>
      <c r="K456" s="156"/>
      <c r="L456" s="549"/>
      <c r="M456" s="181"/>
      <c r="N456" s="181"/>
      <c r="O456" s="181"/>
      <c r="P456" s="156"/>
      <c r="Q456" s="562"/>
      <c r="R456" s="181"/>
      <c r="S456" s="181"/>
      <c r="T456" s="181"/>
      <c r="U456" s="179"/>
      <c r="V456" s="549"/>
      <c r="W456" s="181"/>
      <c r="X456" s="181"/>
      <c r="Y456" s="181"/>
      <c r="Z456" s="179"/>
      <c r="AA456" s="549"/>
      <c r="AB456" s="181"/>
      <c r="AC456" s="181"/>
      <c r="AD456" s="181"/>
      <c r="AE456" s="179"/>
      <c r="AF456" s="549"/>
      <c r="AG456" s="181"/>
      <c r="AH456" s="181"/>
      <c r="AI456" s="181"/>
      <c r="AJ456" s="179"/>
      <c r="AK456" s="549"/>
      <c r="AL456" s="181"/>
      <c r="AM456" s="181"/>
      <c r="AN456" s="181"/>
      <c r="AO456" s="179"/>
      <c r="AP456" s="549"/>
      <c r="AQ456" s="181"/>
      <c r="AR456" s="181"/>
      <c r="AS456" s="181"/>
      <c r="AT456" s="528"/>
      <c r="AU456" s="528"/>
      <c r="AV456" s="528"/>
      <c r="AW456" s="528"/>
      <c r="AX456" s="528"/>
      <c r="AY456" s="528"/>
      <c r="AZ456" s="528"/>
      <c r="BA456" s="528"/>
      <c r="BB456" s="528"/>
      <c r="BC456" s="528"/>
      <c r="BD456" s="528"/>
      <c r="BE456" s="528"/>
      <c r="BF456" s="528"/>
      <c r="BG456" s="528"/>
      <c r="BH456" s="528"/>
    </row>
    <row r="457">
      <c r="A457" s="179"/>
      <c r="B457" s="549"/>
      <c r="C457" s="181"/>
      <c r="D457" s="181"/>
      <c r="E457" s="181"/>
      <c r="F457" s="179"/>
      <c r="G457" s="549"/>
      <c r="H457" s="181"/>
      <c r="I457" s="181"/>
      <c r="J457" s="181"/>
      <c r="K457" s="156"/>
      <c r="L457" s="549"/>
      <c r="M457" s="181"/>
      <c r="N457" s="181"/>
      <c r="O457" s="181"/>
      <c r="P457" s="156"/>
      <c r="Q457" s="562"/>
      <c r="R457" s="181"/>
      <c r="S457" s="181"/>
      <c r="T457" s="181"/>
      <c r="U457" s="179"/>
      <c r="V457" s="549"/>
      <c r="W457" s="181"/>
      <c r="X457" s="181"/>
      <c r="Y457" s="181"/>
      <c r="Z457" s="179"/>
      <c r="AA457" s="549"/>
      <c r="AB457" s="181"/>
      <c r="AC457" s="181"/>
      <c r="AD457" s="181"/>
      <c r="AE457" s="179"/>
      <c r="AF457" s="549"/>
      <c r="AG457" s="181"/>
      <c r="AH457" s="181"/>
      <c r="AI457" s="181"/>
      <c r="AJ457" s="179"/>
      <c r="AK457" s="549"/>
      <c r="AL457" s="181"/>
      <c r="AM457" s="181"/>
      <c r="AN457" s="181"/>
      <c r="AO457" s="179"/>
      <c r="AP457" s="549"/>
      <c r="AQ457" s="181"/>
      <c r="AR457" s="181"/>
      <c r="AS457" s="181"/>
      <c r="AT457" s="528"/>
      <c r="AU457" s="528"/>
      <c r="AV457" s="528"/>
      <c r="AW457" s="528"/>
      <c r="AX457" s="528"/>
      <c r="AY457" s="528"/>
      <c r="AZ457" s="528"/>
      <c r="BA457" s="528"/>
      <c r="BB457" s="528"/>
      <c r="BC457" s="528"/>
      <c r="BD457" s="528"/>
      <c r="BE457" s="528"/>
      <c r="BF457" s="528"/>
      <c r="BG457" s="528"/>
      <c r="BH457" s="528"/>
    </row>
    <row r="458">
      <c r="A458" s="179"/>
      <c r="B458" s="549"/>
      <c r="C458" s="181"/>
      <c r="D458" s="181"/>
      <c r="E458" s="181"/>
      <c r="F458" s="179"/>
      <c r="G458" s="549"/>
      <c r="H458" s="181"/>
      <c r="I458" s="181"/>
      <c r="J458" s="181"/>
      <c r="K458" s="156"/>
      <c r="L458" s="549"/>
      <c r="M458" s="181"/>
      <c r="N458" s="181"/>
      <c r="O458" s="181"/>
      <c r="P458" s="156"/>
      <c r="Q458" s="562"/>
      <c r="R458" s="181"/>
      <c r="S458" s="181"/>
      <c r="T458" s="181"/>
      <c r="U458" s="179"/>
      <c r="V458" s="549"/>
      <c r="W458" s="181"/>
      <c r="X458" s="181"/>
      <c r="Y458" s="181"/>
      <c r="Z458" s="179"/>
      <c r="AA458" s="549"/>
      <c r="AB458" s="181"/>
      <c r="AC458" s="181"/>
      <c r="AD458" s="181"/>
      <c r="AE458" s="179"/>
      <c r="AF458" s="549"/>
      <c r="AG458" s="181"/>
      <c r="AH458" s="181"/>
      <c r="AI458" s="181"/>
      <c r="AJ458" s="179"/>
      <c r="AK458" s="549"/>
      <c r="AL458" s="181"/>
      <c r="AM458" s="181"/>
      <c r="AN458" s="181"/>
      <c r="AO458" s="179"/>
      <c r="AP458" s="549"/>
      <c r="AQ458" s="181"/>
      <c r="AR458" s="181"/>
      <c r="AS458" s="181"/>
      <c r="AT458" s="528"/>
      <c r="AU458" s="528"/>
      <c r="AV458" s="528"/>
      <c r="AW458" s="528"/>
      <c r="AX458" s="528"/>
      <c r="AY458" s="528"/>
      <c r="AZ458" s="528"/>
      <c r="BA458" s="528"/>
      <c r="BB458" s="528"/>
      <c r="BC458" s="528"/>
      <c r="BD458" s="528"/>
      <c r="BE458" s="528"/>
      <c r="BF458" s="528"/>
      <c r="BG458" s="528"/>
      <c r="BH458" s="528"/>
    </row>
    <row r="459">
      <c r="A459" s="179"/>
      <c r="B459" s="549"/>
      <c r="C459" s="181"/>
      <c r="D459" s="181"/>
      <c r="E459" s="181"/>
      <c r="F459" s="179"/>
      <c r="G459" s="549"/>
      <c r="H459" s="181"/>
      <c r="I459" s="181"/>
      <c r="J459" s="181"/>
      <c r="K459" s="156"/>
      <c r="L459" s="549"/>
      <c r="M459" s="181"/>
      <c r="N459" s="181"/>
      <c r="O459" s="181"/>
      <c r="P459" s="156"/>
      <c r="Q459" s="562"/>
      <c r="R459" s="181"/>
      <c r="S459" s="181"/>
      <c r="T459" s="181"/>
      <c r="U459" s="179"/>
      <c r="V459" s="549"/>
      <c r="W459" s="181"/>
      <c r="X459" s="181"/>
      <c r="Y459" s="181"/>
      <c r="Z459" s="179"/>
      <c r="AA459" s="549"/>
      <c r="AB459" s="181"/>
      <c r="AC459" s="181"/>
      <c r="AD459" s="181"/>
      <c r="AE459" s="179"/>
      <c r="AF459" s="549"/>
      <c r="AG459" s="181"/>
      <c r="AH459" s="181"/>
      <c r="AI459" s="181"/>
      <c r="AJ459" s="179"/>
      <c r="AK459" s="549"/>
      <c r="AL459" s="181"/>
      <c r="AM459" s="181"/>
      <c r="AN459" s="181"/>
      <c r="AO459" s="179"/>
      <c r="AP459" s="549"/>
      <c r="AQ459" s="181"/>
      <c r="AR459" s="181"/>
      <c r="AS459" s="181"/>
      <c r="AT459" s="528"/>
      <c r="AU459" s="528"/>
      <c r="AV459" s="528"/>
      <c r="AW459" s="528"/>
      <c r="AX459" s="528"/>
      <c r="AY459" s="528"/>
      <c r="AZ459" s="528"/>
      <c r="BA459" s="528"/>
      <c r="BB459" s="528"/>
      <c r="BC459" s="528"/>
      <c r="BD459" s="528"/>
      <c r="BE459" s="528"/>
      <c r="BF459" s="528"/>
      <c r="BG459" s="528"/>
      <c r="BH459" s="528"/>
    </row>
    <row r="460">
      <c r="A460" s="179"/>
      <c r="B460" s="549"/>
      <c r="C460" s="181"/>
      <c r="D460" s="181"/>
      <c r="E460" s="181"/>
      <c r="F460" s="179"/>
      <c r="G460" s="549"/>
      <c r="H460" s="181"/>
      <c r="I460" s="181"/>
      <c r="J460" s="181"/>
      <c r="K460" s="156"/>
      <c r="L460" s="549"/>
      <c r="M460" s="181"/>
      <c r="N460" s="181"/>
      <c r="O460" s="181"/>
      <c r="P460" s="156"/>
      <c r="Q460" s="562"/>
      <c r="R460" s="181"/>
      <c r="S460" s="181"/>
      <c r="T460" s="181"/>
      <c r="U460" s="179"/>
      <c r="V460" s="549"/>
      <c r="W460" s="181"/>
      <c r="X460" s="181"/>
      <c r="Y460" s="181"/>
      <c r="Z460" s="179"/>
      <c r="AA460" s="549"/>
      <c r="AB460" s="181"/>
      <c r="AC460" s="181"/>
      <c r="AD460" s="181"/>
      <c r="AE460" s="179"/>
      <c r="AF460" s="549"/>
      <c r="AG460" s="181"/>
      <c r="AH460" s="181"/>
      <c r="AI460" s="181"/>
      <c r="AJ460" s="179"/>
      <c r="AK460" s="549"/>
      <c r="AL460" s="181"/>
      <c r="AM460" s="181"/>
      <c r="AN460" s="181"/>
      <c r="AO460" s="179"/>
      <c r="AP460" s="549"/>
      <c r="AQ460" s="181"/>
      <c r="AR460" s="181"/>
      <c r="AS460" s="181"/>
      <c r="AT460" s="528"/>
      <c r="AU460" s="528"/>
      <c r="AV460" s="528"/>
      <c r="AW460" s="528"/>
      <c r="AX460" s="528"/>
      <c r="AY460" s="528"/>
      <c r="AZ460" s="528"/>
      <c r="BA460" s="528"/>
      <c r="BB460" s="528"/>
      <c r="BC460" s="528"/>
      <c r="BD460" s="528"/>
      <c r="BE460" s="528"/>
      <c r="BF460" s="528"/>
      <c r="BG460" s="528"/>
      <c r="BH460" s="528"/>
    </row>
    <row r="461">
      <c r="A461" s="179"/>
      <c r="B461" s="549"/>
      <c r="C461" s="181"/>
      <c r="D461" s="181"/>
      <c r="E461" s="181"/>
      <c r="F461" s="179"/>
      <c r="G461" s="549"/>
      <c r="H461" s="181"/>
      <c r="I461" s="181"/>
      <c r="J461" s="181"/>
      <c r="K461" s="156"/>
      <c r="L461" s="549"/>
      <c r="M461" s="181"/>
      <c r="N461" s="181"/>
      <c r="O461" s="181"/>
      <c r="P461" s="156"/>
      <c r="Q461" s="562"/>
      <c r="R461" s="181"/>
      <c r="S461" s="181"/>
      <c r="T461" s="181"/>
      <c r="U461" s="179"/>
      <c r="V461" s="549"/>
      <c r="W461" s="181"/>
      <c r="X461" s="181"/>
      <c r="Y461" s="181"/>
      <c r="Z461" s="179"/>
      <c r="AA461" s="549"/>
      <c r="AB461" s="181"/>
      <c r="AC461" s="181"/>
      <c r="AD461" s="181"/>
      <c r="AE461" s="179"/>
      <c r="AF461" s="549"/>
      <c r="AG461" s="181"/>
      <c r="AH461" s="181"/>
      <c r="AI461" s="181"/>
      <c r="AJ461" s="179"/>
      <c r="AK461" s="549"/>
      <c r="AL461" s="181"/>
      <c r="AM461" s="181"/>
      <c r="AN461" s="181"/>
      <c r="AO461" s="179"/>
      <c r="AP461" s="549"/>
      <c r="AQ461" s="181"/>
      <c r="AR461" s="181"/>
      <c r="AS461" s="181"/>
      <c r="AT461" s="528"/>
      <c r="AU461" s="528"/>
      <c r="AV461" s="528"/>
      <c r="AW461" s="528"/>
      <c r="AX461" s="528"/>
      <c r="AY461" s="528"/>
      <c r="AZ461" s="528"/>
      <c r="BA461" s="528"/>
      <c r="BB461" s="528"/>
      <c r="BC461" s="528"/>
      <c r="BD461" s="528"/>
      <c r="BE461" s="528"/>
      <c r="BF461" s="528"/>
      <c r="BG461" s="528"/>
      <c r="BH461" s="528"/>
    </row>
    <row r="462">
      <c r="A462" s="179"/>
      <c r="B462" s="549"/>
      <c r="C462" s="181"/>
      <c r="D462" s="181"/>
      <c r="E462" s="181"/>
      <c r="F462" s="179"/>
      <c r="G462" s="549"/>
      <c r="H462" s="181"/>
      <c r="I462" s="181"/>
      <c r="J462" s="181"/>
      <c r="K462" s="156"/>
      <c r="L462" s="549"/>
      <c r="M462" s="181"/>
      <c r="N462" s="181"/>
      <c r="O462" s="181"/>
      <c r="P462" s="156"/>
      <c r="Q462" s="562"/>
      <c r="R462" s="181"/>
      <c r="S462" s="181"/>
      <c r="T462" s="181"/>
      <c r="U462" s="179"/>
      <c r="V462" s="549"/>
      <c r="W462" s="181"/>
      <c r="X462" s="181"/>
      <c r="Y462" s="181"/>
      <c r="Z462" s="179"/>
      <c r="AA462" s="549"/>
      <c r="AB462" s="181"/>
      <c r="AC462" s="181"/>
      <c r="AD462" s="181"/>
      <c r="AE462" s="179"/>
      <c r="AF462" s="549"/>
      <c r="AG462" s="181"/>
      <c r="AH462" s="181"/>
      <c r="AI462" s="181"/>
      <c r="AJ462" s="179"/>
      <c r="AK462" s="549"/>
      <c r="AL462" s="181"/>
      <c r="AM462" s="181"/>
      <c r="AN462" s="181"/>
      <c r="AO462" s="179"/>
      <c r="AP462" s="549"/>
      <c r="AQ462" s="181"/>
      <c r="AR462" s="181"/>
      <c r="AS462" s="181"/>
      <c r="AT462" s="528"/>
      <c r="AU462" s="528"/>
      <c r="AV462" s="528"/>
      <c r="AW462" s="528"/>
      <c r="AX462" s="528"/>
      <c r="AY462" s="528"/>
      <c r="AZ462" s="528"/>
      <c r="BA462" s="528"/>
      <c r="BB462" s="528"/>
      <c r="BC462" s="528"/>
      <c r="BD462" s="528"/>
      <c r="BE462" s="528"/>
      <c r="BF462" s="528"/>
      <c r="BG462" s="528"/>
      <c r="BH462" s="528"/>
    </row>
    <row r="463">
      <c r="A463" s="179"/>
      <c r="B463" s="549"/>
      <c r="C463" s="181"/>
      <c r="D463" s="181"/>
      <c r="E463" s="181"/>
      <c r="F463" s="179"/>
      <c r="G463" s="549"/>
      <c r="H463" s="181"/>
      <c r="I463" s="181"/>
      <c r="J463" s="181"/>
      <c r="K463" s="156"/>
      <c r="L463" s="549"/>
      <c r="M463" s="181"/>
      <c r="N463" s="181"/>
      <c r="O463" s="181"/>
      <c r="P463" s="156"/>
      <c r="Q463" s="562"/>
      <c r="R463" s="181"/>
      <c r="S463" s="181"/>
      <c r="T463" s="181"/>
      <c r="U463" s="179"/>
      <c r="V463" s="549"/>
      <c r="W463" s="181"/>
      <c r="X463" s="181"/>
      <c r="Y463" s="181"/>
      <c r="Z463" s="179"/>
      <c r="AA463" s="549"/>
      <c r="AB463" s="181"/>
      <c r="AC463" s="181"/>
      <c r="AD463" s="181"/>
      <c r="AE463" s="179"/>
      <c r="AF463" s="549"/>
      <c r="AG463" s="181"/>
      <c r="AH463" s="181"/>
      <c r="AI463" s="181"/>
      <c r="AJ463" s="179"/>
      <c r="AK463" s="549"/>
      <c r="AL463" s="181"/>
      <c r="AM463" s="181"/>
      <c r="AN463" s="181"/>
      <c r="AO463" s="179"/>
      <c r="AP463" s="549"/>
      <c r="AQ463" s="181"/>
      <c r="AR463" s="181"/>
      <c r="AS463" s="181"/>
      <c r="AT463" s="528"/>
      <c r="AU463" s="528"/>
      <c r="AV463" s="528"/>
      <c r="AW463" s="528"/>
      <c r="AX463" s="528"/>
      <c r="AY463" s="528"/>
      <c r="AZ463" s="528"/>
      <c r="BA463" s="528"/>
      <c r="BB463" s="528"/>
      <c r="BC463" s="528"/>
      <c r="BD463" s="528"/>
      <c r="BE463" s="528"/>
      <c r="BF463" s="528"/>
      <c r="BG463" s="528"/>
      <c r="BH463" s="528"/>
    </row>
    <row r="464">
      <c r="A464" s="179"/>
      <c r="B464" s="549"/>
      <c r="C464" s="181"/>
      <c r="D464" s="181"/>
      <c r="E464" s="181"/>
      <c r="F464" s="179"/>
      <c r="G464" s="549"/>
      <c r="H464" s="181"/>
      <c r="I464" s="181"/>
      <c r="J464" s="181"/>
      <c r="K464" s="156"/>
      <c r="L464" s="549"/>
      <c r="M464" s="181"/>
      <c r="N464" s="181"/>
      <c r="O464" s="181"/>
      <c r="P464" s="156"/>
      <c r="Q464" s="562"/>
      <c r="R464" s="181"/>
      <c r="S464" s="181"/>
      <c r="T464" s="181"/>
      <c r="U464" s="179"/>
      <c r="V464" s="549"/>
      <c r="W464" s="181"/>
      <c r="X464" s="181"/>
      <c r="Y464" s="181"/>
      <c r="Z464" s="179"/>
      <c r="AA464" s="549"/>
      <c r="AB464" s="181"/>
      <c r="AC464" s="181"/>
      <c r="AD464" s="181"/>
      <c r="AE464" s="179"/>
      <c r="AF464" s="549"/>
      <c r="AG464" s="181"/>
      <c r="AH464" s="181"/>
      <c r="AI464" s="181"/>
      <c r="AJ464" s="179"/>
      <c r="AK464" s="549"/>
      <c r="AL464" s="181"/>
      <c r="AM464" s="181"/>
      <c r="AN464" s="181"/>
      <c r="AO464" s="179"/>
      <c r="AP464" s="549"/>
      <c r="AQ464" s="181"/>
      <c r="AR464" s="181"/>
      <c r="AS464" s="181"/>
      <c r="AT464" s="528"/>
      <c r="AU464" s="528"/>
      <c r="AV464" s="528"/>
      <c r="AW464" s="528"/>
      <c r="AX464" s="528"/>
      <c r="AY464" s="528"/>
      <c r="AZ464" s="528"/>
      <c r="BA464" s="528"/>
      <c r="BB464" s="528"/>
      <c r="BC464" s="528"/>
      <c r="BD464" s="528"/>
      <c r="BE464" s="528"/>
      <c r="BF464" s="528"/>
      <c r="BG464" s="528"/>
      <c r="BH464" s="528"/>
    </row>
    <row r="465">
      <c r="A465" s="179"/>
      <c r="B465" s="549"/>
      <c r="C465" s="181"/>
      <c r="D465" s="181"/>
      <c r="E465" s="181"/>
      <c r="F465" s="179"/>
      <c r="G465" s="549"/>
      <c r="H465" s="181"/>
      <c r="I465" s="181"/>
      <c r="J465" s="181"/>
      <c r="K465" s="156"/>
      <c r="L465" s="549"/>
      <c r="M465" s="181"/>
      <c r="N465" s="181"/>
      <c r="O465" s="181"/>
      <c r="P465" s="156"/>
      <c r="Q465" s="562"/>
      <c r="R465" s="181"/>
      <c r="S465" s="181"/>
      <c r="T465" s="181"/>
      <c r="U465" s="179"/>
      <c r="V465" s="549"/>
      <c r="W465" s="181"/>
      <c r="X465" s="181"/>
      <c r="Y465" s="181"/>
      <c r="Z465" s="179"/>
      <c r="AA465" s="549"/>
      <c r="AB465" s="181"/>
      <c r="AC465" s="181"/>
      <c r="AD465" s="181"/>
      <c r="AE465" s="179"/>
      <c r="AF465" s="549"/>
      <c r="AG465" s="181"/>
      <c r="AH465" s="181"/>
      <c r="AI465" s="181"/>
      <c r="AJ465" s="179"/>
      <c r="AK465" s="549"/>
      <c r="AL465" s="181"/>
      <c r="AM465" s="181"/>
      <c r="AN465" s="181"/>
      <c r="AO465" s="179"/>
      <c r="AP465" s="549"/>
      <c r="AQ465" s="181"/>
      <c r="AR465" s="181"/>
      <c r="AS465" s="181"/>
      <c r="AT465" s="528"/>
      <c r="AU465" s="528"/>
      <c r="AV465" s="528"/>
      <c r="AW465" s="528"/>
      <c r="AX465" s="528"/>
      <c r="AY465" s="528"/>
      <c r="AZ465" s="528"/>
      <c r="BA465" s="528"/>
      <c r="BB465" s="528"/>
      <c r="BC465" s="528"/>
      <c r="BD465" s="528"/>
      <c r="BE465" s="528"/>
      <c r="BF465" s="528"/>
      <c r="BG465" s="528"/>
      <c r="BH465" s="528"/>
    </row>
    <row r="466">
      <c r="A466" s="179"/>
      <c r="B466" s="549"/>
      <c r="C466" s="181"/>
      <c r="D466" s="181"/>
      <c r="E466" s="181"/>
      <c r="F466" s="179"/>
      <c r="G466" s="549"/>
      <c r="H466" s="181"/>
      <c r="I466" s="181"/>
      <c r="J466" s="181"/>
      <c r="K466" s="156"/>
      <c r="L466" s="549"/>
      <c r="M466" s="181"/>
      <c r="N466" s="181"/>
      <c r="O466" s="181"/>
      <c r="P466" s="156"/>
      <c r="Q466" s="562"/>
      <c r="R466" s="181"/>
      <c r="S466" s="181"/>
      <c r="T466" s="181"/>
      <c r="U466" s="179"/>
      <c r="V466" s="549"/>
      <c r="W466" s="181"/>
      <c r="X466" s="181"/>
      <c r="Y466" s="181"/>
      <c r="Z466" s="179"/>
      <c r="AA466" s="549"/>
      <c r="AB466" s="181"/>
      <c r="AC466" s="181"/>
      <c r="AD466" s="181"/>
      <c r="AE466" s="179"/>
      <c r="AF466" s="549"/>
      <c r="AG466" s="181"/>
      <c r="AH466" s="181"/>
      <c r="AI466" s="181"/>
      <c r="AJ466" s="179"/>
      <c r="AK466" s="549"/>
      <c r="AL466" s="181"/>
      <c r="AM466" s="181"/>
      <c r="AN466" s="181"/>
      <c r="AO466" s="179"/>
      <c r="AP466" s="549"/>
      <c r="AQ466" s="181"/>
      <c r="AR466" s="181"/>
      <c r="AS466" s="181"/>
      <c r="AT466" s="528"/>
      <c r="AU466" s="528"/>
      <c r="AV466" s="528"/>
      <c r="AW466" s="528"/>
      <c r="AX466" s="528"/>
      <c r="AY466" s="528"/>
      <c r="AZ466" s="528"/>
      <c r="BA466" s="528"/>
      <c r="BB466" s="528"/>
      <c r="BC466" s="528"/>
      <c r="BD466" s="528"/>
      <c r="BE466" s="528"/>
      <c r="BF466" s="528"/>
      <c r="BG466" s="528"/>
      <c r="BH466" s="528"/>
    </row>
    <row r="467">
      <c r="A467" s="179"/>
      <c r="B467" s="549"/>
      <c r="C467" s="181"/>
      <c r="D467" s="181"/>
      <c r="E467" s="181"/>
      <c r="F467" s="179"/>
      <c r="G467" s="549"/>
      <c r="H467" s="181"/>
      <c r="I467" s="181"/>
      <c r="J467" s="181"/>
      <c r="K467" s="156"/>
      <c r="L467" s="549"/>
      <c r="M467" s="181"/>
      <c r="N467" s="181"/>
      <c r="O467" s="181"/>
      <c r="P467" s="156"/>
      <c r="Q467" s="562"/>
      <c r="R467" s="181"/>
      <c r="S467" s="181"/>
      <c r="T467" s="181"/>
      <c r="U467" s="179"/>
      <c r="V467" s="549"/>
      <c r="W467" s="181"/>
      <c r="X467" s="181"/>
      <c r="Y467" s="181"/>
      <c r="Z467" s="179"/>
      <c r="AA467" s="549"/>
      <c r="AB467" s="181"/>
      <c r="AC467" s="181"/>
      <c r="AD467" s="181"/>
      <c r="AE467" s="179"/>
      <c r="AF467" s="549"/>
      <c r="AG467" s="181"/>
      <c r="AH467" s="181"/>
      <c r="AI467" s="181"/>
      <c r="AJ467" s="179"/>
      <c r="AK467" s="549"/>
      <c r="AL467" s="181"/>
      <c r="AM467" s="181"/>
      <c r="AN467" s="181"/>
      <c r="AO467" s="179"/>
      <c r="AP467" s="549"/>
      <c r="AQ467" s="181"/>
      <c r="AR467" s="181"/>
      <c r="AS467" s="181"/>
      <c r="AT467" s="528"/>
      <c r="AU467" s="528"/>
      <c r="AV467" s="528"/>
      <c r="AW467" s="528"/>
      <c r="AX467" s="528"/>
      <c r="AY467" s="528"/>
      <c r="AZ467" s="528"/>
      <c r="BA467" s="528"/>
      <c r="BB467" s="528"/>
      <c r="BC467" s="528"/>
      <c r="BD467" s="528"/>
      <c r="BE467" s="528"/>
      <c r="BF467" s="528"/>
      <c r="BG467" s="528"/>
      <c r="BH467" s="528"/>
    </row>
    <row r="468">
      <c r="A468" s="179"/>
      <c r="B468" s="549"/>
      <c r="C468" s="181"/>
      <c r="D468" s="181"/>
      <c r="E468" s="181"/>
      <c r="F468" s="179"/>
      <c r="G468" s="549"/>
      <c r="H468" s="181"/>
      <c r="I468" s="181"/>
      <c r="J468" s="181"/>
      <c r="K468" s="156"/>
      <c r="L468" s="549"/>
      <c r="M468" s="181"/>
      <c r="N468" s="181"/>
      <c r="O468" s="181"/>
      <c r="P468" s="156"/>
      <c r="Q468" s="562"/>
      <c r="R468" s="181"/>
      <c r="S468" s="181"/>
      <c r="T468" s="181"/>
      <c r="U468" s="179"/>
      <c r="V468" s="549"/>
      <c r="W468" s="181"/>
      <c r="X468" s="181"/>
      <c r="Y468" s="181"/>
      <c r="Z468" s="179"/>
      <c r="AA468" s="549"/>
      <c r="AB468" s="181"/>
      <c r="AC468" s="181"/>
      <c r="AD468" s="181"/>
      <c r="AE468" s="179"/>
      <c r="AF468" s="549"/>
      <c r="AG468" s="181"/>
      <c r="AH468" s="181"/>
      <c r="AI468" s="181"/>
      <c r="AJ468" s="179"/>
      <c r="AK468" s="549"/>
      <c r="AL468" s="181"/>
      <c r="AM468" s="181"/>
      <c r="AN468" s="181"/>
      <c r="AO468" s="179"/>
      <c r="AP468" s="549"/>
      <c r="AQ468" s="181"/>
      <c r="AR468" s="181"/>
      <c r="AS468" s="181"/>
      <c r="AT468" s="528"/>
      <c r="AU468" s="528"/>
      <c r="AV468" s="528"/>
      <c r="AW468" s="528"/>
      <c r="AX468" s="528"/>
      <c r="AY468" s="528"/>
      <c r="AZ468" s="528"/>
      <c r="BA468" s="528"/>
      <c r="BB468" s="528"/>
      <c r="BC468" s="528"/>
      <c r="BD468" s="528"/>
      <c r="BE468" s="528"/>
      <c r="BF468" s="528"/>
      <c r="BG468" s="528"/>
      <c r="BH468" s="528"/>
    </row>
    <row r="469">
      <c r="A469" s="179"/>
      <c r="B469" s="549"/>
      <c r="C469" s="181"/>
      <c r="D469" s="181"/>
      <c r="E469" s="181"/>
      <c r="F469" s="179"/>
      <c r="G469" s="549"/>
      <c r="H469" s="181"/>
      <c r="I469" s="181"/>
      <c r="J469" s="181"/>
      <c r="K469" s="156"/>
      <c r="L469" s="549"/>
      <c r="M469" s="181"/>
      <c r="N469" s="181"/>
      <c r="O469" s="181"/>
      <c r="P469" s="156"/>
      <c r="Q469" s="562"/>
      <c r="R469" s="181"/>
      <c r="S469" s="181"/>
      <c r="T469" s="181"/>
      <c r="U469" s="179"/>
      <c r="V469" s="549"/>
      <c r="W469" s="181"/>
      <c r="X469" s="181"/>
      <c r="Y469" s="181"/>
      <c r="Z469" s="179"/>
      <c r="AA469" s="549"/>
      <c r="AB469" s="181"/>
      <c r="AC469" s="181"/>
      <c r="AD469" s="181"/>
      <c r="AE469" s="179"/>
      <c r="AF469" s="549"/>
      <c r="AG469" s="181"/>
      <c r="AH469" s="181"/>
      <c r="AI469" s="181"/>
      <c r="AJ469" s="179"/>
      <c r="AK469" s="549"/>
      <c r="AL469" s="181"/>
      <c r="AM469" s="181"/>
      <c r="AN469" s="181"/>
      <c r="AO469" s="179"/>
      <c r="AP469" s="549"/>
      <c r="AQ469" s="181"/>
      <c r="AR469" s="181"/>
      <c r="AS469" s="181"/>
      <c r="AT469" s="528"/>
      <c r="AU469" s="528"/>
      <c r="AV469" s="528"/>
      <c r="AW469" s="528"/>
      <c r="AX469" s="528"/>
      <c r="AY469" s="528"/>
      <c r="AZ469" s="528"/>
      <c r="BA469" s="528"/>
      <c r="BB469" s="528"/>
      <c r="BC469" s="528"/>
      <c r="BD469" s="528"/>
      <c r="BE469" s="528"/>
      <c r="BF469" s="528"/>
      <c r="BG469" s="528"/>
      <c r="BH469" s="528"/>
    </row>
    <row r="470">
      <c r="A470" s="179"/>
      <c r="B470" s="549"/>
      <c r="C470" s="181"/>
      <c r="D470" s="181"/>
      <c r="E470" s="181"/>
      <c r="F470" s="179"/>
      <c r="G470" s="549"/>
      <c r="H470" s="181"/>
      <c r="I470" s="181"/>
      <c r="J470" s="181"/>
      <c r="K470" s="156"/>
      <c r="L470" s="549"/>
      <c r="M470" s="181"/>
      <c r="N470" s="181"/>
      <c r="O470" s="181"/>
      <c r="P470" s="156"/>
      <c r="Q470" s="562"/>
      <c r="R470" s="181"/>
      <c r="S470" s="181"/>
      <c r="T470" s="181"/>
      <c r="U470" s="179"/>
      <c r="V470" s="549"/>
      <c r="W470" s="181"/>
      <c r="X470" s="181"/>
      <c r="Y470" s="181"/>
      <c r="Z470" s="179"/>
      <c r="AA470" s="549"/>
      <c r="AB470" s="181"/>
      <c r="AC470" s="181"/>
      <c r="AD470" s="181"/>
      <c r="AE470" s="179"/>
      <c r="AF470" s="549"/>
      <c r="AG470" s="181"/>
      <c r="AH470" s="181"/>
      <c r="AI470" s="181"/>
      <c r="AJ470" s="179"/>
      <c r="AK470" s="549"/>
      <c r="AL470" s="181"/>
      <c r="AM470" s="181"/>
      <c r="AN470" s="181"/>
      <c r="AO470" s="179"/>
      <c r="AP470" s="549"/>
      <c r="AQ470" s="181"/>
      <c r="AR470" s="181"/>
      <c r="AS470" s="181"/>
      <c r="AT470" s="528"/>
      <c r="AU470" s="528"/>
      <c r="AV470" s="528"/>
      <c r="AW470" s="528"/>
      <c r="AX470" s="528"/>
      <c r="AY470" s="528"/>
      <c r="AZ470" s="528"/>
      <c r="BA470" s="528"/>
      <c r="BB470" s="528"/>
      <c r="BC470" s="528"/>
      <c r="BD470" s="528"/>
      <c r="BE470" s="528"/>
      <c r="BF470" s="528"/>
      <c r="BG470" s="528"/>
      <c r="BH470" s="528"/>
    </row>
    <row r="471">
      <c r="A471" s="179"/>
      <c r="B471" s="549"/>
      <c r="C471" s="181"/>
      <c r="D471" s="181"/>
      <c r="E471" s="181"/>
      <c r="F471" s="179"/>
      <c r="G471" s="549"/>
      <c r="H471" s="181"/>
      <c r="I471" s="181"/>
      <c r="J471" s="181"/>
      <c r="K471" s="156"/>
      <c r="L471" s="549"/>
      <c r="M471" s="181"/>
      <c r="N471" s="181"/>
      <c r="O471" s="181"/>
      <c r="P471" s="156"/>
      <c r="Q471" s="562"/>
      <c r="R471" s="181"/>
      <c r="S471" s="181"/>
      <c r="T471" s="181"/>
      <c r="U471" s="179"/>
      <c r="V471" s="549"/>
      <c r="W471" s="181"/>
      <c r="X471" s="181"/>
      <c r="Y471" s="181"/>
      <c r="Z471" s="179"/>
      <c r="AA471" s="549"/>
      <c r="AB471" s="181"/>
      <c r="AC471" s="181"/>
      <c r="AD471" s="181"/>
      <c r="AE471" s="179"/>
      <c r="AF471" s="549"/>
      <c r="AG471" s="181"/>
      <c r="AH471" s="181"/>
      <c r="AI471" s="181"/>
      <c r="AJ471" s="179"/>
      <c r="AK471" s="549"/>
      <c r="AL471" s="181"/>
      <c r="AM471" s="181"/>
      <c r="AN471" s="181"/>
      <c r="AO471" s="179"/>
      <c r="AP471" s="549"/>
      <c r="AQ471" s="181"/>
      <c r="AR471" s="181"/>
      <c r="AS471" s="181"/>
      <c r="AT471" s="528"/>
      <c r="AU471" s="528"/>
      <c r="AV471" s="528"/>
      <c r="AW471" s="528"/>
      <c r="AX471" s="528"/>
      <c r="AY471" s="528"/>
      <c r="AZ471" s="528"/>
      <c r="BA471" s="528"/>
      <c r="BB471" s="528"/>
      <c r="BC471" s="528"/>
      <c r="BD471" s="528"/>
      <c r="BE471" s="528"/>
      <c r="BF471" s="528"/>
      <c r="BG471" s="528"/>
      <c r="BH471" s="528"/>
    </row>
    <row r="472">
      <c r="A472" s="179"/>
      <c r="B472" s="549"/>
      <c r="C472" s="181"/>
      <c r="D472" s="181"/>
      <c r="E472" s="181"/>
      <c r="F472" s="179"/>
      <c r="G472" s="549"/>
      <c r="H472" s="181"/>
      <c r="I472" s="181"/>
      <c r="J472" s="181"/>
      <c r="K472" s="156"/>
      <c r="L472" s="549"/>
      <c r="M472" s="181"/>
      <c r="N472" s="181"/>
      <c r="O472" s="181"/>
      <c r="P472" s="156"/>
      <c r="Q472" s="562"/>
      <c r="R472" s="181"/>
      <c r="S472" s="181"/>
      <c r="T472" s="181"/>
      <c r="U472" s="179"/>
      <c r="V472" s="549"/>
      <c r="W472" s="181"/>
      <c r="X472" s="181"/>
      <c r="Y472" s="181"/>
      <c r="Z472" s="179"/>
      <c r="AA472" s="549"/>
      <c r="AB472" s="181"/>
      <c r="AC472" s="181"/>
      <c r="AD472" s="181"/>
      <c r="AE472" s="179"/>
      <c r="AF472" s="549"/>
      <c r="AG472" s="181"/>
      <c r="AH472" s="181"/>
      <c r="AI472" s="181"/>
      <c r="AJ472" s="179"/>
      <c r="AK472" s="549"/>
      <c r="AL472" s="181"/>
      <c r="AM472" s="181"/>
      <c r="AN472" s="181"/>
      <c r="AO472" s="179"/>
      <c r="AP472" s="549"/>
      <c r="AQ472" s="181"/>
      <c r="AR472" s="181"/>
      <c r="AS472" s="181"/>
      <c r="AT472" s="528"/>
      <c r="AU472" s="528"/>
      <c r="AV472" s="528"/>
      <c r="AW472" s="528"/>
      <c r="AX472" s="528"/>
      <c r="AY472" s="528"/>
      <c r="AZ472" s="528"/>
      <c r="BA472" s="528"/>
      <c r="BB472" s="528"/>
      <c r="BC472" s="528"/>
      <c r="BD472" s="528"/>
      <c r="BE472" s="528"/>
      <c r="BF472" s="528"/>
      <c r="BG472" s="528"/>
      <c r="BH472" s="528"/>
    </row>
    <row r="473">
      <c r="A473" s="179"/>
      <c r="B473" s="549"/>
      <c r="C473" s="181"/>
      <c r="D473" s="181"/>
      <c r="E473" s="181"/>
      <c r="F473" s="179"/>
      <c r="G473" s="549"/>
      <c r="H473" s="181"/>
      <c r="I473" s="181"/>
      <c r="J473" s="181"/>
      <c r="K473" s="156"/>
      <c r="L473" s="549"/>
      <c r="M473" s="181"/>
      <c r="N473" s="181"/>
      <c r="O473" s="181"/>
      <c r="P473" s="156"/>
      <c r="Q473" s="562"/>
      <c r="R473" s="181"/>
      <c r="S473" s="181"/>
      <c r="T473" s="181"/>
      <c r="U473" s="179"/>
      <c r="V473" s="549"/>
      <c r="W473" s="181"/>
      <c r="X473" s="181"/>
      <c r="Y473" s="181"/>
      <c r="Z473" s="179"/>
      <c r="AA473" s="549"/>
      <c r="AB473" s="181"/>
      <c r="AC473" s="181"/>
      <c r="AD473" s="181"/>
      <c r="AE473" s="179"/>
      <c r="AF473" s="549"/>
      <c r="AG473" s="181"/>
      <c r="AH473" s="181"/>
      <c r="AI473" s="181"/>
      <c r="AJ473" s="179"/>
      <c r="AK473" s="549"/>
      <c r="AL473" s="181"/>
      <c r="AM473" s="181"/>
      <c r="AN473" s="181"/>
      <c r="AO473" s="179"/>
      <c r="AP473" s="549"/>
      <c r="AQ473" s="181"/>
      <c r="AR473" s="181"/>
      <c r="AS473" s="181"/>
      <c r="AT473" s="528"/>
      <c r="AU473" s="528"/>
      <c r="AV473" s="528"/>
      <c r="AW473" s="528"/>
      <c r="AX473" s="528"/>
      <c r="AY473" s="528"/>
      <c r="AZ473" s="528"/>
      <c r="BA473" s="528"/>
      <c r="BB473" s="528"/>
      <c r="BC473" s="528"/>
      <c r="BD473" s="528"/>
      <c r="BE473" s="528"/>
      <c r="BF473" s="528"/>
      <c r="BG473" s="528"/>
      <c r="BH473" s="528"/>
    </row>
    <row r="474">
      <c r="A474" s="179"/>
      <c r="B474" s="549"/>
      <c r="C474" s="181"/>
      <c r="D474" s="181"/>
      <c r="E474" s="181"/>
      <c r="F474" s="179"/>
      <c r="G474" s="549"/>
      <c r="H474" s="181"/>
      <c r="I474" s="181"/>
      <c r="J474" s="181"/>
      <c r="K474" s="156"/>
      <c r="L474" s="549"/>
      <c r="M474" s="181"/>
      <c r="N474" s="181"/>
      <c r="O474" s="181"/>
      <c r="P474" s="156"/>
      <c r="Q474" s="562"/>
      <c r="R474" s="181"/>
      <c r="S474" s="181"/>
      <c r="T474" s="181"/>
      <c r="U474" s="179"/>
      <c r="V474" s="549"/>
      <c r="W474" s="181"/>
      <c r="X474" s="181"/>
      <c r="Y474" s="181"/>
      <c r="Z474" s="179"/>
      <c r="AA474" s="549"/>
      <c r="AB474" s="181"/>
      <c r="AC474" s="181"/>
      <c r="AD474" s="181"/>
      <c r="AE474" s="179"/>
      <c r="AF474" s="549"/>
      <c r="AG474" s="181"/>
      <c r="AH474" s="181"/>
      <c r="AI474" s="181"/>
      <c r="AJ474" s="179"/>
      <c r="AK474" s="549"/>
      <c r="AL474" s="181"/>
      <c r="AM474" s="181"/>
      <c r="AN474" s="181"/>
      <c r="AO474" s="179"/>
      <c r="AP474" s="549"/>
      <c r="AQ474" s="181"/>
      <c r="AR474" s="181"/>
      <c r="AS474" s="181"/>
      <c r="AT474" s="528"/>
      <c r="AU474" s="528"/>
      <c r="AV474" s="528"/>
      <c r="AW474" s="528"/>
      <c r="AX474" s="528"/>
      <c r="AY474" s="528"/>
      <c r="AZ474" s="528"/>
      <c r="BA474" s="528"/>
      <c r="BB474" s="528"/>
      <c r="BC474" s="528"/>
      <c r="BD474" s="528"/>
      <c r="BE474" s="528"/>
      <c r="BF474" s="528"/>
      <c r="BG474" s="528"/>
      <c r="BH474" s="528"/>
    </row>
    <row r="475">
      <c r="A475" s="179"/>
      <c r="B475" s="549"/>
      <c r="C475" s="181"/>
      <c r="D475" s="181"/>
      <c r="E475" s="181"/>
      <c r="F475" s="179"/>
      <c r="G475" s="549"/>
      <c r="H475" s="181"/>
      <c r="I475" s="181"/>
      <c r="J475" s="181"/>
      <c r="K475" s="156"/>
      <c r="L475" s="549"/>
      <c r="M475" s="181"/>
      <c r="N475" s="181"/>
      <c r="O475" s="181"/>
      <c r="P475" s="156"/>
      <c r="Q475" s="562"/>
      <c r="R475" s="181"/>
      <c r="S475" s="181"/>
      <c r="T475" s="181"/>
      <c r="U475" s="179"/>
      <c r="V475" s="549"/>
      <c r="W475" s="181"/>
      <c r="X475" s="181"/>
      <c r="Y475" s="181"/>
      <c r="Z475" s="179"/>
      <c r="AA475" s="549"/>
      <c r="AB475" s="181"/>
      <c r="AC475" s="181"/>
      <c r="AD475" s="181"/>
      <c r="AE475" s="179"/>
      <c r="AF475" s="549"/>
      <c r="AG475" s="181"/>
      <c r="AH475" s="181"/>
      <c r="AI475" s="181"/>
      <c r="AJ475" s="179"/>
      <c r="AK475" s="549"/>
      <c r="AL475" s="181"/>
      <c r="AM475" s="181"/>
      <c r="AN475" s="181"/>
      <c r="AO475" s="179"/>
      <c r="AP475" s="549"/>
      <c r="AQ475" s="181"/>
      <c r="AR475" s="181"/>
      <c r="AS475" s="181"/>
      <c r="AT475" s="528"/>
      <c r="AU475" s="528"/>
      <c r="AV475" s="528"/>
      <c r="AW475" s="528"/>
      <c r="AX475" s="528"/>
      <c r="AY475" s="528"/>
      <c r="AZ475" s="528"/>
      <c r="BA475" s="528"/>
      <c r="BB475" s="528"/>
      <c r="BC475" s="528"/>
      <c r="BD475" s="528"/>
      <c r="BE475" s="528"/>
      <c r="BF475" s="528"/>
      <c r="BG475" s="528"/>
      <c r="BH475" s="528"/>
    </row>
    <row r="476">
      <c r="A476" s="179"/>
      <c r="B476" s="549"/>
      <c r="C476" s="181"/>
      <c r="D476" s="181"/>
      <c r="E476" s="181"/>
      <c r="F476" s="179"/>
      <c r="G476" s="549"/>
      <c r="H476" s="181"/>
      <c r="I476" s="181"/>
      <c r="J476" s="181"/>
      <c r="K476" s="156"/>
      <c r="L476" s="549"/>
      <c r="M476" s="181"/>
      <c r="N476" s="181"/>
      <c r="O476" s="181"/>
      <c r="P476" s="156"/>
      <c r="Q476" s="562"/>
      <c r="R476" s="181"/>
      <c r="S476" s="181"/>
      <c r="T476" s="181"/>
      <c r="U476" s="179"/>
      <c r="V476" s="549"/>
      <c r="W476" s="181"/>
      <c r="X476" s="181"/>
      <c r="Y476" s="181"/>
      <c r="Z476" s="179"/>
      <c r="AA476" s="549"/>
      <c r="AB476" s="181"/>
      <c r="AC476" s="181"/>
      <c r="AD476" s="181"/>
      <c r="AE476" s="179"/>
      <c r="AF476" s="549"/>
      <c r="AG476" s="181"/>
      <c r="AH476" s="181"/>
      <c r="AI476" s="181"/>
      <c r="AJ476" s="179"/>
      <c r="AK476" s="549"/>
      <c r="AL476" s="181"/>
      <c r="AM476" s="181"/>
      <c r="AN476" s="181"/>
      <c r="AO476" s="179"/>
      <c r="AP476" s="549"/>
      <c r="AQ476" s="181"/>
      <c r="AR476" s="181"/>
      <c r="AS476" s="181"/>
      <c r="AT476" s="528"/>
      <c r="AU476" s="528"/>
      <c r="AV476" s="528"/>
      <c r="AW476" s="528"/>
      <c r="AX476" s="528"/>
      <c r="AY476" s="528"/>
      <c r="AZ476" s="528"/>
      <c r="BA476" s="528"/>
      <c r="BB476" s="528"/>
      <c r="BC476" s="528"/>
      <c r="BD476" s="528"/>
      <c r="BE476" s="528"/>
      <c r="BF476" s="528"/>
      <c r="BG476" s="528"/>
      <c r="BH476" s="528"/>
    </row>
    <row r="477">
      <c r="A477" s="179"/>
      <c r="B477" s="549"/>
      <c r="C477" s="181"/>
      <c r="D477" s="181"/>
      <c r="E477" s="181"/>
      <c r="F477" s="179"/>
      <c r="G477" s="549"/>
      <c r="H477" s="181"/>
      <c r="I477" s="181"/>
      <c r="J477" s="181"/>
      <c r="K477" s="156"/>
      <c r="L477" s="549"/>
      <c r="M477" s="181"/>
      <c r="N477" s="181"/>
      <c r="O477" s="181"/>
      <c r="P477" s="156"/>
      <c r="Q477" s="562"/>
      <c r="R477" s="181"/>
      <c r="S477" s="181"/>
      <c r="T477" s="181"/>
      <c r="U477" s="179"/>
      <c r="V477" s="549"/>
      <c r="W477" s="181"/>
      <c r="X477" s="181"/>
      <c r="Y477" s="181"/>
      <c r="Z477" s="179"/>
      <c r="AA477" s="549"/>
      <c r="AB477" s="181"/>
      <c r="AC477" s="181"/>
      <c r="AD477" s="181"/>
      <c r="AE477" s="179"/>
      <c r="AF477" s="549"/>
      <c r="AG477" s="181"/>
      <c r="AH477" s="181"/>
      <c r="AI477" s="181"/>
      <c r="AJ477" s="179"/>
      <c r="AK477" s="549"/>
      <c r="AL477" s="181"/>
      <c r="AM477" s="181"/>
      <c r="AN477" s="181"/>
      <c r="AO477" s="179"/>
      <c r="AP477" s="549"/>
      <c r="AQ477" s="181"/>
      <c r="AR477" s="181"/>
      <c r="AS477" s="181"/>
      <c r="AT477" s="528"/>
      <c r="AU477" s="528"/>
      <c r="AV477" s="528"/>
      <c r="AW477" s="528"/>
      <c r="AX477" s="528"/>
      <c r="AY477" s="528"/>
      <c r="AZ477" s="528"/>
      <c r="BA477" s="528"/>
      <c r="BB477" s="528"/>
      <c r="BC477" s="528"/>
      <c r="BD477" s="528"/>
      <c r="BE477" s="528"/>
      <c r="BF477" s="528"/>
      <c r="BG477" s="528"/>
      <c r="BH477" s="528"/>
    </row>
    <row r="478">
      <c r="A478" s="179"/>
      <c r="B478" s="549"/>
      <c r="C478" s="181"/>
      <c r="D478" s="181"/>
      <c r="E478" s="181"/>
      <c r="F478" s="179"/>
      <c r="G478" s="549"/>
      <c r="H478" s="181"/>
      <c r="I478" s="181"/>
      <c r="J478" s="181"/>
      <c r="K478" s="156"/>
      <c r="L478" s="549"/>
      <c r="M478" s="181"/>
      <c r="N478" s="181"/>
      <c r="O478" s="181"/>
      <c r="P478" s="156"/>
      <c r="Q478" s="562"/>
      <c r="R478" s="181"/>
      <c r="S478" s="181"/>
      <c r="T478" s="181"/>
      <c r="U478" s="179"/>
      <c r="V478" s="549"/>
      <c r="W478" s="181"/>
      <c r="X478" s="181"/>
      <c r="Y478" s="181"/>
      <c r="Z478" s="179"/>
      <c r="AA478" s="549"/>
      <c r="AB478" s="181"/>
      <c r="AC478" s="181"/>
      <c r="AD478" s="181"/>
      <c r="AE478" s="179"/>
      <c r="AF478" s="549"/>
      <c r="AG478" s="181"/>
      <c r="AH478" s="181"/>
      <c r="AI478" s="181"/>
      <c r="AJ478" s="179"/>
      <c r="AK478" s="549"/>
      <c r="AL478" s="181"/>
      <c r="AM478" s="181"/>
      <c r="AN478" s="181"/>
      <c r="AO478" s="179"/>
      <c r="AP478" s="549"/>
      <c r="AQ478" s="181"/>
      <c r="AR478" s="181"/>
      <c r="AS478" s="181"/>
      <c r="AT478" s="528"/>
      <c r="AU478" s="528"/>
      <c r="AV478" s="528"/>
      <c r="AW478" s="528"/>
      <c r="AX478" s="528"/>
      <c r="AY478" s="528"/>
      <c r="AZ478" s="528"/>
      <c r="BA478" s="528"/>
      <c r="BB478" s="528"/>
      <c r="BC478" s="528"/>
      <c r="BD478" s="528"/>
      <c r="BE478" s="528"/>
      <c r="BF478" s="528"/>
      <c r="BG478" s="528"/>
      <c r="BH478" s="528"/>
    </row>
    <row r="479">
      <c r="A479" s="179"/>
      <c r="B479" s="549"/>
      <c r="C479" s="181"/>
      <c r="D479" s="181"/>
      <c r="E479" s="181"/>
      <c r="F479" s="179"/>
      <c r="G479" s="549"/>
      <c r="H479" s="181"/>
      <c r="I479" s="181"/>
      <c r="J479" s="181"/>
      <c r="K479" s="156"/>
      <c r="L479" s="549"/>
      <c r="M479" s="181"/>
      <c r="N479" s="181"/>
      <c r="O479" s="181"/>
      <c r="P479" s="156"/>
      <c r="Q479" s="562"/>
      <c r="R479" s="181"/>
      <c r="S479" s="181"/>
      <c r="T479" s="181"/>
      <c r="U479" s="179"/>
      <c r="V479" s="549"/>
      <c r="W479" s="181"/>
      <c r="X479" s="181"/>
      <c r="Y479" s="181"/>
      <c r="Z479" s="179"/>
      <c r="AA479" s="549"/>
      <c r="AB479" s="181"/>
      <c r="AC479" s="181"/>
      <c r="AD479" s="181"/>
      <c r="AE479" s="179"/>
      <c r="AF479" s="549"/>
      <c r="AG479" s="181"/>
      <c r="AH479" s="181"/>
      <c r="AI479" s="181"/>
      <c r="AJ479" s="179"/>
      <c r="AK479" s="549"/>
      <c r="AL479" s="181"/>
      <c r="AM479" s="181"/>
      <c r="AN479" s="181"/>
      <c r="AO479" s="179"/>
      <c r="AP479" s="549"/>
      <c r="AQ479" s="181"/>
      <c r="AR479" s="181"/>
      <c r="AS479" s="181"/>
      <c r="AT479" s="528"/>
      <c r="AU479" s="528"/>
      <c r="AV479" s="528"/>
      <c r="AW479" s="528"/>
      <c r="AX479" s="528"/>
      <c r="AY479" s="528"/>
      <c r="AZ479" s="528"/>
      <c r="BA479" s="528"/>
      <c r="BB479" s="528"/>
      <c r="BC479" s="528"/>
      <c r="BD479" s="528"/>
      <c r="BE479" s="528"/>
      <c r="BF479" s="528"/>
      <c r="BG479" s="528"/>
      <c r="BH479" s="528"/>
    </row>
    <row r="480">
      <c r="A480" s="179"/>
      <c r="B480" s="549"/>
      <c r="C480" s="181"/>
      <c r="D480" s="181"/>
      <c r="E480" s="181"/>
      <c r="F480" s="179"/>
      <c r="G480" s="549"/>
      <c r="H480" s="181"/>
      <c r="I480" s="181"/>
      <c r="J480" s="181"/>
      <c r="K480" s="156"/>
      <c r="L480" s="549"/>
      <c r="M480" s="181"/>
      <c r="N480" s="181"/>
      <c r="O480" s="181"/>
      <c r="P480" s="156"/>
      <c r="Q480" s="562"/>
      <c r="R480" s="181"/>
      <c r="S480" s="181"/>
      <c r="T480" s="181"/>
      <c r="U480" s="179"/>
      <c r="V480" s="549"/>
      <c r="W480" s="181"/>
      <c r="X480" s="181"/>
      <c r="Y480" s="181"/>
      <c r="Z480" s="179"/>
      <c r="AA480" s="549"/>
      <c r="AB480" s="181"/>
      <c r="AC480" s="181"/>
      <c r="AD480" s="181"/>
      <c r="AE480" s="179"/>
      <c r="AF480" s="549"/>
      <c r="AG480" s="181"/>
      <c r="AH480" s="181"/>
      <c r="AI480" s="181"/>
      <c r="AJ480" s="179"/>
      <c r="AK480" s="549"/>
      <c r="AL480" s="181"/>
      <c r="AM480" s="181"/>
      <c r="AN480" s="181"/>
      <c r="AO480" s="179"/>
      <c r="AP480" s="549"/>
      <c r="AQ480" s="181"/>
      <c r="AR480" s="181"/>
      <c r="AS480" s="181"/>
      <c r="AT480" s="528"/>
      <c r="AU480" s="528"/>
      <c r="AV480" s="528"/>
      <c r="AW480" s="528"/>
      <c r="AX480" s="528"/>
      <c r="AY480" s="528"/>
      <c r="AZ480" s="528"/>
      <c r="BA480" s="528"/>
      <c r="BB480" s="528"/>
      <c r="BC480" s="528"/>
      <c r="BD480" s="528"/>
      <c r="BE480" s="528"/>
      <c r="BF480" s="528"/>
      <c r="BG480" s="528"/>
      <c r="BH480" s="528"/>
    </row>
    <row r="481">
      <c r="A481" s="179"/>
      <c r="B481" s="549"/>
      <c r="C481" s="181"/>
      <c r="D481" s="181"/>
      <c r="E481" s="181"/>
      <c r="F481" s="179"/>
      <c r="G481" s="549"/>
      <c r="H481" s="181"/>
      <c r="I481" s="181"/>
      <c r="J481" s="181"/>
      <c r="K481" s="156"/>
      <c r="L481" s="549"/>
      <c r="M481" s="181"/>
      <c r="N481" s="181"/>
      <c r="O481" s="181"/>
      <c r="P481" s="156"/>
      <c r="Q481" s="562"/>
      <c r="R481" s="181"/>
      <c r="S481" s="181"/>
      <c r="T481" s="181"/>
      <c r="U481" s="179"/>
      <c r="V481" s="549"/>
      <c r="W481" s="181"/>
      <c r="X481" s="181"/>
      <c r="Y481" s="181"/>
      <c r="Z481" s="179"/>
      <c r="AA481" s="549"/>
      <c r="AB481" s="181"/>
      <c r="AC481" s="181"/>
      <c r="AD481" s="181"/>
      <c r="AE481" s="179"/>
      <c r="AF481" s="549"/>
      <c r="AG481" s="181"/>
      <c r="AH481" s="181"/>
      <c r="AI481" s="181"/>
      <c r="AJ481" s="179"/>
      <c r="AK481" s="549"/>
      <c r="AL481" s="181"/>
      <c r="AM481" s="181"/>
      <c r="AN481" s="181"/>
      <c r="AO481" s="179"/>
      <c r="AP481" s="549"/>
      <c r="AQ481" s="181"/>
      <c r="AR481" s="181"/>
      <c r="AS481" s="181"/>
      <c r="AT481" s="528"/>
      <c r="AU481" s="528"/>
      <c r="AV481" s="528"/>
      <c r="AW481" s="528"/>
      <c r="AX481" s="528"/>
      <c r="AY481" s="528"/>
      <c r="AZ481" s="528"/>
      <c r="BA481" s="528"/>
      <c r="BB481" s="528"/>
      <c r="BC481" s="528"/>
      <c r="BD481" s="528"/>
      <c r="BE481" s="528"/>
      <c r="BF481" s="528"/>
      <c r="BG481" s="528"/>
      <c r="BH481" s="528"/>
    </row>
    <row r="482">
      <c r="A482" s="179"/>
      <c r="B482" s="549"/>
      <c r="C482" s="181"/>
      <c r="D482" s="181"/>
      <c r="E482" s="181"/>
      <c r="F482" s="179"/>
      <c r="G482" s="549"/>
      <c r="H482" s="181"/>
      <c r="I482" s="181"/>
      <c r="J482" s="181"/>
      <c r="K482" s="156"/>
      <c r="L482" s="549"/>
      <c r="M482" s="181"/>
      <c r="N482" s="181"/>
      <c r="O482" s="181"/>
      <c r="P482" s="156"/>
      <c r="Q482" s="562"/>
      <c r="R482" s="181"/>
      <c r="S482" s="181"/>
      <c r="T482" s="181"/>
      <c r="U482" s="179"/>
      <c r="V482" s="549"/>
      <c r="W482" s="181"/>
      <c r="X482" s="181"/>
      <c r="Y482" s="181"/>
      <c r="Z482" s="179"/>
      <c r="AA482" s="549"/>
      <c r="AB482" s="181"/>
      <c r="AC482" s="181"/>
      <c r="AD482" s="181"/>
      <c r="AE482" s="179"/>
      <c r="AF482" s="549"/>
      <c r="AG482" s="181"/>
      <c r="AH482" s="181"/>
      <c r="AI482" s="181"/>
      <c r="AJ482" s="179"/>
      <c r="AK482" s="549"/>
      <c r="AL482" s="181"/>
      <c r="AM482" s="181"/>
      <c r="AN482" s="181"/>
      <c r="AO482" s="179"/>
      <c r="AP482" s="549"/>
      <c r="AQ482" s="181"/>
      <c r="AR482" s="181"/>
      <c r="AS482" s="181"/>
      <c r="AT482" s="528"/>
      <c r="AU482" s="528"/>
      <c r="AV482" s="528"/>
      <c r="AW482" s="528"/>
      <c r="AX482" s="528"/>
      <c r="AY482" s="528"/>
      <c r="AZ482" s="528"/>
      <c r="BA482" s="528"/>
      <c r="BB482" s="528"/>
      <c r="BC482" s="528"/>
      <c r="BD482" s="528"/>
      <c r="BE482" s="528"/>
      <c r="BF482" s="528"/>
      <c r="BG482" s="528"/>
      <c r="BH482" s="528"/>
    </row>
    <row r="483">
      <c r="A483" s="179"/>
      <c r="B483" s="549"/>
      <c r="C483" s="181"/>
      <c r="D483" s="181"/>
      <c r="E483" s="181"/>
      <c r="F483" s="179"/>
      <c r="G483" s="549"/>
      <c r="H483" s="181"/>
      <c r="I483" s="181"/>
      <c r="J483" s="181"/>
      <c r="K483" s="156"/>
      <c r="L483" s="549"/>
      <c r="M483" s="181"/>
      <c r="N483" s="181"/>
      <c r="O483" s="181"/>
      <c r="P483" s="156"/>
      <c r="Q483" s="562"/>
      <c r="R483" s="181"/>
      <c r="S483" s="181"/>
      <c r="T483" s="181"/>
      <c r="U483" s="179"/>
      <c r="V483" s="549"/>
      <c r="W483" s="181"/>
      <c r="X483" s="181"/>
      <c r="Y483" s="181"/>
      <c r="Z483" s="179"/>
      <c r="AA483" s="549"/>
      <c r="AB483" s="181"/>
      <c r="AC483" s="181"/>
      <c r="AD483" s="181"/>
      <c r="AE483" s="179"/>
      <c r="AF483" s="549"/>
      <c r="AG483" s="181"/>
      <c r="AH483" s="181"/>
      <c r="AI483" s="181"/>
      <c r="AJ483" s="179"/>
      <c r="AK483" s="549"/>
      <c r="AL483" s="181"/>
      <c r="AM483" s="181"/>
      <c r="AN483" s="181"/>
      <c r="AO483" s="179"/>
      <c r="AP483" s="549"/>
      <c r="AQ483" s="181"/>
      <c r="AR483" s="181"/>
      <c r="AS483" s="181"/>
      <c r="AT483" s="528"/>
      <c r="AU483" s="528"/>
      <c r="AV483" s="528"/>
      <c r="AW483" s="528"/>
      <c r="AX483" s="528"/>
      <c r="AY483" s="528"/>
      <c r="AZ483" s="528"/>
      <c r="BA483" s="528"/>
      <c r="BB483" s="528"/>
      <c r="BC483" s="528"/>
      <c r="BD483" s="528"/>
      <c r="BE483" s="528"/>
      <c r="BF483" s="528"/>
      <c r="BG483" s="528"/>
      <c r="BH483" s="528"/>
    </row>
    <row r="484">
      <c r="A484" s="179"/>
      <c r="B484" s="549"/>
      <c r="C484" s="181"/>
      <c r="D484" s="181"/>
      <c r="E484" s="181"/>
      <c r="F484" s="179"/>
      <c r="G484" s="549"/>
      <c r="H484" s="181"/>
      <c r="I484" s="181"/>
      <c r="J484" s="181"/>
      <c r="K484" s="156"/>
      <c r="L484" s="549"/>
      <c r="M484" s="181"/>
      <c r="N484" s="181"/>
      <c r="O484" s="181"/>
      <c r="P484" s="156"/>
      <c r="Q484" s="562"/>
      <c r="R484" s="181"/>
      <c r="S484" s="181"/>
      <c r="T484" s="181"/>
      <c r="U484" s="179"/>
      <c r="V484" s="549"/>
      <c r="W484" s="181"/>
      <c r="X484" s="181"/>
      <c r="Y484" s="181"/>
      <c r="Z484" s="179"/>
      <c r="AA484" s="549"/>
      <c r="AB484" s="181"/>
      <c r="AC484" s="181"/>
      <c r="AD484" s="181"/>
      <c r="AE484" s="179"/>
      <c r="AF484" s="549"/>
      <c r="AG484" s="181"/>
      <c r="AH484" s="181"/>
      <c r="AI484" s="181"/>
      <c r="AJ484" s="179"/>
      <c r="AK484" s="549"/>
      <c r="AL484" s="181"/>
      <c r="AM484" s="181"/>
      <c r="AN484" s="181"/>
      <c r="AO484" s="179"/>
      <c r="AP484" s="549"/>
      <c r="AQ484" s="181"/>
      <c r="AR484" s="181"/>
      <c r="AS484" s="181"/>
      <c r="AT484" s="528"/>
      <c r="AU484" s="528"/>
      <c r="AV484" s="528"/>
      <c r="AW484" s="528"/>
      <c r="AX484" s="528"/>
      <c r="AY484" s="528"/>
      <c r="AZ484" s="528"/>
      <c r="BA484" s="528"/>
      <c r="BB484" s="528"/>
      <c r="BC484" s="528"/>
      <c r="BD484" s="528"/>
      <c r="BE484" s="528"/>
      <c r="BF484" s="528"/>
      <c r="BG484" s="528"/>
      <c r="BH484" s="528"/>
    </row>
    <row r="485">
      <c r="A485" s="179"/>
      <c r="B485" s="549"/>
      <c r="C485" s="181"/>
      <c r="D485" s="181"/>
      <c r="E485" s="181"/>
      <c r="F485" s="179"/>
      <c r="G485" s="549"/>
      <c r="H485" s="181"/>
      <c r="I485" s="181"/>
      <c r="J485" s="181"/>
      <c r="K485" s="156"/>
      <c r="L485" s="549"/>
      <c r="M485" s="181"/>
      <c r="N485" s="181"/>
      <c r="O485" s="181"/>
      <c r="P485" s="156"/>
      <c r="Q485" s="562"/>
      <c r="R485" s="181"/>
      <c r="S485" s="181"/>
      <c r="T485" s="181"/>
      <c r="U485" s="179"/>
      <c r="V485" s="549"/>
      <c r="W485" s="181"/>
      <c r="X485" s="181"/>
      <c r="Y485" s="181"/>
      <c r="Z485" s="179"/>
      <c r="AA485" s="549"/>
      <c r="AB485" s="181"/>
      <c r="AC485" s="181"/>
      <c r="AD485" s="181"/>
      <c r="AE485" s="179"/>
      <c r="AF485" s="549"/>
      <c r="AG485" s="181"/>
      <c r="AH485" s="181"/>
      <c r="AI485" s="181"/>
      <c r="AJ485" s="179"/>
      <c r="AK485" s="549"/>
      <c r="AL485" s="181"/>
      <c r="AM485" s="181"/>
      <c r="AN485" s="181"/>
      <c r="AO485" s="179"/>
      <c r="AP485" s="549"/>
      <c r="AQ485" s="181"/>
      <c r="AR485" s="181"/>
      <c r="AS485" s="181"/>
      <c r="AT485" s="528"/>
      <c r="AU485" s="528"/>
      <c r="AV485" s="528"/>
      <c r="AW485" s="528"/>
      <c r="AX485" s="528"/>
      <c r="AY485" s="528"/>
      <c r="AZ485" s="528"/>
      <c r="BA485" s="528"/>
      <c r="BB485" s="528"/>
      <c r="BC485" s="528"/>
      <c r="BD485" s="528"/>
      <c r="BE485" s="528"/>
      <c r="BF485" s="528"/>
      <c r="BG485" s="528"/>
      <c r="BH485" s="528"/>
    </row>
    <row r="486">
      <c r="A486" s="179"/>
      <c r="B486" s="549"/>
      <c r="C486" s="181"/>
      <c r="D486" s="181"/>
      <c r="E486" s="181"/>
      <c r="F486" s="179"/>
      <c r="G486" s="549"/>
      <c r="H486" s="181"/>
      <c r="I486" s="181"/>
      <c r="J486" s="181"/>
      <c r="K486" s="156"/>
      <c r="L486" s="549"/>
      <c r="M486" s="181"/>
      <c r="N486" s="181"/>
      <c r="O486" s="181"/>
      <c r="P486" s="156"/>
      <c r="Q486" s="562"/>
      <c r="R486" s="181"/>
      <c r="S486" s="181"/>
      <c r="T486" s="181"/>
      <c r="U486" s="179"/>
      <c r="V486" s="549"/>
      <c r="W486" s="181"/>
      <c r="X486" s="181"/>
      <c r="Y486" s="181"/>
      <c r="Z486" s="179"/>
      <c r="AA486" s="549"/>
      <c r="AB486" s="181"/>
      <c r="AC486" s="181"/>
      <c r="AD486" s="181"/>
      <c r="AE486" s="179"/>
      <c r="AF486" s="549"/>
      <c r="AG486" s="181"/>
      <c r="AH486" s="181"/>
      <c r="AI486" s="181"/>
      <c r="AJ486" s="179"/>
      <c r="AK486" s="549"/>
      <c r="AL486" s="181"/>
      <c r="AM486" s="181"/>
      <c r="AN486" s="181"/>
      <c r="AO486" s="179"/>
      <c r="AP486" s="549"/>
      <c r="AQ486" s="181"/>
      <c r="AR486" s="181"/>
      <c r="AS486" s="181"/>
      <c r="AT486" s="528"/>
      <c r="AU486" s="528"/>
      <c r="AV486" s="528"/>
      <c r="AW486" s="528"/>
      <c r="AX486" s="528"/>
      <c r="AY486" s="528"/>
      <c r="AZ486" s="528"/>
      <c r="BA486" s="528"/>
      <c r="BB486" s="528"/>
      <c r="BC486" s="528"/>
      <c r="BD486" s="528"/>
      <c r="BE486" s="528"/>
      <c r="BF486" s="528"/>
      <c r="BG486" s="528"/>
      <c r="BH486" s="528"/>
    </row>
    <row r="487">
      <c r="A487" s="179"/>
      <c r="B487" s="549"/>
      <c r="C487" s="181"/>
      <c r="D487" s="181"/>
      <c r="E487" s="181"/>
      <c r="F487" s="179"/>
      <c r="G487" s="549"/>
      <c r="H487" s="181"/>
      <c r="I487" s="181"/>
      <c r="J487" s="181"/>
      <c r="K487" s="156"/>
      <c r="L487" s="549"/>
      <c r="M487" s="181"/>
      <c r="N487" s="181"/>
      <c r="O487" s="181"/>
      <c r="P487" s="156"/>
      <c r="Q487" s="562"/>
      <c r="R487" s="181"/>
      <c r="S487" s="181"/>
      <c r="T487" s="181"/>
      <c r="U487" s="179"/>
      <c r="V487" s="549"/>
      <c r="W487" s="181"/>
      <c r="X487" s="181"/>
      <c r="Y487" s="181"/>
      <c r="Z487" s="179"/>
      <c r="AA487" s="549"/>
      <c r="AB487" s="181"/>
      <c r="AC487" s="181"/>
      <c r="AD487" s="181"/>
      <c r="AE487" s="179"/>
      <c r="AF487" s="549"/>
      <c r="AG487" s="181"/>
      <c r="AH487" s="181"/>
      <c r="AI487" s="181"/>
      <c r="AJ487" s="179"/>
      <c r="AK487" s="549"/>
      <c r="AL487" s="181"/>
      <c r="AM487" s="181"/>
      <c r="AN487" s="181"/>
      <c r="AO487" s="179"/>
      <c r="AP487" s="549"/>
      <c r="AQ487" s="181"/>
      <c r="AR487" s="181"/>
      <c r="AS487" s="181"/>
      <c r="AT487" s="528"/>
      <c r="AU487" s="528"/>
      <c r="AV487" s="528"/>
      <c r="AW487" s="528"/>
      <c r="AX487" s="528"/>
      <c r="AY487" s="528"/>
      <c r="AZ487" s="528"/>
      <c r="BA487" s="528"/>
      <c r="BB487" s="528"/>
      <c r="BC487" s="528"/>
      <c r="BD487" s="528"/>
      <c r="BE487" s="528"/>
      <c r="BF487" s="528"/>
      <c r="BG487" s="528"/>
      <c r="BH487" s="528"/>
    </row>
    <row r="488">
      <c r="A488" s="179"/>
      <c r="B488" s="549"/>
      <c r="C488" s="181"/>
      <c r="D488" s="181"/>
      <c r="E488" s="181"/>
      <c r="F488" s="179"/>
      <c r="G488" s="549"/>
      <c r="H488" s="181"/>
      <c r="I488" s="181"/>
      <c r="J488" s="181"/>
      <c r="K488" s="156"/>
      <c r="L488" s="549"/>
      <c r="M488" s="181"/>
      <c r="N488" s="181"/>
      <c r="O488" s="181"/>
      <c r="P488" s="156"/>
      <c r="Q488" s="562"/>
      <c r="R488" s="181"/>
      <c r="S488" s="181"/>
      <c r="T488" s="181"/>
      <c r="U488" s="179"/>
      <c r="V488" s="549"/>
      <c r="W488" s="181"/>
      <c r="X488" s="181"/>
      <c r="Y488" s="181"/>
      <c r="Z488" s="179"/>
      <c r="AA488" s="549"/>
      <c r="AB488" s="181"/>
      <c r="AC488" s="181"/>
      <c r="AD488" s="181"/>
      <c r="AE488" s="179"/>
      <c r="AF488" s="549"/>
      <c r="AG488" s="181"/>
      <c r="AH488" s="181"/>
      <c r="AI488" s="181"/>
      <c r="AJ488" s="179"/>
      <c r="AK488" s="549"/>
      <c r="AL488" s="181"/>
      <c r="AM488" s="181"/>
      <c r="AN488" s="181"/>
      <c r="AO488" s="179"/>
      <c r="AP488" s="549"/>
      <c r="AQ488" s="181"/>
      <c r="AR488" s="181"/>
      <c r="AS488" s="181"/>
      <c r="AT488" s="528"/>
      <c r="AU488" s="528"/>
      <c r="AV488" s="528"/>
      <c r="AW488" s="528"/>
      <c r="AX488" s="528"/>
      <c r="AY488" s="528"/>
      <c r="AZ488" s="528"/>
      <c r="BA488" s="528"/>
      <c r="BB488" s="528"/>
      <c r="BC488" s="528"/>
      <c r="BD488" s="528"/>
      <c r="BE488" s="528"/>
      <c r="BF488" s="528"/>
      <c r="BG488" s="528"/>
      <c r="BH488" s="528"/>
    </row>
    <row r="489">
      <c r="A489" s="179"/>
      <c r="B489" s="549"/>
      <c r="C489" s="181"/>
      <c r="D489" s="181"/>
      <c r="E489" s="181"/>
      <c r="F489" s="179"/>
      <c r="G489" s="549"/>
      <c r="H489" s="181"/>
      <c r="I489" s="181"/>
      <c r="J489" s="181"/>
      <c r="K489" s="156"/>
      <c r="L489" s="549"/>
      <c r="M489" s="181"/>
      <c r="N489" s="181"/>
      <c r="O489" s="181"/>
      <c r="P489" s="156"/>
      <c r="Q489" s="562"/>
      <c r="R489" s="181"/>
      <c r="S489" s="181"/>
      <c r="T489" s="181"/>
      <c r="U489" s="179"/>
      <c r="V489" s="549"/>
      <c r="W489" s="181"/>
      <c r="X489" s="181"/>
      <c r="Y489" s="181"/>
      <c r="Z489" s="179"/>
      <c r="AA489" s="549"/>
      <c r="AB489" s="181"/>
      <c r="AC489" s="181"/>
      <c r="AD489" s="181"/>
      <c r="AE489" s="179"/>
      <c r="AF489" s="549"/>
      <c r="AG489" s="181"/>
      <c r="AH489" s="181"/>
      <c r="AI489" s="181"/>
      <c r="AJ489" s="179"/>
      <c r="AK489" s="549"/>
      <c r="AL489" s="181"/>
      <c r="AM489" s="181"/>
      <c r="AN489" s="181"/>
      <c r="AO489" s="179"/>
      <c r="AP489" s="549"/>
      <c r="AQ489" s="181"/>
      <c r="AR489" s="181"/>
      <c r="AS489" s="181"/>
      <c r="AT489" s="528"/>
      <c r="AU489" s="528"/>
      <c r="AV489" s="528"/>
      <c r="AW489" s="528"/>
      <c r="AX489" s="528"/>
      <c r="AY489" s="528"/>
      <c r="AZ489" s="528"/>
      <c r="BA489" s="528"/>
      <c r="BB489" s="528"/>
      <c r="BC489" s="528"/>
      <c r="BD489" s="528"/>
      <c r="BE489" s="528"/>
      <c r="BF489" s="528"/>
      <c r="BG489" s="528"/>
      <c r="BH489" s="528"/>
    </row>
    <row r="490">
      <c r="A490" s="179"/>
      <c r="B490" s="549"/>
      <c r="C490" s="181"/>
      <c r="D490" s="181"/>
      <c r="E490" s="181"/>
      <c r="F490" s="179"/>
      <c r="G490" s="549"/>
      <c r="H490" s="181"/>
      <c r="I490" s="181"/>
      <c r="J490" s="181"/>
      <c r="K490" s="156"/>
      <c r="L490" s="549"/>
      <c r="M490" s="181"/>
      <c r="N490" s="181"/>
      <c r="O490" s="181"/>
      <c r="P490" s="156"/>
      <c r="Q490" s="562"/>
      <c r="R490" s="181"/>
      <c r="S490" s="181"/>
      <c r="T490" s="181"/>
      <c r="U490" s="179"/>
      <c r="V490" s="549"/>
      <c r="W490" s="181"/>
      <c r="X490" s="181"/>
      <c r="Y490" s="181"/>
      <c r="Z490" s="179"/>
      <c r="AA490" s="549"/>
      <c r="AB490" s="181"/>
      <c r="AC490" s="181"/>
      <c r="AD490" s="181"/>
      <c r="AE490" s="179"/>
      <c r="AF490" s="549"/>
      <c r="AG490" s="181"/>
      <c r="AH490" s="181"/>
      <c r="AI490" s="181"/>
      <c r="AJ490" s="179"/>
      <c r="AK490" s="549"/>
      <c r="AL490" s="181"/>
      <c r="AM490" s="181"/>
      <c r="AN490" s="181"/>
      <c r="AO490" s="179"/>
      <c r="AP490" s="549"/>
      <c r="AQ490" s="181"/>
      <c r="AR490" s="181"/>
      <c r="AS490" s="181"/>
      <c r="AT490" s="528"/>
      <c r="AU490" s="528"/>
      <c r="AV490" s="528"/>
      <c r="AW490" s="528"/>
      <c r="AX490" s="528"/>
      <c r="AY490" s="528"/>
      <c r="AZ490" s="528"/>
      <c r="BA490" s="528"/>
      <c r="BB490" s="528"/>
      <c r="BC490" s="528"/>
      <c r="BD490" s="528"/>
      <c r="BE490" s="528"/>
      <c r="BF490" s="528"/>
      <c r="BG490" s="528"/>
      <c r="BH490" s="528"/>
    </row>
    <row r="491">
      <c r="A491" s="179"/>
      <c r="B491" s="549"/>
      <c r="C491" s="181"/>
      <c r="D491" s="181"/>
      <c r="E491" s="181"/>
      <c r="F491" s="179"/>
      <c r="G491" s="549"/>
      <c r="H491" s="181"/>
      <c r="I491" s="181"/>
      <c r="J491" s="181"/>
      <c r="K491" s="156"/>
      <c r="L491" s="549"/>
      <c r="M491" s="181"/>
      <c r="N491" s="181"/>
      <c r="O491" s="181"/>
      <c r="P491" s="156"/>
      <c r="Q491" s="562"/>
      <c r="R491" s="181"/>
      <c r="S491" s="181"/>
      <c r="T491" s="181"/>
      <c r="U491" s="179"/>
      <c r="V491" s="549"/>
      <c r="W491" s="181"/>
      <c r="X491" s="181"/>
      <c r="Y491" s="181"/>
      <c r="Z491" s="179"/>
      <c r="AA491" s="549"/>
      <c r="AB491" s="181"/>
      <c r="AC491" s="181"/>
      <c r="AD491" s="181"/>
      <c r="AE491" s="179"/>
      <c r="AF491" s="549"/>
      <c r="AG491" s="181"/>
      <c r="AH491" s="181"/>
      <c r="AI491" s="181"/>
      <c r="AJ491" s="179"/>
      <c r="AK491" s="549"/>
      <c r="AL491" s="181"/>
      <c r="AM491" s="181"/>
      <c r="AN491" s="181"/>
      <c r="AO491" s="179"/>
      <c r="AP491" s="549"/>
      <c r="AQ491" s="181"/>
      <c r="AR491" s="181"/>
      <c r="AS491" s="181"/>
      <c r="AT491" s="528"/>
      <c r="AU491" s="528"/>
      <c r="AV491" s="528"/>
      <c r="AW491" s="528"/>
      <c r="AX491" s="528"/>
      <c r="AY491" s="528"/>
      <c r="AZ491" s="528"/>
      <c r="BA491" s="528"/>
      <c r="BB491" s="528"/>
      <c r="BC491" s="528"/>
      <c r="BD491" s="528"/>
      <c r="BE491" s="528"/>
      <c r="BF491" s="528"/>
      <c r="BG491" s="528"/>
      <c r="BH491" s="528"/>
    </row>
    <row r="492">
      <c r="A492" s="179"/>
      <c r="B492" s="549"/>
      <c r="C492" s="181"/>
      <c r="D492" s="181"/>
      <c r="E492" s="181"/>
      <c r="F492" s="179"/>
      <c r="G492" s="549"/>
      <c r="H492" s="181"/>
      <c r="I492" s="181"/>
      <c r="J492" s="181"/>
      <c r="K492" s="156"/>
      <c r="L492" s="549"/>
      <c r="M492" s="181"/>
      <c r="N492" s="181"/>
      <c r="O492" s="181"/>
      <c r="P492" s="156"/>
      <c r="Q492" s="562"/>
      <c r="R492" s="181"/>
      <c r="S492" s="181"/>
      <c r="T492" s="181"/>
      <c r="U492" s="179"/>
      <c r="V492" s="549"/>
      <c r="W492" s="181"/>
      <c r="X492" s="181"/>
      <c r="Y492" s="181"/>
      <c r="Z492" s="179"/>
      <c r="AA492" s="549"/>
      <c r="AB492" s="181"/>
      <c r="AC492" s="181"/>
      <c r="AD492" s="181"/>
      <c r="AE492" s="179"/>
      <c r="AF492" s="549"/>
      <c r="AG492" s="181"/>
      <c r="AH492" s="181"/>
      <c r="AI492" s="181"/>
      <c r="AJ492" s="179"/>
      <c r="AK492" s="549"/>
      <c r="AL492" s="181"/>
      <c r="AM492" s="181"/>
      <c r="AN492" s="181"/>
      <c r="AO492" s="179"/>
      <c r="AP492" s="549"/>
      <c r="AQ492" s="181"/>
      <c r="AR492" s="181"/>
      <c r="AS492" s="181"/>
      <c r="AT492" s="528"/>
      <c r="AU492" s="528"/>
      <c r="AV492" s="528"/>
      <c r="AW492" s="528"/>
      <c r="AX492" s="528"/>
      <c r="AY492" s="528"/>
      <c r="AZ492" s="528"/>
      <c r="BA492" s="528"/>
      <c r="BB492" s="528"/>
      <c r="BC492" s="528"/>
      <c r="BD492" s="528"/>
      <c r="BE492" s="528"/>
      <c r="BF492" s="528"/>
      <c r="BG492" s="528"/>
      <c r="BH492" s="528"/>
    </row>
    <row r="493">
      <c r="A493" s="179"/>
      <c r="B493" s="549"/>
      <c r="C493" s="181"/>
      <c r="D493" s="181"/>
      <c r="E493" s="181"/>
      <c r="F493" s="179"/>
      <c r="G493" s="549"/>
      <c r="H493" s="181"/>
      <c r="I493" s="181"/>
      <c r="J493" s="181"/>
      <c r="K493" s="156"/>
      <c r="L493" s="549"/>
      <c r="M493" s="181"/>
      <c r="N493" s="181"/>
      <c r="O493" s="181"/>
      <c r="P493" s="156"/>
      <c r="Q493" s="562"/>
      <c r="R493" s="181"/>
      <c r="S493" s="181"/>
      <c r="T493" s="181"/>
      <c r="U493" s="179"/>
      <c r="V493" s="549"/>
      <c r="W493" s="181"/>
      <c r="X493" s="181"/>
      <c r="Y493" s="181"/>
      <c r="Z493" s="179"/>
      <c r="AA493" s="549"/>
      <c r="AB493" s="181"/>
      <c r="AC493" s="181"/>
      <c r="AD493" s="181"/>
      <c r="AE493" s="179"/>
      <c r="AF493" s="549"/>
      <c r="AG493" s="181"/>
      <c r="AH493" s="181"/>
      <c r="AI493" s="181"/>
      <c r="AJ493" s="179"/>
      <c r="AK493" s="549"/>
      <c r="AL493" s="181"/>
      <c r="AM493" s="181"/>
      <c r="AN493" s="181"/>
      <c r="AO493" s="179"/>
      <c r="AP493" s="549"/>
      <c r="AQ493" s="181"/>
      <c r="AR493" s="181"/>
      <c r="AS493" s="181"/>
      <c r="AT493" s="528"/>
      <c r="AU493" s="528"/>
      <c r="AV493" s="528"/>
      <c r="AW493" s="528"/>
      <c r="AX493" s="528"/>
      <c r="AY493" s="528"/>
      <c r="AZ493" s="528"/>
      <c r="BA493" s="528"/>
      <c r="BB493" s="528"/>
      <c r="BC493" s="528"/>
      <c r="BD493" s="528"/>
      <c r="BE493" s="528"/>
      <c r="BF493" s="528"/>
      <c r="BG493" s="528"/>
      <c r="BH493" s="528"/>
    </row>
    <row r="494">
      <c r="A494" s="179"/>
      <c r="B494" s="549"/>
      <c r="C494" s="181"/>
      <c r="D494" s="181"/>
      <c r="E494" s="181"/>
      <c r="F494" s="179"/>
      <c r="G494" s="549"/>
      <c r="H494" s="181"/>
      <c r="I494" s="181"/>
      <c r="J494" s="181"/>
      <c r="K494" s="156"/>
      <c r="L494" s="549"/>
      <c r="M494" s="181"/>
      <c r="N494" s="181"/>
      <c r="O494" s="181"/>
      <c r="P494" s="156"/>
      <c r="Q494" s="562"/>
      <c r="R494" s="181"/>
      <c r="S494" s="181"/>
      <c r="T494" s="181"/>
      <c r="U494" s="179"/>
      <c r="V494" s="549"/>
      <c r="W494" s="181"/>
      <c r="X494" s="181"/>
      <c r="Y494" s="181"/>
      <c r="Z494" s="179"/>
      <c r="AA494" s="549"/>
      <c r="AB494" s="181"/>
      <c r="AC494" s="181"/>
      <c r="AD494" s="181"/>
      <c r="AE494" s="179"/>
      <c r="AF494" s="549"/>
      <c r="AG494" s="181"/>
      <c r="AH494" s="181"/>
      <c r="AI494" s="181"/>
      <c r="AJ494" s="179"/>
      <c r="AK494" s="549"/>
      <c r="AL494" s="181"/>
      <c r="AM494" s="181"/>
      <c r="AN494" s="181"/>
      <c r="AO494" s="179"/>
      <c r="AP494" s="549"/>
      <c r="AQ494" s="181"/>
      <c r="AR494" s="181"/>
      <c r="AS494" s="181"/>
      <c r="AT494" s="528"/>
      <c r="AU494" s="528"/>
      <c r="AV494" s="528"/>
      <c r="AW494" s="528"/>
      <c r="AX494" s="528"/>
      <c r="AY494" s="528"/>
      <c r="AZ494" s="528"/>
      <c r="BA494" s="528"/>
      <c r="BB494" s="528"/>
      <c r="BC494" s="528"/>
      <c r="BD494" s="528"/>
      <c r="BE494" s="528"/>
      <c r="BF494" s="528"/>
      <c r="BG494" s="528"/>
      <c r="BH494" s="528"/>
    </row>
    <row r="495">
      <c r="A495" s="179"/>
      <c r="B495" s="549"/>
      <c r="C495" s="181"/>
      <c r="D495" s="181"/>
      <c r="E495" s="181"/>
      <c r="F495" s="179"/>
      <c r="G495" s="549"/>
      <c r="H495" s="181"/>
      <c r="I495" s="181"/>
      <c r="J495" s="181"/>
      <c r="K495" s="156"/>
      <c r="L495" s="549"/>
      <c r="M495" s="181"/>
      <c r="N495" s="181"/>
      <c r="O495" s="181"/>
      <c r="P495" s="156"/>
      <c r="Q495" s="562"/>
      <c r="R495" s="181"/>
      <c r="S495" s="181"/>
      <c r="T495" s="181"/>
      <c r="U495" s="179"/>
      <c r="V495" s="549"/>
      <c r="W495" s="181"/>
      <c r="X495" s="181"/>
      <c r="Y495" s="181"/>
      <c r="Z495" s="179"/>
      <c r="AA495" s="549"/>
      <c r="AB495" s="181"/>
      <c r="AC495" s="181"/>
      <c r="AD495" s="181"/>
      <c r="AE495" s="179"/>
      <c r="AF495" s="549"/>
      <c r="AG495" s="181"/>
      <c r="AH495" s="181"/>
      <c r="AI495" s="181"/>
      <c r="AJ495" s="179"/>
      <c r="AK495" s="549"/>
      <c r="AL495" s="181"/>
      <c r="AM495" s="181"/>
      <c r="AN495" s="181"/>
      <c r="AO495" s="179"/>
      <c r="AP495" s="549"/>
      <c r="AQ495" s="181"/>
      <c r="AR495" s="181"/>
      <c r="AS495" s="181"/>
      <c r="AT495" s="528"/>
      <c r="AU495" s="528"/>
      <c r="AV495" s="528"/>
      <c r="AW495" s="528"/>
      <c r="AX495" s="528"/>
      <c r="AY495" s="528"/>
      <c r="AZ495" s="528"/>
      <c r="BA495" s="528"/>
      <c r="BB495" s="528"/>
      <c r="BC495" s="528"/>
      <c r="BD495" s="528"/>
      <c r="BE495" s="528"/>
      <c r="BF495" s="528"/>
      <c r="BG495" s="528"/>
      <c r="BH495" s="528"/>
    </row>
    <row r="496">
      <c r="A496" s="179"/>
      <c r="B496" s="549"/>
      <c r="C496" s="181"/>
      <c r="D496" s="181"/>
      <c r="E496" s="181"/>
      <c r="F496" s="179"/>
      <c r="G496" s="549"/>
      <c r="H496" s="181"/>
      <c r="I496" s="181"/>
      <c r="J496" s="181"/>
      <c r="K496" s="156"/>
      <c r="L496" s="549"/>
      <c r="M496" s="181"/>
      <c r="N496" s="181"/>
      <c r="O496" s="181"/>
      <c r="P496" s="156"/>
      <c r="Q496" s="562"/>
      <c r="R496" s="181"/>
      <c r="S496" s="181"/>
      <c r="T496" s="181"/>
      <c r="U496" s="179"/>
      <c r="V496" s="549"/>
      <c r="W496" s="181"/>
      <c r="X496" s="181"/>
      <c r="Y496" s="181"/>
      <c r="Z496" s="179"/>
      <c r="AA496" s="549"/>
      <c r="AB496" s="181"/>
      <c r="AC496" s="181"/>
      <c r="AD496" s="181"/>
      <c r="AE496" s="179"/>
      <c r="AF496" s="549"/>
      <c r="AG496" s="181"/>
      <c r="AH496" s="181"/>
      <c r="AI496" s="181"/>
      <c r="AJ496" s="179"/>
      <c r="AK496" s="549"/>
      <c r="AL496" s="181"/>
      <c r="AM496" s="181"/>
      <c r="AN496" s="181"/>
      <c r="AO496" s="179"/>
      <c r="AP496" s="549"/>
      <c r="AQ496" s="181"/>
      <c r="AR496" s="181"/>
      <c r="AS496" s="181"/>
      <c r="AT496" s="528"/>
      <c r="AU496" s="528"/>
      <c r="AV496" s="528"/>
      <c r="AW496" s="528"/>
      <c r="AX496" s="528"/>
      <c r="AY496" s="528"/>
      <c r="AZ496" s="528"/>
      <c r="BA496" s="528"/>
      <c r="BB496" s="528"/>
      <c r="BC496" s="528"/>
      <c r="BD496" s="528"/>
      <c r="BE496" s="528"/>
      <c r="BF496" s="528"/>
      <c r="BG496" s="528"/>
      <c r="BH496" s="528"/>
    </row>
    <row r="497">
      <c r="A497" s="179"/>
      <c r="B497" s="549"/>
      <c r="C497" s="181"/>
      <c r="D497" s="181"/>
      <c r="E497" s="181"/>
      <c r="F497" s="179"/>
      <c r="G497" s="549"/>
      <c r="H497" s="181"/>
      <c r="I497" s="181"/>
      <c r="J497" s="181"/>
      <c r="K497" s="156"/>
      <c r="L497" s="549"/>
      <c r="M497" s="181"/>
      <c r="N497" s="181"/>
      <c r="O497" s="181"/>
      <c r="P497" s="156"/>
      <c r="Q497" s="562"/>
      <c r="R497" s="181"/>
      <c r="S497" s="181"/>
      <c r="T497" s="181"/>
      <c r="U497" s="179"/>
      <c r="V497" s="549"/>
      <c r="W497" s="181"/>
      <c r="X497" s="181"/>
      <c r="Y497" s="181"/>
      <c r="Z497" s="179"/>
      <c r="AA497" s="549"/>
      <c r="AB497" s="181"/>
      <c r="AC497" s="181"/>
      <c r="AD497" s="181"/>
      <c r="AE497" s="179"/>
      <c r="AF497" s="549"/>
      <c r="AG497" s="181"/>
      <c r="AH497" s="181"/>
      <c r="AI497" s="181"/>
      <c r="AJ497" s="179"/>
      <c r="AK497" s="549"/>
      <c r="AL497" s="181"/>
      <c r="AM497" s="181"/>
      <c r="AN497" s="181"/>
      <c r="AO497" s="179"/>
      <c r="AP497" s="549"/>
      <c r="AQ497" s="181"/>
      <c r="AR497" s="181"/>
      <c r="AS497" s="181"/>
      <c r="AT497" s="528"/>
      <c r="AU497" s="528"/>
      <c r="AV497" s="528"/>
      <c r="AW497" s="528"/>
      <c r="AX497" s="528"/>
      <c r="AY497" s="528"/>
      <c r="AZ497" s="528"/>
      <c r="BA497" s="528"/>
      <c r="BB497" s="528"/>
      <c r="BC497" s="528"/>
      <c r="BD497" s="528"/>
      <c r="BE497" s="528"/>
      <c r="BF497" s="528"/>
      <c r="BG497" s="528"/>
      <c r="BH497" s="528"/>
    </row>
    <row r="498">
      <c r="A498" s="179"/>
      <c r="B498" s="549"/>
      <c r="C498" s="181"/>
      <c r="D498" s="181"/>
      <c r="E498" s="181"/>
      <c r="F498" s="179"/>
      <c r="G498" s="549"/>
      <c r="H498" s="181"/>
      <c r="I498" s="181"/>
      <c r="J498" s="181"/>
      <c r="K498" s="156"/>
      <c r="L498" s="549"/>
      <c r="M498" s="181"/>
      <c r="N498" s="181"/>
      <c r="O498" s="181"/>
      <c r="P498" s="156"/>
      <c r="Q498" s="562"/>
      <c r="R498" s="181"/>
      <c r="S498" s="181"/>
      <c r="T498" s="181"/>
      <c r="U498" s="179"/>
      <c r="V498" s="549"/>
      <c r="W498" s="181"/>
      <c r="X498" s="181"/>
      <c r="Y498" s="181"/>
      <c r="Z498" s="179"/>
      <c r="AA498" s="549"/>
      <c r="AB498" s="181"/>
      <c r="AC498" s="181"/>
      <c r="AD498" s="181"/>
      <c r="AE498" s="179"/>
      <c r="AF498" s="549"/>
      <c r="AG498" s="181"/>
      <c r="AH498" s="181"/>
      <c r="AI498" s="181"/>
      <c r="AJ498" s="179"/>
      <c r="AK498" s="549"/>
      <c r="AL498" s="181"/>
      <c r="AM498" s="181"/>
      <c r="AN498" s="181"/>
      <c r="AO498" s="179"/>
      <c r="AP498" s="549"/>
      <c r="AQ498" s="181"/>
      <c r="AR498" s="181"/>
      <c r="AS498" s="181"/>
      <c r="AT498" s="528"/>
      <c r="AU498" s="528"/>
      <c r="AV498" s="528"/>
      <c r="AW498" s="528"/>
      <c r="AX498" s="528"/>
      <c r="AY498" s="528"/>
      <c r="AZ498" s="528"/>
      <c r="BA498" s="528"/>
      <c r="BB498" s="528"/>
      <c r="BC498" s="528"/>
      <c r="BD498" s="528"/>
      <c r="BE498" s="528"/>
      <c r="BF498" s="528"/>
      <c r="BG498" s="528"/>
      <c r="BH498" s="528"/>
    </row>
    <row r="499">
      <c r="A499" s="179"/>
      <c r="B499" s="549"/>
      <c r="C499" s="181"/>
      <c r="D499" s="181"/>
      <c r="E499" s="181"/>
      <c r="F499" s="179"/>
      <c r="G499" s="549"/>
      <c r="H499" s="181"/>
      <c r="I499" s="181"/>
      <c r="J499" s="181"/>
      <c r="K499" s="156"/>
      <c r="L499" s="549"/>
      <c r="M499" s="181"/>
      <c r="N499" s="181"/>
      <c r="O499" s="181"/>
      <c r="P499" s="156"/>
      <c r="Q499" s="562"/>
      <c r="R499" s="181"/>
      <c r="S499" s="181"/>
      <c r="T499" s="181"/>
      <c r="U499" s="179"/>
      <c r="V499" s="549"/>
      <c r="W499" s="181"/>
      <c r="X499" s="181"/>
      <c r="Y499" s="181"/>
      <c r="Z499" s="179"/>
      <c r="AA499" s="549"/>
      <c r="AB499" s="181"/>
      <c r="AC499" s="181"/>
      <c r="AD499" s="181"/>
      <c r="AE499" s="179"/>
      <c r="AF499" s="549"/>
      <c r="AG499" s="181"/>
      <c r="AH499" s="181"/>
      <c r="AI499" s="181"/>
      <c r="AJ499" s="179"/>
      <c r="AK499" s="549"/>
      <c r="AL499" s="181"/>
      <c r="AM499" s="181"/>
      <c r="AN499" s="181"/>
      <c r="AO499" s="179"/>
      <c r="AP499" s="549"/>
      <c r="AQ499" s="181"/>
      <c r="AR499" s="181"/>
      <c r="AS499" s="181"/>
      <c r="AT499" s="528"/>
      <c r="AU499" s="528"/>
      <c r="AV499" s="528"/>
      <c r="AW499" s="528"/>
      <c r="AX499" s="528"/>
      <c r="AY499" s="528"/>
      <c r="AZ499" s="528"/>
      <c r="BA499" s="528"/>
      <c r="BB499" s="528"/>
      <c r="BC499" s="528"/>
      <c r="BD499" s="528"/>
      <c r="BE499" s="528"/>
      <c r="BF499" s="528"/>
      <c r="BG499" s="528"/>
      <c r="BH499" s="528"/>
    </row>
    <row r="500">
      <c r="A500" s="179"/>
      <c r="B500" s="549"/>
      <c r="C500" s="181"/>
      <c r="D500" s="181"/>
      <c r="E500" s="181"/>
      <c r="F500" s="179"/>
      <c r="G500" s="549"/>
      <c r="H500" s="181"/>
      <c r="I500" s="181"/>
      <c r="J500" s="181"/>
      <c r="K500" s="156"/>
      <c r="L500" s="549"/>
      <c r="M500" s="181"/>
      <c r="N500" s="181"/>
      <c r="O500" s="181"/>
      <c r="P500" s="156"/>
      <c r="Q500" s="562"/>
      <c r="R500" s="181"/>
      <c r="S500" s="181"/>
      <c r="T500" s="181"/>
      <c r="U500" s="179"/>
      <c r="V500" s="549"/>
      <c r="W500" s="181"/>
      <c r="X500" s="181"/>
      <c r="Y500" s="181"/>
      <c r="Z500" s="179"/>
      <c r="AA500" s="549"/>
      <c r="AB500" s="181"/>
      <c r="AC500" s="181"/>
      <c r="AD500" s="181"/>
      <c r="AE500" s="179"/>
      <c r="AF500" s="549"/>
      <c r="AG500" s="181"/>
      <c r="AH500" s="181"/>
      <c r="AI500" s="181"/>
      <c r="AJ500" s="179"/>
      <c r="AK500" s="549"/>
      <c r="AL500" s="181"/>
      <c r="AM500" s="181"/>
      <c r="AN500" s="181"/>
      <c r="AO500" s="179"/>
      <c r="AP500" s="549"/>
      <c r="AQ500" s="181"/>
      <c r="AR500" s="181"/>
      <c r="AS500" s="181"/>
      <c r="AT500" s="528"/>
      <c r="AU500" s="528"/>
      <c r="AV500" s="528"/>
      <c r="AW500" s="528"/>
      <c r="AX500" s="528"/>
      <c r="AY500" s="528"/>
      <c r="AZ500" s="528"/>
      <c r="BA500" s="528"/>
      <c r="BB500" s="528"/>
      <c r="BC500" s="528"/>
      <c r="BD500" s="528"/>
      <c r="BE500" s="528"/>
      <c r="BF500" s="528"/>
      <c r="BG500" s="528"/>
      <c r="BH500" s="528"/>
    </row>
    <row r="501">
      <c r="A501" s="179"/>
      <c r="B501" s="549"/>
      <c r="C501" s="181"/>
      <c r="D501" s="181"/>
      <c r="E501" s="181"/>
      <c r="F501" s="179"/>
      <c r="G501" s="549"/>
      <c r="H501" s="181"/>
      <c r="I501" s="181"/>
      <c r="J501" s="181"/>
      <c r="K501" s="156"/>
      <c r="L501" s="549"/>
      <c r="M501" s="181"/>
      <c r="N501" s="181"/>
      <c r="O501" s="181"/>
      <c r="P501" s="156"/>
      <c r="Q501" s="562"/>
      <c r="R501" s="181"/>
      <c r="S501" s="181"/>
      <c r="T501" s="181"/>
      <c r="U501" s="179"/>
      <c r="V501" s="549"/>
      <c r="W501" s="181"/>
      <c r="X501" s="181"/>
      <c r="Y501" s="181"/>
      <c r="Z501" s="179"/>
      <c r="AA501" s="549"/>
      <c r="AB501" s="181"/>
      <c r="AC501" s="181"/>
      <c r="AD501" s="181"/>
      <c r="AE501" s="179"/>
      <c r="AF501" s="549"/>
      <c r="AG501" s="181"/>
      <c r="AH501" s="181"/>
      <c r="AI501" s="181"/>
      <c r="AJ501" s="179"/>
      <c r="AK501" s="549"/>
      <c r="AL501" s="181"/>
      <c r="AM501" s="181"/>
      <c r="AN501" s="181"/>
      <c r="AO501" s="179"/>
      <c r="AP501" s="549"/>
      <c r="AQ501" s="181"/>
      <c r="AR501" s="181"/>
      <c r="AS501" s="181"/>
      <c r="AT501" s="528"/>
      <c r="AU501" s="528"/>
      <c r="AV501" s="528"/>
      <c r="AW501" s="528"/>
      <c r="AX501" s="528"/>
      <c r="AY501" s="528"/>
      <c r="AZ501" s="528"/>
      <c r="BA501" s="528"/>
      <c r="BB501" s="528"/>
      <c r="BC501" s="528"/>
      <c r="BD501" s="528"/>
      <c r="BE501" s="528"/>
      <c r="BF501" s="528"/>
      <c r="BG501" s="528"/>
      <c r="BH501" s="528"/>
    </row>
    <row r="502">
      <c r="A502" s="179"/>
      <c r="B502" s="549"/>
      <c r="C502" s="181"/>
      <c r="D502" s="181"/>
      <c r="E502" s="181"/>
      <c r="F502" s="179"/>
      <c r="G502" s="549"/>
      <c r="H502" s="181"/>
      <c r="I502" s="181"/>
      <c r="J502" s="181"/>
      <c r="K502" s="156"/>
      <c r="L502" s="549"/>
      <c r="M502" s="181"/>
      <c r="N502" s="181"/>
      <c r="O502" s="181"/>
      <c r="P502" s="156"/>
      <c r="Q502" s="562"/>
      <c r="R502" s="181"/>
      <c r="S502" s="181"/>
      <c r="T502" s="181"/>
      <c r="U502" s="179"/>
      <c r="V502" s="549"/>
      <c r="W502" s="181"/>
      <c r="X502" s="181"/>
      <c r="Y502" s="181"/>
      <c r="Z502" s="179"/>
      <c r="AA502" s="549"/>
      <c r="AB502" s="181"/>
      <c r="AC502" s="181"/>
      <c r="AD502" s="181"/>
      <c r="AE502" s="179"/>
      <c r="AF502" s="549"/>
      <c r="AG502" s="181"/>
      <c r="AH502" s="181"/>
      <c r="AI502" s="181"/>
      <c r="AJ502" s="179"/>
      <c r="AK502" s="549"/>
      <c r="AL502" s="181"/>
      <c r="AM502" s="181"/>
      <c r="AN502" s="181"/>
      <c r="AO502" s="179"/>
      <c r="AP502" s="549"/>
      <c r="AQ502" s="181"/>
      <c r="AR502" s="181"/>
      <c r="AS502" s="181"/>
      <c r="AT502" s="528"/>
      <c r="AU502" s="528"/>
      <c r="AV502" s="528"/>
      <c r="AW502" s="528"/>
      <c r="AX502" s="528"/>
      <c r="AY502" s="528"/>
      <c r="AZ502" s="528"/>
      <c r="BA502" s="528"/>
      <c r="BB502" s="528"/>
      <c r="BC502" s="528"/>
      <c r="BD502" s="528"/>
      <c r="BE502" s="528"/>
      <c r="BF502" s="528"/>
      <c r="BG502" s="528"/>
      <c r="BH502" s="528"/>
    </row>
    <row r="503">
      <c r="A503" s="179"/>
      <c r="B503" s="549"/>
      <c r="C503" s="181"/>
      <c r="D503" s="181"/>
      <c r="E503" s="181"/>
      <c r="F503" s="179"/>
      <c r="G503" s="549"/>
      <c r="H503" s="181"/>
      <c r="I503" s="181"/>
      <c r="J503" s="181"/>
      <c r="K503" s="156"/>
      <c r="L503" s="549"/>
      <c r="M503" s="181"/>
      <c r="N503" s="181"/>
      <c r="O503" s="181"/>
      <c r="P503" s="156"/>
      <c r="Q503" s="562"/>
      <c r="R503" s="181"/>
      <c r="S503" s="181"/>
      <c r="T503" s="181"/>
      <c r="U503" s="179"/>
      <c r="V503" s="549"/>
      <c r="W503" s="181"/>
      <c r="X503" s="181"/>
      <c r="Y503" s="181"/>
      <c r="Z503" s="179"/>
      <c r="AA503" s="549"/>
      <c r="AB503" s="181"/>
      <c r="AC503" s="181"/>
      <c r="AD503" s="181"/>
      <c r="AE503" s="179"/>
      <c r="AF503" s="549"/>
      <c r="AG503" s="181"/>
      <c r="AH503" s="181"/>
      <c r="AI503" s="181"/>
      <c r="AJ503" s="179"/>
      <c r="AK503" s="549"/>
      <c r="AL503" s="181"/>
      <c r="AM503" s="181"/>
      <c r="AN503" s="181"/>
      <c r="AO503" s="179"/>
      <c r="AP503" s="549"/>
      <c r="AQ503" s="181"/>
      <c r="AR503" s="181"/>
      <c r="AS503" s="181"/>
      <c r="AT503" s="528"/>
      <c r="AU503" s="528"/>
      <c r="AV503" s="528"/>
      <c r="AW503" s="528"/>
      <c r="AX503" s="528"/>
      <c r="AY503" s="528"/>
      <c r="AZ503" s="528"/>
      <c r="BA503" s="528"/>
      <c r="BB503" s="528"/>
      <c r="BC503" s="528"/>
      <c r="BD503" s="528"/>
      <c r="BE503" s="528"/>
      <c r="BF503" s="528"/>
      <c r="BG503" s="528"/>
      <c r="BH503" s="528"/>
    </row>
    <row r="504">
      <c r="A504" s="179"/>
      <c r="B504" s="549"/>
      <c r="C504" s="181"/>
      <c r="D504" s="181"/>
      <c r="E504" s="181"/>
      <c r="F504" s="179"/>
      <c r="G504" s="549"/>
      <c r="H504" s="181"/>
      <c r="I504" s="181"/>
      <c r="J504" s="181"/>
      <c r="K504" s="156"/>
      <c r="L504" s="549"/>
      <c r="M504" s="181"/>
      <c r="N504" s="181"/>
      <c r="O504" s="181"/>
      <c r="P504" s="156"/>
      <c r="Q504" s="562"/>
      <c r="R504" s="181"/>
      <c r="S504" s="181"/>
      <c r="T504" s="181"/>
      <c r="U504" s="179"/>
      <c r="V504" s="549"/>
      <c r="W504" s="181"/>
      <c r="X504" s="181"/>
      <c r="Y504" s="181"/>
      <c r="Z504" s="179"/>
      <c r="AA504" s="549"/>
      <c r="AB504" s="181"/>
      <c r="AC504" s="181"/>
      <c r="AD504" s="181"/>
      <c r="AE504" s="179"/>
      <c r="AF504" s="549"/>
      <c r="AG504" s="181"/>
      <c r="AH504" s="181"/>
      <c r="AI504" s="181"/>
      <c r="AJ504" s="179"/>
      <c r="AK504" s="549"/>
      <c r="AL504" s="181"/>
      <c r="AM504" s="181"/>
      <c r="AN504" s="181"/>
      <c r="AO504" s="179"/>
      <c r="AP504" s="549"/>
      <c r="AQ504" s="181"/>
      <c r="AR504" s="181"/>
      <c r="AS504" s="181"/>
      <c r="AT504" s="528"/>
      <c r="AU504" s="528"/>
      <c r="AV504" s="528"/>
      <c r="AW504" s="528"/>
      <c r="AX504" s="528"/>
      <c r="AY504" s="528"/>
      <c r="AZ504" s="528"/>
      <c r="BA504" s="528"/>
      <c r="BB504" s="528"/>
      <c r="BC504" s="528"/>
      <c r="BD504" s="528"/>
      <c r="BE504" s="528"/>
      <c r="BF504" s="528"/>
      <c r="BG504" s="528"/>
      <c r="BH504" s="528"/>
    </row>
    <row r="505">
      <c r="A505" s="179"/>
      <c r="B505" s="549"/>
      <c r="C505" s="181"/>
      <c r="D505" s="181"/>
      <c r="E505" s="181"/>
      <c r="F505" s="179"/>
      <c r="G505" s="549"/>
      <c r="H505" s="181"/>
      <c r="I505" s="181"/>
      <c r="J505" s="181"/>
      <c r="K505" s="156"/>
      <c r="L505" s="549"/>
      <c r="M505" s="181"/>
      <c r="N505" s="181"/>
      <c r="O505" s="181"/>
      <c r="P505" s="156"/>
      <c r="Q505" s="562"/>
      <c r="R505" s="181"/>
      <c r="S505" s="181"/>
      <c r="T505" s="181"/>
      <c r="U505" s="179"/>
      <c r="V505" s="549"/>
      <c r="W505" s="181"/>
      <c r="X505" s="181"/>
      <c r="Y505" s="181"/>
      <c r="Z505" s="179"/>
      <c r="AA505" s="549"/>
      <c r="AB505" s="181"/>
      <c r="AC505" s="181"/>
      <c r="AD505" s="181"/>
      <c r="AE505" s="179"/>
      <c r="AF505" s="549"/>
      <c r="AG505" s="181"/>
      <c r="AH505" s="181"/>
      <c r="AI505" s="181"/>
      <c r="AJ505" s="179"/>
      <c r="AK505" s="549"/>
      <c r="AL505" s="181"/>
      <c r="AM505" s="181"/>
      <c r="AN505" s="181"/>
      <c r="AO505" s="179"/>
      <c r="AP505" s="549"/>
      <c r="AQ505" s="181"/>
      <c r="AR505" s="181"/>
      <c r="AS505" s="181"/>
      <c r="AT505" s="528"/>
      <c r="AU505" s="528"/>
      <c r="AV505" s="528"/>
      <c r="AW505" s="528"/>
      <c r="AX505" s="528"/>
      <c r="AY505" s="528"/>
      <c r="AZ505" s="528"/>
      <c r="BA505" s="528"/>
      <c r="BB505" s="528"/>
      <c r="BC505" s="528"/>
      <c r="BD505" s="528"/>
      <c r="BE505" s="528"/>
      <c r="BF505" s="528"/>
      <c r="BG505" s="528"/>
      <c r="BH505" s="528"/>
    </row>
    <row r="506">
      <c r="A506" s="179"/>
      <c r="B506" s="549"/>
      <c r="C506" s="181"/>
      <c r="D506" s="181"/>
      <c r="E506" s="181"/>
      <c r="F506" s="179"/>
      <c r="G506" s="549"/>
      <c r="H506" s="181"/>
      <c r="I506" s="181"/>
      <c r="J506" s="181"/>
      <c r="K506" s="156"/>
      <c r="L506" s="549"/>
      <c r="M506" s="181"/>
      <c r="N506" s="181"/>
      <c r="O506" s="181"/>
      <c r="P506" s="156"/>
      <c r="Q506" s="562"/>
      <c r="R506" s="181"/>
      <c r="S506" s="181"/>
      <c r="T506" s="181"/>
      <c r="U506" s="179"/>
      <c r="V506" s="549"/>
      <c r="W506" s="181"/>
      <c r="X506" s="181"/>
      <c r="Y506" s="181"/>
      <c r="Z506" s="179"/>
      <c r="AA506" s="549"/>
      <c r="AB506" s="181"/>
      <c r="AC506" s="181"/>
      <c r="AD506" s="181"/>
      <c r="AE506" s="179"/>
      <c r="AF506" s="549"/>
      <c r="AG506" s="181"/>
      <c r="AH506" s="181"/>
      <c r="AI506" s="181"/>
      <c r="AJ506" s="179"/>
      <c r="AK506" s="549"/>
      <c r="AL506" s="181"/>
      <c r="AM506" s="181"/>
      <c r="AN506" s="181"/>
      <c r="AO506" s="179"/>
      <c r="AP506" s="549"/>
      <c r="AQ506" s="181"/>
      <c r="AR506" s="181"/>
      <c r="AS506" s="181"/>
      <c r="AT506" s="528"/>
      <c r="AU506" s="528"/>
      <c r="AV506" s="528"/>
      <c r="AW506" s="528"/>
      <c r="AX506" s="528"/>
      <c r="AY506" s="528"/>
      <c r="AZ506" s="528"/>
      <c r="BA506" s="528"/>
      <c r="BB506" s="528"/>
      <c r="BC506" s="528"/>
      <c r="BD506" s="528"/>
      <c r="BE506" s="528"/>
      <c r="BF506" s="528"/>
      <c r="BG506" s="528"/>
      <c r="BH506" s="528"/>
    </row>
    <row r="507">
      <c r="A507" s="179"/>
      <c r="B507" s="549"/>
      <c r="C507" s="181"/>
      <c r="D507" s="181"/>
      <c r="E507" s="181"/>
      <c r="F507" s="179"/>
      <c r="G507" s="549"/>
      <c r="H507" s="181"/>
      <c r="I507" s="181"/>
      <c r="J507" s="181"/>
      <c r="K507" s="156"/>
      <c r="L507" s="549"/>
      <c r="M507" s="181"/>
      <c r="N507" s="181"/>
      <c r="O507" s="181"/>
      <c r="P507" s="156"/>
      <c r="Q507" s="562"/>
      <c r="R507" s="181"/>
      <c r="S507" s="181"/>
      <c r="T507" s="181"/>
      <c r="U507" s="179"/>
      <c r="V507" s="549"/>
      <c r="W507" s="181"/>
      <c r="X507" s="181"/>
      <c r="Y507" s="181"/>
      <c r="Z507" s="179"/>
      <c r="AA507" s="549"/>
      <c r="AB507" s="181"/>
      <c r="AC507" s="181"/>
      <c r="AD507" s="181"/>
      <c r="AE507" s="179"/>
      <c r="AF507" s="549"/>
      <c r="AG507" s="181"/>
      <c r="AH507" s="181"/>
      <c r="AI507" s="181"/>
      <c r="AJ507" s="179"/>
      <c r="AK507" s="549"/>
      <c r="AL507" s="181"/>
      <c r="AM507" s="181"/>
      <c r="AN507" s="181"/>
      <c r="AO507" s="179"/>
      <c r="AP507" s="549"/>
      <c r="AQ507" s="181"/>
      <c r="AR507" s="181"/>
      <c r="AS507" s="181"/>
      <c r="AT507" s="528"/>
      <c r="AU507" s="528"/>
      <c r="AV507" s="528"/>
      <c r="AW507" s="528"/>
      <c r="AX507" s="528"/>
      <c r="AY507" s="528"/>
      <c r="AZ507" s="528"/>
      <c r="BA507" s="528"/>
      <c r="BB507" s="528"/>
      <c r="BC507" s="528"/>
      <c r="BD507" s="528"/>
      <c r="BE507" s="528"/>
      <c r="BF507" s="528"/>
      <c r="BG507" s="528"/>
      <c r="BH507" s="528"/>
    </row>
    <row r="508">
      <c r="A508" s="179"/>
      <c r="B508" s="549"/>
      <c r="C508" s="181"/>
      <c r="D508" s="181"/>
      <c r="E508" s="181"/>
      <c r="F508" s="179"/>
      <c r="G508" s="549"/>
      <c r="H508" s="181"/>
      <c r="I508" s="181"/>
      <c r="J508" s="181"/>
      <c r="K508" s="156"/>
      <c r="L508" s="549"/>
      <c r="M508" s="181"/>
      <c r="N508" s="181"/>
      <c r="O508" s="181"/>
      <c r="P508" s="156"/>
      <c r="Q508" s="562"/>
      <c r="R508" s="181"/>
      <c r="S508" s="181"/>
      <c r="T508" s="181"/>
      <c r="U508" s="179"/>
      <c r="V508" s="549"/>
      <c r="W508" s="181"/>
      <c r="X508" s="181"/>
      <c r="Y508" s="181"/>
      <c r="Z508" s="179"/>
      <c r="AA508" s="549"/>
      <c r="AB508" s="181"/>
      <c r="AC508" s="181"/>
      <c r="AD508" s="181"/>
      <c r="AE508" s="179"/>
      <c r="AF508" s="549"/>
      <c r="AG508" s="181"/>
      <c r="AH508" s="181"/>
      <c r="AI508" s="181"/>
      <c r="AJ508" s="179"/>
      <c r="AK508" s="549"/>
      <c r="AL508" s="181"/>
      <c r="AM508" s="181"/>
      <c r="AN508" s="181"/>
      <c r="AO508" s="179"/>
      <c r="AP508" s="549"/>
      <c r="AQ508" s="181"/>
      <c r="AR508" s="181"/>
      <c r="AS508" s="181"/>
      <c r="AT508" s="528"/>
      <c r="AU508" s="528"/>
      <c r="AV508" s="528"/>
      <c r="AW508" s="528"/>
      <c r="AX508" s="528"/>
      <c r="AY508" s="528"/>
      <c r="AZ508" s="528"/>
      <c r="BA508" s="528"/>
      <c r="BB508" s="528"/>
      <c r="BC508" s="528"/>
      <c r="BD508" s="528"/>
      <c r="BE508" s="528"/>
      <c r="BF508" s="528"/>
      <c r="BG508" s="528"/>
      <c r="BH508" s="528"/>
    </row>
    <row r="509">
      <c r="A509" s="179"/>
      <c r="B509" s="549"/>
      <c r="C509" s="181"/>
      <c r="D509" s="181"/>
      <c r="E509" s="181"/>
      <c r="F509" s="179"/>
      <c r="G509" s="549"/>
      <c r="H509" s="181"/>
      <c r="I509" s="181"/>
      <c r="J509" s="181"/>
      <c r="K509" s="156"/>
      <c r="L509" s="549"/>
      <c r="M509" s="181"/>
      <c r="N509" s="181"/>
      <c r="O509" s="181"/>
      <c r="P509" s="156"/>
      <c r="Q509" s="562"/>
      <c r="R509" s="181"/>
      <c r="S509" s="181"/>
      <c r="T509" s="181"/>
      <c r="U509" s="179"/>
      <c r="V509" s="549"/>
      <c r="W509" s="181"/>
      <c r="X509" s="181"/>
      <c r="Y509" s="181"/>
      <c r="Z509" s="179"/>
      <c r="AA509" s="549"/>
      <c r="AB509" s="181"/>
      <c r="AC509" s="181"/>
      <c r="AD509" s="181"/>
      <c r="AE509" s="179"/>
      <c r="AF509" s="549"/>
      <c r="AG509" s="181"/>
      <c r="AH509" s="181"/>
      <c r="AI509" s="181"/>
      <c r="AJ509" s="179"/>
      <c r="AK509" s="549"/>
      <c r="AL509" s="181"/>
      <c r="AM509" s="181"/>
      <c r="AN509" s="181"/>
      <c r="AO509" s="179"/>
      <c r="AP509" s="549"/>
      <c r="AQ509" s="181"/>
      <c r="AR509" s="181"/>
      <c r="AS509" s="181"/>
      <c r="AT509" s="528"/>
      <c r="AU509" s="528"/>
      <c r="AV509" s="528"/>
      <c r="AW509" s="528"/>
      <c r="AX509" s="528"/>
      <c r="AY509" s="528"/>
      <c r="AZ509" s="528"/>
      <c r="BA509" s="528"/>
      <c r="BB509" s="528"/>
      <c r="BC509" s="528"/>
      <c r="BD509" s="528"/>
      <c r="BE509" s="528"/>
      <c r="BF509" s="528"/>
      <c r="BG509" s="528"/>
      <c r="BH509" s="528"/>
    </row>
    <row r="510">
      <c r="A510" s="179"/>
      <c r="B510" s="549"/>
      <c r="C510" s="181"/>
      <c r="D510" s="181"/>
      <c r="E510" s="181"/>
      <c r="F510" s="179"/>
      <c r="G510" s="549"/>
      <c r="H510" s="181"/>
      <c r="I510" s="181"/>
      <c r="J510" s="181"/>
      <c r="K510" s="156"/>
      <c r="L510" s="549"/>
      <c r="M510" s="181"/>
      <c r="N510" s="181"/>
      <c r="O510" s="181"/>
      <c r="P510" s="156"/>
      <c r="Q510" s="562"/>
      <c r="R510" s="181"/>
      <c r="S510" s="181"/>
      <c r="T510" s="181"/>
      <c r="U510" s="179"/>
      <c r="V510" s="549"/>
      <c r="W510" s="181"/>
      <c r="X510" s="181"/>
      <c r="Y510" s="181"/>
      <c r="Z510" s="179"/>
      <c r="AA510" s="549"/>
      <c r="AB510" s="181"/>
      <c r="AC510" s="181"/>
      <c r="AD510" s="181"/>
      <c r="AE510" s="179"/>
      <c r="AF510" s="549"/>
      <c r="AG510" s="181"/>
      <c r="AH510" s="181"/>
      <c r="AI510" s="181"/>
      <c r="AJ510" s="179"/>
      <c r="AK510" s="549"/>
      <c r="AL510" s="181"/>
      <c r="AM510" s="181"/>
      <c r="AN510" s="181"/>
      <c r="AO510" s="179"/>
      <c r="AP510" s="549"/>
      <c r="AQ510" s="181"/>
      <c r="AR510" s="181"/>
      <c r="AS510" s="181"/>
      <c r="AT510" s="528"/>
      <c r="AU510" s="528"/>
      <c r="AV510" s="528"/>
      <c r="AW510" s="528"/>
      <c r="AX510" s="528"/>
      <c r="AY510" s="528"/>
      <c r="AZ510" s="528"/>
      <c r="BA510" s="528"/>
      <c r="BB510" s="528"/>
      <c r="BC510" s="528"/>
      <c r="BD510" s="528"/>
      <c r="BE510" s="528"/>
      <c r="BF510" s="528"/>
      <c r="BG510" s="528"/>
      <c r="BH510" s="528"/>
    </row>
    <row r="511">
      <c r="A511" s="179"/>
      <c r="B511" s="549"/>
      <c r="C511" s="181"/>
      <c r="D511" s="181"/>
      <c r="E511" s="181"/>
      <c r="F511" s="179"/>
      <c r="G511" s="549"/>
      <c r="H511" s="181"/>
      <c r="I511" s="181"/>
      <c r="J511" s="181"/>
      <c r="K511" s="156"/>
      <c r="L511" s="549"/>
      <c r="M511" s="181"/>
      <c r="N511" s="181"/>
      <c r="O511" s="181"/>
      <c r="P511" s="156"/>
      <c r="Q511" s="562"/>
      <c r="R511" s="181"/>
      <c r="S511" s="181"/>
      <c r="T511" s="181"/>
      <c r="U511" s="179"/>
      <c r="V511" s="549"/>
      <c r="W511" s="181"/>
      <c r="X511" s="181"/>
      <c r="Y511" s="181"/>
      <c r="Z511" s="179"/>
      <c r="AA511" s="549"/>
      <c r="AB511" s="181"/>
      <c r="AC511" s="181"/>
      <c r="AD511" s="181"/>
      <c r="AE511" s="179"/>
      <c r="AF511" s="549"/>
      <c r="AG511" s="181"/>
      <c r="AH511" s="181"/>
      <c r="AI511" s="181"/>
      <c r="AJ511" s="179"/>
      <c r="AK511" s="549"/>
      <c r="AL511" s="181"/>
      <c r="AM511" s="181"/>
      <c r="AN511" s="181"/>
      <c r="AO511" s="179"/>
      <c r="AP511" s="549"/>
      <c r="AQ511" s="181"/>
      <c r="AR511" s="181"/>
      <c r="AS511" s="181"/>
      <c r="AT511" s="528"/>
      <c r="AU511" s="528"/>
      <c r="AV511" s="528"/>
      <c r="AW511" s="528"/>
      <c r="AX511" s="528"/>
      <c r="AY511" s="528"/>
      <c r="AZ511" s="528"/>
      <c r="BA511" s="528"/>
      <c r="BB511" s="528"/>
      <c r="BC511" s="528"/>
      <c r="BD511" s="528"/>
      <c r="BE511" s="528"/>
      <c r="BF511" s="528"/>
      <c r="BG511" s="528"/>
      <c r="BH511" s="528"/>
    </row>
    <row r="512">
      <c r="A512" s="179"/>
      <c r="B512" s="549"/>
      <c r="C512" s="181"/>
      <c r="D512" s="181"/>
      <c r="E512" s="181"/>
      <c r="F512" s="179"/>
      <c r="G512" s="549"/>
      <c r="H512" s="181"/>
      <c r="I512" s="181"/>
      <c r="J512" s="181"/>
      <c r="K512" s="156"/>
      <c r="L512" s="549"/>
      <c r="M512" s="181"/>
      <c r="N512" s="181"/>
      <c r="O512" s="181"/>
      <c r="P512" s="156"/>
      <c r="Q512" s="562"/>
      <c r="R512" s="181"/>
      <c r="S512" s="181"/>
      <c r="T512" s="181"/>
      <c r="U512" s="179"/>
      <c r="V512" s="549"/>
      <c r="W512" s="181"/>
      <c r="X512" s="181"/>
      <c r="Y512" s="181"/>
      <c r="Z512" s="179"/>
      <c r="AA512" s="549"/>
      <c r="AB512" s="181"/>
      <c r="AC512" s="181"/>
      <c r="AD512" s="181"/>
      <c r="AE512" s="179"/>
      <c r="AF512" s="549"/>
      <c r="AG512" s="181"/>
      <c r="AH512" s="181"/>
      <c r="AI512" s="181"/>
      <c r="AJ512" s="179"/>
      <c r="AK512" s="549"/>
      <c r="AL512" s="181"/>
      <c r="AM512" s="181"/>
      <c r="AN512" s="181"/>
      <c r="AO512" s="179"/>
      <c r="AP512" s="549"/>
      <c r="AQ512" s="181"/>
      <c r="AR512" s="181"/>
      <c r="AS512" s="181"/>
      <c r="AT512" s="528"/>
      <c r="AU512" s="528"/>
      <c r="AV512" s="528"/>
      <c r="AW512" s="528"/>
      <c r="AX512" s="528"/>
      <c r="AY512" s="528"/>
      <c r="AZ512" s="528"/>
      <c r="BA512" s="528"/>
      <c r="BB512" s="528"/>
      <c r="BC512" s="528"/>
      <c r="BD512" s="528"/>
      <c r="BE512" s="528"/>
      <c r="BF512" s="528"/>
      <c r="BG512" s="528"/>
      <c r="BH512" s="528"/>
    </row>
    <row r="513">
      <c r="A513" s="179"/>
      <c r="B513" s="549"/>
      <c r="C513" s="181"/>
      <c r="D513" s="181"/>
      <c r="E513" s="181"/>
      <c r="F513" s="179"/>
      <c r="G513" s="549"/>
      <c r="H513" s="181"/>
      <c r="I513" s="181"/>
      <c r="J513" s="181"/>
      <c r="K513" s="156"/>
      <c r="L513" s="549"/>
      <c r="M513" s="181"/>
      <c r="N513" s="181"/>
      <c r="O513" s="181"/>
      <c r="P513" s="156"/>
      <c r="Q513" s="562"/>
      <c r="R513" s="181"/>
      <c r="S513" s="181"/>
      <c r="T513" s="181"/>
      <c r="U513" s="179"/>
      <c r="V513" s="549"/>
      <c r="W513" s="181"/>
      <c r="X513" s="181"/>
      <c r="Y513" s="181"/>
      <c r="Z513" s="179"/>
      <c r="AA513" s="549"/>
      <c r="AB513" s="181"/>
      <c r="AC513" s="181"/>
      <c r="AD513" s="181"/>
      <c r="AE513" s="179"/>
      <c r="AF513" s="549"/>
      <c r="AG513" s="181"/>
      <c r="AH513" s="181"/>
      <c r="AI513" s="181"/>
      <c r="AJ513" s="179"/>
      <c r="AK513" s="549"/>
      <c r="AL513" s="181"/>
      <c r="AM513" s="181"/>
      <c r="AN513" s="181"/>
      <c r="AO513" s="179"/>
      <c r="AP513" s="549"/>
      <c r="AQ513" s="181"/>
      <c r="AR513" s="181"/>
      <c r="AS513" s="181"/>
      <c r="AT513" s="528"/>
      <c r="AU513" s="528"/>
      <c r="AV513" s="528"/>
      <c r="AW513" s="528"/>
      <c r="AX513" s="528"/>
      <c r="AY513" s="528"/>
      <c r="AZ513" s="528"/>
      <c r="BA513" s="528"/>
      <c r="BB513" s="528"/>
      <c r="BC513" s="528"/>
      <c r="BD513" s="528"/>
      <c r="BE513" s="528"/>
      <c r="BF513" s="528"/>
      <c r="BG513" s="528"/>
      <c r="BH513" s="528"/>
    </row>
    <row r="514">
      <c r="A514" s="179"/>
      <c r="B514" s="549"/>
      <c r="C514" s="181"/>
      <c r="D514" s="181"/>
      <c r="E514" s="181"/>
      <c r="F514" s="179"/>
      <c r="G514" s="549"/>
      <c r="H514" s="181"/>
      <c r="I514" s="181"/>
      <c r="J514" s="181"/>
      <c r="K514" s="156"/>
      <c r="L514" s="549"/>
      <c r="M514" s="181"/>
      <c r="N514" s="181"/>
      <c r="O514" s="181"/>
      <c r="P514" s="156"/>
      <c r="Q514" s="562"/>
      <c r="R514" s="181"/>
      <c r="S514" s="181"/>
      <c r="T514" s="181"/>
      <c r="U514" s="179"/>
      <c r="V514" s="549"/>
      <c r="W514" s="181"/>
      <c r="X514" s="181"/>
      <c r="Y514" s="181"/>
      <c r="Z514" s="179"/>
      <c r="AA514" s="549"/>
      <c r="AB514" s="181"/>
      <c r="AC514" s="181"/>
      <c r="AD514" s="181"/>
      <c r="AE514" s="179"/>
      <c r="AF514" s="549"/>
      <c r="AG514" s="181"/>
      <c r="AH514" s="181"/>
      <c r="AI514" s="181"/>
      <c r="AJ514" s="179"/>
      <c r="AK514" s="549"/>
      <c r="AL514" s="181"/>
      <c r="AM514" s="181"/>
      <c r="AN514" s="181"/>
      <c r="AO514" s="179"/>
      <c r="AP514" s="549"/>
      <c r="AQ514" s="181"/>
      <c r="AR514" s="181"/>
      <c r="AS514" s="181"/>
      <c r="AT514" s="528"/>
      <c r="AU514" s="528"/>
      <c r="AV514" s="528"/>
      <c r="AW514" s="528"/>
      <c r="AX514" s="528"/>
      <c r="AY514" s="528"/>
      <c r="AZ514" s="528"/>
      <c r="BA514" s="528"/>
      <c r="BB514" s="528"/>
      <c r="BC514" s="528"/>
      <c r="BD514" s="528"/>
      <c r="BE514" s="528"/>
      <c r="BF514" s="528"/>
      <c r="BG514" s="528"/>
      <c r="BH514" s="528"/>
    </row>
    <row r="515">
      <c r="A515" s="179"/>
      <c r="B515" s="549"/>
      <c r="C515" s="181"/>
      <c r="D515" s="181"/>
      <c r="E515" s="181"/>
      <c r="F515" s="179"/>
      <c r="G515" s="549"/>
      <c r="H515" s="181"/>
      <c r="I515" s="181"/>
      <c r="J515" s="181"/>
      <c r="K515" s="156"/>
      <c r="L515" s="549"/>
      <c r="M515" s="181"/>
      <c r="N515" s="181"/>
      <c r="O515" s="181"/>
      <c r="P515" s="156"/>
      <c r="Q515" s="562"/>
      <c r="R515" s="181"/>
      <c r="S515" s="181"/>
      <c r="T515" s="181"/>
      <c r="U515" s="179"/>
      <c r="V515" s="549"/>
      <c r="W515" s="181"/>
      <c r="X515" s="181"/>
      <c r="Y515" s="181"/>
      <c r="Z515" s="179"/>
      <c r="AA515" s="549"/>
      <c r="AB515" s="181"/>
      <c r="AC515" s="181"/>
      <c r="AD515" s="181"/>
      <c r="AE515" s="179"/>
      <c r="AF515" s="549"/>
      <c r="AG515" s="181"/>
      <c r="AH515" s="181"/>
      <c r="AI515" s="181"/>
      <c r="AJ515" s="179"/>
      <c r="AK515" s="549"/>
      <c r="AL515" s="181"/>
      <c r="AM515" s="181"/>
      <c r="AN515" s="181"/>
      <c r="AO515" s="179"/>
      <c r="AP515" s="549"/>
      <c r="AQ515" s="181"/>
      <c r="AR515" s="181"/>
      <c r="AS515" s="181"/>
      <c r="AT515" s="528"/>
      <c r="AU515" s="528"/>
      <c r="AV515" s="528"/>
      <c r="AW515" s="528"/>
      <c r="AX515" s="528"/>
      <c r="AY515" s="528"/>
      <c r="AZ515" s="528"/>
      <c r="BA515" s="528"/>
      <c r="BB515" s="528"/>
      <c r="BC515" s="528"/>
      <c r="BD515" s="528"/>
      <c r="BE515" s="528"/>
      <c r="BF515" s="528"/>
      <c r="BG515" s="528"/>
      <c r="BH515" s="528"/>
    </row>
    <row r="516">
      <c r="A516" s="179"/>
      <c r="B516" s="549"/>
      <c r="C516" s="181"/>
      <c r="D516" s="181"/>
      <c r="E516" s="181"/>
      <c r="F516" s="179"/>
      <c r="G516" s="549"/>
      <c r="H516" s="181"/>
      <c r="I516" s="181"/>
      <c r="J516" s="181"/>
      <c r="K516" s="156"/>
      <c r="L516" s="549"/>
      <c r="M516" s="181"/>
      <c r="N516" s="181"/>
      <c r="O516" s="181"/>
      <c r="P516" s="156"/>
      <c r="Q516" s="562"/>
      <c r="R516" s="181"/>
      <c r="S516" s="181"/>
      <c r="T516" s="181"/>
      <c r="U516" s="179"/>
      <c r="V516" s="549"/>
      <c r="W516" s="181"/>
      <c r="X516" s="181"/>
      <c r="Y516" s="181"/>
      <c r="Z516" s="179"/>
      <c r="AA516" s="549"/>
      <c r="AB516" s="181"/>
      <c r="AC516" s="181"/>
      <c r="AD516" s="181"/>
      <c r="AE516" s="179"/>
      <c r="AF516" s="549"/>
      <c r="AG516" s="181"/>
      <c r="AH516" s="181"/>
      <c r="AI516" s="181"/>
      <c r="AJ516" s="179"/>
      <c r="AK516" s="549"/>
      <c r="AL516" s="181"/>
      <c r="AM516" s="181"/>
      <c r="AN516" s="181"/>
      <c r="AO516" s="179"/>
      <c r="AP516" s="549"/>
      <c r="AQ516" s="181"/>
      <c r="AR516" s="181"/>
      <c r="AS516" s="181"/>
      <c r="AT516" s="528"/>
      <c r="AU516" s="528"/>
      <c r="AV516" s="528"/>
      <c r="AW516" s="528"/>
      <c r="AX516" s="528"/>
      <c r="AY516" s="528"/>
      <c r="AZ516" s="528"/>
      <c r="BA516" s="528"/>
      <c r="BB516" s="528"/>
      <c r="BC516" s="528"/>
      <c r="BD516" s="528"/>
      <c r="BE516" s="528"/>
      <c r="BF516" s="528"/>
      <c r="BG516" s="528"/>
      <c r="BH516" s="528"/>
    </row>
    <row r="517">
      <c r="A517" s="179"/>
      <c r="B517" s="549"/>
      <c r="C517" s="181"/>
      <c r="D517" s="181"/>
      <c r="E517" s="181"/>
      <c r="F517" s="179"/>
      <c r="G517" s="549"/>
      <c r="H517" s="181"/>
      <c r="I517" s="181"/>
      <c r="J517" s="181"/>
      <c r="K517" s="156"/>
      <c r="L517" s="549"/>
      <c r="M517" s="181"/>
      <c r="N517" s="181"/>
      <c r="O517" s="181"/>
      <c r="P517" s="156"/>
      <c r="Q517" s="562"/>
      <c r="R517" s="181"/>
      <c r="S517" s="181"/>
      <c r="T517" s="181"/>
      <c r="U517" s="179"/>
      <c r="V517" s="549"/>
      <c r="W517" s="181"/>
      <c r="X517" s="181"/>
      <c r="Y517" s="181"/>
      <c r="Z517" s="179"/>
      <c r="AA517" s="549"/>
      <c r="AB517" s="181"/>
      <c r="AC517" s="181"/>
      <c r="AD517" s="181"/>
      <c r="AE517" s="179"/>
      <c r="AF517" s="549"/>
      <c r="AG517" s="181"/>
      <c r="AH517" s="181"/>
      <c r="AI517" s="181"/>
      <c r="AJ517" s="179"/>
      <c r="AK517" s="549"/>
      <c r="AL517" s="181"/>
      <c r="AM517" s="181"/>
      <c r="AN517" s="181"/>
      <c r="AO517" s="179"/>
      <c r="AP517" s="549"/>
      <c r="AQ517" s="181"/>
      <c r="AR517" s="181"/>
      <c r="AS517" s="181"/>
      <c r="AT517" s="528"/>
      <c r="AU517" s="528"/>
      <c r="AV517" s="528"/>
      <c r="AW517" s="528"/>
      <c r="AX517" s="528"/>
      <c r="AY517" s="528"/>
      <c r="AZ517" s="528"/>
      <c r="BA517" s="528"/>
      <c r="BB517" s="528"/>
      <c r="BC517" s="528"/>
      <c r="BD517" s="528"/>
      <c r="BE517" s="528"/>
      <c r="BF517" s="528"/>
      <c r="BG517" s="528"/>
      <c r="BH517" s="528"/>
    </row>
    <row r="518">
      <c r="A518" s="179"/>
      <c r="B518" s="549"/>
      <c r="C518" s="181"/>
      <c r="D518" s="181"/>
      <c r="E518" s="181"/>
      <c r="F518" s="179"/>
      <c r="G518" s="549"/>
      <c r="H518" s="181"/>
      <c r="I518" s="181"/>
      <c r="J518" s="181"/>
      <c r="K518" s="156"/>
      <c r="L518" s="549"/>
      <c r="M518" s="181"/>
      <c r="N518" s="181"/>
      <c r="O518" s="181"/>
      <c r="P518" s="156"/>
      <c r="Q518" s="562"/>
      <c r="R518" s="181"/>
      <c r="S518" s="181"/>
      <c r="T518" s="181"/>
      <c r="U518" s="179"/>
      <c r="V518" s="549"/>
      <c r="W518" s="181"/>
      <c r="X518" s="181"/>
      <c r="Y518" s="181"/>
      <c r="Z518" s="179"/>
      <c r="AA518" s="549"/>
      <c r="AB518" s="181"/>
      <c r="AC518" s="181"/>
      <c r="AD518" s="181"/>
      <c r="AE518" s="179"/>
      <c r="AF518" s="549"/>
      <c r="AG518" s="181"/>
      <c r="AH518" s="181"/>
      <c r="AI518" s="181"/>
      <c r="AJ518" s="179"/>
      <c r="AK518" s="549"/>
      <c r="AL518" s="181"/>
      <c r="AM518" s="181"/>
      <c r="AN518" s="181"/>
      <c r="AO518" s="179"/>
      <c r="AP518" s="549"/>
      <c r="AQ518" s="181"/>
      <c r="AR518" s="181"/>
      <c r="AS518" s="181"/>
      <c r="AT518" s="528"/>
      <c r="AU518" s="528"/>
      <c r="AV518" s="528"/>
      <c r="AW518" s="528"/>
      <c r="AX518" s="528"/>
      <c r="AY518" s="528"/>
      <c r="AZ518" s="528"/>
      <c r="BA518" s="528"/>
      <c r="BB518" s="528"/>
      <c r="BC518" s="528"/>
      <c r="BD518" s="528"/>
      <c r="BE518" s="528"/>
      <c r="BF518" s="528"/>
      <c r="BG518" s="528"/>
      <c r="BH518" s="528"/>
    </row>
    <row r="519">
      <c r="A519" s="179"/>
      <c r="B519" s="549"/>
      <c r="C519" s="181"/>
      <c r="D519" s="181"/>
      <c r="E519" s="181"/>
      <c r="F519" s="179"/>
      <c r="G519" s="549"/>
      <c r="H519" s="181"/>
      <c r="I519" s="181"/>
      <c r="J519" s="181"/>
      <c r="K519" s="156"/>
      <c r="L519" s="549"/>
      <c r="M519" s="181"/>
      <c r="N519" s="181"/>
      <c r="O519" s="181"/>
      <c r="P519" s="156"/>
      <c r="Q519" s="562"/>
      <c r="R519" s="181"/>
      <c r="S519" s="181"/>
      <c r="T519" s="181"/>
      <c r="U519" s="179"/>
      <c r="V519" s="549"/>
      <c r="W519" s="181"/>
      <c r="X519" s="181"/>
      <c r="Y519" s="181"/>
      <c r="Z519" s="179"/>
      <c r="AA519" s="549"/>
      <c r="AB519" s="181"/>
      <c r="AC519" s="181"/>
      <c r="AD519" s="181"/>
      <c r="AE519" s="179"/>
      <c r="AF519" s="549"/>
      <c r="AG519" s="181"/>
      <c r="AH519" s="181"/>
      <c r="AI519" s="181"/>
      <c r="AJ519" s="179"/>
      <c r="AK519" s="549"/>
      <c r="AL519" s="181"/>
      <c r="AM519" s="181"/>
      <c r="AN519" s="181"/>
      <c r="AO519" s="179"/>
      <c r="AP519" s="549"/>
      <c r="AQ519" s="181"/>
      <c r="AR519" s="181"/>
      <c r="AS519" s="181"/>
      <c r="AT519" s="528"/>
      <c r="AU519" s="528"/>
      <c r="AV519" s="528"/>
      <c r="AW519" s="528"/>
      <c r="AX519" s="528"/>
      <c r="AY519" s="528"/>
      <c r="AZ519" s="528"/>
      <c r="BA519" s="528"/>
      <c r="BB519" s="528"/>
      <c r="BC519" s="528"/>
      <c r="BD519" s="528"/>
      <c r="BE519" s="528"/>
      <c r="BF519" s="528"/>
      <c r="BG519" s="528"/>
      <c r="BH519" s="528"/>
    </row>
    <row r="520">
      <c r="A520" s="179"/>
      <c r="B520" s="549"/>
      <c r="C520" s="181"/>
      <c r="D520" s="181"/>
      <c r="E520" s="181"/>
      <c r="F520" s="179"/>
      <c r="G520" s="549"/>
      <c r="H520" s="181"/>
      <c r="I520" s="181"/>
      <c r="J520" s="181"/>
      <c r="K520" s="156"/>
      <c r="L520" s="549"/>
      <c r="M520" s="181"/>
      <c r="N520" s="181"/>
      <c r="O520" s="181"/>
      <c r="P520" s="156"/>
      <c r="Q520" s="562"/>
      <c r="R520" s="181"/>
      <c r="S520" s="181"/>
      <c r="T520" s="181"/>
      <c r="U520" s="179"/>
      <c r="V520" s="549"/>
      <c r="W520" s="181"/>
      <c r="X520" s="181"/>
      <c r="Y520" s="181"/>
      <c r="Z520" s="179"/>
      <c r="AA520" s="549"/>
      <c r="AB520" s="181"/>
      <c r="AC520" s="181"/>
      <c r="AD520" s="181"/>
      <c r="AE520" s="179"/>
      <c r="AF520" s="549"/>
      <c r="AG520" s="181"/>
      <c r="AH520" s="181"/>
      <c r="AI520" s="181"/>
      <c r="AJ520" s="179"/>
      <c r="AK520" s="549"/>
      <c r="AL520" s="181"/>
      <c r="AM520" s="181"/>
      <c r="AN520" s="181"/>
      <c r="AO520" s="179"/>
      <c r="AP520" s="549"/>
      <c r="AQ520" s="181"/>
      <c r="AR520" s="181"/>
      <c r="AS520" s="181"/>
      <c r="AT520" s="528"/>
      <c r="AU520" s="528"/>
      <c r="AV520" s="528"/>
      <c r="AW520" s="528"/>
      <c r="AX520" s="528"/>
      <c r="AY520" s="528"/>
      <c r="AZ520" s="528"/>
      <c r="BA520" s="528"/>
      <c r="BB520" s="528"/>
      <c r="BC520" s="528"/>
      <c r="BD520" s="528"/>
      <c r="BE520" s="528"/>
      <c r="BF520" s="528"/>
      <c r="BG520" s="528"/>
      <c r="BH520" s="528"/>
    </row>
    <row r="521">
      <c r="A521" s="179"/>
      <c r="B521" s="549"/>
      <c r="C521" s="181"/>
      <c r="D521" s="181"/>
      <c r="E521" s="181"/>
      <c r="F521" s="179"/>
      <c r="G521" s="549"/>
      <c r="H521" s="181"/>
      <c r="I521" s="181"/>
      <c r="J521" s="181"/>
      <c r="K521" s="156"/>
      <c r="L521" s="549"/>
      <c r="M521" s="181"/>
      <c r="N521" s="181"/>
      <c r="O521" s="181"/>
      <c r="P521" s="156"/>
      <c r="Q521" s="562"/>
      <c r="R521" s="181"/>
      <c r="S521" s="181"/>
      <c r="T521" s="181"/>
      <c r="U521" s="179"/>
      <c r="V521" s="549"/>
      <c r="W521" s="181"/>
      <c r="X521" s="181"/>
      <c r="Y521" s="181"/>
      <c r="Z521" s="179"/>
      <c r="AA521" s="549"/>
      <c r="AB521" s="181"/>
      <c r="AC521" s="181"/>
      <c r="AD521" s="181"/>
      <c r="AE521" s="179"/>
      <c r="AF521" s="549"/>
      <c r="AG521" s="181"/>
      <c r="AH521" s="181"/>
      <c r="AI521" s="181"/>
      <c r="AJ521" s="179"/>
      <c r="AK521" s="549"/>
      <c r="AL521" s="181"/>
      <c r="AM521" s="181"/>
      <c r="AN521" s="181"/>
      <c r="AO521" s="179"/>
      <c r="AP521" s="549"/>
      <c r="AQ521" s="181"/>
      <c r="AR521" s="181"/>
      <c r="AS521" s="181"/>
      <c r="AT521" s="528"/>
      <c r="AU521" s="528"/>
      <c r="AV521" s="528"/>
      <c r="AW521" s="528"/>
      <c r="AX521" s="528"/>
      <c r="AY521" s="528"/>
      <c r="AZ521" s="528"/>
      <c r="BA521" s="528"/>
      <c r="BB521" s="528"/>
      <c r="BC521" s="528"/>
      <c r="BD521" s="528"/>
      <c r="BE521" s="528"/>
      <c r="BF521" s="528"/>
      <c r="BG521" s="528"/>
      <c r="BH521" s="528"/>
    </row>
    <row r="522">
      <c r="A522" s="179"/>
      <c r="B522" s="549"/>
      <c r="C522" s="181"/>
      <c r="D522" s="181"/>
      <c r="E522" s="181"/>
      <c r="F522" s="179"/>
      <c r="G522" s="549"/>
      <c r="H522" s="181"/>
      <c r="I522" s="181"/>
      <c r="J522" s="181"/>
      <c r="K522" s="156"/>
      <c r="L522" s="549"/>
      <c r="M522" s="181"/>
      <c r="N522" s="181"/>
      <c r="O522" s="181"/>
      <c r="P522" s="156"/>
      <c r="Q522" s="562"/>
      <c r="R522" s="181"/>
      <c r="S522" s="181"/>
      <c r="T522" s="181"/>
      <c r="U522" s="179"/>
      <c r="V522" s="549"/>
      <c r="W522" s="181"/>
      <c r="X522" s="181"/>
      <c r="Y522" s="181"/>
      <c r="Z522" s="179"/>
      <c r="AA522" s="549"/>
      <c r="AB522" s="181"/>
      <c r="AC522" s="181"/>
      <c r="AD522" s="181"/>
      <c r="AE522" s="179"/>
      <c r="AF522" s="549"/>
      <c r="AG522" s="181"/>
      <c r="AH522" s="181"/>
      <c r="AI522" s="181"/>
      <c r="AJ522" s="179"/>
      <c r="AK522" s="549"/>
      <c r="AL522" s="181"/>
      <c r="AM522" s="181"/>
      <c r="AN522" s="181"/>
      <c r="AO522" s="179"/>
      <c r="AP522" s="549"/>
      <c r="AQ522" s="181"/>
      <c r="AR522" s="181"/>
      <c r="AS522" s="181"/>
      <c r="AT522" s="528"/>
      <c r="AU522" s="528"/>
      <c r="AV522" s="528"/>
      <c r="AW522" s="528"/>
      <c r="AX522" s="528"/>
      <c r="AY522" s="528"/>
      <c r="AZ522" s="528"/>
      <c r="BA522" s="528"/>
      <c r="BB522" s="528"/>
      <c r="BC522" s="528"/>
      <c r="BD522" s="528"/>
      <c r="BE522" s="528"/>
      <c r="BF522" s="528"/>
      <c r="BG522" s="528"/>
      <c r="BH522" s="528"/>
    </row>
    <row r="523">
      <c r="A523" s="179"/>
      <c r="B523" s="549"/>
      <c r="C523" s="181"/>
      <c r="D523" s="181"/>
      <c r="E523" s="181"/>
      <c r="F523" s="179"/>
      <c r="G523" s="549"/>
      <c r="H523" s="181"/>
      <c r="I523" s="181"/>
      <c r="J523" s="181"/>
      <c r="K523" s="156"/>
      <c r="L523" s="549"/>
      <c r="M523" s="181"/>
      <c r="N523" s="181"/>
      <c r="O523" s="181"/>
      <c r="P523" s="156"/>
      <c r="Q523" s="562"/>
      <c r="R523" s="181"/>
      <c r="S523" s="181"/>
      <c r="T523" s="181"/>
      <c r="U523" s="179"/>
      <c r="V523" s="549"/>
      <c r="W523" s="181"/>
      <c r="X523" s="181"/>
      <c r="Y523" s="181"/>
      <c r="Z523" s="179"/>
      <c r="AA523" s="549"/>
      <c r="AB523" s="181"/>
      <c r="AC523" s="181"/>
      <c r="AD523" s="181"/>
      <c r="AE523" s="179"/>
      <c r="AF523" s="549"/>
      <c r="AG523" s="181"/>
      <c r="AH523" s="181"/>
      <c r="AI523" s="181"/>
      <c r="AJ523" s="179"/>
      <c r="AK523" s="549"/>
      <c r="AL523" s="181"/>
      <c r="AM523" s="181"/>
      <c r="AN523" s="181"/>
      <c r="AO523" s="179"/>
      <c r="AP523" s="549"/>
      <c r="AQ523" s="181"/>
      <c r="AR523" s="181"/>
      <c r="AS523" s="181"/>
      <c r="AT523" s="528"/>
      <c r="AU523" s="528"/>
      <c r="AV523" s="528"/>
      <c r="AW523" s="528"/>
      <c r="AX523" s="528"/>
      <c r="AY523" s="528"/>
      <c r="AZ523" s="528"/>
      <c r="BA523" s="528"/>
      <c r="BB523" s="528"/>
      <c r="BC523" s="528"/>
      <c r="BD523" s="528"/>
      <c r="BE523" s="528"/>
      <c r="BF523" s="528"/>
      <c r="BG523" s="528"/>
      <c r="BH523" s="528"/>
    </row>
    <row r="524">
      <c r="A524" s="179"/>
      <c r="B524" s="549"/>
      <c r="C524" s="181"/>
      <c r="D524" s="181"/>
      <c r="E524" s="181"/>
      <c r="F524" s="179"/>
      <c r="G524" s="549"/>
      <c r="H524" s="181"/>
      <c r="I524" s="181"/>
      <c r="J524" s="181"/>
      <c r="K524" s="156"/>
      <c r="L524" s="549"/>
      <c r="M524" s="181"/>
      <c r="N524" s="181"/>
      <c r="O524" s="181"/>
      <c r="P524" s="156"/>
      <c r="Q524" s="562"/>
      <c r="R524" s="181"/>
      <c r="S524" s="181"/>
      <c r="T524" s="181"/>
      <c r="U524" s="179"/>
      <c r="V524" s="549"/>
      <c r="W524" s="181"/>
      <c r="X524" s="181"/>
      <c r="Y524" s="181"/>
      <c r="Z524" s="179"/>
      <c r="AA524" s="549"/>
      <c r="AB524" s="181"/>
      <c r="AC524" s="181"/>
      <c r="AD524" s="181"/>
      <c r="AE524" s="179"/>
      <c r="AF524" s="549"/>
      <c r="AG524" s="181"/>
      <c r="AH524" s="181"/>
      <c r="AI524" s="181"/>
      <c r="AJ524" s="179"/>
      <c r="AK524" s="549"/>
      <c r="AL524" s="181"/>
      <c r="AM524" s="181"/>
      <c r="AN524" s="181"/>
      <c r="AO524" s="179"/>
      <c r="AP524" s="549"/>
      <c r="AQ524" s="181"/>
      <c r="AR524" s="181"/>
      <c r="AS524" s="181"/>
      <c r="AT524" s="528"/>
      <c r="AU524" s="528"/>
      <c r="AV524" s="528"/>
      <c r="AW524" s="528"/>
      <c r="AX524" s="528"/>
      <c r="AY524" s="528"/>
      <c r="AZ524" s="528"/>
      <c r="BA524" s="528"/>
      <c r="BB524" s="528"/>
      <c r="BC524" s="528"/>
      <c r="BD524" s="528"/>
      <c r="BE524" s="528"/>
      <c r="BF524" s="528"/>
      <c r="BG524" s="528"/>
      <c r="BH524" s="528"/>
    </row>
    <row r="525">
      <c r="A525" s="179"/>
      <c r="B525" s="549"/>
      <c r="C525" s="181"/>
      <c r="D525" s="181"/>
      <c r="E525" s="181"/>
      <c r="F525" s="179"/>
      <c r="G525" s="549"/>
      <c r="H525" s="181"/>
      <c r="I525" s="181"/>
      <c r="J525" s="181"/>
      <c r="K525" s="156"/>
      <c r="L525" s="549"/>
      <c r="M525" s="181"/>
      <c r="N525" s="181"/>
      <c r="O525" s="181"/>
      <c r="P525" s="156"/>
      <c r="Q525" s="562"/>
      <c r="R525" s="181"/>
      <c r="S525" s="181"/>
      <c r="T525" s="181"/>
      <c r="U525" s="179"/>
      <c r="V525" s="549"/>
      <c r="W525" s="181"/>
      <c r="X525" s="181"/>
      <c r="Y525" s="181"/>
      <c r="Z525" s="179"/>
      <c r="AA525" s="549"/>
      <c r="AB525" s="181"/>
      <c r="AC525" s="181"/>
      <c r="AD525" s="181"/>
      <c r="AE525" s="179"/>
      <c r="AF525" s="549"/>
      <c r="AG525" s="181"/>
      <c r="AH525" s="181"/>
      <c r="AI525" s="181"/>
      <c r="AJ525" s="179"/>
      <c r="AK525" s="549"/>
      <c r="AL525" s="181"/>
      <c r="AM525" s="181"/>
      <c r="AN525" s="181"/>
      <c r="AO525" s="179"/>
      <c r="AP525" s="549"/>
      <c r="AQ525" s="181"/>
      <c r="AR525" s="181"/>
      <c r="AS525" s="181"/>
      <c r="AT525" s="528"/>
      <c r="AU525" s="528"/>
      <c r="AV525" s="528"/>
      <c r="AW525" s="528"/>
      <c r="AX525" s="528"/>
      <c r="AY525" s="528"/>
      <c r="AZ525" s="528"/>
      <c r="BA525" s="528"/>
      <c r="BB525" s="528"/>
      <c r="BC525" s="528"/>
      <c r="BD525" s="528"/>
      <c r="BE525" s="528"/>
      <c r="BF525" s="528"/>
      <c r="BG525" s="528"/>
      <c r="BH525" s="528"/>
    </row>
    <row r="526">
      <c r="A526" s="179"/>
      <c r="B526" s="549"/>
      <c r="C526" s="181"/>
      <c r="D526" s="181"/>
      <c r="E526" s="181"/>
      <c r="F526" s="179"/>
      <c r="G526" s="549"/>
      <c r="H526" s="181"/>
      <c r="I526" s="181"/>
      <c r="J526" s="181"/>
      <c r="K526" s="156"/>
      <c r="L526" s="549"/>
      <c r="M526" s="181"/>
      <c r="N526" s="181"/>
      <c r="O526" s="181"/>
      <c r="P526" s="156"/>
      <c r="Q526" s="562"/>
      <c r="R526" s="181"/>
      <c r="S526" s="181"/>
      <c r="T526" s="181"/>
      <c r="U526" s="179"/>
      <c r="V526" s="549"/>
      <c r="W526" s="181"/>
      <c r="X526" s="181"/>
      <c r="Y526" s="181"/>
      <c r="Z526" s="179"/>
      <c r="AA526" s="549"/>
      <c r="AB526" s="181"/>
      <c r="AC526" s="181"/>
      <c r="AD526" s="181"/>
      <c r="AE526" s="179"/>
      <c r="AF526" s="549"/>
      <c r="AG526" s="181"/>
      <c r="AH526" s="181"/>
      <c r="AI526" s="181"/>
      <c r="AJ526" s="179"/>
      <c r="AK526" s="549"/>
      <c r="AL526" s="181"/>
      <c r="AM526" s="181"/>
      <c r="AN526" s="181"/>
      <c r="AO526" s="179"/>
      <c r="AP526" s="549"/>
      <c r="AQ526" s="181"/>
      <c r="AR526" s="181"/>
      <c r="AS526" s="181"/>
      <c r="AT526" s="528"/>
      <c r="AU526" s="528"/>
      <c r="AV526" s="528"/>
      <c r="AW526" s="528"/>
      <c r="AX526" s="528"/>
      <c r="AY526" s="528"/>
      <c r="AZ526" s="528"/>
      <c r="BA526" s="528"/>
      <c r="BB526" s="528"/>
      <c r="BC526" s="528"/>
      <c r="BD526" s="528"/>
      <c r="BE526" s="528"/>
      <c r="BF526" s="528"/>
      <c r="BG526" s="528"/>
      <c r="BH526" s="528"/>
    </row>
    <row r="527">
      <c r="A527" s="179"/>
      <c r="B527" s="549"/>
      <c r="C527" s="181"/>
      <c r="D527" s="181"/>
      <c r="E527" s="181"/>
      <c r="F527" s="179"/>
      <c r="G527" s="549"/>
      <c r="H527" s="181"/>
      <c r="I527" s="181"/>
      <c r="J527" s="181"/>
      <c r="K527" s="156"/>
      <c r="L527" s="549"/>
      <c r="M527" s="181"/>
      <c r="N527" s="181"/>
      <c r="O527" s="181"/>
      <c r="P527" s="156"/>
      <c r="Q527" s="562"/>
      <c r="R527" s="181"/>
      <c r="S527" s="181"/>
      <c r="T527" s="181"/>
      <c r="U527" s="179"/>
      <c r="V527" s="549"/>
      <c r="W527" s="181"/>
      <c r="X527" s="181"/>
      <c r="Y527" s="181"/>
      <c r="Z527" s="179"/>
      <c r="AA527" s="549"/>
      <c r="AB527" s="181"/>
      <c r="AC527" s="181"/>
      <c r="AD527" s="181"/>
      <c r="AE527" s="179"/>
      <c r="AF527" s="549"/>
      <c r="AG527" s="181"/>
      <c r="AH527" s="181"/>
      <c r="AI527" s="181"/>
      <c r="AJ527" s="179"/>
      <c r="AK527" s="549"/>
      <c r="AL527" s="181"/>
      <c r="AM527" s="181"/>
      <c r="AN527" s="181"/>
      <c r="AO527" s="179"/>
      <c r="AP527" s="549"/>
      <c r="AQ527" s="181"/>
      <c r="AR527" s="181"/>
      <c r="AS527" s="181"/>
      <c r="AT527" s="528"/>
      <c r="AU527" s="528"/>
      <c r="AV527" s="528"/>
      <c r="AW527" s="528"/>
      <c r="AX527" s="528"/>
      <c r="AY527" s="528"/>
      <c r="AZ527" s="528"/>
      <c r="BA527" s="528"/>
      <c r="BB527" s="528"/>
      <c r="BC527" s="528"/>
      <c r="BD527" s="528"/>
      <c r="BE527" s="528"/>
      <c r="BF527" s="528"/>
      <c r="BG527" s="528"/>
      <c r="BH527" s="528"/>
    </row>
    <row r="528">
      <c r="A528" s="179"/>
      <c r="B528" s="549"/>
      <c r="C528" s="181"/>
      <c r="D528" s="181"/>
      <c r="E528" s="181"/>
      <c r="F528" s="179"/>
      <c r="G528" s="549"/>
      <c r="H528" s="181"/>
      <c r="I528" s="181"/>
      <c r="J528" s="181"/>
      <c r="K528" s="156"/>
      <c r="L528" s="549"/>
      <c r="M528" s="181"/>
      <c r="N528" s="181"/>
      <c r="O528" s="181"/>
      <c r="P528" s="156"/>
      <c r="Q528" s="562"/>
      <c r="R528" s="181"/>
      <c r="S528" s="181"/>
      <c r="T528" s="181"/>
      <c r="U528" s="179"/>
      <c r="V528" s="549"/>
      <c r="W528" s="181"/>
      <c r="X528" s="181"/>
      <c r="Y528" s="181"/>
      <c r="Z528" s="179"/>
      <c r="AA528" s="549"/>
      <c r="AB528" s="181"/>
      <c r="AC528" s="181"/>
      <c r="AD528" s="181"/>
      <c r="AE528" s="179"/>
      <c r="AF528" s="549"/>
      <c r="AG528" s="181"/>
      <c r="AH528" s="181"/>
      <c r="AI528" s="181"/>
      <c r="AJ528" s="179"/>
      <c r="AK528" s="549"/>
      <c r="AL528" s="181"/>
      <c r="AM528" s="181"/>
      <c r="AN528" s="181"/>
      <c r="AO528" s="179"/>
      <c r="AP528" s="549"/>
      <c r="AQ528" s="181"/>
      <c r="AR528" s="181"/>
      <c r="AS528" s="181"/>
      <c r="AT528" s="528"/>
      <c r="AU528" s="528"/>
      <c r="AV528" s="528"/>
      <c r="AW528" s="528"/>
      <c r="AX528" s="528"/>
      <c r="AY528" s="528"/>
      <c r="AZ528" s="528"/>
      <c r="BA528" s="528"/>
      <c r="BB528" s="528"/>
      <c r="BC528" s="528"/>
      <c r="BD528" s="528"/>
      <c r="BE528" s="528"/>
      <c r="BF528" s="528"/>
      <c r="BG528" s="528"/>
      <c r="BH528" s="528"/>
    </row>
    <row r="529">
      <c r="A529" s="179"/>
      <c r="B529" s="549"/>
      <c r="C529" s="181"/>
      <c r="D529" s="181"/>
      <c r="E529" s="181"/>
      <c r="F529" s="179"/>
      <c r="G529" s="549"/>
      <c r="H529" s="181"/>
      <c r="I529" s="181"/>
      <c r="J529" s="181"/>
      <c r="K529" s="156"/>
      <c r="L529" s="549"/>
      <c r="M529" s="181"/>
      <c r="N529" s="181"/>
      <c r="O529" s="181"/>
      <c r="P529" s="156"/>
      <c r="Q529" s="562"/>
      <c r="R529" s="181"/>
      <c r="S529" s="181"/>
      <c r="T529" s="181"/>
      <c r="U529" s="179"/>
      <c r="V529" s="549"/>
      <c r="W529" s="181"/>
      <c r="X529" s="181"/>
      <c r="Y529" s="181"/>
      <c r="Z529" s="179"/>
      <c r="AA529" s="549"/>
      <c r="AB529" s="181"/>
      <c r="AC529" s="181"/>
      <c r="AD529" s="181"/>
      <c r="AE529" s="179"/>
      <c r="AF529" s="549"/>
      <c r="AG529" s="181"/>
      <c r="AH529" s="181"/>
      <c r="AI529" s="181"/>
      <c r="AJ529" s="179"/>
      <c r="AK529" s="549"/>
      <c r="AL529" s="181"/>
      <c r="AM529" s="181"/>
      <c r="AN529" s="181"/>
      <c r="AO529" s="179"/>
      <c r="AP529" s="549"/>
      <c r="AQ529" s="181"/>
      <c r="AR529" s="181"/>
      <c r="AS529" s="181"/>
      <c r="AT529" s="528"/>
      <c r="AU529" s="528"/>
      <c r="AV529" s="528"/>
      <c r="AW529" s="528"/>
      <c r="AX529" s="528"/>
      <c r="AY529" s="528"/>
      <c r="AZ529" s="528"/>
      <c r="BA529" s="528"/>
      <c r="BB529" s="528"/>
      <c r="BC529" s="528"/>
      <c r="BD529" s="528"/>
      <c r="BE529" s="528"/>
      <c r="BF529" s="528"/>
      <c r="BG529" s="528"/>
      <c r="BH529" s="528"/>
    </row>
    <row r="530">
      <c r="A530" s="179"/>
      <c r="B530" s="549"/>
      <c r="C530" s="181"/>
      <c r="D530" s="181"/>
      <c r="E530" s="181"/>
      <c r="F530" s="179"/>
      <c r="G530" s="549"/>
      <c r="H530" s="181"/>
      <c r="I530" s="181"/>
      <c r="J530" s="181"/>
      <c r="K530" s="156"/>
      <c r="L530" s="549"/>
      <c r="M530" s="181"/>
      <c r="N530" s="181"/>
      <c r="O530" s="181"/>
      <c r="P530" s="156"/>
      <c r="Q530" s="562"/>
      <c r="R530" s="181"/>
      <c r="S530" s="181"/>
      <c r="T530" s="181"/>
      <c r="U530" s="179"/>
      <c r="V530" s="549"/>
      <c r="W530" s="181"/>
      <c r="X530" s="181"/>
      <c r="Y530" s="181"/>
      <c r="Z530" s="179"/>
      <c r="AA530" s="549"/>
      <c r="AB530" s="181"/>
      <c r="AC530" s="181"/>
      <c r="AD530" s="181"/>
      <c r="AE530" s="179"/>
      <c r="AF530" s="549"/>
      <c r="AG530" s="181"/>
      <c r="AH530" s="181"/>
      <c r="AI530" s="181"/>
      <c r="AJ530" s="179"/>
      <c r="AK530" s="549"/>
      <c r="AL530" s="181"/>
      <c r="AM530" s="181"/>
      <c r="AN530" s="181"/>
      <c r="AO530" s="179"/>
      <c r="AP530" s="549"/>
      <c r="AQ530" s="181"/>
      <c r="AR530" s="181"/>
      <c r="AS530" s="181"/>
      <c r="AT530" s="528"/>
      <c r="AU530" s="528"/>
      <c r="AV530" s="528"/>
      <c r="AW530" s="528"/>
      <c r="AX530" s="528"/>
      <c r="AY530" s="528"/>
      <c r="AZ530" s="528"/>
      <c r="BA530" s="528"/>
      <c r="BB530" s="528"/>
      <c r="BC530" s="528"/>
      <c r="BD530" s="528"/>
      <c r="BE530" s="528"/>
      <c r="BF530" s="528"/>
      <c r="BG530" s="528"/>
      <c r="BH530" s="528"/>
    </row>
    <row r="531">
      <c r="A531" s="179"/>
      <c r="B531" s="549"/>
      <c r="C531" s="181"/>
      <c r="D531" s="181"/>
      <c r="E531" s="181"/>
      <c r="F531" s="179"/>
      <c r="G531" s="549"/>
      <c r="H531" s="181"/>
      <c r="I531" s="181"/>
      <c r="J531" s="181"/>
      <c r="K531" s="156"/>
      <c r="L531" s="549"/>
      <c r="M531" s="181"/>
      <c r="N531" s="181"/>
      <c r="O531" s="181"/>
      <c r="P531" s="156"/>
      <c r="Q531" s="562"/>
      <c r="R531" s="181"/>
      <c r="S531" s="181"/>
      <c r="T531" s="181"/>
      <c r="U531" s="179"/>
      <c r="V531" s="549"/>
      <c r="W531" s="181"/>
      <c r="X531" s="181"/>
      <c r="Y531" s="181"/>
      <c r="Z531" s="179"/>
      <c r="AA531" s="549"/>
      <c r="AB531" s="181"/>
      <c r="AC531" s="181"/>
      <c r="AD531" s="181"/>
      <c r="AE531" s="179"/>
      <c r="AF531" s="549"/>
      <c r="AG531" s="181"/>
      <c r="AH531" s="181"/>
      <c r="AI531" s="181"/>
      <c r="AJ531" s="179"/>
      <c r="AK531" s="549"/>
      <c r="AL531" s="181"/>
      <c r="AM531" s="181"/>
      <c r="AN531" s="181"/>
      <c r="AO531" s="179"/>
      <c r="AP531" s="549"/>
      <c r="AQ531" s="181"/>
      <c r="AR531" s="181"/>
      <c r="AS531" s="181"/>
      <c r="AT531" s="528"/>
      <c r="AU531" s="528"/>
      <c r="AV531" s="528"/>
      <c r="AW531" s="528"/>
      <c r="AX531" s="528"/>
      <c r="AY531" s="528"/>
      <c r="AZ531" s="528"/>
      <c r="BA531" s="528"/>
      <c r="BB531" s="528"/>
      <c r="BC531" s="528"/>
      <c r="BD531" s="528"/>
      <c r="BE531" s="528"/>
      <c r="BF531" s="528"/>
      <c r="BG531" s="528"/>
      <c r="BH531" s="528"/>
    </row>
    <row r="532">
      <c r="A532" s="179"/>
      <c r="B532" s="549"/>
      <c r="C532" s="181"/>
      <c r="D532" s="181"/>
      <c r="E532" s="181"/>
      <c r="F532" s="179"/>
      <c r="G532" s="549"/>
      <c r="H532" s="181"/>
      <c r="I532" s="181"/>
      <c r="J532" s="181"/>
      <c r="K532" s="156"/>
      <c r="L532" s="549"/>
      <c r="M532" s="181"/>
      <c r="N532" s="181"/>
      <c r="O532" s="181"/>
      <c r="P532" s="156"/>
      <c r="Q532" s="562"/>
      <c r="R532" s="181"/>
      <c r="S532" s="181"/>
      <c r="T532" s="181"/>
      <c r="U532" s="179"/>
      <c r="V532" s="549"/>
      <c r="W532" s="181"/>
      <c r="X532" s="181"/>
      <c r="Y532" s="181"/>
      <c r="Z532" s="179"/>
      <c r="AA532" s="549"/>
      <c r="AB532" s="181"/>
      <c r="AC532" s="181"/>
      <c r="AD532" s="181"/>
      <c r="AE532" s="179"/>
      <c r="AF532" s="549"/>
      <c r="AG532" s="181"/>
      <c r="AH532" s="181"/>
      <c r="AI532" s="181"/>
      <c r="AJ532" s="179"/>
      <c r="AK532" s="549"/>
      <c r="AL532" s="181"/>
      <c r="AM532" s="181"/>
      <c r="AN532" s="181"/>
      <c r="AO532" s="179"/>
      <c r="AP532" s="549"/>
      <c r="AQ532" s="181"/>
      <c r="AR532" s="181"/>
      <c r="AS532" s="181"/>
      <c r="AT532" s="528"/>
      <c r="AU532" s="528"/>
      <c r="AV532" s="528"/>
      <c r="AW532" s="528"/>
      <c r="AX532" s="528"/>
      <c r="AY532" s="528"/>
      <c r="AZ532" s="528"/>
      <c r="BA532" s="528"/>
      <c r="BB532" s="528"/>
      <c r="BC532" s="528"/>
      <c r="BD532" s="528"/>
      <c r="BE532" s="528"/>
      <c r="BF532" s="528"/>
      <c r="BG532" s="528"/>
      <c r="BH532" s="528"/>
    </row>
    <row r="533">
      <c r="A533" s="179"/>
      <c r="B533" s="549"/>
      <c r="C533" s="181"/>
      <c r="D533" s="181"/>
      <c r="E533" s="181"/>
      <c r="F533" s="179"/>
      <c r="G533" s="549"/>
      <c r="H533" s="181"/>
      <c r="I533" s="181"/>
      <c r="J533" s="181"/>
      <c r="K533" s="156"/>
      <c r="L533" s="549"/>
      <c r="M533" s="181"/>
      <c r="N533" s="181"/>
      <c r="O533" s="181"/>
      <c r="P533" s="156"/>
      <c r="Q533" s="562"/>
      <c r="R533" s="181"/>
      <c r="S533" s="181"/>
      <c r="T533" s="181"/>
      <c r="U533" s="179"/>
      <c r="V533" s="549"/>
      <c r="W533" s="181"/>
      <c r="X533" s="181"/>
      <c r="Y533" s="181"/>
      <c r="Z533" s="179"/>
      <c r="AA533" s="549"/>
      <c r="AB533" s="181"/>
      <c r="AC533" s="181"/>
      <c r="AD533" s="181"/>
      <c r="AE533" s="179"/>
      <c r="AF533" s="549"/>
      <c r="AG533" s="181"/>
      <c r="AH533" s="181"/>
      <c r="AI533" s="181"/>
      <c r="AJ533" s="179"/>
      <c r="AK533" s="549"/>
      <c r="AL533" s="181"/>
      <c r="AM533" s="181"/>
      <c r="AN533" s="181"/>
      <c r="AO533" s="179"/>
      <c r="AP533" s="549"/>
      <c r="AQ533" s="181"/>
      <c r="AR533" s="181"/>
      <c r="AS533" s="181"/>
      <c r="AT533" s="528"/>
      <c r="AU533" s="528"/>
      <c r="AV533" s="528"/>
      <c r="AW533" s="528"/>
      <c r="AX533" s="528"/>
      <c r="AY533" s="528"/>
      <c r="AZ533" s="528"/>
      <c r="BA533" s="528"/>
      <c r="BB533" s="528"/>
      <c r="BC533" s="528"/>
      <c r="BD533" s="528"/>
      <c r="BE533" s="528"/>
      <c r="BF533" s="528"/>
      <c r="BG533" s="528"/>
      <c r="BH533" s="528"/>
    </row>
    <row r="534">
      <c r="A534" s="179"/>
      <c r="B534" s="549"/>
      <c r="C534" s="181"/>
      <c r="D534" s="181"/>
      <c r="E534" s="181"/>
      <c r="F534" s="179"/>
      <c r="G534" s="549"/>
      <c r="H534" s="181"/>
      <c r="I534" s="181"/>
      <c r="J534" s="181"/>
      <c r="K534" s="156"/>
      <c r="L534" s="549"/>
      <c r="M534" s="181"/>
      <c r="N534" s="181"/>
      <c r="O534" s="181"/>
      <c r="P534" s="156"/>
      <c r="Q534" s="562"/>
      <c r="R534" s="181"/>
      <c r="S534" s="181"/>
      <c r="T534" s="181"/>
      <c r="U534" s="179"/>
      <c r="V534" s="549"/>
      <c r="W534" s="181"/>
      <c r="X534" s="181"/>
      <c r="Y534" s="181"/>
      <c r="Z534" s="179"/>
      <c r="AA534" s="549"/>
      <c r="AB534" s="181"/>
      <c r="AC534" s="181"/>
      <c r="AD534" s="181"/>
      <c r="AE534" s="179"/>
      <c r="AF534" s="549"/>
      <c r="AG534" s="181"/>
      <c r="AH534" s="181"/>
      <c r="AI534" s="181"/>
      <c r="AJ534" s="179"/>
      <c r="AK534" s="549"/>
      <c r="AL534" s="181"/>
      <c r="AM534" s="181"/>
      <c r="AN534" s="181"/>
      <c r="AO534" s="179"/>
      <c r="AP534" s="549"/>
      <c r="AQ534" s="181"/>
      <c r="AR534" s="181"/>
      <c r="AS534" s="181"/>
      <c r="AT534" s="528"/>
      <c r="AU534" s="528"/>
      <c r="AV534" s="528"/>
      <c r="AW534" s="528"/>
      <c r="AX534" s="528"/>
      <c r="AY534" s="528"/>
      <c r="AZ534" s="528"/>
      <c r="BA534" s="528"/>
      <c r="BB534" s="528"/>
      <c r="BC534" s="528"/>
      <c r="BD534" s="528"/>
      <c r="BE534" s="528"/>
      <c r="BF534" s="528"/>
      <c r="BG534" s="528"/>
      <c r="BH534" s="528"/>
    </row>
    <row r="535">
      <c r="A535" s="179"/>
      <c r="B535" s="549"/>
      <c r="C535" s="181"/>
      <c r="D535" s="181"/>
      <c r="E535" s="181"/>
      <c r="F535" s="179"/>
      <c r="G535" s="549"/>
      <c r="H535" s="181"/>
      <c r="I535" s="181"/>
      <c r="J535" s="181"/>
      <c r="K535" s="156"/>
      <c r="L535" s="549"/>
      <c r="M535" s="181"/>
      <c r="N535" s="181"/>
      <c r="O535" s="181"/>
      <c r="P535" s="156"/>
      <c r="Q535" s="562"/>
      <c r="R535" s="181"/>
      <c r="S535" s="181"/>
      <c r="T535" s="181"/>
      <c r="U535" s="179"/>
      <c r="V535" s="549"/>
      <c r="W535" s="181"/>
      <c r="X535" s="181"/>
      <c r="Y535" s="181"/>
      <c r="Z535" s="179"/>
      <c r="AA535" s="549"/>
      <c r="AB535" s="181"/>
      <c r="AC535" s="181"/>
      <c r="AD535" s="181"/>
      <c r="AE535" s="179"/>
      <c r="AF535" s="549"/>
      <c r="AG535" s="181"/>
      <c r="AH535" s="181"/>
      <c r="AI535" s="181"/>
      <c r="AJ535" s="179"/>
      <c r="AK535" s="549"/>
      <c r="AL535" s="181"/>
      <c r="AM535" s="181"/>
      <c r="AN535" s="181"/>
      <c r="AO535" s="179"/>
      <c r="AP535" s="549"/>
      <c r="AQ535" s="181"/>
      <c r="AR535" s="181"/>
      <c r="AS535" s="181"/>
      <c r="AT535" s="528"/>
      <c r="AU535" s="528"/>
      <c r="AV535" s="528"/>
      <c r="AW535" s="528"/>
      <c r="AX535" s="528"/>
      <c r="AY535" s="528"/>
      <c r="AZ535" s="528"/>
      <c r="BA535" s="528"/>
      <c r="BB535" s="528"/>
      <c r="BC535" s="528"/>
      <c r="BD535" s="528"/>
      <c r="BE535" s="528"/>
      <c r="BF535" s="528"/>
      <c r="BG535" s="528"/>
      <c r="BH535" s="528"/>
    </row>
    <row r="536">
      <c r="A536" s="179"/>
      <c r="B536" s="549"/>
      <c r="C536" s="181"/>
      <c r="D536" s="181"/>
      <c r="E536" s="181"/>
      <c r="F536" s="179"/>
      <c r="G536" s="549"/>
      <c r="H536" s="181"/>
      <c r="I536" s="181"/>
      <c r="J536" s="181"/>
      <c r="K536" s="156"/>
      <c r="L536" s="549"/>
      <c r="M536" s="181"/>
      <c r="N536" s="181"/>
      <c r="O536" s="181"/>
      <c r="P536" s="156"/>
      <c r="Q536" s="562"/>
      <c r="R536" s="181"/>
      <c r="S536" s="181"/>
      <c r="T536" s="181"/>
      <c r="U536" s="179"/>
      <c r="V536" s="549"/>
      <c r="W536" s="181"/>
      <c r="X536" s="181"/>
      <c r="Y536" s="181"/>
      <c r="Z536" s="179"/>
      <c r="AA536" s="549"/>
      <c r="AB536" s="181"/>
      <c r="AC536" s="181"/>
      <c r="AD536" s="181"/>
      <c r="AE536" s="179"/>
      <c r="AF536" s="549"/>
      <c r="AG536" s="181"/>
      <c r="AH536" s="181"/>
      <c r="AI536" s="181"/>
      <c r="AJ536" s="179"/>
      <c r="AK536" s="549"/>
      <c r="AL536" s="181"/>
      <c r="AM536" s="181"/>
      <c r="AN536" s="181"/>
      <c r="AO536" s="179"/>
      <c r="AP536" s="549"/>
      <c r="AQ536" s="181"/>
      <c r="AR536" s="181"/>
      <c r="AS536" s="181"/>
      <c r="AT536" s="528"/>
      <c r="AU536" s="528"/>
      <c r="AV536" s="528"/>
      <c r="AW536" s="528"/>
      <c r="AX536" s="528"/>
      <c r="AY536" s="528"/>
      <c r="AZ536" s="528"/>
      <c r="BA536" s="528"/>
      <c r="BB536" s="528"/>
      <c r="BC536" s="528"/>
      <c r="BD536" s="528"/>
      <c r="BE536" s="528"/>
      <c r="BF536" s="528"/>
      <c r="BG536" s="528"/>
      <c r="BH536" s="528"/>
    </row>
    <row r="537">
      <c r="A537" s="179"/>
      <c r="B537" s="549"/>
      <c r="C537" s="181"/>
      <c r="D537" s="181"/>
      <c r="E537" s="181"/>
      <c r="F537" s="179"/>
      <c r="G537" s="549"/>
      <c r="H537" s="181"/>
      <c r="I537" s="181"/>
      <c r="J537" s="181"/>
      <c r="K537" s="156"/>
      <c r="L537" s="549"/>
      <c r="M537" s="181"/>
      <c r="N537" s="181"/>
      <c r="O537" s="181"/>
      <c r="P537" s="156"/>
      <c r="Q537" s="562"/>
      <c r="R537" s="181"/>
      <c r="S537" s="181"/>
      <c r="T537" s="181"/>
      <c r="U537" s="179"/>
      <c r="V537" s="549"/>
      <c r="W537" s="181"/>
      <c r="X537" s="181"/>
      <c r="Y537" s="181"/>
      <c r="Z537" s="179"/>
      <c r="AA537" s="549"/>
      <c r="AB537" s="181"/>
      <c r="AC537" s="181"/>
      <c r="AD537" s="181"/>
      <c r="AE537" s="179"/>
      <c r="AF537" s="549"/>
      <c r="AG537" s="181"/>
      <c r="AH537" s="181"/>
      <c r="AI537" s="181"/>
      <c r="AJ537" s="179"/>
      <c r="AK537" s="549"/>
      <c r="AL537" s="181"/>
      <c r="AM537" s="181"/>
      <c r="AN537" s="181"/>
      <c r="AO537" s="179"/>
      <c r="AP537" s="549"/>
      <c r="AQ537" s="181"/>
      <c r="AR537" s="181"/>
      <c r="AS537" s="181"/>
      <c r="AT537" s="528"/>
      <c r="AU537" s="528"/>
      <c r="AV537" s="528"/>
      <c r="AW537" s="528"/>
      <c r="AX537" s="528"/>
      <c r="AY537" s="528"/>
      <c r="AZ537" s="528"/>
      <c r="BA537" s="528"/>
      <c r="BB537" s="528"/>
      <c r="BC537" s="528"/>
      <c r="BD537" s="528"/>
      <c r="BE537" s="528"/>
      <c r="BF537" s="528"/>
      <c r="BG537" s="528"/>
      <c r="BH537" s="528"/>
    </row>
    <row r="538">
      <c r="A538" s="179"/>
      <c r="B538" s="549"/>
      <c r="C538" s="181"/>
      <c r="D538" s="181"/>
      <c r="E538" s="181"/>
      <c r="F538" s="179"/>
      <c r="G538" s="549"/>
      <c r="H538" s="181"/>
      <c r="I538" s="181"/>
      <c r="J538" s="181"/>
      <c r="K538" s="156"/>
      <c r="L538" s="549"/>
      <c r="M538" s="181"/>
      <c r="N538" s="181"/>
      <c r="O538" s="181"/>
      <c r="P538" s="156"/>
      <c r="Q538" s="562"/>
      <c r="R538" s="181"/>
      <c r="S538" s="181"/>
      <c r="T538" s="181"/>
      <c r="U538" s="179"/>
      <c r="V538" s="549"/>
      <c r="W538" s="181"/>
      <c r="X538" s="181"/>
      <c r="Y538" s="181"/>
      <c r="Z538" s="179"/>
      <c r="AA538" s="549"/>
      <c r="AB538" s="181"/>
      <c r="AC538" s="181"/>
      <c r="AD538" s="181"/>
      <c r="AE538" s="179"/>
      <c r="AF538" s="549"/>
      <c r="AG538" s="181"/>
      <c r="AH538" s="181"/>
      <c r="AI538" s="181"/>
      <c r="AJ538" s="179"/>
      <c r="AK538" s="549"/>
      <c r="AL538" s="181"/>
      <c r="AM538" s="181"/>
      <c r="AN538" s="181"/>
      <c r="AO538" s="179"/>
      <c r="AP538" s="549"/>
      <c r="AQ538" s="181"/>
      <c r="AR538" s="181"/>
      <c r="AS538" s="181"/>
      <c r="AT538" s="528"/>
      <c r="AU538" s="528"/>
      <c r="AV538" s="528"/>
      <c r="AW538" s="528"/>
      <c r="AX538" s="528"/>
      <c r="AY538" s="528"/>
      <c r="AZ538" s="528"/>
      <c r="BA538" s="528"/>
      <c r="BB538" s="528"/>
      <c r="BC538" s="528"/>
      <c r="BD538" s="528"/>
      <c r="BE538" s="528"/>
      <c r="BF538" s="528"/>
      <c r="BG538" s="528"/>
      <c r="BH538" s="528"/>
    </row>
    <row r="539">
      <c r="A539" s="179"/>
      <c r="B539" s="549"/>
      <c r="C539" s="181"/>
      <c r="D539" s="181"/>
      <c r="E539" s="181"/>
      <c r="F539" s="179"/>
      <c r="G539" s="549"/>
      <c r="H539" s="181"/>
      <c r="I539" s="181"/>
      <c r="J539" s="181"/>
      <c r="K539" s="156"/>
      <c r="L539" s="549"/>
      <c r="M539" s="181"/>
      <c r="N539" s="181"/>
      <c r="O539" s="181"/>
      <c r="P539" s="156"/>
      <c r="Q539" s="562"/>
      <c r="R539" s="181"/>
      <c r="S539" s="181"/>
      <c r="T539" s="181"/>
      <c r="U539" s="179"/>
      <c r="V539" s="549"/>
      <c r="W539" s="181"/>
      <c r="X539" s="181"/>
      <c r="Y539" s="181"/>
      <c r="Z539" s="179"/>
      <c r="AA539" s="549"/>
      <c r="AB539" s="181"/>
      <c r="AC539" s="181"/>
      <c r="AD539" s="181"/>
      <c r="AE539" s="179"/>
      <c r="AF539" s="549"/>
      <c r="AG539" s="181"/>
      <c r="AH539" s="181"/>
      <c r="AI539" s="181"/>
      <c r="AJ539" s="179"/>
      <c r="AK539" s="549"/>
      <c r="AL539" s="181"/>
      <c r="AM539" s="181"/>
      <c r="AN539" s="181"/>
      <c r="AO539" s="179"/>
      <c r="AP539" s="549"/>
      <c r="AQ539" s="181"/>
      <c r="AR539" s="181"/>
      <c r="AS539" s="181"/>
      <c r="AT539" s="528"/>
      <c r="AU539" s="528"/>
      <c r="AV539" s="528"/>
      <c r="AW539" s="528"/>
      <c r="AX539" s="528"/>
      <c r="AY539" s="528"/>
      <c r="AZ539" s="528"/>
      <c r="BA539" s="528"/>
      <c r="BB539" s="528"/>
      <c r="BC539" s="528"/>
      <c r="BD539" s="528"/>
      <c r="BE539" s="528"/>
      <c r="BF539" s="528"/>
      <c r="BG539" s="528"/>
      <c r="BH539" s="528"/>
    </row>
    <row r="540">
      <c r="A540" s="179"/>
      <c r="B540" s="549"/>
      <c r="C540" s="181"/>
      <c r="D540" s="181"/>
      <c r="E540" s="181"/>
      <c r="F540" s="179"/>
      <c r="G540" s="549"/>
      <c r="H540" s="181"/>
      <c r="I540" s="181"/>
      <c r="J540" s="181"/>
      <c r="K540" s="156"/>
      <c r="L540" s="549"/>
      <c r="M540" s="181"/>
      <c r="N540" s="181"/>
      <c r="O540" s="181"/>
      <c r="P540" s="156"/>
      <c r="Q540" s="562"/>
      <c r="R540" s="181"/>
      <c r="S540" s="181"/>
      <c r="T540" s="181"/>
      <c r="U540" s="179"/>
      <c r="V540" s="549"/>
      <c r="W540" s="181"/>
      <c r="X540" s="181"/>
      <c r="Y540" s="181"/>
      <c r="Z540" s="179"/>
      <c r="AA540" s="549"/>
      <c r="AB540" s="181"/>
      <c r="AC540" s="181"/>
      <c r="AD540" s="181"/>
      <c r="AE540" s="179"/>
      <c r="AF540" s="549"/>
      <c r="AG540" s="181"/>
      <c r="AH540" s="181"/>
      <c r="AI540" s="181"/>
      <c r="AJ540" s="179"/>
      <c r="AK540" s="549"/>
      <c r="AL540" s="181"/>
      <c r="AM540" s="181"/>
      <c r="AN540" s="181"/>
      <c r="AO540" s="179"/>
      <c r="AP540" s="549"/>
      <c r="AQ540" s="181"/>
      <c r="AR540" s="181"/>
      <c r="AS540" s="181"/>
      <c r="AT540" s="528"/>
      <c r="AU540" s="528"/>
      <c r="AV540" s="528"/>
      <c r="AW540" s="528"/>
      <c r="AX540" s="528"/>
      <c r="AY540" s="528"/>
      <c r="AZ540" s="528"/>
      <c r="BA540" s="528"/>
      <c r="BB540" s="528"/>
      <c r="BC540" s="528"/>
      <c r="BD540" s="528"/>
      <c r="BE540" s="528"/>
      <c r="BF540" s="528"/>
      <c r="BG540" s="528"/>
      <c r="BH540" s="528"/>
    </row>
    <row r="541">
      <c r="A541" s="179"/>
      <c r="B541" s="549"/>
      <c r="C541" s="181"/>
      <c r="D541" s="181"/>
      <c r="E541" s="181"/>
      <c r="F541" s="179"/>
      <c r="G541" s="549"/>
      <c r="H541" s="181"/>
      <c r="I541" s="181"/>
      <c r="J541" s="181"/>
      <c r="K541" s="156"/>
      <c r="L541" s="549"/>
      <c r="M541" s="181"/>
      <c r="N541" s="181"/>
      <c r="O541" s="181"/>
      <c r="P541" s="156"/>
      <c r="Q541" s="562"/>
      <c r="R541" s="181"/>
      <c r="S541" s="181"/>
      <c r="T541" s="181"/>
      <c r="U541" s="179"/>
      <c r="V541" s="549"/>
      <c r="W541" s="181"/>
      <c r="X541" s="181"/>
      <c r="Y541" s="181"/>
      <c r="Z541" s="179"/>
      <c r="AA541" s="549"/>
      <c r="AB541" s="181"/>
      <c r="AC541" s="181"/>
      <c r="AD541" s="181"/>
      <c r="AE541" s="179"/>
      <c r="AF541" s="549"/>
      <c r="AG541" s="181"/>
      <c r="AH541" s="181"/>
      <c r="AI541" s="181"/>
      <c r="AJ541" s="179"/>
      <c r="AK541" s="549"/>
      <c r="AL541" s="181"/>
      <c r="AM541" s="181"/>
      <c r="AN541" s="181"/>
      <c r="AO541" s="179"/>
      <c r="AP541" s="549"/>
      <c r="AQ541" s="181"/>
      <c r="AR541" s="181"/>
      <c r="AS541" s="181"/>
      <c r="AT541" s="528"/>
      <c r="AU541" s="528"/>
      <c r="AV541" s="528"/>
      <c r="AW541" s="528"/>
      <c r="AX541" s="528"/>
      <c r="AY541" s="528"/>
      <c r="AZ541" s="528"/>
      <c r="BA541" s="528"/>
      <c r="BB541" s="528"/>
      <c r="BC541" s="528"/>
      <c r="BD541" s="528"/>
      <c r="BE541" s="528"/>
      <c r="BF541" s="528"/>
      <c r="BG541" s="528"/>
      <c r="BH541" s="528"/>
    </row>
    <row r="542">
      <c r="A542" s="179"/>
      <c r="B542" s="549"/>
      <c r="C542" s="181"/>
      <c r="D542" s="181"/>
      <c r="E542" s="181"/>
      <c r="F542" s="179"/>
      <c r="G542" s="549"/>
      <c r="H542" s="181"/>
      <c r="I542" s="181"/>
      <c r="J542" s="181"/>
      <c r="K542" s="156"/>
      <c r="L542" s="549"/>
      <c r="M542" s="181"/>
      <c r="N542" s="181"/>
      <c r="O542" s="181"/>
      <c r="P542" s="156"/>
      <c r="Q542" s="562"/>
      <c r="R542" s="181"/>
      <c r="S542" s="181"/>
      <c r="T542" s="181"/>
      <c r="U542" s="179"/>
      <c r="V542" s="549"/>
      <c r="W542" s="181"/>
      <c r="X542" s="181"/>
      <c r="Y542" s="181"/>
      <c r="Z542" s="179"/>
      <c r="AA542" s="549"/>
      <c r="AB542" s="181"/>
      <c r="AC542" s="181"/>
      <c r="AD542" s="181"/>
      <c r="AE542" s="179"/>
      <c r="AF542" s="549"/>
      <c r="AG542" s="181"/>
      <c r="AH542" s="181"/>
      <c r="AI542" s="181"/>
      <c r="AJ542" s="179"/>
      <c r="AK542" s="549"/>
      <c r="AL542" s="181"/>
      <c r="AM542" s="181"/>
      <c r="AN542" s="181"/>
      <c r="AO542" s="179"/>
      <c r="AP542" s="549"/>
      <c r="AQ542" s="181"/>
      <c r="AR542" s="181"/>
      <c r="AS542" s="181"/>
      <c r="AT542" s="528"/>
      <c r="AU542" s="528"/>
      <c r="AV542" s="528"/>
      <c r="AW542" s="528"/>
      <c r="AX542" s="528"/>
      <c r="AY542" s="528"/>
      <c r="AZ542" s="528"/>
      <c r="BA542" s="528"/>
      <c r="BB542" s="528"/>
      <c r="BC542" s="528"/>
      <c r="BD542" s="528"/>
      <c r="BE542" s="528"/>
      <c r="BF542" s="528"/>
      <c r="BG542" s="528"/>
      <c r="BH542" s="528"/>
    </row>
    <row r="543">
      <c r="A543" s="179"/>
      <c r="B543" s="549"/>
      <c r="C543" s="181"/>
      <c r="D543" s="181"/>
      <c r="E543" s="181"/>
      <c r="F543" s="179"/>
      <c r="G543" s="549"/>
      <c r="H543" s="181"/>
      <c r="I543" s="181"/>
      <c r="J543" s="181"/>
      <c r="K543" s="156"/>
      <c r="L543" s="549"/>
      <c r="M543" s="181"/>
      <c r="N543" s="181"/>
      <c r="O543" s="181"/>
      <c r="P543" s="156"/>
      <c r="Q543" s="562"/>
      <c r="R543" s="181"/>
      <c r="S543" s="181"/>
      <c r="T543" s="181"/>
      <c r="U543" s="179"/>
      <c r="V543" s="549"/>
      <c r="W543" s="181"/>
      <c r="X543" s="181"/>
      <c r="Y543" s="181"/>
      <c r="Z543" s="179"/>
      <c r="AA543" s="549"/>
      <c r="AB543" s="181"/>
      <c r="AC543" s="181"/>
      <c r="AD543" s="181"/>
      <c r="AE543" s="179"/>
      <c r="AF543" s="549"/>
      <c r="AG543" s="181"/>
      <c r="AH543" s="181"/>
      <c r="AI543" s="181"/>
      <c r="AJ543" s="179"/>
      <c r="AK543" s="549"/>
      <c r="AL543" s="181"/>
      <c r="AM543" s="181"/>
      <c r="AN543" s="181"/>
      <c r="AO543" s="179"/>
      <c r="AP543" s="549"/>
      <c r="AQ543" s="181"/>
      <c r="AR543" s="181"/>
      <c r="AS543" s="181"/>
      <c r="AT543" s="528"/>
      <c r="AU543" s="528"/>
      <c r="AV543" s="528"/>
      <c r="AW543" s="528"/>
      <c r="AX543" s="528"/>
      <c r="AY543" s="528"/>
      <c r="AZ543" s="528"/>
      <c r="BA543" s="528"/>
      <c r="BB543" s="528"/>
      <c r="BC543" s="528"/>
      <c r="BD543" s="528"/>
      <c r="BE543" s="528"/>
      <c r="BF543" s="528"/>
      <c r="BG543" s="528"/>
      <c r="BH543" s="528"/>
    </row>
    <row r="544">
      <c r="A544" s="179"/>
      <c r="B544" s="549"/>
      <c r="C544" s="181"/>
      <c r="D544" s="181"/>
      <c r="E544" s="181"/>
      <c r="F544" s="179"/>
      <c r="G544" s="549"/>
      <c r="H544" s="181"/>
      <c r="I544" s="181"/>
      <c r="J544" s="181"/>
      <c r="K544" s="156"/>
      <c r="L544" s="549"/>
      <c r="M544" s="181"/>
      <c r="N544" s="181"/>
      <c r="O544" s="181"/>
      <c r="P544" s="156"/>
      <c r="Q544" s="562"/>
      <c r="R544" s="181"/>
      <c r="S544" s="181"/>
      <c r="T544" s="181"/>
      <c r="U544" s="179"/>
      <c r="V544" s="549"/>
      <c r="W544" s="181"/>
      <c r="X544" s="181"/>
      <c r="Y544" s="181"/>
      <c r="Z544" s="179"/>
      <c r="AA544" s="549"/>
      <c r="AB544" s="181"/>
      <c r="AC544" s="181"/>
      <c r="AD544" s="181"/>
      <c r="AE544" s="179"/>
      <c r="AF544" s="549"/>
      <c r="AG544" s="181"/>
      <c r="AH544" s="181"/>
      <c r="AI544" s="181"/>
      <c r="AJ544" s="179"/>
      <c r="AK544" s="549"/>
      <c r="AL544" s="181"/>
      <c r="AM544" s="181"/>
      <c r="AN544" s="181"/>
      <c r="AO544" s="179"/>
      <c r="AP544" s="549"/>
      <c r="AQ544" s="181"/>
      <c r="AR544" s="181"/>
      <c r="AS544" s="181"/>
      <c r="AT544" s="528"/>
      <c r="AU544" s="528"/>
      <c r="AV544" s="528"/>
      <c r="AW544" s="528"/>
      <c r="AX544" s="528"/>
      <c r="AY544" s="528"/>
      <c r="AZ544" s="528"/>
      <c r="BA544" s="528"/>
      <c r="BB544" s="528"/>
      <c r="BC544" s="528"/>
      <c r="BD544" s="528"/>
      <c r="BE544" s="528"/>
      <c r="BF544" s="528"/>
      <c r="BG544" s="528"/>
      <c r="BH544" s="528"/>
    </row>
    <row r="545">
      <c r="A545" s="179"/>
      <c r="B545" s="549"/>
      <c r="C545" s="181"/>
      <c r="D545" s="181"/>
      <c r="E545" s="181"/>
      <c r="F545" s="179"/>
      <c r="G545" s="549"/>
      <c r="H545" s="181"/>
      <c r="I545" s="181"/>
      <c r="J545" s="181"/>
      <c r="K545" s="156"/>
      <c r="L545" s="549"/>
      <c r="M545" s="181"/>
      <c r="N545" s="181"/>
      <c r="O545" s="181"/>
      <c r="P545" s="156"/>
      <c r="Q545" s="562"/>
      <c r="R545" s="181"/>
      <c r="S545" s="181"/>
      <c r="T545" s="181"/>
      <c r="U545" s="179"/>
      <c r="V545" s="549"/>
      <c r="W545" s="181"/>
      <c r="X545" s="181"/>
      <c r="Y545" s="181"/>
      <c r="Z545" s="179"/>
      <c r="AA545" s="549"/>
      <c r="AB545" s="181"/>
      <c r="AC545" s="181"/>
      <c r="AD545" s="181"/>
      <c r="AE545" s="179"/>
      <c r="AF545" s="549"/>
      <c r="AG545" s="181"/>
      <c r="AH545" s="181"/>
      <c r="AI545" s="181"/>
      <c r="AJ545" s="179"/>
      <c r="AK545" s="549"/>
      <c r="AL545" s="181"/>
      <c r="AM545" s="181"/>
      <c r="AN545" s="181"/>
      <c r="AO545" s="179"/>
      <c r="AP545" s="549"/>
      <c r="AQ545" s="181"/>
      <c r="AR545" s="181"/>
      <c r="AS545" s="181"/>
      <c r="AT545" s="528"/>
      <c r="AU545" s="528"/>
      <c r="AV545" s="528"/>
      <c r="AW545" s="528"/>
      <c r="AX545" s="528"/>
      <c r="AY545" s="528"/>
      <c r="AZ545" s="528"/>
      <c r="BA545" s="528"/>
      <c r="BB545" s="528"/>
      <c r="BC545" s="528"/>
      <c r="BD545" s="528"/>
      <c r="BE545" s="528"/>
      <c r="BF545" s="528"/>
      <c r="BG545" s="528"/>
      <c r="BH545" s="528"/>
    </row>
    <row r="546">
      <c r="A546" s="179"/>
      <c r="B546" s="549"/>
      <c r="C546" s="181"/>
      <c r="D546" s="181"/>
      <c r="E546" s="181"/>
      <c r="F546" s="179"/>
      <c r="G546" s="549"/>
      <c r="H546" s="181"/>
      <c r="I546" s="181"/>
      <c r="J546" s="181"/>
      <c r="K546" s="156"/>
      <c r="L546" s="549"/>
      <c r="M546" s="181"/>
      <c r="N546" s="181"/>
      <c r="O546" s="181"/>
      <c r="P546" s="156"/>
      <c r="Q546" s="562"/>
      <c r="R546" s="181"/>
      <c r="S546" s="181"/>
      <c r="T546" s="181"/>
      <c r="U546" s="179"/>
      <c r="V546" s="549"/>
      <c r="W546" s="181"/>
      <c r="X546" s="181"/>
      <c r="Y546" s="181"/>
      <c r="Z546" s="179"/>
      <c r="AA546" s="549"/>
      <c r="AB546" s="181"/>
      <c r="AC546" s="181"/>
      <c r="AD546" s="181"/>
      <c r="AE546" s="179"/>
      <c r="AF546" s="549"/>
      <c r="AG546" s="181"/>
      <c r="AH546" s="181"/>
      <c r="AI546" s="181"/>
      <c r="AJ546" s="179"/>
      <c r="AK546" s="549"/>
      <c r="AL546" s="181"/>
      <c r="AM546" s="181"/>
      <c r="AN546" s="181"/>
      <c r="AO546" s="179"/>
      <c r="AP546" s="549"/>
      <c r="AQ546" s="181"/>
      <c r="AR546" s="181"/>
      <c r="AS546" s="181"/>
      <c r="AT546" s="528"/>
      <c r="AU546" s="528"/>
      <c r="AV546" s="528"/>
      <c r="AW546" s="528"/>
      <c r="AX546" s="528"/>
      <c r="AY546" s="528"/>
      <c r="AZ546" s="528"/>
      <c r="BA546" s="528"/>
      <c r="BB546" s="528"/>
      <c r="BC546" s="528"/>
      <c r="BD546" s="528"/>
      <c r="BE546" s="528"/>
      <c r="BF546" s="528"/>
      <c r="BG546" s="528"/>
      <c r="BH546" s="528"/>
    </row>
    <row r="547">
      <c r="A547" s="179"/>
      <c r="B547" s="549"/>
      <c r="C547" s="181"/>
      <c r="D547" s="181"/>
      <c r="E547" s="181"/>
      <c r="F547" s="179"/>
      <c r="G547" s="549"/>
      <c r="H547" s="181"/>
      <c r="I547" s="181"/>
      <c r="J547" s="181"/>
      <c r="K547" s="156"/>
      <c r="L547" s="549"/>
      <c r="M547" s="181"/>
      <c r="N547" s="181"/>
      <c r="O547" s="181"/>
      <c r="P547" s="156"/>
      <c r="Q547" s="562"/>
      <c r="R547" s="181"/>
      <c r="S547" s="181"/>
      <c r="T547" s="181"/>
      <c r="U547" s="179"/>
      <c r="V547" s="549"/>
      <c r="W547" s="181"/>
      <c r="X547" s="181"/>
      <c r="Y547" s="181"/>
      <c r="Z547" s="179"/>
      <c r="AA547" s="549"/>
      <c r="AB547" s="181"/>
      <c r="AC547" s="181"/>
      <c r="AD547" s="181"/>
      <c r="AE547" s="179"/>
      <c r="AF547" s="549"/>
      <c r="AG547" s="181"/>
      <c r="AH547" s="181"/>
      <c r="AI547" s="181"/>
      <c r="AJ547" s="179"/>
      <c r="AK547" s="549"/>
      <c r="AL547" s="181"/>
      <c r="AM547" s="181"/>
      <c r="AN547" s="181"/>
      <c r="AO547" s="179"/>
      <c r="AP547" s="549"/>
      <c r="AQ547" s="181"/>
      <c r="AR547" s="181"/>
      <c r="AS547" s="181"/>
      <c r="AT547" s="528"/>
      <c r="AU547" s="528"/>
      <c r="AV547" s="528"/>
      <c r="AW547" s="528"/>
      <c r="AX547" s="528"/>
      <c r="AY547" s="528"/>
      <c r="AZ547" s="528"/>
      <c r="BA547" s="528"/>
      <c r="BB547" s="528"/>
      <c r="BC547" s="528"/>
      <c r="BD547" s="528"/>
      <c r="BE547" s="528"/>
      <c r="BF547" s="528"/>
      <c r="BG547" s="528"/>
      <c r="BH547" s="528"/>
    </row>
    <row r="548">
      <c r="A548" s="179"/>
      <c r="B548" s="549"/>
      <c r="C548" s="181"/>
      <c r="D548" s="181"/>
      <c r="E548" s="181"/>
      <c r="F548" s="179"/>
      <c r="G548" s="549"/>
      <c r="H548" s="181"/>
      <c r="I548" s="181"/>
      <c r="J548" s="181"/>
      <c r="K548" s="156"/>
      <c r="L548" s="549"/>
      <c r="M548" s="181"/>
      <c r="N548" s="181"/>
      <c r="O548" s="181"/>
      <c r="P548" s="156"/>
      <c r="Q548" s="562"/>
      <c r="R548" s="181"/>
      <c r="S548" s="181"/>
      <c r="T548" s="181"/>
      <c r="U548" s="179"/>
      <c r="V548" s="549"/>
      <c r="W548" s="181"/>
      <c r="X548" s="181"/>
      <c r="Y548" s="181"/>
      <c r="Z548" s="179"/>
      <c r="AA548" s="549"/>
      <c r="AB548" s="181"/>
      <c r="AC548" s="181"/>
      <c r="AD548" s="181"/>
      <c r="AE548" s="179"/>
      <c r="AF548" s="549"/>
      <c r="AG548" s="181"/>
      <c r="AH548" s="181"/>
      <c r="AI548" s="181"/>
      <c r="AJ548" s="179"/>
      <c r="AK548" s="549"/>
      <c r="AL548" s="181"/>
      <c r="AM548" s="181"/>
      <c r="AN548" s="181"/>
      <c r="AO548" s="179"/>
      <c r="AP548" s="549"/>
      <c r="AQ548" s="181"/>
      <c r="AR548" s="181"/>
      <c r="AS548" s="181"/>
      <c r="AT548" s="528"/>
      <c r="AU548" s="528"/>
      <c r="AV548" s="528"/>
      <c r="AW548" s="528"/>
      <c r="AX548" s="528"/>
      <c r="AY548" s="528"/>
      <c r="AZ548" s="528"/>
      <c r="BA548" s="528"/>
      <c r="BB548" s="528"/>
      <c r="BC548" s="528"/>
      <c r="BD548" s="528"/>
      <c r="BE548" s="528"/>
      <c r="BF548" s="528"/>
      <c r="BG548" s="528"/>
      <c r="BH548" s="528"/>
    </row>
    <row r="549">
      <c r="A549" s="179"/>
      <c r="B549" s="549"/>
      <c r="C549" s="181"/>
      <c r="D549" s="181"/>
      <c r="E549" s="181"/>
      <c r="F549" s="179"/>
      <c r="G549" s="549"/>
      <c r="H549" s="181"/>
      <c r="I549" s="181"/>
      <c r="J549" s="181"/>
      <c r="K549" s="156"/>
      <c r="L549" s="549"/>
      <c r="M549" s="181"/>
      <c r="N549" s="181"/>
      <c r="O549" s="181"/>
      <c r="P549" s="156"/>
      <c r="Q549" s="562"/>
      <c r="R549" s="181"/>
      <c r="S549" s="181"/>
      <c r="T549" s="181"/>
      <c r="U549" s="179"/>
      <c r="V549" s="549"/>
      <c r="W549" s="181"/>
      <c r="X549" s="181"/>
      <c r="Y549" s="181"/>
      <c r="Z549" s="179"/>
      <c r="AA549" s="549"/>
      <c r="AB549" s="181"/>
      <c r="AC549" s="181"/>
      <c r="AD549" s="181"/>
      <c r="AE549" s="179"/>
      <c r="AF549" s="549"/>
      <c r="AG549" s="181"/>
      <c r="AH549" s="181"/>
      <c r="AI549" s="181"/>
      <c r="AJ549" s="179"/>
      <c r="AK549" s="549"/>
      <c r="AL549" s="181"/>
      <c r="AM549" s="181"/>
      <c r="AN549" s="181"/>
      <c r="AO549" s="179"/>
      <c r="AP549" s="549"/>
      <c r="AQ549" s="181"/>
      <c r="AR549" s="181"/>
      <c r="AS549" s="181"/>
      <c r="AT549" s="528"/>
      <c r="AU549" s="528"/>
      <c r="AV549" s="528"/>
      <c r="AW549" s="528"/>
      <c r="AX549" s="528"/>
      <c r="AY549" s="528"/>
      <c r="AZ549" s="528"/>
      <c r="BA549" s="528"/>
      <c r="BB549" s="528"/>
      <c r="BC549" s="528"/>
      <c r="BD549" s="528"/>
      <c r="BE549" s="528"/>
      <c r="BF549" s="528"/>
      <c r="BG549" s="528"/>
      <c r="BH549" s="528"/>
    </row>
    <row r="550">
      <c r="A550" s="179"/>
      <c r="B550" s="549"/>
      <c r="C550" s="181"/>
      <c r="D550" s="181"/>
      <c r="E550" s="181"/>
      <c r="F550" s="179"/>
      <c r="G550" s="549"/>
      <c r="H550" s="181"/>
      <c r="I550" s="181"/>
      <c r="J550" s="181"/>
      <c r="K550" s="156"/>
      <c r="L550" s="549"/>
      <c r="M550" s="181"/>
      <c r="N550" s="181"/>
      <c r="O550" s="181"/>
      <c r="P550" s="156"/>
      <c r="Q550" s="562"/>
      <c r="R550" s="181"/>
      <c r="S550" s="181"/>
      <c r="T550" s="181"/>
      <c r="U550" s="179"/>
      <c r="V550" s="549"/>
      <c r="W550" s="181"/>
      <c r="X550" s="181"/>
      <c r="Y550" s="181"/>
      <c r="Z550" s="179"/>
      <c r="AA550" s="549"/>
      <c r="AB550" s="181"/>
      <c r="AC550" s="181"/>
      <c r="AD550" s="181"/>
      <c r="AE550" s="179"/>
      <c r="AF550" s="549"/>
      <c r="AG550" s="181"/>
      <c r="AH550" s="181"/>
      <c r="AI550" s="181"/>
      <c r="AJ550" s="179"/>
      <c r="AK550" s="549"/>
      <c r="AL550" s="181"/>
      <c r="AM550" s="181"/>
      <c r="AN550" s="181"/>
      <c r="AO550" s="179"/>
      <c r="AP550" s="549"/>
      <c r="AQ550" s="181"/>
      <c r="AR550" s="181"/>
      <c r="AS550" s="181"/>
      <c r="AT550" s="528"/>
      <c r="AU550" s="528"/>
      <c r="AV550" s="528"/>
      <c r="AW550" s="528"/>
      <c r="AX550" s="528"/>
      <c r="AY550" s="528"/>
      <c r="AZ550" s="528"/>
      <c r="BA550" s="528"/>
      <c r="BB550" s="528"/>
      <c r="BC550" s="528"/>
      <c r="BD550" s="528"/>
      <c r="BE550" s="528"/>
      <c r="BF550" s="528"/>
      <c r="BG550" s="528"/>
      <c r="BH550" s="528"/>
    </row>
    <row r="551">
      <c r="A551" s="179"/>
      <c r="B551" s="549"/>
      <c r="C551" s="181"/>
      <c r="D551" s="181"/>
      <c r="E551" s="181"/>
      <c r="F551" s="179"/>
      <c r="G551" s="549"/>
      <c r="H551" s="181"/>
      <c r="I551" s="181"/>
      <c r="J551" s="181"/>
      <c r="K551" s="156"/>
      <c r="L551" s="549"/>
      <c r="M551" s="181"/>
      <c r="N551" s="181"/>
      <c r="O551" s="181"/>
      <c r="P551" s="156"/>
      <c r="Q551" s="562"/>
      <c r="R551" s="181"/>
      <c r="S551" s="181"/>
      <c r="T551" s="181"/>
      <c r="U551" s="179"/>
      <c r="V551" s="549"/>
      <c r="W551" s="181"/>
      <c r="X551" s="181"/>
      <c r="Y551" s="181"/>
      <c r="Z551" s="179"/>
      <c r="AA551" s="549"/>
      <c r="AB551" s="181"/>
      <c r="AC551" s="181"/>
      <c r="AD551" s="181"/>
      <c r="AE551" s="179"/>
      <c r="AF551" s="549"/>
      <c r="AG551" s="181"/>
      <c r="AH551" s="181"/>
      <c r="AI551" s="181"/>
      <c r="AJ551" s="179"/>
      <c r="AK551" s="549"/>
      <c r="AL551" s="181"/>
      <c r="AM551" s="181"/>
      <c r="AN551" s="181"/>
      <c r="AO551" s="179"/>
      <c r="AP551" s="549"/>
      <c r="AQ551" s="181"/>
      <c r="AR551" s="181"/>
      <c r="AS551" s="181"/>
      <c r="AT551" s="528"/>
      <c r="AU551" s="528"/>
      <c r="AV551" s="528"/>
      <c r="AW551" s="528"/>
      <c r="AX551" s="528"/>
      <c r="AY551" s="528"/>
      <c r="AZ551" s="528"/>
      <c r="BA551" s="528"/>
      <c r="BB551" s="528"/>
      <c r="BC551" s="528"/>
      <c r="BD551" s="528"/>
      <c r="BE551" s="528"/>
      <c r="BF551" s="528"/>
      <c r="BG551" s="528"/>
      <c r="BH551" s="528"/>
    </row>
    <row r="552">
      <c r="A552" s="179"/>
      <c r="B552" s="549"/>
      <c r="C552" s="181"/>
      <c r="D552" s="181"/>
      <c r="E552" s="181"/>
      <c r="F552" s="179"/>
      <c r="G552" s="549"/>
      <c r="H552" s="181"/>
      <c r="I552" s="181"/>
      <c r="J552" s="181"/>
      <c r="K552" s="156"/>
      <c r="L552" s="549"/>
      <c r="M552" s="181"/>
      <c r="N552" s="181"/>
      <c r="O552" s="181"/>
      <c r="P552" s="156"/>
      <c r="Q552" s="562"/>
      <c r="R552" s="181"/>
      <c r="S552" s="181"/>
      <c r="T552" s="181"/>
      <c r="U552" s="179"/>
      <c r="V552" s="549"/>
      <c r="W552" s="181"/>
      <c r="X552" s="181"/>
      <c r="Y552" s="181"/>
      <c r="Z552" s="179"/>
      <c r="AA552" s="549"/>
      <c r="AB552" s="181"/>
      <c r="AC552" s="181"/>
      <c r="AD552" s="181"/>
      <c r="AE552" s="179"/>
      <c r="AF552" s="549"/>
      <c r="AG552" s="181"/>
      <c r="AH552" s="181"/>
      <c r="AI552" s="181"/>
      <c r="AJ552" s="179"/>
      <c r="AK552" s="549"/>
      <c r="AL552" s="181"/>
      <c r="AM552" s="181"/>
      <c r="AN552" s="181"/>
      <c r="AO552" s="179"/>
      <c r="AP552" s="549"/>
      <c r="AQ552" s="181"/>
      <c r="AR552" s="181"/>
      <c r="AS552" s="181"/>
      <c r="AT552" s="528"/>
      <c r="AU552" s="528"/>
      <c r="AV552" s="528"/>
      <c r="AW552" s="528"/>
      <c r="AX552" s="528"/>
      <c r="AY552" s="528"/>
      <c r="AZ552" s="528"/>
      <c r="BA552" s="528"/>
      <c r="BB552" s="528"/>
      <c r="BC552" s="528"/>
      <c r="BD552" s="528"/>
      <c r="BE552" s="528"/>
      <c r="BF552" s="528"/>
      <c r="BG552" s="528"/>
      <c r="BH552" s="528"/>
    </row>
    <row r="553">
      <c r="A553" s="179"/>
      <c r="B553" s="549"/>
      <c r="C553" s="181"/>
      <c r="D553" s="181"/>
      <c r="E553" s="181"/>
      <c r="F553" s="179"/>
      <c r="G553" s="549"/>
      <c r="H553" s="181"/>
      <c r="I553" s="181"/>
      <c r="J553" s="181"/>
      <c r="K553" s="156"/>
      <c r="L553" s="549"/>
      <c r="M553" s="181"/>
      <c r="N553" s="181"/>
      <c r="O553" s="181"/>
      <c r="P553" s="156"/>
      <c r="Q553" s="562"/>
      <c r="R553" s="181"/>
      <c r="S553" s="181"/>
      <c r="T553" s="181"/>
      <c r="U553" s="179"/>
      <c r="V553" s="549"/>
      <c r="W553" s="181"/>
      <c r="X553" s="181"/>
      <c r="Y553" s="181"/>
      <c r="Z553" s="179"/>
      <c r="AA553" s="549"/>
      <c r="AB553" s="181"/>
      <c r="AC553" s="181"/>
      <c r="AD553" s="181"/>
      <c r="AE553" s="179"/>
      <c r="AF553" s="549"/>
      <c r="AG553" s="181"/>
      <c r="AH553" s="181"/>
      <c r="AI553" s="181"/>
      <c r="AJ553" s="179"/>
      <c r="AK553" s="549"/>
      <c r="AL553" s="181"/>
      <c r="AM553" s="181"/>
      <c r="AN553" s="181"/>
      <c r="AO553" s="179"/>
      <c r="AP553" s="549"/>
      <c r="AQ553" s="181"/>
      <c r="AR553" s="181"/>
      <c r="AS553" s="181"/>
      <c r="AT553" s="528"/>
      <c r="AU553" s="528"/>
      <c r="AV553" s="528"/>
      <c r="AW553" s="528"/>
      <c r="AX553" s="528"/>
      <c r="AY553" s="528"/>
      <c r="AZ553" s="528"/>
      <c r="BA553" s="528"/>
      <c r="BB553" s="528"/>
      <c r="BC553" s="528"/>
      <c r="BD553" s="528"/>
      <c r="BE553" s="528"/>
      <c r="BF553" s="528"/>
      <c r="BG553" s="528"/>
      <c r="BH553" s="528"/>
    </row>
    <row r="554">
      <c r="A554" s="179"/>
      <c r="B554" s="549"/>
      <c r="C554" s="181"/>
      <c r="D554" s="181"/>
      <c r="E554" s="181"/>
      <c r="F554" s="179"/>
      <c r="G554" s="549"/>
      <c r="H554" s="181"/>
      <c r="I554" s="181"/>
      <c r="J554" s="181"/>
      <c r="K554" s="156"/>
      <c r="L554" s="549"/>
      <c r="M554" s="181"/>
      <c r="N554" s="181"/>
      <c r="O554" s="181"/>
      <c r="P554" s="156"/>
      <c r="Q554" s="562"/>
      <c r="R554" s="181"/>
      <c r="S554" s="181"/>
      <c r="T554" s="181"/>
      <c r="U554" s="179"/>
      <c r="V554" s="549"/>
      <c r="W554" s="181"/>
      <c r="X554" s="181"/>
      <c r="Y554" s="181"/>
      <c r="Z554" s="179"/>
      <c r="AA554" s="549"/>
      <c r="AB554" s="181"/>
      <c r="AC554" s="181"/>
      <c r="AD554" s="181"/>
      <c r="AE554" s="179"/>
      <c r="AF554" s="549"/>
      <c r="AG554" s="181"/>
      <c r="AH554" s="181"/>
      <c r="AI554" s="181"/>
      <c r="AJ554" s="179"/>
      <c r="AK554" s="549"/>
      <c r="AL554" s="181"/>
      <c r="AM554" s="181"/>
      <c r="AN554" s="181"/>
      <c r="AO554" s="179"/>
      <c r="AP554" s="549"/>
      <c r="AQ554" s="181"/>
      <c r="AR554" s="181"/>
      <c r="AS554" s="181"/>
      <c r="AT554" s="528"/>
      <c r="AU554" s="528"/>
      <c r="AV554" s="528"/>
      <c r="AW554" s="528"/>
      <c r="AX554" s="528"/>
      <c r="AY554" s="528"/>
      <c r="AZ554" s="528"/>
      <c r="BA554" s="528"/>
      <c r="BB554" s="528"/>
      <c r="BC554" s="528"/>
      <c r="BD554" s="528"/>
      <c r="BE554" s="528"/>
      <c r="BF554" s="528"/>
      <c r="BG554" s="528"/>
      <c r="BH554" s="528"/>
    </row>
    <row r="555">
      <c r="A555" s="179"/>
      <c r="B555" s="549"/>
      <c r="C555" s="181"/>
      <c r="D555" s="181"/>
      <c r="E555" s="181"/>
      <c r="F555" s="179"/>
      <c r="G555" s="549"/>
      <c r="H555" s="181"/>
      <c r="I555" s="181"/>
      <c r="J555" s="181"/>
      <c r="K555" s="156"/>
      <c r="L555" s="549"/>
      <c r="M555" s="181"/>
      <c r="N555" s="181"/>
      <c r="O555" s="181"/>
      <c r="P555" s="156"/>
      <c r="Q555" s="562"/>
      <c r="R555" s="181"/>
      <c r="S555" s="181"/>
      <c r="T555" s="181"/>
      <c r="U555" s="179"/>
      <c r="V555" s="549"/>
      <c r="W555" s="181"/>
      <c r="X555" s="181"/>
      <c r="Y555" s="181"/>
      <c r="Z555" s="179"/>
      <c r="AA555" s="549"/>
      <c r="AB555" s="181"/>
      <c r="AC555" s="181"/>
      <c r="AD555" s="181"/>
      <c r="AE555" s="179"/>
      <c r="AF555" s="549"/>
      <c r="AG555" s="181"/>
      <c r="AH555" s="181"/>
      <c r="AI555" s="181"/>
      <c r="AJ555" s="179"/>
      <c r="AK555" s="549"/>
      <c r="AL555" s="181"/>
      <c r="AM555" s="181"/>
      <c r="AN555" s="181"/>
      <c r="AO555" s="179"/>
      <c r="AP555" s="549"/>
      <c r="AQ555" s="181"/>
      <c r="AR555" s="181"/>
      <c r="AS555" s="181"/>
      <c r="AT555" s="528"/>
      <c r="AU555" s="528"/>
      <c r="AV555" s="528"/>
      <c r="AW555" s="528"/>
      <c r="AX555" s="528"/>
      <c r="AY555" s="528"/>
      <c r="AZ555" s="528"/>
      <c r="BA555" s="528"/>
      <c r="BB555" s="528"/>
      <c r="BC555" s="528"/>
      <c r="BD555" s="528"/>
      <c r="BE555" s="528"/>
      <c r="BF555" s="528"/>
      <c r="BG555" s="528"/>
      <c r="BH555" s="528"/>
    </row>
    <row r="556">
      <c r="A556" s="179"/>
      <c r="B556" s="549"/>
      <c r="C556" s="181"/>
      <c r="D556" s="181"/>
      <c r="E556" s="181"/>
      <c r="F556" s="179"/>
      <c r="G556" s="549"/>
      <c r="H556" s="181"/>
      <c r="I556" s="181"/>
      <c r="J556" s="181"/>
      <c r="K556" s="156"/>
      <c r="L556" s="549"/>
      <c r="M556" s="181"/>
      <c r="N556" s="181"/>
      <c r="O556" s="181"/>
      <c r="P556" s="156"/>
      <c r="Q556" s="562"/>
      <c r="R556" s="181"/>
      <c r="S556" s="181"/>
      <c r="T556" s="181"/>
      <c r="U556" s="179"/>
      <c r="V556" s="549"/>
      <c r="W556" s="181"/>
      <c r="X556" s="181"/>
      <c r="Y556" s="181"/>
      <c r="Z556" s="179"/>
      <c r="AA556" s="549"/>
      <c r="AB556" s="181"/>
      <c r="AC556" s="181"/>
      <c r="AD556" s="181"/>
      <c r="AE556" s="179"/>
      <c r="AF556" s="549"/>
      <c r="AG556" s="181"/>
      <c r="AH556" s="181"/>
      <c r="AI556" s="181"/>
      <c r="AJ556" s="179"/>
      <c r="AK556" s="549"/>
      <c r="AL556" s="181"/>
      <c r="AM556" s="181"/>
      <c r="AN556" s="181"/>
      <c r="AO556" s="179"/>
      <c r="AP556" s="549"/>
      <c r="AQ556" s="181"/>
      <c r="AR556" s="181"/>
      <c r="AS556" s="181"/>
      <c r="AT556" s="528"/>
      <c r="AU556" s="528"/>
      <c r="AV556" s="528"/>
      <c r="AW556" s="528"/>
      <c r="AX556" s="528"/>
      <c r="AY556" s="528"/>
      <c r="AZ556" s="528"/>
      <c r="BA556" s="528"/>
      <c r="BB556" s="528"/>
      <c r="BC556" s="528"/>
      <c r="BD556" s="528"/>
      <c r="BE556" s="528"/>
      <c r="BF556" s="528"/>
      <c r="BG556" s="528"/>
      <c r="BH556" s="528"/>
    </row>
    <row r="557">
      <c r="A557" s="179"/>
      <c r="B557" s="549"/>
      <c r="C557" s="181"/>
      <c r="D557" s="181"/>
      <c r="E557" s="181"/>
      <c r="F557" s="179"/>
      <c r="G557" s="549"/>
      <c r="H557" s="181"/>
      <c r="I557" s="181"/>
      <c r="J557" s="181"/>
      <c r="K557" s="156"/>
      <c r="L557" s="549"/>
      <c r="M557" s="181"/>
      <c r="N557" s="181"/>
      <c r="O557" s="181"/>
      <c r="P557" s="156"/>
      <c r="Q557" s="562"/>
      <c r="R557" s="181"/>
      <c r="S557" s="181"/>
      <c r="T557" s="181"/>
      <c r="U557" s="179"/>
      <c r="V557" s="549"/>
      <c r="W557" s="181"/>
      <c r="X557" s="181"/>
      <c r="Y557" s="181"/>
      <c r="Z557" s="179"/>
      <c r="AA557" s="549"/>
      <c r="AB557" s="181"/>
      <c r="AC557" s="181"/>
      <c r="AD557" s="181"/>
      <c r="AE557" s="179"/>
      <c r="AF557" s="549"/>
      <c r="AG557" s="181"/>
      <c r="AH557" s="181"/>
      <c r="AI557" s="181"/>
      <c r="AJ557" s="179"/>
      <c r="AK557" s="549"/>
      <c r="AL557" s="181"/>
      <c r="AM557" s="181"/>
      <c r="AN557" s="181"/>
      <c r="AO557" s="179"/>
      <c r="AP557" s="549"/>
      <c r="AQ557" s="181"/>
      <c r="AR557" s="181"/>
      <c r="AS557" s="181"/>
      <c r="AT557" s="528"/>
      <c r="AU557" s="528"/>
      <c r="AV557" s="528"/>
      <c r="AW557" s="528"/>
      <c r="AX557" s="528"/>
      <c r="AY557" s="528"/>
      <c r="AZ557" s="528"/>
      <c r="BA557" s="528"/>
      <c r="BB557" s="528"/>
      <c r="BC557" s="528"/>
      <c r="BD557" s="528"/>
      <c r="BE557" s="528"/>
      <c r="BF557" s="528"/>
      <c r="BG557" s="528"/>
      <c r="BH557" s="528"/>
    </row>
    <row r="558">
      <c r="A558" s="179"/>
      <c r="B558" s="549"/>
      <c r="C558" s="181"/>
      <c r="D558" s="181"/>
      <c r="E558" s="181"/>
      <c r="F558" s="179"/>
      <c r="G558" s="549"/>
      <c r="H558" s="181"/>
      <c r="I558" s="181"/>
      <c r="J558" s="181"/>
      <c r="K558" s="156"/>
      <c r="L558" s="549"/>
      <c r="M558" s="181"/>
      <c r="N558" s="181"/>
      <c r="O558" s="181"/>
      <c r="P558" s="156"/>
      <c r="Q558" s="562"/>
      <c r="R558" s="181"/>
      <c r="S558" s="181"/>
      <c r="T558" s="181"/>
      <c r="U558" s="179"/>
      <c r="V558" s="549"/>
      <c r="W558" s="181"/>
      <c r="X558" s="181"/>
      <c r="Y558" s="181"/>
      <c r="Z558" s="179"/>
      <c r="AA558" s="549"/>
      <c r="AB558" s="181"/>
      <c r="AC558" s="181"/>
      <c r="AD558" s="181"/>
      <c r="AE558" s="179"/>
      <c r="AF558" s="549"/>
      <c r="AG558" s="181"/>
      <c r="AH558" s="181"/>
      <c r="AI558" s="181"/>
      <c r="AJ558" s="179"/>
      <c r="AK558" s="549"/>
      <c r="AL558" s="181"/>
      <c r="AM558" s="181"/>
      <c r="AN558" s="181"/>
      <c r="AO558" s="179"/>
      <c r="AP558" s="549"/>
      <c r="AQ558" s="181"/>
      <c r="AR558" s="181"/>
      <c r="AS558" s="181"/>
      <c r="AT558" s="528"/>
      <c r="AU558" s="528"/>
      <c r="AV558" s="528"/>
      <c r="AW558" s="528"/>
      <c r="AX558" s="528"/>
      <c r="AY558" s="528"/>
      <c r="AZ558" s="528"/>
      <c r="BA558" s="528"/>
      <c r="BB558" s="528"/>
      <c r="BC558" s="528"/>
      <c r="BD558" s="528"/>
      <c r="BE558" s="528"/>
      <c r="BF558" s="528"/>
      <c r="BG558" s="528"/>
      <c r="BH558" s="528"/>
    </row>
    <row r="559">
      <c r="A559" s="179"/>
      <c r="B559" s="549"/>
      <c r="C559" s="181"/>
      <c r="D559" s="181"/>
      <c r="E559" s="181"/>
      <c r="F559" s="179"/>
      <c r="G559" s="549"/>
      <c r="H559" s="181"/>
      <c r="I559" s="181"/>
      <c r="J559" s="181"/>
      <c r="K559" s="156"/>
      <c r="L559" s="549"/>
      <c r="M559" s="181"/>
      <c r="N559" s="181"/>
      <c r="O559" s="181"/>
      <c r="P559" s="156"/>
      <c r="Q559" s="562"/>
      <c r="R559" s="181"/>
      <c r="S559" s="181"/>
      <c r="T559" s="181"/>
      <c r="U559" s="179"/>
      <c r="V559" s="549"/>
      <c r="W559" s="181"/>
      <c r="X559" s="181"/>
      <c r="Y559" s="181"/>
      <c r="Z559" s="179"/>
      <c r="AA559" s="549"/>
      <c r="AB559" s="181"/>
      <c r="AC559" s="181"/>
      <c r="AD559" s="181"/>
      <c r="AE559" s="179"/>
      <c r="AF559" s="549"/>
      <c r="AG559" s="181"/>
      <c r="AH559" s="181"/>
      <c r="AI559" s="181"/>
      <c r="AJ559" s="179"/>
      <c r="AK559" s="549"/>
      <c r="AL559" s="181"/>
      <c r="AM559" s="181"/>
      <c r="AN559" s="181"/>
      <c r="AO559" s="179"/>
      <c r="AP559" s="549"/>
      <c r="AQ559" s="181"/>
      <c r="AR559" s="181"/>
      <c r="AS559" s="181"/>
      <c r="AT559" s="528"/>
      <c r="AU559" s="528"/>
      <c r="AV559" s="528"/>
      <c r="AW559" s="528"/>
      <c r="AX559" s="528"/>
      <c r="AY559" s="528"/>
      <c r="AZ559" s="528"/>
      <c r="BA559" s="528"/>
      <c r="BB559" s="528"/>
      <c r="BC559" s="528"/>
      <c r="BD559" s="528"/>
      <c r="BE559" s="528"/>
      <c r="BF559" s="528"/>
      <c r="BG559" s="528"/>
      <c r="BH559" s="528"/>
    </row>
    <row r="560">
      <c r="A560" s="179"/>
      <c r="B560" s="549"/>
      <c r="C560" s="181"/>
      <c r="D560" s="181"/>
      <c r="E560" s="181"/>
      <c r="F560" s="179"/>
      <c r="G560" s="549"/>
      <c r="H560" s="181"/>
      <c r="I560" s="181"/>
      <c r="J560" s="181"/>
      <c r="K560" s="156"/>
      <c r="L560" s="549"/>
      <c r="M560" s="181"/>
      <c r="N560" s="181"/>
      <c r="O560" s="181"/>
      <c r="P560" s="156"/>
      <c r="Q560" s="562"/>
      <c r="R560" s="181"/>
      <c r="S560" s="181"/>
      <c r="T560" s="181"/>
      <c r="U560" s="179"/>
      <c r="V560" s="549"/>
      <c r="W560" s="181"/>
      <c r="X560" s="181"/>
      <c r="Y560" s="181"/>
      <c r="Z560" s="179"/>
      <c r="AA560" s="549"/>
      <c r="AB560" s="181"/>
      <c r="AC560" s="181"/>
      <c r="AD560" s="181"/>
      <c r="AE560" s="179"/>
      <c r="AF560" s="549"/>
      <c r="AG560" s="181"/>
      <c r="AH560" s="181"/>
      <c r="AI560" s="181"/>
      <c r="AJ560" s="179"/>
      <c r="AK560" s="549"/>
      <c r="AL560" s="181"/>
      <c r="AM560" s="181"/>
      <c r="AN560" s="181"/>
      <c r="AO560" s="179"/>
      <c r="AP560" s="549"/>
      <c r="AQ560" s="181"/>
      <c r="AR560" s="181"/>
      <c r="AS560" s="181"/>
      <c r="AT560" s="528"/>
      <c r="AU560" s="528"/>
      <c r="AV560" s="528"/>
      <c r="AW560" s="528"/>
      <c r="AX560" s="528"/>
      <c r="AY560" s="528"/>
      <c r="AZ560" s="528"/>
      <c r="BA560" s="528"/>
      <c r="BB560" s="528"/>
      <c r="BC560" s="528"/>
      <c r="BD560" s="528"/>
      <c r="BE560" s="528"/>
      <c r="BF560" s="528"/>
      <c r="BG560" s="528"/>
      <c r="BH560" s="528"/>
    </row>
    <row r="561">
      <c r="A561" s="179"/>
      <c r="B561" s="549"/>
      <c r="C561" s="181"/>
      <c r="D561" s="181"/>
      <c r="E561" s="181"/>
      <c r="F561" s="179"/>
      <c r="G561" s="549"/>
      <c r="H561" s="181"/>
      <c r="I561" s="181"/>
      <c r="J561" s="181"/>
      <c r="K561" s="156"/>
      <c r="L561" s="549"/>
      <c r="M561" s="181"/>
      <c r="N561" s="181"/>
      <c r="O561" s="181"/>
      <c r="P561" s="156"/>
      <c r="Q561" s="562"/>
      <c r="R561" s="181"/>
      <c r="S561" s="181"/>
      <c r="T561" s="181"/>
      <c r="U561" s="179"/>
      <c r="V561" s="549"/>
      <c r="W561" s="181"/>
      <c r="X561" s="181"/>
      <c r="Y561" s="181"/>
      <c r="Z561" s="179"/>
      <c r="AA561" s="549"/>
      <c r="AB561" s="181"/>
      <c r="AC561" s="181"/>
      <c r="AD561" s="181"/>
      <c r="AE561" s="179"/>
      <c r="AF561" s="549"/>
      <c r="AG561" s="181"/>
      <c r="AH561" s="181"/>
      <c r="AI561" s="181"/>
      <c r="AJ561" s="179"/>
      <c r="AK561" s="549"/>
      <c r="AL561" s="181"/>
      <c r="AM561" s="181"/>
      <c r="AN561" s="181"/>
      <c r="AO561" s="179"/>
      <c r="AP561" s="549"/>
      <c r="AQ561" s="181"/>
      <c r="AR561" s="181"/>
      <c r="AS561" s="181"/>
      <c r="AT561" s="528"/>
      <c r="AU561" s="528"/>
      <c r="AV561" s="528"/>
      <c r="AW561" s="528"/>
      <c r="AX561" s="528"/>
      <c r="AY561" s="528"/>
      <c r="AZ561" s="528"/>
      <c r="BA561" s="528"/>
      <c r="BB561" s="528"/>
      <c r="BC561" s="528"/>
      <c r="BD561" s="528"/>
      <c r="BE561" s="528"/>
      <c r="BF561" s="528"/>
      <c r="BG561" s="528"/>
      <c r="BH561" s="528"/>
    </row>
    <row r="562">
      <c r="A562" s="179"/>
      <c r="B562" s="549"/>
      <c r="C562" s="181"/>
      <c r="D562" s="181"/>
      <c r="E562" s="181"/>
      <c r="F562" s="179"/>
      <c r="G562" s="549"/>
      <c r="H562" s="181"/>
      <c r="I562" s="181"/>
      <c r="J562" s="181"/>
      <c r="K562" s="156"/>
      <c r="L562" s="549"/>
      <c r="M562" s="181"/>
      <c r="N562" s="181"/>
      <c r="O562" s="181"/>
      <c r="P562" s="156"/>
      <c r="Q562" s="562"/>
      <c r="R562" s="181"/>
      <c r="S562" s="181"/>
      <c r="T562" s="181"/>
      <c r="U562" s="179"/>
      <c r="V562" s="549"/>
      <c r="W562" s="181"/>
      <c r="X562" s="181"/>
      <c r="Y562" s="181"/>
      <c r="Z562" s="179"/>
      <c r="AA562" s="549"/>
      <c r="AB562" s="181"/>
      <c r="AC562" s="181"/>
      <c r="AD562" s="181"/>
      <c r="AE562" s="179"/>
      <c r="AF562" s="549"/>
      <c r="AG562" s="181"/>
      <c r="AH562" s="181"/>
      <c r="AI562" s="181"/>
      <c r="AJ562" s="179"/>
      <c r="AK562" s="549"/>
      <c r="AL562" s="181"/>
      <c r="AM562" s="181"/>
      <c r="AN562" s="181"/>
      <c r="AO562" s="179"/>
      <c r="AP562" s="549"/>
      <c r="AQ562" s="181"/>
      <c r="AR562" s="181"/>
      <c r="AS562" s="181"/>
      <c r="AT562" s="528"/>
      <c r="AU562" s="528"/>
      <c r="AV562" s="528"/>
      <c r="AW562" s="528"/>
      <c r="AX562" s="528"/>
      <c r="AY562" s="528"/>
      <c r="AZ562" s="528"/>
      <c r="BA562" s="528"/>
      <c r="BB562" s="528"/>
      <c r="BC562" s="528"/>
      <c r="BD562" s="528"/>
      <c r="BE562" s="528"/>
      <c r="BF562" s="528"/>
      <c r="BG562" s="528"/>
      <c r="BH562" s="528"/>
    </row>
    <row r="563">
      <c r="A563" s="179"/>
      <c r="B563" s="549"/>
      <c r="C563" s="181"/>
      <c r="D563" s="181"/>
      <c r="E563" s="181"/>
      <c r="F563" s="179"/>
      <c r="G563" s="549"/>
      <c r="H563" s="181"/>
      <c r="I563" s="181"/>
      <c r="J563" s="181"/>
      <c r="K563" s="156"/>
      <c r="L563" s="549"/>
      <c r="M563" s="181"/>
      <c r="N563" s="181"/>
      <c r="O563" s="181"/>
      <c r="P563" s="156"/>
      <c r="Q563" s="562"/>
      <c r="R563" s="181"/>
      <c r="S563" s="181"/>
      <c r="T563" s="181"/>
      <c r="U563" s="179"/>
      <c r="V563" s="549"/>
      <c r="W563" s="181"/>
      <c r="X563" s="181"/>
      <c r="Y563" s="181"/>
      <c r="Z563" s="179"/>
      <c r="AA563" s="549"/>
      <c r="AB563" s="181"/>
      <c r="AC563" s="181"/>
      <c r="AD563" s="181"/>
      <c r="AE563" s="179"/>
      <c r="AF563" s="549"/>
      <c r="AG563" s="181"/>
      <c r="AH563" s="181"/>
      <c r="AI563" s="181"/>
      <c r="AJ563" s="179"/>
      <c r="AK563" s="549"/>
      <c r="AL563" s="181"/>
      <c r="AM563" s="181"/>
      <c r="AN563" s="181"/>
      <c r="AO563" s="179"/>
      <c r="AP563" s="549"/>
      <c r="AQ563" s="181"/>
      <c r="AR563" s="181"/>
      <c r="AS563" s="181"/>
      <c r="AT563" s="528"/>
      <c r="AU563" s="528"/>
      <c r="AV563" s="528"/>
      <c r="AW563" s="528"/>
      <c r="AX563" s="528"/>
      <c r="AY563" s="528"/>
      <c r="AZ563" s="528"/>
      <c r="BA563" s="528"/>
      <c r="BB563" s="528"/>
      <c r="BC563" s="528"/>
      <c r="BD563" s="528"/>
      <c r="BE563" s="528"/>
      <c r="BF563" s="528"/>
      <c r="BG563" s="528"/>
      <c r="BH563" s="528"/>
    </row>
    <row r="564">
      <c r="A564" s="179"/>
      <c r="B564" s="549"/>
      <c r="C564" s="181"/>
      <c r="D564" s="181"/>
      <c r="E564" s="181"/>
      <c r="F564" s="179"/>
      <c r="G564" s="549"/>
      <c r="H564" s="181"/>
      <c r="I564" s="181"/>
      <c r="J564" s="181"/>
      <c r="K564" s="156"/>
      <c r="L564" s="549"/>
      <c r="M564" s="181"/>
      <c r="N564" s="181"/>
      <c r="O564" s="181"/>
      <c r="P564" s="156"/>
      <c r="Q564" s="562"/>
      <c r="R564" s="181"/>
      <c r="S564" s="181"/>
      <c r="T564" s="181"/>
      <c r="U564" s="179"/>
      <c r="V564" s="549"/>
      <c r="W564" s="181"/>
      <c r="X564" s="181"/>
      <c r="Y564" s="181"/>
      <c r="Z564" s="179"/>
      <c r="AA564" s="549"/>
      <c r="AB564" s="181"/>
      <c r="AC564" s="181"/>
      <c r="AD564" s="181"/>
      <c r="AE564" s="179"/>
      <c r="AF564" s="549"/>
      <c r="AG564" s="181"/>
      <c r="AH564" s="181"/>
      <c r="AI564" s="181"/>
      <c r="AJ564" s="179"/>
      <c r="AK564" s="549"/>
      <c r="AL564" s="181"/>
      <c r="AM564" s="181"/>
      <c r="AN564" s="181"/>
      <c r="AO564" s="179"/>
      <c r="AP564" s="549"/>
      <c r="AQ564" s="181"/>
      <c r="AR564" s="181"/>
      <c r="AS564" s="181"/>
      <c r="AT564" s="528"/>
      <c r="AU564" s="528"/>
      <c r="AV564" s="528"/>
      <c r="AW564" s="528"/>
      <c r="AX564" s="528"/>
      <c r="AY564" s="528"/>
      <c r="AZ564" s="528"/>
      <c r="BA564" s="528"/>
      <c r="BB564" s="528"/>
      <c r="BC564" s="528"/>
      <c r="BD564" s="528"/>
      <c r="BE564" s="528"/>
      <c r="BF564" s="528"/>
      <c r="BG564" s="528"/>
      <c r="BH564" s="528"/>
    </row>
    <row r="565">
      <c r="A565" s="179"/>
      <c r="B565" s="549"/>
      <c r="C565" s="181"/>
      <c r="D565" s="181"/>
      <c r="E565" s="181"/>
      <c r="F565" s="179"/>
      <c r="G565" s="549"/>
      <c r="H565" s="181"/>
      <c r="I565" s="181"/>
      <c r="J565" s="181"/>
      <c r="K565" s="156"/>
      <c r="L565" s="549"/>
      <c r="M565" s="181"/>
      <c r="N565" s="181"/>
      <c r="O565" s="181"/>
      <c r="P565" s="156"/>
      <c r="Q565" s="562"/>
      <c r="R565" s="181"/>
      <c r="S565" s="181"/>
      <c r="T565" s="181"/>
      <c r="U565" s="179"/>
      <c r="V565" s="549"/>
      <c r="W565" s="181"/>
      <c r="X565" s="181"/>
      <c r="Y565" s="181"/>
      <c r="Z565" s="179"/>
      <c r="AA565" s="549"/>
      <c r="AB565" s="181"/>
      <c r="AC565" s="181"/>
      <c r="AD565" s="181"/>
      <c r="AE565" s="179"/>
      <c r="AF565" s="549"/>
      <c r="AG565" s="181"/>
      <c r="AH565" s="181"/>
      <c r="AI565" s="181"/>
      <c r="AJ565" s="179"/>
      <c r="AK565" s="549"/>
      <c r="AL565" s="181"/>
      <c r="AM565" s="181"/>
      <c r="AN565" s="181"/>
      <c r="AO565" s="179"/>
      <c r="AP565" s="549"/>
      <c r="AQ565" s="181"/>
      <c r="AR565" s="181"/>
      <c r="AS565" s="181"/>
      <c r="AT565" s="528"/>
      <c r="AU565" s="528"/>
      <c r="AV565" s="528"/>
      <c r="AW565" s="528"/>
      <c r="AX565" s="528"/>
      <c r="AY565" s="528"/>
      <c r="AZ565" s="528"/>
      <c r="BA565" s="528"/>
      <c r="BB565" s="528"/>
      <c r="BC565" s="528"/>
      <c r="BD565" s="528"/>
      <c r="BE565" s="528"/>
      <c r="BF565" s="528"/>
      <c r="BG565" s="528"/>
      <c r="BH565" s="528"/>
    </row>
    <row r="566">
      <c r="A566" s="179"/>
      <c r="B566" s="549"/>
      <c r="C566" s="181"/>
      <c r="D566" s="181"/>
      <c r="E566" s="181"/>
      <c r="F566" s="179"/>
      <c r="G566" s="549"/>
      <c r="H566" s="181"/>
      <c r="I566" s="181"/>
      <c r="J566" s="181"/>
      <c r="K566" s="156"/>
      <c r="L566" s="549"/>
      <c r="M566" s="181"/>
      <c r="N566" s="181"/>
      <c r="O566" s="181"/>
      <c r="P566" s="156"/>
      <c r="Q566" s="562"/>
      <c r="R566" s="181"/>
      <c r="S566" s="181"/>
      <c r="T566" s="181"/>
      <c r="U566" s="179"/>
      <c r="V566" s="549"/>
      <c r="W566" s="181"/>
      <c r="X566" s="181"/>
      <c r="Y566" s="181"/>
      <c r="Z566" s="179"/>
      <c r="AA566" s="549"/>
      <c r="AB566" s="181"/>
      <c r="AC566" s="181"/>
      <c r="AD566" s="181"/>
      <c r="AE566" s="179"/>
      <c r="AF566" s="549"/>
      <c r="AG566" s="181"/>
      <c r="AH566" s="181"/>
      <c r="AI566" s="181"/>
      <c r="AJ566" s="179"/>
      <c r="AK566" s="549"/>
      <c r="AL566" s="181"/>
      <c r="AM566" s="181"/>
      <c r="AN566" s="181"/>
      <c r="AO566" s="179"/>
      <c r="AP566" s="549"/>
      <c r="AQ566" s="181"/>
      <c r="AR566" s="181"/>
      <c r="AS566" s="181"/>
      <c r="AT566" s="528"/>
      <c r="AU566" s="528"/>
      <c r="AV566" s="528"/>
      <c r="AW566" s="528"/>
      <c r="AX566" s="528"/>
      <c r="AY566" s="528"/>
      <c r="AZ566" s="528"/>
      <c r="BA566" s="528"/>
      <c r="BB566" s="528"/>
      <c r="BC566" s="528"/>
      <c r="BD566" s="528"/>
      <c r="BE566" s="528"/>
      <c r="BF566" s="528"/>
      <c r="BG566" s="528"/>
      <c r="BH566" s="528"/>
    </row>
    <row r="567">
      <c r="A567" s="179"/>
      <c r="B567" s="549"/>
      <c r="C567" s="181"/>
      <c r="D567" s="181"/>
      <c r="E567" s="181"/>
      <c r="F567" s="179"/>
      <c r="G567" s="549"/>
      <c r="H567" s="181"/>
      <c r="I567" s="181"/>
      <c r="J567" s="181"/>
      <c r="K567" s="156"/>
      <c r="L567" s="549"/>
      <c r="M567" s="181"/>
      <c r="N567" s="181"/>
      <c r="O567" s="181"/>
      <c r="P567" s="156"/>
      <c r="Q567" s="562"/>
      <c r="R567" s="181"/>
      <c r="S567" s="181"/>
      <c r="T567" s="181"/>
      <c r="U567" s="179"/>
      <c r="V567" s="549"/>
      <c r="W567" s="181"/>
      <c r="X567" s="181"/>
      <c r="Y567" s="181"/>
      <c r="Z567" s="179"/>
      <c r="AA567" s="549"/>
      <c r="AB567" s="181"/>
      <c r="AC567" s="181"/>
      <c r="AD567" s="181"/>
      <c r="AE567" s="179"/>
      <c r="AF567" s="549"/>
      <c r="AG567" s="181"/>
      <c r="AH567" s="181"/>
      <c r="AI567" s="181"/>
      <c r="AJ567" s="179"/>
      <c r="AK567" s="549"/>
      <c r="AL567" s="181"/>
      <c r="AM567" s="181"/>
      <c r="AN567" s="181"/>
      <c r="AO567" s="179"/>
      <c r="AP567" s="549"/>
      <c r="AQ567" s="181"/>
      <c r="AR567" s="181"/>
      <c r="AS567" s="181"/>
      <c r="AT567" s="528"/>
      <c r="AU567" s="528"/>
      <c r="AV567" s="528"/>
      <c r="AW567" s="528"/>
      <c r="AX567" s="528"/>
      <c r="AY567" s="528"/>
      <c r="AZ567" s="528"/>
      <c r="BA567" s="528"/>
      <c r="BB567" s="528"/>
      <c r="BC567" s="528"/>
      <c r="BD567" s="528"/>
      <c r="BE567" s="528"/>
      <c r="BF567" s="528"/>
      <c r="BG567" s="528"/>
      <c r="BH567" s="528"/>
    </row>
    <row r="568">
      <c r="A568" s="179"/>
      <c r="B568" s="549"/>
      <c r="C568" s="181"/>
      <c r="D568" s="181"/>
      <c r="E568" s="181"/>
      <c r="F568" s="179"/>
      <c r="G568" s="549"/>
      <c r="H568" s="181"/>
      <c r="I568" s="181"/>
      <c r="J568" s="181"/>
      <c r="K568" s="156"/>
      <c r="L568" s="549"/>
      <c r="M568" s="181"/>
      <c r="N568" s="181"/>
      <c r="O568" s="181"/>
      <c r="P568" s="156"/>
      <c r="Q568" s="562"/>
      <c r="R568" s="181"/>
      <c r="S568" s="181"/>
      <c r="T568" s="181"/>
      <c r="U568" s="179"/>
      <c r="V568" s="549"/>
      <c r="W568" s="181"/>
      <c r="X568" s="181"/>
      <c r="Y568" s="181"/>
      <c r="Z568" s="179"/>
      <c r="AA568" s="549"/>
      <c r="AB568" s="181"/>
      <c r="AC568" s="181"/>
      <c r="AD568" s="181"/>
      <c r="AE568" s="179"/>
      <c r="AF568" s="549"/>
      <c r="AG568" s="181"/>
      <c r="AH568" s="181"/>
      <c r="AI568" s="181"/>
      <c r="AJ568" s="179"/>
      <c r="AK568" s="549"/>
      <c r="AL568" s="181"/>
      <c r="AM568" s="181"/>
      <c r="AN568" s="181"/>
      <c r="AO568" s="179"/>
      <c r="AP568" s="549"/>
      <c r="AQ568" s="181"/>
      <c r="AR568" s="181"/>
      <c r="AS568" s="181"/>
      <c r="AT568" s="528"/>
      <c r="AU568" s="528"/>
      <c r="AV568" s="528"/>
      <c r="AW568" s="528"/>
      <c r="AX568" s="528"/>
      <c r="AY568" s="528"/>
      <c r="AZ568" s="528"/>
      <c r="BA568" s="528"/>
      <c r="BB568" s="528"/>
      <c r="BC568" s="528"/>
      <c r="BD568" s="528"/>
      <c r="BE568" s="528"/>
      <c r="BF568" s="528"/>
      <c r="BG568" s="528"/>
      <c r="BH568" s="528"/>
    </row>
    <row r="569">
      <c r="A569" s="179"/>
      <c r="B569" s="549"/>
      <c r="C569" s="181"/>
      <c r="D569" s="181"/>
      <c r="E569" s="181"/>
      <c r="F569" s="179"/>
      <c r="G569" s="549"/>
      <c r="H569" s="181"/>
      <c r="I569" s="181"/>
      <c r="J569" s="181"/>
      <c r="K569" s="156"/>
      <c r="L569" s="549"/>
      <c r="M569" s="181"/>
      <c r="N569" s="181"/>
      <c r="O569" s="181"/>
      <c r="P569" s="156"/>
      <c r="Q569" s="562"/>
      <c r="R569" s="181"/>
      <c r="S569" s="181"/>
      <c r="T569" s="181"/>
      <c r="U569" s="179"/>
      <c r="V569" s="549"/>
      <c r="W569" s="181"/>
      <c r="X569" s="181"/>
      <c r="Y569" s="181"/>
      <c r="Z569" s="179"/>
      <c r="AA569" s="549"/>
      <c r="AB569" s="181"/>
      <c r="AC569" s="181"/>
      <c r="AD569" s="181"/>
      <c r="AE569" s="179"/>
      <c r="AF569" s="549"/>
      <c r="AG569" s="181"/>
      <c r="AH569" s="181"/>
      <c r="AI569" s="181"/>
      <c r="AJ569" s="179"/>
      <c r="AK569" s="549"/>
      <c r="AL569" s="181"/>
      <c r="AM569" s="181"/>
      <c r="AN569" s="181"/>
      <c r="AO569" s="179"/>
      <c r="AP569" s="549"/>
      <c r="AQ569" s="181"/>
      <c r="AR569" s="181"/>
      <c r="AS569" s="181"/>
      <c r="AT569" s="528"/>
      <c r="AU569" s="528"/>
      <c r="AV569" s="528"/>
      <c r="AW569" s="528"/>
      <c r="AX569" s="528"/>
      <c r="AY569" s="528"/>
      <c r="AZ569" s="528"/>
      <c r="BA569" s="528"/>
      <c r="BB569" s="528"/>
      <c r="BC569" s="528"/>
      <c r="BD569" s="528"/>
      <c r="BE569" s="528"/>
      <c r="BF569" s="528"/>
      <c r="BG569" s="528"/>
      <c r="BH569" s="528"/>
    </row>
    <row r="570">
      <c r="A570" s="179"/>
      <c r="B570" s="549"/>
      <c r="C570" s="181"/>
      <c r="D570" s="181"/>
      <c r="E570" s="181"/>
      <c r="F570" s="179"/>
      <c r="G570" s="549"/>
      <c r="H570" s="181"/>
      <c r="I570" s="181"/>
      <c r="J570" s="181"/>
      <c r="K570" s="156"/>
      <c r="L570" s="549"/>
      <c r="M570" s="181"/>
      <c r="N570" s="181"/>
      <c r="O570" s="181"/>
      <c r="P570" s="156"/>
      <c r="Q570" s="562"/>
      <c r="R570" s="181"/>
      <c r="S570" s="181"/>
      <c r="T570" s="181"/>
      <c r="U570" s="179"/>
      <c r="V570" s="549"/>
      <c r="W570" s="181"/>
      <c r="X570" s="181"/>
      <c r="Y570" s="181"/>
      <c r="Z570" s="179"/>
      <c r="AA570" s="549"/>
      <c r="AB570" s="181"/>
      <c r="AC570" s="181"/>
      <c r="AD570" s="181"/>
      <c r="AE570" s="179"/>
      <c r="AF570" s="549"/>
      <c r="AG570" s="181"/>
      <c r="AH570" s="181"/>
      <c r="AI570" s="181"/>
      <c r="AJ570" s="179"/>
      <c r="AK570" s="549"/>
      <c r="AL570" s="181"/>
      <c r="AM570" s="181"/>
      <c r="AN570" s="181"/>
      <c r="AO570" s="179"/>
      <c r="AP570" s="549"/>
      <c r="AQ570" s="181"/>
      <c r="AR570" s="181"/>
      <c r="AS570" s="181"/>
      <c r="AT570" s="528"/>
      <c r="AU570" s="528"/>
      <c r="AV570" s="528"/>
      <c r="AW570" s="528"/>
      <c r="AX570" s="528"/>
      <c r="AY570" s="528"/>
      <c r="AZ570" s="528"/>
      <c r="BA570" s="528"/>
      <c r="BB570" s="528"/>
      <c r="BC570" s="528"/>
      <c r="BD570" s="528"/>
      <c r="BE570" s="528"/>
      <c r="BF570" s="528"/>
      <c r="BG570" s="528"/>
      <c r="BH570" s="528"/>
    </row>
    <row r="571">
      <c r="A571" s="179"/>
      <c r="B571" s="549"/>
      <c r="C571" s="181"/>
      <c r="D571" s="181"/>
      <c r="E571" s="181"/>
      <c r="F571" s="179"/>
      <c r="G571" s="549"/>
      <c r="H571" s="181"/>
      <c r="I571" s="181"/>
      <c r="J571" s="181"/>
      <c r="K571" s="156"/>
      <c r="L571" s="549"/>
      <c r="M571" s="181"/>
      <c r="N571" s="181"/>
      <c r="O571" s="181"/>
      <c r="P571" s="156"/>
      <c r="Q571" s="562"/>
      <c r="R571" s="181"/>
      <c r="S571" s="181"/>
      <c r="T571" s="181"/>
      <c r="U571" s="179"/>
      <c r="V571" s="549"/>
      <c r="W571" s="181"/>
      <c r="X571" s="181"/>
      <c r="Y571" s="181"/>
      <c r="Z571" s="179"/>
      <c r="AA571" s="549"/>
      <c r="AB571" s="181"/>
      <c r="AC571" s="181"/>
      <c r="AD571" s="181"/>
      <c r="AE571" s="179"/>
      <c r="AF571" s="549"/>
      <c r="AG571" s="181"/>
      <c r="AH571" s="181"/>
      <c r="AI571" s="181"/>
      <c r="AJ571" s="179"/>
      <c r="AK571" s="549"/>
      <c r="AL571" s="181"/>
      <c r="AM571" s="181"/>
      <c r="AN571" s="181"/>
      <c r="AO571" s="179"/>
      <c r="AP571" s="549"/>
      <c r="AQ571" s="181"/>
      <c r="AR571" s="181"/>
      <c r="AS571" s="181"/>
      <c r="AT571" s="528"/>
      <c r="AU571" s="528"/>
      <c r="AV571" s="528"/>
      <c r="AW571" s="528"/>
      <c r="AX571" s="528"/>
      <c r="AY571" s="528"/>
      <c r="AZ571" s="528"/>
      <c r="BA571" s="528"/>
      <c r="BB571" s="528"/>
      <c r="BC571" s="528"/>
      <c r="BD571" s="528"/>
      <c r="BE571" s="528"/>
      <c r="BF571" s="528"/>
      <c r="BG571" s="528"/>
      <c r="BH571" s="528"/>
    </row>
    <row r="572">
      <c r="A572" s="179"/>
      <c r="B572" s="549"/>
      <c r="C572" s="181"/>
      <c r="D572" s="181"/>
      <c r="E572" s="181"/>
      <c r="F572" s="179"/>
      <c r="G572" s="549"/>
      <c r="H572" s="181"/>
      <c r="I572" s="181"/>
      <c r="J572" s="181"/>
      <c r="K572" s="156"/>
      <c r="L572" s="549"/>
      <c r="M572" s="181"/>
      <c r="N572" s="181"/>
      <c r="O572" s="181"/>
      <c r="P572" s="156"/>
      <c r="Q572" s="562"/>
      <c r="R572" s="181"/>
      <c r="S572" s="181"/>
      <c r="T572" s="181"/>
      <c r="U572" s="179"/>
      <c r="V572" s="549"/>
      <c r="W572" s="181"/>
      <c r="X572" s="181"/>
      <c r="Y572" s="181"/>
      <c r="Z572" s="179"/>
      <c r="AA572" s="549"/>
      <c r="AB572" s="181"/>
      <c r="AC572" s="181"/>
      <c r="AD572" s="181"/>
      <c r="AE572" s="179"/>
      <c r="AF572" s="549"/>
      <c r="AG572" s="181"/>
      <c r="AH572" s="181"/>
      <c r="AI572" s="181"/>
      <c r="AJ572" s="179"/>
      <c r="AK572" s="549"/>
      <c r="AL572" s="181"/>
      <c r="AM572" s="181"/>
      <c r="AN572" s="181"/>
      <c r="AO572" s="179"/>
      <c r="AP572" s="549"/>
      <c r="AQ572" s="181"/>
      <c r="AR572" s="181"/>
      <c r="AS572" s="181"/>
      <c r="AT572" s="528"/>
      <c r="AU572" s="528"/>
      <c r="AV572" s="528"/>
      <c r="AW572" s="528"/>
      <c r="AX572" s="528"/>
      <c r="AY572" s="528"/>
      <c r="AZ572" s="528"/>
      <c r="BA572" s="528"/>
      <c r="BB572" s="528"/>
      <c r="BC572" s="528"/>
      <c r="BD572" s="528"/>
      <c r="BE572" s="528"/>
      <c r="BF572" s="528"/>
      <c r="BG572" s="528"/>
      <c r="BH572" s="528"/>
    </row>
    <row r="573">
      <c r="A573" s="179"/>
      <c r="B573" s="549"/>
      <c r="C573" s="181"/>
      <c r="D573" s="181"/>
      <c r="E573" s="181"/>
      <c r="F573" s="179"/>
      <c r="G573" s="549"/>
      <c r="H573" s="181"/>
      <c r="I573" s="181"/>
      <c r="J573" s="181"/>
      <c r="K573" s="156"/>
      <c r="L573" s="549"/>
      <c r="M573" s="181"/>
      <c r="N573" s="181"/>
      <c r="O573" s="181"/>
      <c r="P573" s="156"/>
      <c r="Q573" s="562"/>
      <c r="R573" s="181"/>
      <c r="S573" s="181"/>
      <c r="T573" s="181"/>
      <c r="U573" s="179"/>
      <c r="V573" s="549"/>
      <c r="W573" s="181"/>
      <c r="X573" s="181"/>
      <c r="Y573" s="181"/>
      <c r="Z573" s="179"/>
      <c r="AA573" s="549"/>
      <c r="AB573" s="181"/>
      <c r="AC573" s="181"/>
      <c r="AD573" s="181"/>
      <c r="AE573" s="179"/>
      <c r="AF573" s="549"/>
      <c r="AG573" s="181"/>
      <c r="AH573" s="181"/>
      <c r="AI573" s="181"/>
      <c r="AJ573" s="179"/>
      <c r="AK573" s="549"/>
      <c r="AL573" s="181"/>
      <c r="AM573" s="181"/>
      <c r="AN573" s="181"/>
      <c r="AO573" s="179"/>
      <c r="AP573" s="549"/>
      <c r="AQ573" s="181"/>
      <c r="AR573" s="181"/>
      <c r="AS573" s="181"/>
      <c r="AT573" s="528"/>
      <c r="AU573" s="528"/>
      <c r="AV573" s="528"/>
      <c r="AW573" s="528"/>
      <c r="AX573" s="528"/>
      <c r="AY573" s="528"/>
      <c r="AZ573" s="528"/>
      <c r="BA573" s="528"/>
      <c r="BB573" s="528"/>
      <c r="BC573" s="528"/>
      <c r="BD573" s="528"/>
      <c r="BE573" s="528"/>
      <c r="BF573" s="528"/>
      <c r="BG573" s="528"/>
      <c r="BH573" s="528"/>
    </row>
    <row r="574">
      <c r="A574" s="179"/>
      <c r="B574" s="549"/>
      <c r="C574" s="181"/>
      <c r="D574" s="181"/>
      <c r="E574" s="181"/>
      <c r="F574" s="179"/>
      <c r="G574" s="549"/>
      <c r="H574" s="181"/>
      <c r="I574" s="181"/>
      <c r="J574" s="181"/>
      <c r="K574" s="156"/>
      <c r="L574" s="549"/>
      <c r="M574" s="181"/>
      <c r="N574" s="181"/>
      <c r="O574" s="181"/>
      <c r="P574" s="156"/>
      <c r="Q574" s="562"/>
      <c r="R574" s="181"/>
      <c r="S574" s="181"/>
      <c r="T574" s="181"/>
      <c r="U574" s="179"/>
      <c r="V574" s="549"/>
      <c r="W574" s="181"/>
      <c r="X574" s="181"/>
      <c r="Y574" s="181"/>
      <c r="Z574" s="179"/>
      <c r="AA574" s="549"/>
      <c r="AB574" s="181"/>
      <c r="AC574" s="181"/>
      <c r="AD574" s="181"/>
      <c r="AE574" s="179"/>
      <c r="AF574" s="549"/>
      <c r="AG574" s="181"/>
      <c r="AH574" s="181"/>
      <c r="AI574" s="181"/>
      <c r="AJ574" s="179"/>
      <c r="AK574" s="549"/>
      <c r="AL574" s="181"/>
      <c r="AM574" s="181"/>
      <c r="AN574" s="181"/>
      <c r="AO574" s="179"/>
      <c r="AP574" s="549"/>
      <c r="AQ574" s="181"/>
      <c r="AR574" s="181"/>
      <c r="AS574" s="181"/>
      <c r="AT574" s="528"/>
      <c r="AU574" s="528"/>
      <c r="AV574" s="528"/>
      <c r="AW574" s="528"/>
      <c r="AX574" s="528"/>
      <c r="AY574" s="528"/>
      <c r="AZ574" s="528"/>
      <c r="BA574" s="528"/>
      <c r="BB574" s="528"/>
      <c r="BC574" s="528"/>
      <c r="BD574" s="528"/>
      <c r="BE574" s="528"/>
      <c r="BF574" s="528"/>
      <c r="BG574" s="528"/>
      <c r="BH574" s="528"/>
    </row>
    <row r="575">
      <c r="A575" s="179"/>
      <c r="B575" s="549"/>
      <c r="C575" s="181"/>
      <c r="D575" s="181"/>
      <c r="E575" s="181"/>
      <c r="F575" s="179"/>
      <c r="G575" s="549"/>
      <c r="H575" s="181"/>
      <c r="I575" s="181"/>
      <c r="J575" s="181"/>
      <c r="K575" s="156"/>
      <c r="L575" s="549"/>
      <c r="M575" s="181"/>
      <c r="N575" s="181"/>
      <c r="O575" s="181"/>
      <c r="P575" s="156"/>
      <c r="Q575" s="562"/>
      <c r="R575" s="181"/>
      <c r="S575" s="181"/>
      <c r="T575" s="181"/>
      <c r="U575" s="179"/>
      <c r="V575" s="549"/>
      <c r="W575" s="181"/>
      <c r="X575" s="181"/>
      <c r="Y575" s="181"/>
      <c r="Z575" s="179"/>
      <c r="AA575" s="549"/>
      <c r="AB575" s="181"/>
      <c r="AC575" s="181"/>
      <c r="AD575" s="181"/>
      <c r="AE575" s="179"/>
      <c r="AF575" s="549"/>
      <c r="AG575" s="181"/>
      <c r="AH575" s="181"/>
      <c r="AI575" s="181"/>
      <c r="AJ575" s="179"/>
      <c r="AK575" s="549"/>
      <c r="AL575" s="181"/>
      <c r="AM575" s="181"/>
      <c r="AN575" s="181"/>
      <c r="AO575" s="179"/>
      <c r="AP575" s="549"/>
      <c r="AQ575" s="181"/>
      <c r="AR575" s="181"/>
      <c r="AS575" s="181"/>
      <c r="AT575" s="528"/>
      <c r="AU575" s="528"/>
      <c r="AV575" s="528"/>
      <c r="AW575" s="528"/>
      <c r="AX575" s="528"/>
      <c r="AY575" s="528"/>
      <c r="AZ575" s="528"/>
      <c r="BA575" s="528"/>
      <c r="BB575" s="528"/>
      <c r="BC575" s="528"/>
      <c r="BD575" s="528"/>
      <c r="BE575" s="528"/>
      <c r="BF575" s="528"/>
      <c r="BG575" s="528"/>
      <c r="BH575" s="528"/>
    </row>
    <row r="576">
      <c r="A576" s="179"/>
      <c r="B576" s="549"/>
      <c r="C576" s="181"/>
      <c r="D576" s="181"/>
      <c r="E576" s="181"/>
      <c r="F576" s="179"/>
      <c r="G576" s="549"/>
      <c r="H576" s="181"/>
      <c r="I576" s="181"/>
      <c r="J576" s="181"/>
      <c r="K576" s="156"/>
      <c r="L576" s="549"/>
      <c r="M576" s="181"/>
      <c r="N576" s="181"/>
      <c r="O576" s="181"/>
      <c r="P576" s="156"/>
      <c r="Q576" s="562"/>
      <c r="R576" s="181"/>
      <c r="S576" s="181"/>
      <c r="T576" s="181"/>
      <c r="U576" s="179"/>
      <c r="V576" s="549"/>
      <c r="W576" s="181"/>
      <c r="X576" s="181"/>
      <c r="Y576" s="181"/>
      <c r="Z576" s="179"/>
      <c r="AA576" s="549"/>
      <c r="AB576" s="181"/>
      <c r="AC576" s="181"/>
      <c r="AD576" s="181"/>
      <c r="AE576" s="179"/>
      <c r="AF576" s="549"/>
      <c r="AG576" s="181"/>
      <c r="AH576" s="181"/>
      <c r="AI576" s="181"/>
      <c r="AJ576" s="179"/>
      <c r="AK576" s="549"/>
      <c r="AL576" s="181"/>
      <c r="AM576" s="181"/>
      <c r="AN576" s="181"/>
      <c r="AO576" s="179"/>
      <c r="AP576" s="549"/>
      <c r="AQ576" s="181"/>
      <c r="AR576" s="181"/>
      <c r="AS576" s="181"/>
      <c r="AT576" s="528"/>
      <c r="AU576" s="528"/>
      <c r="AV576" s="528"/>
      <c r="AW576" s="528"/>
      <c r="AX576" s="528"/>
      <c r="AY576" s="528"/>
      <c r="AZ576" s="528"/>
      <c r="BA576" s="528"/>
      <c r="BB576" s="528"/>
      <c r="BC576" s="528"/>
      <c r="BD576" s="528"/>
      <c r="BE576" s="528"/>
      <c r="BF576" s="528"/>
      <c r="BG576" s="528"/>
      <c r="BH576" s="528"/>
    </row>
    <row r="577">
      <c r="A577" s="179"/>
      <c r="B577" s="549"/>
      <c r="C577" s="181"/>
      <c r="D577" s="181"/>
      <c r="E577" s="181"/>
      <c r="F577" s="179"/>
      <c r="G577" s="549"/>
      <c r="H577" s="181"/>
      <c r="I577" s="181"/>
      <c r="J577" s="181"/>
      <c r="K577" s="156"/>
      <c r="L577" s="549"/>
      <c r="M577" s="181"/>
      <c r="N577" s="181"/>
      <c r="O577" s="181"/>
      <c r="P577" s="156"/>
      <c r="Q577" s="562"/>
      <c r="R577" s="181"/>
      <c r="S577" s="181"/>
      <c r="T577" s="181"/>
      <c r="U577" s="179"/>
      <c r="V577" s="549"/>
      <c r="W577" s="181"/>
      <c r="X577" s="181"/>
      <c r="Y577" s="181"/>
      <c r="Z577" s="179"/>
      <c r="AA577" s="549"/>
      <c r="AB577" s="181"/>
      <c r="AC577" s="181"/>
      <c r="AD577" s="181"/>
      <c r="AE577" s="179"/>
      <c r="AF577" s="549"/>
      <c r="AG577" s="181"/>
      <c r="AH577" s="181"/>
      <c r="AI577" s="181"/>
      <c r="AJ577" s="179"/>
      <c r="AK577" s="549"/>
      <c r="AL577" s="181"/>
      <c r="AM577" s="181"/>
      <c r="AN577" s="181"/>
      <c r="AO577" s="179"/>
      <c r="AP577" s="549"/>
      <c r="AQ577" s="181"/>
      <c r="AR577" s="181"/>
      <c r="AS577" s="181"/>
      <c r="AT577" s="528"/>
      <c r="AU577" s="528"/>
      <c r="AV577" s="528"/>
      <c r="AW577" s="528"/>
      <c r="AX577" s="528"/>
      <c r="AY577" s="528"/>
      <c r="AZ577" s="528"/>
      <c r="BA577" s="528"/>
      <c r="BB577" s="528"/>
      <c r="BC577" s="528"/>
      <c r="BD577" s="528"/>
      <c r="BE577" s="528"/>
      <c r="BF577" s="528"/>
      <c r="BG577" s="528"/>
      <c r="BH577" s="528"/>
    </row>
    <row r="578">
      <c r="A578" s="179"/>
      <c r="B578" s="549"/>
      <c r="C578" s="181"/>
      <c r="D578" s="181"/>
      <c r="E578" s="181"/>
      <c r="F578" s="179"/>
      <c r="G578" s="549"/>
      <c r="H578" s="181"/>
      <c r="I578" s="181"/>
      <c r="J578" s="181"/>
      <c r="K578" s="156"/>
      <c r="L578" s="549"/>
      <c r="M578" s="181"/>
      <c r="N578" s="181"/>
      <c r="O578" s="181"/>
      <c r="P578" s="156"/>
      <c r="Q578" s="562"/>
      <c r="R578" s="181"/>
      <c r="S578" s="181"/>
      <c r="T578" s="181"/>
      <c r="U578" s="179"/>
      <c r="V578" s="549"/>
      <c r="W578" s="181"/>
      <c r="X578" s="181"/>
      <c r="Y578" s="181"/>
      <c r="Z578" s="179"/>
      <c r="AA578" s="549"/>
      <c r="AB578" s="181"/>
      <c r="AC578" s="181"/>
      <c r="AD578" s="181"/>
      <c r="AE578" s="179"/>
      <c r="AF578" s="549"/>
      <c r="AG578" s="181"/>
      <c r="AH578" s="181"/>
      <c r="AI578" s="181"/>
      <c r="AJ578" s="179"/>
      <c r="AK578" s="549"/>
      <c r="AL578" s="181"/>
      <c r="AM578" s="181"/>
      <c r="AN578" s="181"/>
      <c r="AO578" s="179"/>
      <c r="AP578" s="549"/>
      <c r="AQ578" s="181"/>
      <c r="AR578" s="181"/>
      <c r="AS578" s="181"/>
      <c r="AT578" s="528"/>
      <c r="AU578" s="528"/>
      <c r="AV578" s="528"/>
      <c r="AW578" s="528"/>
      <c r="AX578" s="528"/>
      <c r="AY578" s="528"/>
      <c r="AZ578" s="528"/>
      <c r="BA578" s="528"/>
      <c r="BB578" s="528"/>
      <c r="BC578" s="528"/>
      <c r="BD578" s="528"/>
      <c r="BE578" s="528"/>
      <c r="BF578" s="528"/>
      <c r="BG578" s="528"/>
      <c r="BH578" s="528"/>
    </row>
    <row r="579">
      <c r="A579" s="179"/>
      <c r="B579" s="549"/>
      <c r="C579" s="181"/>
      <c r="D579" s="181"/>
      <c r="E579" s="181"/>
      <c r="F579" s="179"/>
      <c r="G579" s="549"/>
      <c r="H579" s="181"/>
      <c r="I579" s="181"/>
      <c r="J579" s="181"/>
      <c r="K579" s="156"/>
      <c r="L579" s="549"/>
      <c r="M579" s="181"/>
      <c r="N579" s="181"/>
      <c r="O579" s="181"/>
      <c r="P579" s="156"/>
      <c r="Q579" s="562"/>
      <c r="R579" s="181"/>
      <c r="S579" s="181"/>
      <c r="T579" s="181"/>
      <c r="U579" s="179"/>
      <c r="V579" s="549"/>
      <c r="W579" s="181"/>
      <c r="X579" s="181"/>
      <c r="Y579" s="181"/>
      <c r="Z579" s="179"/>
      <c r="AA579" s="549"/>
      <c r="AB579" s="181"/>
      <c r="AC579" s="181"/>
      <c r="AD579" s="181"/>
      <c r="AE579" s="179"/>
      <c r="AF579" s="549"/>
      <c r="AG579" s="181"/>
      <c r="AH579" s="181"/>
      <c r="AI579" s="181"/>
      <c r="AJ579" s="179"/>
      <c r="AK579" s="549"/>
      <c r="AL579" s="181"/>
      <c r="AM579" s="181"/>
      <c r="AN579" s="181"/>
      <c r="AO579" s="179"/>
      <c r="AP579" s="549"/>
      <c r="AQ579" s="181"/>
      <c r="AR579" s="181"/>
      <c r="AS579" s="181"/>
      <c r="AT579" s="528"/>
      <c r="AU579" s="528"/>
      <c r="AV579" s="528"/>
      <c r="AW579" s="528"/>
      <c r="AX579" s="528"/>
      <c r="AY579" s="528"/>
      <c r="AZ579" s="528"/>
      <c r="BA579" s="528"/>
      <c r="BB579" s="528"/>
      <c r="BC579" s="528"/>
      <c r="BD579" s="528"/>
      <c r="BE579" s="528"/>
      <c r="BF579" s="528"/>
      <c r="BG579" s="528"/>
      <c r="BH579" s="528"/>
    </row>
    <row r="580">
      <c r="A580" s="179"/>
      <c r="B580" s="549"/>
      <c r="C580" s="181"/>
      <c r="D580" s="181"/>
      <c r="E580" s="181"/>
      <c r="F580" s="179"/>
      <c r="G580" s="549"/>
      <c r="H580" s="181"/>
      <c r="I580" s="181"/>
      <c r="J580" s="181"/>
      <c r="K580" s="156"/>
      <c r="L580" s="549"/>
      <c r="M580" s="181"/>
      <c r="N580" s="181"/>
      <c r="O580" s="181"/>
      <c r="P580" s="156"/>
      <c r="Q580" s="562"/>
      <c r="R580" s="181"/>
      <c r="S580" s="181"/>
      <c r="T580" s="181"/>
      <c r="U580" s="179"/>
      <c r="V580" s="549"/>
      <c r="W580" s="181"/>
      <c r="X580" s="181"/>
      <c r="Y580" s="181"/>
      <c r="Z580" s="179"/>
      <c r="AA580" s="549"/>
      <c r="AB580" s="181"/>
      <c r="AC580" s="181"/>
      <c r="AD580" s="181"/>
      <c r="AE580" s="179"/>
      <c r="AF580" s="549"/>
      <c r="AG580" s="181"/>
      <c r="AH580" s="181"/>
      <c r="AI580" s="181"/>
      <c r="AJ580" s="179"/>
      <c r="AK580" s="549"/>
      <c r="AL580" s="181"/>
      <c r="AM580" s="181"/>
      <c r="AN580" s="181"/>
      <c r="AO580" s="179"/>
      <c r="AP580" s="549"/>
      <c r="AQ580" s="181"/>
      <c r="AR580" s="181"/>
      <c r="AS580" s="181"/>
      <c r="AT580" s="528"/>
      <c r="AU580" s="528"/>
      <c r="AV580" s="528"/>
      <c r="AW580" s="528"/>
      <c r="AX580" s="528"/>
      <c r="AY580" s="528"/>
      <c r="AZ580" s="528"/>
      <c r="BA580" s="528"/>
      <c r="BB580" s="528"/>
      <c r="BC580" s="528"/>
      <c r="BD580" s="528"/>
      <c r="BE580" s="528"/>
      <c r="BF580" s="528"/>
      <c r="BG580" s="528"/>
      <c r="BH580" s="528"/>
    </row>
    <row r="581">
      <c r="A581" s="179"/>
      <c r="B581" s="549"/>
      <c r="C581" s="181"/>
      <c r="D581" s="181"/>
      <c r="E581" s="181"/>
      <c r="F581" s="179"/>
      <c r="G581" s="549"/>
      <c r="H581" s="181"/>
      <c r="I581" s="181"/>
      <c r="J581" s="181"/>
      <c r="K581" s="156"/>
      <c r="L581" s="549"/>
      <c r="M581" s="181"/>
      <c r="N581" s="181"/>
      <c r="O581" s="181"/>
      <c r="P581" s="156"/>
      <c r="Q581" s="562"/>
      <c r="R581" s="181"/>
      <c r="S581" s="181"/>
      <c r="T581" s="181"/>
      <c r="U581" s="179"/>
      <c r="V581" s="549"/>
      <c r="W581" s="181"/>
      <c r="X581" s="181"/>
      <c r="Y581" s="181"/>
      <c r="Z581" s="179"/>
      <c r="AA581" s="549"/>
      <c r="AB581" s="181"/>
      <c r="AC581" s="181"/>
      <c r="AD581" s="181"/>
      <c r="AE581" s="179"/>
      <c r="AF581" s="549"/>
      <c r="AG581" s="181"/>
      <c r="AH581" s="181"/>
      <c r="AI581" s="181"/>
      <c r="AJ581" s="179"/>
      <c r="AK581" s="549"/>
      <c r="AL581" s="181"/>
      <c r="AM581" s="181"/>
      <c r="AN581" s="181"/>
      <c r="AO581" s="179"/>
      <c r="AP581" s="549"/>
      <c r="AQ581" s="181"/>
      <c r="AR581" s="181"/>
      <c r="AS581" s="181"/>
      <c r="AT581" s="528"/>
      <c r="AU581" s="528"/>
      <c r="AV581" s="528"/>
      <c r="AW581" s="528"/>
      <c r="AX581" s="528"/>
      <c r="AY581" s="528"/>
      <c r="AZ581" s="528"/>
      <c r="BA581" s="528"/>
      <c r="BB581" s="528"/>
      <c r="BC581" s="528"/>
      <c r="BD581" s="528"/>
      <c r="BE581" s="528"/>
      <c r="BF581" s="528"/>
      <c r="BG581" s="528"/>
      <c r="BH581" s="528"/>
    </row>
    <row r="582">
      <c r="A582" s="179"/>
      <c r="B582" s="549"/>
      <c r="C582" s="181"/>
      <c r="D582" s="181"/>
      <c r="E582" s="181"/>
      <c r="F582" s="179"/>
      <c r="G582" s="549"/>
      <c r="H582" s="181"/>
      <c r="I582" s="181"/>
      <c r="J582" s="181"/>
      <c r="K582" s="156"/>
      <c r="L582" s="549"/>
      <c r="M582" s="181"/>
      <c r="N582" s="181"/>
      <c r="O582" s="181"/>
      <c r="P582" s="156"/>
      <c r="Q582" s="562"/>
      <c r="R582" s="181"/>
      <c r="S582" s="181"/>
      <c r="T582" s="181"/>
      <c r="U582" s="179"/>
      <c r="V582" s="549"/>
      <c r="W582" s="181"/>
      <c r="X582" s="181"/>
      <c r="Y582" s="181"/>
      <c r="Z582" s="179"/>
      <c r="AA582" s="549"/>
      <c r="AB582" s="181"/>
      <c r="AC582" s="181"/>
      <c r="AD582" s="181"/>
      <c r="AE582" s="179"/>
      <c r="AF582" s="549"/>
      <c r="AG582" s="181"/>
      <c r="AH582" s="181"/>
      <c r="AI582" s="181"/>
      <c r="AJ582" s="179"/>
      <c r="AK582" s="549"/>
      <c r="AL582" s="181"/>
      <c r="AM582" s="181"/>
      <c r="AN582" s="181"/>
      <c r="AO582" s="179"/>
      <c r="AP582" s="549"/>
      <c r="AQ582" s="181"/>
      <c r="AR582" s="181"/>
      <c r="AS582" s="181"/>
      <c r="AT582" s="528"/>
      <c r="AU582" s="528"/>
      <c r="AV582" s="528"/>
      <c r="AW582" s="528"/>
      <c r="AX582" s="528"/>
      <c r="AY582" s="528"/>
      <c r="AZ582" s="528"/>
      <c r="BA582" s="528"/>
      <c r="BB582" s="528"/>
      <c r="BC582" s="528"/>
      <c r="BD582" s="528"/>
      <c r="BE582" s="528"/>
      <c r="BF582" s="528"/>
      <c r="BG582" s="528"/>
      <c r="BH582" s="528"/>
    </row>
    <row r="583">
      <c r="A583" s="179"/>
      <c r="B583" s="549"/>
      <c r="C583" s="181"/>
      <c r="D583" s="181"/>
      <c r="E583" s="181"/>
      <c r="F583" s="179"/>
      <c r="G583" s="549"/>
      <c r="H583" s="181"/>
      <c r="I583" s="181"/>
      <c r="J583" s="181"/>
      <c r="K583" s="156"/>
      <c r="L583" s="549"/>
      <c r="M583" s="181"/>
      <c r="N583" s="181"/>
      <c r="O583" s="181"/>
      <c r="P583" s="156"/>
      <c r="Q583" s="562"/>
      <c r="R583" s="181"/>
      <c r="S583" s="181"/>
      <c r="T583" s="181"/>
      <c r="U583" s="179"/>
      <c r="V583" s="549"/>
      <c r="W583" s="181"/>
      <c r="X583" s="181"/>
      <c r="Y583" s="181"/>
      <c r="Z583" s="179"/>
      <c r="AA583" s="549"/>
      <c r="AB583" s="181"/>
      <c r="AC583" s="181"/>
      <c r="AD583" s="181"/>
      <c r="AE583" s="179"/>
      <c r="AF583" s="549"/>
      <c r="AG583" s="181"/>
      <c r="AH583" s="181"/>
      <c r="AI583" s="181"/>
      <c r="AJ583" s="179"/>
      <c r="AK583" s="549"/>
      <c r="AL583" s="181"/>
      <c r="AM583" s="181"/>
      <c r="AN583" s="181"/>
      <c r="AO583" s="179"/>
      <c r="AP583" s="549"/>
      <c r="AQ583" s="181"/>
      <c r="AR583" s="181"/>
      <c r="AS583" s="181"/>
      <c r="AT583" s="528"/>
      <c r="AU583" s="528"/>
      <c r="AV583" s="528"/>
      <c r="AW583" s="528"/>
      <c r="AX583" s="528"/>
      <c r="AY583" s="528"/>
      <c r="AZ583" s="528"/>
      <c r="BA583" s="528"/>
      <c r="BB583" s="528"/>
      <c r="BC583" s="528"/>
      <c r="BD583" s="528"/>
      <c r="BE583" s="528"/>
      <c r="BF583" s="528"/>
      <c r="BG583" s="528"/>
      <c r="BH583" s="528"/>
    </row>
    <row r="584">
      <c r="A584" s="179"/>
      <c r="B584" s="549"/>
      <c r="C584" s="181"/>
      <c r="D584" s="181"/>
      <c r="E584" s="181"/>
      <c r="F584" s="179"/>
      <c r="G584" s="549"/>
      <c r="H584" s="181"/>
      <c r="I584" s="181"/>
      <c r="J584" s="181"/>
      <c r="K584" s="156"/>
      <c r="L584" s="549"/>
      <c r="M584" s="181"/>
      <c r="N584" s="181"/>
      <c r="O584" s="181"/>
      <c r="P584" s="156"/>
      <c r="Q584" s="562"/>
      <c r="R584" s="181"/>
      <c r="S584" s="181"/>
      <c r="T584" s="181"/>
      <c r="U584" s="179"/>
      <c r="V584" s="549"/>
      <c r="W584" s="181"/>
      <c r="X584" s="181"/>
      <c r="Y584" s="181"/>
      <c r="Z584" s="179"/>
      <c r="AA584" s="549"/>
      <c r="AB584" s="181"/>
      <c r="AC584" s="181"/>
      <c r="AD584" s="181"/>
      <c r="AE584" s="179"/>
      <c r="AF584" s="549"/>
      <c r="AG584" s="181"/>
      <c r="AH584" s="181"/>
      <c r="AI584" s="181"/>
      <c r="AJ584" s="179"/>
      <c r="AK584" s="549"/>
      <c r="AL584" s="181"/>
      <c r="AM584" s="181"/>
      <c r="AN584" s="181"/>
      <c r="AO584" s="179"/>
      <c r="AP584" s="549"/>
      <c r="AQ584" s="181"/>
      <c r="AR584" s="181"/>
      <c r="AS584" s="181"/>
      <c r="AT584" s="528"/>
      <c r="AU584" s="528"/>
      <c r="AV584" s="528"/>
      <c r="AW584" s="528"/>
      <c r="AX584" s="528"/>
      <c r="AY584" s="528"/>
      <c r="AZ584" s="528"/>
      <c r="BA584" s="528"/>
      <c r="BB584" s="528"/>
      <c r="BC584" s="528"/>
      <c r="BD584" s="528"/>
      <c r="BE584" s="528"/>
      <c r="BF584" s="528"/>
      <c r="BG584" s="528"/>
      <c r="BH584" s="528"/>
    </row>
    <row r="585">
      <c r="A585" s="179"/>
      <c r="B585" s="549"/>
      <c r="C585" s="181"/>
      <c r="D585" s="181"/>
      <c r="E585" s="181"/>
      <c r="F585" s="179"/>
      <c r="G585" s="549"/>
      <c r="H585" s="181"/>
      <c r="I585" s="181"/>
      <c r="J585" s="181"/>
      <c r="K585" s="156"/>
      <c r="L585" s="549"/>
      <c r="M585" s="181"/>
      <c r="N585" s="181"/>
      <c r="O585" s="181"/>
      <c r="P585" s="156"/>
      <c r="Q585" s="562"/>
      <c r="R585" s="181"/>
      <c r="S585" s="181"/>
      <c r="T585" s="181"/>
      <c r="U585" s="179"/>
      <c r="V585" s="549"/>
      <c r="W585" s="181"/>
      <c r="X585" s="181"/>
      <c r="Y585" s="181"/>
      <c r="Z585" s="179"/>
      <c r="AA585" s="549"/>
      <c r="AB585" s="181"/>
      <c r="AC585" s="181"/>
      <c r="AD585" s="181"/>
      <c r="AE585" s="179"/>
      <c r="AF585" s="549"/>
      <c r="AG585" s="181"/>
      <c r="AH585" s="181"/>
      <c r="AI585" s="181"/>
      <c r="AJ585" s="179"/>
      <c r="AK585" s="549"/>
      <c r="AL585" s="181"/>
      <c r="AM585" s="181"/>
      <c r="AN585" s="181"/>
      <c r="AO585" s="179"/>
      <c r="AP585" s="549"/>
      <c r="AQ585" s="181"/>
      <c r="AR585" s="181"/>
      <c r="AS585" s="181"/>
      <c r="AT585" s="528"/>
      <c r="AU585" s="528"/>
      <c r="AV585" s="528"/>
      <c r="AW585" s="528"/>
      <c r="AX585" s="528"/>
      <c r="AY585" s="528"/>
      <c r="AZ585" s="528"/>
      <c r="BA585" s="528"/>
      <c r="BB585" s="528"/>
      <c r="BC585" s="528"/>
      <c r="BD585" s="528"/>
      <c r="BE585" s="528"/>
      <c r="BF585" s="528"/>
      <c r="BG585" s="528"/>
      <c r="BH585" s="528"/>
    </row>
    <row r="586">
      <c r="A586" s="179"/>
      <c r="B586" s="549"/>
      <c r="C586" s="181"/>
      <c r="D586" s="181"/>
      <c r="E586" s="181"/>
      <c r="F586" s="179"/>
      <c r="G586" s="549"/>
      <c r="H586" s="181"/>
      <c r="I586" s="181"/>
      <c r="J586" s="181"/>
      <c r="K586" s="156"/>
      <c r="L586" s="549"/>
      <c r="M586" s="181"/>
      <c r="N586" s="181"/>
      <c r="O586" s="181"/>
      <c r="P586" s="156"/>
      <c r="Q586" s="562"/>
      <c r="R586" s="181"/>
      <c r="S586" s="181"/>
      <c r="T586" s="181"/>
      <c r="U586" s="179"/>
      <c r="V586" s="549"/>
      <c r="W586" s="181"/>
      <c r="X586" s="181"/>
      <c r="Y586" s="181"/>
      <c r="Z586" s="179"/>
      <c r="AA586" s="549"/>
      <c r="AB586" s="181"/>
      <c r="AC586" s="181"/>
      <c r="AD586" s="181"/>
      <c r="AE586" s="179"/>
      <c r="AF586" s="549"/>
      <c r="AG586" s="181"/>
      <c r="AH586" s="181"/>
      <c r="AI586" s="181"/>
      <c r="AJ586" s="179"/>
      <c r="AK586" s="549"/>
      <c r="AL586" s="181"/>
      <c r="AM586" s="181"/>
      <c r="AN586" s="181"/>
      <c r="AO586" s="179"/>
      <c r="AP586" s="549"/>
      <c r="AQ586" s="181"/>
      <c r="AR586" s="181"/>
      <c r="AS586" s="181"/>
      <c r="AT586" s="528"/>
      <c r="AU586" s="528"/>
      <c r="AV586" s="528"/>
      <c r="AW586" s="528"/>
      <c r="AX586" s="528"/>
      <c r="AY586" s="528"/>
      <c r="AZ586" s="528"/>
      <c r="BA586" s="528"/>
      <c r="BB586" s="528"/>
      <c r="BC586" s="528"/>
      <c r="BD586" s="528"/>
      <c r="BE586" s="528"/>
      <c r="BF586" s="528"/>
      <c r="BG586" s="528"/>
      <c r="BH586" s="528"/>
    </row>
    <row r="587">
      <c r="A587" s="179"/>
      <c r="B587" s="549"/>
      <c r="C587" s="181"/>
      <c r="D587" s="181"/>
      <c r="E587" s="181"/>
      <c r="F587" s="179"/>
      <c r="G587" s="549"/>
      <c r="H587" s="181"/>
      <c r="I587" s="181"/>
      <c r="J587" s="181"/>
      <c r="K587" s="156"/>
      <c r="L587" s="549"/>
      <c r="M587" s="181"/>
      <c r="N587" s="181"/>
      <c r="O587" s="181"/>
      <c r="P587" s="156"/>
      <c r="Q587" s="562"/>
      <c r="R587" s="181"/>
      <c r="S587" s="181"/>
      <c r="T587" s="181"/>
      <c r="U587" s="179"/>
      <c r="V587" s="549"/>
      <c r="W587" s="181"/>
      <c r="X587" s="181"/>
      <c r="Y587" s="181"/>
      <c r="Z587" s="179"/>
      <c r="AA587" s="549"/>
      <c r="AB587" s="181"/>
      <c r="AC587" s="181"/>
      <c r="AD587" s="181"/>
      <c r="AE587" s="179"/>
      <c r="AF587" s="549"/>
      <c r="AG587" s="181"/>
      <c r="AH587" s="181"/>
      <c r="AI587" s="181"/>
      <c r="AJ587" s="179"/>
      <c r="AK587" s="549"/>
      <c r="AL587" s="181"/>
      <c r="AM587" s="181"/>
      <c r="AN587" s="181"/>
      <c r="AO587" s="179"/>
      <c r="AP587" s="549"/>
      <c r="AQ587" s="181"/>
      <c r="AR587" s="181"/>
      <c r="AS587" s="181"/>
      <c r="AT587" s="528"/>
      <c r="AU587" s="528"/>
      <c r="AV587" s="528"/>
      <c r="AW587" s="528"/>
      <c r="AX587" s="528"/>
      <c r="AY587" s="528"/>
      <c r="AZ587" s="528"/>
      <c r="BA587" s="528"/>
      <c r="BB587" s="528"/>
      <c r="BC587" s="528"/>
      <c r="BD587" s="528"/>
      <c r="BE587" s="528"/>
      <c r="BF587" s="528"/>
      <c r="BG587" s="528"/>
      <c r="BH587" s="528"/>
    </row>
    <row r="588">
      <c r="A588" s="179"/>
      <c r="B588" s="549"/>
      <c r="C588" s="181"/>
      <c r="D588" s="181"/>
      <c r="E588" s="181"/>
      <c r="F588" s="179"/>
      <c r="G588" s="549"/>
      <c r="H588" s="181"/>
      <c r="I588" s="181"/>
      <c r="J588" s="181"/>
      <c r="K588" s="156"/>
      <c r="L588" s="549"/>
      <c r="M588" s="181"/>
      <c r="N588" s="181"/>
      <c r="O588" s="181"/>
      <c r="P588" s="156"/>
      <c r="Q588" s="562"/>
      <c r="R588" s="181"/>
      <c r="S588" s="181"/>
      <c r="T588" s="181"/>
      <c r="U588" s="179"/>
      <c r="V588" s="549"/>
      <c r="W588" s="181"/>
      <c r="X588" s="181"/>
      <c r="Y588" s="181"/>
      <c r="Z588" s="179"/>
      <c r="AA588" s="549"/>
      <c r="AB588" s="181"/>
      <c r="AC588" s="181"/>
      <c r="AD588" s="181"/>
      <c r="AE588" s="179"/>
      <c r="AF588" s="549"/>
      <c r="AG588" s="181"/>
      <c r="AH588" s="181"/>
      <c r="AI588" s="181"/>
      <c r="AJ588" s="179"/>
      <c r="AK588" s="549"/>
      <c r="AL588" s="181"/>
      <c r="AM588" s="181"/>
      <c r="AN588" s="181"/>
      <c r="AO588" s="179"/>
      <c r="AP588" s="549"/>
      <c r="AQ588" s="181"/>
      <c r="AR588" s="181"/>
      <c r="AS588" s="181"/>
      <c r="AT588" s="528"/>
      <c r="AU588" s="528"/>
      <c r="AV588" s="528"/>
      <c r="AW588" s="528"/>
      <c r="AX588" s="528"/>
      <c r="AY588" s="528"/>
      <c r="AZ588" s="528"/>
      <c r="BA588" s="528"/>
      <c r="BB588" s="528"/>
      <c r="BC588" s="528"/>
      <c r="BD588" s="528"/>
      <c r="BE588" s="528"/>
      <c r="BF588" s="528"/>
      <c r="BG588" s="528"/>
      <c r="BH588" s="528"/>
    </row>
    <row r="589">
      <c r="A589" s="179"/>
      <c r="B589" s="549"/>
      <c r="C589" s="181"/>
      <c r="D589" s="181"/>
      <c r="E589" s="181"/>
      <c r="F589" s="179"/>
      <c r="G589" s="549"/>
      <c r="H589" s="181"/>
      <c r="I589" s="181"/>
      <c r="J589" s="181"/>
      <c r="K589" s="156"/>
      <c r="L589" s="549"/>
      <c r="M589" s="181"/>
      <c r="N589" s="181"/>
      <c r="O589" s="181"/>
      <c r="P589" s="156"/>
      <c r="Q589" s="562"/>
      <c r="R589" s="181"/>
      <c r="S589" s="181"/>
      <c r="T589" s="181"/>
      <c r="U589" s="179"/>
      <c r="V589" s="549"/>
      <c r="W589" s="181"/>
      <c r="X589" s="181"/>
      <c r="Y589" s="181"/>
      <c r="Z589" s="179"/>
      <c r="AA589" s="549"/>
      <c r="AB589" s="181"/>
      <c r="AC589" s="181"/>
      <c r="AD589" s="181"/>
      <c r="AE589" s="179"/>
      <c r="AF589" s="549"/>
      <c r="AG589" s="181"/>
      <c r="AH589" s="181"/>
      <c r="AI589" s="181"/>
      <c r="AJ589" s="179"/>
      <c r="AK589" s="549"/>
      <c r="AL589" s="181"/>
      <c r="AM589" s="181"/>
      <c r="AN589" s="181"/>
      <c r="AO589" s="179"/>
      <c r="AP589" s="549"/>
      <c r="AQ589" s="181"/>
      <c r="AR589" s="181"/>
      <c r="AS589" s="181"/>
      <c r="AT589" s="528"/>
      <c r="AU589" s="528"/>
      <c r="AV589" s="528"/>
      <c r="AW589" s="528"/>
      <c r="AX589" s="528"/>
      <c r="AY589" s="528"/>
      <c r="AZ589" s="528"/>
      <c r="BA589" s="528"/>
      <c r="BB589" s="528"/>
      <c r="BC589" s="528"/>
      <c r="BD589" s="528"/>
      <c r="BE589" s="528"/>
      <c r="BF589" s="528"/>
      <c r="BG589" s="528"/>
      <c r="BH589" s="528"/>
    </row>
    <row r="590">
      <c r="A590" s="179"/>
      <c r="B590" s="549"/>
      <c r="C590" s="181"/>
      <c r="D590" s="181"/>
      <c r="E590" s="181"/>
      <c r="F590" s="179"/>
      <c r="G590" s="549"/>
      <c r="H590" s="181"/>
      <c r="I590" s="181"/>
      <c r="J590" s="181"/>
      <c r="K590" s="156"/>
      <c r="L590" s="549"/>
      <c r="M590" s="181"/>
      <c r="N590" s="181"/>
      <c r="O590" s="181"/>
      <c r="P590" s="156"/>
      <c r="Q590" s="562"/>
      <c r="R590" s="181"/>
      <c r="S590" s="181"/>
      <c r="T590" s="181"/>
      <c r="U590" s="179"/>
      <c r="V590" s="549"/>
      <c r="W590" s="181"/>
      <c r="X590" s="181"/>
      <c r="Y590" s="181"/>
      <c r="Z590" s="179"/>
      <c r="AA590" s="549"/>
      <c r="AB590" s="181"/>
      <c r="AC590" s="181"/>
      <c r="AD590" s="181"/>
      <c r="AE590" s="179"/>
      <c r="AF590" s="549"/>
      <c r="AG590" s="181"/>
      <c r="AH590" s="181"/>
      <c r="AI590" s="181"/>
      <c r="AJ590" s="179"/>
      <c r="AK590" s="549"/>
      <c r="AL590" s="181"/>
      <c r="AM590" s="181"/>
      <c r="AN590" s="181"/>
      <c r="AO590" s="179"/>
      <c r="AP590" s="549"/>
      <c r="AQ590" s="181"/>
      <c r="AR590" s="181"/>
      <c r="AS590" s="181"/>
      <c r="AT590" s="528"/>
      <c r="AU590" s="528"/>
      <c r="AV590" s="528"/>
      <c r="AW590" s="528"/>
      <c r="AX590" s="528"/>
      <c r="AY590" s="528"/>
      <c r="AZ590" s="528"/>
      <c r="BA590" s="528"/>
      <c r="BB590" s="528"/>
      <c r="BC590" s="528"/>
      <c r="BD590" s="528"/>
      <c r="BE590" s="528"/>
      <c r="BF590" s="528"/>
      <c r="BG590" s="528"/>
      <c r="BH590" s="528"/>
    </row>
    <row r="591">
      <c r="A591" s="179"/>
      <c r="B591" s="549"/>
      <c r="C591" s="181"/>
      <c r="D591" s="181"/>
      <c r="E591" s="181"/>
      <c r="F591" s="179"/>
      <c r="G591" s="549"/>
      <c r="H591" s="181"/>
      <c r="I591" s="181"/>
      <c r="J591" s="181"/>
      <c r="K591" s="156"/>
      <c r="L591" s="549"/>
      <c r="M591" s="181"/>
      <c r="N591" s="181"/>
      <c r="O591" s="181"/>
      <c r="P591" s="156"/>
      <c r="Q591" s="562"/>
      <c r="R591" s="181"/>
      <c r="S591" s="181"/>
      <c r="T591" s="181"/>
      <c r="U591" s="179"/>
      <c r="V591" s="549"/>
      <c r="W591" s="181"/>
      <c r="X591" s="181"/>
      <c r="Y591" s="181"/>
      <c r="Z591" s="179"/>
      <c r="AA591" s="549"/>
      <c r="AB591" s="181"/>
      <c r="AC591" s="181"/>
      <c r="AD591" s="181"/>
      <c r="AE591" s="179"/>
      <c r="AF591" s="549"/>
      <c r="AG591" s="181"/>
      <c r="AH591" s="181"/>
      <c r="AI591" s="181"/>
      <c r="AJ591" s="179"/>
      <c r="AK591" s="549"/>
      <c r="AL591" s="181"/>
      <c r="AM591" s="181"/>
      <c r="AN591" s="181"/>
      <c r="AO591" s="179"/>
      <c r="AP591" s="549"/>
      <c r="AQ591" s="181"/>
      <c r="AR591" s="181"/>
      <c r="AS591" s="181"/>
      <c r="AT591" s="528"/>
      <c r="AU591" s="528"/>
      <c r="AV591" s="528"/>
      <c r="AW591" s="528"/>
      <c r="AX591" s="528"/>
      <c r="AY591" s="528"/>
      <c r="AZ591" s="528"/>
      <c r="BA591" s="528"/>
      <c r="BB591" s="528"/>
      <c r="BC591" s="528"/>
      <c r="BD591" s="528"/>
      <c r="BE591" s="528"/>
      <c r="BF591" s="528"/>
      <c r="BG591" s="528"/>
      <c r="BH591" s="528"/>
    </row>
    <row r="592">
      <c r="A592" s="179"/>
      <c r="B592" s="549"/>
      <c r="C592" s="181"/>
      <c r="D592" s="181"/>
      <c r="E592" s="181"/>
      <c r="F592" s="179"/>
      <c r="G592" s="549"/>
      <c r="H592" s="181"/>
      <c r="I592" s="181"/>
      <c r="J592" s="181"/>
      <c r="K592" s="156"/>
      <c r="L592" s="549"/>
      <c r="M592" s="181"/>
      <c r="N592" s="181"/>
      <c r="O592" s="181"/>
      <c r="P592" s="156"/>
      <c r="Q592" s="562"/>
      <c r="R592" s="181"/>
      <c r="S592" s="181"/>
      <c r="T592" s="181"/>
      <c r="U592" s="179"/>
      <c r="V592" s="549"/>
      <c r="W592" s="181"/>
      <c r="X592" s="181"/>
      <c r="Y592" s="181"/>
      <c r="Z592" s="179"/>
      <c r="AA592" s="549"/>
      <c r="AB592" s="181"/>
      <c r="AC592" s="181"/>
      <c r="AD592" s="181"/>
      <c r="AE592" s="179"/>
      <c r="AF592" s="549"/>
      <c r="AG592" s="181"/>
      <c r="AH592" s="181"/>
      <c r="AI592" s="181"/>
      <c r="AJ592" s="179"/>
      <c r="AK592" s="549"/>
      <c r="AL592" s="181"/>
      <c r="AM592" s="181"/>
      <c r="AN592" s="181"/>
      <c r="AO592" s="179"/>
      <c r="AP592" s="549"/>
      <c r="AQ592" s="181"/>
      <c r="AR592" s="181"/>
      <c r="AS592" s="181"/>
      <c r="AT592" s="528"/>
      <c r="AU592" s="528"/>
      <c r="AV592" s="528"/>
      <c r="AW592" s="528"/>
      <c r="AX592" s="528"/>
      <c r="AY592" s="528"/>
      <c r="AZ592" s="528"/>
      <c r="BA592" s="528"/>
      <c r="BB592" s="528"/>
      <c r="BC592" s="528"/>
      <c r="BD592" s="528"/>
      <c r="BE592" s="528"/>
      <c r="BF592" s="528"/>
      <c r="BG592" s="528"/>
      <c r="BH592" s="528"/>
    </row>
    <row r="593">
      <c r="A593" s="179"/>
      <c r="B593" s="549"/>
      <c r="C593" s="181"/>
      <c r="D593" s="181"/>
      <c r="E593" s="181"/>
      <c r="F593" s="179"/>
      <c r="G593" s="549"/>
      <c r="H593" s="181"/>
      <c r="I593" s="181"/>
      <c r="J593" s="181"/>
      <c r="K593" s="156"/>
      <c r="L593" s="549"/>
      <c r="M593" s="181"/>
      <c r="N593" s="181"/>
      <c r="O593" s="181"/>
      <c r="P593" s="156"/>
      <c r="Q593" s="562"/>
      <c r="R593" s="181"/>
      <c r="S593" s="181"/>
      <c r="T593" s="181"/>
      <c r="U593" s="179"/>
      <c r="V593" s="549"/>
      <c r="W593" s="181"/>
      <c r="X593" s="181"/>
      <c r="Y593" s="181"/>
      <c r="Z593" s="179"/>
      <c r="AA593" s="549"/>
      <c r="AB593" s="181"/>
      <c r="AC593" s="181"/>
      <c r="AD593" s="181"/>
      <c r="AE593" s="179"/>
      <c r="AF593" s="549"/>
      <c r="AG593" s="181"/>
      <c r="AH593" s="181"/>
      <c r="AI593" s="181"/>
      <c r="AJ593" s="179"/>
      <c r="AK593" s="549"/>
      <c r="AL593" s="181"/>
      <c r="AM593" s="181"/>
      <c r="AN593" s="181"/>
      <c r="AO593" s="179"/>
      <c r="AP593" s="549"/>
      <c r="AQ593" s="181"/>
      <c r="AR593" s="181"/>
      <c r="AS593" s="181"/>
      <c r="AT593" s="528"/>
      <c r="AU593" s="528"/>
      <c r="AV593" s="528"/>
      <c r="AW593" s="528"/>
      <c r="AX593" s="528"/>
      <c r="AY593" s="528"/>
      <c r="AZ593" s="528"/>
      <c r="BA593" s="528"/>
      <c r="BB593" s="528"/>
      <c r="BC593" s="528"/>
      <c r="BD593" s="528"/>
      <c r="BE593" s="528"/>
      <c r="BF593" s="528"/>
      <c r="BG593" s="528"/>
      <c r="BH593" s="528"/>
    </row>
    <row r="594">
      <c r="A594" s="179"/>
      <c r="B594" s="549"/>
      <c r="C594" s="181"/>
      <c r="D594" s="181"/>
      <c r="E594" s="181"/>
      <c r="F594" s="179"/>
      <c r="G594" s="549"/>
      <c r="H594" s="181"/>
      <c r="I594" s="181"/>
      <c r="J594" s="181"/>
      <c r="K594" s="156"/>
      <c r="L594" s="549"/>
      <c r="M594" s="181"/>
      <c r="N594" s="181"/>
      <c r="O594" s="181"/>
      <c r="P594" s="156"/>
      <c r="Q594" s="562"/>
      <c r="R594" s="181"/>
      <c r="S594" s="181"/>
      <c r="T594" s="181"/>
      <c r="U594" s="179"/>
      <c r="V594" s="549"/>
      <c r="W594" s="181"/>
      <c r="X594" s="181"/>
      <c r="Y594" s="181"/>
      <c r="Z594" s="179"/>
      <c r="AA594" s="549"/>
      <c r="AB594" s="181"/>
      <c r="AC594" s="181"/>
      <c r="AD594" s="181"/>
      <c r="AE594" s="179"/>
      <c r="AF594" s="549"/>
      <c r="AG594" s="181"/>
      <c r="AH594" s="181"/>
      <c r="AI594" s="181"/>
      <c r="AJ594" s="179"/>
      <c r="AK594" s="549"/>
      <c r="AL594" s="181"/>
      <c r="AM594" s="181"/>
      <c r="AN594" s="181"/>
      <c r="AO594" s="179"/>
      <c r="AP594" s="549"/>
      <c r="AQ594" s="181"/>
      <c r="AR594" s="181"/>
      <c r="AS594" s="181"/>
      <c r="AT594" s="528"/>
      <c r="AU594" s="528"/>
      <c r="AV594" s="528"/>
      <c r="AW594" s="528"/>
      <c r="AX594" s="528"/>
      <c r="AY594" s="528"/>
      <c r="AZ594" s="528"/>
      <c r="BA594" s="528"/>
      <c r="BB594" s="528"/>
      <c r="BC594" s="528"/>
      <c r="BD594" s="528"/>
      <c r="BE594" s="528"/>
      <c r="BF594" s="528"/>
      <c r="BG594" s="528"/>
      <c r="BH594" s="528"/>
    </row>
    <row r="595">
      <c r="A595" s="179"/>
      <c r="B595" s="549"/>
      <c r="C595" s="181"/>
      <c r="D595" s="181"/>
      <c r="E595" s="181"/>
      <c r="F595" s="179"/>
      <c r="G595" s="549"/>
      <c r="H595" s="181"/>
      <c r="I595" s="181"/>
      <c r="J595" s="181"/>
      <c r="K595" s="156"/>
      <c r="L595" s="549"/>
      <c r="M595" s="181"/>
      <c r="N595" s="181"/>
      <c r="O595" s="181"/>
      <c r="P595" s="156"/>
      <c r="Q595" s="562"/>
      <c r="R595" s="181"/>
      <c r="S595" s="181"/>
      <c r="T595" s="181"/>
      <c r="U595" s="179"/>
      <c r="V595" s="549"/>
      <c r="W595" s="181"/>
      <c r="X595" s="181"/>
      <c r="Y595" s="181"/>
      <c r="Z595" s="179"/>
      <c r="AA595" s="549"/>
      <c r="AB595" s="181"/>
      <c r="AC595" s="181"/>
      <c r="AD595" s="181"/>
      <c r="AE595" s="179"/>
      <c r="AF595" s="549"/>
      <c r="AG595" s="181"/>
      <c r="AH595" s="181"/>
      <c r="AI595" s="181"/>
      <c r="AJ595" s="179"/>
      <c r="AK595" s="549"/>
      <c r="AL595" s="181"/>
      <c r="AM595" s="181"/>
      <c r="AN595" s="181"/>
      <c r="AO595" s="179"/>
      <c r="AP595" s="549"/>
      <c r="AQ595" s="181"/>
      <c r="AR595" s="181"/>
      <c r="AS595" s="181"/>
      <c r="AT595" s="528"/>
      <c r="AU595" s="528"/>
      <c r="AV595" s="528"/>
      <c r="AW595" s="528"/>
      <c r="AX595" s="528"/>
      <c r="AY595" s="528"/>
      <c r="AZ595" s="528"/>
      <c r="BA595" s="528"/>
      <c r="BB595" s="528"/>
      <c r="BC595" s="528"/>
      <c r="BD595" s="528"/>
      <c r="BE595" s="528"/>
      <c r="BF595" s="528"/>
      <c r="BG595" s="528"/>
      <c r="BH595" s="528"/>
    </row>
    <row r="596">
      <c r="A596" s="179"/>
      <c r="B596" s="549"/>
      <c r="C596" s="181"/>
      <c r="D596" s="181"/>
      <c r="E596" s="181"/>
      <c r="F596" s="179"/>
      <c r="G596" s="549"/>
      <c r="H596" s="181"/>
      <c r="I596" s="181"/>
      <c r="J596" s="181"/>
      <c r="K596" s="156"/>
      <c r="L596" s="549"/>
      <c r="M596" s="181"/>
      <c r="N596" s="181"/>
      <c r="O596" s="181"/>
      <c r="P596" s="156"/>
      <c r="Q596" s="562"/>
      <c r="R596" s="181"/>
      <c r="S596" s="181"/>
      <c r="T596" s="181"/>
      <c r="U596" s="179"/>
      <c r="V596" s="549"/>
      <c r="W596" s="181"/>
      <c r="X596" s="181"/>
      <c r="Y596" s="181"/>
      <c r="Z596" s="179"/>
      <c r="AA596" s="549"/>
      <c r="AB596" s="181"/>
      <c r="AC596" s="181"/>
      <c r="AD596" s="181"/>
      <c r="AE596" s="179"/>
      <c r="AF596" s="549"/>
      <c r="AG596" s="181"/>
      <c r="AH596" s="181"/>
      <c r="AI596" s="181"/>
      <c r="AJ596" s="179"/>
      <c r="AK596" s="549"/>
      <c r="AL596" s="181"/>
      <c r="AM596" s="181"/>
      <c r="AN596" s="181"/>
      <c r="AO596" s="179"/>
      <c r="AP596" s="549"/>
      <c r="AQ596" s="181"/>
      <c r="AR596" s="181"/>
      <c r="AS596" s="181"/>
      <c r="AT596" s="528"/>
      <c r="AU596" s="528"/>
      <c r="AV596" s="528"/>
      <c r="AW596" s="528"/>
      <c r="AX596" s="528"/>
      <c r="AY596" s="528"/>
      <c r="AZ596" s="528"/>
      <c r="BA596" s="528"/>
      <c r="BB596" s="528"/>
      <c r="BC596" s="528"/>
      <c r="BD596" s="528"/>
      <c r="BE596" s="528"/>
      <c r="BF596" s="528"/>
      <c r="BG596" s="528"/>
      <c r="BH596" s="528"/>
    </row>
    <row r="597">
      <c r="A597" s="179"/>
      <c r="B597" s="549"/>
      <c r="C597" s="181"/>
      <c r="D597" s="181"/>
      <c r="E597" s="181"/>
      <c r="F597" s="179"/>
      <c r="G597" s="549"/>
      <c r="H597" s="181"/>
      <c r="I597" s="181"/>
      <c r="J597" s="181"/>
      <c r="K597" s="156"/>
      <c r="L597" s="549"/>
      <c r="M597" s="181"/>
      <c r="N597" s="181"/>
      <c r="O597" s="181"/>
      <c r="P597" s="156"/>
      <c r="Q597" s="562"/>
      <c r="R597" s="181"/>
      <c r="S597" s="181"/>
      <c r="T597" s="181"/>
      <c r="U597" s="179"/>
      <c r="V597" s="549"/>
      <c r="W597" s="181"/>
      <c r="X597" s="181"/>
      <c r="Y597" s="181"/>
      <c r="Z597" s="179"/>
      <c r="AA597" s="549"/>
      <c r="AB597" s="181"/>
      <c r="AC597" s="181"/>
      <c r="AD597" s="181"/>
      <c r="AE597" s="179"/>
      <c r="AF597" s="549"/>
      <c r="AG597" s="181"/>
      <c r="AH597" s="181"/>
      <c r="AI597" s="181"/>
      <c r="AJ597" s="179"/>
      <c r="AK597" s="549"/>
      <c r="AL597" s="181"/>
      <c r="AM597" s="181"/>
      <c r="AN597" s="181"/>
      <c r="AO597" s="179"/>
      <c r="AP597" s="549"/>
      <c r="AQ597" s="181"/>
      <c r="AR597" s="181"/>
      <c r="AS597" s="181"/>
      <c r="AT597" s="528"/>
      <c r="AU597" s="528"/>
      <c r="AV597" s="528"/>
      <c r="AW597" s="528"/>
      <c r="AX597" s="528"/>
      <c r="AY597" s="528"/>
      <c r="AZ597" s="528"/>
      <c r="BA597" s="528"/>
      <c r="BB597" s="528"/>
      <c r="BC597" s="528"/>
      <c r="BD597" s="528"/>
      <c r="BE597" s="528"/>
      <c r="BF597" s="528"/>
      <c r="BG597" s="528"/>
      <c r="BH597" s="528"/>
    </row>
    <row r="598">
      <c r="A598" s="179"/>
      <c r="B598" s="549"/>
      <c r="C598" s="181"/>
      <c r="D598" s="181"/>
      <c r="E598" s="181"/>
      <c r="F598" s="179"/>
      <c r="G598" s="549"/>
      <c r="H598" s="181"/>
      <c r="I598" s="181"/>
      <c r="J598" s="181"/>
      <c r="K598" s="156"/>
      <c r="L598" s="549"/>
      <c r="M598" s="181"/>
      <c r="N598" s="181"/>
      <c r="O598" s="181"/>
      <c r="P598" s="156"/>
      <c r="Q598" s="562"/>
      <c r="R598" s="181"/>
      <c r="S598" s="181"/>
      <c r="T598" s="181"/>
      <c r="U598" s="179"/>
      <c r="V598" s="549"/>
      <c r="W598" s="181"/>
      <c r="X598" s="181"/>
      <c r="Y598" s="181"/>
      <c r="Z598" s="179"/>
      <c r="AA598" s="549"/>
      <c r="AB598" s="181"/>
      <c r="AC598" s="181"/>
      <c r="AD598" s="181"/>
      <c r="AE598" s="179"/>
      <c r="AF598" s="549"/>
      <c r="AG598" s="181"/>
      <c r="AH598" s="181"/>
      <c r="AI598" s="181"/>
      <c r="AJ598" s="179"/>
      <c r="AK598" s="549"/>
      <c r="AL598" s="181"/>
      <c r="AM598" s="181"/>
      <c r="AN598" s="181"/>
      <c r="AO598" s="179"/>
      <c r="AP598" s="549"/>
      <c r="AQ598" s="181"/>
      <c r="AR598" s="181"/>
      <c r="AS598" s="181"/>
      <c r="AT598" s="528"/>
      <c r="AU598" s="528"/>
      <c r="AV598" s="528"/>
      <c r="AW598" s="528"/>
      <c r="AX598" s="528"/>
      <c r="AY598" s="528"/>
      <c r="AZ598" s="528"/>
      <c r="BA598" s="528"/>
      <c r="BB598" s="528"/>
      <c r="BC598" s="528"/>
      <c r="BD598" s="528"/>
      <c r="BE598" s="528"/>
      <c r="BF598" s="528"/>
      <c r="BG598" s="528"/>
      <c r="BH598" s="528"/>
    </row>
    <row r="599">
      <c r="A599" s="179"/>
      <c r="B599" s="549"/>
      <c r="C599" s="181"/>
      <c r="D599" s="181"/>
      <c r="E599" s="181"/>
      <c r="F599" s="179"/>
      <c r="G599" s="549"/>
      <c r="H599" s="181"/>
      <c r="I599" s="181"/>
      <c r="J599" s="181"/>
      <c r="K599" s="156"/>
      <c r="L599" s="549"/>
      <c r="M599" s="181"/>
      <c r="N599" s="181"/>
      <c r="O599" s="181"/>
      <c r="P599" s="156"/>
      <c r="Q599" s="562"/>
      <c r="R599" s="181"/>
      <c r="S599" s="181"/>
      <c r="T599" s="181"/>
      <c r="U599" s="179"/>
      <c r="V599" s="549"/>
      <c r="W599" s="181"/>
      <c r="X599" s="181"/>
      <c r="Y599" s="181"/>
      <c r="Z599" s="179"/>
      <c r="AA599" s="549"/>
      <c r="AB599" s="181"/>
      <c r="AC599" s="181"/>
      <c r="AD599" s="181"/>
      <c r="AE599" s="179"/>
      <c r="AF599" s="549"/>
      <c r="AG599" s="181"/>
      <c r="AH599" s="181"/>
      <c r="AI599" s="181"/>
      <c r="AJ599" s="179"/>
      <c r="AK599" s="549"/>
      <c r="AL599" s="181"/>
      <c r="AM599" s="181"/>
      <c r="AN599" s="181"/>
      <c r="AO599" s="179"/>
      <c r="AP599" s="549"/>
      <c r="AQ599" s="181"/>
      <c r="AR599" s="181"/>
      <c r="AS599" s="181"/>
      <c r="AT599" s="528"/>
      <c r="AU599" s="528"/>
      <c r="AV599" s="528"/>
      <c r="AW599" s="528"/>
      <c r="AX599" s="528"/>
      <c r="AY599" s="528"/>
      <c r="AZ599" s="528"/>
      <c r="BA599" s="528"/>
      <c r="BB599" s="528"/>
      <c r="BC599" s="528"/>
      <c r="BD599" s="528"/>
      <c r="BE599" s="528"/>
      <c r="BF599" s="528"/>
      <c r="BG599" s="528"/>
      <c r="BH599" s="528"/>
    </row>
    <row r="600">
      <c r="A600" s="179"/>
      <c r="B600" s="549"/>
      <c r="C600" s="181"/>
      <c r="D600" s="181"/>
      <c r="E600" s="181"/>
      <c r="F600" s="179"/>
      <c r="G600" s="549"/>
      <c r="H600" s="181"/>
      <c r="I600" s="181"/>
      <c r="J600" s="181"/>
      <c r="K600" s="156"/>
      <c r="L600" s="549"/>
      <c r="M600" s="181"/>
      <c r="N600" s="181"/>
      <c r="O600" s="181"/>
      <c r="P600" s="156"/>
      <c r="Q600" s="562"/>
      <c r="R600" s="181"/>
      <c r="S600" s="181"/>
      <c r="T600" s="181"/>
      <c r="U600" s="179"/>
      <c r="V600" s="549"/>
      <c r="W600" s="181"/>
      <c r="X600" s="181"/>
      <c r="Y600" s="181"/>
      <c r="Z600" s="179"/>
      <c r="AA600" s="549"/>
      <c r="AB600" s="181"/>
      <c r="AC600" s="181"/>
      <c r="AD600" s="181"/>
      <c r="AE600" s="179"/>
      <c r="AF600" s="549"/>
      <c r="AG600" s="181"/>
      <c r="AH600" s="181"/>
      <c r="AI600" s="181"/>
      <c r="AJ600" s="179"/>
      <c r="AK600" s="549"/>
      <c r="AL600" s="181"/>
      <c r="AM600" s="181"/>
      <c r="AN600" s="181"/>
      <c r="AO600" s="179"/>
      <c r="AP600" s="549"/>
      <c r="AQ600" s="181"/>
      <c r="AR600" s="181"/>
      <c r="AS600" s="181"/>
      <c r="AT600" s="528"/>
      <c r="AU600" s="528"/>
      <c r="AV600" s="528"/>
      <c r="AW600" s="528"/>
      <c r="AX600" s="528"/>
      <c r="AY600" s="528"/>
      <c r="AZ600" s="528"/>
      <c r="BA600" s="528"/>
      <c r="BB600" s="528"/>
      <c r="BC600" s="528"/>
      <c r="BD600" s="528"/>
      <c r="BE600" s="528"/>
      <c r="BF600" s="528"/>
      <c r="BG600" s="528"/>
      <c r="BH600" s="528"/>
    </row>
    <row r="601">
      <c r="A601" s="179"/>
      <c r="B601" s="549"/>
      <c r="C601" s="181"/>
      <c r="D601" s="181"/>
      <c r="E601" s="181"/>
      <c r="F601" s="179"/>
      <c r="G601" s="549"/>
      <c r="H601" s="181"/>
      <c r="I601" s="181"/>
      <c r="J601" s="181"/>
      <c r="K601" s="156"/>
      <c r="L601" s="549"/>
      <c r="M601" s="181"/>
      <c r="N601" s="181"/>
      <c r="O601" s="181"/>
      <c r="P601" s="156"/>
      <c r="Q601" s="562"/>
      <c r="R601" s="181"/>
      <c r="S601" s="181"/>
      <c r="T601" s="181"/>
      <c r="U601" s="179"/>
      <c r="V601" s="549"/>
      <c r="W601" s="181"/>
      <c r="X601" s="181"/>
      <c r="Y601" s="181"/>
      <c r="Z601" s="179"/>
      <c r="AA601" s="549"/>
      <c r="AB601" s="181"/>
      <c r="AC601" s="181"/>
      <c r="AD601" s="181"/>
      <c r="AE601" s="179"/>
      <c r="AF601" s="549"/>
      <c r="AG601" s="181"/>
      <c r="AH601" s="181"/>
      <c r="AI601" s="181"/>
      <c r="AJ601" s="179"/>
      <c r="AK601" s="549"/>
      <c r="AL601" s="181"/>
      <c r="AM601" s="181"/>
      <c r="AN601" s="181"/>
      <c r="AO601" s="179"/>
      <c r="AP601" s="549"/>
      <c r="AQ601" s="181"/>
      <c r="AR601" s="181"/>
      <c r="AS601" s="181"/>
      <c r="AT601" s="528"/>
      <c r="AU601" s="528"/>
      <c r="AV601" s="528"/>
      <c r="AW601" s="528"/>
      <c r="AX601" s="528"/>
      <c r="AY601" s="528"/>
      <c r="AZ601" s="528"/>
      <c r="BA601" s="528"/>
      <c r="BB601" s="528"/>
      <c r="BC601" s="528"/>
      <c r="BD601" s="528"/>
      <c r="BE601" s="528"/>
      <c r="BF601" s="528"/>
      <c r="BG601" s="528"/>
      <c r="BH601" s="528"/>
    </row>
    <row r="602">
      <c r="A602" s="179"/>
      <c r="B602" s="549"/>
      <c r="C602" s="181"/>
      <c r="D602" s="181"/>
      <c r="E602" s="181"/>
      <c r="F602" s="179"/>
      <c r="G602" s="549"/>
      <c r="H602" s="181"/>
      <c r="I602" s="181"/>
      <c r="J602" s="181"/>
      <c r="K602" s="156"/>
      <c r="L602" s="549"/>
      <c r="M602" s="181"/>
      <c r="N602" s="181"/>
      <c r="O602" s="181"/>
      <c r="P602" s="156"/>
      <c r="Q602" s="562"/>
      <c r="R602" s="181"/>
      <c r="S602" s="181"/>
      <c r="T602" s="181"/>
      <c r="U602" s="179"/>
      <c r="V602" s="549"/>
      <c r="W602" s="181"/>
      <c r="X602" s="181"/>
      <c r="Y602" s="181"/>
      <c r="Z602" s="179"/>
      <c r="AA602" s="549"/>
      <c r="AB602" s="181"/>
      <c r="AC602" s="181"/>
      <c r="AD602" s="181"/>
      <c r="AE602" s="179"/>
      <c r="AF602" s="549"/>
      <c r="AG602" s="181"/>
      <c r="AH602" s="181"/>
      <c r="AI602" s="181"/>
      <c r="AJ602" s="179"/>
      <c r="AK602" s="549"/>
      <c r="AL602" s="181"/>
      <c r="AM602" s="181"/>
      <c r="AN602" s="181"/>
      <c r="AO602" s="179"/>
      <c r="AP602" s="549"/>
      <c r="AQ602" s="181"/>
      <c r="AR602" s="181"/>
      <c r="AS602" s="181"/>
      <c r="AT602" s="528"/>
      <c r="AU602" s="528"/>
      <c r="AV602" s="528"/>
      <c r="AW602" s="528"/>
      <c r="AX602" s="528"/>
      <c r="AY602" s="528"/>
      <c r="AZ602" s="528"/>
      <c r="BA602" s="528"/>
      <c r="BB602" s="528"/>
      <c r="BC602" s="528"/>
      <c r="BD602" s="528"/>
      <c r="BE602" s="528"/>
      <c r="BF602" s="528"/>
      <c r="BG602" s="528"/>
      <c r="BH602" s="528"/>
    </row>
    <row r="603">
      <c r="A603" s="179"/>
      <c r="B603" s="549"/>
      <c r="C603" s="181"/>
      <c r="D603" s="181"/>
      <c r="E603" s="181"/>
      <c r="F603" s="179"/>
      <c r="G603" s="549"/>
      <c r="H603" s="181"/>
      <c r="I603" s="181"/>
      <c r="J603" s="181"/>
      <c r="K603" s="156"/>
      <c r="L603" s="549"/>
      <c r="M603" s="181"/>
      <c r="N603" s="181"/>
      <c r="O603" s="181"/>
      <c r="P603" s="156"/>
      <c r="Q603" s="562"/>
      <c r="R603" s="181"/>
      <c r="S603" s="181"/>
      <c r="T603" s="181"/>
      <c r="U603" s="179"/>
      <c r="V603" s="549"/>
      <c r="W603" s="181"/>
      <c r="X603" s="181"/>
      <c r="Y603" s="181"/>
      <c r="Z603" s="179"/>
      <c r="AA603" s="549"/>
      <c r="AB603" s="181"/>
      <c r="AC603" s="181"/>
      <c r="AD603" s="181"/>
      <c r="AE603" s="179"/>
      <c r="AF603" s="549"/>
      <c r="AG603" s="181"/>
      <c r="AH603" s="181"/>
      <c r="AI603" s="181"/>
      <c r="AJ603" s="179"/>
      <c r="AK603" s="549"/>
      <c r="AL603" s="181"/>
      <c r="AM603" s="181"/>
      <c r="AN603" s="181"/>
      <c r="AO603" s="179"/>
      <c r="AP603" s="549"/>
      <c r="AQ603" s="181"/>
      <c r="AR603" s="181"/>
      <c r="AS603" s="181"/>
      <c r="AT603" s="528"/>
      <c r="AU603" s="528"/>
      <c r="AV603" s="528"/>
      <c r="AW603" s="528"/>
      <c r="AX603" s="528"/>
      <c r="AY603" s="528"/>
      <c r="AZ603" s="528"/>
      <c r="BA603" s="528"/>
      <c r="BB603" s="528"/>
      <c r="BC603" s="528"/>
      <c r="BD603" s="528"/>
      <c r="BE603" s="528"/>
      <c r="BF603" s="528"/>
      <c r="BG603" s="528"/>
      <c r="BH603" s="528"/>
    </row>
    <row r="604">
      <c r="A604" s="179"/>
      <c r="B604" s="549"/>
      <c r="C604" s="181"/>
      <c r="D604" s="181"/>
      <c r="E604" s="181"/>
      <c r="F604" s="179"/>
      <c r="G604" s="549"/>
      <c r="H604" s="181"/>
      <c r="I604" s="181"/>
      <c r="J604" s="181"/>
      <c r="K604" s="156"/>
      <c r="L604" s="549"/>
      <c r="M604" s="181"/>
      <c r="N604" s="181"/>
      <c r="O604" s="181"/>
      <c r="P604" s="156"/>
      <c r="Q604" s="562"/>
      <c r="R604" s="181"/>
      <c r="S604" s="181"/>
      <c r="T604" s="181"/>
      <c r="U604" s="179"/>
      <c r="V604" s="549"/>
      <c r="W604" s="181"/>
      <c r="X604" s="181"/>
      <c r="Y604" s="181"/>
      <c r="Z604" s="179"/>
      <c r="AA604" s="549"/>
      <c r="AB604" s="181"/>
      <c r="AC604" s="181"/>
      <c r="AD604" s="181"/>
      <c r="AE604" s="179"/>
      <c r="AF604" s="549"/>
      <c r="AG604" s="181"/>
      <c r="AH604" s="181"/>
      <c r="AI604" s="181"/>
      <c r="AJ604" s="179"/>
      <c r="AK604" s="549"/>
      <c r="AL604" s="181"/>
      <c r="AM604" s="181"/>
      <c r="AN604" s="181"/>
      <c r="AO604" s="179"/>
      <c r="AP604" s="549"/>
      <c r="AQ604" s="181"/>
      <c r="AR604" s="181"/>
      <c r="AS604" s="181"/>
      <c r="AT604" s="528"/>
      <c r="AU604" s="528"/>
      <c r="AV604" s="528"/>
      <c r="AW604" s="528"/>
      <c r="AX604" s="528"/>
      <c r="AY604" s="528"/>
      <c r="AZ604" s="528"/>
      <c r="BA604" s="528"/>
      <c r="BB604" s="528"/>
      <c r="BC604" s="528"/>
      <c r="BD604" s="528"/>
      <c r="BE604" s="528"/>
      <c r="BF604" s="528"/>
      <c r="BG604" s="528"/>
      <c r="BH604" s="528"/>
    </row>
    <row r="605">
      <c r="A605" s="179"/>
      <c r="B605" s="549"/>
      <c r="C605" s="181"/>
      <c r="D605" s="181"/>
      <c r="E605" s="181"/>
      <c r="F605" s="179"/>
      <c r="G605" s="549"/>
      <c r="H605" s="181"/>
      <c r="I605" s="181"/>
      <c r="J605" s="181"/>
      <c r="K605" s="156"/>
      <c r="L605" s="549"/>
      <c r="M605" s="181"/>
      <c r="N605" s="181"/>
      <c r="O605" s="181"/>
      <c r="P605" s="156"/>
      <c r="Q605" s="562"/>
      <c r="R605" s="181"/>
      <c r="S605" s="181"/>
      <c r="T605" s="181"/>
      <c r="U605" s="179"/>
      <c r="V605" s="549"/>
      <c r="W605" s="181"/>
      <c r="X605" s="181"/>
      <c r="Y605" s="181"/>
      <c r="Z605" s="179"/>
      <c r="AA605" s="549"/>
      <c r="AB605" s="181"/>
      <c r="AC605" s="181"/>
      <c r="AD605" s="181"/>
      <c r="AE605" s="179"/>
      <c r="AF605" s="549"/>
      <c r="AG605" s="181"/>
      <c r="AH605" s="181"/>
      <c r="AI605" s="181"/>
      <c r="AJ605" s="179"/>
      <c r="AK605" s="549"/>
      <c r="AL605" s="181"/>
      <c r="AM605" s="181"/>
      <c r="AN605" s="181"/>
      <c r="AO605" s="179"/>
      <c r="AP605" s="549"/>
      <c r="AQ605" s="181"/>
      <c r="AR605" s="181"/>
      <c r="AS605" s="181"/>
      <c r="AT605" s="528"/>
      <c r="AU605" s="528"/>
      <c r="AV605" s="528"/>
      <c r="AW605" s="528"/>
      <c r="AX605" s="528"/>
      <c r="AY605" s="528"/>
      <c r="AZ605" s="528"/>
      <c r="BA605" s="528"/>
      <c r="BB605" s="528"/>
      <c r="BC605" s="528"/>
      <c r="BD605" s="528"/>
      <c r="BE605" s="528"/>
      <c r="BF605" s="528"/>
      <c r="BG605" s="528"/>
      <c r="BH605" s="528"/>
    </row>
    <row r="606">
      <c r="A606" s="179"/>
      <c r="B606" s="549"/>
      <c r="C606" s="181"/>
      <c r="D606" s="181"/>
      <c r="E606" s="181"/>
      <c r="F606" s="179"/>
      <c r="G606" s="549"/>
      <c r="H606" s="181"/>
      <c r="I606" s="181"/>
      <c r="J606" s="181"/>
      <c r="K606" s="156"/>
      <c r="L606" s="549"/>
      <c r="M606" s="181"/>
      <c r="N606" s="181"/>
      <c r="O606" s="181"/>
      <c r="P606" s="156"/>
      <c r="Q606" s="562"/>
      <c r="R606" s="181"/>
      <c r="S606" s="181"/>
      <c r="T606" s="181"/>
      <c r="U606" s="179"/>
      <c r="V606" s="549"/>
      <c r="W606" s="181"/>
      <c r="X606" s="181"/>
      <c r="Y606" s="181"/>
      <c r="Z606" s="179"/>
      <c r="AA606" s="549"/>
      <c r="AB606" s="181"/>
      <c r="AC606" s="181"/>
      <c r="AD606" s="181"/>
      <c r="AE606" s="179"/>
      <c r="AF606" s="549"/>
      <c r="AG606" s="181"/>
      <c r="AH606" s="181"/>
      <c r="AI606" s="181"/>
      <c r="AJ606" s="179"/>
      <c r="AK606" s="549"/>
      <c r="AL606" s="181"/>
      <c r="AM606" s="181"/>
      <c r="AN606" s="181"/>
      <c r="AO606" s="179"/>
      <c r="AP606" s="549"/>
      <c r="AQ606" s="181"/>
      <c r="AR606" s="181"/>
      <c r="AS606" s="181"/>
      <c r="AT606" s="528"/>
      <c r="AU606" s="528"/>
      <c r="AV606" s="528"/>
      <c r="AW606" s="528"/>
      <c r="AX606" s="528"/>
      <c r="AY606" s="528"/>
      <c r="AZ606" s="528"/>
      <c r="BA606" s="528"/>
      <c r="BB606" s="528"/>
      <c r="BC606" s="528"/>
      <c r="BD606" s="528"/>
      <c r="BE606" s="528"/>
      <c r="BF606" s="528"/>
      <c r="BG606" s="528"/>
      <c r="BH606" s="528"/>
    </row>
    <row r="607">
      <c r="A607" s="179"/>
      <c r="B607" s="549"/>
      <c r="C607" s="181"/>
      <c r="D607" s="181"/>
      <c r="E607" s="181"/>
      <c r="F607" s="179"/>
      <c r="G607" s="549"/>
      <c r="H607" s="181"/>
      <c r="I607" s="181"/>
      <c r="J607" s="181"/>
      <c r="K607" s="156"/>
      <c r="L607" s="549"/>
      <c r="M607" s="181"/>
      <c r="N607" s="181"/>
      <c r="O607" s="181"/>
      <c r="P607" s="156"/>
      <c r="Q607" s="562"/>
      <c r="R607" s="181"/>
      <c r="S607" s="181"/>
      <c r="T607" s="181"/>
      <c r="U607" s="179"/>
      <c r="V607" s="549"/>
      <c r="W607" s="181"/>
      <c r="X607" s="181"/>
      <c r="Y607" s="181"/>
      <c r="Z607" s="179"/>
      <c r="AA607" s="549"/>
      <c r="AB607" s="181"/>
      <c r="AC607" s="181"/>
      <c r="AD607" s="181"/>
      <c r="AE607" s="179"/>
      <c r="AF607" s="549"/>
      <c r="AG607" s="181"/>
      <c r="AH607" s="181"/>
      <c r="AI607" s="181"/>
      <c r="AJ607" s="179"/>
      <c r="AK607" s="549"/>
      <c r="AL607" s="181"/>
      <c r="AM607" s="181"/>
      <c r="AN607" s="181"/>
      <c r="AO607" s="179"/>
      <c r="AP607" s="549"/>
      <c r="AQ607" s="181"/>
      <c r="AR607" s="181"/>
      <c r="AS607" s="181"/>
      <c r="AT607" s="528"/>
      <c r="AU607" s="528"/>
      <c r="AV607" s="528"/>
      <c r="AW607" s="528"/>
      <c r="AX607" s="528"/>
      <c r="AY607" s="528"/>
      <c r="AZ607" s="528"/>
      <c r="BA607" s="528"/>
      <c r="BB607" s="528"/>
      <c r="BC607" s="528"/>
      <c r="BD607" s="528"/>
      <c r="BE607" s="528"/>
      <c r="BF607" s="528"/>
      <c r="BG607" s="528"/>
      <c r="BH607" s="528"/>
    </row>
    <row r="608">
      <c r="A608" s="179"/>
      <c r="B608" s="549"/>
      <c r="C608" s="181"/>
      <c r="D608" s="181"/>
      <c r="E608" s="181"/>
      <c r="F608" s="179"/>
      <c r="G608" s="549"/>
      <c r="H608" s="181"/>
      <c r="I608" s="181"/>
      <c r="J608" s="181"/>
      <c r="K608" s="156"/>
      <c r="L608" s="549"/>
      <c r="M608" s="181"/>
      <c r="N608" s="181"/>
      <c r="O608" s="181"/>
      <c r="P608" s="156"/>
      <c r="Q608" s="562"/>
      <c r="R608" s="181"/>
      <c r="S608" s="181"/>
      <c r="T608" s="181"/>
      <c r="U608" s="179"/>
      <c r="V608" s="549"/>
      <c r="W608" s="181"/>
      <c r="X608" s="181"/>
      <c r="Y608" s="181"/>
      <c r="Z608" s="179"/>
      <c r="AA608" s="549"/>
      <c r="AB608" s="181"/>
      <c r="AC608" s="181"/>
      <c r="AD608" s="181"/>
      <c r="AE608" s="179"/>
      <c r="AF608" s="549"/>
      <c r="AG608" s="181"/>
      <c r="AH608" s="181"/>
      <c r="AI608" s="181"/>
      <c r="AJ608" s="179"/>
      <c r="AK608" s="549"/>
      <c r="AL608" s="181"/>
      <c r="AM608" s="181"/>
      <c r="AN608" s="181"/>
      <c r="AO608" s="179"/>
      <c r="AP608" s="549"/>
      <c r="AQ608" s="181"/>
      <c r="AR608" s="181"/>
      <c r="AS608" s="181"/>
      <c r="AT608" s="528"/>
      <c r="AU608" s="528"/>
      <c r="AV608" s="528"/>
      <c r="AW608" s="528"/>
      <c r="AX608" s="528"/>
      <c r="AY608" s="528"/>
      <c r="AZ608" s="528"/>
      <c r="BA608" s="528"/>
      <c r="BB608" s="528"/>
      <c r="BC608" s="528"/>
      <c r="BD608" s="528"/>
      <c r="BE608" s="528"/>
      <c r="BF608" s="528"/>
      <c r="BG608" s="528"/>
      <c r="BH608" s="528"/>
    </row>
    <row r="609">
      <c r="A609" s="179"/>
      <c r="B609" s="549"/>
      <c r="C609" s="181"/>
      <c r="D609" s="181"/>
      <c r="E609" s="181"/>
      <c r="F609" s="179"/>
      <c r="G609" s="549"/>
      <c r="H609" s="181"/>
      <c r="I609" s="181"/>
      <c r="J609" s="181"/>
      <c r="K609" s="156"/>
      <c r="L609" s="549"/>
      <c r="M609" s="181"/>
      <c r="N609" s="181"/>
      <c r="O609" s="181"/>
      <c r="P609" s="156"/>
      <c r="Q609" s="562"/>
      <c r="R609" s="181"/>
      <c r="S609" s="181"/>
      <c r="T609" s="181"/>
      <c r="U609" s="179"/>
      <c r="V609" s="549"/>
      <c r="W609" s="181"/>
      <c r="X609" s="181"/>
      <c r="Y609" s="181"/>
      <c r="Z609" s="179"/>
      <c r="AA609" s="549"/>
      <c r="AB609" s="181"/>
      <c r="AC609" s="181"/>
      <c r="AD609" s="181"/>
      <c r="AE609" s="179"/>
      <c r="AF609" s="549"/>
      <c r="AG609" s="181"/>
      <c r="AH609" s="181"/>
      <c r="AI609" s="181"/>
      <c r="AJ609" s="179"/>
      <c r="AK609" s="549"/>
      <c r="AL609" s="181"/>
      <c r="AM609" s="181"/>
      <c r="AN609" s="181"/>
      <c r="AO609" s="179"/>
      <c r="AP609" s="549"/>
      <c r="AQ609" s="181"/>
      <c r="AR609" s="181"/>
      <c r="AS609" s="181"/>
      <c r="AT609" s="528"/>
      <c r="AU609" s="528"/>
      <c r="AV609" s="528"/>
      <c r="AW609" s="528"/>
      <c r="AX609" s="528"/>
      <c r="AY609" s="528"/>
      <c r="AZ609" s="528"/>
      <c r="BA609" s="528"/>
      <c r="BB609" s="528"/>
      <c r="BC609" s="528"/>
      <c r="BD609" s="528"/>
      <c r="BE609" s="528"/>
      <c r="BF609" s="528"/>
      <c r="BG609" s="528"/>
      <c r="BH609" s="528"/>
    </row>
    <row r="610">
      <c r="A610" s="179"/>
      <c r="B610" s="549"/>
      <c r="C610" s="181"/>
      <c r="D610" s="181"/>
      <c r="E610" s="181"/>
      <c r="F610" s="179"/>
      <c r="G610" s="549"/>
      <c r="H610" s="181"/>
      <c r="I610" s="181"/>
      <c r="J610" s="181"/>
      <c r="K610" s="156"/>
      <c r="L610" s="549"/>
      <c r="M610" s="181"/>
      <c r="N610" s="181"/>
      <c r="O610" s="181"/>
      <c r="P610" s="156"/>
      <c r="Q610" s="562"/>
      <c r="R610" s="181"/>
      <c r="S610" s="181"/>
      <c r="T610" s="181"/>
      <c r="U610" s="179"/>
      <c r="V610" s="549"/>
      <c r="W610" s="181"/>
      <c r="X610" s="181"/>
      <c r="Y610" s="181"/>
      <c r="Z610" s="179"/>
      <c r="AA610" s="549"/>
      <c r="AB610" s="181"/>
      <c r="AC610" s="181"/>
      <c r="AD610" s="181"/>
      <c r="AE610" s="179"/>
      <c r="AF610" s="549"/>
      <c r="AG610" s="181"/>
      <c r="AH610" s="181"/>
      <c r="AI610" s="181"/>
      <c r="AJ610" s="179"/>
      <c r="AK610" s="549"/>
      <c r="AL610" s="181"/>
      <c r="AM610" s="181"/>
      <c r="AN610" s="181"/>
      <c r="AO610" s="179"/>
      <c r="AP610" s="549"/>
      <c r="AQ610" s="181"/>
      <c r="AR610" s="181"/>
      <c r="AS610" s="181"/>
      <c r="AT610" s="528"/>
      <c r="AU610" s="528"/>
      <c r="AV610" s="528"/>
      <c r="AW610" s="528"/>
      <c r="AX610" s="528"/>
      <c r="AY610" s="528"/>
      <c r="AZ610" s="528"/>
      <c r="BA610" s="528"/>
      <c r="BB610" s="528"/>
      <c r="BC610" s="528"/>
      <c r="BD610" s="528"/>
      <c r="BE610" s="528"/>
      <c r="BF610" s="528"/>
      <c r="BG610" s="528"/>
      <c r="BH610" s="528"/>
    </row>
    <row r="611">
      <c r="A611" s="179"/>
      <c r="B611" s="549"/>
      <c r="C611" s="181"/>
      <c r="D611" s="181"/>
      <c r="E611" s="181"/>
      <c r="F611" s="179"/>
      <c r="G611" s="549"/>
      <c r="H611" s="181"/>
      <c r="I611" s="181"/>
      <c r="J611" s="181"/>
      <c r="K611" s="156"/>
      <c r="L611" s="549"/>
      <c r="M611" s="181"/>
      <c r="N611" s="181"/>
      <c r="O611" s="181"/>
      <c r="P611" s="156"/>
      <c r="Q611" s="562"/>
      <c r="R611" s="181"/>
      <c r="S611" s="181"/>
      <c r="T611" s="181"/>
      <c r="U611" s="179"/>
      <c r="V611" s="549"/>
      <c r="W611" s="181"/>
      <c r="X611" s="181"/>
      <c r="Y611" s="181"/>
      <c r="Z611" s="179"/>
      <c r="AA611" s="549"/>
      <c r="AB611" s="181"/>
      <c r="AC611" s="181"/>
      <c r="AD611" s="181"/>
      <c r="AE611" s="179"/>
      <c r="AF611" s="549"/>
      <c r="AG611" s="181"/>
      <c r="AH611" s="181"/>
      <c r="AI611" s="181"/>
      <c r="AJ611" s="179"/>
      <c r="AK611" s="549"/>
      <c r="AL611" s="181"/>
      <c r="AM611" s="181"/>
      <c r="AN611" s="181"/>
      <c r="AO611" s="179"/>
      <c r="AP611" s="549"/>
      <c r="AQ611" s="181"/>
      <c r="AR611" s="181"/>
      <c r="AS611" s="181"/>
      <c r="AT611" s="528"/>
      <c r="AU611" s="528"/>
      <c r="AV611" s="528"/>
      <c r="AW611" s="528"/>
      <c r="AX611" s="528"/>
      <c r="AY611" s="528"/>
      <c r="AZ611" s="528"/>
      <c r="BA611" s="528"/>
      <c r="BB611" s="528"/>
      <c r="BC611" s="528"/>
      <c r="BD611" s="528"/>
      <c r="BE611" s="528"/>
      <c r="BF611" s="528"/>
      <c r="BG611" s="528"/>
      <c r="BH611" s="528"/>
    </row>
    <row r="612">
      <c r="A612" s="179"/>
      <c r="B612" s="549"/>
      <c r="C612" s="181"/>
      <c r="D612" s="181"/>
      <c r="E612" s="181"/>
      <c r="F612" s="179"/>
      <c r="G612" s="549"/>
      <c r="H612" s="181"/>
      <c r="I612" s="181"/>
      <c r="J612" s="181"/>
      <c r="K612" s="156"/>
      <c r="L612" s="549"/>
      <c r="M612" s="181"/>
      <c r="N612" s="181"/>
      <c r="O612" s="181"/>
      <c r="P612" s="156"/>
      <c r="Q612" s="562"/>
      <c r="R612" s="181"/>
      <c r="S612" s="181"/>
      <c r="T612" s="181"/>
      <c r="U612" s="179"/>
      <c r="V612" s="549"/>
      <c r="W612" s="181"/>
      <c r="X612" s="181"/>
      <c r="Y612" s="181"/>
      <c r="Z612" s="179"/>
      <c r="AA612" s="549"/>
      <c r="AB612" s="181"/>
      <c r="AC612" s="181"/>
      <c r="AD612" s="181"/>
      <c r="AE612" s="179"/>
      <c r="AF612" s="549"/>
      <c r="AG612" s="181"/>
      <c r="AH612" s="181"/>
      <c r="AI612" s="181"/>
      <c r="AJ612" s="179"/>
      <c r="AK612" s="549"/>
      <c r="AL612" s="181"/>
      <c r="AM612" s="181"/>
      <c r="AN612" s="181"/>
      <c r="AO612" s="179"/>
      <c r="AP612" s="549"/>
      <c r="AQ612" s="181"/>
      <c r="AR612" s="181"/>
      <c r="AS612" s="181"/>
      <c r="AT612" s="528"/>
      <c r="AU612" s="528"/>
      <c r="AV612" s="528"/>
      <c r="AW612" s="528"/>
      <c r="AX612" s="528"/>
      <c r="AY612" s="528"/>
      <c r="AZ612" s="528"/>
      <c r="BA612" s="528"/>
      <c r="BB612" s="528"/>
      <c r="BC612" s="528"/>
      <c r="BD612" s="528"/>
      <c r="BE612" s="528"/>
      <c r="BF612" s="528"/>
      <c r="BG612" s="528"/>
      <c r="BH612" s="528"/>
    </row>
    <row r="613">
      <c r="A613" s="179"/>
      <c r="B613" s="549"/>
      <c r="C613" s="181"/>
      <c r="D613" s="181"/>
      <c r="E613" s="181"/>
      <c r="F613" s="179"/>
      <c r="G613" s="549"/>
      <c r="H613" s="181"/>
      <c r="I613" s="181"/>
      <c r="J613" s="181"/>
      <c r="K613" s="156"/>
      <c r="L613" s="549"/>
      <c r="M613" s="181"/>
      <c r="N613" s="181"/>
      <c r="O613" s="181"/>
      <c r="P613" s="156"/>
      <c r="Q613" s="562"/>
      <c r="R613" s="181"/>
      <c r="S613" s="181"/>
      <c r="T613" s="181"/>
      <c r="U613" s="179"/>
      <c r="V613" s="549"/>
      <c r="W613" s="181"/>
      <c r="X613" s="181"/>
      <c r="Y613" s="181"/>
      <c r="Z613" s="179"/>
      <c r="AA613" s="549"/>
      <c r="AB613" s="181"/>
      <c r="AC613" s="181"/>
      <c r="AD613" s="181"/>
      <c r="AE613" s="179"/>
      <c r="AF613" s="549"/>
      <c r="AG613" s="181"/>
      <c r="AH613" s="181"/>
      <c r="AI613" s="181"/>
      <c r="AJ613" s="179"/>
      <c r="AK613" s="549"/>
      <c r="AL613" s="181"/>
      <c r="AM613" s="181"/>
      <c r="AN613" s="181"/>
      <c r="AO613" s="179"/>
      <c r="AP613" s="549"/>
      <c r="AQ613" s="181"/>
      <c r="AR613" s="181"/>
      <c r="AS613" s="181"/>
      <c r="AT613" s="528"/>
      <c r="AU613" s="528"/>
      <c r="AV613" s="528"/>
      <c r="AW613" s="528"/>
      <c r="AX613" s="528"/>
      <c r="AY613" s="528"/>
      <c r="AZ613" s="528"/>
      <c r="BA613" s="528"/>
      <c r="BB613" s="528"/>
      <c r="BC613" s="528"/>
      <c r="BD613" s="528"/>
      <c r="BE613" s="528"/>
      <c r="BF613" s="528"/>
      <c r="BG613" s="528"/>
      <c r="BH613" s="528"/>
    </row>
    <row r="614">
      <c r="A614" s="179"/>
      <c r="B614" s="549"/>
      <c r="C614" s="181"/>
      <c r="D614" s="181"/>
      <c r="E614" s="181"/>
      <c r="F614" s="179"/>
      <c r="G614" s="549"/>
      <c r="H614" s="181"/>
      <c r="I614" s="181"/>
      <c r="J614" s="181"/>
      <c r="K614" s="156"/>
      <c r="L614" s="549"/>
      <c r="M614" s="181"/>
      <c r="N614" s="181"/>
      <c r="O614" s="181"/>
      <c r="P614" s="156"/>
      <c r="Q614" s="562"/>
      <c r="R614" s="181"/>
      <c r="S614" s="181"/>
      <c r="T614" s="181"/>
      <c r="U614" s="179"/>
      <c r="V614" s="549"/>
      <c r="W614" s="181"/>
      <c r="X614" s="181"/>
      <c r="Y614" s="181"/>
      <c r="Z614" s="179"/>
      <c r="AA614" s="549"/>
      <c r="AB614" s="181"/>
      <c r="AC614" s="181"/>
      <c r="AD614" s="181"/>
      <c r="AE614" s="179"/>
      <c r="AF614" s="549"/>
      <c r="AG614" s="181"/>
      <c r="AH614" s="181"/>
      <c r="AI614" s="181"/>
      <c r="AJ614" s="179"/>
      <c r="AK614" s="549"/>
      <c r="AL614" s="181"/>
      <c r="AM614" s="181"/>
      <c r="AN614" s="181"/>
      <c r="AO614" s="179"/>
      <c r="AP614" s="549"/>
      <c r="AQ614" s="181"/>
      <c r="AR614" s="181"/>
      <c r="AS614" s="181"/>
      <c r="AT614" s="528"/>
      <c r="AU614" s="528"/>
      <c r="AV614" s="528"/>
      <c r="AW614" s="528"/>
      <c r="AX614" s="528"/>
      <c r="AY614" s="528"/>
      <c r="AZ614" s="528"/>
      <c r="BA614" s="528"/>
      <c r="BB614" s="528"/>
      <c r="BC614" s="528"/>
      <c r="BD614" s="528"/>
      <c r="BE614" s="528"/>
      <c r="BF614" s="528"/>
      <c r="BG614" s="528"/>
      <c r="BH614" s="528"/>
    </row>
    <row r="615">
      <c r="A615" s="179"/>
      <c r="B615" s="549"/>
      <c r="C615" s="181"/>
      <c r="D615" s="181"/>
      <c r="E615" s="181"/>
      <c r="F615" s="179"/>
      <c r="G615" s="549"/>
      <c r="H615" s="181"/>
      <c r="I615" s="181"/>
      <c r="J615" s="181"/>
      <c r="K615" s="156"/>
      <c r="L615" s="549"/>
      <c r="M615" s="181"/>
      <c r="N615" s="181"/>
      <c r="O615" s="181"/>
      <c r="P615" s="156"/>
      <c r="Q615" s="562"/>
      <c r="R615" s="181"/>
      <c r="S615" s="181"/>
      <c r="T615" s="181"/>
      <c r="U615" s="179"/>
      <c r="V615" s="549"/>
      <c r="W615" s="181"/>
      <c r="X615" s="181"/>
      <c r="Y615" s="181"/>
      <c r="Z615" s="179"/>
      <c r="AA615" s="549"/>
      <c r="AB615" s="181"/>
      <c r="AC615" s="181"/>
      <c r="AD615" s="181"/>
      <c r="AE615" s="179"/>
      <c r="AF615" s="549"/>
      <c r="AG615" s="181"/>
      <c r="AH615" s="181"/>
      <c r="AI615" s="181"/>
      <c r="AJ615" s="179"/>
      <c r="AK615" s="549"/>
      <c r="AL615" s="181"/>
      <c r="AM615" s="181"/>
      <c r="AN615" s="181"/>
      <c r="AO615" s="179"/>
      <c r="AP615" s="549"/>
      <c r="AQ615" s="181"/>
      <c r="AR615" s="181"/>
      <c r="AS615" s="181"/>
      <c r="AT615" s="528"/>
      <c r="AU615" s="528"/>
      <c r="AV615" s="528"/>
      <c r="AW615" s="528"/>
      <c r="AX615" s="528"/>
      <c r="AY615" s="528"/>
      <c r="AZ615" s="528"/>
      <c r="BA615" s="528"/>
      <c r="BB615" s="528"/>
      <c r="BC615" s="528"/>
      <c r="BD615" s="528"/>
      <c r="BE615" s="528"/>
      <c r="BF615" s="528"/>
      <c r="BG615" s="528"/>
      <c r="BH615" s="528"/>
    </row>
    <row r="616">
      <c r="A616" s="179"/>
      <c r="B616" s="549"/>
      <c r="C616" s="181"/>
      <c r="D616" s="181"/>
      <c r="E616" s="181"/>
      <c r="F616" s="179"/>
      <c r="G616" s="549"/>
      <c r="H616" s="181"/>
      <c r="I616" s="181"/>
      <c r="J616" s="181"/>
      <c r="K616" s="156"/>
      <c r="L616" s="549"/>
      <c r="M616" s="181"/>
      <c r="N616" s="181"/>
      <c r="O616" s="181"/>
      <c r="P616" s="156"/>
      <c r="Q616" s="562"/>
      <c r="R616" s="181"/>
      <c r="S616" s="181"/>
      <c r="T616" s="181"/>
      <c r="U616" s="179"/>
      <c r="V616" s="549"/>
      <c r="W616" s="181"/>
      <c r="X616" s="181"/>
      <c r="Y616" s="181"/>
      <c r="Z616" s="179"/>
      <c r="AA616" s="549"/>
      <c r="AB616" s="181"/>
      <c r="AC616" s="181"/>
      <c r="AD616" s="181"/>
      <c r="AE616" s="179"/>
      <c r="AF616" s="549"/>
      <c r="AG616" s="181"/>
      <c r="AH616" s="181"/>
      <c r="AI616" s="181"/>
      <c r="AJ616" s="179"/>
      <c r="AK616" s="549"/>
      <c r="AL616" s="181"/>
      <c r="AM616" s="181"/>
      <c r="AN616" s="181"/>
      <c r="AO616" s="179"/>
      <c r="AP616" s="549"/>
      <c r="AQ616" s="181"/>
      <c r="AR616" s="181"/>
      <c r="AS616" s="181"/>
      <c r="AT616" s="528"/>
      <c r="AU616" s="528"/>
      <c r="AV616" s="528"/>
      <c r="AW616" s="528"/>
      <c r="AX616" s="528"/>
      <c r="AY616" s="528"/>
      <c r="AZ616" s="528"/>
      <c r="BA616" s="528"/>
      <c r="BB616" s="528"/>
      <c r="BC616" s="528"/>
      <c r="BD616" s="528"/>
      <c r="BE616" s="528"/>
      <c r="BF616" s="528"/>
      <c r="BG616" s="528"/>
      <c r="BH616" s="528"/>
    </row>
    <row r="617">
      <c r="A617" s="179"/>
      <c r="B617" s="549"/>
      <c r="C617" s="181"/>
      <c r="D617" s="181"/>
      <c r="E617" s="181"/>
      <c r="F617" s="179"/>
      <c r="G617" s="549"/>
      <c r="H617" s="181"/>
      <c r="I617" s="181"/>
      <c r="J617" s="181"/>
      <c r="K617" s="156"/>
      <c r="L617" s="549"/>
      <c r="M617" s="181"/>
      <c r="N617" s="181"/>
      <c r="O617" s="181"/>
      <c r="P617" s="156"/>
      <c r="Q617" s="562"/>
      <c r="R617" s="181"/>
      <c r="S617" s="181"/>
      <c r="T617" s="181"/>
      <c r="U617" s="179"/>
      <c r="V617" s="549"/>
      <c r="W617" s="181"/>
      <c r="X617" s="181"/>
      <c r="Y617" s="181"/>
      <c r="Z617" s="179"/>
      <c r="AA617" s="549"/>
      <c r="AB617" s="181"/>
      <c r="AC617" s="181"/>
      <c r="AD617" s="181"/>
      <c r="AE617" s="179"/>
      <c r="AF617" s="549"/>
      <c r="AG617" s="181"/>
      <c r="AH617" s="181"/>
      <c r="AI617" s="181"/>
      <c r="AJ617" s="179"/>
      <c r="AK617" s="549"/>
      <c r="AL617" s="181"/>
      <c r="AM617" s="181"/>
      <c r="AN617" s="181"/>
      <c r="AO617" s="179"/>
      <c r="AP617" s="549"/>
      <c r="AQ617" s="181"/>
      <c r="AR617" s="181"/>
      <c r="AS617" s="181"/>
      <c r="AT617" s="528"/>
      <c r="AU617" s="528"/>
      <c r="AV617" s="528"/>
      <c r="AW617" s="528"/>
      <c r="AX617" s="528"/>
      <c r="AY617" s="528"/>
      <c r="AZ617" s="528"/>
      <c r="BA617" s="528"/>
      <c r="BB617" s="528"/>
      <c r="BC617" s="528"/>
      <c r="BD617" s="528"/>
      <c r="BE617" s="528"/>
      <c r="BF617" s="528"/>
      <c r="BG617" s="528"/>
      <c r="BH617" s="528"/>
    </row>
    <row r="618">
      <c r="A618" s="179"/>
      <c r="B618" s="549"/>
      <c r="C618" s="181"/>
      <c r="D618" s="181"/>
      <c r="E618" s="181"/>
      <c r="F618" s="179"/>
      <c r="G618" s="549"/>
      <c r="H618" s="181"/>
      <c r="I618" s="181"/>
      <c r="J618" s="181"/>
      <c r="K618" s="156"/>
      <c r="L618" s="549"/>
      <c r="M618" s="181"/>
      <c r="N618" s="181"/>
      <c r="O618" s="181"/>
      <c r="P618" s="156"/>
      <c r="Q618" s="562"/>
      <c r="R618" s="181"/>
      <c r="S618" s="181"/>
      <c r="T618" s="181"/>
      <c r="U618" s="179"/>
      <c r="V618" s="549"/>
      <c r="W618" s="181"/>
      <c r="X618" s="181"/>
      <c r="Y618" s="181"/>
      <c r="Z618" s="179"/>
      <c r="AA618" s="549"/>
      <c r="AB618" s="181"/>
      <c r="AC618" s="181"/>
      <c r="AD618" s="181"/>
      <c r="AE618" s="179"/>
      <c r="AF618" s="549"/>
      <c r="AG618" s="181"/>
      <c r="AH618" s="181"/>
      <c r="AI618" s="181"/>
      <c r="AJ618" s="179"/>
      <c r="AK618" s="549"/>
      <c r="AL618" s="181"/>
      <c r="AM618" s="181"/>
      <c r="AN618" s="181"/>
      <c r="AO618" s="179"/>
      <c r="AP618" s="549"/>
      <c r="AQ618" s="181"/>
      <c r="AR618" s="181"/>
      <c r="AS618" s="181"/>
      <c r="AT618" s="528"/>
      <c r="AU618" s="528"/>
      <c r="AV618" s="528"/>
      <c r="AW618" s="528"/>
      <c r="AX618" s="528"/>
      <c r="AY618" s="528"/>
      <c r="AZ618" s="528"/>
      <c r="BA618" s="528"/>
      <c r="BB618" s="528"/>
      <c r="BC618" s="528"/>
      <c r="BD618" s="528"/>
      <c r="BE618" s="528"/>
      <c r="BF618" s="528"/>
      <c r="BG618" s="528"/>
      <c r="BH618" s="528"/>
    </row>
    <row r="619">
      <c r="A619" s="179"/>
      <c r="B619" s="549"/>
      <c r="C619" s="181"/>
      <c r="D619" s="181"/>
      <c r="E619" s="181"/>
      <c r="F619" s="179"/>
      <c r="G619" s="549"/>
      <c r="H619" s="181"/>
      <c r="I619" s="181"/>
      <c r="J619" s="181"/>
      <c r="K619" s="156"/>
      <c r="L619" s="549"/>
      <c r="M619" s="181"/>
      <c r="N619" s="181"/>
      <c r="O619" s="181"/>
      <c r="P619" s="156"/>
      <c r="Q619" s="562"/>
      <c r="R619" s="181"/>
      <c r="S619" s="181"/>
      <c r="T619" s="181"/>
      <c r="U619" s="179"/>
      <c r="V619" s="549"/>
      <c r="W619" s="181"/>
      <c r="X619" s="181"/>
      <c r="Y619" s="181"/>
      <c r="Z619" s="179"/>
      <c r="AA619" s="549"/>
      <c r="AB619" s="181"/>
      <c r="AC619" s="181"/>
      <c r="AD619" s="181"/>
      <c r="AE619" s="179"/>
      <c r="AF619" s="549"/>
      <c r="AG619" s="181"/>
      <c r="AH619" s="181"/>
      <c r="AI619" s="181"/>
      <c r="AJ619" s="179"/>
      <c r="AK619" s="549"/>
      <c r="AL619" s="181"/>
      <c r="AM619" s="181"/>
      <c r="AN619" s="181"/>
      <c r="AO619" s="179"/>
      <c r="AP619" s="549"/>
      <c r="AQ619" s="181"/>
      <c r="AR619" s="181"/>
      <c r="AS619" s="181"/>
      <c r="AT619" s="528"/>
      <c r="AU619" s="528"/>
      <c r="AV619" s="528"/>
      <c r="AW619" s="528"/>
      <c r="AX619" s="528"/>
      <c r="AY619" s="528"/>
      <c r="AZ619" s="528"/>
      <c r="BA619" s="528"/>
      <c r="BB619" s="528"/>
      <c r="BC619" s="528"/>
      <c r="BD619" s="528"/>
      <c r="BE619" s="528"/>
      <c r="BF619" s="528"/>
      <c r="BG619" s="528"/>
      <c r="BH619" s="528"/>
    </row>
    <row r="620">
      <c r="A620" s="179"/>
      <c r="B620" s="549"/>
      <c r="C620" s="181"/>
      <c r="D620" s="181"/>
      <c r="E620" s="181"/>
      <c r="F620" s="179"/>
      <c r="G620" s="549"/>
      <c r="H620" s="181"/>
      <c r="I620" s="181"/>
      <c r="J620" s="181"/>
      <c r="K620" s="156"/>
      <c r="L620" s="549"/>
      <c r="M620" s="181"/>
      <c r="N620" s="181"/>
      <c r="O620" s="181"/>
      <c r="P620" s="156"/>
      <c r="Q620" s="562"/>
      <c r="R620" s="181"/>
      <c r="S620" s="181"/>
      <c r="T620" s="181"/>
      <c r="U620" s="179"/>
      <c r="V620" s="549"/>
      <c r="W620" s="181"/>
      <c r="X620" s="181"/>
      <c r="Y620" s="181"/>
      <c r="Z620" s="179"/>
      <c r="AA620" s="549"/>
      <c r="AB620" s="181"/>
      <c r="AC620" s="181"/>
      <c r="AD620" s="181"/>
      <c r="AE620" s="179"/>
      <c r="AF620" s="549"/>
      <c r="AG620" s="181"/>
      <c r="AH620" s="181"/>
      <c r="AI620" s="181"/>
      <c r="AJ620" s="179"/>
      <c r="AK620" s="549"/>
      <c r="AL620" s="181"/>
      <c r="AM620" s="181"/>
      <c r="AN620" s="181"/>
      <c r="AO620" s="179"/>
      <c r="AP620" s="549"/>
      <c r="AQ620" s="181"/>
      <c r="AR620" s="181"/>
      <c r="AS620" s="181"/>
      <c r="AT620" s="528"/>
      <c r="AU620" s="528"/>
      <c r="AV620" s="528"/>
      <c r="AW620" s="528"/>
      <c r="AX620" s="528"/>
      <c r="AY620" s="528"/>
      <c r="AZ620" s="528"/>
      <c r="BA620" s="528"/>
      <c r="BB620" s="528"/>
      <c r="BC620" s="528"/>
      <c r="BD620" s="528"/>
      <c r="BE620" s="528"/>
      <c r="BF620" s="528"/>
      <c r="BG620" s="528"/>
      <c r="BH620" s="528"/>
    </row>
    <row r="621">
      <c r="A621" s="179"/>
      <c r="B621" s="549"/>
      <c r="C621" s="181"/>
      <c r="D621" s="181"/>
      <c r="E621" s="181"/>
      <c r="F621" s="179"/>
      <c r="G621" s="549"/>
      <c r="H621" s="181"/>
      <c r="I621" s="181"/>
      <c r="J621" s="181"/>
      <c r="K621" s="156"/>
      <c r="L621" s="549"/>
      <c r="M621" s="181"/>
      <c r="N621" s="181"/>
      <c r="O621" s="181"/>
      <c r="P621" s="156"/>
      <c r="Q621" s="562"/>
      <c r="R621" s="181"/>
      <c r="S621" s="181"/>
      <c r="T621" s="181"/>
      <c r="U621" s="179"/>
      <c r="V621" s="549"/>
      <c r="W621" s="181"/>
      <c r="X621" s="181"/>
      <c r="Y621" s="181"/>
      <c r="Z621" s="179"/>
      <c r="AA621" s="549"/>
      <c r="AB621" s="181"/>
      <c r="AC621" s="181"/>
      <c r="AD621" s="181"/>
      <c r="AE621" s="179"/>
      <c r="AF621" s="549"/>
      <c r="AG621" s="181"/>
      <c r="AH621" s="181"/>
      <c r="AI621" s="181"/>
      <c r="AJ621" s="179"/>
      <c r="AK621" s="549"/>
      <c r="AL621" s="181"/>
      <c r="AM621" s="181"/>
      <c r="AN621" s="181"/>
      <c r="AO621" s="179"/>
      <c r="AP621" s="549"/>
      <c r="AQ621" s="181"/>
      <c r="AR621" s="181"/>
      <c r="AS621" s="181"/>
      <c r="AT621" s="528"/>
      <c r="AU621" s="528"/>
      <c r="AV621" s="528"/>
      <c r="AW621" s="528"/>
      <c r="AX621" s="528"/>
      <c r="AY621" s="528"/>
      <c r="AZ621" s="528"/>
      <c r="BA621" s="528"/>
      <c r="BB621" s="528"/>
      <c r="BC621" s="528"/>
      <c r="BD621" s="528"/>
      <c r="BE621" s="528"/>
      <c r="BF621" s="528"/>
      <c r="BG621" s="528"/>
      <c r="BH621" s="528"/>
    </row>
    <row r="622">
      <c r="A622" s="179"/>
      <c r="B622" s="549"/>
      <c r="C622" s="181"/>
      <c r="D622" s="181"/>
      <c r="E622" s="181"/>
      <c r="F622" s="179"/>
      <c r="G622" s="549"/>
      <c r="H622" s="181"/>
      <c r="I622" s="181"/>
      <c r="J622" s="181"/>
      <c r="K622" s="156"/>
      <c r="L622" s="549"/>
      <c r="M622" s="181"/>
      <c r="N622" s="181"/>
      <c r="O622" s="181"/>
      <c r="P622" s="156"/>
      <c r="Q622" s="562"/>
      <c r="R622" s="181"/>
      <c r="S622" s="181"/>
      <c r="T622" s="181"/>
      <c r="U622" s="179"/>
      <c r="V622" s="549"/>
      <c r="W622" s="181"/>
      <c r="X622" s="181"/>
      <c r="Y622" s="181"/>
      <c r="Z622" s="179"/>
      <c r="AA622" s="549"/>
      <c r="AB622" s="181"/>
      <c r="AC622" s="181"/>
      <c r="AD622" s="181"/>
      <c r="AE622" s="179"/>
      <c r="AF622" s="549"/>
      <c r="AG622" s="181"/>
      <c r="AH622" s="181"/>
      <c r="AI622" s="181"/>
      <c r="AJ622" s="179"/>
      <c r="AK622" s="549"/>
      <c r="AL622" s="181"/>
      <c r="AM622" s="181"/>
      <c r="AN622" s="181"/>
      <c r="AO622" s="179"/>
      <c r="AP622" s="549"/>
      <c r="AQ622" s="181"/>
      <c r="AR622" s="181"/>
      <c r="AS622" s="181"/>
      <c r="AT622" s="528"/>
      <c r="AU622" s="528"/>
      <c r="AV622" s="528"/>
      <c r="AW622" s="528"/>
      <c r="AX622" s="528"/>
      <c r="AY622" s="528"/>
      <c r="AZ622" s="528"/>
      <c r="BA622" s="528"/>
      <c r="BB622" s="528"/>
      <c r="BC622" s="528"/>
      <c r="BD622" s="528"/>
      <c r="BE622" s="528"/>
      <c r="BF622" s="528"/>
      <c r="BG622" s="528"/>
      <c r="BH622" s="528"/>
    </row>
    <row r="623">
      <c r="A623" s="179"/>
      <c r="B623" s="549"/>
      <c r="C623" s="181"/>
      <c r="D623" s="181"/>
      <c r="E623" s="181"/>
      <c r="F623" s="179"/>
      <c r="G623" s="549"/>
      <c r="H623" s="181"/>
      <c r="I623" s="181"/>
      <c r="J623" s="181"/>
      <c r="K623" s="156"/>
      <c r="L623" s="549"/>
      <c r="M623" s="181"/>
      <c r="N623" s="181"/>
      <c r="O623" s="181"/>
      <c r="P623" s="156"/>
      <c r="Q623" s="562"/>
      <c r="R623" s="181"/>
      <c r="S623" s="181"/>
      <c r="T623" s="181"/>
      <c r="U623" s="179"/>
      <c r="V623" s="549"/>
      <c r="W623" s="181"/>
      <c r="X623" s="181"/>
      <c r="Y623" s="181"/>
      <c r="Z623" s="179"/>
      <c r="AA623" s="549"/>
      <c r="AB623" s="181"/>
      <c r="AC623" s="181"/>
      <c r="AD623" s="181"/>
      <c r="AE623" s="179"/>
      <c r="AF623" s="549"/>
      <c r="AG623" s="181"/>
      <c r="AH623" s="181"/>
      <c r="AI623" s="181"/>
      <c r="AJ623" s="179"/>
      <c r="AK623" s="549"/>
      <c r="AL623" s="181"/>
      <c r="AM623" s="181"/>
      <c r="AN623" s="181"/>
      <c r="AO623" s="179"/>
      <c r="AP623" s="549"/>
      <c r="AQ623" s="181"/>
      <c r="AR623" s="181"/>
      <c r="AS623" s="181"/>
      <c r="AT623" s="528"/>
      <c r="AU623" s="528"/>
      <c r="AV623" s="528"/>
      <c r="AW623" s="528"/>
      <c r="AX623" s="528"/>
      <c r="AY623" s="528"/>
      <c r="AZ623" s="528"/>
      <c r="BA623" s="528"/>
      <c r="BB623" s="528"/>
      <c r="BC623" s="528"/>
      <c r="BD623" s="528"/>
      <c r="BE623" s="528"/>
      <c r="BF623" s="528"/>
      <c r="BG623" s="528"/>
      <c r="BH623" s="528"/>
    </row>
    <row r="624">
      <c r="A624" s="179"/>
      <c r="B624" s="549"/>
      <c r="C624" s="181"/>
      <c r="D624" s="181"/>
      <c r="E624" s="181"/>
      <c r="F624" s="179"/>
      <c r="G624" s="549"/>
      <c r="H624" s="181"/>
      <c r="I624" s="181"/>
      <c r="J624" s="181"/>
      <c r="K624" s="156"/>
      <c r="L624" s="549"/>
      <c r="M624" s="181"/>
      <c r="N624" s="181"/>
      <c r="O624" s="181"/>
      <c r="P624" s="156"/>
      <c r="Q624" s="562"/>
      <c r="R624" s="181"/>
      <c r="S624" s="181"/>
      <c r="T624" s="181"/>
      <c r="U624" s="179"/>
      <c r="V624" s="549"/>
      <c r="W624" s="181"/>
      <c r="X624" s="181"/>
      <c r="Y624" s="181"/>
      <c r="Z624" s="179"/>
      <c r="AA624" s="549"/>
      <c r="AB624" s="181"/>
      <c r="AC624" s="181"/>
      <c r="AD624" s="181"/>
      <c r="AE624" s="179"/>
      <c r="AF624" s="549"/>
      <c r="AG624" s="181"/>
      <c r="AH624" s="181"/>
      <c r="AI624" s="181"/>
      <c r="AJ624" s="179"/>
      <c r="AK624" s="549"/>
      <c r="AL624" s="181"/>
      <c r="AM624" s="181"/>
      <c r="AN624" s="181"/>
      <c r="AO624" s="179"/>
      <c r="AP624" s="549"/>
      <c r="AQ624" s="181"/>
      <c r="AR624" s="181"/>
      <c r="AS624" s="181"/>
      <c r="AT624" s="528"/>
      <c r="AU624" s="528"/>
      <c r="AV624" s="528"/>
      <c r="AW624" s="528"/>
      <c r="AX624" s="528"/>
      <c r="AY624" s="528"/>
      <c r="AZ624" s="528"/>
      <c r="BA624" s="528"/>
      <c r="BB624" s="528"/>
      <c r="BC624" s="528"/>
      <c r="BD624" s="528"/>
      <c r="BE624" s="528"/>
      <c r="BF624" s="528"/>
      <c r="BG624" s="528"/>
      <c r="BH624" s="528"/>
    </row>
    <row r="625">
      <c r="A625" s="179"/>
      <c r="B625" s="549"/>
      <c r="C625" s="181"/>
      <c r="D625" s="181"/>
      <c r="E625" s="181"/>
      <c r="F625" s="179"/>
      <c r="G625" s="549"/>
      <c r="H625" s="181"/>
      <c r="I625" s="181"/>
      <c r="J625" s="181"/>
      <c r="K625" s="156"/>
      <c r="L625" s="549"/>
      <c r="M625" s="181"/>
      <c r="N625" s="181"/>
      <c r="O625" s="181"/>
      <c r="P625" s="156"/>
      <c r="Q625" s="562"/>
      <c r="R625" s="181"/>
      <c r="S625" s="181"/>
      <c r="T625" s="181"/>
      <c r="U625" s="179"/>
      <c r="V625" s="549"/>
      <c r="W625" s="181"/>
      <c r="X625" s="181"/>
      <c r="Y625" s="181"/>
      <c r="Z625" s="179"/>
      <c r="AA625" s="549"/>
      <c r="AB625" s="181"/>
      <c r="AC625" s="181"/>
      <c r="AD625" s="181"/>
      <c r="AE625" s="179"/>
      <c r="AF625" s="549"/>
      <c r="AG625" s="181"/>
      <c r="AH625" s="181"/>
      <c r="AI625" s="181"/>
      <c r="AJ625" s="179"/>
      <c r="AK625" s="549"/>
      <c r="AL625" s="181"/>
      <c r="AM625" s="181"/>
      <c r="AN625" s="181"/>
      <c r="AO625" s="179"/>
      <c r="AP625" s="549"/>
      <c r="AQ625" s="181"/>
      <c r="AR625" s="181"/>
      <c r="AS625" s="181"/>
      <c r="AT625" s="528"/>
      <c r="AU625" s="528"/>
      <c r="AV625" s="528"/>
      <c r="AW625" s="528"/>
      <c r="AX625" s="528"/>
      <c r="AY625" s="528"/>
      <c r="AZ625" s="528"/>
      <c r="BA625" s="528"/>
      <c r="BB625" s="528"/>
      <c r="BC625" s="528"/>
      <c r="BD625" s="528"/>
      <c r="BE625" s="528"/>
      <c r="BF625" s="528"/>
      <c r="BG625" s="528"/>
      <c r="BH625" s="528"/>
    </row>
    <row r="626">
      <c r="A626" s="179"/>
      <c r="B626" s="549"/>
      <c r="C626" s="181"/>
      <c r="D626" s="181"/>
      <c r="E626" s="181"/>
      <c r="F626" s="179"/>
      <c r="G626" s="549"/>
      <c r="H626" s="181"/>
      <c r="I626" s="181"/>
      <c r="J626" s="181"/>
      <c r="K626" s="156"/>
      <c r="L626" s="549"/>
      <c r="M626" s="181"/>
      <c r="N626" s="181"/>
      <c r="O626" s="181"/>
      <c r="P626" s="156"/>
      <c r="Q626" s="562"/>
      <c r="R626" s="181"/>
      <c r="S626" s="181"/>
      <c r="T626" s="181"/>
      <c r="U626" s="179"/>
      <c r="V626" s="549"/>
      <c r="W626" s="181"/>
      <c r="X626" s="181"/>
      <c r="Y626" s="181"/>
      <c r="Z626" s="179"/>
      <c r="AA626" s="549"/>
      <c r="AB626" s="181"/>
      <c r="AC626" s="181"/>
      <c r="AD626" s="181"/>
      <c r="AE626" s="179"/>
      <c r="AF626" s="549"/>
      <c r="AG626" s="181"/>
      <c r="AH626" s="181"/>
      <c r="AI626" s="181"/>
      <c r="AJ626" s="179"/>
      <c r="AK626" s="549"/>
      <c r="AL626" s="181"/>
      <c r="AM626" s="181"/>
      <c r="AN626" s="181"/>
      <c r="AO626" s="179"/>
      <c r="AP626" s="549"/>
      <c r="AQ626" s="181"/>
      <c r="AR626" s="181"/>
      <c r="AS626" s="181"/>
      <c r="AT626" s="528"/>
      <c r="AU626" s="528"/>
      <c r="AV626" s="528"/>
      <c r="AW626" s="528"/>
      <c r="AX626" s="528"/>
      <c r="AY626" s="528"/>
      <c r="AZ626" s="528"/>
      <c r="BA626" s="528"/>
      <c r="BB626" s="528"/>
      <c r="BC626" s="528"/>
      <c r="BD626" s="528"/>
      <c r="BE626" s="528"/>
      <c r="BF626" s="528"/>
      <c r="BG626" s="528"/>
      <c r="BH626" s="528"/>
    </row>
    <row r="627">
      <c r="A627" s="179"/>
      <c r="B627" s="549"/>
      <c r="C627" s="181"/>
      <c r="D627" s="181"/>
      <c r="E627" s="181"/>
      <c r="F627" s="179"/>
      <c r="G627" s="549"/>
      <c r="H627" s="181"/>
      <c r="I627" s="181"/>
      <c r="J627" s="181"/>
      <c r="K627" s="156"/>
      <c r="L627" s="549"/>
      <c r="M627" s="181"/>
      <c r="N627" s="181"/>
      <c r="O627" s="181"/>
      <c r="P627" s="156"/>
      <c r="Q627" s="562"/>
      <c r="R627" s="181"/>
      <c r="S627" s="181"/>
      <c r="T627" s="181"/>
      <c r="U627" s="179"/>
      <c r="V627" s="549"/>
      <c r="W627" s="181"/>
      <c r="X627" s="181"/>
      <c r="Y627" s="181"/>
      <c r="Z627" s="179"/>
      <c r="AA627" s="549"/>
      <c r="AB627" s="181"/>
      <c r="AC627" s="181"/>
      <c r="AD627" s="181"/>
      <c r="AE627" s="179"/>
      <c r="AF627" s="549"/>
      <c r="AG627" s="181"/>
      <c r="AH627" s="181"/>
      <c r="AI627" s="181"/>
      <c r="AJ627" s="179"/>
      <c r="AK627" s="549"/>
      <c r="AL627" s="181"/>
      <c r="AM627" s="181"/>
      <c r="AN627" s="181"/>
      <c r="AO627" s="179"/>
      <c r="AP627" s="549"/>
      <c r="AQ627" s="181"/>
      <c r="AR627" s="181"/>
      <c r="AS627" s="181"/>
      <c r="AT627" s="528"/>
      <c r="AU627" s="528"/>
      <c r="AV627" s="528"/>
      <c r="AW627" s="528"/>
      <c r="AX627" s="528"/>
      <c r="AY627" s="528"/>
      <c r="AZ627" s="528"/>
      <c r="BA627" s="528"/>
      <c r="BB627" s="528"/>
      <c r="BC627" s="528"/>
      <c r="BD627" s="528"/>
      <c r="BE627" s="528"/>
      <c r="BF627" s="528"/>
      <c r="BG627" s="528"/>
      <c r="BH627" s="528"/>
    </row>
    <row r="628">
      <c r="A628" s="179"/>
      <c r="B628" s="549"/>
      <c r="C628" s="181"/>
      <c r="D628" s="181"/>
      <c r="E628" s="181"/>
      <c r="F628" s="179"/>
      <c r="G628" s="549"/>
      <c r="H628" s="181"/>
      <c r="I628" s="181"/>
      <c r="J628" s="181"/>
      <c r="K628" s="156"/>
      <c r="L628" s="549"/>
      <c r="M628" s="181"/>
      <c r="N628" s="181"/>
      <c r="O628" s="181"/>
      <c r="P628" s="156"/>
      <c r="Q628" s="562"/>
      <c r="R628" s="181"/>
      <c r="S628" s="181"/>
      <c r="T628" s="181"/>
      <c r="U628" s="179"/>
      <c r="V628" s="549"/>
      <c r="W628" s="181"/>
      <c r="X628" s="181"/>
      <c r="Y628" s="181"/>
      <c r="Z628" s="179"/>
      <c r="AA628" s="549"/>
      <c r="AB628" s="181"/>
      <c r="AC628" s="181"/>
      <c r="AD628" s="181"/>
      <c r="AE628" s="179"/>
      <c r="AF628" s="549"/>
      <c r="AG628" s="181"/>
      <c r="AH628" s="181"/>
      <c r="AI628" s="181"/>
      <c r="AJ628" s="179"/>
      <c r="AK628" s="549"/>
      <c r="AL628" s="181"/>
      <c r="AM628" s="181"/>
      <c r="AN628" s="181"/>
      <c r="AO628" s="179"/>
      <c r="AP628" s="549"/>
      <c r="AQ628" s="181"/>
      <c r="AR628" s="181"/>
      <c r="AS628" s="181"/>
      <c r="AT628" s="528"/>
      <c r="AU628" s="528"/>
      <c r="AV628" s="528"/>
      <c r="AW628" s="528"/>
      <c r="AX628" s="528"/>
      <c r="AY628" s="528"/>
      <c r="AZ628" s="528"/>
      <c r="BA628" s="528"/>
      <c r="BB628" s="528"/>
      <c r="BC628" s="528"/>
      <c r="BD628" s="528"/>
      <c r="BE628" s="528"/>
      <c r="BF628" s="528"/>
      <c r="BG628" s="528"/>
      <c r="BH628" s="528"/>
    </row>
    <row r="629">
      <c r="A629" s="179"/>
      <c r="B629" s="549"/>
      <c r="C629" s="181"/>
      <c r="D629" s="181"/>
      <c r="E629" s="181"/>
      <c r="F629" s="179"/>
      <c r="G629" s="549"/>
      <c r="H629" s="181"/>
      <c r="I629" s="181"/>
      <c r="J629" s="181"/>
      <c r="K629" s="156"/>
      <c r="L629" s="549"/>
      <c r="M629" s="181"/>
      <c r="N629" s="181"/>
      <c r="O629" s="181"/>
      <c r="P629" s="156"/>
      <c r="Q629" s="562"/>
      <c r="R629" s="181"/>
      <c r="S629" s="181"/>
      <c r="T629" s="181"/>
      <c r="U629" s="179"/>
      <c r="V629" s="549"/>
      <c r="W629" s="181"/>
      <c r="X629" s="181"/>
      <c r="Y629" s="181"/>
      <c r="Z629" s="179"/>
      <c r="AA629" s="549"/>
      <c r="AB629" s="181"/>
      <c r="AC629" s="181"/>
      <c r="AD629" s="181"/>
      <c r="AE629" s="179"/>
      <c r="AF629" s="549"/>
      <c r="AG629" s="181"/>
      <c r="AH629" s="181"/>
      <c r="AI629" s="181"/>
      <c r="AJ629" s="179"/>
      <c r="AK629" s="549"/>
      <c r="AL629" s="181"/>
      <c r="AM629" s="181"/>
      <c r="AN629" s="181"/>
      <c r="AO629" s="179"/>
      <c r="AP629" s="549"/>
      <c r="AQ629" s="181"/>
      <c r="AR629" s="181"/>
      <c r="AS629" s="181"/>
      <c r="AT629" s="528"/>
      <c r="AU629" s="528"/>
      <c r="AV629" s="528"/>
      <c r="AW629" s="528"/>
      <c r="AX629" s="528"/>
      <c r="AY629" s="528"/>
      <c r="AZ629" s="528"/>
      <c r="BA629" s="528"/>
      <c r="BB629" s="528"/>
      <c r="BC629" s="528"/>
      <c r="BD629" s="528"/>
      <c r="BE629" s="528"/>
      <c r="BF629" s="528"/>
      <c r="BG629" s="528"/>
      <c r="BH629" s="528"/>
    </row>
    <row r="630">
      <c r="A630" s="179"/>
      <c r="B630" s="549"/>
      <c r="C630" s="181"/>
      <c r="D630" s="181"/>
      <c r="E630" s="181"/>
      <c r="F630" s="179"/>
      <c r="G630" s="549"/>
      <c r="H630" s="181"/>
      <c r="I630" s="181"/>
      <c r="J630" s="181"/>
      <c r="K630" s="156"/>
      <c r="L630" s="549"/>
      <c r="M630" s="181"/>
      <c r="N630" s="181"/>
      <c r="O630" s="181"/>
      <c r="P630" s="156"/>
      <c r="Q630" s="562"/>
      <c r="R630" s="181"/>
      <c r="S630" s="181"/>
      <c r="T630" s="181"/>
      <c r="U630" s="179"/>
      <c r="V630" s="549"/>
      <c r="W630" s="181"/>
      <c r="X630" s="181"/>
      <c r="Y630" s="181"/>
      <c r="Z630" s="179"/>
      <c r="AA630" s="549"/>
      <c r="AB630" s="181"/>
      <c r="AC630" s="181"/>
      <c r="AD630" s="181"/>
      <c r="AE630" s="179"/>
      <c r="AF630" s="549"/>
      <c r="AG630" s="181"/>
      <c r="AH630" s="181"/>
      <c r="AI630" s="181"/>
      <c r="AJ630" s="179"/>
      <c r="AK630" s="549"/>
      <c r="AL630" s="181"/>
      <c r="AM630" s="181"/>
      <c r="AN630" s="181"/>
      <c r="AO630" s="179"/>
      <c r="AP630" s="549"/>
      <c r="AQ630" s="181"/>
      <c r="AR630" s="181"/>
      <c r="AS630" s="181"/>
      <c r="AT630" s="528"/>
      <c r="AU630" s="528"/>
      <c r="AV630" s="528"/>
      <c r="AW630" s="528"/>
      <c r="AX630" s="528"/>
      <c r="AY630" s="528"/>
      <c r="AZ630" s="528"/>
      <c r="BA630" s="528"/>
      <c r="BB630" s="528"/>
      <c r="BC630" s="528"/>
      <c r="BD630" s="528"/>
      <c r="BE630" s="528"/>
      <c r="BF630" s="528"/>
      <c r="BG630" s="528"/>
      <c r="BH630" s="528"/>
    </row>
    <row r="631">
      <c r="A631" s="179"/>
      <c r="B631" s="549"/>
      <c r="C631" s="181"/>
      <c r="D631" s="181"/>
      <c r="E631" s="181"/>
      <c r="F631" s="179"/>
      <c r="G631" s="549"/>
      <c r="H631" s="181"/>
      <c r="I631" s="181"/>
      <c r="J631" s="181"/>
      <c r="K631" s="156"/>
      <c r="L631" s="549"/>
      <c r="M631" s="181"/>
      <c r="N631" s="181"/>
      <c r="O631" s="181"/>
      <c r="P631" s="156"/>
      <c r="Q631" s="562"/>
      <c r="R631" s="181"/>
      <c r="S631" s="181"/>
      <c r="T631" s="181"/>
      <c r="U631" s="179"/>
      <c r="V631" s="549"/>
      <c r="W631" s="181"/>
      <c r="X631" s="181"/>
      <c r="Y631" s="181"/>
      <c r="Z631" s="179"/>
      <c r="AA631" s="549"/>
      <c r="AB631" s="181"/>
      <c r="AC631" s="181"/>
      <c r="AD631" s="181"/>
      <c r="AE631" s="179"/>
      <c r="AF631" s="549"/>
      <c r="AG631" s="181"/>
      <c r="AH631" s="181"/>
      <c r="AI631" s="181"/>
      <c r="AJ631" s="179"/>
      <c r="AK631" s="549"/>
      <c r="AL631" s="181"/>
      <c r="AM631" s="181"/>
      <c r="AN631" s="181"/>
      <c r="AO631" s="179"/>
      <c r="AP631" s="549"/>
      <c r="AQ631" s="181"/>
      <c r="AR631" s="181"/>
      <c r="AS631" s="181"/>
      <c r="AT631" s="528"/>
      <c r="AU631" s="528"/>
      <c r="AV631" s="528"/>
      <c r="AW631" s="528"/>
      <c r="AX631" s="528"/>
      <c r="AY631" s="528"/>
      <c r="AZ631" s="528"/>
      <c r="BA631" s="528"/>
      <c r="BB631" s="528"/>
      <c r="BC631" s="528"/>
      <c r="BD631" s="528"/>
      <c r="BE631" s="528"/>
      <c r="BF631" s="528"/>
      <c r="BG631" s="528"/>
      <c r="BH631" s="528"/>
    </row>
    <row r="632">
      <c r="A632" s="179"/>
      <c r="B632" s="549"/>
      <c r="C632" s="181"/>
      <c r="D632" s="181"/>
      <c r="E632" s="181"/>
      <c r="F632" s="179"/>
      <c r="G632" s="549"/>
      <c r="H632" s="181"/>
      <c r="I632" s="181"/>
      <c r="J632" s="181"/>
      <c r="K632" s="156"/>
      <c r="L632" s="549"/>
      <c r="M632" s="181"/>
      <c r="N632" s="181"/>
      <c r="O632" s="181"/>
      <c r="P632" s="156"/>
      <c r="Q632" s="562"/>
      <c r="R632" s="181"/>
      <c r="S632" s="181"/>
      <c r="T632" s="181"/>
      <c r="U632" s="179"/>
      <c r="V632" s="549"/>
      <c r="W632" s="181"/>
      <c r="X632" s="181"/>
      <c r="Y632" s="181"/>
      <c r="Z632" s="179"/>
      <c r="AA632" s="549"/>
      <c r="AB632" s="181"/>
      <c r="AC632" s="181"/>
      <c r="AD632" s="181"/>
      <c r="AE632" s="179"/>
      <c r="AF632" s="549"/>
      <c r="AG632" s="181"/>
      <c r="AH632" s="181"/>
      <c r="AI632" s="181"/>
      <c r="AJ632" s="179"/>
      <c r="AK632" s="549"/>
      <c r="AL632" s="181"/>
      <c r="AM632" s="181"/>
      <c r="AN632" s="181"/>
      <c r="AO632" s="179"/>
      <c r="AP632" s="549"/>
      <c r="AQ632" s="181"/>
      <c r="AR632" s="181"/>
      <c r="AS632" s="181"/>
      <c r="AT632" s="528"/>
      <c r="AU632" s="528"/>
      <c r="AV632" s="528"/>
      <c r="AW632" s="528"/>
      <c r="AX632" s="528"/>
      <c r="AY632" s="528"/>
      <c r="AZ632" s="528"/>
      <c r="BA632" s="528"/>
      <c r="BB632" s="528"/>
      <c r="BC632" s="528"/>
      <c r="BD632" s="528"/>
      <c r="BE632" s="528"/>
      <c r="BF632" s="528"/>
      <c r="BG632" s="528"/>
      <c r="BH632" s="528"/>
    </row>
    <row r="633">
      <c r="A633" s="179"/>
      <c r="B633" s="549"/>
      <c r="C633" s="181"/>
      <c r="D633" s="181"/>
      <c r="E633" s="181"/>
      <c r="F633" s="179"/>
      <c r="G633" s="549"/>
      <c r="H633" s="181"/>
      <c r="I633" s="181"/>
      <c r="J633" s="181"/>
      <c r="K633" s="156"/>
      <c r="L633" s="549"/>
      <c r="M633" s="181"/>
      <c r="N633" s="181"/>
      <c r="O633" s="181"/>
      <c r="P633" s="156"/>
      <c r="Q633" s="562"/>
      <c r="R633" s="181"/>
      <c r="S633" s="181"/>
      <c r="T633" s="181"/>
      <c r="U633" s="179"/>
      <c r="V633" s="549"/>
      <c r="W633" s="181"/>
      <c r="X633" s="181"/>
      <c r="Y633" s="181"/>
      <c r="Z633" s="179"/>
      <c r="AA633" s="549"/>
      <c r="AB633" s="181"/>
      <c r="AC633" s="181"/>
      <c r="AD633" s="181"/>
      <c r="AE633" s="179"/>
      <c r="AF633" s="549"/>
      <c r="AG633" s="181"/>
      <c r="AH633" s="181"/>
      <c r="AI633" s="181"/>
      <c r="AJ633" s="179"/>
      <c r="AK633" s="549"/>
      <c r="AL633" s="181"/>
      <c r="AM633" s="181"/>
      <c r="AN633" s="181"/>
      <c r="AO633" s="179"/>
      <c r="AP633" s="549"/>
      <c r="AQ633" s="181"/>
      <c r="AR633" s="181"/>
      <c r="AS633" s="181"/>
      <c r="AT633" s="528"/>
      <c r="AU633" s="528"/>
      <c r="AV633" s="528"/>
      <c r="AW633" s="528"/>
      <c r="AX633" s="528"/>
      <c r="AY633" s="528"/>
      <c r="AZ633" s="528"/>
      <c r="BA633" s="528"/>
      <c r="BB633" s="528"/>
      <c r="BC633" s="528"/>
      <c r="BD633" s="528"/>
      <c r="BE633" s="528"/>
      <c r="BF633" s="528"/>
      <c r="BG633" s="528"/>
      <c r="BH633" s="528"/>
    </row>
    <row r="634">
      <c r="A634" s="179"/>
      <c r="B634" s="549"/>
      <c r="C634" s="181"/>
      <c r="D634" s="181"/>
      <c r="E634" s="181"/>
      <c r="F634" s="179"/>
      <c r="G634" s="549"/>
      <c r="H634" s="181"/>
      <c r="I634" s="181"/>
      <c r="J634" s="181"/>
      <c r="K634" s="156"/>
      <c r="L634" s="549"/>
      <c r="M634" s="181"/>
      <c r="N634" s="181"/>
      <c r="O634" s="181"/>
      <c r="P634" s="156"/>
      <c r="Q634" s="562"/>
      <c r="R634" s="181"/>
      <c r="S634" s="181"/>
      <c r="T634" s="181"/>
      <c r="U634" s="179"/>
      <c r="V634" s="549"/>
      <c r="W634" s="181"/>
      <c r="X634" s="181"/>
      <c r="Y634" s="181"/>
      <c r="Z634" s="179"/>
      <c r="AA634" s="549"/>
      <c r="AB634" s="181"/>
      <c r="AC634" s="181"/>
      <c r="AD634" s="181"/>
      <c r="AE634" s="179"/>
      <c r="AF634" s="549"/>
      <c r="AG634" s="181"/>
      <c r="AH634" s="181"/>
      <c r="AI634" s="181"/>
      <c r="AJ634" s="179"/>
      <c r="AK634" s="549"/>
      <c r="AL634" s="181"/>
      <c r="AM634" s="181"/>
      <c r="AN634" s="181"/>
      <c r="AO634" s="179"/>
      <c r="AP634" s="549"/>
      <c r="AQ634" s="181"/>
      <c r="AR634" s="181"/>
      <c r="AS634" s="181"/>
      <c r="AT634" s="528"/>
      <c r="AU634" s="528"/>
      <c r="AV634" s="528"/>
      <c r="AW634" s="528"/>
      <c r="AX634" s="528"/>
      <c r="AY634" s="528"/>
      <c r="AZ634" s="528"/>
      <c r="BA634" s="528"/>
      <c r="BB634" s="528"/>
      <c r="BC634" s="528"/>
      <c r="BD634" s="528"/>
      <c r="BE634" s="528"/>
      <c r="BF634" s="528"/>
      <c r="BG634" s="528"/>
      <c r="BH634" s="528"/>
    </row>
    <row r="635">
      <c r="A635" s="179"/>
      <c r="B635" s="549"/>
      <c r="C635" s="181"/>
      <c r="D635" s="181"/>
      <c r="E635" s="181"/>
      <c r="F635" s="179"/>
      <c r="G635" s="549"/>
      <c r="H635" s="181"/>
      <c r="I635" s="181"/>
      <c r="J635" s="181"/>
      <c r="K635" s="156"/>
      <c r="L635" s="549"/>
      <c r="M635" s="181"/>
      <c r="N635" s="181"/>
      <c r="O635" s="181"/>
      <c r="P635" s="156"/>
      <c r="Q635" s="562"/>
      <c r="R635" s="181"/>
      <c r="S635" s="181"/>
      <c r="T635" s="181"/>
      <c r="U635" s="179"/>
      <c r="V635" s="549"/>
      <c r="W635" s="181"/>
      <c r="X635" s="181"/>
      <c r="Y635" s="181"/>
      <c r="Z635" s="179"/>
      <c r="AA635" s="549"/>
      <c r="AB635" s="181"/>
      <c r="AC635" s="181"/>
      <c r="AD635" s="181"/>
      <c r="AE635" s="179"/>
      <c r="AF635" s="549"/>
      <c r="AG635" s="181"/>
      <c r="AH635" s="181"/>
      <c r="AI635" s="181"/>
      <c r="AJ635" s="179"/>
      <c r="AK635" s="549"/>
      <c r="AL635" s="181"/>
      <c r="AM635" s="181"/>
      <c r="AN635" s="181"/>
      <c r="AO635" s="179"/>
      <c r="AP635" s="549"/>
      <c r="AQ635" s="181"/>
      <c r="AR635" s="181"/>
      <c r="AS635" s="181"/>
      <c r="AT635" s="528"/>
      <c r="AU635" s="528"/>
      <c r="AV635" s="528"/>
      <c r="AW635" s="528"/>
      <c r="AX635" s="528"/>
      <c r="AY635" s="528"/>
      <c r="AZ635" s="528"/>
      <c r="BA635" s="528"/>
      <c r="BB635" s="528"/>
      <c r="BC635" s="528"/>
      <c r="BD635" s="528"/>
      <c r="BE635" s="528"/>
      <c r="BF635" s="528"/>
      <c r="BG635" s="528"/>
      <c r="BH635" s="528"/>
    </row>
    <row r="636">
      <c r="A636" s="179"/>
      <c r="B636" s="549"/>
      <c r="C636" s="181"/>
      <c r="D636" s="181"/>
      <c r="E636" s="181"/>
      <c r="F636" s="179"/>
      <c r="G636" s="549"/>
      <c r="H636" s="181"/>
      <c r="I636" s="181"/>
      <c r="J636" s="181"/>
      <c r="K636" s="156"/>
      <c r="L636" s="549"/>
      <c r="M636" s="181"/>
      <c r="N636" s="181"/>
      <c r="O636" s="181"/>
      <c r="P636" s="156"/>
      <c r="Q636" s="562"/>
      <c r="R636" s="181"/>
      <c r="S636" s="181"/>
      <c r="T636" s="181"/>
      <c r="U636" s="179"/>
      <c r="V636" s="549"/>
      <c r="W636" s="181"/>
      <c r="X636" s="181"/>
      <c r="Y636" s="181"/>
      <c r="Z636" s="179"/>
      <c r="AA636" s="549"/>
      <c r="AB636" s="181"/>
      <c r="AC636" s="181"/>
      <c r="AD636" s="181"/>
      <c r="AE636" s="179"/>
      <c r="AF636" s="549"/>
      <c r="AG636" s="181"/>
      <c r="AH636" s="181"/>
      <c r="AI636" s="181"/>
      <c r="AJ636" s="179"/>
      <c r="AK636" s="549"/>
      <c r="AL636" s="181"/>
      <c r="AM636" s="181"/>
      <c r="AN636" s="181"/>
      <c r="AO636" s="179"/>
      <c r="AP636" s="549"/>
      <c r="AQ636" s="181"/>
      <c r="AR636" s="181"/>
      <c r="AS636" s="181"/>
      <c r="AT636" s="528"/>
      <c r="AU636" s="528"/>
      <c r="AV636" s="528"/>
      <c r="AW636" s="528"/>
      <c r="AX636" s="528"/>
      <c r="AY636" s="528"/>
      <c r="AZ636" s="528"/>
      <c r="BA636" s="528"/>
      <c r="BB636" s="528"/>
      <c r="BC636" s="528"/>
      <c r="BD636" s="528"/>
      <c r="BE636" s="528"/>
      <c r="BF636" s="528"/>
      <c r="BG636" s="528"/>
      <c r="BH636" s="528"/>
    </row>
    <row r="637">
      <c r="A637" s="179"/>
      <c r="B637" s="549"/>
      <c r="C637" s="181"/>
      <c r="D637" s="181"/>
      <c r="E637" s="181"/>
      <c r="F637" s="179"/>
      <c r="G637" s="549"/>
      <c r="H637" s="181"/>
      <c r="I637" s="181"/>
      <c r="J637" s="181"/>
      <c r="K637" s="156"/>
      <c r="L637" s="549"/>
      <c r="M637" s="181"/>
      <c r="N637" s="181"/>
      <c r="O637" s="181"/>
      <c r="P637" s="156"/>
      <c r="Q637" s="562"/>
      <c r="R637" s="181"/>
      <c r="S637" s="181"/>
      <c r="T637" s="181"/>
      <c r="U637" s="179"/>
      <c r="V637" s="549"/>
      <c r="W637" s="181"/>
      <c r="X637" s="181"/>
      <c r="Y637" s="181"/>
      <c r="Z637" s="179"/>
      <c r="AA637" s="549"/>
      <c r="AB637" s="181"/>
      <c r="AC637" s="181"/>
      <c r="AD637" s="181"/>
      <c r="AE637" s="179"/>
      <c r="AF637" s="549"/>
      <c r="AG637" s="181"/>
      <c r="AH637" s="181"/>
      <c r="AI637" s="181"/>
      <c r="AJ637" s="179"/>
      <c r="AK637" s="549"/>
      <c r="AL637" s="181"/>
      <c r="AM637" s="181"/>
      <c r="AN637" s="181"/>
      <c r="AO637" s="179"/>
      <c r="AP637" s="549"/>
      <c r="AQ637" s="181"/>
      <c r="AR637" s="181"/>
      <c r="AS637" s="181"/>
      <c r="AT637" s="528"/>
      <c r="AU637" s="528"/>
      <c r="AV637" s="528"/>
      <c r="AW637" s="528"/>
      <c r="AX637" s="528"/>
      <c r="AY637" s="528"/>
      <c r="AZ637" s="528"/>
      <c r="BA637" s="528"/>
      <c r="BB637" s="528"/>
      <c r="BC637" s="528"/>
      <c r="BD637" s="528"/>
      <c r="BE637" s="528"/>
      <c r="BF637" s="528"/>
      <c r="BG637" s="528"/>
      <c r="BH637" s="528"/>
    </row>
    <row r="638">
      <c r="A638" s="179"/>
      <c r="B638" s="549"/>
      <c r="C638" s="181"/>
      <c r="D638" s="181"/>
      <c r="E638" s="181"/>
      <c r="F638" s="179"/>
      <c r="G638" s="549"/>
      <c r="H638" s="181"/>
      <c r="I638" s="181"/>
      <c r="J638" s="181"/>
      <c r="K638" s="156"/>
      <c r="L638" s="549"/>
      <c r="M638" s="181"/>
      <c r="N638" s="181"/>
      <c r="O638" s="181"/>
      <c r="P638" s="156"/>
      <c r="Q638" s="562"/>
      <c r="R638" s="181"/>
      <c r="S638" s="181"/>
      <c r="T638" s="181"/>
      <c r="U638" s="179"/>
      <c r="V638" s="549"/>
      <c r="W638" s="181"/>
      <c r="X638" s="181"/>
      <c r="Y638" s="181"/>
      <c r="Z638" s="179"/>
      <c r="AA638" s="549"/>
      <c r="AB638" s="181"/>
      <c r="AC638" s="181"/>
      <c r="AD638" s="181"/>
      <c r="AE638" s="179"/>
      <c r="AF638" s="549"/>
      <c r="AG638" s="181"/>
      <c r="AH638" s="181"/>
      <c r="AI638" s="181"/>
      <c r="AJ638" s="179"/>
      <c r="AK638" s="549"/>
      <c r="AL638" s="181"/>
      <c r="AM638" s="181"/>
      <c r="AN638" s="181"/>
      <c r="AO638" s="179"/>
      <c r="AP638" s="549"/>
      <c r="AQ638" s="181"/>
      <c r="AR638" s="181"/>
      <c r="AS638" s="181"/>
      <c r="AT638" s="528"/>
      <c r="AU638" s="528"/>
      <c r="AV638" s="528"/>
      <c r="AW638" s="528"/>
      <c r="AX638" s="528"/>
      <c r="AY638" s="528"/>
      <c r="AZ638" s="528"/>
      <c r="BA638" s="528"/>
      <c r="BB638" s="528"/>
      <c r="BC638" s="528"/>
      <c r="BD638" s="528"/>
      <c r="BE638" s="528"/>
      <c r="BF638" s="528"/>
      <c r="BG638" s="528"/>
      <c r="BH638" s="528"/>
    </row>
    <row r="639">
      <c r="A639" s="179"/>
      <c r="B639" s="549"/>
      <c r="C639" s="181"/>
      <c r="D639" s="181"/>
      <c r="E639" s="181"/>
      <c r="F639" s="179"/>
      <c r="G639" s="549"/>
      <c r="H639" s="181"/>
      <c r="I639" s="181"/>
      <c r="J639" s="181"/>
      <c r="K639" s="156"/>
      <c r="L639" s="549"/>
      <c r="M639" s="181"/>
      <c r="N639" s="181"/>
      <c r="O639" s="181"/>
      <c r="P639" s="156"/>
      <c r="Q639" s="562"/>
      <c r="R639" s="181"/>
      <c r="S639" s="181"/>
      <c r="T639" s="181"/>
      <c r="U639" s="179"/>
      <c r="V639" s="549"/>
      <c r="W639" s="181"/>
      <c r="X639" s="181"/>
      <c r="Y639" s="181"/>
      <c r="Z639" s="179"/>
      <c r="AA639" s="549"/>
      <c r="AB639" s="181"/>
      <c r="AC639" s="181"/>
      <c r="AD639" s="181"/>
      <c r="AE639" s="179"/>
      <c r="AF639" s="549"/>
      <c r="AG639" s="181"/>
      <c r="AH639" s="181"/>
      <c r="AI639" s="181"/>
      <c r="AJ639" s="179"/>
      <c r="AK639" s="549"/>
      <c r="AL639" s="181"/>
      <c r="AM639" s="181"/>
      <c r="AN639" s="181"/>
      <c r="AO639" s="179"/>
      <c r="AP639" s="549"/>
      <c r="AQ639" s="181"/>
      <c r="AR639" s="181"/>
      <c r="AS639" s="181"/>
      <c r="AT639" s="528"/>
      <c r="AU639" s="528"/>
      <c r="AV639" s="528"/>
      <c r="AW639" s="528"/>
      <c r="AX639" s="528"/>
      <c r="AY639" s="528"/>
      <c r="AZ639" s="528"/>
      <c r="BA639" s="528"/>
      <c r="BB639" s="528"/>
      <c r="BC639" s="528"/>
      <c r="BD639" s="528"/>
      <c r="BE639" s="528"/>
      <c r="BF639" s="528"/>
      <c r="BG639" s="528"/>
      <c r="BH639" s="528"/>
    </row>
    <row r="640">
      <c r="A640" s="179"/>
      <c r="B640" s="549"/>
      <c r="C640" s="181"/>
      <c r="D640" s="181"/>
      <c r="E640" s="181"/>
      <c r="F640" s="179"/>
      <c r="G640" s="549"/>
      <c r="H640" s="181"/>
      <c r="I640" s="181"/>
      <c r="J640" s="181"/>
      <c r="K640" s="156"/>
      <c r="L640" s="549"/>
      <c r="M640" s="181"/>
      <c r="N640" s="181"/>
      <c r="O640" s="181"/>
      <c r="P640" s="156"/>
      <c r="Q640" s="562"/>
      <c r="R640" s="181"/>
      <c r="S640" s="181"/>
      <c r="T640" s="181"/>
      <c r="U640" s="179"/>
      <c r="V640" s="549"/>
      <c r="W640" s="181"/>
      <c r="X640" s="181"/>
      <c r="Y640" s="181"/>
      <c r="Z640" s="179"/>
      <c r="AA640" s="549"/>
      <c r="AB640" s="181"/>
      <c r="AC640" s="181"/>
      <c r="AD640" s="181"/>
      <c r="AE640" s="179"/>
      <c r="AF640" s="549"/>
      <c r="AG640" s="181"/>
      <c r="AH640" s="181"/>
      <c r="AI640" s="181"/>
      <c r="AJ640" s="179"/>
      <c r="AK640" s="549"/>
      <c r="AL640" s="181"/>
      <c r="AM640" s="181"/>
      <c r="AN640" s="181"/>
      <c r="AO640" s="179"/>
      <c r="AP640" s="549"/>
      <c r="AQ640" s="181"/>
      <c r="AR640" s="181"/>
      <c r="AS640" s="181"/>
      <c r="AT640" s="528"/>
      <c r="AU640" s="528"/>
      <c r="AV640" s="528"/>
      <c r="AW640" s="528"/>
      <c r="AX640" s="528"/>
      <c r="AY640" s="528"/>
      <c r="AZ640" s="528"/>
      <c r="BA640" s="528"/>
      <c r="BB640" s="528"/>
      <c r="BC640" s="528"/>
      <c r="BD640" s="528"/>
      <c r="BE640" s="528"/>
      <c r="BF640" s="528"/>
      <c r="BG640" s="528"/>
      <c r="BH640" s="528"/>
    </row>
    <row r="641">
      <c r="A641" s="179"/>
      <c r="B641" s="549"/>
      <c r="C641" s="181"/>
      <c r="D641" s="181"/>
      <c r="E641" s="181"/>
      <c r="F641" s="179"/>
      <c r="G641" s="549"/>
      <c r="H641" s="181"/>
      <c r="I641" s="181"/>
      <c r="J641" s="181"/>
      <c r="K641" s="156"/>
      <c r="L641" s="549"/>
      <c r="M641" s="181"/>
      <c r="N641" s="181"/>
      <c r="O641" s="181"/>
      <c r="P641" s="156"/>
      <c r="Q641" s="562"/>
      <c r="R641" s="181"/>
      <c r="S641" s="181"/>
      <c r="T641" s="181"/>
      <c r="U641" s="179"/>
      <c r="V641" s="549"/>
      <c r="W641" s="181"/>
      <c r="X641" s="181"/>
      <c r="Y641" s="181"/>
      <c r="Z641" s="179"/>
      <c r="AA641" s="549"/>
      <c r="AB641" s="181"/>
      <c r="AC641" s="181"/>
      <c r="AD641" s="181"/>
      <c r="AE641" s="179"/>
      <c r="AF641" s="549"/>
      <c r="AG641" s="181"/>
      <c r="AH641" s="181"/>
      <c r="AI641" s="181"/>
      <c r="AJ641" s="179"/>
      <c r="AK641" s="549"/>
      <c r="AL641" s="181"/>
      <c r="AM641" s="181"/>
      <c r="AN641" s="181"/>
      <c r="AO641" s="179"/>
      <c r="AP641" s="549"/>
      <c r="AQ641" s="181"/>
      <c r="AR641" s="181"/>
      <c r="AS641" s="181"/>
      <c r="AT641" s="528"/>
      <c r="AU641" s="528"/>
      <c r="AV641" s="528"/>
      <c r="AW641" s="528"/>
      <c r="AX641" s="528"/>
      <c r="AY641" s="528"/>
      <c r="AZ641" s="528"/>
      <c r="BA641" s="528"/>
      <c r="BB641" s="528"/>
      <c r="BC641" s="528"/>
      <c r="BD641" s="528"/>
      <c r="BE641" s="528"/>
      <c r="BF641" s="528"/>
      <c r="BG641" s="528"/>
      <c r="BH641" s="528"/>
    </row>
    <row r="642">
      <c r="A642" s="179"/>
      <c r="B642" s="549"/>
      <c r="C642" s="181"/>
      <c r="D642" s="181"/>
      <c r="E642" s="181"/>
      <c r="F642" s="179"/>
      <c r="G642" s="549"/>
      <c r="H642" s="181"/>
      <c r="I642" s="181"/>
      <c r="J642" s="181"/>
      <c r="K642" s="156"/>
      <c r="L642" s="549"/>
      <c r="M642" s="181"/>
      <c r="N642" s="181"/>
      <c r="O642" s="181"/>
      <c r="P642" s="156"/>
      <c r="Q642" s="562"/>
      <c r="R642" s="181"/>
      <c r="S642" s="181"/>
      <c r="T642" s="181"/>
      <c r="U642" s="179"/>
      <c r="V642" s="549"/>
      <c r="W642" s="181"/>
      <c r="X642" s="181"/>
      <c r="Y642" s="181"/>
      <c r="Z642" s="179"/>
      <c r="AA642" s="549"/>
      <c r="AB642" s="181"/>
      <c r="AC642" s="181"/>
      <c r="AD642" s="181"/>
      <c r="AE642" s="179"/>
      <c r="AF642" s="549"/>
      <c r="AG642" s="181"/>
      <c r="AH642" s="181"/>
      <c r="AI642" s="181"/>
      <c r="AJ642" s="179"/>
      <c r="AK642" s="549"/>
      <c r="AL642" s="181"/>
      <c r="AM642" s="181"/>
      <c r="AN642" s="181"/>
      <c r="AO642" s="179"/>
      <c r="AP642" s="549"/>
      <c r="AQ642" s="181"/>
      <c r="AR642" s="181"/>
      <c r="AS642" s="181"/>
      <c r="AT642" s="528"/>
      <c r="AU642" s="528"/>
      <c r="AV642" s="528"/>
      <c r="AW642" s="528"/>
      <c r="AX642" s="528"/>
      <c r="AY642" s="528"/>
      <c r="AZ642" s="528"/>
      <c r="BA642" s="528"/>
      <c r="BB642" s="528"/>
      <c r="BC642" s="528"/>
      <c r="BD642" s="528"/>
      <c r="BE642" s="528"/>
      <c r="BF642" s="528"/>
      <c r="BG642" s="528"/>
      <c r="BH642" s="528"/>
    </row>
    <row r="643">
      <c r="A643" s="179"/>
      <c r="B643" s="549"/>
      <c r="C643" s="181"/>
      <c r="D643" s="181"/>
      <c r="E643" s="181"/>
      <c r="F643" s="179"/>
      <c r="G643" s="549"/>
      <c r="H643" s="181"/>
      <c r="I643" s="181"/>
      <c r="J643" s="181"/>
      <c r="K643" s="156"/>
      <c r="L643" s="549"/>
      <c r="M643" s="181"/>
      <c r="N643" s="181"/>
      <c r="O643" s="181"/>
      <c r="P643" s="156"/>
      <c r="Q643" s="562"/>
      <c r="R643" s="181"/>
      <c r="S643" s="181"/>
      <c r="T643" s="181"/>
      <c r="U643" s="179"/>
      <c r="V643" s="549"/>
      <c r="W643" s="181"/>
      <c r="X643" s="181"/>
      <c r="Y643" s="181"/>
      <c r="Z643" s="179"/>
      <c r="AA643" s="549"/>
      <c r="AB643" s="181"/>
      <c r="AC643" s="181"/>
      <c r="AD643" s="181"/>
      <c r="AE643" s="179"/>
      <c r="AF643" s="549"/>
      <c r="AG643" s="181"/>
      <c r="AH643" s="181"/>
      <c r="AI643" s="181"/>
      <c r="AJ643" s="179"/>
      <c r="AK643" s="549"/>
      <c r="AL643" s="181"/>
      <c r="AM643" s="181"/>
      <c r="AN643" s="181"/>
      <c r="AO643" s="179"/>
      <c r="AP643" s="549"/>
      <c r="AQ643" s="181"/>
      <c r="AR643" s="181"/>
      <c r="AS643" s="181"/>
      <c r="AT643" s="528"/>
      <c r="AU643" s="528"/>
      <c r="AV643" s="528"/>
      <c r="AW643" s="528"/>
      <c r="AX643" s="528"/>
      <c r="AY643" s="528"/>
      <c r="AZ643" s="528"/>
      <c r="BA643" s="528"/>
      <c r="BB643" s="528"/>
      <c r="BC643" s="528"/>
      <c r="BD643" s="528"/>
      <c r="BE643" s="528"/>
      <c r="BF643" s="528"/>
      <c r="BG643" s="528"/>
      <c r="BH643" s="528"/>
    </row>
    <row r="644">
      <c r="A644" s="179"/>
      <c r="B644" s="549"/>
      <c r="C644" s="181"/>
      <c r="D644" s="181"/>
      <c r="E644" s="181"/>
      <c r="F644" s="179"/>
      <c r="G644" s="549"/>
      <c r="H644" s="181"/>
      <c r="I644" s="181"/>
      <c r="J644" s="181"/>
      <c r="K644" s="156"/>
      <c r="L644" s="549"/>
      <c r="M644" s="181"/>
      <c r="N644" s="181"/>
      <c r="O644" s="181"/>
      <c r="P644" s="156"/>
      <c r="Q644" s="562"/>
      <c r="R644" s="181"/>
      <c r="S644" s="181"/>
      <c r="T644" s="181"/>
      <c r="U644" s="179"/>
      <c r="V644" s="549"/>
      <c r="W644" s="181"/>
      <c r="X644" s="181"/>
      <c r="Y644" s="181"/>
      <c r="Z644" s="179"/>
      <c r="AA644" s="549"/>
      <c r="AB644" s="181"/>
      <c r="AC644" s="181"/>
      <c r="AD644" s="181"/>
      <c r="AE644" s="179"/>
      <c r="AF644" s="549"/>
      <c r="AG644" s="181"/>
      <c r="AH644" s="181"/>
      <c r="AI644" s="181"/>
      <c r="AJ644" s="179"/>
      <c r="AK644" s="549"/>
      <c r="AL644" s="181"/>
      <c r="AM644" s="181"/>
      <c r="AN644" s="181"/>
      <c r="AO644" s="179"/>
      <c r="AP644" s="549"/>
      <c r="AQ644" s="181"/>
      <c r="AR644" s="181"/>
      <c r="AS644" s="181"/>
      <c r="AT644" s="528"/>
      <c r="AU644" s="528"/>
      <c r="AV644" s="528"/>
      <c r="AW644" s="528"/>
      <c r="AX644" s="528"/>
      <c r="AY644" s="528"/>
      <c r="AZ644" s="528"/>
      <c r="BA644" s="528"/>
      <c r="BB644" s="528"/>
      <c r="BC644" s="528"/>
      <c r="BD644" s="528"/>
      <c r="BE644" s="528"/>
      <c r="BF644" s="528"/>
      <c r="BG644" s="528"/>
      <c r="BH644" s="528"/>
    </row>
    <row r="645">
      <c r="A645" s="179"/>
      <c r="B645" s="549"/>
      <c r="C645" s="181"/>
      <c r="D645" s="181"/>
      <c r="E645" s="181"/>
      <c r="F645" s="179"/>
      <c r="G645" s="549"/>
      <c r="H645" s="181"/>
      <c r="I645" s="181"/>
      <c r="J645" s="181"/>
      <c r="K645" s="156"/>
      <c r="L645" s="549"/>
      <c r="M645" s="181"/>
      <c r="N645" s="181"/>
      <c r="O645" s="181"/>
      <c r="P645" s="156"/>
      <c r="Q645" s="562"/>
      <c r="R645" s="181"/>
      <c r="S645" s="181"/>
      <c r="T645" s="181"/>
      <c r="U645" s="179"/>
      <c r="V645" s="549"/>
      <c r="W645" s="181"/>
      <c r="X645" s="181"/>
      <c r="Y645" s="181"/>
      <c r="Z645" s="179"/>
      <c r="AA645" s="549"/>
      <c r="AB645" s="181"/>
      <c r="AC645" s="181"/>
      <c r="AD645" s="181"/>
      <c r="AE645" s="179"/>
      <c r="AF645" s="549"/>
      <c r="AG645" s="181"/>
      <c r="AH645" s="181"/>
      <c r="AI645" s="181"/>
      <c r="AJ645" s="179"/>
      <c r="AK645" s="549"/>
      <c r="AL645" s="181"/>
      <c r="AM645" s="181"/>
      <c r="AN645" s="181"/>
      <c r="AO645" s="179"/>
      <c r="AP645" s="549"/>
      <c r="AQ645" s="181"/>
      <c r="AR645" s="181"/>
      <c r="AS645" s="181"/>
      <c r="AT645" s="528"/>
      <c r="AU645" s="528"/>
      <c r="AV645" s="528"/>
      <c r="AW645" s="528"/>
      <c r="AX645" s="528"/>
      <c r="AY645" s="528"/>
      <c r="AZ645" s="528"/>
      <c r="BA645" s="528"/>
      <c r="BB645" s="528"/>
      <c r="BC645" s="528"/>
      <c r="BD645" s="528"/>
      <c r="BE645" s="528"/>
      <c r="BF645" s="528"/>
      <c r="BG645" s="528"/>
      <c r="BH645" s="528"/>
    </row>
    <row r="646">
      <c r="A646" s="179"/>
      <c r="B646" s="549"/>
      <c r="C646" s="181"/>
      <c r="D646" s="181"/>
      <c r="E646" s="181"/>
      <c r="F646" s="179"/>
      <c r="G646" s="549"/>
      <c r="H646" s="181"/>
      <c r="I646" s="181"/>
      <c r="J646" s="181"/>
      <c r="K646" s="156"/>
      <c r="L646" s="549"/>
      <c r="M646" s="181"/>
      <c r="N646" s="181"/>
      <c r="O646" s="181"/>
      <c r="P646" s="156"/>
      <c r="Q646" s="562"/>
      <c r="R646" s="181"/>
      <c r="S646" s="181"/>
      <c r="T646" s="181"/>
      <c r="U646" s="179"/>
      <c r="V646" s="549"/>
      <c r="W646" s="181"/>
      <c r="X646" s="181"/>
      <c r="Y646" s="181"/>
      <c r="Z646" s="179"/>
      <c r="AA646" s="549"/>
      <c r="AB646" s="181"/>
      <c r="AC646" s="181"/>
      <c r="AD646" s="181"/>
      <c r="AE646" s="179"/>
      <c r="AF646" s="549"/>
      <c r="AG646" s="181"/>
      <c r="AH646" s="181"/>
      <c r="AI646" s="181"/>
      <c r="AJ646" s="179"/>
      <c r="AK646" s="549"/>
      <c r="AL646" s="181"/>
      <c r="AM646" s="181"/>
      <c r="AN646" s="181"/>
      <c r="AO646" s="179"/>
      <c r="AP646" s="549"/>
      <c r="AQ646" s="181"/>
      <c r="AR646" s="181"/>
      <c r="AS646" s="181"/>
      <c r="AT646" s="528"/>
      <c r="AU646" s="528"/>
      <c r="AV646" s="528"/>
      <c r="AW646" s="528"/>
      <c r="AX646" s="528"/>
      <c r="AY646" s="528"/>
      <c r="AZ646" s="528"/>
      <c r="BA646" s="528"/>
      <c r="BB646" s="528"/>
      <c r="BC646" s="528"/>
      <c r="BD646" s="528"/>
      <c r="BE646" s="528"/>
      <c r="BF646" s="528"/>
      <c r="BG646" s="528"/>
      <c r="BH646" s="528"/>
    </row>
    <row r="647">
      <c r="A647" s="179"/>
      <c r="B647" s="549"/>
      <c r="C647" s="181"/>
      <c r="D647" s="181"/>
      <c r="E647" s="181"/>
      <c r="F647" s="179"/>
      <c r="G647" s="549"/>
      <c r="H647" s="181"/>
      <c r="I647" s="181"/>
      <c r="J647" s="181"/>
      <c r="K647" s="156"/>
      <c r="L647" s="549"/>
      <c r="M647" s="181"/>
      <c r="N647" s="181"/>
      <c r="O647" s="181"/>
      <c r="P647" s="156"/>
      <c r="Q647" s="562"/>
      <c r="R647" s="181"/>
      <c r="S647" s="181"/>
      <c r="T647" s="181"/>
      <c r="U647" s="179"/>
      <c r="V647" s="549"/>
      <c r="W647" s="181"/>
      <c r="X647" s="181"/>
      <c r="Y647" s="181"/>
      <c r="Z647" s="179"/>
      <c r="AA647" s="549"/>
      <c r="AB647" s="181"/>
      <c r="AC647" s="181"/>
      <c r="AD647" s="181"/>
      <c r="AE647" s="179"/>
      <c r="AF647" s="549"/>
      <c r="AG647" s="181"/>
      <c r="AH647" s="181"/>
      <c r="AI647" s="181"/>
      <c r="AJ647" s="179"/>
      <c r="AK647" s="549"/>
      <c r="AL647" s="181"/>
      <c r="AM647" s="181"/>
      <c r="AN647" s="181"/>
      <c r="AO647" s="179"/>
      <c r="AP647" s="549"/>
      <c r="AQ647" s="181"/>
      <c r="AR647" s="181"/>
      <c r="AS647" s="181"/>
      <c r="AT647" s="528"/>
      <c r="AU647" s="528"/>
      <c r="AV647" s="528"/>
      <c r="AW647" s="528"/>
      <c r="AX647" s="528"/>
      <c r="AY647" s="528"/>
      <c r="AZ647" s="528"/>
      <c r="BA647" s="528"/>
      <c r="BB647" s="528"/>
      <c r="BC647" s="528"/>
      <c r="BD647" s="528"/>
      <c r="BE647" s="528"/>
      <c r="BF647" s="528"/>
      <c r="BG647" s="528"/>
      <c r="BH647" s="528"/>
    </row>
    <row r="648">
      <c r="A648" s="179"/>
      <c r="B648" s="549"/>
      <c r="C648" s="181"/>
      <c r="D648" s="181"/>
      <c r="E648" s="181"/>
      <c r="F648" s="179"/>
      <c r="G648" s="549"/>
      <c r="H648" s="181"/>
      <c r="I648" s="181"/>
      <c r="J648" s="181"/>
      <c r="K648" s="156"/>
      <c r="L648" s="549"/>
      <c r="M648" s="181"/>
      <c r="N648" s="181"/>
      <c r="O648" s="181"/>
      <c r="P648" s="156"/>
      <c r="Q648" s="562"/>
      <c r="R648" s="181"/>
      <c r="S648" s="181"/>
      <c r="T648" s="181"/>
      <c r="U648" s="179"/>
      <c r="V648" s="549"/>
      <c r="W648" s="181"/>
      <c r="X648" s="181"/>
      <c r="Y648" s="181"/>
      <c r="Z648" s="179"/>
      <c r="AA648" s="549"/>
      <c r="AB648" s="181"/>
      <c r="AC648" s="181"/>
      <c r="AD648" s="181"/>
      <c r="AE648" s="179"/>
      <c r="AF648" s="549"/>
      <c r="AG648" s="181"/>
      <c r="AH648" s="181"/>
      <c r="AI648" s="181"/>
      <c r="AJ648" s="179"/>
      <c r="AK648" s="549"/>
      <c r="AL648" s="181"/>
      <c r="AM648" s="181"/>
      <c r="AN648" s="181"/>
      <c r="AO648" s="179"/>
      <c r="AP648" s="549"/>
      <c r="AQ648" s="181"/>
      <c r="AR648" s="181"/>
      <c r="AS648" s="181"/>
      <c r="AT648" s="528"/>
      <c r="AU648" s="528"/>
      <c r="AV648" s="528"/>
      <c r="AW648" s="528"/>
      <c r="AX648" s="528"/>
      <c r="AY648" s="528"/>
      <c r="AZ648" s="528"/>
      <c r="BA648" s="528"/>
      <c r="BB648" s="528"/>
      <c r="BC648" s="528"/>
      <c r="BD648" s="528"/>
      <c r="BE648" s="528"/>
      <c r="BF648" s="528"/>
      <c r="BG648" s="528"/>
      <c r="BH648" s="528"/>
    </row>
    <row r="649">
      <c r="A649" s="179"/>
      <c r="B649" s="549"/>
      <c r="C649" s="181"/>
      <c r="D649" s="181"/>
      <c r="E649" s="181"/>
      <c r="F649" s="179"/>
      <c r="G649" s="549"/>
      <c r="H649" s="181"/>
      <c r="I649" s="181"/>
      <c r="J649" s="181"/>
      <c r="K649" s="156"/>
      <c r="L649" s="549"/>
      <c r="M649" s="181"/>
      <c r="N649" s="181"/>
      <c r="O649" s="181"/>
      <c r="P649" s="156"/>
      <c r="Q649" s="562"/>
      <c r="R649" s="181"/>
      <c r="S649" s="181"/>
      <c r="T649" s="181"/>
      <c r="U649" s="179"/>
      <c r="V649" s="549"/>
      <c r="W649" s="181"/>
      <c r="X649" s="181"/>
      <c r="Y649" s="181"/>
      <c r="Z649" s="179"/>
      <c r="AA649" s="549"/>
      <c r="AB649" s="181"/>
      <c r="AC649" s="181"/>
      <c r="AD649" s="181"/>
      <c r="AE649" s="179"/>
      <c r="AF649" s="549"/>
      <c r="AG649" s="181"/>
      <c r="AH649" s="181"/>
      <c r="AI649" s="181"/>
      <c r="AJ649" s="179"/>
      <c r="AK649" s="549"/>
      <c r="AL649" s="181"/>
      <c r="AM649" s="181"/>
      <c r="AN649" s="181"/>
      <c r="AO649" s="179"/>
      <c r="AP649" s="549"/>
      <c r="AQ649" s="181"/>
      <c r="AR649" s="181"/>
      <c r="AS649" s="181"/>
      <c r="AT649" s="528"/>
      <c r="AU649" s="528"/>
      <c r="AV649" s="528"/>
      <c r="AW649" s="528"/>
      <c r="AX649" s="528"/>
      <c r="AY649" s="528"/>
      <c r="AZ649" s="528"/>
      <c r="BA649" s="528"/>
      <c r="BB649" s="528"/>
      <c r="BC649" s="528"/>
      <c r="BD649" s="528"/>
      <c r="BE649" s="528"/>
      <c r="BF649" s="528"/>
      <c r="BG649" s="528"/>
      <c r="BH649" s="528"/>
    </row>
    <row r="650">
      <c r="A650" s="179"/>
      <c r="B650" s="549"/>
      <c r="C650" s="181"/>
      <c r="D650" s="181"/>
      <c r="E650" s="181"/>
      <c r="F650" s="179"/>
      <c r="G650" s="549"/>
      <c r="H650" s="181"/>
      <c r="I650" s="181"/>
      <c r="J650" s="181"/>
      <c r="K650" s="156"/>
      <c r="L650" s="549"/>
      <c r="M650" s="181"/>
      <c r="N650" s="181"/>
      <c r="O650" s="181"/>
      <c r="P650" s="156"/>
      <c r="Q650" s="562"/>
      <c r="R650" s="181"/>
      <c r="S650" s="181"/>
      <c r="T650" s="181"/>
      <c r="U650" s="179"/>
      <c r="V650" s="549"/>
      <c r="W650" s="181"/>
      <c r="X650" s="181"/>
      <c r="Y650" s="181"/>
      <c r="Z650" s="179"/>
      <c r="AA650" s="549"/>
      <c r="AB650" s="181"/>
      <c r="AC650" s="181"/>
      <c r="AD650" s="181"/>
      <c r="AE650" s="179"/>
      <c r="AF650" s="549"/>
      <c r="AG650" s="181"/>
      <c r="AH650" s="181"/>
      <c r="AI650" s="181"/>
      <c r="AJ650" s="179"/>
      <c r="AK650" s="549"/>
      <c r="AL650" s="181"/>
      <c r="AM650" s="181"/>
      <c r="AN650" s="181"/>
      <c r="AO650" s="179"/>
      <c r="AP650" s="549"/>
      <c r="AQ650" s="181"/>
      <c r="AR650" s="181"/>
      <c r="AS650" s="181"/>
      <c r="AT650" s="528"/>
      <c r="AU650" s="528"/>
      <c r="AV650" s="528"/>
      <c r="AW650" s="528"/>
      <c r="AX650" s="528"/>
      <c r="AY650" s="528"/>
      <c r="AZ650" s="528"/>
      <c r="BA650" s="528"/>
      <c r="BB650" s="528"/>
      <c r="BC650" s="528"/>
      <c r="BD650" s="528"/>
      <c r="BE650" s="528"/>
      <c r="BF650" s="528"/>
      <c r="BG650" s="528"/>
      <c r="BH650" s="528"/>
    </row>
    <row r="651">
      <c r="A651" s="179"/>
      <c r="B651" s="549"/>
      <c r="C651" s="181"/>
      <c r="D651" s="181"/>
      <c r="E651" s="181"/>
      <c r="F651" s="179"/>
      <c r="G651" s="549"/>
      <c r="H651" s="181"/>
      <c r="I651" s="181"/>
      <c r="J651" s="181"/>
      <c r="K651" s="156"/>
      <c r="L651" s="549"/>
      <c r="M651" s="181"/>
      <c r="N651" s="181"/>
      <c r="O651" s="181"/>
      <c r="P651" s="156"/>
      <c r="Q651" s="562"/>
      <c r="R651" s="181"/>
      <c r="S651" s="181"/>
      <c r="T651" s="181"/>
      <c r="U651" s="179"/>
      <c r="V651" s="549"/>
      <c r="W651" s="181"/>
      <c r="X651" s="181"/>
      <c r="Y651" s="181"/>
      <c r="Z651" s="179"/>
      <c r="AA651" s="549"/>
      <c r="AB651" s="181"/>
      <c r="AC651" s="181"/>
      <c r="AD651" s="181"/>
      <c r="AE651" s="179"/>
      <c r="AF651" s="549"/>
      <c r="AG651" s="181"/>
      <c r="AH651" s="181"/>
      <c r="AI651" s="181"/>
      <c r="AJ651" s="179"/>
      <c r="AK651" s="549"/>
      <c r="AL651" s="181"/>
      <c r="AM651" s="181"/>
      <c r="AN651" s="181"/>
      <c r="AO651" s="179"/>
      <c r="AP651" s="549"/>
      <c r="AQ651" s="181"/>
      <c r="AR651" s="181"/>
      <c r="AS651" s="181"/>
      <c r="AT651" s="528"/>
      <c r="AU651" s="528"/>
      <c r="AV651" s="528"/>
      <c r="AW651" s="528"/>
      <c r="AX651" s="528"/>
      <c r="AY651" s="528"/>
      <c r="AZ651" s="528"/>
      <c r="BA651" s="528"/>
      <c r="BB651" s="528"/>
      <c r="BC651" s="528"/>
      <c r="BD651" s="528"/>
      <c r="BE651" s="528"/>
      <c r="BF651" s="528"/>
      <c r="BG651" s="528"/>
      <c r="BH651" s="528"/>
    </row>
    <row r="652">
      <c r="A652" s="179"/>
      <c r="B652" s="549"/>
      <c r="C652" s="181"/>
      <c r="D652" s="181"/>
      <c r="E652" s="181"/>
      <c r="F652" s="179"/>
      <c r="G652" s="549"/>
      <c r="H652" s="181"/>
      <c r="I652" s="181"/>
      <c r="J652" s="181"/>
      <c r="K652" s="156"/>
      <c r="L652" s="549"/>
      <c r="M652" s="181"/>
      <c r="N652" s="181"/>
      <c r="O652" s="181"/>
      <c r="P652" s="156"/>
      <c r="Q652" s="562"/>
      <c r="R652" s="181"/>
      <c r="S652" s="181"/>
      <c r="T652" s="181"/>
      <c r="U652" s="179"/>
      <c r="V652" s="549"/>
      <c r="W652" s="181"/>
      <c r="X652" s="181"/>
      <c r="Y652" s="181"/>
      <c r="Z652" s="179"/>
      <c r="AA652" s="549"/>
      <c r="AB652" s="181"/>
      <c r="AC652" s="181"/>
      <c r="AD652" s="181"/>
      <c r="AE652" s="179"/>
      <c r="AF652" s="549"/>
      <c r="AG652" s="181"/>
      <c r="AH652" s="181"/>
      <c r="AI652" s="181"/>
      <c r="AJ652" s="179"/>
      <c r="AK652" s="549"/>
      <c r="AL652" s="181"/>
      <c r="AM652" s="181"/>
      <c r="AN652" s="181"/>
      <c r="AO652" s="179"/>
      <c r="AP652" s="549"/>
      <c r="AQ652" s="181"/>
      <c r="AR652" s="181"/>
      <c r="AS652" s="181"/>
      <c r="AT652" s="528"/>
      <c r="AU652" s="528"/>
      <c r="AV652" s="528"/>
      <c r="AW652" s="528"/>
      <c r="AX652" s="528"/>
      <c r="AY652" s="528"/>
      <c r="AZ652" s="528"/>
      <c r="BA652" s="528"/>
      <c r="BB652" s="528"/>
      <c r="BC652" s="528"/>
      <c r="BD652" s="528"/>
      <c r="BE652" s="528"/>
      <c r="BF652" s="528"/>
      <c r="BG652" s="528"/>
      <c r="BH652" s="528"/>
    </row>
    <row r="653">
      <c r="A653" s="179"/>
      <c r="B653" s="549"/>
      <c r="C653" s="181"/>
      <c r="D653" s="181"/>
      <c r="E653" s="181"/>
      <c r="F653" s="179"/>
      <c r="G653" s="549"/>
      <c r="H653" s="181"/>
      <c r="I653" s="181"/>
      <c r="J653" s="181"/>
      <c r="K653" s="156"/>
      <c r="L653" s="549"/>
      <c r="M653" s="181"/>
      <c r="N653" s="181"/>
      <c r="O653" s="181"/>
      <c r="P653" s="156"/>
      <c r="Q653" s="562"/>
      <c r="R653" s="181"/>
      <c r="S653" s="181"/>
      <c r="T653" s="181"/>
      <c r="U653" s="179"/>
      <c r="V653" s="549"/>
      <c r="W653" s="181"/>
      <c r="X653" s="181"/>
      <c r="Y653" s="181"/>
      <c r="Z653" s="179"/>
      <c r="AA653" s="549"/>
      <c r="AB653" s="181"/>
      <c r="AC653" s="181"/>
      <c r="AD653" s="181"/>
      <c r="AE653" s="179"/>
      <c r="AF653" s="549"/>
      <c r="AG653" s="181"/>
      <c r="AH653" s="181"/>
      <c r="AI653" s="181"/>
      <c r="AJ653" s="179"/>
      <c r="AK653" s="549"/>
      <c r="AL653" s="181"/>
      <c r="AM653" s="181"/>
      <c r="AN653" s="181"/>
      <c r="AO653" s="179"/>
      <c r="AP653" s="549"/>
      <c r="AQ653" s="181"/>
      <c r="AR653" s="181"/>
      <c r="AS653" s="181"/>
      <c r="AT653" s="528"/>
      <c r="AU653" s="528"/>
      <c r="AV653" s="528"/>
      <c r="AW653" s="528"/>
      <c r="AX653" s="528"/>
      <c r="AY653" s="528"/>
      <c r="AZ653" s="528"/>
      <c r="BA653" s="528"/>
      <c r="BB653" s="528"/>
      <c r="BC653" s="528"/>
      <c r="BD653" s="528"/>
      <c r="BE653" s="528"/>
      <c r="BF653" s="528"/>
      <c r="BG653" s="528"/>
      <c r="BH653" s="528"/>
    </row>
    <row r="654">
      <c r="A654" s="179"/>
      <c r="B654" s="549"/>
      <c r="C654" s="181"/>
      <c r="D654" s="181"/>
      <c r="E654" s="181"/>
      <c r="F654" s="179"/>
      <c r="G654" s="549"/>
      <c r="H654" s="181"/>
      <c r="I654" s="181"/>
      <c r="J654" s="181"/>
      <c r="K654" s="156"/>
      <c r="L654" s="549"/>
      <c r="M654" s="181"/>
      <c r="N654" s="181"/>
      <c r="O654" s="181"/>
      <c r="P654" s="156"/>
      <c r="Q654" s="562"/>
      <c r="R654" s="181"/>
      <c r="S654" s="181"/>
      <c r="T654" s="181"/>
      <c r="U654" s="179"/>
      <c r="V654" s="549"/>
      <c r="W654" s="181"/>
      <c r="X654" s="181"/>
      <c r="Y654" s="181"/>
      <c r="Z654" s="179"/>
      <c r="AA654" s="549"/>
      <c r="AB654" s="181"/>
      <c r="AC654" s="181"/>
      <c r="AD654" s="181"/>
      <c r="AE654" s="179"/>
      <c r="AF654" s="549"/>
      <c r="AG654" s="181"/>
      <c r="AH654" s="181"/>
      <c r="AI654" s="181"/>
      <c r="AJ654" s="179"/>
      <c r="AK654" s="549"/>
      <c r="AL654" s="181"/>
      <c r="AM654" s="181"/>
      <c r="AN654" s="181"/>
      <c r="AO654" s="179"/>
      <c r="AP654" s="549"/>
      <c r="AQ654" s="181"/>
      <c r="AR654" s="181"/>
      <c r="AS654" s="181"/>
      <c r="AT654" s="528"/>
      <c r="AU654" s="528"/>
      <c r="AV654" s="528"/>
      <c r="AW654" s="528"/>
      <c r="AX654" s="528"/>
      <c r="AY654" s="528"/>
      <c r="AZ654" s="528"/>
      <c r="BA654" s="528"/>
      <c r="BB654" s="528"/>
      <c r="BC654" s="528"/>
      <c r="BD654" s="528"/>
      <c r="BE654" s="528"/>
      <c r="BF654" s="528"/>
      <c r="BG654" s="528"/>
      <c r="BH654" s="528"/>
    </row>
    <row r="655">
      <c r="A655" s="179"/>
      <c r="B655" s="549"/>
      <c r="C655" s="181"/>
      <c r="D655" s="181"/>
      <c r="E655" s="181"/>
      <c r="F655" s="179"/>
      <c r="G655" s="549"/>
      <c r="H655" s="181"/>
      <c r="I655" s="181"/>
      <c r="J655" s="181"/>
      <c r="K655" s="156"/>
      <c r="L655" s="549"/>
      <c r="M655" s="181"/>
      <c r="N655" s="181"/>
      <c r="O655" s="181"/>
      <c r="P655" s="156"/>
      <c r="Q655" s="562"/>
      <c r="R655" s="181"/>
      <c r="S655" s="181"/>
      <c r="T655" s="181"/>
      <c r="U655" s="179"/>
      <c r="V655" s="549"/>
      <c r="W655" s="181"/>
      <c r="X655" s="181"/>
      <c r="Y655" s="181"/>
      <c r="Z655" s="179"/>
      <c r="AA655" s="549"/>
      <c r="AB655" s="181"/>
      <c r="AC655" s="181"/>
      <c r="AD655" s="181"/>
      <c r="AE655" s="179"/>
      <c r="AF655" s="549"/>
      <c r="AG655" s="181"/>
      <c r="AH655" s="181"/>
      <c r="AI655" s="181"/>
      <c r="AJ655" s="179"/>
      <c r="AK655" s="549"/>
      <c r="AL655" s="181"/>
      <c r="AM655" s="181"/>
      <c r="AN655" s="181"/>
      <c r="AO655" s="179"/>
      <c r="AP655" s="549"/>
      <c r="AQ655" s="181"/>
      <c r="AR655" s="181"/>
      <c r="AS655" s="181"/>
      <c r="AT655" s="528"/>
      <c r="AU655" s="528"/>
      <c r="AV655" s="528"/>
      <c r="AW655" s="528"/>
      <c r="AX655" s="528"/>
      <c r="AY655" s="528"/>
      <c r="AZ655" s="528"/>
      <c r="BA655" s="528"/>
      <c r="BB655" s="528"/>
      <c r="BC655" s="528"/>
      <c r="BD655" s="528"/>
      <c r="BE655" s="528"/>
      <c r="BF655" s="528"/>
      <c r="BG655" s="528"/>
      <c r="BH655" s="528"/>
    </row>
    <row r="656">
      <c r="A656" s="179"/>
      <c r="B656" s="549"/>
      <c r="C656" s="181"/>
      <c r="D656" s="181"/>
      <c r="E656" s="181"/>
      <c r="F656" s="179"/>
      <c r="G656" s="549"/>
      <c r="H656" s="181"/>
      <c r="I656" s="181"/>
      <c r="J656" s="181"/>
      <c r="K656" s="156"/>
      <c r="L656" s="549"/>
      <c r="M656" s="181"/>
      <c r="N656" s="181"/>
      <c r="O656" s="181"/>
      <c r="P656" s="156"/>
      <c r="Q656" s="562"/>
      <c r="R656" s="181"/>
      <c r="S656" s="181"/>
      <c r="T656" s="181"/>
      <c r="U656" s="179"/>
      <c r="V656" s="549"/>
      <c r="W656" s="181"/>
      <c r="X656" s="181"/>
      <c r="Y656" s="181"/>
      <c r="Z656" s="179"/>
      <c r="AA656" s="549"/>
      <c r="AB656" s="181"/>
      <c r="AC656" s="181"/>
      <c r="AD656" s="181"/>
      <c r="AE656" s="179"/>
      <c r="AF656" s="549"/>
      <c r="AG656" s="181"/>
      <c r="AH656" s="181"/>
      <c r="AI656" s="181"/>
      <c r="AJ656" s="179"/>
      <c r="AK656" s="549"/>
      <c r="AL656" s="181"/>
      <c r="AM656" s="181"/>
      <c r="AN656" s="181"/>
      <c r="AO656" s="179"/>
      <c r="AP656" s="549"/>
      <c r="AQ656" s="181"/>
      <c r="AR656" s="181"/>
      <c r="AS656" s="181"/>
      <c r="AT656" s="528"/>
      <c r="AU656" s="528"/>
      <c r="AV656" s="528"/>
      <c r="AW656" s="528"/>
      <c r="AX656" s="528"/>
      <c r="AY656" s="528"/>
      <c r="AZ656" s="528"/>
      <c r="BA656" s="528"/>
      <c r="BB656" s="528"/>
      <c r="BC656" s="528"/>
      <c r="BD656" s="528"/>
      <c r="BE656" s="528"/>
      <c r="BF656" s="528"/>
      <c r="BG656" s="528"/>
      <c r="BH656" s="528"/>
    </row>
    <row r="657">
      <c r="A657" s="179"/>
      <c r="B657" s="549"/>
      <c r="C657" s="181"/>
      <c r="D657" s="181"/>
      <c r="E657" s="181"/>
      <c r="F657" s="179"/>
      <c r="G657" s="549"/>
      <c r="H657" s="181"/>
      <c r="I657" s="181"/>
      <c r="J657" s="181"/>
      <c r="K657" s="156"/>
      <c r="L657" s="549"/>
      <c r="M657" s="181"/>
      <c r="N657" s="181"/>
      <c r="O657" s="181"/>
      <c r="P657" s="156"/>
      <c r="Q657" s="562"/>
      <c r="R657" s="181"/>
      <c r="S657" s="181"/>
      <c r="T657" s="181"/>
      <c r="U657" s="179"/>
      <c r="V657" s="549"/>
      <c r="W657" s="181"/>
      <c r="X657" s="181"/>
      <c r="Y657" s="181"/>
      <c r="Z657" s="179"/>
      <c r="AA657" s="549"/>
      <c r="AB657" s="181"/>
      <c r="AC657" s="181"/>
      <c r="AD657" s="181"/>
      <c r="AE657" s="179"/>
      <c r="AF657" s="549"/>
      <c r="AG657" s="181"/>
      <c r="AH657" s="181"/>
      <c r="AI657" s="181"/>
      <c r="AJ657" s="179"/>
      <c r="AK657" s="549"/>
      <c r="AL657" s="181"/>
      <c r="AM657" s="181"/>
      <c r="AN657" s="181"/>
      <c r="AO657" s="179"/>
      <c r="AP657" s="549"/>
      <c r="AQ657" s="181"/>
      <c r="AR657" s="181"/>
      <c r="AS657" s="181"/>
      <c r="AT657" s="528"/>
      <c r="AU657" s="528"/>
      <c r="AV657" s="528"/>
      <c r="AW657" s="528"/>
      <c r="AX657" s="528"/>
      <c r="AY657" s="528"/>
      <c r="AZ657" s="528"/>
      <c r="BA657" s="528"/>
      <c r="BB657" s="528"/>
      <c r="BC657" s="528"/>
      <c r="BD657" s="528"/>
      <c r="BE657" s="528"/>
      <c r="BF657" s="528"/>
      <c r="BG657" s="528"/>
      <c r="BH657" s="528"/>
    </row>
    <row r="658">
      <c r="A658" s="179"/>
      <c r="B658" s="549"/>
      <c r="C658" s="181"/>
      <c r="D658" s="181"/>
      <c r="E658" s="181"/>
      <c r="F658" s="179"/>
      <c r="G658" s="549"/>
      <c r="H658" s="181"/>
      <c r="I658" s="181"/>
      <c r="J658" s="181"/>
      <c r="K658" s="156"/>
      <c r="L658" s="549"/>
      <c r="M658" s="181"/>
      <c r="N658" s="181"/>
      <c r="O658" s="181"/>
      <c r="P658" s="156"/>
      <c r="Q658" s="562"/>
      <c r="R658" s="181"/>
      <c r="S658" s="181"/>
      <c r="T658" s="181"/>
      <c r="U658" s="179"/>
      <c r="V658" s="549"/>
      <c r="W658" s="181"/>
      <c r="X658" s="181"/>
      <c r="Y658" s="181"/>
      <c r="Z658" s="179"/>
      <c r="AA658" s="549"/>
      <c r="AB658" s="181"/>
      <c r="AC658" s="181"/>
      <c r="AD658" s="181"/>
      <c r="AE658" s="179"/>
      <c r="AF658" s="549"/>
      <c r="AG658" s="181"/>
      <c r="AH658" s="181"/>
      <c r="AI658" s="181"/>
      <c r="AJ658" s="179"/>
      <c r="AK658" s="549"/>
      <c r="AL658" s="181"/>
      <c r="AM658" s="181"/>
      <c r="AN658" s="181"/>
      <c r="AO658" s="179"/>
      <c r="AP658" s="549"/>
      <c r="AQ658" s="181"/>
      <c r="AR658" s="181"/>
      <c r="AS658" s="181"/>
      <c r="AT658" s="528"/>
      <c r="AU658" s="528"/>
      <c r="AV658" s="528"/>
      <c r="AW658" s="528"/>
      <c r="AX658" s="528"/>
      <c r="AY658" s="528"/>
      <c r="AZ658" s="528"/>
      <c r="BA658" s="528"/>
      <c r="BB658" s="528"/>
      <c r="BC658" s="528"/>
      <c r="BD658" s="528"/>
      <c r="BE658" s="528"/>
      <c r="BF658" s="528"/>
      <c r="BG658" s="528"/>
      <c r="BH658" s="528"/>
    </row>
    <row r="659">
      <c r="A659" s="179"/>
      <c r="B659" s="549"/>
      <c r="C659" s="181"/>
      <c r="D659" s="181"/>
      <c r="E659" s="181"/>
      <c r="F659" s="179"/>
      <c r="G659" s="549"/>
      <c r="H659" s="181"/>
      <c r="I659" s="181"/>
      <c r="J659" s="181"/>
      <c r="K659" s="156"/>
      <c r="L659" s="549"/>
      <c r="M659" s="181"/>
      <c r="N659" s="181"/>
      <c r="O659" s="181"/>
      <c r="P659" s="156"/>
      <c r="Q659" s="562"/>
      <c r="R659" s="181"/>
      <c r="S659" s="181"/>
      <c r="T659" s="181"/>
      <c r="U659" s="179"/>
      <c r="V659" s="549"/>
      <c r="W659" s="181"/>
      <c r="X659" s="181"/>
      <c r="Y659" s="181"/>
      <c r="Z659" s="179"/>
      <c r="AA659" s="549"/>
      <c r="AB659" s="181"/>
      <c r="AC659" s="181"/>
      <c r="AD659" s="181"/>
      <c r="AE659" s="179"/>
      <c r="AF659" s="549"/>
      <c r="AG659" s="181"/>
      <c r="AH659" s="181"/>
      <c r="AI659" s="181"/>
      <c r="AJ659" s="179"/>
      <c r="AK659" s="549"/>
      <c r="AL659" s="181"/>
      <c r="AM659" s="181"/>
      <c r="AN659" s="181"/>
      <c r="AO659" s="179"/>
      <c r="AP659" s="549"/>
      <c r="AQ659" s="181"/>
      <c r="AR659" s="181"/>
      <c r="AS659" s="181"/>
      <c r="AT659" s="528"/>
      <c r="AU659" s="528"/>
      <c r="AV659" s="528"/>
      <c r="AW659" s="528"/>
      <c r="AX659" s="528"/>
      <c r="AY659" s="528"/>
      <c r="AZ659" s="528"/>
      <c r="BA659" s="528"/>
      <c r="BB659" s="528"/>
      <c r="BC659" s="528"/>
      <c r="BD659" s="528"/>
      <c r="BE659" s="528"/>
      <c r="BF659" s="528"/>
      <c r="BG659" s="528"/>
      <c r="BH659" s="528"/>
    </row>
    <row r="660">
      <c r="A660" s="179"/>
      <c r="B660" s="549"/>
      <c r="C660" s="181"/>
      <c r="D660" s="181"/>
      <c r="E660" s="181"/>
      <c r="F660" s="179"/>
      <c r="G660" s="549"/>
      <c r="H660" s="181"/>
      <c r="I660" s="181"/>
      <c r="J660" s="181"/>
      <c r="K660" s="156"/>
      <c r="L660" s="549"/>
      <c r="M660" s="181"/>
      <c r="N660" s="181"/>
      <c r="O660" s="181"/>
      <c r="P660" s="156"/>
      <c r="Q660" s="562"/>
      <c r="R660" s="181"/>
      <c r="S660" s="181"/>
      <c r="T660" s="181"/>
      <c r="U660" s="179"/>
      <c r="V660" s="549"/>
      <c r="W660" s="181"/>
      <c r="X660" s="181"/>
      <c r="Y660" s="181"/>
      <c r="Z660" s="179"/>
      <c r="AA660" s="549"/>
      <c r="AB660" s="181"/>
      <c r="AC660" s="181"/>
      <c r="AD660" s="181"/>
      <c r="AE660" s="179"/>
      <c r="AF660" s="549"/>
      <c r="AG660" s="181"/>
      <c r="AH660" s="181"/>
      <c r="AI660" s="181"/>
      <c r="AJ660" s="179"/>
      <c r="AK660" s="549"/>
      <c r="AL660" s="181"/>
      <c r="AM660" s="181"/>
      <c r="AN660" s="181"/>
      <c r="AO660" s="179"/>
      <c r="AP660" s="549"/>
      <c r="AQ660" s="181"/>
      <c r="AR660" s="181"/>
      <c r="AS660" s="181"/>
      <c r="AT660" s="528"/>
      <c r="AU660" s="528"/>
      <c r="AV660" s="528"/>
      <c r="AW660" s="528"/>
      <c r="AX660" s="528"/>
      <c r="AY660" s="528"/>
      <c r="AZ660" s="528"/>
      <c r="BA660" s="528"/>
      <c r="BB660" s="528"/>
      <c r="BC660" s="528"/>
      <c r="BD660" s="528"/>
      <c r="BE660" s="528"/>
      <c r="BF660" s="528"/>
      <c r="BG660" s="528"/>
      <c r="BH660" s="528"/>
    </row>
    <row r="661">
      <c r="A661" s="179"/>
      <c r="B661" s="549"/>
      <c r="C661" s="181"/>
      <c r="D661" s="181"/>
      <c r="E661" s="181"/>
      <c r="F661" s="179"/>
      <c r="G661" s="549"/>
      <c r="H661" s="181"/>
      <c r="I661" s="181"/>
      <c r="J661" s="181"/>
      <c r="K661" s="156"/>
      <c r="L661" s="549"/>
      <c r="M661" s="181"/>
      <c r="N661" s="181"/>
      <c r="O661" s="181"/>
      <c r="P661" s="156"/>
      <c r="Q661" s="562"/>
      <c r="R661" s="181"/>
      <c r="S661" s="181"/>
      <c r="T661" s="181"/>
      <c r="U661" s="179"/>
      <c r="V661" s="549"/>
      <c r="W661" s="181"/>
      <c r="X661" s="181"/>
      <c r="Y661" s="181"/>
      <c r="Z661" s="179"/>
      <c r="AA661" s="549"/>
      <c r="AB661" s="181"/>
      <c r="AC661" s="181"/>
      <c r="AD661" s="181"/>
      <c r="AE661" s="179"/>
      <c r="AF661" s="549"/>
      <c r="AG661" s="181"/>
      <c r="AH661" s="181"/>
      <c r="AI661" s="181"/>
      <c r="AJ661" s="179"/>
      <c r="AK661" s="549"/>
      <c r="AL661" s="181"/>
      <c r="AM661" s="181"/>
      <c r="AN661" s="181"/>
      <c r="AO661" s="179"/>
      <c r="AP661" s="549"/>
      <c r="AQ661" s="181"/>
      <c r="AR661" s="181"/>
      <c r="AS661" s="181"/>
      <c r="AT661" s="528"/>
      <c r="AU661" s="528"/>
      <c r="AV661" s="528"/>
      <c r="AW661" s="528"/>
      <c r="AX661" s="528"/>
      <c r="AY661" s="528"/>
      <c r="AZ661" s="528"/>
      <c r="BA661" s="528"/>
      <c r="BB661" s="528"/>
      <c r="BC661" s="528"/>
      <c r="BD661" s="528"/>
      <c r="BE661" s="528"/>
      <c r="BF661" s="528"/>
      <c r="BG661" s="528"/>
      <c r="BH661" s="528"/>
    </row>
    <row r="662">
      <c r="A662" s="179"/>
      <c r="B662" s="549"/>
      <c r="C662" s="181"/>
      <c r="D662" s="181"/>
      <c r="E662" s="181"/>
      <c r="F662" s="179"/>
      <c r="G662" s="549"/>
      <c r="H662" s="181"/>
      <c r="I662" s="181"/>
      <c r="J662" s="181"/>
      <c r="K662" s="156"/>
      <c r="L662" s="549"/>
      <c r="M662" s="181"/>
      <c r="N662" s="181"/>
      <c r="O662" s="181"/>
      <c r="P662" s="156"/>
      <c r="Q662" s="562"/>
      <c r="R662" s="181"/>
      <c r="S662" s="181"/>
      <c r="T662" s="181"/>
      <c r="U662" s="179"/>
      <c r="V662" s="549"/>
      <c r="W662" s="181"/>
      <c r="X662" s="181"/>
      <c r="Y662" s="181"/>
      <c r="Z662" s="179"/>
      <c r="AA662" s="549"/>
      <c r="AB662" s="181"/>
      <c r="AC662" s="181"/>
      <c r="AD662" s="181"/>
      <c r="AE662" s="179"/>
      <c r="AF662" s="549"/>
      <c r="AG662" s="181"/>
      <c r="AH662" s="181"/>
      <c r="AI662" s="181"/>
      <c r="AJ662" s="179"/>
      <c r="AK662" s="549"/>
      <c r="AL662" s="181"/>
      <c r="AM662" s="181"/>
      <c r="AN662" s="181"/>
      <c r="AO662" s="179"/>
      <c r="AP662" s="549"/>
      <c r="AQ662" s="181"/>
      <c r="AR662" s="181"/>
      <c r="AS662" s="181"/>
      <c r="AT662" s="528"/>
      <c r="AU662" s="528"/>
      <c r="AV662" s="528"/>
      <c r="AW662" s="528"/>
      <c r="AX662" s="528"/>
      <c r="AY662" s="528"/>
      <c r="AZ662" s="528"/>
      <c r="BA662" s="528"/>
      <c r="BB662" s="528"/>
      <c r="BC662" s="528"/>
      <c r="BD662" s="528"/>
      <c r="BE662" s="528"/>
      <c r="BF662" s="528"/>
      <c r="BG662" s="528"/>
      <c r="BH662" s="528"/>
    </row>
    <row r="663">
      <c r="A663" s="179"/>
      <c r="B663" s="549"/>
      <c r="C663" s="181"/>
      <c r="D663" s="181"/>
      <c r="E663" s="181"/>
      <c r="F663" s="179"/>
      <c r="G663" s="549"/>
      <c r="H663" s="181"/>
      <c r="I663" s="181"/>
      <c r="J663" s="181"/>
      <c r="K663" s="156"/>
      <c r="L663" s="549"/>
      <c r="M663" s="181"/>
      <c r="N663" s="181"/>
      <c r="O663" s="181"/>
      <c r="P663" s="156"/>
      <c r="Q663" s="562"/>
      <c r="R663" s="181"/>
      <c r="S663" s="181"/>
      <c r="T663" s="181"/>
      <c r="U663" s="179"/>
      <c r="V663" s="549"/>
      <c r="W663" s="181"/>
      <c r="X663" s="181"/>
      <c r="Y663" s="181"/>
      <c r="Z663" s="179"/>
      <c r="AA663" s="549"/>
      <c r="AB663" s="181"/>
      <c r="AC663" s="181"/>
      <c r="AD663" s="181"/>
      <c r="AE663" s="179"/>
      <c r="AF663" s="549"/>
      <c r="AG663" s="181"/>
      <c r="AH663" s="181"/>
      <c r="AI663" s="181"/>
      <c r="AJ663" s="179"/>
      <c r="AK663" s="549"/>
      <c r="AL663" s="181"/>
      <c r="AM663" s="181"/>
      <c r="AN663" s="181"/>
      <c r="AO663" s="179"/>
      <c r="AP663" s="549"/>
      <c r="AQ663" s="181"/>
      <c r="AR663" s="181"/>
      <c r="AS663" s="181"/>
      <c r="AT663" s="528"/>
      <c r="AU663" s="528"/>
      <c r="AV663" s="528"/>
      <c r="AW663" s="528"/>
      <c r="AX663" s="528"/>
      <c r="AY663" s="528"/>
      <c r="AZ663" s="528"/>
      <c r="BA663" s="528"/>
      <c r="BB663" s="528"/>
      <c r="BC663" s="528"/>
      <c r="BD663" s="528"/>
      <c r="BE663" s="528"/>
      <c r="BF663" s="528"/>
      <c r="BG663" s="528"/>
      <c r="BH663" s="528"/>
    </row>
    <row r="664">
      <c r="A664" s="179"/>
      <c r="B664" s="549"/>
      <c r="C664" s="181"/>
      <c r="D664" s="181"/>
      <c r="E664" s="181"/>
      <c r="F664" s="179"/>
      <c r="G664" s="549"/>
      <c r="H664" s="181"/>
      <c r="I664" s="181"/>
      <c r="J664" s="181"/>
      <c r="K664" s="156"/>
      <c r="L664" s="549"/>
      <c r="M664" s="181"/>
      <c r="N664" s="181"/>
      <c r="O664" s="181"/>
      <c r="P664" s="156"/>
      <c r="Q664" s="562"/>
      <c r="R664" s="181"/>
      <c r="S664" s="181"/>
      <c r="T664" s="181"/>
      <c r="U664" s="179"/>
      <c r="V664" s="549"/>
      <c r="W664" s="181"/>
      <c r="X664" s="181"/>
      <c r="Y664" s="181"/>
      <c r="Z664" s="179"/>
      <c r="AA664" s="549"/>
      <c r="AB664" s="181"/>
      <c r="AC664" s="181"/>
      <c r="AD664" s="181"/>
      <c r="AE664" s="179"/>
      <c r="AF664" s="549"/>
      <c r="AG664" s="181"/>
      <c r="AH664" s="181"/>
      <c r="AI664" s="181"/>
      <c r="AJ664" s="179"/>
      <c r="AK664" s="549"/>
      <c r="AL664" s="181"/>
      <c r="AM664" s="181"/>
      <c r="AN664" s="181"/>
      <c r="AO664" s="179"/>
      <c r="AP664" s="549"/>
      <c r="AQ664" s="181"/>
      <c r="AR664" s="181"/>
      <c r="AS664" s="181"/>
      <c r="AT664" s="528"/>
      <c r="AU664" s="528"/>
      <c r="AV664" s="528"/>
      <c r="AW664" s="528"/>
      <c r="AX664" s="528"/>
      <c r="AY664" s="528"/>
      <c r="AZ664" s="528"/>
      <c r="BA664" s="528"/>
      <c r="BB664" s="528"/>
      <c r="BC664" s="528"/>
      <c r="BD664" s="528"/>
      <c r="BE664" s="528"/>
      <c r="BF664" s="528"/>
      <c r="BG664" s="528"/>
      <c r="BH664" s="528"/>
    </row>
    <row r="665">
      <c r="A665" s="179"/>
      <c r="B665" s="549"/>
      <c r="C665" s="181"/>
      <c r="D665" s="181"/>
      <c r="E665" s="181"/>
      <c r="F665" s="179"/>
      <c r="G665" s="549"/>
      <c r="H665" s="181"/>
      <c r="I665" s="181"/>
      <c r="J665" s="181"/>
      <c r="K665" s="156"/>
      <c r="L665" s="549"/>
      <c r="M665" s="181"/>
      <c r="N665" s="181"/>
      <c r="O665" s="181"/>
      <c r="P665" s="156"/>
      <c r="Q665" s="562"/>
      <c r="R665" s="181"/>
      <c r="S665" s="181"/>
      <c r="T665" s="181"/>
      <c r="U665" s="179"/>
      <c r="V665" s="549"/>
      <c r="W665" s="181"/>
      <c r="X665" s="181"/>
      <c r="Y665" s="181"/>
      <c r="Z665" s="179"/>
      <c r="AA665" s="549"/>
      <c r="AB665" s="181"/>
      <c r="AC665" s="181"/>
      <c r="AD665" s="181"/>
      <c r="AE665" s="179"/>
      <c r="AF665" s="549"/>
      <c r="AG665" s="181"/>
      <c r="AH665" s="181"/>
      <c r="AI665" s="181"/>
      <c r="AJ665" s="179"/>
      <c r="AK665" s="549"/>
      <c r="AL665" s="181"/>
      <c r="AM665" s="181"/>
      <c r="AN665" s="181"/>
      <c r="AO665" s="179"/>
      <c r="AP665" s="549"/>
      <c r="AQ665" s="181"/>
      <c r="AR665" s="181"/>
      <c r="AS665" s="181"/>
      <c r="AT665" s="528"/>
      <c r="AU665" s="528"/>
      <c r="AV665" s="528"/>
      <c r="AW665" s="528"/>
      <c r="AX665" s="528"/>
      <c r="AY665" s="528"/>
      <c r="AZ665" s="528"/>
      <c r="BA665" s="528"/>
      <c r="BB665" s="528"/>
      <c r="BC665" s="528"/>
      <c r="BD665" s="528"/>
      <c r="BE665" s="528"/>
      <c r="BF665" s="528"/>
      <c r="BG665" s="528"/>
      <c r="BH665" s="528"/>
    </row>
    <row r="666">
      <c r="A666" s="179"/>
      <c r="B666" s="549"/>
      <c r="C666" s="181"/>
      <c r="D666" s="181"/>
      <c r="E666" s="181"/>
      <c r="F666" s="179"/>
      <c r="G666" s="549"/>
      <c r="H666" s="181"/>
      <c r="I666" s="181"/>
      <c r="J666" s="181"/>
      <c r="K666" s="156"/>
      <c r="L666" s="549"/>
      <c r="M666" s="181"/>
      <c r="N666" s="181"/>
      <c r="O666" s="181"/>
      <c r="P666" s="156"/>
      <c r="Q666" s="562"/>
      <c r="R666" s="181"/>
      <c r="S666" s="181"/>
      <c r="T666" s="181"/>
      <c r="U666" s="179"/>
      <c r="V666" s="549"/>
      <c r="W666" s="181"/>
      <c r="X666" s="181"/>
      <c r="Y666" s="181"/>
      <c r="Z666" s="179"/>
      <c r="AA666" s="549"/>
      <c r="AB666" s="181"/>
      <c r="AC666" s="181"/>
      <c r="AD666" s="181"/>
      <c r="AE666" s="179"/>
      <c r="AF666" s="549"/>
      <c r="AG666" s="181"/>
      <c r="AH666" s="181"/>
      <c r="AI666" s="181"/>
      <c r="AJ666" s="179"/>
      <c r="AK666" s="549"/>
      <c r="AL666" s="181"/>
      <c r="AM666" s="181"/>
      <c r="AN666" s="181"/>
      <c r="AO666" s="179"/>
      <c r="AP666" s="549"/>
      <c r="AQ666" s="181"/>
      <c r="AR666" s="181"/>
      <c r="AS666" s="181"/>
      <c r="AT666" s="528"/>
      <c r="AU666" s="528"/>
      <c r="AV666" s="528"/>
      <c r="AW666" s="528"/>
      <c r="AX666" s="528"/>
      <c r="AY666" s="528"/>
      <c r="AZ666" s="528"/>
      <c r="BA666" s="528"/>
      <c r="BB666" s="528"/>
      <c r="BC666" s="528"/>
      <c r="BD666" s="528"/>
      <c r="BE666" s="528"/>
      <c r="BF666" s="528"/>
      <c r="BG666" s="528"/>
      <c r="BH666" s="528"/>
    </row>
    <row r="667">
      <c r="A667" s="179"/>
      <c r="B667" s="549"/>
      <c r="C667" s="181"/>
      <c r="D667" s="181"/>
      <c r="E667" s="181"/>
      <c r="F667" s="179"/>
      <c r="G667" s="549"/>
      <c r="H667" s="181"/>
      <c r="I667" s="181"/>
      <c r="J667" s="181"/>
      <c r="K667" s="156"/>
      <c r="L667" s="549"/>
      <c r="M667" s="181"/>
      <c r="N667" s="181"/>
      <c r="O667" s="181"/>
      <c r="P667" s="156"/>
      <c r="Q667" s="562"/>
      <c r="R667" s="181"/>
      <c r="S667" s="181"/>
      <c r="T667" s="181"/>
      <c r="U667" s="179"/>
      <c r="V667" s="549"/>
      <c r="W667" s="181"/>
      <c r="X667" s="181"/>
      <c r="Y667" s="181"/>
      <c r="Z667" s="179"/>
      <c r="AA667" s="549"/>
      <c r="AB667" s="181"/>
      <c r="AC667" s="181"/>
      <c r="AD667" s="181"/>
      <c r="AE667" s="179"/>
      <c r="AF667" s="549"/>
      <c r="AG667" s="181"/>
      <c r="AH667" s="181"/>
      <c r="AI667" s="181"/>
      <c r="AJ667" s="179"/>
      <c r="AK667" s="549"/>
      <c r="AL667" s="181"/>
      <c r="AM667" s="181"/>
      <c r="AN667" s="181"/>
      <c r="AO667" s="179"/>
      <c r="AP667" s="549"/>
      <c r="AQ667" s="181"/>
      <c r="AR667" s="181"/>
      <c r="AS667" s="181"/>
      <c r="AT667" s="528"/>
      <c r="AU667" s="528"/>
      <c r="AV667" s="528"/>
      <c r="AW667" s="528"/>
      <c r="AX667" s="528"/>
      <c r="AY667" s="528"/>
      <c r="AZ667" s="528"/>
      <c r="BA667" s="528"/>
      <c r="BB667" s="528"/>
      <c r="BC667" s="528"/>
      <c r="BD667" s="528"/>
      <c r="BE667" s="528"/>
      <c r="BF667" s="528"/>
      <c r="BG667" s="528"/>
      <c r="BH667" s="528"/>
    </row>
    <row r="668">
      <c r="A668" s="179"/>
      <c r="B668" s="549"/>
      <c r="C668" s="181"/>
      <c r="D668" s="181"/>
      <c r="E668" s="181"/>
      <c r="F668" s="179"/>
      <c r="G668" s="549"/>
      <c r="H668" s="181"/>
      <c r="I668" s="181"/>
      <c r="J668" s="181"/>
      <c r="K668" s="156"/>
      <c r="L668" s="549"/>
      <c r="M668" s="181"/>
      <c r="N668" s="181"/>
      <c r="O668" s="181"/>
      <c r="P668" s="156"/>
      <c r="Q668" s="562"/>
      <c r="R668" s="181"/>
      <c r="S668" s="181"/>
      <c r="T668" s="181"/>
      <c r="U668" s="179"/>
      <c r="V668" s="549"/>
      <c r="W668" s="181"/>
      <c r="X668" s="181"/>
      <c r="Y668" s="181"/>
      <c r="Z668" s="179"/>
      <c r="AA668" s="549"/>
      <c r="AB668" s="181"/>
      <c r="AC668" s="181"/>
      <c r="AD668" s="181"/>
      <c r="AE668" s="179"/>
      <c r="AF668" s="549"/>
      <c r="AG668" s="181"/>
      <c r="AH668" s="181"/>
      <c r="AI668" s="181"/>
      <c r="AJ668" s="179"/>
      <c r="AK668" s="549"/>
      <c r="AL668" s="181"/>
      <c r="AM668" s="181"/>
      <c r="AN668" s="181"/>
      <c r="AO668" s="179"/>
      <c r="AP668" s="549"/>
      <c r="AQ668" s="181"/>
      <c r="AR668" s="181"/>
      <c r="AS668" s="181"/>
      <c r="AT668" s="528"/>
      <c r="AU668" s="528"/>
      <c r="AV668" s="528"/>
      <c r="AW668" s="528"/>
      <c r="AX668" s="528"/>
      <c r="AY668" s="528"/>
      <c r="AZ668" s="528"/>
      <c r="BA668" s="528"/>
      <c r="BB668" s="528"/>
      <c r="BC668" s="528"/>
      <c r="BD668" s="528"/>
      <c r="BE668" s="528"/>
      <c r="BF668" s="528"/>
      <c r="BG668" s="528"/>
      <c r="BH668" s="528"/>
    </row>
    <row r="669">
      <c r="A669" s="179"/>
      <c r="B669" s="549"/>
      <c r="C669" s="181"/>
      <c r="D669" s="181"/>
      <c r="E669" s="181"/>
      <c r="F669" s="179"/>
      <c r="G669" s="549"/>
      <c r="H669" s="181"/>
      <c r="I669" s="181"/>
      <c r="J669" s="181"/>
      <c r="K669" s="156"/>
      <c r="L669" s="549"/>
      <c r="M669" s="181"/>
      <c r="N669" s="181"/>
      <c r="O669" s="181"/>
      <c r="P669" s="156"/>
      <c r="Q669" s="562"/>
      <c r="R669" s="181"/>
      <c r="S669" s="181"/>
      <c r="T669" s="181"/>
      <c r="U669" s="179"/>
      <c r="V669" s="549"/>
      <c r="W669" s="181"/>
      <c r="X669" s="181"/>
      <c r="Y669" s="181"/>
      <c r="Z669" s="179"/>
      <c r="AA669" s="549"/>
      <c r="AB669" s="181"/>
      <c r="AC669" s="181"/>
      <c r="AD669" s="181"/>
      <c r="AE669" s="179"/>
      <c r="AF669" s="549"/>
      <c r="AG669" s="181"/>
      <c r="AH669" s="181"/>
      <c r="AI669" s="181"/>
      <c r="AJ669" s="179"/>
      <c r="AK669" s="549"/>
      <c r="AL669" s="181"/>
      <c r="AM669" s="181"/>
      <c r="AN669" s="181"/>
      <c r="AO669" s="179"/>
      <c r="AP669" s="549"/>
      <c r="AQ669" s="181"/>
      <c r="AR669" s="181"/>
      <c r="AS669" s="181"/>
      <c r="AT669" s="528"/>
      <c r="AU669" s="528"/>
      <c r="AV669" s="528"/>
      <c r="AW669" s="528"/>
      <c r="AX669" s="528"/>
      <c r="AY669" s="528"/>
      <c r="AZ669" s="528"/>
      <c r="BA669" s="528"/>
      <c r="BB669" s="528"/>
      <c r="BC669" s="528"/>
      <c r="BD669" s="528"/>
      <c r="BE669" s="528"/>
      <c r="BF669" s="528"/>
      <c r="BG669" s="528"/>
      <c r="BH669" s="528"/>
    </row>
    <row r="670">
      <c r="A670" s="179"/>
      <c r="B670" s="549"/>
      <c r="C670" s="181"/>
      <c r="D670" s="181"/>
      <c r="E670" s="181"/>
      <c r="F670" s="179"/>
      <c r="G670" s="549"/>
      <c r="H670" s="181"/>
      <c r="I670" s="181"/>
      <c r="J670" s="181"/>
      <c r="K670" s="156"/>
      <c r="L670" s="549"/>
      <c r="M670" s="181"/>
      <c r="N670" s="181"/>
      <c r="O670" s="181"/>
      <c r="P670" s="156"/>
      <c r="Q670" s="562"/>
      <c r="R670" s="181"/>
      <c r="S670" s="181"/>
      <c r="T670" s="181"/>
      <c r="U670" s="179"/>
      <c r="V670" s="549"/>
      <c r="W670" s="181"/>
      <c r="X670" s="181"/>
      <c r="Y670" s="181"/>
      <c r="Z670" s="179"/>
      <c r="AA670" s="549"/>
      <c r="AB670" s="181"/>
      <c r="AC670" s="181"/>
      <c r="AD670" s="181"/>
      <c r="AE670" s="179"/>
      <c r="AF670" s="549"/>
      <c r="AG670" s="181"/>
      <c r="AH670" s="181"/>
      <c r="AI670" s="181"/>
      <c r="AJ670" s="179"/>
      <c r="AK670" s="549"/>
      <c r="AL670" s="181"/>
      <c r="AM670" s="181"/>
      <c r="AN670" s="181"/>
      <c r="AO670" s="179"/>
      <c r="AP670" s="549"/>
      <c r="AQ670" s="181"/>
      <c r="AR670" s="181"/>
      <c r="AS670" s="181"/>
      <c r="AT670" s="528"/>
      <c r="AU670" s="528"/>
      <c r="AV670" s="528"/>
      <c r="AW670" s="528"/>
      <c r="AX670" s="528"/>
      <c r="AY670" s="528"/>
      <c r="AZ670" s="528"/>
      <c r="BA670" s="528"/>
      <c r="BB670" s="528"/>
      <c r="BC670" s="528"/>
      <c r="BD670" s="528"/>
      <c r="BE670" s="528"/>
      <c r="BF670" s="528"/>
      <c r="BG670" s="528"/>
      <c r="BH670" s="528"/>
    </row>
    <row r="671">
      <c r="A671" s="179"/>
      <c r="B671" s="549"/>
      <c r="C671" s="181"/>
      <c r="D671" s="181"/>
      <c r="E671" s="181"/>
      <c r="F671" s="179"/>
      <c r="G671" s="549"/>
      <c r="H671" s="181"/>
      <c r="I671" s="181"/>
      <c r="J671" s="181"/>
      <c r="K671" s="156"/>
      <c r="L671" s="549"/>
      <c r="M671" s="181"/>
      <c r="N671" s="181"/>
      <c r="O671" s="181"/>
      <c r="P671" s="156"/>
      <c r="Q671" s="562"/>
      <c r="R671" s="181"/>
      <c r="S671" s="181"/>
      <c r="T671" s="181"/>
      <c r="U671" s="179"/>
      <c r="V671" s="549"/>
      <c r="W671" s="181"/>
      <c r="X671" s="181"/>
      <c r="Y671" s="181"/>
      <c r="Z671" s="179"/>
      <c r="AA671" s="549"/>
      <c r="AB671" s="181"/>
      <c r="AC671" s="181"/>
      <c r="AD671" s="181"/>
      <c r="AE671" s="179"/>
      <c r="AF671" s="549"/>
      <c r="AG671" s="181"/>
      <c r="AH671" s="181"/>
      <c r="AI671" s="181"/>
      <c r="AJ671" s="179"/>
      <c r="AK671" s="549"/>
      <c r="AL671" s="181"/>
      <c r="AM671" s="181"/>
      <c r="AN671" s="181"/>
      <c r="AO671" s="179"/>
      <c r="AP671" s="549"/>
      <c r="AQ671" s="181"/>
      <c r="AR671" s="181"/>
      <c r="AS671" s="181"/>
      <c r="AT671" s="528"/>
      <c r="AU671" s="528"/>
      <c r="AV671" s="528"/>
      <c r="AW671" s="528"/>
      <c r="AX671" s="528"/>
      <c r="AY671" s="528"/>
      <c r="AZ671" s="528"/>
      <c r="BA671" s="528"/>
      <c r="BB671" s="528"/>
      <c r="BC671" s="528"/>
      <c r="BD671" s="528"/>
      <c r="BE671" s="528"/>
      <c r="BF671" s="528"/>
      <c r="BG671" s="528"/>
      <c r="BH671" s="528"/>
    </row>
    <row r="672">
      <c r="A672" s="179"/>
      <c r="B672" s="549"/>
      <c r="C672" s="181"/>
      <c r="D672" s="181"/>
      <c r="E672" s="181"/>
      <c r="F672" s="179"/>
      <c r="G672" s="549"/>
      <c r="H672" s="181"/>
      <c r="I672" s="181"/>
      <c r="J672" s="181"/>
      <c r="K672" s="156"/>
      <c r="L672" s="549"/>
      <c r="M672" s="181"/>
      <c r="N672" s="181"/>
      <c r="O672" s="181"/>
      <c r="P672" s="156"/>
      <c r="Q672" s="562"/>
      <c r="R672" s="181"/>
      <c r="S672" s="181"/>
      <c r="T672" s="181"/>
      <c r="U672" s="179"/>
      <c r="V672" s="549"/>
      <c r="W672" s="181"/>
      <c r="X672" s="181"/>
      <c r="Y672" s="181"/>
      <c r="Z672" s="179"/>
      <c r="AA672" s="549"/>
      <c r="AB672" s="181"/>
      <c r="AC672" s="181"/>
      <c r="AD672" s="181"/>
      <c r="AE672" s="179"/>
      <c r="AF672" s="549"/>
      <c r="AG672" s="181"/>
      <c r="AH672" s="181"/>
      <c r="AI672" s="181"/>
      <c r="AJ672" s="179"/>
      <c r="AK672" s="549"/>
      <c r="AL672" s="181"/>
      <c r="AM672" s="181"/>
      <c r="AN672" s="181"/>
      <c r="AO672" s="179"/>
      <c r="AP672" s="549"/>
      <c r="AQ672" s="181"/>
      <c r="AR672" s="181"/>
      <c r="AS672" s="181"/>
      <c r="AT672" s="528"/>
      <c r="AU672" s="528"/>
      <c r="AV672" s="528"/>
      <c r="AW672" s="528"/>
      <c r="AX672" s="528"/>
      <c r="AY672" s="528"/>
      <c r="AZ672" s="528"/>
      <c r="BA672" s="528"/>
      <c r="BB672" s="528"/>
      <c r="BC672" s="528"/>
      <c r="BD672" s="528"/>
      <c r="BE672" s="528"/>
      <c r="BF672" s="528"/>
      <c r="BG672" s="528"/>
      <c r="BH672" s="528"/>
    </row>
    <row r="673">
      <c r="A673" s="179"/>
      <c r="B673" s="549"/>
      <c r="C673" s="181"/>
      <c r="D673" s="181"/>
      <c r="E673" s="181"/>
      <c r="F673" s="179"/>
      <c r="G673" s="549"/>
      <c r="H673" s="181"/>
      <c r="I673" s="181"/>
      <c r="J673" s="181"/>
      <c r="K673" s="156"/>
      <c r="L673" s="549"/>
      <c r="M673" s="181"/>
      <c r="N673" s="181"/>
      <c r="O673" s="181"/>
      <c r="P673" s="156"/>
      <c r="Q673" s="562"/>
      <c r="R673" s="181"/>
      <c r="S673" s="181"/>
      <c r="T673" s="181"/>
      <c r="U673" s="179"/>
      <c r="V673" s="549"/>
      <c r="W673" s="181"/>
      <c r="X673" s="181"/>
      <c r="Y673" s="181"/>
      <c r="Z673" s="179"/>
      <c r="AA673" s="549"/>
      <c r="AB673" s="181"/>
      <c r="AC673" s="181"/>
      <c r="AD673" s="181"/>
      <c r="AE673" s="179"/>
      <c r="AF673" s="549"/>
      <c r="AG673" s="181"/>
      <c r="AH673" s="181"/>
      <c r="AI673" s="181"/>
      <c r="AJ673" s="179"/>
      <c r="AK673" s="549"/>
      <c r="AL673" s="181"/>
      <c r="AM673" s="181"/>
      <c r="AN673" s="181"/>
      <c r="AO673" s="179"/>
      <c r="AP673" s="549"/>
      <c r="AQ673" s="181"/>
      <c r="AR673" s="181"/>
      <c r="AS673" s="181"/>
      <c r="AT673" s="528"/>
      <c r="AU673" s="528"/>
      <c r="AV673" s="528"/>
      <c r="AW673" s="528"/>
      <c r="AX673" s="528"/>
      <c r="AY673" s="528"/>
      <c r="AZ673" s="528"/>
      <c r="BA673" s="528"/>
      <c r="BB673" s="528"/>
      <c r="BC673" s="528"/>
      <c r="BD673" s="528"/>
      <c r="BE673" s="528"/>
      <c r="BF673" s="528"/>
      <c r="BG673" s="528"/>
      <c r="BH673" s="528"/>
    </row>
    <row r="674">
      <c r="A674" s="179"/>
      <c r="B674" s="549"/>
      <c r="C674" s="181"/>
      <c r="D674" s="181"/>
      <c r="E674" s="181"/>
      <c r="F674" s="179"/>
      <c r="G674" s="549"/>
      <c r="H674" s="181"/>
      <c r="I674" s="181"/>
      <c r="J674" s="181"/>
      <c r="K674" s="156"/>
      <c r="L674" s="549"/>
      <c r="M674" s="181"/>
      <c r="N674" s="181"/>
      <c r="O674" s="181"/>
      <c r="P674" s="156"/>
      <c r="Q674" s="562"/>
      <c r="R674" s="181"/>
      <c r="S674" s="181"/>
      <c r="T674" s="181"/>
      <c r="U674" s="179"/>
      <c r="V674" s="549"/>
      <c r="W674" s="181"/>
      <c r="X674" s="181"/>
      <c r="Y674" s="181"/>
      <c r="Z674" s="179"/>
      <c r="AA674" s="549"/>
      <c r="AB674" s="181"/>
      <c r="AC674" s="181"/>
      <c r="AD674" s="181"/>
      <c r="AE674" s="179"/>
      <c r="AF674" s="549"/>
      <c r="AG674" s="181"/>
      <c r="AH674" s="181"/>
      <c r="AI674" s="181"/>
      <c r="AJ674" s="179"/>
      <c r="AK674" s="549"/>
      <c r="AL674" s="181"/>
      <c r="AM674" s="181"/>
      <c r="AN674" s="181"/>
      <c r="AO674" s="179"/>
      <c r="AP674" s="549"/>
      <c r="AQ674" s="181"/>
      <c r="AR674" s="181"/>
      <c r="AS674" s="181"/>
      <c r="AT674" s="528"/>
      <c r="AU674" s="528"/>
      <c r="AV674" s="528"/>
      <c r="AW674" s="528"/>
      <c r="AX674" s="528"/>
      <c r="AY674" s="528"/>
      <c r="AZ674" s="528"/>
      <c r="BA674" s="528"/>
      <c r="BB674" s="528"/>
      <c r="BC674" s="528"/>
      <c r="BD674" s="528"/>
      <c r="BE674" s="528"/>
      <c r="BF674" s="528"/>
      <c r="BG674" s="528"/>
      <c r="BH674" s="528"/>
    </row>
    <row r="675">
      <c r="A675" s="179"/>
      <c r="B675" s="549"/>
      <c r="C675" s="181"/>
      <c r="D675" s="181"/>
      <c r="E675" s="181"/>
      <c r="F675" s="179"/>
      <c r="G675" s="549"/>
      <c r="H675" s="181"/>
      <c r="I675" s="181"/>
      <c r="J675" s="181"/>
      <c r="K675" s="156"/>
      <c r="L675" s="549"/>
      <c r="M675" s="181"/>
      <c r="N675" s="181"/>
      <c r="O675" s="181"/>
      <c r="P675" s="156"/>
      <c r="Q675" s="562"/>
      <c r="R675" s="181"/>
      <c r="S675" s="181"/>
      <c r="T675" s="181"/>
      <c r="U675" s="179"/>
      <c r="V675" s="549"/>
      <c r="W675" s="181"/>
      <c r="X675" s="181"/>
      <c r="Y675" s="181"/>
      <c r="Z675" s="179"/>
      <c r="AA675" s="549"/>
      <c r="AB675" s="181"/>
      <c r="AC675" s="181"/>
      <c r="AD675" s="181"/>
      <c r="AE675" s="179"/>
      <c r="AF675" s="549"/>
      <c r="AG675" s="181"/>
      <c r="AH675" s="181"/>
      <c r="AI675" s="181"/>
      <c r="AJ675" s="179"/>
      <c r="AK675" s="549"/>
      <c r="AL675" s="181"/>
      <c r="AM675" s="181"/>
      <c r="AN675" s="181"/>
      <c r="AO675" s="179"/>
      <c r="AP675" s="549"/>
      <c r="AQ675" s="181"/>
      <c r="AR675" s="181"/>
      <c r="AS675" s="181"/>
      <c r="AT675" s="528"/>
      <c r="AU675" s="528"/>
      <c r="AV675" s="528"/>
      <c r="AW675" s="528"/>
      <c r="AX675" s="528"/>
      <c r="AY675" s="528"/>
      <c r="AZ675" s="528"/>
      <c r="BA675" s="528"/>
      <c r="BB675" s="528"/>
      <c r="BC675" s="528"/>
      <c r="BD675" s="528"/>
      <c r="BE675" s="528"/>
      <c r="BF675" s="528"/>
      <c r="BG675" s="528"/>
      <c r="BH675" s="528"/>
    </row>
    <row r="676">
      <c r="A676" s="179"/>
      <c r="B676" s="549"/>
      <c r="C676" s="181"/>
      <c r="D676" s="181"/>
      <c r="E676" s="181"/>
      <c r="F676" s="179"/>
      <c r="G676" s="549"/>
      <c r="H676" s="181"/>
      <c r="I676" s="181"/>
      <c r="J676" s="181"/>
      <c r="K676" s="156"/>
      <c r="L676" s="549"/>
      <c r="M676" s="181"/>
      <c r="N676" s="181"/>
      <c r="O676" s="181"/>
      <c r="P676" s="156"/>
      <c r="Q676" s="562"/>
      <c r="R676" s="181"/>
      <c r="S676" s="181"/>
      <c r="T676" s="181"/>
      <c r="U676" s="179"/>
      <c r="V676" s="549"/>
      <c r="W676" s="181"/>
      <c r="X676" s="181"/>
      <c r="Y676" s="181"/>
      <c r="Z676" s="179"/>
      <c r="AA676" s="549"/>
      <c r="AB676" s="181"/>
      <c r="AC676" s="181"/>
      <c r="AD676" s="181"/>
      <c r="AE676" s="179"/>
      <c r="AF676" s="549"/>
      <c r="AG676" s="181"/>
      <c r="AH676" s="181"/>
      <c r="AI676" s="181"/>
      <c r="AJ676" s="179"/>
      <c r="AK676" s="549"/>
      <c r="AL676" s="181"/>
      <c r="AM676" s="181"/>
      <c r="AN676" s="181"/>
      <c r="AO676" s="179"/>
      <c r="AP676" s="549"/>
      <c r="AQ676" s="181"/>
      <c r="AR676" s="181"/>
      <c r="AS676" s="181"/>
      <c r="AT676" s="528"/>
      <c r="AU676" s="528"/>
      <c r="AV676" s="528"/>
      <c r="AW676" s="528"/>
      <c r="AX676" s="528"/>
      <c r="AY676" s="528"/>
      <c r="AZ676" s="528"/>
      <c r="BA676" s="528"/>
      <c r="BB676" s="528"/>
      <c r="BC676" s="528"/>
      <c r="BD676" s="528"/>
      <c r="BE676" s="528"/>
      <c r="BF676" s="528"/>
      <c r="BG676" s="528"/>
      <c r="BH676" s="528"/>
    </row>
    <row r="677">
      <c r="A677" s="179"/>
      <c r="B677" s="549"/>
      <c r="C677" s="181"/>
      <c r="D677" s="181"/>
      <c r="E677" s="181"/>
      <c r="F677" s="179"/>
      <c r="G677" s="549"/>
      <c r="H677" s="181"/>
      <c r="I677" s="181"/>
      <c r="J677" s="181"/>
      <c r="K677" s="156"/>
      <c r="L677" s="549"/>
      <c r="M677" s="181"/>
      <c r="N677" s="181"/>
      <c r="O677" s="181"/>
      <c r="P677" s="156"/>
      <c r="Q677" s="562"/>
      <c r="R677" s="181"/>
      <c r="S677" s="181"/>
      <c r="T677" s="181"/>
      <c r="U677" s="179"/>
      <c r="V677" s="549"/>
      <c r="W677" s="181"/>
      <c r="X677" s="181"/>
      <c r="Y677" s="181"/>
      <c r="Z677" s="179"/>
      <c r="AA677" s="549"/>
      <c r="AB677" s="181"/>
      <c r="AC677" s="181"/>
      <c r="AD677" s="181"/>
      <c r="AE677" s="179"/>
      <c r="AF677" s="549"/>
      <c r="AG677" s="181"/>
      <c r="AH677" s="181"/>
      <c r="AI677" s="181"/>
      <c r="AJ677" s="179"/>
      <c r="AK677" s="549"/>
      <c r="AL677" s="181"/>
      <c r="AM677" s="181"/>
      <c r="AN677" s="181"/>
      <c r="AO677" s="179"/>
      <c r="AP677" s="549"/>
      <c r="AQ677" s="181"/>
      <c r="AR677" s="181"/>
      <c r="AS677" s="181"/>
      <c r="AT677" s="528"/>
      <c r="AU677" s="528"/>
      <c r="AV677" s="528"/>
      <c r="AW677" s="528"/>
      <c r="AX677" s="528"/>
      <c r="AY677" s="528"/>
      <c r="AZ677" s="528"/>
      <c r="BA677" s="528"/>
      <c r="BB677" s="528"/>
      <c r="BC677" s="528"/>
      <c r="BD677" s="528"/>
      <c r="BE677" s="528"/>
      <c r="BF677" s="528"/>
      <c r="BG677" s="528"/>
      <c r="BH677" s="528"/>
    </row>
    <row r="678">
      <c r="A678" s="179"/>
      <c r="B678" s="549"/>
      <c r="C678" s="181"/>
      <c r="D678" s="181"/>
      <c r="E678" s="181"/>
      <c r="F678" s="179"/>
      <c r="G678" s="549"/>
      <c r="H678" s="181"/>
      <c r="I678" s="181"/>
      <c r="J678" s="181"/>
      <c r="K678" s="156"/>
      <c r="L678" s="549"/>
      <c r="M678" s="181"/>
      <c r="N678" s="181"/>
      <c r="O678" s="181"/>
      <c r="P678" s="156"/>
      <c r="Q678" s="562"/>
      <c r="R678" s="181"/>
      <c r="S678" s="181"/>
      <c r="T678" s="181"/>
      <c r="U678" s="179"/>
      <c r="V678" s="549"/>
      <c r="W678" s="181"/>
      <c r="X678" s="181"/>
      <c r="Y678" s="181"/>
      <c r="Z678" s="179"/>
      <c r="AA678" s="549"/>
      <c r="AB678" s="181"/>
      <c r="AC678" s="181"/>
      <c r="AD678" s="181"/>
      <c r="AE678" s="179"/>
      <c r="AF678" s="549"/>
      <c r="AG678" s="181"/>
      <c r="AH678" s="181"/>
      <c r="AI678" s="181"/>
      <c r="AJ678" s="179"/>
      <c r="AK678" s="549"/>
      <c r="AL678" s="181"/>
      <c r="AM678" s="181"/>
      <c r="AN678" s="181"/>
      <c r="AO678" s="179"/>
      <c r="AP678" s="549"/>
      <c r="AQ678" s="181"/>
      <c r="AR678" s="181"/>
      <c r="AS678" s="181"/>
      <c r="AT678" s="528"/>
      <c r="AU678" s="528"/>
      <c r="AV678" s="528"/>
      <c r="AW678" s="528"/>
      <c r="AX678" s="528"/>
      <c r="AY678" s="528"/>
      <c r="AZ678" s="528"/>
      <c r="BA678" s="528"/>
      <c r="BB678" s="528"/>
      <c r="BC678" s="528"/>
      <c r="BD678" s="528"/>
      <c r="BE678" s="528"/>
      <c r="BF678" s="528"/>
      <c r="BG678" s="528"/>
      <c r="BH678" s="528"/>
    </row>
    <row r="679">
      <c r="A679" s="179"/>
      <c r="B679" s="549"/>
      <c r="C679" s="181"/>
      <c r="D679" s="181"/>
      <c r="E679" s="181"/>
      <c r="F679" s="179"/>
      <c r="G679" s="549"/>
      <c r="H679" s="181"/>
      <c r="I679" s="181"/>
      <c r="J679" s="181"/>
      <c r="K679" s="156"/>
      <c r="L679" s="549"/>
      <c r="M679" s="181"/>
      <c r="N679" s="181"/>
      <c r="O679" s="181"/>
      <c r="P679" s="156"/>
      <c r="Q679" s="562"/>
      <c r="R679" s="181"/>
      <c r="S679" s="181"/>
      <c r="T679" s="181"/>
      <c r="U679" s="179"/>
      <c r="V679" s="549"/>
      <c r="W679" s="181"/>
      <c r="X679" s="181"/>
      <c r="Y679" s="181"/>
      <c r="Z679" s="179"/>
      <c r="AA679" s="549"/>
      <c r="AB679" s="181"/>
      <c r="AC679" s="181"/>
      <c r="AD679" s="181"/>
      <c r="AE679" s="179"/>
      <c r="AF679" s="549"/>
      <c r="AG679" s="181"/>
      <c r="AH679" s="181"/>
      <c r="AI679" s="181"/>
      <c r="AJ679" s="179"/>
      <c r="AK679" s="549"/>
      <c r="AL679" s="181"/>
      <c r="AM679" s="181"/>
      <c r="AN679" s="181"/>
      <c r="AO679" s="179"/>
      <c r="AP679" s="549"/>
      <c r="AQ679" s="181"/>
      <c r="AR679" s="181"/>
      <c r="AS679" s="181"/>
      <c r="AT679" s="528"/>
      <c r="AU679" s="528"/>
      <c r="AV679" s="528"/>
      <c r="AW679" s="528"/>
      <c r="AX679" s="528"/>
      <c r="AY679" s="528"/>
      <c r="AZ679" s="528"/>
      <c r="BA679" s="528"/>
      <c r="BB679" s="528"/>
      <c r="BC679" s="528"/>
      <c r="BD679" s="528"/>
      <c r="BE679" s="528"/>
      <c r="BF679" s="528"/>
      <c r="BG679" s="528"/>
      <c r="BH679" s="528"/>
    </row>
    <row r="680">
      <c r="A680" s="179"/>
      <c r="B680" s="549"/>
      <c r="C680" s="181"/>
      <c r="D680" s="181"/>
      <c r="E680" s="181"/>
      <c r="F680" s="179"/>
      <c r="G680" s="549"/>
      <c r="H680" s="181"/>
      <c r="I680" s="181"/>
      <c r="J680" s="181"/>
      <c r="K680" s="156"/>
      <c r="L680" s="549"/>
      <c r="M680" s="181"/>
      <c r="N680" s="181"/>
      <c r="O680" s="181"/>
      <c r="P680" s="156"/>
      <c r="Q680" s="562"/>
      <c r="R680" s="181"/>
      <c r="S680" s="181"/>
      <c r="T680" s="181"/>
      <c r="U680" s="179"/>
      <c r="V680" s="549"/>
      <c r="W680" s="181"/>
      <c r="X680" s="181"/>
      <c r="Y680" s="181"/>
      <c r="Z680" s="179"/>
      <c r="AA680" s="549"/>
      <c r="AB680" s="181"/>
      <c r="AC680" s="181"/>
      <c r="AD680" s="181"/>
      <c r="AE680" s="179"/>
      <c r="AF680" s="549"/>
      <c r="AG680" s="181"/>
      <c r="AH680" s="181"/>
      <c r="AI680" s="181"/>
      <c r="AJ680" s="179"/>
      <c r="AK680" s="549"/>
      <c r="AL680" s="181"/>
      <c r="AM680" s="181"/>
      <c r="AN680" s="181"/>
      <c r="AO680" s="179"/>
      <c r="AP680" s="549"/>
      <c r="AQ680" s="181"/>
      <c r="AR680" s="181"/>
      <c r="AS680" s="181"/>
      <c r="AT680" s="528"/>
      <c r="AU680" s="528"/>
      <c r="AV680" s="528"/>
      <c r="AW680" s="528"/>
      <c r="AX680" s="528"/>
      <c r="AY680" s="528"/>
      <c r="AZ680" s="528"/>
      <c r="BA680" s="528"/>
      <c r="BB680" s="528"/>
      <c r="BC680" s="528"/>
      <c r="BD680" s="528"/>
      <c r="BE680" s="528"/>
      <c r="BF680" s="528"/>
      <c r="BG680" s="528"/>
      <c r="BH680" s="528"/>
    </row>
    <row r="681">
      <c r="A681" s="179"/>
      <c r="B681" s="549"/>
      <c r="C681" s="181"/>
      <c r="D681" s="181"/>
      <c r="E681" s="181"/>
      <c r="F681" s="179"/>
      <c r="G681" s="549"/>
      <c r="H681" s="181"/>
      <c r="I681" s="181"/>
      <c r="J681" s="181"/>
      <c r="K681" s="156"/>
      <c r="L681" s="549"/>
      <c r="M681" s="181"/>
      <c r="N681" s="181"/>
      <c r="O681" s="181"/>
      <c r="P681" s="156"/>
      <c r="Q681" s="562"/>
      <c r="R681" s="181"/>
      <c r="S681" s="181"/>
      <c r="T681" s="181"/>
      <c r="U681" s="179"/>
      <c r="V681" s="549"/>
      <c r="W681" s="181"/>
      <c r="X681" s="181"/>
      <c r="Y681" s="181"/>
      <c r="Z681" s="179"/>
      <c r="AA681" s="549"/>
      <c r="AB681" s="181"/>
      <c r="AC681" s="181"/>
      <c r="AD681" s="181"/>
      <c r="AE681" s="179"/>
      <c r="AF681" s="549"/>
      <c r="AG681" s="181"/>
      <c r="AH681" s="181"/>
      <c r="AI681" s="181"/>
      <c r="AJ681" s="179"/>
      <c r="AK681" s="549"/>
      <c r="AL681" s="181"/>
      <c r="AM681" s="181"/>
      <c r="AN681" s="181"/>
      <c r="AO681" s="179"/>
      <c r="AP681" s="549"/>
      <c r="AQ681" s="181"/>
      <c r="AR681" s="181"/>
      <c r="AS681" s="181"/>
      <c r="AT681" s="528"/>
      <c r="AU681" s="528"/>
      <c r="AV681" s="528"/>
      <c r="AW681" s="528"/>
      <c r="AX681" s="528"/>
      <c r="AY681" s="528"/>
      <c r="AZ681" s="528"/>
      <c r="BA681" s="528"/>
      <c r="BB681" s="528"/>
      <c r="BC681" s="528"/>
      <c r="BD681" s="528"/>
      <c r="BE681" s="528"/>
      <c r="BF681" s="528"/>
      <c r="BG681" s="528"/>
      <c r="BH681" s="528"/>
    </row>
    <row r="682">
      <c r="A682" s="179"/>
      <c r="B682" s="549"/>
      <c r="C682" s="181"/>
      <c r="D682" s="181"/>
      <c r="E682" s="181"/>
      <c r="F682" s="179"/>
      <c r="G682" s="549"/>
      <c r="H682" s="181"/>
      <c r="I682" s="181"/>
      <c r="J682" s="181"/>
      <c r="K682" s="156"/>
      <c r="L682" s="549"/>
      <c r="M682" s="181"/>
      <c r="N682" s="181"/>
      <c r="O682" s="181"/>
      <c r="P682" s="156"/>
      <c r="Q682" s="562"/>
      <c r="R682" s="181"/>
      <c r="S682" s="181"/>
      <c r="T682" s="181"/>
      <c r="U682" s="179"/>
      <c r="V682" s="549"/>
      <c r="W682" s="181"/>
      <c r="X682" s="181"/>
      <c r="Y682" s="181"/>
      <c r="Z682" s="179"/>
      <c r="AA682" s="549"/>
      <c r="AB682" s="181"/>
      <c r="AC682" s="181"/>
      <c r="AD682" s="181"/>
      <c r="AE682" s="179"/>
      <c r="AF682" s="549"/>
      <c r="AG682" s="181"/>
      <c r="AH682" s="181"/>
      <c r="AI682" s="181"/>
      <c r="AJ682" s="179"/>
      <c r="AK682" s="549"/>
      <c r="AL682" s="181"/>
      <c r="AM682" s="181"/>
      <c r="AN682" s="181"/>
      <c r="AO682" s="179"/>
      <c r="AP682" s="549"/>
      <c r="AQ682" s="181"/>
      <c r="AR682" s="181"/>
      <c r="AS682" s="181"/>
      <c r="AT682" s="528"/>
      <c r="AU682" s="528"/>
      <c r="AV682" s="528"/>
      <c r="AW682" s="528"/>
      <c r="AX682" s="528"/>
      <c r="AY682" s="528"/>
      <c r="AZ682" s="528"/>
      <c r="BA682" s="528"/>
      <c r="BB682" s="528"/>
      <c r="BC682" s="528"/>
      <c r="BD682" s="528"/>
      <c r="BE682" s="528"/>
      <c r="BF682" s="528"/>
      <c r="BG682" s="528"/>
      <c r="BH682" s="528"/>
    </row>
    <row r="683">
      <c r="A683" s="179"/>
      <c r="B683" s="549"/>
      <c r="C683" s="181"/>
      <c r="D683" s="181"/>
      <c r="E683" s="181"/>
      <c r="F683" s="179"/>
      <c r="G683" s="549"/>
      <c r="H683" s="181"/>
      <c r="I683" s="181"/>
      <c r="J683" s="181"/>
      <c r="K683" s="156"/>
      <c r="L683" s="549"/>
      <c r="M683" s="181"/>
      <c r="N683" s="181"/>
      <c r="O683" s="181"/>
      <c r="P683" s="156"/>
      <c r="Q683" s="562"/>
      <c r="R683" s="181"/>
      <c r="S683" s="181"/>
      <c r="T683" s="181"/>
      <c r="U683" s="179"/>
      <c r="V683" s="549"/>
      <c r="W683" s="181"/>
      <c r="X683" s="181"/>
      <c r="Y683" s="181"/>
      <c r="Z683" s="179"/>
      <c r="AA683" s="549"/>
      <c r="AB683" s="181"/>
      <c r="AC683" s="181"/>
      <c r="AD683" s="181"/>
      <c r="AE683" s="179"/>
      <c r="AF683" s="549"/>
      <c r="AG683" s="181"/>
      <c r="AH683" s="181"/>
      <c r="AI683" s="181"/>
      <c r="AJ683" s="179"/>
      <c r="AK683" s="549"/>
      <c r="AL683" s="181"/>
      <c r="AM683" s="181"/>
      <c r="AN683" s="181"/>
      <c r="AO683" s="179"/>
      <c r="AP683" s="549"/>
      <c r="AQ683" s="181"/>
      <c r="AR683" s="181"/>
      <c r="AS683" s="181"/>
      <c r="AT683" s="528"/>
      <c r="AU683" s="528"/>
      <c r="AV683" s="528"/>
      <c r="AW683" s="528"/>
      <c r="AX683" s="528"/>
      <c r="AY683" s="528"/>
      <c r="AZ683" s="528"/>
      <c r="BA683" s="528"/>
      <c r="BB683" s="528"/>
      <c r="BC683" s="528"/>
      <c r="BD683" s="528"/>
      <c r="BE683" s="528"/>
      <c r="BF683" s="528"/>
      <c r="BG683" s="528"/>
      <c r="BH683" s="528"/>
    </row>
    <row r="684">
      <c r="A684" s="179"/>
      <c r="B684" s="549"/>
      <c r="C684" s="181"/>
      <c r="D684" s="181"/>
      <c r="E684" s="181"/>
      <c r="F684" s="179"/>
      <c r="G684" s="549"/>
      <c r="H684" s="181"/>
      <c r="I684" s="181"/>
      <c r="J684" s="181"/>
      <c r="K684" s="156"/>
      <c r="L684" s="549"/>
      <c r="M684" s="181"/>
      <c r="N684" s="181"/>
      <c r="O684" s="181"/>
      <c r="P684" s="156"/>
      <c r="Q684" s="562"/>
      <c r="R684" s="181"/>
      <c r="S684" s="181"/>
      <c r="T684" s="181"/>
      <c r="U684" s="179"/>
      <c r="V684" s="549"/>
      <c r="W684" s="181"/>
      <c r="X684" s="181"/>
      <c r="Y684" s="181"/>
      <c r="Z684" s="179"/>
      <c r="AA684" s="549"/>
      <c r="AB684" s="181"/>
      <c r="AC684" s="181"/>
      <c r="AD684" s="181"/>
      <c r="AE684" s="179"/>
      <c r="AF684" s="549"/>
      <c r="AG684" s="181"/>
      <c r="AH684" s="181"/>
      <c r="AI684" s="181"/>
      <c r="AJ684" s="179"/>
      <c r="AK684" s="549"/>
      <c r="AL684" s="181"/>
      <c r="AM684" s="181"/>
      <c r="AN684" s="181"/>
      <c r="AO684" s="179"/>
      <c r="AP684" s="549"/>
      <c r="AQ684" s="181"/>
      <c r="AR684" s="181"/>
      <c r="AS684" s="181"/>
      <c r="AT684" s="528"/>
      <c r="AU684" s="528"/>
      <c r="AV684" s="528"/>
      <c r="AW684" s="528"/>
      <c r="AX684" s="528"/>
      <c r="AY684" s="528"/>
      <c r="AZ684" s="528"/>
      <c r="BA684" s="528"/>
      <c r="BB684" s="528"/>
      <c r="BC684" s="528"/>
      <c r="BD684" s="528"/>
      <c r="BE684" s="528"/>
      <c r="BF684" s="528"/>
      <c r="BG684" s="528"/>
      <c r="BH684" s="528"/>
    </row>
    <row r="685">
      <c r="A685" s="179"/>
      <c r="B685" s="549"/>
      <c r="C685" s="181"/>
      <c r="D685" s="181"/>
      <c r="E685" s="181"/>
      <c r="F685" s="179"/>
      <c r="G685" s="549"/>
      <c r="H685" s="181"/>
      <c r="I685" s="181"/>
      <c r="J685" s="181"/>
      <c r="K685" s="156"/>
      <c r="L685" s="549"/>
      <c r="M685" s="181"/>
      <c r="N685" s="181"/>
      <c r="O685" s="181"/>
      <c r="P685" s="156"/>
      <c r="Q685" s="562"/>
      <c r="R685" s="181"/>
      <c r="S685" s="181"/>
      <c r="T685" s="181"/>
      <c r="U685" s="179"/>
      <c r="V685" s="549"/>
      <c r="W685" s="181"/>
      <c r="X685" s="181"/>
      <c r="Y685" s="181"/>
      <c r="Z685" s="179"/>
      <c r="AA685" s="549"/>
      <c r="AB685" s="181"/>
      <c r="AC685" s="181"/>
      <c r="AD685" s="181"/>
      <c r="AE685" s="179"/>
      <c r="AF685" s="549"/>
      <c r="AG685" s="181"/>
      <c r="AH685" s="181"/>
      <c r="AI685" s="181"/>
      <c r="AJ685" s="179"/>
      <c r="AK685" s="549"/>
      <c r="AL685" s="181"/>
      <c r="AM685" s="181"/>
      <c r="AN685" s="181"/>
      <c r="AO685" s="179"/>
      <c r="AP685" s="549"/>
      <c r="AQ685" s="181"/>
      <c r="AR685" s="181"/>
      <c r="AS685" s="181"/>
      <c r="AT685" s="528"/>
      <c r="AU685" s="528"/>
      <c r="AV685" s="528"/>
      <c r="AW685" s="528"/>
      <c r="AX685" s="528"/>
      <c r="AY685" s="528"/>
      <c r="AZ685" s="528"/>
      <c r="BA685" s="528"/>
      <c r="BB685" s="528"/>
      <c r="BC685" s="528"/>
      <c r="BD685" s="528"/>
      <c r="BE685" s="528"/>
      <c r="BF685" s="528"/>
      <c r="BG685" s="528"/>
      <c r="BH685" s="528"/>
    </row>
    <row r="686">
      <c r="A686" s="179"/>
      <c r="B686" s="549"/>
      <c r="C686" s="181"/>
      <c r="D686" s="181"/>
      <c r="E686" s="181"/>
      <c r="F686" s="179"/>
      <c r="G686" s="549"/>
      <c r="H686" s="181"/>
      <c r="I686" s="181"/>
      <c r="J686" s="181"/>
      <c r="K686" s="156"/>
      <c r="L686" s="549"/>
      <c r="M686" s="181"/>
      <c r="N686" s="181"/>
      <c r="O686" s="181"/>
      <c r="P686" s="156"/>
      <c r="Q686" s="562"/>
      <c r="R686" s="181"/>
      <c r="S686" s="181"/>
      <c r="T686" s="181"/>
      <c r="U686" s="179"/>
      <c r="V686" s="549"/>
      <c r="W686" s="181"/>
      <c r="X686" s="181"/>
      <c r="Y686" s="181"/>
      <c r="Z686" s="179"/>
      <c r="AA686" s="549"/>
      <c r="AB686" s="181"/>
      <c r="AC686" s="181"/>
      <c r="AD686" s="181"/>
      <c r="AE686" s="179"/>
      <c r="AF686" s="549"/>
      <c r="AG686" s="181"/>
      <c r="AH686" s="181"/>
      <c r="AI686" s="181"/>
      <c r="AJ686" s="179"/>
      <c r="AK686" s="549"/>
      <c r="AL686" s="181"/>
      <c r="AM686" s="181"/>
      <c r="AN686" s="181"/>
      <c r="AO686" s="179"/>
      <c r="AP686" s="549"/>
      <c r="AQ686" s="181"/>
      <c r="AR686" s="181"/>
      <c r="AS686" s="181"/>
      <c r="AT686" s="528"/>
      <c r="AU686" s="528"/>
      <c r="AV686" s="528"/>
      <c r="AW686" s="528"/>
      <c r="AX686" s="528"/>
      <c r="AY686" s="528"/>
      <c r="AZ686" s="528"/>
      <c r="BA686" s="528"/>
      <c r="BB686" s="528"/>
      <c r="BC686" s="528"/>
      <c r="BD686" s="528"/>
      <c r="BE686" s="528"/>
      <c r="BF686" s="528"/>
      <c r="BG686" s="528"/>
      <c r="BH686" s="528"/>
    </row>
    <row r="687">
      <c r="A687" s="179"/>
      <c r="B687" s="549"/>
      <c r="C687" s="181"/>
      <c r="D687" s="181"/>
      <c r="E687" s="181"/>
      <c r="F687" s="179"/>
      <c r="G687" s="549"/>
      <c r="H687" s="181"/>
      <c r="I687" s="181"/>
      <c r="J687" s="181"/>
      <c r="K687" s="156"/>
      <c r="L687" s="549"/>
      <c r="M687" s="181"/>
      <c r="N687" s="181"/>
      <c r="O687" s="181"/>
      <c r="P687" s="156"/>
      <c r="Q687" s="562"/>
      <c r="R687" s="181"/>
      <c r="S687" s="181"/>
      <c r="T687" s="181"/>
      <c r="U687" s="179"/>
      <c r="V687" s="549"/>
      <c r="W687" s="181"/>
      <c r="X687" s="181"/>
      <c r="Y687" s="181"/>
      <c r="Z687" s="179"/>
      <c r="AA687" s="549"/>
      <c r="AB687" s="181"/>
      <c r="AC687" s="181"/>
      <c r="AD687" s="181"/>
      <c r="AE687" s="179"/>
      <c r="AF687" s="549"/>
      <c r="AG687" s="181"/>
      <c r="AH687" s="181"/>
      <c r="AI687" s="181"/>
      <c r="AJ687" s="179"/>
      <c r="AK687" s="549"/>
      <c r="AL687" s="181"/>
      <c r="AM687" s="181"/>
      <c r="AN687" s="181"/>
      <c r="AO687" s="179"/>
      <c r="AP687" s="549"/>
      <c r="AQ687" s="181"/>
      <c r="AR687" s="181"/>
      <c r="AS687" s="181"/>
      <c r="AT687" s="528"/>
      <c r="AU687" s="528"/>
      <c r="AV687" s="528"/>
      <c r="AW687" s="528"/>
      <c r="AX687" s="528"/>
      <c r="AY687" s="528"/>
      <c r="AZ687" s="528"/>
      <c r="BA687" s="528"/>
      <c r="BB687" s="528"/>
      <c r="BC687" s="528"/>
      <c r="BD687" s="528"/>
      <c r="BE687" s="528"/>
      <c r="BF687" s="528"/>
      <c r="BG687" s="528"/>
      <c r="BH687" s="528"/>
    </row>
    <row r="688">
      <c r="A688" s="179"/>
      <c r="B688" s="549"/>
      <c r="C688" s="181"/>
      <c r="D688" s="181"/>
      <c r="E688" s="181"/>
      <c r="F688" s="179"/>
      <c r="G688" s="549"/>
      <c r="H688" s="181"/>
      <c r="I688" s="181"/>
      <c r="J688" s="181"/>
      <c r="K688" s="156"/>
      <c r="L688" s="549"/>
      <c r="M688" s="181"/>
      <c r="N688" s="181"/>
      <c r="O688" s="181"/>
      <c r="P688" s="156"/>
      <c r="Q688" s="562"/>
      <c r="R688" s="181"/>
      <c r="S688" s="181"/>
      <c r="T688" s="181"/>
      <c r="U688" s="179"/>
      <c r="V688" s="549"/>
      <c r="W688" s="181"/>
      <c r="X688" s="181"/>
      <c r="Y688" s="181"/>
      <c r="Z688" s="179"/>
      <c r="AA688" s="549"/>
      <c r="AB688" s="181"/>
      <c r="AC688" s="181"/>
      <c r="AD688" s="181"/>
      <c r="AE688" s="179"/>
      <c r="AF688" s="549"/>
      <c r="AG688" s="181"/>
      <c r="AH688" s="181"/>
      <c r="AI688" s="181"/>
      <c r="AJ688" s="179"/>
      <c r="AK688" s="549"/>
      <c r="AL688" s="181"/>
      <c r="AM688" s="181"/>
      <c r="AN688" s="181"/>
      <c r="AO688" s="179"/>
      <c r="AP688" s="549"/>
      <c r="AQ688" s="181"/>
      <c r="AR688" s="181"/>
      <c r="AS688" s="181"/>
      <c r="AT688" s="528"/>
      <c r="AU688" s="528"/>
      <c r="AV688" s="528"/>
      <c r="AW688" s="528"/>
      <c r="AX688" s="528"/>
      <c r="AY688" s="528"/>
      <c r="AZ688" s="528"/>
      <c r="BA688" s="528"/>
      <c r="BB688" s="528"/>
      <c r="BC688" s="528"/>
      <c r="BD688" s="528"/>
      <c r="BE688" s="528"/>
      <c r="BF688" s="528"/>
      <c r="BG688" s="528"/>
      <c r="BH688" s="528"/>
    </row>
    <row r="689">
      <c r="A689" s="179"/>
      <c r="B689" s="549"/>
      <c r="C689" s="181"/>
      <c r="D689" s="181"/>
      <c r="E689" s="181"/>
      <c r="F689" s="179"/>
      <c r="G689" s="549"/>
      <c r="H689" s="181"/>
      <c r="I689" s="181"/>
      <c r="J689" s="181"/>
      <c r="K689" s="156"/>
      <c r="L689" s="549"/>
      <c r="M689" s="181"/>
      <c r="N689" s="181"/>
      <c r="O689" s="181"/>
      <c r="P689" s="156"/>
      <c r="Q689" s="562"/>
      <c r="R689" s="181"/>
      <c r="S689" s="181"/>
      <c r="T689" s="181"/>
      <c r="U689" s="179"/>
      <c r="V689" s="549"/>
      <c r="W689" s="181"/>
      <c r="X689" s="181"/>
      <c r="Y689" s="181"/>
      <c r="Z689" s="179"/>
      <c r="AA689" s="549"/>
      <c r="AB689" s="181"/>
      <c r="AC689" s="181"/>
      <c r="AD689" s="181"/>
      <c r="AE689" s="179"/>
      <c r="AF689" s="549"/>
      <c r="AG689" s="181"/>
      <c r="AH689" s="181"/>
      <c r="AI689" s="181"/>
      <c r="AJ689" s="179"/>
      <c r="AK689" s="549"/>
      <c r="AL689" s="181"/>
      <c r="AM689" s="181"/>
      <c r="AN689" s="181"/>
      <c r="AO689" s="179"/>
      <c r="AP689" s="549"/>
      <c r="AQ689" s="181"/>
      <c r="AR689" s="181"/>
      <c r="AS689" s="181"/>
      <c r="AT689" s="528"/>
      <c r="AU689" s="528"/>
      <c r="AV689" s="528"/>
      <c r="AW689" s="528"/>
      <c r="AX689" s="528"/>
      <c r="AY689" s="528"/>
      <c r="AZ689" s="528"/>
      <c r="BA689" s="528"/>
      <c r="BB689" s="528"/>
      <c r="BC689" s="528"/>
      <c r="BD689" s="528"/>
      <c r="BE689" s="528"/>
      <c r="BF689" s="528"/>
      <c r="BG689" s="528"/>
      <c r="BH689" s="528"/>
    </row>
    <row r="690">
      <c r="A690" s="179"/>
      <c r="B690" s="549"/>
      <c r="C690" s="181"/>
      <c r="D690" s="181"/>
      <c r="E690" s="181"/>
      <c r="F690" s="179"/>
      <c r="G690" s="549"/>
      <c r="H690" s="181"/>
      <c r="I690" s="181"/>
      <c r="J690" s="181"/>
      <c r="K690" s="156"/>
      <c r="L690" s="549"/>
      <c r="M690" s="181"/>
      <c r="N690" s="181"/>
      <c r="O690" s="181"/>
      <c r="P690" s="156"/>
      <c r="Q690" s="562"/>
      <c r="R690" s="181"/>
      <c r="S690" s="181"/>
      <c r="T690" s="181"/>
      <c r="U690" s="179"/>
      <c r="V690" s="549"/>
      <c r="W690" s="181"/>
      <c r="X690" s="181"/>
      <c r="Y690" s="181"/>
      <c r="Z690" s="179"/>
      <c r="AA690" s="549"/>
      <c r="AB690" s="181"/>
      <c r="AC690" s="181"/>
      <c r="AD690" s="181"/>
      <c r="AE690" s="179"/>
      <c r="AF690" s="549"/>
      <c r="AG690" s="181"/>
      <c r="AH690" s="181"/>
      <c r="AI690" s="181"/>
      <c r="AJ690" s="179"/>
      <c r="AK690" s="549"/>
      <c r="AL690" s="181"/>
      <c r="AM690" s="181"/>
      <c r="AN690" s="181"/>
      <c r="AO690" s="179"/>
      <c r="AP690" s="549"/>
      <c r="AQ690" s="181"/>
      <c r="AR690" s="181"/>
      <c r="AS690" s="181"/>
      <c r="AT690" s="528"/>
      <c r="AU690" s="528"/>
      <c r="AV690" s="528"/>
      <c r="AW690" s="528"/>
      <c r="AX690" s="528"/>
      <c r="AY690" s="528"/>
      <c r="AZ690" s="528"/>
      <c r="BA690" s="528"/>
      <c r="BB690" s="528"/>
      <c r="BC690" s="528"/>
      <c r="BD690" s="528"/>
      <c r="BE690" s="528"/>
      <c r="BF690" s="528"/>
      <c r="BG690" s="528"/>
      <c r="BH690" s="528"/>
    </row>
    <row r="691">
      <c r="A691" s="179"/>
      <c r="B691" s="549"/>
      <c r="C691" s="181"/>
      <c r="D691" s="181"/>
      <c r="E691" s="181"/>
      <c r="F691" s="179"/>
      <c r="G691" s="549"/>
      <c r="H691" s="181"/>
      <c r="I691" s="181"/>
      <c r="J691" s="181"/>
      <c r="K691" s="156"/>
      <c r="L691" s="549"/>
      <c r="M691" s="181"/>
      <c r="N691" s="181"/>
      <c r="O691" s="181"/>
      <c r="P691" s="156"/>
      <c r="Q691" s="562"/>
      <c r="R691" s="181"/>
      <c r="S691" s="181"/>
      <c r="T691" s="181"/>
      <c r="U691" s="179"/>
      <c r="V691" s="549"/>
      <c r="W691" s="181"/>
      <c r="X691" s="181"/>
      <c r="Y691" s="181"/>
      <c r="Z691" s="179"/>
      <c r="AA691" s="549"/>
      <c r="AB691" s="181"/>
      <c r="AC691" s="181"/>
      <c r="AD691" s="181"/>
      <c r="AE691" s="179"/>
      <c r="AF691" s="549"/>
      <c r="AG691" s="181"/>
      <c r="AH691" s="181"/>
      <c r="AI691" s="181"/>
      <c r="AJ691" s="179"/>
      <c r="AK691" s="549"/>
      <c r="AL691" s="181"/>
      <c r="AM691" s="181"/>
      <c r="AN691" s="181"/>
      <c r="AO691" s="179"/>
      <c r="AP691" s="549"/>
      <c r="AQ691" s="181"/>
      <c r="AR691" s="181"/>
      <c r="AS691" s="181"/>
      <c r="AT691" s="528"/>
      <c r="AU691" s="528"/>
      <c r="AV691" s="528"/>
      <c r="AW691" s="528"/>
      <c r="AX691" s="528"/>
      <c r="AY691" s="528"/>
      <c r="AZ691" s="528"/>
      <c r="BA691" s="528"/>
      <c r="BB691" s="528"/>
      <c r="BC691" s="528"/>
      <c r="BD691" s="528"/>
      <c r="BE691" s="528"/>
      <c r="BF691" s="528"/>
      <c r="BG691" s="528"/>
      <c r="BH691" s="528"/>
    </row>
    <row r="692">
      <c r="A692" s="179"/>
      <c r="B692" s="549"/>
      <c r="C692" s="181"/>
      <c r="D692" s="181"/>
      <c r="E692" s="181"/>
      <c r="F692" s="179"/>
      <c r="G692" s="549"/>
      <c r="H692" s="181"/>
      <c r="I692" s="181"/>
      <c r="J692" s="181"/>
      <c r="K692" s="156"/>
      <c r="L692" s="549"/>
      <c r="M692" s="181"/>
      <c r="N692" s="181"/>
      <c r="O692" s="181"/>
      <c r="P692" s="156"/>
      <c r="Q692" s="562"/>
      <c r="R692" s="181"/>
      <c r="S692" s="181"/>
      <c r="T692" s="181"/>
      <c r="U692" s="179"/>
      <c r="V692" s="549"/>
      <c r="W692" s="181"/>
      <c r="X692" s="181"/>
      <c r="Y692" s="181"/>
      <c r="Z692" s="179"/>
      <c r="AA692" s="549"/>
      <c r="AB692" s="181"/>
      <c r="AC692" s="181"/>
      <c r="AD692" s="181"/>
      <c r="AE692" s="179"/>
      <c r="AF692" s="549"/>
      <c r="AG692" s="181"/>
      <c r="AH692" s="181"/>
      <c r="AI692" s="181"/>
      <c r="AJ692" s="179"/>
      <c r="AK692" s="549"/>
      <c r="AL692" s="181"/>
      <c r="AM692" s="181"/>
      <c r="AN692" s="181"/>
      <c r="AO692" s="179"/>
      <c r="AP692" s="549"/>
      <c r="AQ692" s="181"/>
      <c r="AR692" s="181"/>
      <c r="AS692" s="181"/>
      <c r="AT692" s="528"/>
      <c r="AU692" s="528"/>
      <c r="AV692" s="528"/>
      <c r="AW692" s="528"/>
      <c r="AX692" s="528"/>
      <c r="AY692" s="528"/>
      <c r="AZ692" s="528"/>
      <c r="BA692" s="528"/>
      <c r="BB692" s="528"/>
      <c r="BC692" s="528"/>
      <c r="BD692" s="528"/>
      <c r="BE692" s="528"/>
      <c r="BF692" s="528"/>
      <c r="BG692" s="528"/>
      <c r="BH692" s="528"/>
    </row>
    <row r="693">
      <c r="A693" s="179"/>
      <c r="B693" s="549"/>
      <c r="C693" s="181"/>
      <c r="D693" s="181"/>
      <c r="E693" s="181"/>
      <c r="F693" s="179"/>
      <c r="G693" s="549"/>
      <c r="H693" s="181"/>
      <c r="I693" s="181"/>
      <c r="J693" s="181"/>
      <c r="K693" s="156"/>
      <c r="L693" s="549"/>
      <c r="M693" s="181"/>
      <c r="N693" s="181"/>
      <c r="O693" s="181"/>
      <c r="P693" s="156"/>
      <c r="Q693" s="562"/>
      <c r="R693" s="181"/>
      <c r="S693" s="181"/>
      <c r="T693" s="181"/>
      <c r="U693" s="179"/>
      <c r="V693" s="549"/>
      <c r="W693" s="181"/>
      <c r="X693" s="181"/>
      <c r="Y693" s="181"/>
      <c r="Z693" s="179"/>
      <c r="AA693" s="549"/>
      <c r="AB693" s="181"/>
      <c r="AC693" s="181"/>
      <c r="AD693" s="181"/>
      <c r="AE693" s="179"/>
      <c r="AF693" s="549"/>
      <c r="AG693" s="181"/>
      <c r="AH693" s="181"/>
      <c r="AI693" s="181"/>
      <c r="AJ693" s="179"/>
      <c r="AK693" s="549"/>
      <c r="AL693" s="181"/>
      <c r="AM693" s="181"/>
      <c r="AN693" s="181"/>
      <c r="AO693" s="179"/>
      <c r="AP693" s="549"/>
      <c r="AQ693" s="181"/>
      <c r="AR693" s="181"/>
      <c r="AS693" s="181"/>
      <c r="AT693" s="528"/>
      <c r="AU693" s="528"/>
      <c r="AV693" s="528"/>
      <c r="AW693" s="528"/>
      <c r="AX693" s="528"/>
      <c r="AY693" s="528"/>
      <c r="AZ693" s="528"/>
      <c r="BA693" s="528"/>
      <c r="BB693" s="528"/>
      <c r="BC693" s="528"/>
      <c r="BD693" s="528"/>
      <c r="BE693" s="528"/>
      <c r="BF693" s="528"/>
      <c r="BG693" s="528"/>
      <c r="BH693" s="528"/>
    </row>
    <row r="694">
      <c r="A694" s="179"/>
      <c r="B694" s="549"/>
      <c r="C694" s="181"/>
      <c r="D694" s="181"/>
      <c r="E694" s="181"/>
      <c r="F694" s="179"/>
      <c r="G694" s="549"/>
      <c r="H694" s="181"/>
      <c r="I694" s="181"/>
      <c r="J694" s="181"/>
      <c r="K694" s="156"/>
      <c r="L694" s="549"/>
      <c r="M694" s="181"/>
      <c r="N694" s="181"/>
      <c r="O694" s="181"/>
      <c r="P694" s="156"/>
      <c r="Q694" s="562"/>
      <c r="R694" s="181"/>
      <c r="S694" s="181"/>
      <c r="T694" s="181"/>
      <c r="U694" s="179"/>
      <c r="V694" s="549"/>
      <c r="W694" s="181"/>
      <c r="X694" s="181"/>
      <c r="Y694" s="181"/>
      <c r="Z694" s="179"/>
      <c r="AA694" s="549"/>
      <c r="AB694" s="181"/>
      <c r="AC694" s="181"/>
      <c r="AD694" s="181"/>
      <c r="AE694" s="179"/>
      <c r="AF694" s="549"/>
      <c r="AG694" s="181"/>
      <c r="AH694" s="181"/>
      <c r="AI694" s="181"/>
      <c r="AJ694" s="179"/>
      <c r="AK694" s="549"/>
      <c r="AL694" s="181"/>
      <c r="AM694" s="181"/>
      <c r="AN694" s="181"/>
      <c r="AO694" s="179"/>
      <c r="AP694" s="549"/>
      <c r="AQ694" s="181"/>
      <c r="AR694" s="181"/>
      <c r="AS694" s="181"/>
      <c r="AT694" s="528"/>
      <c r="AU694" s="528"/>
      <c r="AV694" s="528"/>
      <c r="AW694" s="528"/>
      <c r="AX694" s="528"/>
      <c r="AY694" s="528"/>
      <c r="AZ694" s="528"/>
      <c r="BA694" s="528"/>
      <c r="BB694" s="528"/>
      <c r="BC694" s="528"/>
      <c r="BD694" s="528"/>
      <c r="BE694" s="528"/>
      <c r="BF694" s="528"/>
      <c r="BG694" s="528"/>
      <c r="BH694" s="528"/>
    </row>
    <row r="695">
      <c r="A695" s="179"/>
      <c r="B695" s="549"/>
      <c r="C695" s="181"/>
      <c r="D695" s="181"/>
      <c r="E695" s="181"/>
      <c r="F695" s="179"/>
      <c r="G695" s="549"/>
      <c r="H695" s="181"/>
      <c r="I695" s="181"/>
      <c r="J695" s="181"/>
      <c r="K695" s="156"/>
      <c r="L695" s="549"/>
      <c r="M695" s="181"/>
      <c r="N695" s="181"/>
      <c r="O695" s="181"/>
      <c r="P695" s="156"/>
      <c r="Q695" s="562"/>
      <c r="R695" s="181"/>
      <c r="S695" s="181"/>
      <c r="T695" s="181"/>
      <c r="U695" s="179"/>
      <c r="V695" s="549"/>
      <c r="W695" s="181"/>
      <c r="X695" s="181"/>
      <c r="Y695" s="181"/>
      <c r="Z695" s="179"/>
      <c r="AA695" s="549"/>
      <c r="AB695" s="181"/>
      <c r="AC695" s="181"/>
      <c r="AD695" s="181"/>
      <c r="AE695" s="179"/>
      <c r="AF695" s="549"/>
      <c r="AG695" s="181"/>
      <c r="AH695" s="181"/>
      <c r="AI695" s="181"/>
      <c r="AJ695" s="179"/>
      <c r="AK695" s="549"/>
      <c r="AL695" s="181"/>
      <c r="AM695" s="181"/>
      <c r="AN695" s="181"/>
      <c r="AO695" s="179"/>
      <c r="AP695" s="549"/>
      <c r="AQ695" s="181"/>
      <c r="AR695" s="181"/>
      <c r="AS695" s="181"/>
      <c r="AT695" s="528"/>
      <c r="AU695" s="528"/>
      <c r="AV695" s="528"/>
      <c r="AW695" s="528"/>
      <c r="AX695" s="528"/>
      <c r="AY695" s="528"/>
      <c r="AZ695" s="528"/>
      <c r="BA695" s="528"/>
      <c r="BB695" s="528"/>
      <c r="BC695" s="528"/>
      <c r="BD695" s="528"/>
      <c r="BE695" s="528"/>
      <c r="BF695" s="528"/>
      <c r="BG695" s="528"/>
      <c r="BH695" s="528"/>
    </row>
    <row r="696">
      <c r="A696" s="179"/>
      <c r="B696" s="549"/>
      <c r="C696" s="181"/>
      <c r="D696" s="181"/>
      <c r="E696" s="181"/>
      <c r="F696" s="179"/>
      <c r="G696" s="549"/>
      <c r="H696" s="181"/>
      <c r="I696" s="181"/>
      <c r="J696" s="181"/>
      <c r="K696" s="156"/>
      <c r="L696" s="549"/>
      <c r="M696" s="181"/>
      <c r="N696" s="181"/>
      <c r="O696" s="181"/>
      <c r="P696" s="156"/>
      <c r="Q696" s="562"/>
      <c r="R696" s="181"/>
      <c r="S696" s="181"/>
      <c r="T696" s="181"/>
      <c r="U696" s="179"/>
      <c r="V696" s="549"/>
      <c r="W696" s="181"/>
      <c r="X696" s="181"/>
      <c r="Y696" s="181"/>
      <c r="Z696" s="179"/>
      <c r="AA696" s="549"/>
      <c r="AB696" s="181"/>
      <c r="AC696" s="181"/>
      <c r="AD696" s="181"/>
      <c r="AE696" s="179"/>
      <c r="AF696" s="549"/>
      <c r="AG696" s="181"/>
      <c r="AH696" s="181"/>
      <c r="AI696" s="181"/>
      <c r="AJ696" s="179"/>
      <c r="AK696" s="549"/>
      <c r="AL696" s="181"/>
      <c r="AM696" s="181"/>
      <c r="AN696" s="181"/>
      <c r="AO696" s="179"/>
      <c r="AP696" s="549"/>
      <c r="AQ696" s="181"/>
      <c r="AR696" s="181"/>
      <c r="AS696" s="181"/>
      <c r="AT696" s="528"/>
      <c r="AU696" s="528"/>
      <c r="AV696" s="528"/>
      <c r="AW696" s="528"/>
      <c r="AX696" s="528"/>
      <c r="AY696" s="528"/>
      <c r="AZ696" s="528"/>
      <c r="BA696" s="528"/>
      <c r="BB696" s="528"/>
      <c r="BC696" s="528"/>
      <c r="BD696" s="528"/>
      <c r="BE696" s="528"/>
      <c r="BF696" s="528"/>
      <c r="BG696" s="528"/>
      <c r="BH696" s="528"/>
    </row>
    <row r="697">
      <c r="A697" s="179"/>
      <c r="B697" s="549"/>
      <c r="C697" s="181"/>
      <c r="D697" s="181"/>
      <c r="E697" s="181"/>
      <c r="F697" s="179"/>
      <c r="G697" s="549"/>
      <c r="H697" s="181"/>
      <c r="I697" s="181"/>
      <c r="J697" s="181"/>
      <c r="K697" s="156"/>
      <c r="L697" s="549"/>
      <c r="M697" s="181"/>
      <c r="N697" s="181"/>
      <c r="O697" s="181"/>
      <c r="P697" s="156"/>
      <c r="Q697" s="562"/>
      <c r="R697" s="181"/>
      <c r="S697" s="181"/>
      <c r="T697" s="181"/>
      <c r="U697" s="179"/>
      <c r="V697" s="549"/>
      <c r="W697" s="181"/>
      <c r="X697" s="181"/>
      <c r="Y697" s="181"/>
      <c r="Z697" s="179"/>
      <c r="AA697" s="549"/>
      <c r="AB697" s="181"/>
      <c r="AC697" s="181"/>
      <c r="AD697" s="181"/>
      <c r="AE697" s="179"/>
      <c r="AF697" s="549"/>
      <c r="AG697" s="181"/>
      <c r="AH697" s="181"/>
      <c r="AI697" s="181"/>
      <c r="AJ697" s="179"/>
      <c r="AK697" s="549"/>
      <c r="AL697" s="181"/>
      <c r="AM697" s="181"/>
      <c r="AN697" s="181"/>
      <c r="AO697" s="179"/>
      <c r="AP697" s="549"/>
      <c r="AQ697" s="181"/>
      <c r="AR697" s="181"/>
      <c r="AS697" s="181"/>
      <c r="AT697" s="528"/>
      <c r="AU697" s="528"/>
      <c r="AV697" s="528"/>
      <c r="AW697" s="528"/>
      <c r="AX697" s="528"/>
      <c r="AY697" s="528"/>
      <c r="AZ697" s="528"/>
      <c r="BA697" s="528"/>
      <c r="BB697" s="528"/>
      <c r="BC697" s="528"/>
      <c r="BD697" s="528"/>
      <c r="BE697" s="528"/>
      <c r="BF697" s="528"/>
      <c r="BG697" s="528"/>
      <c r="BH697" s="528"/>
    </row>
    <row r="698">
      <c r="A698" s="179"/>
      <c r="B698" s="549"/>
      <c r="C698" s="181"/>
      <c r="D698" s="181"/>
      <c r="E698" s="181"/>
      <c r="F698" s="179"/>
      <c r="G698" s="549"/>
      <c r="H698" s="181"/>
      <c r="I698" s="181"/>
      <c r="J698" s="181"/>
      <c r="K698" s="156"/>
      <c r="L698" s="549"/>
      <c r="M698" s="181"/>
      <c r="N698" s="181"/>
      <c r="O698" s="181"/>
      <c r="P698" s="156"/>
      <c r="Q698" s="562"/>
      <c r="R698" s="181"/>
      <c r="S698" s="181"/>
      <c r="T698" s="181"/>
      <c r="U698" s="179"/>
      <c r="V698" s="549"/>
      <c r="W698" s="181"/>
      <c r="X698" s="181"/>
      <c r="Y698" s="181"/>
      <c r="Z698" s="179"/>
      <c r="AA698" s="549"/>
      <c r="AB698" s="181"/>
      <c r="AC698" s="181"/>
      <c r="AD698" s="181"/>
      <c r="AE698" s="179"/>
      <c r="AF698" s="549"/>
      <c r="AG698" s="181"/>
      <c r="AH698" s="181"/>
      <c r="AI698" s="181"/>
      <c r="AJ698" s="179"/>
      <c r="AK698" s="549"/>
      <c r="AL698" s="181"/>
      <c r="AM698" s="181"/>
      <c r="AN698" s="181"/>
      <c r="AO698" s="179"/>
      <c r="AP698" s="549"/>
      <c r="AQ698" s="181"/>
      <c r="AR698" s="181"/>
      <c r="AS698" s="181"/>
      <c r="AT698" s="528"/>
      <c r="AU698" s="528"/>
      <c r="AV698" s="528"/>
      <c r="AW698" s="528"/>
      <c r="AX698" s="528"/>
      <c r="AY698" s="528"/>
      <c r="AZ698" s="528"/>
      <c r="BA698" s="528"/>
      <c r="BB698" s="528"/>
      <c r="BC698" s="528"/>
      <c r="BD698" s="528"/>
      <c r="BE698" s="528"/>
      <c r="BF698" s="528"/>
      <c r="BG698" s="528"/>
      <c r="BH698" s="528"/>
    </row>
    <row r="699">
      <c r="A699" s="179"/>
      <c r="B699" s="549"/>
      <c r="C699" s="181"/>
      <c r="D699" s="181"/>
      <c r="E699" s="181"/>
      <c r="F699" s="179"/>
      <c r="G699" s="549"/>
      <c r="H699" s="181"/>
      <c r="I699" s="181"/>
      <c r="J699" s="181"/>
      <c r="K699" s="156"/>
      <c r="L699" s="549"/>
      <c r="M699" s="181"/>
      <c r="N699" s="181"/>
      <c r="O699" s="181"/>
      <c r="P699" s="156"/>
      <c r="Q699" s="562"/>
      <c r="R699" s="181"/>
      <c r="S699" s="181"/>
      <c r="T699" s="181"/>
      <c r="U699" s="179"/>
      <c r="V699" s="549"/>
      <c r="W699" s="181"/>
      <c r="X699" s="181"/>
      <c r="Y699" s="181"/>
      <c r="Z699" s="179"/>
      <c r="AA699" s="549"/>
      <c r="AB699" s="181"/>
      <c r="AC699" s="181"/>
      <c r="AD699" s="181"/>
      <c r="AE699" s="179"/>
      <c r="AF699" s="549"/>
      <c r="AG699" s="181"/>
      <c r="AH699" s="181"/>
      <c r="AI699" s="181"/>
      <c r="AJ699" s="179"/>
      <c r="AK699" s="549"/>
      <c r="AL699" s="181"/>
      <c r="AM699" s="181"/>
      <c r="AN699" s="181"/>
      <c r="AO699" s="179"/>
      <c r="AP699" s="549"/>
      <c r="AQ699" s="181"/>
      <c r="AR699" s="181"/>
      <c r="AS699" s="181"/>
      <c r="AT699" s="528"/>
      <c r="AU699" s="528"/>
      <c r="AV699" s="528"/>
      <c r="AW699" s="528"/>
      <c r="AX699" s="528"/>
      <c r="AY699" s="528"/>
      <c r="AZ699" s="528"/>
      <c r="BA699" s="528"/>
      <c r="BB699" s="528"/>
      <c r="BC699" s="528"/>
      <c r="BD699" s="528"/>
      <c r="BE699" s="528"/>
      <c r="BF699" s="528"/>
      <c r="BG699" s="528"/>
      <c r="BH699" s="528"/>
    </row>
    <row r="700">
      <c r="A700" s="179"/>
      <c r="B700" s="549"/>
      <c r="C700" s="181"/>
      <c r="D700" s="181"/>
      <c r="E700" s="181"/>
      <c r="F700" s="179"/>
      <c r="G700" s="549"/>
      <c r="H700" s="181"/>
      <c r="I700" s="181"/>
      <c r="J700" s="181"/>
      <c r="K700" s="156"/>
      <c r="L700" s="549"/>
      <c r="M700" s="181"/>
      <c r="N700" s="181"/>
      <c r="O700" s="181"/>
      <c r="P700" s="156"/>
      <c r="Q700" s="562"/>
      <c r="R700" s="181"/>
      <c r="S700" s="181"/>
      <c r="T700" s="181"/>
      <c r="U700" s="179"/>
      <c r="V700" s="549"/>
      <c r="W700" s="181"/>
      <c r="X700" s="181"/>
      <c r="Y700" s="181"/>
      <c r="Z700" s="179"/>
      <c r="AA700" s="549"/>
      <c r="AB700" s="181"/>
      <c r="AC700" s="181"/>
      <c r="AD700" s="181"/>
      <c r="AE700" s="179"/>
      <c r="AF700" s="549"/>
      <c r="AG700" s="181"/>
      <c r="AH700" s="181"/>
      <c r="AI700" s="181"/>
      <c r="AJ700" s="179"/>
      <c r="AK700" s="549"/>
      <c r="AL700" s="181"/>
      <c r="AM700" s="181"/>
      <c r="AN700" s="181"/>
      <c r="AO700" s="179"/>
      <c r="AP700" s="549"/>
      <c r="AQ700" s="181"/>
      <c r="AR700" s="181"/>
      <c r="AS700" s="181"/>
      <c r="AT700" s="528"/>
      <c r="AU700" s="528"/>
      <c r="AV700" s="528"/>
      <c r="AW700" s="528"/>
      <c r="AX700" s="528"/>
      <c r="AY700" s="528"/>
      <c r="AZ700" s="528"/>
      <c r="BA700" s="528"/>
      <c r="BB700" s="528"/>
      <c r="BC700" s="528"/>
      <c r="BD700" s="528"/>
      <c r="BE700" s="528"/>
      <c r="BF700" s="528"/>
      <c r="BG700" s="528"/>
      <c r="BH700" s="528"/>
    </row>
    <row r="701">
      <c r="A701" s="179"/>
      <c r="B701" s="549"/>
      <c r="C701" s="181"/>
      <c r="D701" s="181"/>
      <c r="E701" s="181"/>
      <c r="F701" s="179"/>
      <c r="G701" s="549"/>
      <c r="H701" s="181"/>
      <c r="I701" s="181"/>
      <c r="J701" s="181"/>
      <c r="K701" s="156"/>
      <c r="L701" s="549"/>
      <c r="M701" s="181"/>
      <c r="N701" s="181"/>
      <c r="O701" s="181"/>
      <c r="P701" s="156"/>
      <c r="Q701" s="562"/>
      <c r="R701" s="181"/>
      <c r="S701" s="181"/>
      <c r="T701" s="181"/>
      <c r="U701" s="179"/>
      <c r="V701" s="549"/>
      <c r="W701" s="181"/>
      <c r="X701" s="181"/>
      <c r="Y701" s="181"/>
      <c r="Z701" s="179"/>
      <c r="AA701" s="549"/>
      <c r="AB701" s="181"/>
      <c r="AC701" s="181"/>
      <c r="AD701" s="181"/>
      <c r="AE701" s="179"/>
      <c r="AF701" s="549"/>
      <c r="AG701" s="181"/>
      <c r="AH701" s="181"/>
      <c r="AI701" s="181"/>
      <c r="AJ701" s="179"/>
      <c r="AK701" s="549"/>
      <c r="AL701" s="181"/>
      <c r="AM701" s="181"/>
      <c r="AN701" s="181"/>
      <c r="AO701" s="179"/>
      <c r="AP701" s="549"/>
      <c r="AQ701" s="181"/>
      <c r="AR701" s="181"/>
      <c r="AS701" s="181"/>
      <c r="AT701" s="528"/>
      <c r="AU701" s="528"/>
      <c r="AV701" s="528"/>
      <c r="AW701" s="528"/>
      <c r="AX701" s="528"/>
      <c r="AY701" s="528"/>
      <c r="AZ701" s="528"/>
      <c r="BA701" s="528"/>
      <c r="BB701" s="528"/>
      <c r="BC701" s="528"/>
      <c r="BD701" s="528"/>
      <c r="BE701" s="528"/>
      <c r="BF701" s="528"/>
      <c r="BG701" s="528"/>
      <c r="BH701" s="528"/>
    </row>
    <row r="702">
      <c r="A702" s="179"/>
      <c r="B702" s="549"/>
      <c r="C702" s="181"/>
      <c r="D702" s="181"/>
      <c r="E702" s="181"/>
      <c r="F702" s="179"/>
      <c r="G702" s="549"/>
      <c r="H702" s="181"/>
      <c r="I702" s="181"/>
      <c r="J702" s="181"/>
      <c r="K702" s="156"/>
      <c r="L702" s="549"/>
      <c r="M702" s="181"/>
      <c r="N702" s="181"/>
      <c r="O702" s="181"/>
      <c r="P702" s="156"/>
      <c r="Q702" s="562"/>
      <c r="R702" s="181"/>
      <c r="S702" s="181"/>
      <c r="T702" s="181"/>
      <c r="U702" s="179"/>
      <c r="V702" s="549"/>
      <c r="W702" s="181"/>
      <c r="X702" s="181"/>
      <c r="Y702" s="181"/>
      <c r="Z702" s="179"/>
      <c r="AA702" s="549"/>
      <c r="AB702" s="181"/>
      <c r="AC702" s="181"/>
      <c r="AD702" s="181"/>
      <c r="AE702" s="179"/>
      <c r="AF702" s="549"/>
      <c r="AG702" s="181"/>
      <c r="AH702" s="181"/>
      <c r="AI702" s="181"/>
      <c r="AJ702" s="179"/>
      <c r="AK702" s="549"/>
      <c r="AL702" s="181"/>
      <c r="AM702" s="181"/>
      <c r="AN702" s="181"/>
      <c r="AO702" s="179"/>
      <c r="AP702" s="549"/>
      <c r="AQ702" s="181"/>
      <c r="AR702" s="181"/>
      <c r="AS702" s="181"/>
      <c r="AT702" s="528"/>
      <c r="AU702" s="528"/>
      <c r="AV702" s="528"/>
      <c r="AW702" s="528"/>
      <c r="AX702" s="528"/>
      <c r="AY702" s="528"/>
      <c r="AZ702" s="528"/>
      <c r="BA702" s="528"/>
      <c r="BB702" s="528"/>
      <c r="BC702" s="528"/>
      <c r="BD702" s="528"/>
      <c r="BE702" s="528"/>
      <c r="BF702" s="528"/>
      <c r="BG702" s="528"/>
      <c r="BH702" s="528"/>
    </row>
    <row r="703">
      <c r="A703" s="179"/>
      <c r="B703" s="549"/>
      <c r="C703" s="181"/>
      <c r="D703" s="181"/>
      <c r="E703" s="181"/>
      <c r="F703" s="179"/>
      <c r="G703" s="549"/>
      <c r="H703" s="181"/>
      <c r="I703" s="181"/>
      <c r="J703" s="181"/>
      <c r="K703" s="156"/>
      <c r="L703" s="549"/>
      <c r="M703" s="181"/>
      <c r="N703" s="181"/>
      <c r="O703" s="181"/>
      <c r="P703" s="156"/>
      <c r="Q703" s="562"/>
      <c r="R703" s="181"/>
      <c r="S703" s="181"/>
      <c r="T703" s="181"/>
      <c r="U703" s="179"/>
      <c r="V703" s="549"/>
      <c r="W703" s="181"/>
      <c r="X703" s="181"/>
      <c r="Y703" s="181"/>
      <c r="Z703" s="179"/>
      <c r="AA703" s="549"/>
      <c r="AB703" s="181"/>
      <c r="AC703" s="181"/>
      <c r="AD703" s="181"/>
      <c r="AE703" s="179"/>
      <c r="AF703" s="549"/>
      <c r="AG703" s="181"/>
      <c r="AH703" s="181"/>
      <c r="AI703" s="181"/>
      <c r="AJ703" s="179"/>
      <c r="AK703" s="549"/>
      <c r="AL703" s="181"/>
      <c r="AM703" s="181"/>
      <c r="AN703" s="181"/>
      <c r="AO703" s="179"/>
      <c r="AP703" s="549"/>
      <c r="AQ703" s="181"/>
      <c r="AR703" s="181"/>
      <c r="AS703" s="181"/>
      <c r="AT703" s="528"/>
      <c r="AU703" s="528"/>
      <c r="AV703" s="528"/>
      <c r="AW703" s="528"/>
      <c r="AX703" s="528"/>
      <c r="AY703" s="528"/>
      <c r="AZ703" s="528"/>
      <c r="BA703" s="528"/>
      <c r="BB703" s="528"/>
      <c r="BC703" s="528"/>
      <c r="BD703" s="528"/>
      <c r="BE703" s="528"/>
      <c r="BF703" s="528"/>
      <c r="BG703" s="528"/>
      <c r="BH703" s="528"/>
    </row>
    <row r="704">
      <c r="A704" s="179"/>
      <c r="B704" s="549"/>
      <c r="C704" s="181"/>
      <c r="D704" s="181"/>
      <c r="E704" s="181"/>
      <c r="F704" s="179"/>
      <c r="G704" s="549"/>
      <c r="H704" s="181"/>
      <c r="I704" s="181"/>
      <c r="J704" s="181"/>
      <c r="K704" s="156"/>
      <c r="L704" s="549"/>
      <c r="M704" s="181"/>
      <c r="N704" s="181"/>
      <c r="O704" s="181"/>
      <c r="P704" s="156"/>
      <c r="Q704" s="562"/>
      <c r="R704" s="181"/>
      <c r="S704" s="181"/>
      <c r="T704" s="181"/>
      <c r="U704" s="179"/>
      <c r="V704" s="549"/>
      <c r="W704" s="181"/>
      <c r="X704" s="181"/>
      <c r="Y704" s="181"/>
      <c r="Z704" s="179"/>
      <c r="AA704" s="549"/>
      <c r="AB704" s="181"/>
      <c r="AC704" s="181"/>
      <c r="AD704" s="181"/>
      <c r="AE704" s="179"/>
      <c r="AF704" s="549"/>
      <c r="AG704" s="181"/>
      <c r="AH704" s="181"/>
      <c r="AI704" s="181"/>
      <c r="AJ704" s="179"/>
      <c r="AK704" s="549"/>
      <c r="AL704" s="181"/>
      <c r="AM704" s="181"/>
      <c r="AN704" s="181"/>
      <c r="AO704" s="179"/>
      <c r="AP704" s="549"/>
      <c r="AQ704" s="181"/>
      <c r="AR704" s="181"/>
      <c r="AS704" s="181"/>
      <c r="AT704" s="528"/>
      <c r="AU704" s="528"/>
      <c r="AV704" s="528"/>
      <c r="AW704" s="528"/>
      <c r="AX704" s="528"/>
      <c r="AY704" s="528"/>
      <c r="AZ704" s="528"/>
      <c r="BA704" s="528"/>
      <c r="BB704" s="528"/>
      <c r="BC704" s="528"/>
      <c r="BD704" s="528"/>
      <c r="BE704" s="528"/>
      <c r="BF704" s="528"/>
      <c r="BG704" s="528"/>
      <c r="BH704" s="528"/>
    </row>
    <row r="705">
      <c r="A705" s="179"/>
      <c r="B705" s="549"/>
      <c r="C705" s="181"/>
      <c r="D705" s="181"/>
      <c r="E705" s="181"/>
      <c r="F705" s="179"/>
      <c r="G705" s="549"/>
      <c r="H705" s="181"/>
      <c r="I705" s="181"/>
      <c r="J705" s="181"/>
      <c r="K705" s="156"/>
      <c r="L705" s="549"/>
      <c r="M705" s="181"/>
      <c r="N705" s="181"/>
      <c r="O705" s="181"/>
      <c r="P705" s="156"/>
      <c r="Q705" s="562"/>
      <c r="R705" s="181"/>
      <c r="S705" s="181"/>
      <c r="T705" s="181"/>
      <c r="U705" s="179"/>
      <c r="V705" s="549"/>
      <c r="W705" s="181"/>
      <c r="X705" s="181"/>
      <c r="Y705" s="181"/>
      <c r="Z705" s="179"/>
      <c r="AA705" s="549"/>
      <c r="AB705" s="181"/>
      <c r="AC705" s="181"/>
      <c r="AD705" s="181"/>
      <c r="AE705" s="179"/>
      <c r="AF705" s="549"/>
      <c r="AG705" s="181"/>
      <c r="AH705" s="181"/>
      <c r="AI705" s="181"/>
      <c r="AJ705" s="179"/>
      <c r="AK705" s="549"/>
      <c r="AL705" s="181"/>
      <c r="AM705" s="181"/>
      <c r="AN705" s="181"/>
      <c r="AO705" s="179"/>
      <c r="AP705" s="549"/>
      <c r="AQ705" s="181"/>
      <c r="AR705" s="181"/>
      <c r="AS705" s="181"/>
      <c r="AT705" s="528"/>
      <c r="AU705" s="528"/>
      <c r="AV705" s="528"/>
      <c r="AW705" s="528"/>
      <c r="AX705" s="528"/>
      <c r="AY705" s="528"/>
      <c r="AZ705" s="528"/>
      <c r="BA705" s="528"/>
      <c r="BB705" s="528"/>
      <c r="BC705" s="528"/>
      <c r="BD705" s="528"/>
      <c r="BE705" s="528"/>
      <c r="BF705" s="528"/>
      <c r="BG705" s="528"/>
      <c r="BH705" s="528"/>
    </row>
    <row r="706">
      <c r="A706" s="179"/>
      <c r="B706" s="549"/>
      <c r="C706" s="181"/>
      <c r="D706" s="181"/>
      <c r="E706" s="181"/>
      <c r="F706" s="179"/>
      <c r="G706" s="549"/>
      <c r="H706" s="181"/>
      <c r="I706" s="181"/>
      <c r="J706" s="181"/>
      <c r="K706" s="156"/>
      <c r="L706" s="549"/>
      <c r="M706" s="181"/>
      <c r="N706" s="181"/>
      <c r="O706" s="181"/>
      <c r="P706" s="156"/>
      <c r="Q706" s="562"/>
      <c r="R706" s="181"/>
      <c r="S706" s="181"/>
      <c r="T706" s="181"/>
      <c r="U706" s="179"/>
      <c r="V706" s="549"/>
      <c r="W706" s="181"/>
      <c r="X706" s="181"/>
      <c r="Y706" s="181"/>
      <c r="Z706" s="179"/>
      <c r="AA706" s="549"/>
      <c r="AB706" s="181"/>
      <c r="AC706" s="181"/>
      <c r="AD706" s="181"/>
      <c r="AE706" s="179"/>
      <c r="AF706" s="549"/>
      <c r="AG706" s="181"/>
      <c r="AH706" s="181"/>
      <c r="AI706" s="181"/>
      <c r="AJ706" s="179"/>
      <c r="AK706" s="549"/>
      <c r="AL706" s="181"/>
      <c r="AM706" s="181"/>
      <c r="AN706" s="181"/>
      <c r="AO706" s="179"/>
      <c r="AP706" s="549"/>
      <c r="AQ706" s="181"/>
      <c r="AR706" s="181"/>
      <c r="AS706" s="181"/>
      <c r="AT706" s="528"/>
      <c r="AU706" s="528"/>
      <c r="AV706" s="528"/>
      <c r="AW706" s="528"/>
      <c r="AX706" s="528"/>
      <c r="AY706" s="528"/>
      <c r="AZ706" s="528"/>
      <c r="BA706" s="528"/>
      <c r="BB706" s="528"/>
      <c r="BC706" s="528"/>
      <c r="BD706" s="528"/>
      <c r="BE706" s="528"/>
      <c r="BF706" s="528"/>
      <c r="BG706" s="528"/>
      <c r="BH706" s="528"/>
    </row>
    <row r="707">
      <c r="A707" s="179"/>
      <c r="B707" s="549"/>
      <c r="C707" s="181"/>
      <c r="D707" s="181"/>
      <c r="E707" s="181"/>
      <c r="F707" s="179"/>
      <c r="G707" s="549"/>
      <c r="H707" s="181"/>
      <c r="I707" s="181"/>
      <c r="J707" s="181"/>
      <c r="K707" s="156"/>
      <c r="L707" s="549"/>
      <c r="M707" s="181"/>
      <c r="N707" s="181"/>
      <c r="O707" s="181"/>
      <c r="P707" s="156"/>
      <c r="Q707" s="562"/>
      <c r="R707" s="181"/>
      <c r="S707" s="181"/>
      <c r="T707" s="181"/>
      <c r="U707" s="179"/>
      <c r="V707" s="549"/>
      <c r="W707" s="181"/>
      <c r="X707" s="181"/>
      <c r="Y707" s="181"/>
      <c r="Z707" s="179"/>
      <c r="AA707" s="549"/>
      <c r="AB707" s="181"/>
      <c r="AC707" s="181"/>
      <c r="AD707" s="181"/>
      <c r="AE707" s="179"/>
      <c r="AF707" s="549"/>
      <c r="AG707" s="181"/>
      <c r="AH707" s="181"/>
      <c r="AI707" s="181"/>
      <c r="AJ707" s="179"/>
      <c r="AK707" s="549"/>
      <c r="AL707" s="181"/>
      <c r="AM707" s="181"/>
      <c r="AN707" s="181"/>
      <c r="AO707" s="179"/>
      <c r="AP707" s="549"/>
      <c r="AQ707" s="181"/>
      <c r="AR707" s="181"/>
      <c r="AS707" s="181"/>
      <c r="AT707" s="528"/>
      <c r="AU707" s="528"/>
      <c r="AV707" s="528"/>
      <c r="AW707" s="528"/>
      <c r="AX707" s="528"/>
      <c r="AY707" s="528"/>
      <c r="AZ707" s="528"/>
      <c r="BA707" s="528"/>
      <c r="BB707" s="528"/>
      <c r="BC707" s="528"/>
      <c r="BD707" s="528"/>
      <c r="BE707" s="528"/>
      <c r="BF707" s="528"/>
      <c r="BG707" s="528"/>
      <c r="BH707" s="528"/>
    </row>
    <row r="708">
      <c r="A708" s="179"/>
      <c r="B708" s="549"/>
      <c r="C708" s="181"/>
      <c r="D708" s="181"/>
      <c r="E708" s="181"/>
      <c r="F708" s="179"/>
      <c r="G708" s="549"/>
      <c r="H708" s="181"/>
      <c r="I708" s="181"/>
      <c r="J708" s="181"/>
      <c r="K708" s="156"/>
      <c r="L708" s="549"/>
      <c r="M708" s="181"/>
      <c r="N708" s="181"/>
      <c r="O708" s="181"/>
      <c r="P708" s="156"/>
      <c r="Q708" s="562"/>
      <c r="R708" s="181"/>
      <c r="S708" s="181"/>
      <c r="T708" s="181"/>
      <c r="U708" s="179"/>
      <c r="V708" s="549"/>
      <c r="W708" s="181"/>
      <c r="X708" s="181"/>
      <c r="Y708" s="181"/>
      <c r="Z708" s="179"/>
      <c r="AA708" s="549"/>
      <c r="AB708" s="181"/>
      <c r="AC708" s="181"/>
      <c r="AD708" s="181"/>
      <c r="AE708" s="179"/>
      <c r="AF708" s="549"/>
      <c r="AG708" s="181"/>
      <c r="AH708" s="181"/>
      <c r="AI708" s="181"/>
      <c r="AJ708" s="179"/>
      <c r="AK708" s="549"/>
      <c r="AL708" s="181"/>
      <c r="AM708" s="181"/>
      <c r="AN708" s="181"/>
      <c r="AO708" s="179"/>
      <c r="AP708" s="549"/>
      <c r="AQ708" s="181"/>
      <c r="AR708" s="181"/>
      <c r="AS708" s="181"/>
      <c r="AT708" s="528"/>
      <c r="AU708" s="528"/>
      <c r="AV708" s="528"/>
      <c r="AW708" s="528"/>
      <c r="AX708" s="528"/>
      <c r="AY708" s="528"/>
      <c r="AZ708" s="528"/>
      <c r="BA708" s="528"/>
      <c r="BB708" s="528"/>
      <c r="BC708" s="528"/>
      <c r="BD708" s="528"/>
      <c r="BE708" s="528"/>
      <c r="BF708" s="528"/>
      <c r="BG708" s="528"/>
      <c r="BH708" s="528"/>
    </row>
    <row r="709">
      <c r="A709" s="179"/>
      <c r="B709" s="549"/>
      <c r="C709" s="181"/>
      <c r="D709" s="181"/>
      <c r="E709" s="181"/>
      <c r="F709" s="179"/>
      <c r="G709" s="549"/>
      <c r="H709" s="181"/>
      <c r="I709" s="181"/>
      <c r="J709" s="181"/>
      <c r="K709" s="156"/>
      <c r="L709" s="549"/>
      <c r="M709" s="181"/>
      <c r="N709" s="181"/>
      <c r="O709" s="181"/>
      <c r="P709" s="156"/>
      <c r="Q709" s="562"/>
      <c r="R709" s="181"/>
      <c r="S709" s="181"/>
      <c r="T709" s="181"/>
      <c r="U709" s="179"/>
      <c r="V709" s="549"/>
      <c r="W709" s="181"/>
      <c r="X709" s="181"/>
      <c r="Y709" s="181"/>
      <c r="Z709" s="179"/>
      <c r="AA709" s="549"/>
      <c r="AB709" s="181"/>
      <c r="AC709" s="181"/>
      <c r="AD709" s="181"/>
      <c r="AE709" s="179"/>
      <c r="AF709" s="549"/>
      <c r="AG709" s="181"/>
      <c r="AH709" s="181"/>
      <c r="AI709" s="181"/>
      <c r="AJ709" s="179"/>
      <c r="AK709" s="549"/>
      <c r="AL709" s="181"/>
      <c r="AM709" s="181"/>
      <c r="AN709" s="181"/>
      <c r="AO709" s="179"/>
      <c r="AP709" s="549"/>
      <c r="AQ709" s="181"/>
      <c r="AR709" s="181"/>
      <c r="AS709" s="181"/>
      <c r="AT709" s="528"/>
      <c r="AU709" s="528"/>
      <c r="AV709" s="528"/>
      <c r="AW709" s="528"/>
      <c r="AX709" s="528"/>
      <c r="AY709" s="528"/>
      <c r="AZ709" s="528"/>
      <c r="BA709" s="528"/>
      <c r="BB709" s="528"/>
      <c r="BC709" s="528"/>
      <c r="BD709" s="528"/>
      <c r="BE709" s="528"/>
      <c r="BF709" s="528"/>
      <c r="BG709" s="528"/>
      <c r="BH709" s="528"/>
    </row>
    <row r="710">
      <c r="A710" s="179"/>
      <c r="B710" s="549"/>
      <c r="C710" s="181"/>
      <c r="D710" s="181"/>
      <c r="E710" s="181"/>
      <c r="F710" s="179"/>
      <c r="G710" s="549"/>
      <c r="H710" s="181"/>
      <c r="I710" s="181"/>
      <c r="J710" s="181"/>
      <c r="K710" s="156"/>
      <c r="L710" s="549"/>
      <c r="M710" s="181"/>
      <c r="N710" s="181"/>
      <c r="O710" s="181"/>
      <c r="P710" s="156"/>
      <c r="Q710" s="562"/>
      <c r="R710" s="181"/>
      <c r="S710" s="181"/>
      <c r="T710" s="181"/>
      <c r="U710" s="179"/>
      <c r="V710" s="549"/>
      <c r="W710" s="181"/>
      <c r="X710" s="181"/>
      <c r="Y710" s="181"/>
      <c r="Z710" s="179"/>
      <c r="AA710" s="549"/>
      <c r="AB710" s="181"/>
      <c r="AC710" s="181"/>
      <c r="AD710" s="181"/>
      <c r="AE710" s="179"/>
      <c r="AF710" s="549"/>
      <c r="AG710" s="181"/>
      <c r="AH710" s="181"/>
      <c r="AI710" s="181"/>
      <c r="AJ710" s="179"/>
      <c r="AK710" s="549"/>
      <c r="AL710" s="181"/>
      <c r="AM710" s="181"/>
      <c r="AN710" s="181"/>
      <c r="AO710" s="179"/>
      <c r="AP710" s="549"/>
      <c r="AQ710" s="181"/>
      <c r="AR710" s="181"/>
      <c r="AS710" s="181"/>
      <c r="AT710" s="528"/>
      <c r="AU710" s="528"/>
      <c r="AV710" s="528"/>
      <c r="AW710" s="528"/>
      <c r="AX710" s="528"/>
      <c r="AY710" s="528"/>
      <c r="AZ710" s="528"/>
      <c r="BA710" s="528"/>
      <c r="BB710" s="528"/>
      <c r="BC710" s="528"/>
      <c r="BD710" s="528"/>
      <c r="BE710" s="528"/>
      <c r="BF710" s="528"/>
      <c r="BG710" s="528"/>
      <c r="BH710" s="528"/>
    </row>
    <row r="711">
      <c r="A711" s="179"/>
      <c r="B711" s="549"/>
      <c r="C711" s="181"/>
      <c r="D711" s="181"/>
      <c r="E711" s="181"/>
      <c r="F711" s="179"/>
      <c r="G711" s="549"/>
      <c r="H711" s="181"/>
      <c r="I711" s="181"/>
      <c r="J711" s="181"/>
      <c r="K711" s="156"/>
      <c r="L711" s="549"/>
      <c r="M711" s="181"/>
      <c r="N711" s="181"/>
      <c r="O711" s="181"/>
      <c r="P711" s="156"/>
      <c r="Q711" s="562"/>
      <c r="R711" s="181"/>
      <c r="S711" s="181"/>
      <c r="T711" s="181"/>
      <c r="U711" s="179"/>
      <c r="V711" s="549"/>
      <c r="W711" s="181"/>
      <c r="X711" s="181"/>
      <c r="Y711" s="181"/>
      <c r="Z711" s="179"/>
      <c r="AA711" s="549"/>
      <c r="AB711" s="181"/>
      <c r="AC711" s="181"/>
      <c r="AD711" s="181"/>
      <c r="AE711" s="179"/>
      <c r="AF711" s="549"/>
      <c r="AG711" s="181"/>
      <c r="AH711" s="181"/>
      <c r="AI711" s="181"/>
      <c r="AJ711" s="179"/>
      <c r="AK711" s="549"/>
      <c r="AL711" s="181"/>
      <c r="AM711" s="181"/>
      <c r="AN711" s="181"/>
      <c r="AO711" s="179"/>
      <c r="AP711" s="549"/>
      <c r="AQ711" s="181"/>
      <c r="AR711" s="181"/>
      <c r="AS711" s="181"/>
      <c r="AT711" s="528"/>
      <c r="AU711" s="528"/>
      <c r="AV711" s="528"/>
      <c r="AW711" s="528"/>
      <c r="AX711" s="528"/>
      <c r="AY711" s="528"/>
      <c r="AZ711" s="528"/>
      <c r="BA711" s="528"/>
      <c r="BB711" s="528"/>
      <c r="BC711" s="528"/>
      <c r="BD711" s="528"/>
      <c r="BE711" s="528"/>
      <c r="BF711" s="528"/>
      <c r="BG711" s="528"/>
      <c r="BH711" s="528"/>
    </row>
    <row r="712">
      <c r="A712" s="179"/>
      <c r="B712" s="549"/>
      <c r="C712" s="181"/>
      <c r="D712" s="181"/>
      <c r="E712" s="181"/>
      <c r="F712" s="179"/>
      <c r="G712" s="549"/>
      <c r="H712" s="181"/>
      <c r="I712" s="181"/>
      <c r="J712" s="181"/>
      <c r="K712" s="156"/>
      <c r="L712" s="549"/>
      <c r="M712" s="181"/>
      <c r="N712" s="181"/>
      <c r="O712" s="181"/>
      <c r="P712" s="156"/>
      <c r="Q712" s="562"/>
      <c r="R712" s="181"/>
      <c r="S712" s="181"/>
      <c r="T712" s="181"/>
      <c r="U712" s="179"/>
      <c r="V712" s="549"/>
      <c r="W712" s="181"/>
      <c r="X712" s="181"/>
      <c r="Y712" s="181"/>
      <c r="Z712" s="179"/>
      <c r="AA712" s="549"/>
      <c r="AB712" s="181"/>
      <c r="AC712" s="181"/>
      <c r="AD712" s="181"/>
      <c r="AE712" s="179"/>
      <c r="AF712" s="549"/>
      <c r="AG712" s="181"/>
      <c r="AH712" s="181"/>
      <c r="AI712" s="181"/>
      <c r="AJ712" s="179"/>
      <c r="AK712" s="549"/>
      <c r="AL712" s="181"/>
      <c r="AM712" s="181"/>
      <c r="AN712" s="181"/>
      <c r="AO712" s="179"/>
      <c r="AP712" s="549"/>
      <c r="AQ712" s="181"/>
      <c r="AR712" s="181"/>
      <c r="AS712" s="181"/>
      <c r="AT712" s="528"/>
      <c r="AU712" s="528"/>
      <c r="AV712" s="528"/>
      <c r="AW712" s="528"/>
      <c r="AX712" s="528"/>
      <c r="AY712" s="528"/>
      <c r="AZ712" s="528"/>
      <c r="BA712" s="528"/>
      <c r="BB712" s="528"/>
      <c r="BC712" s="528"/>
      <c r="BD712" s="528"/>
      <c r="BE712" s="528"/>
      <c r="BF712" s="528"/>
      <c r="BG712" s="528"/>
      <c r="BH712" s="528"/>
    </row>
    <row r="713">
      <c r="A713" s="179"/>
      <c r="B713" s="549"/>
      <c r="C713" s="181"/>
      <c r="D713" s="181"/>
      <c r="E713" s="181"/>
      <c r="F713" s="179"/>
      <c r="G713" s="549"/>
      <c r="H713" s="181"/>
      <c r="I713" s="181"/>
      <c r="J713" s="181"/>
      <c r="K713" s="156"/>
      <c r="L713" s="549"/>
      <c r="M713" s="181"/>
      <c r="N713" s="181"/>
      <c r="O713" s="181"/>
      <c r="P713" s="156"/>
      <c r="Q713" s="562"/>
      <c r="R713" s="181"/>
      <c r="S713" s="181"/>
      <c r="T713" s="181"/>
      <c r="U713" s="179"/>
      <c r="V713" s="549"/>
      <c r="W713" s="181"/>
      <c r="X713" s="181"/>
      <c r="Y713" s="181"/>
      <c r="Z713" s="179"/>
      <c r="AA713" s="549"/>
      <c r="AB713" s="181"/>
      <c r="AC713" s="181"/>
      <c r="AD713" s="181"/>
      <c r="AE713" s="179"/>
      <c r="AF713" s="549"/>
      <c r="AG713" s="181"/>
      <c r="AH713" s="181"/>
      <c r="AI713" s="181"/>
      <c r="AJ713" s="179"/>
      <c r="AK713" s="549"/>
      <c r="AL713" s="181"/>
      <c r="AM713" s="181"/>
      <c r="AN713" s="181"/>
      <c r="AO713" s="179"/>
      <c r="AP713" s="549"/>
      <c r="AQ713" s="181"/>
      <c r="AR713" s="181"/>
      <c r="AS713" s="181"/>
      <c r="AT713" s="528"/>
      <c r="AU713" s="528"/>
      <c r="AV713" s="528"/>
      <c r="AW713" s="528"/>
      <c r="AX713" s="528"/>
      <c r="AY713" s="528"/>
      <c r="AZ713" s="528"/>
      <c r="BA713" s="528"/>
      <c r="BB713" s="528"/>
      <c r="BC713" s="528"/>
      <c r="BD713" s="528"/>
      <c r="BE713" s="528"/>
      <c r="BF713" s="528"/>
      <c r="BG713" s="528"/>
      <c r="BH713" s="528"/>
    </row>
    <row r="714">
      <c r="A714" s="179"/>
      <c r="B714" s="549"/>
      <c r="C714" s="181"/>
      <c r="D714" s="181"/>
      <c r="E714" s="181"/>
      <c r="F714" s="179"/>
      <c r="G714" s="549"/>
      <c r="H714" s="181"/>
      <c r="I714" s="181"/>
      <c r="J714" s="181"/>
      <c r="K714" s="156"/>
      <c r="L714" s="549"/>
      <c r="M714" s="181"/>
      <c r="N714" s="181"/>
      <c r="O714" s="181"/>
      <c r="P714" s="156"/>
      <c r="Q714" s="562"/>
      <c r="R714" s="181"/>
      <c r="S714" s="181"/>
      <c r="T714" s="181"/>
      <c r="U714" s="179"/>
      <c r="V714" s="549"/>
      <c r="W714" s="181"/>
      <c r="X714" s="181"/>
      <c r="Y714" s="181"/>
      <c r="Z714" s="179"/>
      <c r="AA714" s="549"/>
      <c r="AB714" s="181"/>
      <c r="AC714" s="181"/>
      <c r="AD714" s="181"/>
      <c r="AE714" s="179"/>
      <c r="AF714" s="549"/>
      <c r="AG714" s="181"/>
      <c r="AH714" s="181"/>
      <c r="AI714" s="181"/>
      <c r="AJ714" s="179"/>
      <c r="AK714" s="549"/>
      <c r="AL714" s="181"/>
      <c r="AM714" s="181"/>
      <c r="AN714" s="181"/>
      <c r="AO714" s="179"/>
      <c r="AP714" s="549"/>
      <c r="AQ714" s="181"/>
      <c r="AR714" s="181"/>
      <c r="AS714" s="181"/>
      <c r="AT714" s="528"/>
      <c r="AU714" s="528"/>
      <c r="AV714" s="528"/>
      <c r="AW714" s="528"/>
      <c r="AX714" s="528"/>
      <c r="AY714" s="528"/>
      <c r="AZ714" s="528"/>
      <c r="BA714" s="528"/>
      <c r="BB714" s="528"/>
      <c r="BC714" s="528"/>
      <c r="BD714" s="528"/>
      <c r="BE714" s="528"/>
      <c r="BF714" s="528"/>
      <c r="BG714" s="528"/>
      <c r="BH714" s="528"/>
    </row>
    <row r="715">
      <c r="A715" s="179"/>
      <c r="B715" s="549"/>
      <c r="C715" s="181"/>
      <c r="D715" s="181"/>
      <c r="E715" s="181"/>
      <c r="F715" s="179"/>
      <c r="G715" s="549"/>
      <c r="H715" s="181"/>
      <c r="I715" s="181"/>
      <c r="J715" s="181"/>
      <c r="K715" s="156"/>
      <c r="L715" s="549"/>
      <c r="M715" s="181"/>
      <c r="N715" s="181"/>
      <c r="O715" s="181"/>
      <c r="P715" s="156"/>
      <c r="Q715" s="562"/>
      <c r="R715" s="181"/>
      <c r="S715" s="181"/>
      <c r="T715" s="181"/>
      <c r="U715" s="179"/>
      <c r="V715" s="549"/>
      <c r="W715" s="181"/>
      <c r="X715" s="181"/>
      <c r="Y715" s="181"/>
      <c r="Z715" s="179"/>
      <c r="AA715" s="549"/>
      <c r="AB715" s="181"/>
      <c r="AC715" s="181"/>
      <c r="AD715" s="181"/>
      <c r="AE715" s="179"/>
      <c r="AF715" s="549"/>
      <c r="AG715" s="181"/>
      <c r="AH715" s="181"/>
      <c r="AI715" s="181"/>
      <c r="AJ715" s="179"/>
      <c r="AK715" s="549"/>
      <c r="AL715" s="181"/>
      <c r="AM715" s="181"/>
      <c r="AN715" s="181"/>
      <c r="AO715" s="179"/>
      <c r="AP715" s="549"/>
      <c r="AQ715" s="181"/>
      <c r="AR715" s="181"/>
      <c r="AS715" s="181"/>
      <c r="AT715" s="528"/>
      <c r="AU715" s="528"/>
      <c r="AV715" s="528"/>
      <c r="AW715" s="528"/>
      <c r="AX715" s="528"/>
      <c r="AY715" s="528"/>
      <c r="AZ715" s="528"/>
      <c r="BA715" s="528"/>
      <c r="BB715" s="528"/>
      <c r="BC715" s="528"/>
      <c r="BD715" s="528"/>
      <c r="BE715" s="528"/>
      <c r="BF715" s="528"/>
      <c r="BG715" s="528"/>
      <c r="BH715" s="528"/>
    </row>
    <row r="716">
      <c r="A716" s="179"/>
      <c r="B716" s="549"/>
      <c r="C716" s="181"/>
      <c r="D716" s="181"/>
      <c r="E716" s="181"/>
      <c r="F716" s="179"/>
      <c r="G716" s="549"/>
      <c r="H716" s="181"/>
      <c r="I716" s="181"/>
      <c r="J716" s="181"/>
      <c r="K716" s="156"/>
      <c r="L716" s="549"/>
      <c r="M716" s="181"/>
      <c r="N716" s="181"/>
      <c r="O716" s="181"/>
      <c r="P716" s="156"/>
      <c r="Q716" s="562"/>
      <c r="R716" s="181"/>
      <c r="S716" s="181"/>
      <c r="T716" s="181"/>
      <c r="U716" s="179"/>
      <c r="V716" s="549"/>
      <c r="W716" s="181"/>
      <c r="X716" s="181"/>
      <c r="Y716" s="181"/>
      <c r="Z716" s="179"/>
      <c r="AA716" s="549"/>
      <c r="AB716" s="181"/>
      <c r="AC716" s="181"/>
      <c r="AD716" s="181"/>
      <c r="AE716" s="179"/>
      <c r="AF716" s="549"/>
      <c r="AG716" s="181"/>
      <c r="AH716" s="181"/>
      <c r="AI716" s="181"/>
      <c r="AJ716" s="179"/>
      <c r="AK716" s="549"/>
      <c r="AL716" s="181"/>
      <c r="AM716" s="181"/>
      <c r="AN716" s="181"/>
      <c r="AO716" s="179"/>
      <c r="AP716" s="549"/>
      <c r="AQ716" s="181"/>
      <c r="AR716" s="181"/>
      <c r="AS716" s="181"/>
      <c r="AT716" s="528"/>
      <c r="AU716" s="528"/>
      <c r="AV716" s="528"/>
      <c r="AW716" s="528"/>
      <c r="AX716" s="528"/>
      <c r="AY716" s="528"/>
      <c r="AZ716" s="528"/>
      <c r="BA716" s="528"/>
      <c r="BB716" s="528"/>
      <c r="BC716" s="528"/>
      <c r="BD716" s="528"/>
      <c r="BE716" s="528"/>
      <c r="BF716" s="528"/>
      <c r="BG716" s="528"/>
      <c r="BH716" s="528"/>
    </row>
    <row r="717">
      <c r="A717" s="179"/>
      <c r="B717" s="549"/>
      <c r="C717" s="181"/>
      <c r="D717" s="181"/>
      <c r="E717" s="181"/>
      <c r="F717" s="179"/>
      <c r="G717" s="549"/>
      <c r="H717" s="181"/>
      <c r="I717" s="181"/>
      <c r="J717" s="181"/>
      <c r="K717" s="156"/>
      <c r="L717" s="549"/>
      <c r="M717" s="181"/>
      <c r="N717" s="181"/>
      <c r="O717" s="181"/>
      <c r="P717" s="156"/>
      <c r="Q717" s="562"/>
      <c r="R717" s="181"/>
      <c r="S717" s="181"/>
      <c r="T717" s="181"/>
      <c r="U717" s="179"/>
      <c r="V717" s="549"/>
      <c r="W717" s="181"/>
      <c r="X717" s="181"/>
      <c r="Y717" s="181"/>
      <c r="Z717" s="179"/>
      <c r="AA717" s="549"/>
      <c r="AB717" s="181"/>
      <c r="AC717" s="181"/>
      <c r="AD717" s="181"/>
      <c r="AE717" s="179"/>
      <c r="AF717" s="549"/>
      <c r="AG717" s="181"/>
      <c r="AH717" s="181"/>
      <c r="AI717" s="181"/>
      <c r="AJ717" s="179"/>
      <c r="AK717" s="549"/>
      <c r="AL717" s="181"/>
      <c r="AM717" s="181"/>
      <c r="AN717" s="181"/>
      <c r="AO717" s="179"/>
      <c r="AP717" s="549"/>
      <c r="AQ717" s="181"/>
      <c r="AR717" s="181"/>
      <c r="AS717" s="181"/>
      <c r="AT717" s="528"/>
      <c r="AU717" s="528"/>
      <c r="AV717" s="528"/>
      <c r="AW717" s="528"/>
      <c r="AX717" s="528"/>
      <c r="AY717" s="528"/>
      <c r="AZ717" s="528"/>
      <c r="BA717" s="528"/>
      <c r="BB717" s="528"/>
      <c r="BC717" s="528"/>
      <c r="BD717" s="528"/>
      <c r="BE717" s="528"/>
      <c r="BF717" s="528"/>
      <c r="BG717" s="528"/>
      <c r="BH717" s="528"/>
    </row>
    <row r="718">
      <c r="A718" s="179"/>
      <c r="B718" s="549"/>
      <c r="C718" s="181"/>
      <c r="D718" s="181"/>
      <c r="E718" s="181"/>
      <c r="F718" s="179"/>
      <c r="G718" s="549"/>
      <c r="H718" s="181"/>
      <c r="I718" s="181"/>
      <c r="J718" s="181"/>
      <c r="K718" s="156"/>
      <c r="L718" s="549"/>
      <c r="M718" s="181"/>
      <c r="N718" s="181"/>
      <c r="O718" s="181"/>
      <c r="P718" s="156"/>
      <c r="Q718" s="562"/>
      <c r="R718" s="181"/>
      <c r="S718" s="181"/>
      <c r="T718" s="181"/>
      <c r="U718" s="179"/>
      <c r="V718" s="549"/>
      <c r="W718" s="181"/>
      <c r="X718" s="181"/>
      <c r="Y718" s="181"/>
      <c r="Z718" s="179"/>
      <c r="AA718" s="549"/>
      <c r="AB718" s="181"/>
      <c r="AC718" s="181"/>
      <c r="AD718" s="181"/>
      <c r="AE718" s="179"/>
      <c r="AF718" s="549"/>
      <c r="AG718" s="181"/>
      <c r="AH718" s="181"/>
      <c r="AI718" s="181"/>
      <c r="AJ718" s="179"/>
      <c r="AK718" s="549"/>
      <c r="AL718" s="181"/>
      <c r="AM718" s="181"/>
      <c r="AN718" s="181"/>
      <c r="AO718" s="179"/>
      <c r="AP718" s="549"/>
      <c r="AQ718" s="181"/>
      <c r="AR718" s="181"/>
      <c r="AS718" s="181"/>
      <c r="AT718" s="528"/>
      <c r="AU718" s="528"/>
      <c r="AV718" s="528"/>
      <c r="AW718" s="528"/>
      <c r="AX718" s="528"/>
      <c r="AY718" s="528"/>
      <c r="AZ718" s="528"/>
      <c r="BA718" s="528"/>
      <c r="BB718" s="528"/>
      <c r="BC718" s="528"/>
      <c r="BD718" s="528"/>
      <c r="BE718" s="528"/>
      <c r="BF718" s="528"/>
      <c r="BG718" s="528"/>
      <c r="BH718" s="528"/>
    </row>
    <row r="719">
      <c r="A719" s="179"/>
      <c r="B719" s="549"/>
      <c r="C719" s="181"/>
      <c r="D719" s="181"/>
      <c r="E719" s="181"/>
      <c r="F719" s="179"/>
      <c r="G719" s="549"/>
      <c r="H719" s="181"/>
      <c r="I719" s="181"/>
      <c r="J719" s="181"/>
      <c r="K719" s="156"/>
      <c r="L719" s="549"/>
      <c r="M719" s="181"/>
      <c r="N719" s="181"/>
      <c r="O719" s="181"/>
      <c r="P719" s="156"/>
      <c r="Q719" s="562"/>
      <c r="R719" s="181"/>
      <c r="S719" s="181"/>
      <c r="T719" s="181"/>
      <c r="U719" s="179"/>
      <c r="V719" s="549"/>
      <c r="W719" s="181"/>
      <c r="X719" s="181"/>
      <c r="Y719" s="181"/>
      <c r="Z719" s="179"/>
      <c r="AA719" s="549"/>
      <c r="AB719" s="181"/>
      <c r="AC719" s="181"/>
      <c r="AD719" s="181"/>
      <c r="AE719" s="179"/>
      <c r="AF719" s="549"/>
      <c r="AG719" s="181"/>
      <c r="AH719" s="181"/>
      <c r="AI719" s="181"/>
      <c r="AJ719" s="179"/>
      <c r="AK719" s="549"/>
      <c r="AL719" s="181"/>
      <c r="AM719" s="181"/>
      <c r="AN719" s="181"/>
      <c r="AO719" s="179"/>
      <c r="AP719" s="549"/>
      <c r="AQ719" s="181"/>
      <c r="AR719" s="181"/>
      <c r="AS719" s="181"/>
      <c r="AT719" s="528"/>
      <c r="AU719" s="528"/>
      <c r="AV719" s="528"/>
      <c r="AW719" s="528"/>
      <c r="AX719" s="528"/>
      <c r="AY719" s="528"/>
      <c r="AZ719" s="528"/>
      <c r="BA719" s="528"/>
      <c r="BB719" s="528"/>
      <c r="BC719" s="528"/>
      <c r="BD719" s="528"/>
      <c r="BE719" s="528"/>
      <c r="BF719" s="528"/>
      <c r="BG719" s="528"/>
      <c r="BH719" s="528"/>
    </row>
    <row r="720">
      <c r="A720" s="179"/>
      <c r="B720" s="549"/>
      <c r="C720" s="181"/>
      <c r="D720" s="181"/>
      <c r="E720" s="181"/>
      <c r="F720" s="179"/>
      <c r="G720" s="549"/>
      <c r="H720" s="181"/>
      <c r="I720" s="181"/>
      <c r="J720" s="181"/>
      <c r="K720" s="156"/>
      <c r="L720" s="549"/>
      <c r="M720" s="181"/>
      <c r="N720" s="181"/>
      <c r="O720" s="181"/>
      <c r="P720" s="156"/>
      <c r="Q720" s="562"/>
      <c r="R720" s="181"/>
      <c r="S720" s="181"/>
      <c r="T720" s="181"/>
      <c r="U720" s="179"/>
      <c r="V720" s="549"/>
      <c r="W720" s="181"/>
      <c r="X720" s="181"/>
      <c r="Y720" s="181"/>
      <c r="Z720" s="179"/>
      <c r="AA720" s="549"/>
      <c r="AB720" s="181"/>
      <c r="AC720" s="181"/>
      <c r="AD720" s="181"/>
      <c r="AE720" s="179"/>
      <c r="AF720" s="549"/>
      <c r="AG720" s="181"/>
      <c r="AH720" s="181"/>
      <c r="AI720" s="181"/>
      <c r="AJ720" s="179"/>
      <c r="AK720" s="549"/>
      <c r="AL720" s="181"/>
      <c r="AM720" s="181"/>
      <c r="AN720" s="181"/>
      <c r="AO720" s="179"/>
      <c r="AP720" s="549"/>
      <c r="AQ720" s="181"/>
      <c r="AR720" s="181"/>
      <c r="AS720" s="181"/>
      <c r="AT720" s="528"/>
      <c r="AU720" s="528"/>
      <c r="AV720" s="528"/>
      <c r="AW720" s="528"/>
      <c r="AX720" s="528"/>
      <c r="AY720" s="528"/>
      <c r="AZ720" s="528"/>
      <c r="BA720" s="528"/>
      <c r="BB720" s="528"/>
      <c r="BC720" s="528"/>
      <c r="BD720" s="528"/>
      <c r="BE720" s="528"/>
      <c r="BF720" s="528"/>
      <c r="BG720" s="528"/>
      <c r="BH720" s="528"/>
    </row>
    <row r="721">
      <c r="A721" s="179"/>
      <c r="B721" s="549"/>
      <c r="C721" s="181"/>
      <c r="D721" s="181"/>
      <c r="E721" s="181"/>
      <c r="F721" s="179"/>
      <c r="G721" s="549"/>
      <c r="H721" s="181"/>
      <c r="I721" s="181"/>
      <c r="J721" s="181"/>
      <c r="K721" s="156"/>
      <c r="L721" s="549"/>
      <c r="M721" s="181"/>
      <c r="N721" s="181"/>
      <c r="O721" s="181"/>
      <c r="P721" s="156"/>
      <c r="Q721" s="562"/>
      <c r="R721" s="181"/>
      <c r="S721" s="181"/>
      <c r="T721" s="181"/>
      <c r="U721" s="179"/>
      <c r="V721" s="549"/>
      <c r="W721" s="181"/>
      <c r="X721" s="181"/>
      <c r="Y721" s="181"/>
      <c r="Z721" s="179"/>
      <c r="AA721" s="549"/>
      <c r="AB721" s="181"/>
      <c r="AC721" s="181"/>
      <c r="AD721" s="181"/>
      <c r="AE721" s="179"/>
      <c r="AF721" s="549"/>
      <c r="AG721" s="181"/>
      <c r="AH721" s="181"/>
      <c r="AI721" s="181"/>
      <c r="AJ721" s="179"/>
      <c r="AK721" s="549"/>
      <c r="AL721" s="181"/>
      <c r="AM721" s="181"/>
      <c r="AN721" s="181"/>
      <c r="AO721" s="179"/>
      <c r="AP721" s="549"/>
      <c r="AQ721" s="181"/>
      <c r="AR721" s="181"/>
      <c r="AS721" s="181"/>
      <c r="AT721" s="528"/>
      <c r="AU721" s="528"/>
      <c r="AV721" s="528"/>
      <c r="AW721" s="528"/>
      <c r="AX721" s="528"/>
      <c r="AY721" s="528"/>
      <c r="AZ721" s="528"/>
      <c r="BA721" s="528"/>
      <c r="BB721" s="528"/>
      <c r="BC721" s="528"/>
      <c r="BD721" s="528"/>
      <c r="BE721" s="528"/>
      <c r="BF721" s="528"/>
      <c r="BG721" s="528"/>
      <c r="BH721" s="528"/>
    </row>
    <row r="722">
      <c r="A722" s="179"/>
      <c r="B722" s="549"/>
      <c r="C722" s="181"/>
      <c r="D722" s="181"/>
      <c r="E722" s="181"/>
      <c r="F722" s="179"/>
      <c r="G722" s="549"/>
      <c r="H722" s="181"/>
      <c r="I722" s="181"/>
      <c r="J722" s="181"/>
      <c r="K722" s="156"/>
      <c r="L722" s="549"/>
      <c r="M722" s="181"/>
      <c r="N722" s="181"/>
      <c r="O722" s="181"/>
      <c r="P722" s="156"/>
      <c r="Q722" s="562"/>
      <c r="R722" s="181"/>
      <c r="S722" s="181"/>
      <c r="T722" s="181"/>
      <c r="U722" s="179"/>
      <c r="V722" s="549"/>
      <c r="W722" s="181"/>
      <c r="X722" s="181"/>
      <c r="Y722" s="181"/>
      <c r="Z722" s="179"/>
      <c r="AA722" s="549"/>
      <c r="AB722" s="181"/>
      <c r="AC722" s="181"/>
      <c r="AD722" s="181"/>
      <c r="AE722" s="179"/>
      <c r="AF722" s="549"/>
      <c r="AG722" s="181"/>
      <c r="AH722" s="181"/>
      <c r="AI722" s="181"/>
      <c r="AJ722" s="179"/>
      <c r="AK722" s="549"/>
      <c r="AL722" s="181"/>
      <c r="AM722" s="181"/>
      <c r="AN722" s="181"/>
      <c r="AO722" s="179"/>
      <c r="AP722" s="549"/>
      <c r="AQ722" s="181"/>
      <c r="AR722" s="181"/>
      <c r="AS722" s="181"/>
      <c r="AT722" s="528"/>
      <c r="AU722" s="528"/>
      <c r="AV722" s="528"/>
      <c r="AW722" s="528"/>
      <c r="AX722" s="528"/>
      <c r="AY722" s="528"/>
      <c r="AZ722" s="528"/>
      <c r="BA722" s="528"/>
      <c r="BB722" s="528"/>
      <c r="BC722" s="528"/>
      <c r="BD722" s="528"/>
      <c r="BE722" s="528"/>
      <c r="BF722" s="528"/>
      <c r="BG722" s="528"/>
      <c r="BH722" s="528"/>
    </row>
    <row r="723">
      <c r="A723" s="179"/>
      <c r="B723" s="549"/>
      <c r="C723" s="181"/>
      <c r="D723" s="181"/>
      <c r="E723" s="181"/>
      <c r="F723" s="179"/>
      <c r="G723" s="549"/>
      <c r="H723" s="181"/>
      <c r="I723" s="181"/>
      <c r="J723" s="181"/>
      <c r="K723" s="156"/>
      <c r="L723" s="549"/>
      <c r="M723" s="181"/>
      <c r="N723" s="181"/>
      <c r="O723" s="181"/>
      <c r="P723" s="156"/>
      <c r="Q723" s="562"/>
      <c r="R723" s="181"/>
      <c r="S723" s="181"/>
      <c r="T723" s="181"/>
      <c r="U723" s="179"/>
      <c r="V723" s="549"/>
      <c r="W723" s="181"/>
      <c r="X723" s="181"/>
      <c r="Y723" s="181"/>
      <c r="Z723" s="179"/>
      <c r="AA723" s="549"/>
      <c r="AB723" s="181"/>
      <c r="AC723" s="181"/>
      <c r="AD723" s="181"/>
      <c r="AE723" s="179"/>
      <c r="AF723" s="549"/>
      <c r="AG723" s="181"/>
      <c r="AH723" s="181"/>
      <c r="AI723" s="181"/>
      <c r="AJ723" s="179"/>
      <c r="AK723" s="549"/>
      <c r="AL723" s="181"/>
      <c r="AM723" s="181"/>
      <c r="AN723" s="181"/>
      <c r="AO723" s="179"/>
      <c r="AP723" s="549"/>
      <c r="AQ723" s="181"/>
      <c r="AR723" s="181"/>
      <c r="AS723" s="181"/>
      <c r="AT723" s="528"/>
      <c r="AU723" s="528"/>
      <c r="AV723" s="528"/>
      <c r="AW723" s="528"/>
      <c r="AX723" s="528"/>
      <c r="AY723" s="528"/>
      <c r="AZ723" s="528"/>
      <c r="BA723" s="528"/>
      <c r="BB723" s="528"/>
      <c r="BC723" s="528"/>
      <c r="BD723" s="528"/>
      <c r="BE723" s="528"/>
      <c r="BF723" s="528"/>
      <c r="BG723" s="528"/>
      <c r="BH723" s="528"/>
    </row>
    <row r="724">
      <c r="A724" s="179"/>
      <c r="B724" s="549"/>
      <c r="C724" s="181"/>
      <c r="D724" s="181"/>
      <c r="E724" s="181"/>
      <c r="F724" s="179"/>
      <c r="G724" s="549"/>
      <c r="H724" s="181"/>
      <c r="I724" s="181"/>
      <c r="J724" s="181"/>
      <c r="K724" s="156"/>
      <c r="L724" s="549"/>
      <c r="M724" s="181"/>
      <c r="N724" s="181"/>
      <c r="O724" s="181"/>
      <c r="P724" s="156"/>
      <c r="Q724" s="562"/>
      <c r="R724" s="181"/>
      <c r="S724" s="181"/>
      <c r="T724" s="181"/>
      <c r="U724" s="179"/>
      <c r="V724" s="549"/>
      <c r="W724" s="181"/>
      <c r="X724" s="181"/>
      <c r="Y724" s="181"/>
      <c r="Z724" s="179"/>
      <c r="AA724" s="549"/>
      <c r="AB724" s="181"/>
      <c r="AC724" s="181"/>
      <c r="AD724" s="181"/>
      <c r="AE724" s="179"/>
      <c r="AF724" s="549"/>
      <c r="AG724" s="181"/>
      <c r="AH724" s="181"/>
      <c r="AI724" s="181"/>
      <c r="AJ724" s="179"/>
      <c r="AK724" s="549"/>
      <c r="AL724" s="181"/>
      <c r="AM724" s="181"/>
      <c r="AN724" s="181"/>
      <c r="AO724" s="179"/>
      <c r="AP724" s="549"/>
      <c r="AQ724" s="181"/>
      <c r="AR724" s="181"/>
      <c r="AS724" s="181"/>
      <c r="AT724" s="528"/>
      <c r="AU724" s="528"/>
      <c r="AV724" s="528"/>
      <c r="AW724" s="528"/>
      <c r="AX724" s="528"/>
      <c r="AY724" s="528"/>
      <c r="AZ724" s="528"/>
      <c r="BA724" s="528"/>
      <c r="BB724" s="528"/>
      <c r="BC724" s="528"/>
      <c r="BD724" s="528"/>
      <c r="BE724" s="528"/>
      <c r="BF724" s="528"/>
      <c r="BG724" s="528"/>
      <c r="BH724" s="528"/>
    </row>
    <row r="725">
      <c r="A725" s="179"/>
      <c r="B725" s="549"/>
      <c r="C725" s="181"/>
      <c r="D725" s="181"/>
      <c r="E725" s="181"/>
      <c r="F725" s="179"/>
      <c r="G725" s="549"/>
      <c r="H725" s="181"/>
      <c r="I725" s="181"/>
      <c r="J725" s="181"/>
      <c r="K725" s="156"/>
      <c r="L725" s="549"/>
      <c r="M725" s="181"/>
      <c r="N725" s="181"/>
      <c r="O725" s="181"/>
      <c r="P725" s="156"/>
      <c r="Q725" s="562"/>
      <c r="R725" s="181"/>
      <c r="S725" s="181"/>
      <c r="T725" s="181"/>
      <c r="U725" s="179"/>
      <c r="V725" s="549"/>
      <c r="W725" s="181"/>
      <c r="X725" s="181"/>
      <c r="Y725" s="181"/>
      <c r="Z725" s="179"/>
      <c r="AA725" s="549"/>
      <c r="AB725" s="181"/>
      <c r="AC725" s="181"/>
      <c r="AD725" s="181"/>
      <c r="AE725" s="179"/>
      <c r="AF725" s="549"/>
      <c r="AG725" s="181"/>
      <c r="AH725" s="181"/>
      <c r="AI725" s="181"/>
      <c r="AJ725" s="179"/>
      <c r="AK725" s="549"/>
      <c r="AL725" s="181"/>
      <c r="AM725" s="181"/>
      <c r="AN725" s="181"/>
      <c r="AO725" s="179"/>
      <c r="AP725" s="549"/>
      <c r="AQ725" s="181"/>
      <c r="AR725" s="181"/>
      <c r="AS725" s="181"/>
      <c r="AT725" s="528"/>
      <c r="AU725" s="528"/>
      <c r="AV725" s="528"/>
      <c r="AW725" s="528"/>
      <c r="AX725" s="528"/>
      <c r="AY725" s="528"/>
      <c r="AZ725" s="528"/>
      <c r="BA725" s="528"/>
      <c r="BB725" s="528"/>
      <c r="BC725" s="528"/>
      <c r="BD725" s="528"/>
      <c r="BE725" s="528"/>
      <c r="BF725" s="528"/>
      <c r="BG725" s="528"/>
      <c r="BH725" s="528"/>
    </row>
    <row r="726">
      <c r="A726" s="179"/>
      <c r="B726" s="549"/>
      <c r="C726" s="181"/>
      <c r="D726" s="181"/>
      <c r="E726" s="181"/>
      <c r="F726" s="179"/>
      <c r="G726" s="549"/>
      <c r="H726" s="181"/>
      <c r="I726" s="181"/>
      <c r="J726" s="181"/>
      <c r="K726" s="156"/>
      <c r="L726" s="549"/>
      <c r="M726" s="181"/>
      <c r="N726" s="181"/>
      <c r="O726" s="181"/>
      <c r="P726" s="156"/>
      <c r="Q726" s="562"/>
      <c r="R726" s="181"/>
      <c r="S726" s="181"/>
      <c r="T726" s="181"/>
      <c r="U726" s="179"/>
      <c r="V726" s="549"/>
      <c r="W726" s="181"/>
      <c r="X726" s="181"/>
      <c r="Y726" s="181"/>
      <c r="Z726" s="179"/>
      <c r="AA726" s="549"/>
      <c r="AB726" s="181"/>
      <c r="AC726" s="181"/>
      <c r="AD726" s="181"/>
      <c r="AE726" s="179"/>
      <c r="AF726" s="549"/>
      <c r="AG726" s="181"/>
      <c r="AH726" s="181"/>
      <c r="AI726" s="181"/>
      <c r="AJ726" s="179"/>
      <c r="AK726" s="549"/>
      <c r="AL726" s="181"/>
      <c r="AM726" s="181"/>
      <c r="AN726" s="181"/>
      <c r="AO726" s="179"/>
      <c r="AP726" s="549"/>
      <c r="AQ726" s="181"/>
      <c r="AR726" s="181"/>
      <c r="AS726" s="181"/>
      <c r="AT726" s="528"/>
      <c r="AU726" s="528"/>
      <c r="AV726" s="528"/>
      <c r="AW726" s="528"/>
      <c r="AX726" s="528"/>
      <c r="AY726" s="528"/>
      <c r="AZ726" s="528"/>
      <c r="BA726" s="528"/>
      <c r="BB726" s="528"/>
      <c r="BC726" s="528"/>
      <c r="BD726" s="528"/>
      <c r="BE726" s="528"/>
      <c r="BF726" s="528"/>
      <c r="BG726" s="528"/>
      <c r="BH726" s="528"/>
    </row>
    <row r="727">
      <c r="A727" s="179"/>
      <c r="B727" s="549"/>
      <c r="C727" s="181"/>
      <c r="D727" s="181"/>
      <c r="E727" s="181"/>
      <c r="F727" s="179"/>
      <c r="G727" s="549"/>
      <c r="H727" s="181"/>
      <c r="I727" s="181"/>
      <c r="J727" s="181"/>
      <c r="K727" s="156"/>
      <c r="L727" s="549"/>
      <c r="M727" s="181"/>
      <c r="N727" s="181"/>
      <c r="O727" s="181"/>
      <c r="P727" s="156"/>
      <c r="Q727" s="562"/>
      <c r="R727" s="181"/>
      <c r="S727" s="181"/>
      <c r="T727" s="181"/>
      <c r="U727" s="179"/>
      <c r="V727" s="549"/>
      <c r="W727" s="181"/>
      <c r="X727" s="181"/>
      <c r="Y727" s="181"/>
      <c r="Z727" s="179"/>
      <c r="AA727" s="549"/>
      <c r="AB727" s="181"/>
      <c r="AC727" s="181"/>
      <c r="AD727" s="181"/>
      <c r="AE727" s="179"/>
      <c r="AF727" s="549"/>
      <c r="AG727" s="181"/>
      <c r="AH727" s="181"/>
      <c r="AI727" s="181"/>
      <c r="AJ727" s="179"/>
      <c r="AK727" s="549"/>
      <c r="AL727" s="181"/>
      <c r="AM727" s="181"/>
      <c r="AN727" s="181"/>
      <c r="AO727" s="179"/>
      <c r="AP727" s="549"/>
      <c r="AQ727" s="181"/>
      <c r="AR727" s="181"/>
      <c r="AS727" s="181"/>
      <c r="AT727" s="528"/>
      <c r="AU727" s="528"/>
      <c r="AV727" s="528"/>
      <c r="AW727" s="528"/>
      <c r="AX727" s="528"/>
      <c r="AY727" s="528"/>
      <c r="AZ727" s="528"/>
      <c r="BA727" s="528"/>
      <c r="BB727" s="528"/>
      <c r="BC727" s="528"/>
      <c r="BD727" s="528"/>
      <c r="BE727" s="528"/>
      <c r="BF727" s="528"/>
      <c r="BG727" s="528"/>
      <c r="BH727" s="528"/>
    </row>
    <row r="728">
      <c r="A728" s="179"/>
      <c r="B728" s="549"/>
      <c r="C728" s="181"/>
      <c r="D728" s="181"/>
      <c r="E728" s="181"/>
      <c r="F728" s="179"/>
      <c r="G728" s="549"/>
      <c r="H728" s="181"/>
      <c r="I728" s="181"/>
      <c r="J728" s="181"/>
      <c r="K728" s="156"/>
      <c r="L728" s="549"/>
      <c r="M728" s="181"/>
      <c r="N728" s="181"/>
      <c r="O728" s="181"/>
      <c r="P728" s="156"/>
      <c r="Q728" s="562"/>
      <c r="R728" s="181"/>
      <c r="S728" s="181"/>
      <c r="T728" s="181"/>
      <c r="U728" s="179"/>
      <c r="V728" s="549"/>
      <c r="W728" s="181"/>
      <c r="X728" s="181"/>
      <c r="Y728" s="181"/>
      <c r="Z728" s="179"/>
      <c r="AA728" s="549"/>
      <c r="AB728" s="181"/>
      <c r="AC728" s="181"/>
      <c r="AD728" s="181"/>
      <c r="AE728" s="179"/>
      <c r="AF728" s="549"/>
      <c r="AG728" s="181"/>
      <c r="AH728" s="181"/>
      <c r="AI728" s="181"/>
      <c r="AJ728" s="179"/>
      <c r="AK728" s="549"/>
      <c r="AL728" s="181"/>
      <c r="AM728" s="181"/>
      <c r="AN728" s="181"/>
      <c r="AO728" s="179"/>
      <c r="AP728" s="549"/>
      <c r="AQ728" s="181"/>
      <c r="AR728" s="181"/>
      <c r="AS728" s="181"/>
      <c r="AT728" s="528"/>
      <c r="AU728" s="528"/>
      <c r="AV728" s="528"/>
      <c r="AW728" s="528"/>
      <c r="AX728" s="528"/>
      <c r="AY728" s="528"/>
      <c r="AZ728" s="528"/>
      <c r="BA728" s="528"/>
      <c r="BB728" s="528"/>
      <c r="BC728" s="528"/>
      <c r="BD728" s="528"/>
      <c r="BE728" s="528"/>
      <c r="BF728" s="528"/>
      <c r="BG728" s="528"/>
      <c r="BH728" s="528"/>
    </row>
    <row r="729">
      <c r="A729" s="179"/>
      <c r="B729" s="549"/>
      <c r="C729" s="181"/>
      <c r="D729" s="181"/>
      <c r="E729" s="181"/>
      <c r="F729" s="179"/>
      <c r="G729" s="549"/>
      <c r="H729" s="181"/>
      <c r="I729" s="181"/>
      <c r="J729" s="181"/>
      <c r="K729" s="156"/>
      <c r="L729" s="549"/>
      <c r="M729" s="181"/>
      <c r="N729" s="181"/>
      <c r="O729" s="181"/>
      <c r="P729" s="156"/>
      <c r="Q729" s="562"/>
      <c r="R729" s="181"/>
      <c r="S729" s="181"/>
      <c r="T729" s="181"/>
      <c r="U729" s="179"/>
      <c r="V729" s="549"/>
      <c r="W729" s="181"/>
      <c r="X729" s="181"/>
      <c r="Y729" s="181"/>
      <c r="Z729" s="179"/>
      <c r="AA729" s="549"/>
      <c r="AB729" s="181"/>
      <c r="AC729" s="181"/>
      <c r="AD729" s="181"/>
      <c r="AE729" s="179"/>
      <c r="AF729" s="549"/>
      <c r="AG729" s="181"/>
      <c r="AH729" s="181"/>
      <c r="AI729" s="181"/>
      <c r="AJ729" s="179"/>
      <c r="AK729" s="549"/>
      <c r="AL729" s="181"/>
      <c r="AM729" s="181"/>
      <c r="AN729" s="181"/>
      <c r="AO729" s="179"/>
      <c r="AP729" s="549"/>
      <c r="AQ729" s="181"/>
      <c r="AR729" s="181"/>
      <c r="AS729" s="181"/>
      <c r="AT729" s="528"/>
      <c r="AU729" s="528"/>
      <c r="AV729" s="528"/>
      <c r="AW729" s="528"/>
      <c r="AX729" s="528"/>
      <c r="AY729" s="528"/>
      <c r="AZ729" s="528"/>
      <c r="BA729" s="528"/>
      <c r="BB729" s="528"/>
      <c r="BC729" s="528"/>
      <c r="BD729" s="528"/>
      <c r="BE729" s="528"/>
      <c r="BF729" s="528"/>
      <c r="BG729" s="528"/>
      <c r="BH729" s="528"/>
    </row>
    <row r="730">
      <c r="A730" s="179"/>
      <c r="B730" s="549"/>
      <c r="C730" s="181"/>
      <c r="D730" s="181"/>
      <c r="E730" s="181"/>
      <c r="F730" s="179"/>
      <c r="G730" s="549"/>
      <c r="H730" s="181"/>
      <c r="I730" s="181"/>
      <c r="J730" s="181"/>
      <c r="K730" s="156"/>
      <c r="L730" s="549"/>
      <c r="M730" s="181"/>
      <c r="N730" s="181"/>
      <c r="O730" s="181"/>
      <c r="P730" s="156"/>
      <c r="Q730" s="562"/>
      <c r="R730" s="181"/>
      <c r="S730" s="181"/>
      <c r="T730" s="181"/>
      <c r="U730" s="179"/>
      <c r="V730" s="549"/>
      <c r="W730" s="181"/>
      <c r="X730" s="181"/>
      <c r="Y730" s="181"/>
      <c r="Z730" s="179"/>
      <c r="AA730" s="549"/>
      <c r="AB730" s="181"/>
      <c r="AC730" s="181"/>
      <c r="AD730" s="181"/>
      <c r="AE730" s="179"/>
      <c r="AF730" s="549"/>
      <c r="AG730" s="181"/>
      <c r="AH730" s="181"/>
      <c r="AI730" s="181"/>
      <c r="AJ730" s="179"/>
      <c r="AK730" s="549"/>
      <c r="AL730" s="181"/>
      <c r="AM730" s="181"/>
      <c r="AN730" s="181"/>
      <c r="AO730" s="179"/>
      <c r="AP730" s="549"/>
      <c r="AQ730" s="181"/>
      <c r="AR730" s="181"/>
      <c r="AS730" s="181"/>
      <c r="AT730" s="528"/>
      <c r="AU730" s="528"/>
      <c r="AV730" s="528"/>
      <c r="AW730" s="528"/>
      <c r="AX730" s="528"/>
      <c r="AY730" s="528"/>
      <c r="AZ730" s="528"/>
      <c r="BA730" s="528"/>
      <c r="BB730" s="528"/>
      <c r="BC730" s="528"/>
      <c r="BD730" s="528"/>
      <c r="BE730" s="528"/>
      <c r="BF730" s="528"/>
      <c r="BG730" s="528"/>
      <c r="BH730" s="528"/>
    </row>
    <row r="731">
      <c r="A731" s="179"/>
      <c r="B731" s="549"/>
      <c r="C731" s="181"/>
      <c r="D731" s="181"/>
      <c r="E731" s="181"/>
      <c r="F731" s="179"/>
      <c r="G731" s="549"/>
      <c r="H731" s="181"/>
      <c r="I731" s="181"/>
      <c r="J731" s="181"/>
      <c r="K731" s="156"/>
      <c r="L731" s="549"/>
      <c r="M731" s="181"/>
      <c r="N731" s="181"/>
      <c r="O731" s="181"/>
      <c r="P731" s="156"/>
      <c r="Q731" s="562"/>
      <c r="R731" s="181"/>
      <c r="S731" s="181"/>
      <c r="T731" s="181"/>
      <c r="U731" s="179"/>
      <c r="V731" s="549"/>
      <c r="W731" s="181"/>
      <c r="X731" s="181"/>
      <c r="Y731" s="181"/>
      <c r="Z731" s="179"/>
      <c r="AA731" s="549"/>
      <c r="AB731" s="181"/>
      <c r="AC731" s="181"/>
      <c r="AD731" s="181"/>
      <c r="AE731" s="179"/>
      <c r="AF731" s="549"/>
      <c r="AG731" s="181"/>
      <c r="AH731" s="181"/>
      <c r="AI731" s="181"/>
      <c r="AJ731" s="179"/>
      <c r="AK731" s="549"/>
      <c r="AL731" s="181"/>
      <c r="AM731" s="181"/>
      <c r="AN731" s="181"/>
      <c r="AO731" s="179"/>
      <c r="AP731" s="549"/>
      <c r="AQ731" s="181"/>
      <c r="AR731" s="181"/>
      <c r="AS731" s="181"/>
      <c r="AT731" s="528"/>
      <c r="AU731" s="528"/>
      <c r="AV731" s="528"/>
      <c r="AW731" s="528"/>
      <c r="AX731" s="528"/>
      <c r="AY731" s="528"/>
      <c r="AZ731" s="528"/>
      <c r="BA731" s="528"/>
      <c r="BB731" s="528"/>
      <c r="BC731" s="528"/>
      <c r="BD731" s="528"/>
      <c r="BE731" s="528"/>
      <c r="BF731" s="528"/>
      <c r="BG731" s="528"/>
      <c r="BH731" s="528"/>
    </row>
    <row r="732">
      <c r="A732" s="179"/>
      <c r="B732" s="549"/>
      <c r="C732" s="181"/>
      <c r="D732" s="181"/>
      <c r="E732" s="181"/>
      <c r="F732" s="179"/>
      <c r="G732" s="549"/>
      <c r="H732" s="181"/>
      <c r="I732" s="181"/>
      <c r="J732" s="181"/>
      <c r="K732" s="156"/>
      <c r="L732" s="549"/>
      <c r="M732" s="181"/>
      <c r="N732" s="181"/>
      <c r="O732" s="181"/>
      <c r="P732" s="156"/>
      <c r="Q732" s="562"/>
      <c r="R732" s="181"/>
      <c r="S732" s="181"/>
      <c r="T732" s="181"/>
      <c r="U732" s="179"/>
      <c r="V732" s="549"/>
      <c r="W732" s="181"/>
      <c r="X732" s="181"/>
      <c r="Y732" s="181"/>
      <c r="Z732" s="179"/>
      <c r="AA732" s="549"/>
      <c r="AB732" s="181"/>
      <c r="AC732" s="181"/>
      <c r="AD732" s="181"/>
      <c r="AE732" s="179"/>
      <c r="AF732" s="549"/>
      <c r="AG732" s="181"/>
      <c r="AH732" s="181"/>
      <c r="AI732" s="181"/>
      <c r="AJ732" s="179"/>
      <c r="AK732" s="549"/>
      <c r="AL732" s="181"/>
      <c r="AM732" s="181"/>
      <c r="AN732" s="181"/>
      <c r="AO732" s="179"/>
      <c r="AP732" s="549"/>
      <c r="AQ732" s="181"/>
      <c r="AR732" s="181"/>
      <c r="AS732" s="181"/>
      <c r="AT732" s="528"/>
      <c r="AU732" s="528"/>
      <c r="AV732" s="528"/>
      <c r="AW732" s="528"/>
      <c r="AX732" s="528"/>
      <c r="AY732" s="528"/>
      <c r="AZ732" s="528"/>
      <c r="BA732" s="528"/>
      <c r="BB732" s="528"/>
      <c r="BC732" s="528"/>
      <c r="BD732" s="528"/>
      <c r="BE732" s="528"/>
      <c r="BF732" s="528"/>
      <c r="BG732" s="528"/>
      <c r="BH732" s="528"/>
    </row>
    <row r="733">
      <c r="A733" s="179"/>
      <c r="B733" s="549"/>
      <c r="C733" s="181"/>
      <c r="D733" s="181"/>
      <c r="E733" s="181"/>
      <c r="F733" s="179"/>
      <c r="G733" s="549"/>
      <c r="H733" s="181"/>
      <c r="I733" s="181"/>
      <c r="J733" s="181"/>
      <c r="K733" s="156"/>
      <c r="L733" s="549"/>
      <c r="M733" s="181"/>
      <c r="N733" s="181"/>
      <c r="O733" s="181"/>
      <c r="P733" s="156"/>
      <c r="Q733" s="562"/>
      <c r="R733" s="181"/>
      <c r="S733" s="181"/>
      <c r="T733" s="181"/>
      <c r="U733" s="179"/>
      <c r="V733" s="549"/>
      <c r="W733" s="181"/>
      <c r="X733" s="181"/>
      <c r="Y733" s="181"/>
      <c r="Z733" s="179"/>
      <c r="AA733" s="549"/>
      <c r="AB733" s="181"/>
      <c r="AC733" s="181"/>
      <c r="AD733" s="181"/>
      <c r="AE733" s="179"/>
      <c r="AF733" s="549"/>
      <c r="AG733" s="181"/>
      <c r="AH733" s="181"/>
      <c r="AI733" s="181"/>
      <c r="AJ733" s="179"/>
      <c r="AK733" s="549"/>
      <c r="AL733" s="181"/>
      <c r="AM733" s="181"/>
      <c r="AN733" s="181"/>
      <c r="AO733" s="179"/>
      <c r="AP733" s="549"/>
      <c r="AQ733" s="181"/>
      <c r="AR733" s="181"/>
      <c r="AS733" s="181"/>
      <c r="AT733" s="528"/>
      <c r="AU733" s="528"/>
      <c r="AV733" s="528"/>
      <c r="AW733" s="528"/>
      <c r="AX733" s="528"/>
      <c r="AY733" s="528"/>
      <c r="AZ733" s="528"/>
      <c r="BA733" s="528"/>
      <c r="BB733" s="528"/>
      <c r="BC733" s="528"/>
      <c r="BD733" s="528"/>
      <c r="BE733" s="528"/>
      <c r="BF733" s="528"/>
      <c r="BG733" s="528"/>
      <c r="BH733" s="528"/>
    </row>
    <row r="734">
      <c r="A734" s="179"/>
      <c r="B734" s="549"/>
      <c r="C734" s="181"/>
      <c r="D734" s="181"/>
      <c r="E734" s="181"/>
      <c r="F734" s="179"/>
      <c r="G734" s="549"/>
      <c r="H734" s="181"/>
      <c r="I734" s="181"/>
      <c r="J734" s="181"/>
      <c r="K734" s="156"/>
      <c r="L734" s="549"/>
      <c r="M734" s="181"/>
      <c r="N734" s="181"/>
      <c r="O734" s="181"/>
      <c r="P734" s="156"/>
      <c r="Q734" s="562"/>
      <c r="R734" s="181"/>
      <c r="S734" s="181"/>
      <c r="T734" s="181"/>
      <c r="U734" s="179"/>
      <c r="V734" s="549"/>
      <c r="W734" s="181"/>
      <c r="X734" s="181"/>
      <c r="Y734" s="181"/>
      <c r="Z734" s="179"/>
      <c r="AA734" s="549"/>
      <c r="AB734" s="181"/>
      <c r="AC734" s="181"/>
      <c r="AD734" s="181"/>
      <c r="AE734" s="179"/>
      <c r="AF734" s="549"/>
      <c r="AG734" s="181"/>
      <c r="AH734" s="181"/>
      <c r="AI734" s="181"/>
      <c r="AJ734" s="179"/>
      <c r="AK734" s="549"/>
      <c r="AL734" s="181"/>
      <c r="AM734" s="181"/>
      <c r="AN734" s="181"/>
      <c r="AO734" s="179"/>
      <c r="AP734" s="549"/>
      <c r="AQ734" s="181"/>
      <c r="AR734" s="181"/>
      <c r="AS734" s="181"/>
      <c r="AT734" s="528"/>
      <c r="AU734" s="528"/>
      <c r="AV734" s="528"/>
      <c r="AW734" s="528"/>
      <c r="AX734" s="528"/>
      <c r="AY734" s="528"/>
      <c r="AZ734" s="528"/>
      <c r="BA734" s="528"/>
      <c r="BB734" s="528"/>
      <c r="BC734" s="528"/>
      <c r="BD734" s="528"/>
      <c r="BE734" s="528"/>
      <c r="BF734" s="528"/>
      <c r="BG734" s="528"/>
      <c r="BH734" s="528"/>
    </row>
    <row r="735">
      <c r="A735" s="179"/>
      <c r="B735" s="549"/>
      <c r="C735" s="181"/>
      <c r="D735" s="181"/>
      <c r="E735" s="181"/>
      <c r="F735" s="179"/>
      <c r="G735" s="549"/>
      <c r="H735" s="181"/>
      <c r="I735" s="181"/>
      <c r="J735" s="181"/>
      <c r="K735" s="156"/>
      <c r="L735" s="549"/>
      <c r="M735" s="181"/>
      <c r="N735" s="181"/>
      <c r="O735" s="181"/>
      <c r="P735" s="156"/>
      <c r="Q735" s="562"/>
      <c r="R735" s="181"/>
      <c r="S735" s="181"/>
      <c r="T735" s="181"/>
      <c r="U735" s="179"/>
      <c r="V735" s="549"/>
      <c r="W735" s="181"/>
      <c r="X735" s="181"/>
      <c r="Y735" s="181"/>
      <c r="Z735" s="179"/>
      <c r="AA735" s="549"/>
      <c r="AB735" s="181"/>
      <c r="AC735" s="181"/>
      <c r="AD735" s="181"/>
      <c r="AE735" s="179"/>
      <c r="AF735" s="549"/>
      <c r="AG735" s="181"/>
      <c r="AH735" s="181"/>
      <c r="AI735" s="181"/>
      <c r="AJ735" s="179"/>
      <c r="AK735" s="549"/>
      <c r="AL735" s="181"/>
      <c r="AM735" s="181"/>
      <c r="AN735" s="181"/>
      <c r="AO735" s="179"/>
      <c r="AP735" s="549"/>
      <c r="AQ735" s="181"/>
      <c r="AR735" s="181"/>
      <c r="AS735" s="181"/>
      <c r="AT735" s="528"/>
      <c r="AU735" s="528"/>
      <c r="AV735" s="528"/>
      <c r="AW735" s="528"/>
      <c r="AX735" s="528"/>
      <c r="AY735" s="528"/>
      <c r="AZ735" s="528"/>
      <c r="BA735" s="528"/>
      <c r="BB735" s="528"/>
      <c r="BC735" s="528"/>
      <c r="BD735" s="528"/>
      <c r="BE735" s="528"/>
      <c r="BF735" s="528"/>
      <c r="BG735" s="528"/>
      <c r="BH735" s="528"/>
    </row>
    <row r="736">
      <c r="A736" s="179"/>
      <c r="B736" s="549"/>
      <c r="C736" s="181"/>
      <c r="D736" s="181"/>
      <c r="E736" s="181"/>
      <c r="F736" s="179"/>
      <c r="G736" s="549"/>
      <c r="H736" s="181"/>
      <c r="I736" s="181"/>
      <c r="J736" s="181"/>
      <c r="K736" s="156"/>
      <c r="L736" s="549"/>
      <c r="M736" s="181"/>
      <c r="N736" s="181"/>
      <c r="O736" s="181"/>
      <c r="P736" s="156"/>
      <c r="Q736" s="562"/>
      <c r="R736" s="181"/>
      <c r="S736" s="181"/>
      <c r="T736" s="181"/>
      <c r="U736" s="179"/>
      <c r="V736" s="549"/>
      <c r="W736" s="181"/>
      <c r="X736" s="181"/>
      <c r="Y736" s="181"/>
      <c r="Z736" s="179"/>
      <c r="AA736" s="549"/>
      <c r="AB736" s="181"/>
      <c r="AC736" s="181"/>
      <c r="AD736" s="181"/>
      <c r="AE736" s="179"/>
      <c r="AF736" s="549"/>
      <c r="AG736" s="181"/>
      <c r="AH736" s="181"/>
      <c r="AI736" s="181"/>
      <c r="AJ736" s="179"/>
      <c r="AK736" s="549"/>
      <c r="AL736" s="181"/>
      <c r="AM736" s="181"/>
      <c r="AN736" s="181"/>
      <c r="AO736" s="179"/>
      <c r="AP736" s="549"/>
      <c r="AQ736" s="181"/>
      <c r="AR736" s="181"/>
      <c r="AS736" s="181"/>
      <c r="AT736" s="528"/>
      <c r="AU736" s="528"/>
      <c r="AV736" s="528"/>
      <c r="AW736" s="528"/>
      <c r="AX736" s="528"/>
      <c r="AY736" s="528"/>
      <c r="AZ736" s="528"/>
      <c r="BA736" s="528"/>
      <c r="BB736" s="528"/>
      <c r="BC736" s="528"/>
      <c r="BD736" s="528"/>
      <c r="BE736" s="528"/>
      <c r="BF736" s="528"/>
      <c r="BG736" s="528"/>
      <c r="BH736" s="528"/>
    </row>
    <row r="737">
      <c r="A737" s="179"/>
      <c r="B737" s="549"/>
      <c r="C737" s="181"/>
      <c r="D737" s="181"/>
      <c r="E737" s="181"/>
      <c r="F737" s="179"/>
      <c r="G737" s="549"/>
      <c r="H737" s="181"/>
      <c r="I737" s="181"/>
      <c r="J737" s="181"/>
      <c r="K737" s="156"/>
      <c r="L737" s="549"/>
      <c r="M737" s="181"/>
      <c r="N737" s="181"/>
      <c r="O737" s="181"/>
      <c r="P737" s="156"/>
      <c r="Q737" s="562"/>
      <c r="R737" s="181"/>
      <c r="S737" s="181"/>
      <c r="T737" s="181"/>
      <c r="U737" s="179"/>
      <c r="V737" s="549"/>
      <c r="W737" s="181"/>
      <c r="X737" s="181"/>
      <c r="Y737" s="181"/>
      <c r="Z737" s="179"/>
      <c r="AA737" s="549"/>
      <c r="AB737" s="181"/>
      <c r="AC737" s="181"/>
      <c r="AD737" s="181"/>
      <c r="AE737" s="179"/>
      <c r="AF737" s="549"/>
      <c r="AG737" s="181"/>
      <c r="AH737" s="181"/>
      <c r="AI737" s="181"/>
      <c r="AJ737" s="179"/>
      <c r="AK737" s="549"/>
      <c r="AL737" s="181"/>
      <c r="AM737" s="181"/>
      <c r="AN737" s="181"/>
      <c r="AO737" s="179"/>
      <c r="AP737" s="549"/>
      <c r="AQ737" s="181"/>
      <c r="AR737" s="181"/>
      <c r="AS737" s="181"/>
      <c r="AT737" s="528"/>
      <c r="AU737" s="528"/>
      <c r="AV737" s="528"/>
      <c r="AW737" s="528"/>
      <c r="AX737" s="528"/>
      <c r="AY737" s="528"/>
      <c r="AZ737" s="528"/>
      <c r="BA737" s="528"/>
      <c r="BB737" s="528"/>
      <c r="BC737" s="528"/>
      <c r="BD737" s="528"/>
      <c r="BE737" s="528"/>
      <c r="BF737" s="528"/>
      <c r="BG737" s="528"/>
      <c r="BH737" s="528"/>
    </row>
    <row r="738">
      <c r="A738" s="179"/>
      <c r="B738" s="549"/>
      <c r="C738" s="181"/>
      <c r="D738" s="181"/>
      <c r="E738" s="181"/>
      <c r="F738" s="179"/>
      <c r="G738" s="549"/>
      <c r="H738" s="181"/>
      <c r="I738" s="181"/>
      <c r="J738" s="181"/>
      <c r="K738" s="156"/>
      <c r="L738" s="549"/>
      <c r="M738" s="181"/>
      <c r="N738" s="181"/>
      <c r="O738" s="181"/>
      <c r="P738" s="156"/>
      <c r="Q738" s="562"/>
      <c r="R738" s="181"/>
      <c r="S738" s="181"/>
      <c r="T738" s="181"/>
      <c r="U738" s="179"/>
      <c r="V738" s="549"/>
      <c r="W738" s="181"/>
      <c r="X738" s="181"/>
      <c r="Y738" s="181"/>
      <c r="Z738" s="179"/>
      <c r="AA738" s="549"/>
      <c r="AB738" s="181"/>
      <c r="AC738" s="181"/>
      <c r="AD738" s="181"/>
      <c r="AE738" s="179"/>
      <c r="AF738" s="549"/>
      <c r="AG738" s="181"/>
      <c r="AH738" s="181"/>
      <c r="AI738" s="181"/>
      <c r="AJ738" s="179"/>
      <c r="AK738" s="549"/>
      <c r="AL738" s="181"/>
      <c r="AM738" s="181"/>
      <c r="AN738" s="181"/>
      <c r="AO738" s="179"/>
      <c r="AP738" s="549"/>
      <c r="AQ738" s="181"/>
      <c r="AR738" s="181"/>
      <c r="AS738" s="181"/>
      <c r="AT738" s="528"/>
      <c r="AU738" s="528"/>
      <c r="AV738" s="528"/>
      <c r="AW738" s="528"/>
      <c r="AX738" s="528"/>
      <c r="AY738" s="528"/>
      <c r="AZ738" s="528"/>
      <c r="BA738" s="528"/>
      <c r="BB738" s="528"/>
      <c r="BC738" s="528"/>
      <c r="BD738" s="528"/>
      <c r="BE738" s="528"/>
      <c r="BF738" s="528"/>
      <c r="BG738" s="528"/>
      <c r="BH738" s="528"/>
    </row>
    <row r="739">
      <c r="A739" s="179"/>
      <c r="B739" s="549"/>
      <c r="C739" s="181"/>
      <c r="D739" s="181"/>
      <c r="E739" s="181"/>
      <c r="F739" s="179"/>
      <c r="G739" s="549"/>
      <c r="H739" s="181"/>
      <c r="I739" s="181"/>
      <c r="J739" s="181"/>
      <c r="K739" s="156"/>
      <c r="L739" s="549"/>
      <c r="M739" s="181"/>
      <c r="N739" s="181"/>
      <c r="O739" s="181"/>
      <c r="P739" s="156"/>
      <c r="Q739" s="562"/>
      <c r="R739" s="181"/>
      <c r="S739" s="181"/>
      <c r="T739" s="181"/>
      <c r="U739" s="179"/>
      <c r="V739" s="549"/>
      <c r="W739" s="181"/>
      <c r="X739" s="181"/>
      <c r="Y739" s="181"/>
      <c r="Z739" s="179"/>
      <c r="AA739" s="549"/>
      <c r="AB739" s="181"/>
      <c r="AC739" s="181"/>
      <c r="AD739" s="181"/>
      <c r="AE739" s="179"/>
      <c r="AF739" s="549"/>
      <c r="AG739" s="181"/>
      <c r="AH739" s="181"/>
      <c r="AI739" s="181"/>
      <c r="AJ739" s="179"/>
      <c r="AK739" s="549"/>
      <c r="AL739" s="181"/>
      <c r="AM739" s="181"/>
      <c r="AN739" s="181"/>
      <c r="AO739" s="179"/>
      <c r="AP739" s="549"/>
      <c r="AQ739" s="181"/>
      <c r="AR739" s="181"/>
      <c r="AS739" s="181"/>
      <c r="AT739" s="528"/>
      <c r="AU739" s="528"/>
      <c r="AV739" s="528"/>
      <c r="AW739" s="528"/>
      <c r="AX739" s="528"/>
      <c r="AY739" s="528"/>
      <c r="AZ739" s="528"/>
      <c r="BA739" s="528"/>
      <c r="BB739" s="528"/>
      <c r="BC739" s="528"/>
      <c r="BD739" s="528"/>
      <c r="BE739" s="528"/>
      <c r="BF739" s="528"/>
      <c r="BG739" s="528"/>
      <c r="BH739" s="528"/>
    </row>
    <row r="740">
      <c r="A740" s="179"/>
      <c r="B740" s="549"/>
      <c r="C740" s="181"/>
      <c r="D740" s="181"/>
      <c r="E740" s="181"/>
      <c r="F740" s="179"/>
      <c r="G740" s="549"/>
      <c r="H740" s="181"/>
      <c r="I740" s="181"/>
      <c r="J740" s="181"/>
      <c r="K740" s="156"/>
      <c r="L740" s="549"/>
      <c r="M740" s="181"/>
      <c r="N740" s="181"/>
      <c r="O740" s="181"/>
      <c r="P740" s="156"/>
      <c r="Q740" s="562"/>
      <c r="R740" s="181"/>
      <c r="S740" s="181"/>
      <c r="T740" s="181"/>
      <c r="U740" s="179"/>
      <c r="V740" s="549"/>
      <c r="W740" s="181"/>
      <c r="X740" s="181"/>
      <c r="Y740" s="181"/>
      <c r="Z740" s="179"/>
      <c r="AA740" s="549"/>
      <c r="AB740" s="181"/>
      <c r="AC740" s="181"/>
      <c r="AD740" s="181"/>
      <c r="AE740" s="179"/>
      <c r="AF740" s="549"/>
      <c r="AG740" s="181"/>
      <c r="AH740" s="181"/>
      <c r="AI740" s="181"/>
      <c r="AJ740" s="179"/>
      <c r="AK740" s="549"/>
      <c r="AL740" s="181"/>
      <c r="AM740" s="181"/>
      <c r="AN740" s="181"/>
      <c r="AO740" s="179"/>
      <c r="AP740" s="549"/>
      <c r="AQ740" s="181"/>
      <c r="AR740" s="181"/>
      <c r="AS740" s="181"/>
      <c r="AT740" s="528"/>
      <c r="AU740" s="528"/>
      <c r="AV740" s="528"/>
      <c r="AW740" s="528"/>
      <c r="AX740" s="528"/>
      <c r="AY740" s="528"/>
      <c r="AZ740" s="528"/>
      <c r="BA740" s="528"/>
      <c r="BB740" s="528"/>
      <c r="BC740" s="528"/>
      <c r="BD740" s="528"/>
      <c r="BE740" s="528"/>
      <c r="BF740" s="528"/>
      <c r="BG740" s="528"/>
      <c r="BH740" s="528"/>
    </row>
    <row r="741">
      <c r="A741" s="179"/>
      <c r="B741" s="549"/>
      <c r="C741" s="181"/>
      <c r="D741" s="181"/>
      <c r="E741" s="181"/>
      <c r="F741" s="179"/>
      <c r="G741" s="549"/>
      <c r="H741" s="181"/>
      <c r="I741" s="181"/>
      <c r="J741" s="181"/>
      <c r="K741" s="156"/>
      <c r="L741" s="549"/>
      <c r="M741" s="181"/>
      <c r="N741" s="181"/>
      <c r="O741" s="181"/>
      <c r="P741" s="156"/>
      <c r="Q741" s="562"/>
      <c r="R741" s="181"/>
      <c r="S741" s="181"/>
      <c r="T741" s="181"/>
      <c r="U741" s="179"/>
      <c r="V741" s="549"/>
      <c r="W741" s="181"/>
      <c r="X741" s="181"/>
      <c r="Y741" s="181"/>
      <c r="Z741" s="179"/>
      <c r="AA741" s="549"/>
      <c r="AB741" s="181"/>
      <c r="AC741" s="181"/>
      <c r="AD741" s="181"/>
      <c r="AE741" s="179"/>
      <c r="AF741" s="549"/>
      <c r="AG741" s="181"/>
      <c r="AH741" s="181"/>
      <c r="AI741" s="181"/>
      <c r="AJ741" s="179"/>
      <c r="AK741" s="549"/>
      <c r="AL741" s="181"/>
      <c r="AM741" s="181"/>
      <c r="AN741" s="181"/>
      <c r="AO741" s="179"/>
      <c r="AP741" s="549"/>
      <c r="AQ741" s="181"/>
      <c r="AR741" s="181"/>
      <c r="AS741" s="181"/>
      <c r="AT741" s="528"/>
      <c r="AU741" s="528"/>
      <c r="AV741" s="528"/>
      <c r="AW741" s="528"/>
      <c r="AX741" s="528"/>
      <c r="AY741" s="528"/>
      <c r="AZ741" s="528"/>
      <c r="BA741" s="528"/>
      <c r="BB741" s="528"/>
      <c r="BC741" s="528"/>
      <c r="BD741" s="528"/>
      <c r="BE741" s="528"/>
      <c r="BF741" s="528"/>
      <c r="BG741" s="528"/>
      <c r="BH741" s="528"/>
    </row>
    <row r="742">
      <c r="A742" s="179"/>
      <c r="B742" s="549"/>
      <c r="C742" s="181"/>
      <c r="D742" s="181"/>
      <c r="E742" s="181"/>
      <c r="F742" s="179"/>
      <c r="G742" s="549"/>
      <c r="H742" s="181"/>
      <c r="I742" s="181"/>
      <c r="J742" s="181"/>
      <c r="K742" s="156"/>
      <c r="L742" s="549"/>
      <c r="M742" s="181"/>
      <c r="N742" s="181"/>
      <c r="O742" s="181"/>
      <c r="P742" s="156"/>
      <c r="Q742" s="562"/>
      <c r="R742" s="181"/>
      <c r="S742" s="181"/>
      <c r="T742" s="181"/>
      <c r="U742" s="179"/>
      <c r="V742" s="549"/>
      <c r="W742" s="181"/>
      <c r="X742" s="181"/>
      <c r="Y742" s="181"/>
      <c r="Z742" s="179"/>
      <c r="AA742" s="549"/>
      <c r="AB742" s="181"/>
      <c r="AC742" s="181"/>
      <c r="AD742" s="181"/>
      <c r="AE742" s="179"/>
      <c r="AF742" s="549"/>
      <c r="AG742" s="181"/>
      <c r="AH742" s="181"/>
      <c r="AI742" s="181"/>
      <c r="AJ742" s="179"/>
      <c r="AK742" s="549"/>
      <c r="AL742" s="181"/>
      <c r="AM742" s="181"/>
      <c r="AN742" s="181"/>
      <c r="AO742" s="179"/>
      <c r="AP742" s="549"/>
      <c r="AQ742" s="181"/>
      <c r="AR742" s="181"/>
      <c r="AS742" s="181"/>
      <c r="AT742" s="528"/>
      <c r="AU742" s="528"/>
      <c r="AV742" s="528"/>
      <c r="AW742" s="528"/>
      <c r="AX742" s="528"/>
      <c r="AY742" s="528"/>
      <c r="AZ742" s="528"/>
      <c r="BA742" s="528"/>
      <c r="BB742" s="528"/>
      <c r="BC742" s="528"/>
      <c r="BD742" s="528"/>
      <c r="BE742" s="528"/>
      <c r="BF742" s="528"/>
      <c r="BG742" s="528"/>
      <c r="BH742" s="528"/>
    </row>
    <row r="743">
      <c r="A743" s="179"/>
      <c r="B743" s="549"/>
      <c r="C743" s="181"/>
      <c r="D743" s="181"/>
      <c r="E743" s="181"/>
      <c r="F743" s="179"/>
      <c r="G743" s="549"/>
      <c r="H743" s="181"/>
      <c r="I743" s="181"/>
      <c r="J743" s="181"/>
      <c r="K743" s="156"/>
      <c r="L743" s="549"/>
      <c r="M743" s="181"/>
      <c r="N743" s="181"/>
      <c r="O743" s="181"/>
      <c r="P743" s="156"/>
      <c r="Q743" s="562"/>
      <c r="R743" s="181"/>
      <c r="S743" s="181"/>
      <c r="T743" s="181"/>
      <c r="U743" s="179"/>
      <c r="V743" s="549"/>
      <c r="W743" s="181"/>
      <c r="X743" s="181"/>
      <c r="Y743" s="181"/>
      <c r="Z743" s="179"/>
      <c r="AA743" s="549"/>
      <c r="AB743" s="181"/>
      <c r="AC743" s="181"/>
      <c r="AD743" s="181"/>
      <c r="AE743" s="179"/>
      <c r="AF743" s="549"/>
      <c r="AG743" s="181"/>
      <c r="AH743" s="181"/>
      <c r="AI743" s="181"/>
      <c r="AJ743" s="179"/>
      <c r="AK743" s="549"/>
      <c r="AL743" s="181"/>
      <c r="AM743" s="181"/>
      <c r="AN743" s="181"/>
      <c r="AO743" s="179"/>
      <c r="AP743" s="549"/>
      <c r="AQ743" s="181"/>
      <c r="AR743" s="181"/>
      <c r="AS743" s="181"/>
      <c r="AT743" s="528"/>
      <c r="AU743" s="528"/>
      <c r="AV743" s="528"/>
      <c r="AW743" s="528"/>
      <c r="AX743" s="528"/>
      <c r="AY743" s="528"/>
      <c r="AZ743" s="528"/>
      <c r="BA743" s="528"/>
      <c r="BB743" s="528"/>
      <c r="BC743" s="528"/>
      <c r="BD743" s="528"/>
      <c r="BE743" s="528"/>
      <c r="BF743" s="528"/>
      <c r="BG743" s="528"/>
      <c r="BH743" s="528"/>
    </row>
    <row r="744">
      <c r="A744" s="179"/>
      <c r="B744" s="549"/>
      <c r="C744" s="181"/>
      <c r="D744" s="181"/>
      <c r="E744" s="181"/>
      <c r="F744" s="179"/>
      <c r="G744" s="549"/>
      <c r="H744" s="181"/>
      <c r="I744" s="181"/>
      <c r="J744" s="181"/>
      <c r="K744" s="156"/>
      <c r="L744" s="549"/>
      <c r="M744" s="181"/>
      <c r="N744" s="181"/>
      <c r="O744" s="181"/>
      <c r="P744" s="156"/>
      <c r="Q744" s="562"/>
      <c r="R744" s="181"/>
      <c r="S744" s="181"/>
      <c r="T744" s="181"/>
      <c r="U744" s="179"/>
      <c r="V744" s="549"/>
      <c r="W744" s="181"/>
      <c r="X744" s="181"/>
      <c r="Y744" s="181"/>
      <c r="Z744" s="179"/>
      <c r="AA744" s="549"/>
      <c r="AB744" s="181"/>
      <c r="AC744" s="181"/>
      <c r="AD744" s="181"/>
      <c r="AE744" s="179"/>
      <c r="AF744" s="549"/>
      <c r="AG744" s="181"/>
      <c r="AH744" s="181"/>
      <c r="AI744" s="181"/>
      <c r="AJ744" s="179"/>
      <c r="AK744" s="549"/>
      <c r="AL744" s="181"/>
      <c r="AM744" s="181"/>
      <c r="AN744" s="181"/>
      <c r="AO744" s="179"/>
      <c r="AP744" s="549"/>
      <c r="AQ744" s="181"/>
      <c r="AR744" s="181"/>
      <c r="AS744" s="181"/>
      <c r="AT744" s="528"/>
      <c r="AU744" s="528"/>
      <c r="AV744" s="528"/>
      <c r="AW744" s="528"/>
      <c r="AX744" s="528"/>
      <c r="AY744" s="528"/>
      <c r="AZ744" s="528"/>
      <c r="BA744" s="528"/>
      <c r="BB744" s="528"/>
      <c r="BC744" s="528"/>
      <c r="BD744" s="528"/>
      <c r="BE744" s="528"/>
      <c r="BF744" s="528"/>
      <c r="BG744" s="528"/>
      <c r="BH744" s="528"/>
    </row>
    <row r="745">
      <c r="A745" s="179"/>
      <c r="B745" s="549"/>
      <c r="C745" s="181"/>
      <c r="D745" s="181"/>
      <c r="E745" s="181"/>
      <c r="F745" s="179"/>
      <c r="G745" s="549"/>
      <c r="H745" s="181"/>
      <c r="I745" s="181"/>
      <c r="J745" s="181"/>
      <c r="K745" s="156"/>
      <c r="L745" s="549"/>
      <c r="M745" s="181"/>
      <c r="N745" s="181"/>
      <c r="O745" s="181"/>
      <c r="P745" s="156"/>
      <c r="Q745" s="562"/>
      <c r="R745" s="181"/>
      <c r="S745" s="181"/>
      <c r="T745" s="181"/>
      <c r="U745" s="179"/>
      <c r="V745" s="549"/>
      <c r="W745" s="181"/>
      <c r="X745" s="181"/>
      <c r="Y745" s="181"/>
      <c r="Z745" s="179"/>
      <c r="AA745" s="549"/>
      <c r="AB745" s="181"/>
      <c r="AC745" s="181"/>
      <c r="AD745" s="181"/>
      <c r="AE745" s="179"/>
      <c r="AF745" s="549"/>
      <c r="AG745" s="181"/>
      <c r="AH745" s="181"/>
      <c r="AI745" s="181"/>
      <c r="AJ745" s="179"/>
      <c r="AK745" s="549"/>
      <c r="AL745" s="181"/>
      <c r="AM745" s="181"/>
      <c r="AN745" s="181"/>
      <c r="AO745" s="179"/>
      <c r="AP745" s="549"/>
      <c r="AQ745" s="181"/>
      <c r="AR745" s="181"/>
      <c r="AS745" s="181"/>
      <c r="AT745" s="528"/>
      <c r="AU745" s="528"/>
      <c r="AV745" s="528"/>
      <c r="AW745" s="528"/>
      <c r="AX745" s="528"/>
      <c r="AY745" s="528"/>
      <c r="AZ745" s="528"/>
      <c r="BA745" s="528"/>
      <c r="BB745" s="528"/>
      <c r="BC745" s="528"/>
      <c r="BD745" s="528"/>
      <c r="BE745" s="528"/>
      <c r="BF745" s="528"/>
      <c r="BG745" s="528"/>
      <c r="BH745" s="528"/>
    </row>
    <row r="746">
      <c r="A746" s="179"/>
      <c r="B746" s="549"/>
      <c r="C746" s="181"/>
      <c r="D746" s="181"/>
      <c r="E746" s="181"/>
      <c r="F746" s="179"/>
      <c r="G746" s="549"/>
      <c r="H746" s="181"/>
      <c r="I746" s="181"/>
      <c r="J746" s="181"/>
      <c r="K746" s="156"/>
      <c r="L746" s="549"/>
      <c r="M746" s="181"/>
      <c r="N746" s="181"/>
      <c r="O746" s="181"/>
      <c r="P746" s="156"/>
      <c r="Q746" s="562"/>
      <c r="R746" s="181"/>
      <c r="S746" s="181"/>
      <c r="T746" s="181"/>
      <c r="U746" s="179"/>
      <c r="V746" s="549"/>
      <c r="W746" s="181"/>
      <c r="X746" s="181"/>
      <c r="Y746" s="181"/>
      <c r="Z746" s="179"/>
      <c r="AA746" s="549"/>
      <c r="AB746" s="181"/>
      <c r="AC746" s="181"/>
      <c r="AD746" s="181"/>
      <c r="AE746" s="179"/>
      <c r="AF746" s="549"/>
      <c r="AG746" s="181"/>
      <c r="AH746" s="181"/>
      <c r="AI746" s="181"/>
      <c r="AJ746" s="179"/>
      <c r="AK746" s="549"/>
      <c r="AL746" s="181"/>
      <c r="AM746" s="181"/>
      <c r="AN746" s="181"/>
      <c r="AO746" s="179"/>
      <c r="AP746" s="549"/>
      <c r="AQ746" s="181"/>
      <c r="AR746" s="181"/>
      <c r="AS746" s="181"/>
      <c r="AT746" s="528"/>
      <c r="AU746" s="528"/>
      <c r="AV746" s="528"/>
      <c r="AW746" s="528"/>
      <c r="AX746" s="528"/>
      <c r="AY746" s="528"/>
      <c r="AZ746" s="528"/>
      <c r="BA746" s="528"/>
      <c r="BB746" s="528"/>
      <c r="BC746" s="528"/>
      <c r="BD746" s="528"/>
      <c r="BE746" s="528"/>
      <c r="BF746" s="528"/>
      <c r="BG746" s="528"/>
      <c r="BH746" s="528"/>
    </row>
    <row r="747">
      <c r="A747" s="179"/>
      <c r="B747" s="549"/>
      <c r="C747" s="181"/>
      <c r="D747" s="181"/>
      <c r="E747" s="181"/>
      <c r="F747" s="179"/>
      <c r="G747" s="549"/>
      <c r="H747" s="181"/>
      <c r="I747" s="181"/>
      <c r="J747" s="181"/>
      <c r="K747" s="156"/>
      <c r="L747" s="549"/>
      <c r="M747" s="181"/>
      <c r="N747" s="181"/>
      <c r="O747" s="181"/>
      <c r="P747" s="156"/>
      <c r="Q747" s="562"/>
      <c r="R747" s="181"/>
      <c r="S747" s="181"/>
      <c r="T747" s="181"/>
      <c r="U747" s="179"/>
      <c r="V747" s="549"/>
      <c r="W747" s="181"/>
      <c r="X747" s="181"/>
      <c r="Y747" s="181"/>
      <c r="Z747" s="179"/>
      <c r="AA747" s="549"/>
      <c r="AB747" s="181"/>
      <c r="AC747" s="181"/>
      <c r="AD747" s="181"/>
      <c r="AE747" s="179"/>
      <c r="AF747" s="549"/>
      <c r="AG747" s="181"/>
      <c r="AH747" s="181"/>
      <c r="AI747" s="181"/>
      <c r="AJ747" s="179"/>
      <c r="AK747" s="549"/>
      <c r="AL747" s="181"/>
      <c r="AM747" s="181"/>
      <c r="AN747" s="181"/>
      <c r="AO747" s="179"/>
      <c r="AP747" s="549"/>
      <c r="AQ747" s="181"/>
      <c r="AR747" s="181"/>
      <c r="AS747" s="181"/>
      <c r="AT747" s="528"/>
      <c r="AU747" s="528"/>
      <c r="AV747" s="528"/>
      <c r="AW747" s="528"/>
      <c r="AX747" s="528"/>
      <c r="AY747" s="528"/>
      <c r="AZ747" s="528"/>
      <c r="BA747" s="528"/>
      <c r="BB747" s="528"/>
      <c r="BC747" s="528"/>
      <c r="BD747" s="528"/>
      <c r="BE747" s="528"/>
      <c r="BF747" s="528"/>
      <c r="BG747" s="528"/>
      <c r="BH747" s="528"/>
    </row>
    <row r="748">
      <c r="A748" s="179"/>
      <c r="B748" s="549"/>
      <c r="C748" s="181"/>
      <c r="D748" s="181"/>
      <c r="E748" s="181"/>
      <c r="F748" s="179"/>
      <c r="G748" s="549"/>
      <c r="H748" s="181"/>
      <c r="I748" s="181"/>
      <c r="J748" s="181"/>
      <c r="K748" s="156"/>
      <c r="L748" s="549"/>
      <c r="M748" s="181"/>
      <c r="N748" s="181"/>
      <c r="O748" s="181"/>
      <c r="P748" s="156"/>
      <c r="Q748" s="562"/>
      <c r="R748" s="181"/>
      <c r="S748" s="181"/>
      <c r="T748" s="181"/>
      <c r="U748" s="179"/>
      <c r="V748" s="549"/>
      <c r="W748" s="181"/>
      <c r="X748" s="181"/>
      <c r="Y748" s="181"/>
      <c r="Z748" s="179"/>
      <c r="AA748" s="549"/>
      <c r="AB748" s="181"/>
      <c r="AC748" s="181"/>
      <c r="AD748" s="181"/>
      <c r="AE748" s="179"/>
      <c r="AF748" s="549"/>
      <c r="AG748" s="181"/>
      <c r="AH748" s="181"/>
      <c r="AI748" s="181"/>
      <c r="AJ748" s="179"/>
      <c r="AK748" s="549"/>
      <c r="AL748" s="181"/>
      <c r="AM748" s="181"/>
      <c r="AN748" s="181"/>
      <c r="AO748" s="179"/>
      <c r="AP748" s="549"/>
      <c r="AQ748" s="181"/>
      <c r="AR748" s="181"/>
      <c r="AS748" s="181"/>
      <c r="AT748" s="528"/>
      <c r="AU748" s="528"/>
      <c r="AV748" s="528"/>
      <c r="AW748" s="528"/>
      <c r="AX748" s="528"/>
      <c r="AY748" s="528"/>
      <c r="AZ748" s="528"/>
      <c r="BA748" s="528"/>
      <c r="BB748" s="528"/>
      <c r="BC748" s="528"/>
      <c r="BD748" s="528"/>
      <c r="BE748" s="528"/>
      <c r="BF748" s="528"/>
      <c r="BG748" s="528"/>
      <c r="BH748" s="528"/>
    </row>
    <row r="749">
      <c r="A749" s="179"/>
      <c r="B749" s="549"/>
      <c r="C749" s="181"/>
      <c r="D749" s="181"/>
      <c r="E749" s="181"/>
      <c r="F749" s="179"/>
      <c r="G749" s="549"/>
      <c r="H749" s="181"/>
      <c r="I749" s="181"/>
      <c r="J749" s="181"/>
      <c r="K749" s="156"/>
      <c r="L749" s="549"/>
      <c r="M749" s="181"/>
      <c r="N749" s="181"/>
      <c r="O749" s="181"/>
      <c r="P749" s="156"/>
      <c r="Q749" s="562"/>
      <c r="R749" s="181"/>
      <c r="S749" s="181"/>
      <c r="T749" s="181"/>
      <c r="U749" s="179"/>
      <c r="V749" s="549"/>
      <c r="W749" s="181"/>
      <c r="X749" s="181"/>
      <c r="Y749" s="181"/>
      <c r="Z749" s="179"/>
      <c r="AA749" s="549"/>
      <c r="AB749" s="181"/>
      <c r="AC749" s="181"/>
      <c r="AD749" s="181"/>
      <c r="AE749" s="179"/>
      <c r="AF749" s="549"/>
      <c r="AG749" s="181"/>
      <c r="AH749" s="181"/>
      <c r="AI749" s="181"/>
      <c r="AJ749" s="179"/>
      <c r="AK749" s="549"/>
      <c r="AL749" s="181"/>
      <c r="AM749" s="181"/>
      <c r="AN749" s="181"/>
      <c r="AO749" s="179"/>
      <c r="AP749" s="549"/>
      <c r="AQ749" s="181"/>
      <c r="AR749" s="181"/>
      <c r="AS749" s="181"/>
      <c r="AT749" s="528"/>
      <c r="AU749" s="528"/>
      <c r="AV749" s="528"/>
      <c r="AW749" s="528"/>
      <c r="AX749" s="528"/>
      <c r="AY749" s="528"/>
      <c r="AZ749" s="528"/>
      <c r="BA749" s="528"/>
      <c r="BB749" s="528"/>
      <c r="BC749" s="528"/>
      <c r="BD749" s="528"/>
      <c r="BE749" s="528"/>
      <c r="BF749" s="528"/>
      <c r="BG749" s="528"/>
      <c r="BH749" s="528"/>
    </row>
    <row r="750">
      <c r="A750" s="179"/>
      <c r="B750" s="549"/>
      <c r="C750" s="181"/>
      <c r="D750" s="181"/>
      <c r="E750" s="181"/>
      <c r="F750" s="179"/>
      <c r="G750" s="549"/>
      <c r="H750" s="181"/>
      <c r="I750" s="181"/>
      <c r="J750" s="181"/>
      <c r="K750" s="156"/>
      <c r="L750" s="549"/>
      <c r="M750" s="181"/>
      <c r="N750" s="181"/>
      <c r="O750" s="181"/>
      <c r="P750" s="156"/>
      <c r="Q750" s="562"/>
      <c r="R750" s="181"/>
      <c r="S750" s="181"/>
      <c r="T750" s="181"/>
      <c r="U750" s="179"/>
      <c r="V750" s="549"/>
      <c r="W750" s="181"/>
      <c r="X750" s="181"/>
      <c r="Y750" s="181"/>
      <c r="Z750" s="179"/>
      <c r="AA750" s="549"/>
      <c r="AB750" s="181"/>
      <c r="AC750" s="181"/>
      <c r="AD750" s="181"/>
      <c r="AE750" s="179"/>
      <c r="AF750" s="549"/>
      <c r="AG750" s="181"/>
      <c r="AH750" s="181"/>
      <c r="AI750" s="181"/>
      <c r="AJ750" s="179"/>
      <c r="AK750" s="549"/>
      <c r="AL750" s="181"/>
      <c r="AM750" s="181"/>
      <c r="AN750" s="181"/>
      <c r="AO750" s="179"/>
      <c r="AP750" s="549"/>
      <c r="AQ750" s="181"/>
      <c r="AR750" s="181"/>
      <c r="AS750" s="181"/>
      <c r="AT750" s="528"/>
      <c r="AU750" s="528"/>
      <c r="AV750" s="528"/>
      <c r="AW750" s="528"/>
      <c r="AX750" s="528"/>
      <c r="AY750" s="528"/>
      <c r="AZ750" s="528"/>
      <c r="BA750" s="528"/>
      <c r="BB750" s="528"/>
      <c r="BC750" s="528"/>
      <c r="BD750" s="528"/>
      <c r="BE750" s="528"/>
      <c r="BF750" s="528"/>
      <c r="BG750" s="528"/>
      <c r="BH750" s="528"/>
    </row>
    <row r="751">
      <c r="A751" s="179"/>
      <c r="B751" s="549"/>
      <c r="C751" s="181"/>
      <c r="D751" s="181"/>
      <c r="E751" s="181"/>
      <c r="F751" s="179"/>
      <c r="G751" s="549"/>
      <c r="H751" s="181"/>
      <c r="I751" s="181"/>
      <c r="J751" s="181"/>
      <c r="K751" s="156"/>
      <c r="L751" s="549"/>
      <c r="M751" s="181"/>
      <c r="N751" s="181"/>
      <c r="O751" s="181"/>
      <c r="P751" s="156"/>
      <c r="Q751" s="562"/>
      <c r="R751" s="181"/>
      <c r="S751" s="181"/>
      <c r="T751" s="181"/>
      <c r="U751" s="179"/>
      <c r="V751" s="549"/>
      <c r="W751" s="181"/>
      <c r="X751" s="181"/>
      <c r="Y751" s="181"/>
      <c r="Z751" s="179"/>
      <c r="AA751" s="549"/>
      <c r="AB751" s="181"/>
      <c r="AC751" s="181"/>
      <c r="AD751" s="181"/>
      <c r="AE751" s="179"/>
      <c r="AF751" s="549"/>
      <c r="AG751" s="181"/>
      <c r="AH751" s="181"/>
      <c r="AI751" s="181"/>
      <c r="AJ751" s="179"/>
      <c r="AK751" s="549"/>
      <c r="AL751" s="181"/>
      <c r="AM751" s="181"/>
      <c r="AN751" s="181"/>
      <c r="AO751" s="179"/>
      <c r="AP751" s="549"/>
      <c r="AQ751" s="181"/>
      <c r="AR751" s="181"/>
      <c r="AS751" s="181"/>
      <c r="AT751" s="528"/>
      <c r="AU751" s="528"/>
      <c r="AV751" s="528"/>
      <c r="AW751" s="528"/>
      <c r="AX751" s="528"/>
      <c r="AY751" s="528"/>
      <c r="AZ751" s="528"/>
      <c r="BA751" s="528"/>
      <c r="BB751" s="528"/>
      <c r="BC751" s="528"/>
      <c r="BD751" s="528"/>
      <c r="BE751" s="528"/>
      <c r="BF751" s="528"/>
      <c r="BG751" s="528"/>
      <c r="BH751" s="528"/>
    </row>
    <row r="752">
      <c r="A752" s="179"/>
      <c r="B752" s="549"/>
      <c r="C752" s="181"/>
      <c r="D752" s="181"/>
      <c r="E752" s="181"/>
      <c r="F752" s="179"/>
      <c r="G752" s="549"/>
      <c r="H752" s="181"/>
      <c r="I752" s="181"/>
      <c r="J752" s="181"/>
      <c r="K752" s="156"/>
      <c r="L752" s="549"/>
      <c r="M752" s="181"/>
      <c r="N752" s="181"/>
      <c r="O752" s="181"/>
      <c r="P752" s="156"/>
      <c r="Q752" s="562"/>
      <c r="R752" s="181"/>
      <c r="S752" s="181"/>
      <c r="T752" s="181"/>
      <c r="U752" s="179"/>
      <c r="V752" s="549"/>
      <c r="W752" s="181"/>
      <c r="X752" s="181"/>
      <c r="Y752" s="181"/>
      <c r="Z752" s="179"/>
      <c r="AA752" s="549"/>
      <c r="AB752" s="181"/>
      <c r="AC752" s="181"/>
      <c r="AD752" s="181"/>
      <c r="AE752" s="179"/>
      <c r="AF752" s="549"/>
      <c r="AG752" s="181"/>
      <c r="AH752" s="181"/>
      <c r="AI752" s="181"/>
      <c r="AJ752" s="179"/>
      <c r="AK752" s="549"/>
      <c r="AL752" s="181"/>
      <c r="AM752" s="181"/>
      <c r="AN752" s="181"/>
      <c r="AO752" s="179"/>
      <c r="AP752" s="549"/>
      <c r="AQ752" s="181"/>
      <c r="AR752" s="181"/>
      <c r="AS752" s="181"/>
      <c r="AT752" s="528"/>
      <c r="AU752" s="528"/>
      <c r="AV752" s="528"/>
      <c r="AW752" s="528"/>
      <c r="AX752" s="528"/>
      <c r="AY752" s="528"/>
      <c r="AZ752" s="528"/>
      <c r="BA752" s="528"/>
      <c r="BB752" s="528"/>
      <c r="BC752" s="528"/>
      <c r="BD752" s="528"/>
      <c r="BE752" s="528"/>
      <c r="BF752" s="528"/>
      <c r="BG752" s="528"/>
      <c r="BH752" s="528"/>
    </row>
    <row r="753">
      <c r="A753" s="179"/>
      <c r="B753" s="549"/>
      <c r="C753" s="181"/>
      <c r="D753" s="181"/>
      <c r="E753" s="181"/>
      <c r="F753" s="179"/>
      <c r="G753" s="549"/>
      <c r="H753" s="181"/>
      <c r="I753" s="181"/>
      <c r="J753" s="181"/>
      <c r="K753" s="156"/>
      <c r="L753" s="549"/>
      <c r="M753" s="181"/>
      <c r="N753" s="181"/>
      <c r="O753" s="181"/>
      <c r="P753" s="156"/>
      <c r="Q753" s="562"/>
      <c r="R753" s="181"/>
      <c r="S753" s="181"/>
      <c r="T753" s="181"/>
      <c r="U753" s="179"/>
      <c r="V753" s="549"/>
      <c r="W753" s="181"/>
      <c r="X753" s="181"/>
      <c r="Y753" s="181"/>
      <c r="Z753" s="179"/>
      <c r="AA753" s="549"/>
      <c r="AB753" s="181"/>
      <c r="AC753" s="181"/>
      <c r="AD753" s="181"/>
      <c r="AE753" s="179"/>
      <c r="AF753" s="549"/>
      <c r="AG753" s="181"/>
      <c r="AH753" s="181"/>
      <c r="AI753" s="181"/>
      <c r="AJ753" s="179"/>
      <c r="AK753" s="549"/>
      <c r="AL753" s="181"/>
      <c r="AM753" s="181"/>
      <c r="AN753" s="181"/>
      <c r="AO753" s="179"/>
      <c r="AP753" s="549"/>
      <c r="AQ753" s="181"/>
      <c r="AR753" s="181"/>
      <c r="AS753" s="181"/>
      <c r="AT753" s="528"/>
      <c r="AU753" s="528"/>
      <c r="AV753" s="528"/>
      <c r="AW753" s="528"/>
      <c r="AX753" s="528"/>
      <c r="AY753" s="528"/>
      <c r="AZ753" s="528"/>
      <c r="BA753" s="528"/>
      <c r="BB753" s="528"/>
      <c r="BC753" s="528"/>
      <c r="BD753" s="528"/>
      <c r="BE753" s="528"/>
      <c r="BF753" s="528"/>
      <c r="BG753" s="528"/>
      <c r="BH753" s="528"/>
    </row>
    <row r="754">
      <c r="A754" s="179"/>
      <c r="B754" s="549"/>
      <c r="C754" s="181"/>
      <c r="D754" s="181"/>
      <c r="E754" s="181"/>
      <c r="F754" s="179"/>
      <c r="G754" s="549"/>
      <c r="H754" s="181"/>
      <c r="I754" s="181"/>
      <c r="J754" s="181"/>
      <c r="K754" s="156"/>
      <c r="L754" s="549"/>
      <c r="M754" s="181"/>
      <c r="N754" s="181"/>
      <c r="O754" s="181"/>
      <c r="P754" s="156"/>
      <c r="Q754" s="562"/>
      <c r="R754" s="181"/>
      <c r="S754" s="181"/>
      <c r="T754" s="181"/>
      <c r="U754" s="179"/>
      <c r="V754" s="549"/>
      <c r="W754" s="181"/>
      <c r="X754" s="181"/>
      <c r="Y754" s="181"/>
      <c r="Z754" s="179"/>
      <c r="AA754" s="549"/>
      <c r="AB754" s="181"/>
      <c r="AC754" s="181"/>
      <c r="AD754" s="181"/>
      <c r="AE754" s="179"/>
      <c r="AF754" s="549"/>
      <c r="AG754" s="181"/>
      <c r="AH754" s="181"/>
      <c r="AI754" s="181"/>
      <c r="AJ754" s="179"/>
      <c r="AK754" s="549"/>
      <c r="AL754" s="181"/>
      <c r="AM754" s="181"/>
      <c r="AN754" s="181"/>
      <c r="AO754" s="179"/>
      <c r="AP754" s="549"/>
      <c r="AQ754" s="181"/>
      <c r="AR754" s="181"/>
      <c r="AS754" s="181"/>
      <c r="AT754" s="528"/>
      <c r="AU754" s="528"/>
      <c r="AV754" s="528"/>
      <c r="AW754" s="528"/>
      <c r="AX754" s="528"/>
      <c r="AY754" s="528"/>
      <c r="AZ754" s="528"/>
      <c r="BA754" s="528"/>
      <c r="BB754" s="528"/>
      <c r="BC754" s="528"/>
      <c r="BD754" s="528"/>
      <c r="BE754" s="528"/>
      <c r="BF754" s="528"/>
      <c r="BG754" s="528"/>
      <c r="BH754" s="528"/>
    </row>
    <row r="755">
      <c r="A755" s="179"/>
      <c r="B755" s="549"/>
      <c r="C755" s="181"/>
      <c r="D755" s="181"/>
      <c r="E755" s="181"/>
      <c r="F755" s="179"/>
      <c r="G755" s="549"/>
      <c r="H755" s="181"/>
      <c r="I755" s="181"/>
      <c r="J755" s="181"/>
      <c r="K755" s="156"/>
      <c r="L755" s="549"/>
      <c r="M755" s="181"/>
      <c r="N755" s="181"/>
      <c r="O755" s="181"/>
      <c r="P755" s="156"/>
      <c r="Q755" s="562"/>
      <c r="R755" s="181"/>
      <c r="S755" s="181"/>
      <c r="T755" s="181"/>
      <c r="U755" s="179"/>
      <c r="V755" s="549"/>
      <c r="W755" s="181"/>
      <c r="X755" s="181"/>
      <c r="Y755" s="181"/>
      <c r="Z755" s="179"/>
      <c r="AA755" s="549"/>
      <c r="AB755" s="181"/>
      <c r="AC755" s="181"/>
      <c r="AD755" s="181"/>
      <c r="AE755" s="179"/>
      <c r="AF755" s="549"/>
      <c r="AG755" s="181"/>
      <c r="AH755" s="181"/>
      <c r="AI755" s="181"/>
      <c r="AJ755" s="179"/>
      <c r="AK755" s="549"/>
      <c r="AL755" s="181"/>
      <c r="AM755" s="181"/>
      <c r="AN755" s="181"/>
      <c r="AO755" s="179"/>
      <c r="AP755" s="549"/>
      <c r="AQ755" s="181"/>
      <c r="AR755" s="181"/>
      <c r="AS755" s="181"/>
      <c r="AT755" s="528"/>
      <c r="AU755" s="528"/>
      <c r="AV755" s="528"/>
      <c r="AW755" s="528"/>
      <c r="AX755" s="528"/>
      <c r="AY755" s="528"/>
      <c r="AZ755" s="528"/>
      <c r="BA755" s="528"/>
      <c r="BB755" s="528"/>
      <c r="BC755" s="528"/>
      <c r="BD755" s="528"/>
      <c r="BE755" s="528"/>
      <c r="BF755" s="528"/>
      <c r="BG755" s="528"/>
      <c r="BH755" s="528"/>
    </row>
    <row r="756">
      <c r="A756" s="179"/>
      <c r="B756" s="549"/>
      <c r="C756" s="181"/>
      <c r="D756" s="181"/>
      <c r="E756" s="181"/>
      <c r="F756" s="179"/>
      <c r="G756" s="549"/>
      <c r="H756" s="181"/>
      <c r="I756" s="181"/>
      <c r="J756" s="181"/>
      <c r="K756" s="156"/>
      <c r="L756" s="549"/>
      <c r="M756" s="181"/>
      <c r="N756" s="181"/>
      <c r="O756" s="181"/>
      <c r="P756" s="156"/>
      <c r="Q756" s="562"/>
      <c r="R756" s="181"/>
      <c r="S756" s="181"/>
      <c r="T756" s="181"/>
      <c r="U756" s="179"/>
      <c r="V756" s="549"/>
      <c r="W756" s="181"/>
      <c r="X756" s="181"/>
      <c r="Y756" s="181"/>
      <c r="Z756" s="179"/>
      <c r="AA756" s="549"/>
      <c r="AB756" s="181"/>
      <c r="AC756" s="181"/>
      <c r="AD756" s="181"/>
      <c r="AE756" s="179"/>
      <c r="AF756" s="549"/>
      <c r="AG756" s="181"/>
      <c r="AH756" s="181"/>
      <c r="AI756" s="181"/>
      <c r="AJ756" s="179"/>
      <c r="AK756" s="549"/>
      <c r="AL756" s="181"/>
      <c r="AM756" s="181"/>
      <c r="AN756" s="181"/>
      <c r="AO756" s="179"/>
      <c r="AP756" s="549"/>
      <c r="AQ756" s="181"/>
      <c r="AR756" s="181"/>
      <c r="AS756" s="181"/>
      <c r="AT756" s="528"/>
      <c r="AU756" s="528"/>
      <c r="AV756" s="528"/>
      <c r="AW756" s="528"/>
      <c r="AX756" s="528"/>
      <c r="AY756" s="528"/>
      <c r="AZ756" s="528"/>
      <c r="BA756" s="528"/>
      <c r="BB756" s="528"/>
      <c r="BC756" s="528"/>
      <c r="BD756" s="528"/>
      <c r="BE756" s="528"/>
      <c r="BF756" s="528"/>
      <c r="BG756" s="528"/>
      <c r="BH756" s="528"/>
    </row>
    <row r="757">
      <c r="A757" s="179"/>
      <c r="B757" s="549"/>
      <c r="C757" s="181"/>
      <c r="D757" s="181"/>
      <c r="E757" s="181"/>
      <c r="F757" s="179"/>
      <c r="G757" s="549"/>
      <c r="H757" s="181"/>
      <c r="I757" s="181"/>
      <c r="J757" s="181"/>
      <c r="K757" s="156"/>
      <c r="L757" s="549"/>
      <c r="M757" s="181"/>
      <c r="N757" s="181"/>
      <c r="O757" s="181"/>
      <c r="P757" s="156"/>
      <c r="Q757" s="562"/>
      <c r="R757" s="181"/>
      <c r="S757" s="181"/>
      <c r="T757" s="181"/>
      <c r="U757" s="179"/>
      <c r="V757" s="549"/>
      <c r="W757" s="181"/>
      <c r="X757" s="181"/>
      <c r="Y757" s="181"/>
      <c r="Z757" s="179"/>
      <c r="AA757" s="549"/>
      <c r="AB757" s="181"/>
      <c r="AC757" s="181"/>
      <c r="AD757" s="181"/>
      <c r="AE757" s="179"/>
      <c r="AF757" s="549"/>
      <c r="AG757" s="181"/>
      <c r="AH757" s="181"/>
      <c r="AI757" s="181"/>
      <c r="AJ757" s="179"/>
      <c r="AK757" s="549"/>
      <c r="AL757" s="181"/>
      <c r="AM757" s="181"/>
      <c r="AN757" s="181"/>
      <c r="AO757" s="179"/>
      <c r="AP757" s="549"/>
      <c r="AQ757" s="181"/>
      <c r="AR757" s="181"/>
      <c r="AS757" s="181"/>
      <c r="AT757" s="528"/>
      <c r="AU757" s="528"/>
      <c r="AV757" s="528"/>
      <c r="AW757" s="528"/>
      <c r="AX757" s="528"/>
      <c r="AY757" s="528"/>
      <c r="AZ757" s="528"/>
      <c r="BA757" s="528"/>
      <c r="BB757" s="528"/>
      <c r="BC757" s="528"/>
      <c r="BD757" s="528"/>
      <c r="BE757" s="528"/>
      <c r="BF757" s="528"/>
      <c r="BG757" s="528"/>
      <c r="BH757" s="528"/>
    </row>
    <row r="758">
      <c r="A758" s="179"/>
      <c r="B758" s="549"/>
      <c r="C758" s="181"/>
      <c r="D758" s="181"/>
      <c r="E758" s="181"/>
      <c r="F758" s="179"/>
      <c r="G758" s="549"/>
      <c r="H758" s="181"/>
      <c r="I758" s="181"/>
      <c r="J758" s="181"/>
      <c r="K758" s="156"/>
      <c r="L758" s="549"/>
      <c r="M758" s="181"/>
      <c r="N758" s="181"/>
      <c r="O758" s="181"/>
      <c r="P758" s="156"/>
      <c r="Q758" s="562"/>
      <c r="R758" s="181"/>
      <c r="S758" s="181"/>
      <c r="T758" s="181"/>
      <c r="U758" s="179"/>
      <c r="V758" s="549"/>
      <c r="W758" s="181"/>
      <c r="X758" s="181"/>
      <c r="Y758" s="181"/>
      <c r="Z758" s="179"/>
      <c r="AA758" s="549"/>
      <c r="AB758" s="181"/>
      <c r="AC758" s="181"/>
      <c r="AD758" s="181"/>
      <c r="AE758" s="179"/>
      <c r="AF758" s="549"/>
      <c r="AG758" s="181"/>
      <c r="AH758" s="181"/>
      <c r="AI758" s="181"/>
      <c r="AJ758" s="179"/>
      <c r="AK758" s="549"/>
      <c r="AL758" s="181"/>
      <c r="AM758" s="181"/>
      <c r="AN758" s="181"/>
      <c r="AO758" s="179"/>
      <c r="AP758" s="549"/>
      <c r="AQ758" s="181"/>
      <c r="AR758" s="181"/>
      <c r="AS758" s="181"/>
      <c r="AT758" s="528"/>
      <c r="AU758" s="528"/>
      <c r="AV758" s="528"/>
      <c r="AW758" s="528"/>
      <c r="AX758" s="528"/>
      <c r="AY758" s="528"/>
      <c r="AZ758" s="528"/>
      <c r="BA758" s="528"/>
      <c r="BB758" s="528"/>
      <c r="BC758" s="528"/>
      <c r="BD758" s="528"/>
      <c r="BE758" s="528"/>
      <c r="BF758" s="528"/>
      <c r="BG758" s="528"/>
      <c r="BH758" s="528"/>
    </row>
    <row r="759">
      <c r="A759" s="179"/>
      <c r="B759" s="549"/>
      <c r="C759" s="181"/>
      <c r="D759" s="181"/>
      <c r="E759" s="181"/>
      <c r="F759" s="179"/>
      <c r="G759" s="549"/>
      <c r="H759" s="181"/>
      <c r="I759" s="181"/>
      <c r="J759" s="181"/>
      <c r="K759" s="156"/>
      <c r="L759" s="549"/>
      <c r="M759" s="181"/>
      <c r="N759" s="181"/>
      <c r="O759" s="181"/>
      <c r="P759" s="156"/>
      <c r="Q759" s="562"/>
      <c r="R759" s="181"/>
      <c r="S759" s="181"/>
      <c r="T759" s="181"/>
      <c r="U759" s="179"/>
      <c r="V759" s="549"/>
      <c r="W759" s="181"/>
      <c r="X759" s="181"/>
      <c r="Y759" s="181"/>
      <c r="Z759" s="179"/>
      <c r="AA759" s="549"/>
      <c r="AB759" s="181"/>
      <c r="AC759" s="181"/>
      <c r="AD759" s="181"/>
      <c r="AE759" s="179"/>
      <c r="AF759" s="549"/>
      <c r="AG759" s="181"/>
      <c r="AH759" s="181"/>
      <c r="AI759" s="181"/>
      <c r="AJ759" s="179"/>
      <c r="AK759" s="549"/>
      <c r="AL759" s="181"/>
      <c r="AM759" s="181"/>
      <c r="AN759" s="181"/>
      <c r="AO759" s="179"/>
      <c r="AP759" s="549"/>
      <c r="AQ759" s="181"/>
      <c r="AR759" s="181"/>
      <c r="AS759" s="181"/>
      <c r="AT759" s="528"/>
      <c r="AU759" s="528"/>
      <c r="AV759" s="528"/>
      <c r="AW759" s="528"/>
      <c r="AX759" s="528"/>
      <c r="AY759" s="528"/>
      <c r="AZ759" s="528"/>
      <c r="BA759" s="528"/>
      <c r="BB759" s="528"/>
      <c r="BC759" s="528"/>
      <c r="BD759" s="528"/>
      <c r="BE759" s="528"/>
      <c r="BF759" s="528"/>
      <c r="BG759" s="528"/>
      <c r="BH759" s="528"/>
    </row>
    <row r="760">
      <c r="A760" s="179"/>
      <c r="B760" s="549"/>
      <c r="C760" s="181"/>
      <c r="D760" s="181"/>
      <c r="E760" s="181"/>
      <c r="F760" s="179"/>
      <c r="G760" s="549"/>
      <c r="H760" s="181"/>
      <c r="I760" s="181"/>
      <c r="J760" s="181"/>
      <c r="K760" s="156"/>
      <c r="L760" s="549"/>
      <c r="M760" s="181"/>
      <c r="N760" s="181"/>
      <c r="O760" s="181"/>
      <c r="P760" s="156"/>
      <c r="Q760" s="562"/>
      <c r="R760" s="181"/>
      <c r="S760" s="181"/>
      <c r="T760" s="181"/>
      <c r="U760" s="179"/>
      <c r="V760" s="549"/>
      <c r="W760" s="181"/>
      <c r="X760" s="181"/>
      <c r="Y760" s="181"/>
      <c r="Z760" s="179"/>
      <c r="AA760" s="549"/>
      <c r="AB760" s="181"/>
      <c r="AC760" s="181"/>
      <c r="AD760" s="181"/>
      <c r="AE760" s="179"/>
      <c r="AF760" s="549"/>
      <c r="AG760" s="181"/>
      <c r="AH760" s="181"/>
      <c r="AI760" s="181"/>
      <c r="AJ760" s="179"/>
      <c r="AK760" s="549"/>
      <c r="AL760" s="181"/>
      <c r="AM760" s="181"/>
      <c r="AN760" s="181"/>
      <c r="AO760" s="179"/>
      <c r="AP760" s="549"/>
      <c r="AQ760" s="181"/>
      <c r="AR760" s="181"/>
      <c r="AS760" s="181"/>
      <c r="AT760" s="528"/>
      <c r="AU760" s="528"/>
      <c r="AV760" s="528"/>
      <c r="AW760" s="528"/>
      <c r="AX760" s="528"/>
      <c r="AY760" s="528"/>
      <c r="AZ760" s="528"/>
      <c r="BA760" s="528"/>
      <c r="BB760" s="528"/>
      <c r="BC760" s="528"/>
      <c r="BD760" s="528"/>
      <c r="BE760" s="528"/>
      <c r="BF760" s="528"/>
      <c r="BG760" s="528"/>
      <c r="BH760" s="528"/>
    </row>
    <row r="761">
      <c r="A761" s="179"/>
      <c r="B761" s="549"/>
      <c r="C761" s="181"/>
      <c r="D761" s="181"/>
      <c r="E761" s="181"/>
      <c r="F761" s="179"/>
      <c r="G761" s="549"/>
      <c r="H761" s="181"/>
      <c r="I761" s="181"/>
      <c r="J761" s="181"/>
      <c r="K761" s="156"/>
      <c r="L761" s="549"/>
      <c r="M761" s="181"/>
      <c r="N761" s="181"/>
      <c r="O761" s="181"/>
      <c r="P761" s="156"/>
      <c r="Q761" s="562"/>
      <c r="R761" s="181"/>
      <c r="S761" s="181"/>
      <c r="T761" s="181"/>
      <c r="U761" s="179"/>
      <c r="V761" s="549"/>
      <c r="W761" s="181"/>
      <c r="X761" s="181"/>
      <c r="Y761" s="181"/>
      <c r="Z761" s="179"/>
      <c r="AA761" s="549"/>
      <c r="AB761" s="181"/>
      <c r="AC761" s="181"/>
      <c r="AD761" s="181"/>
      <c r="AE761" s="179"/>
      <c r="AF761" s="549"/>
      <c r="AG761" s="181"/>
      <c r="AH761" s="181"/>
      <c r="AI761" s="181"/>
      <c r="AJ761" s="179"/>
      <c r="AK761" s="549"/>
      <c r="AL761" s="181"/>
      <c r="AM761" s="181"/>
      <c r="AN761" s="181"/>
      <c r="AO761" s="179"/>
      <c r="AP761" s="549"/>
      <c r="AQ761" s="181"/>
      <c r="AR761" s="181"/>
      <c r="AS761" s="181"/>
      <c r="AT761" s="528"/>
      <c r="AU761" s="528"/>
      <c r="AV761" s="528"/>
      <c r="AW761" s="528"/>
      <c r="AX761" s="528"/>
      <c r="AY761" s="528"/>
      <c r="AZ761" s="528"/>
      <c r="BA761" s="528"/>
      <c r="BB761" s="528"/>
      <c r="BC761" s="528"/>
      <c r="BD761" s="528"/>
      <c r="BE761" s="528"/>
      <c r="BF761" s="528"/>
      <c r="BG761" s="528"/>
      <c r="BH761" s="528"/>
    </row>
    <row r="762">
      <c r="A762" s="179"/>
      <c r="B762" s="549"/>
      <c r="C762" s="181"/>
      <c r="D762" s="181"/>
      <c r="E762" s="181"/>
      <c r="F762" s="179"/>
      <c r="G762" s="549"/>
      <c r="H762" s="181"/>
      <c r="I762" s="181"/>
      <c r="J762" s="181"/>
      <c r="K762" s="156"/>
      <c r="L762" s="549"/>
      <c r="M762" s="181"/>
      <c r="N762" s="181"/>
      <c r="O762" s="181"/>
      <c r="P762" s="156"/>
      <c r="Q762" s="562"/>
      <c r="R762" s="181"/>
      <c r="S762" s="181"/>
      <c r="T762" s="181"/>
      <c r="U762" s="179"/>
      <c r="V762" s="549"/>
      <c r="W762" s="181"/>
      <c r="X762" s="181"/>
      <c r="Y762" s="181"/>
      <c r="Z762" s="179"/>
      <c r="AA762" s="549"/>
      <c r="AB762" s="181"/>
      <c r="AC762" s="181"/>
      <c r="AD762" s="181"/>
      <c r="AE762" s="179"/>
      <c r="AF762" s="549"/>
      <c r="AG762" s="181"/>
      <c r="AH762" s="181"/>
      <c r="AI762" s="181"/>
      <c r="AJ762" s="179"/>
      <c r="AK762" s="549"/>
      <c r="AL762" s="181"/>
      <c r="AM762" s="181"/>
      <c r="AN762" s="181"/>
      <c r="AO762" s="179"/>
      <c r="AP762" s="549"/>
      <c r="AQ762" s="181"/>
      <c r="AR762" s="181"/>
      <c r="AS762" s="181"/>
      <c r="AT762" s="528"/>
      <c r="AU762" s="528"/>
      <c r="AV762" s="528"/>
      <c r="AW762" s="528"/>
      <c r="AX762" s="528"/>
      <c r="AY762" s="528"/>
      <c r="AZ762" s="528"/>
      <c r="BA762" s="528"/>
      <c r="BB762" s="528"/>
      <c r="BC762" s="528"/>
      <c r="BD762" s="528"/>
      <c r="BE762" s="528"/>
      <c r="BF762" s="528"/>
      <c r="BG762" s="528"/>
      <c r="BH762" s="528"/>
    </row>
    <row r="763">
      <c r="A763" s="179"/>
      <c r="B763" s="549"/>
      <c r="C763" s="181"/>
      <c r="D763" s="181"/>
      <c r="E763" s="181"/>
      <c r="F763" s="179"/>
      <c r="G763" s="549"/>
      <c r="H763" s="181"/>
      <c r="I763" s="181"/>
      <c r="J763" s="181"/>
      <c r="K763" s="156"/>
      <c r="L763" s="549"/>
      <c r="M763" s="181"/>
      <c r="N763" s="181"/>
      <c r="O763" s="181"/>
      <c r="P763" s="156"/>
      <c r="Q763" s="562"/>
      <c r="R763" s="181"/>
      <c r="S763" s="181"/>
      <c r="T763" s="181"/>
      <c r="U763" s="179"/>
      <c r="V763" s="549"/>
      <c r="W763" s="181"/>
      <c r="X763" s="181"/>
      <c r="Y763" s="181"/>
      <c r="Z763" s="179"/>
      <c r="AA763" s="549"/>
      <c r="AB763" s="181"/>
      <c r="AC763" s="181"/>
      <c r="AD763" s="181"/>
      <c r="AE763" s="179"/>
      <c r="AF763" s="549"/>
      <c r="AG763" s="181"/>
      <c r="AH763" s="181"/>
      <c r="AI763" s="181"/>
      <c r="AJ763" s="179"/>
      <c r="AK763" s="549"/>
      <c r="AL763" s="181"/>
      <c r="AM763" s="181"/>
      <c r="AN763" s="181"/>
      <c r="AO763" s="179"/>
      <c r="AP763" s="549"/>
      <c r="AQ763" s="181"/>
      <c r="AR763" s="181"/>
      <c r="AS763" s="181"/>
      <c r="AT763" s="528"/>
      <c r="AU763" s="528"/>
      <c r="AV763" s="528"/>
      <c r="AW763" s="528"/>
      <c r="AX763" s="528"/>
      <c r="AY763" s="528"/>
      <c r="AZ763" s="528"/>
      <c r="BA763" s="528"/>
      <c r="BB763" s="528"/>
      <c r="BC763" s="528"/>
      <c r="BD763" s="528"/>
      <c r="BE763" s="528"/>
      <c r="BF763" s="528"/>
      <c r="BG763" s="528"/>
      <c r="BH763" s="528"/>
    </row>
    <row r="764">
      <c r="A764" s="179"/>
      <c r="B764" s="549"/>
      <c r="C764" s="181"/>
      <c r="D764" s="181"/>
      <c r="E764" s="181"/>
      <c r="F764" s="179"/>
      <c r="G764" s="549"/>
      <c r="H764" s="181"/>
      <c r="I764" s="181"/>
      <c r="J764" s="181"/>
      <c r="K764" s="156"/>
      <c r="L764" s="549"/>
      <c r="M764" s="181"/>
      <c r="N764" s="181"/>
      <c r="O764" s="181"/>
      <c r="P764" s="156"/>
      <c r="Q764" s="562"/>
      <c r="R764" s="181"/>
      <c r="S764" s="181"/>
      <c r="T764" s="181"/>
      <c r="U764" s="179"/>
      <c r="V764" s="549"/>
      <c r="W764" s="181"/>
      <c r="X764" s="181"/>
      <c r="Y764" s="181"/>
      <c r="Z764" s="179"/>
      <c r="AA764" s="549"/>
      <c r="AB764" s="181"/>
      <c r="AC764" s="181"/>
      <c r="AD764" s="181"/>
      <c r="AE764" s="179"/>
      <c r="AF764" s="549"/>
      <c r="AG764" s="181"/>
      <c r="AH764" s="181"/>
      <c r="AI764" s="181"/>
      <c r="AJ764" s="179"/>
      <c r="AK764" s="549"/>
      <c r="AL764" s="181"/>
      <c r="AM764" s="181"/>
      <c r="AN764" s="181"/>
      <c r="AO764" s="179"/>
      <c r="AP764" s="549"/>
      <c r="AQ764" s="181"/>
      <c r="AR764" s="181"/>
      <c r="AS764" s="181"/>
      <c r="AT764" s="528"/>
      <c r="AU764" s="528"/>
      <c r="AV764" s="528"/>
      <c r="AW764" s="528"/>
      <c r="AX764" s="528"/>
      <c r="AY764" s="528"/>
      <c r="AZ764" s="528"/>
      <c r="BA764" s="528"/>
      <c r="BB764" s="528"/>
      <c r="BC764" s="528"/>
      <c r="BD764" s="528"/>
      <c r="BE764" s="528"/>
      <c r="BF764" s="528"/>
      <c r="BG764" s="528"/>
      <c r="BH764" s="528"/>
    </row>
    <row r="765">
      <c r="A765" s="179"/>
      <c r="B765" s="549"/>
      <c r="C765" s="181"/>
      <c r="D765" s="181"/>
      <c r="E765" s="181"/>
      <c r="F765" s="179"/>
      <c r="G765" s="549"/>
      <c r="H765" s="181"/>
      <c r="I765" s="181"/>
      <c r="J765" s="181"/>
      <c r="K765" s="156"/>
      <c r="L765" s="549"/>
      <c r="M765" s="181"/>
      <c r="N765" s="181"/>
      <c r="O765" s="181"/>
      <c r="P765" s="156"/>
      <c r="Q765" s="562"/>
      <c r="R765" s="181"/>
      <c r="S765" s="181"/>
      <c r="T765" s="181"/>
      <c r="U765" s="179"/>
      <c r="V765" s="549"/>
      <c r="W765" s="181"/>
      <c r="X765" s="181"/>
      <c r="Y765" s="181"/>
      <c r="Z765" s="179"/>
      <c r="AA765" s="549"/>
      <c r="AB765" s="181"/>
      <c r="AC765" s="181"/>
      <c r="AD765" s="181"/>
      <c r="AE765" s="179"/>
      <c r="AF765" s="549"/>
      <c r="AG765" s="181"/>
      <c r="AH765" s="181"/>
      <c r="AI765" s="181"/>
      <c r="AJ765" s="179"/>
      <c r="AK765" s="549"/>
      <c r="AL765" s="181"/>
      <c r="AM765" s="181"/>
      <c r="AN765" s="181"/>
      <c r="AO765" s="179"/>
      <c r="AP765" s="549"/>
      <c r="AQ765" s="181"/>
      <c r="AR765" s="181"/>
      <c r="AS765" s="181"/>
      <c r="AT765" s="528"/>
      <c r="AU765" s="528"/>
      <c r="AV765" s="528"/>
      <c r="AW765" s="528"/>
      <c r="AX765" s="528"/>
      <c r="AY765" s="528"/>
      <c r="AZ765" s="528"/>
      <c r="BA765" s="528"/>
      <c r="BB765" s="528"/>
      <c r="BC765" s="528"/>
      <c r="BD765" s="528"/>
      <c r="BE765" s="528"/>
      <c r="BF765" s="528"/>
      <c r="BG765" s="528"/>
      <c r="BH765" s="528"/>
    </row>
    <row r="766">
      <c r="A766" s="179"/>
      <c r="B766" s="549"/>
      <c r="C766" s="181"/>
      <c r="D766" s="181"/>
      <c r="E766" s="181"/>
      <c r="F766" s="179"/>
      <c r="G766" s="549"/>
      <c r="H766" s="181"/>
      <c r="I766" s="181"/>
      <c r="J766" s="181"/>
      <c r="K766" s="156"/>
      <c r="L766" s="549"/>
      <c r="M766" s="181"/>
      <c r="N766" s="181"/>
      <c r="O766" s="181"/>
      <c r="P766" s="156"/>
      <c r="Q766" s="562"/>
      <c r="R766" s="181"/>
      <c r="S766" s="181"/>
      <c r="T766" s="181"/>
      <c r="U766" s="179"/>
      <c r="V766" s="549"/>
      <c r="W766" s="181"/>
      <c r="X766" s="181"/>
      <c r="Y766" s="181"/>
      <c r="Z766" s="179"/>
      <c r="AA766" s="549"/>
      <c r="AB766" s="181"/>
      <c r="AC766" s="181"/>
      <c r="AD766" s="181"/>
      <c r="AE766" s="179"/>
      <c r="AF766" s="549"/>
      <c r="AG766" s="181"/>
      <c r="AH766" s="181"/>
      <c r="AI766" s="181"/>
      <c r="AJ766" s="179"/>
      <c r="AK766" s="549"/>
      <c r="AL766" s="181"/>
      <c r="AM766" s="181"/>
      <c r="AN766" s="181"/>
      <c r="AO766" s="179"/>
      <c r="AP766" s="549"/>
      <c r="AQ766" s="181"/>
      <c r="AR766" s="181"/>
      <c r="AS766" s="181"/>
      <c r="AT766" s="528"/>
      <c r="AU766" s="528"/>
      <c r="AV766" s="528"/>
      <c r="AW766" s="528"/>
      <c r="AX766" s="528"/>
      <c r="AY766" s="528"/>
      <c r="AZ766" s="528"/>
      <c r="BA766" s="528"/>
      <c r="BB766" s="528"/>
      <c r="BC766" s="528"/>
      <c r="BD766" s="528"/>
      <c r="BE766" s="528"/>
      <c r="BF766" s="528"/>
      <c r="BG766" s="528"/>
      <c r="BH766" s="528"/>
    </row>
    <row r="767">
      <c r="A767" s="179"/>
      <c r="B767" s="549"/>
      <c r="C767" s="181"/>
      <c r="D767" s="181"/>
      <c r="E767" s="181"/>
      <c r="F767" s="179"/>
      <c r="G767" s="549"/>
      <c r="H767" s="181"/>
      <c r="I767" s="181"/>
      <c r="J767" s="181"/>
      <c r="K767" s="156"/>
      <c r="L767" s="549"/>
      <c r="M767" s="181"/>
      <c r="N767" s="181"/>
      <c r="O767" s="181"/>
      <c r="P767" s="156"/>
      <c r="Q767" s="562"/>
      <c r="R767" s="181"/>
      <c r="S767" s="181"/>
      <c r="T767" s="181"/>
      <c r="U767" s="179"/>
      <c r="V767" s="549"/>
      <c r="W767" s="181"/>
      <c r="X767" s="181"/>
      <c r="Y767" s="181"/>
      <c r="Z767" s="179"/>
      <c r="AA767" s="549"/>
      <c r="AB767" s="181"/>
      <c r="AC767" s="181"/>
      <c r="AD767" s="181"/>
      <c r="AE767" s="179"/>
      <c r="AF767" s="549"/>
      <c r="AG767" s="181"/>
      <c r="AH767" s="181"/>
      <c r="AI767" s="181"/>
      <c r="AJ767" s="179"/>
      <c r="AK767" s="549"/>
      <c r="AL767" s="181"/>
      <c r="AM767" s="181"/>
      <c r="AN767" s="181"/>
      <c r="AO767" s="179"/>
      <c r="AP767" s="549"/>
      <c r="AQ767" s="181"/>
      <c r="AR767" s="181"/>
      <c r="AS767" s="181"/>
      <c r="AT767" s="528"/>
      <c r="AU767" s="528"/>
      <c r="AV767" s="528"/>
      <c r="AW767" s="528"/>
      <c r="AX767" s="528"/>
      <c r="AY767" s="528"/>
      <c r="AZ767" s="528"/>
      <c r="BA767" s="528"/>
      <c r="BB767" s="528"/>
      <c r="BC767" s="528"/>
      <c r="BD767" s="528"/>
      <c r="BE767" s="528"/>
      <c r="BF767" s="528"/>
      <c r="BG767" s="528"/>
      <c r="BH767" s="528"/>
    </row>
    <row r="768">
      <c r="A768" s="179"/>
      <c r="B768" s="549"/>
      <c r="C768" s="181"/>
      <c r="D768" s="181"/>
      <c r="E768" s="181"/>
      <c r="F768" s="179"/>
      <c r="G768" s="549"/>
      <c r="H768" s="181"/>
      <c r="I768" s="181"/>
      <c r="J768" s="181"/>
      <c r="K768" s="156"/>
      <c r="L768" s="549"/>
      <c r="M768" s="181"/>
      <c r="N768" s="181"/>
      <c r="O768" s="181"/>
      <c r="P768" s="156"/>
      <c r="Q768" s="562"/>
      <c r="R768" s="181"/>
      <c r="S768" s="181"/>
      <c r="T768" s="181"/>
      <c r="U768" s="179"/>
      <c r="V768" s="549"/>
      <c r="W768" s="181"/>
      <c r="X768" s="181"/>
      <c r="Y768" s="181"/>
      <c r="Z768" s="179"/>
      <c r="AA768" s="549"/>
      <c r="AB768" s="181"/>
      <c r="AC768" s="181"/>
      <c r="AD768" s="181"/>
      <c r="AE768" s="179"/>
      <c r="AF768" s="549"/>
      <c r="AG768" s="181"/>
      <c r="AH768" s="181"/>
      <c r="AI768" s="181"/>
      <c r="AJ768" s="179"/>
      <c r="AK768" s="549"/>
      <c r="AL768" s="181"/>
      <c r="AM768" s="181"/>
      <c r="AN768" s="181"/>
      <c r="AO768" s="179"/>
      <c r="AP768" s="549"/>
      <c r="AQ768" s="181"/>
      <c r="AR768" s="181"/>
      <c r="AS768" s="181"/>
      <c r="AT768" s="528"/>
      <c r="AU768" s="528"/>
      <c r="AV768" s="528"/>
      <c r="AW768" s="528"/>
      <c r="AX768" s="528"/>
      <c r="AY768" s="528"/>
      <c r="AZ768" s="528"/>
      <c r="BA768" s="528"/>
      <c r="BB768" s="528"/>
      <c r="BC768" s="528"/>
      <c r="BD768" s="528"/>
      <c r="BE768" s="528"/>
      <c r="BF768" s="528"/>
      <c r="BG768" s="528"/>
      <c r="BH768" s="528"/>
    </row>
    <row r="769">
      <c r="A769" s="179"/>
      <c r="B769" s="549"/>
      <c r="C769" s="181"/>
      <c r="D769" s="181"/>
      <c r="E769" s="181"/>
      <c r="F769" s="179"/>
      <c r="G769" s="549"/>
      <c r="H769" s="181"/>
      <c r="I769" s="181"/>
      <c r="J769" s="181"/>
      <c r="K769" s="156"/>
      <c r="L769" s="549"/>
      <c r="M769" s="181"/>
      <c r="N769" s="181"/>
      <c r="O769" s="181"/>
      <c r="P769" s="156"/>
      <c r="Q769" s="562"/>
      <c r="R769" s="181"/>
      <c r="S769" s="181"/>
      <c r="T769" s="181"/>
      <c r="U769" s="179"/>
      <c r="V769" s="549"/>
      <c r="W769" s="181"/>
      <c r="X769" s="181"/>
      <c r="Y769" s="181"/>
      <c r="Z769" s="179"/>
      <c r="AA769" s="549"/>
      <c r="AB769" s="181"/>
      <c r="AC769" s="181"/>
      <c r="AD769" s="181"/>
      <c r="AE769" s="179"/>
      <c r="AF769" s="549"/>
      <c r="AG769" s="181"/>
      <c r="AH769" s="181"/>
      <c r="AI769" s="181"/>
      <c r="AJ769" s="179"/>
      <c r="AK769" s="549"/>
      <c r="AL769" s="181"/>
      <c r="AM769" s="181"/>
      <c r="AN769" s="181"/>
      <c r="AO769" s="179"/>
      <c r="AP769" s="549"/>
      <c r="AQ769" s="181"/>
      <c r="AR769" s="181"/>
      <c r="AS769" s="181"/>
      <c r="AT769" s="528"/>
      <c r="AU769" s="528"/>
      <c r="AV769" s="528"/>
      <c r="AW769" s="528"/>
      <c r="AX769" s="528"/>
      <c r="AY769" s="528"/>
      <c r="AZ769" s="528"/>
      <c r="BA769" s="528"/>
      <c r="BB769" s="528"/>
      <c r="BC769" s="528"/>
      <c r="BD769" s="528"/>
      <c r="BE769" s="528"/>
      <c r="BF769" s="528"/>
      <c r="BG769" s="528"/>
      <c r="BH769" s="528"/>
    </row>
    <row r="770">
      <c r="A770" s="179"/>
      <c r="B770" s="549"/>
      <c r="C770" s="181"/>
      <c r="D770" s="181"/>
      <c r="E770" s="181"/>
      <c r="F770" s="179"/>
      <c r="G770" s="549"/>
      <c r="H770" s="181"/>
      <c r="I770" s="181"/>
      <c r="J770" s="181"/>
      <c r="K770" s="156"/>
      <c r="L770" s="549"/>
      <c r="M770" s="181"/>
      <c r="N770" s="181"/>
      <c r="O770" s="181"/>
      <c r="P770" s="156"/>
      <c r="Q770" s="562"/>
      <c r="R770" s="181"/>
      <c r="S770" s="181"/>
      <c r="T770" s="181"/>
      <c r="U770" s="179"/>
      <c r="V770" s="549"/>
      <c r="W770" s="181"/>
      <c r="X770" s="181"/>
      <c r="Y770" s="181"/>
      <c r="Z770" s="179"/>
      <c r="AA770" s="549"/>
      <c r="AB770" s="181"/>
      <c r="AC770" s="181"/>
      <c r="AD770" s="181"/>
      <c r="AE770" s="179"/>
      <c r="AF770" s="549"/>
      <c r="AG770" s="181"/>
      <c r="AH770" s="181"/>
      <c r="AI770" s="181"/>
      <c r="AJ770" s="179"/>
      <c r="AK770" s="549"/>
      <c r="AL770" s="181"/>
      <c r="AM770" s="181"/>
      <c r="AN770" s="181"/>
      <c r="AO770" s="179"/>
      <c r="AP770" s="549"/>
      <c r="AQ770" s="181"/>
      <c r="AR770" s="181"/>
      <c r="AS770" s="181"/>
      <c r="AT770" s="528"/>
      <c r="AU770" s="528"/>
      <c r="AV770" s="528"/>
      <c r="AW770" s="528"/>
      <c r="AX770" s="528"/>
      <c r="AY770" s="528"/>
      <c r="AZ770" s="528"/>
      <c r="BA770" s="528"/>
      <c r="BB770" s="528"/>
      <c r="BC770" s="528"/>
      <c r="BD770" s="528"/>
      <c r="BE770" s="528"/>
      <c r="BF770" s="528"/>
      <c r="BG770" s="528"/>
      <c r="BH770" s="528"/>
    </row>
    <row r="771">
      <c r="A771" s="179"/>
      <c r="B771" s="549"/>
      <c r="C771" s="181"/>
      <c r="D771" s="181"/>
      <c r="E771" s="181"/>
      <c r="F771" s="179"/>
      <c r="G771" s="549"/>
      <c r="H771" s="181"/>
      <c r="I771" s="181"/>
      <c r="J771" s="181"/>
      <c r="K771" s="156"/>
      <c r="L771" s="549"/>
      <c r="M771" s="181"/>
      <c r="N771" s="181"/>
      <c r="O771" s="181"/>
      <c r="P771" s="156"/>
      <c r="Q771" s="562"/>
      <c r="R771" s="181"/>
      <c r="S771" s="181"/>
      <c r="T771" s="181"/>
      <c r="U771" s="179"/>
      <c r="V771" s="549"/>
      <c r="W771" s="181"/>
      <c r="X771" s="181"/>
      <c r="Y771" s="181"/>
      <c r="Z771" s="179"/>
      <c r="AA771" s="549"/>
      <c r="AB771" s="181"/>
      <c r="AC771" s="181"/>
      <c r="AD771" s="181"/>
      <c r="AE771" s="179"/>
      <c r="AF771" s="549"/>
      <c r="AG771" s="181"/>
      <c r="AH771" s="181"/>
      <c r="AI771" s="181"/>
      <c r="AJ771" s="179"/>
      <c r="AK771" s="549"/>
      <c r="AL771" s="181"/>
      <c r="AM771" s="181"/>
      <c r="AN771" s="181"/>
      <c r="AO771" s="179"/>
      <c r="AP771" s="549"/>
      <c r="AQ771" s="181"/>
      <c r="AR771" s="181"/>
      <c r="AS771" s="181"/>
      <c r="AT771" s="528"/>
      <c r="AU771" s="528"/>
      <c r="AV771" s="528"/>
      <c r="AW771" s="528"/>
      <c r="AX771" s="528"/>
      <c r="AY771" s="528"/>
      <c r="AZ771" s="528"/>
      <c r="BA771" s="528"/>
      <c r="BB771" s="528"/>
      <c r="BC771" s="528"/>
      <c r="BD771" s="528"/>
      <c r="BE771" s="528"/>
      <c r="BF771" s="528"/>
      <c r="BG771" s="528"/>
      <c r="BH771" s="528"/>
    </row>
    <row r="772">
      <c r="A772" s="179"/>
      <c r="B772" s="549"/>
      <c r="C772" s="181"/>
      <c r="D772" s="181"/>
      <c r="E772" s="181"/>
      <c r="F772" s="179"/>
      <c r="G772" s="549"/>
      <c r="H772" s="181"/>
      <c r="I772" s="181"/>
      <c r="J772" s="181"/>
      <c r="K772" s="156"/>
      <c r="L772" s="549"/>
      <c r="M772" s="181"/>
      <c r="N772" s="181"/>
      <c r="O772" s="181"/>
      <c r="P772" s="156"/>
      <c r="Q772" s="562"/>
      <c r="R772" s="181"/>
      <c r="S772" s="181"/>
      <c r="T772" s="181"/>
      <c r="U772" s="179"/>
      <c r="V772" s="549"/>
      <c r="W772" s="181"/>
      <c r="X772" s="181"/>
      <c r="Y772" s="181"/>
      <c r="Z772" s="179"/>
      <c r="AA772" s="549"/>
      <c r="AB772" s="181"/>
      <c r="AC772" s="181"/>
      <c r="AD772" s="181"/>
      <c r="AE772" s="179"/>
      <c r="AF772" s="549"/>
      <c r="AG772" s="181"/>
      <c r="AH772" s="181"/>
      <c r="AI772" s="181"/>
      <c r="AJ772" s="179"/>
      <c r="AK772" s="549"/>
      <c r="AL772" s="181"/>
      <c r="AM772" s="181"/>
      <c r="AN772" s="181"/>
      <c r="AO772" s="179"/>
      <c r="AP772" s="549"/>
      <c r="AQ772" s="181"/>
      <c r="AR772" s="181"/>
      <c r="AS772" s="181"/>
      <c r="AT772" s="528"/>
      <c r="AU772" s="528"/>
      <c r="AV772" s="528"/>
      <c r="AW772" s="528"/>
      <c r="AX772" s="528"/>
      <c r="AY772" s="528"/>
      <c r="AZ772" s="528"/>
      <c r="BA772" s="528"/>
      <c r="BB772" s="528"/>
      <c r="BC772" s="528"/>
      <c r="BD772" s="528"/>
      <c r="BE772" s="528"/>
      <c r="BF772" s="528"/>
      <c r="BG772" s="528"/>
      <c r="BH772" s="528"/>
    </row>
    <row r="773">
      <c r="A773" s="179"/>
      <c r="B773" s="549"/>
      <c r="C773" s="181"/>
      <c r="D773" s="181"/>
      <c r="E773" s="181"/>
      <c r="F773" s="179"/>
      <c r="G773" s="549"/>
      <c r="H773" s="181"/>
      <c r="I773" s="181"/>
      <c r="J773" s="181"/>
      <c r="K773" s="156"/>
      <c r="L773" s="549"/>
      <c r="M773" s="181"/>
      <c r="N773" s="181"/>
      <c r="O773" s="181"/>
      <c r="P773" s="156"/>
      <c r="Q773" s="562"/>
      <c r="R773" s="181"/>
      <c r="S773" s="181"/>
      <c r="T773" s="181"/>
      <c r="U773" s="179"/>
      <c r="V773" s="549"/>
      <c r="W773" s="181"/>
      <c r="X773" s="181"/>
      <c r="Y773" s="181"/>
      <c r="Z773" s="179"/>
      <c r="AA773" s="549"/>
      <c r="AB773" s="181"/>
      <c r="AC773" s="181"/>
      <c r="AD773" s="181"/>
      <c r="AE773" s="179"/>
      <c r="AF773" s="549"/>
      <c r="AG773" s="181"/>
      <c r="AH773" s="181"/>
      <c r="AI773" s="181"/>
      <c r="AJ773" s="179"/>
      <c r="AK773" s="549"/>
      <c r="AL773" s="181"/>
      <c r="AM773" s="181"/>
      <c r="AN773" s="181"/>
      <c r="AO773" s="179"/>
      <c r="AP773" s="549"/>
      <c r="AQ773" s="181"/>
      <c r="AR773" s="181"/>
      <c r="AS773" s="181"/>
      <c r="AT773" s="528"/>
      <c r="AU773" s="528"/>
      <c r="AV773" s="528"/>
      <c r="AW773" s="528"/>
      <c r="AX773" s="528"/>
      <c r="AY773" s="528"/>
      <c r="AZ773" s="528"/>
      <c r="BA773" s="528"/>
      <c r="BB773" s="528"/>
      <c r="BC773" s="528"/>
      <c r="BD773" s="528"/>
      <c r="BE773" s="528"/>
      <c r="BF773" s="528"/>
      <c r="BG773" s="528"/>
      <c r="BH773" s="528"/>
    </row>
    <row r="774">
      <c r="A774" s="179"/>
      <c r="B774" s="549"/>
      <c r="C774" s="181"/>
      <c r="D774" s="181"/>
      <c r="E774" s="181"/>
      <c r="F774" s="179"/>
      <c r="G774" s="549"/>
      <c r="H774" s="181"/>
      <c r="I774" s="181"/>
      <c r="J774" s="181"/>
      <c r="K774" s="156"/>
      <c r="L774" s="549"/>
      <c r="M774" s="181"/>
      <c r="N774" s="181"/>
      <c r="O774" s="181"/>
      <c r="P774" s="156"/>
      <c r="Q774" s="562"/>
      <c r="R774" s="181"/>
      <c r="S774" s="181"/>
      <c r="T774" s="181"/>
      <c r="U774" s="179"/>
      <c r="V774" s="549"/>
      <c r="W774" s="181"/>
      <c r="X774" s="181"/>
      <c r="Y774" s="181"/>
      <c r="Z774" s="179"/>
      <c r="AA774" s="549"/>
      <c r="AB774" s="181"/>
      <c r="AC774" s="181"/>
      <c r="AD774" s="181"/>
      <c r="AE774" s="179"/>
      <c r="AF774" s="549"/>
      <c r="AG774" s="181"/>
      <c r="AH774" s="181"/>
      <c r="AI774" s="181"/>
      <c r="AJ774" s="179"/>
      <c r="AK774" s="549"/>
      <c r="AL774" s="181"/>
      <c r="AM774" s="181"/>
      <c r="AN774" s="181"/>
      <c r="AO774" s="179"/>
      <c r="AP774" s="549"/>
      <c r="AQ774" s="181"/>
      <c r="AR774" s="181"/>
      <c r="AS774" s="181"/>
      <c r="AT774" s="528"/>
      <c r="AU774" s="528"/>
      <c r="AV774" s="528"/>
      <c r="AW774" s="528"/>
      <c r="AX774" s="528"/>
      <c r="AY774" s="528"/>
      <c r="AZ774" s="528"/>
      <c r="BA774" s="528"/>
      <c r="BB774" s="528"/>
      <c r="BC774" s="528"/>
      <c r="BD774" s="528"/>
      <c r="BE774" s="528"/>
      <c r="BF774" s="528"/>
      <c r="BG774" s="528"/>
      <c r="BH774" s="528"/>
    </row>
    <row r="775">
      <c r="A775" s="179"/>
      <c r="B775" s="549"/>
      <c r="C775" s="181"/>
      <c r="D775" s="181"/>
      <c r="E775" s="181"/>
      <c r="F775" s="179"/>
      <c r="G775" s="549"/>
      <c r="H775" s="181"/>
      <c r="I775" s="181"/>
      <c r="J775" s="181"/>
      <c r="K775" s="156"/>
      <c r="L775" s="549"/>
      <c r="M775" s="181"/>
      <c r="N775" s="181"/>
      <c r="O775" s="181"/>
      <c r="P775" s="156"/>
      <c r="Q775" s="562"/>
      <c r="R775" s="181"/>
      <c r="S775" s="181"/>
      <c r="T775" s="181"/>
      <c r="U775" s="179"/>
      <c r="V775" s="549"/>
      <c r="W775" s="181"/>
      <c r="X775" s="181"/>
      <c r="Y775" s="181"/>
      <c r="Z775" s="179"/>
      <c r="AA775" s="549"/>
      <c r="AB775" s="181"/>
      <c r="AC775" s="181"/>
      <c r="AD775" s="181"/>
      <c r="AE775" s="179"/>
      <c r="AF775" s="549"/>
      <c r="AG775" s="181"/>
      <c r="AH775" s="181"/>
      <c r="AI775" s="181"/>
      <c r="AJ775" s="179"/>
      <c r="AK775" s="549"/>
      <c r="AL775" s="181"/>
      <c r="AM775" s="181"/>
      <c r="AN775" s="181"/>
      <c r="AO775" s="179"/>
      <c r="AP775" s="549"/>
      <c r="AQ775" s="181"/>
      <c r="AR775" s="181"/>
      <c r="AS775" s="181"/>
      <c r="AT775" s="528"/>
      <c r="AU775" s="528"/>
      <c r="AV775" s="528"/>
      <c r="AW775" s="528"/>
      <c r="AX775" s="528"/>
      <c r="AY775" s="528"/>
      <c r="AZ775" s="528"/>
      <c r="BA775" s="528"/>
      <c r="BB775" s="528"/>
      <c r="BC775" s="528"/>
      <c r="BD775" s="528"/>
      <c r="BE775" s="528"/>
      <c r="BF775" s="528"/>
      <c r="BG775" s="528"/>
      <c r="BH775" s="528"/>
    </row>
    <row r="776">
      <c r="A776" s="179"/>
      <c r="B776" s="549"/>
      <c r="C776" s="181"/>
      <c r="D776" s="181"/>
      <c r="E776" s="181"/>
      <c r="F776" s="179"/>
      <c r="G776" s="549"/>
      <c r="H776" s="181"/>
      <c r="I776" s="181"/>
      <c r="J776" s="181"/>
      <c r="K776" s="156"/>
      <c r="L776" s="549"/>
      <c r="M776" s="181"/>
      <c r="N776" s="181"/>
      <c r="O776" s="181"/>
      <c r="P776" s="156"/>
      <c r="Q776" s="562"/>
      <c r="R776" s="181"/>
      <c r="S776" s="181"/>
      <c r="T776" s="181"/>
      <c r="U776" s="179"/>
      <c r="V776" s="549"/>
      <c r="W776" s="181"/>
      <c r="X776" s="181"/>
      <c r="Y776" s="181"/>
      <c r="Z776" s="179"/>
      <c r="AA776" s="549"/>
      <c r="AB776" s="181"/>
      <c r="AC776" s="181"/>
      <c r="AD776" s="181"/>
      <c r="AE776" s="179"/>
      <c r="AF776" s="549"/>
      <c r="AG776" s="181"/>
      <c r="AH776" s="181"/>
      <c r="AI776" s="181"/>
      <c r="AJ776" s="179"/>
      <c r="AK776" s="549"/>
      <c r="AL776" s="181"/>
      <c r="AM776" s="181"/>
      <c r="AN776" s="181"/>
      <c r="AO776" s="179"/>
      <c r="AP776" s="549"/>
      <c r="AQ776" s="181"/>
      <c r="AR776" s="181"/>
      <c r="AS776" s="181"/>
      <c r="AT776" s="528"/>
      <c r="AU776" s="528"/>
      <c r="AV776" s="528"/>
      <c r="AW776" s="528"/>
      <c r="AX776" s="528"/>
      <c r="AY776" s="528"/>
      <c r="AZ776" s="528"/>
      <c r="BA776" s="528"/>
      <c r="BB776" s="528"/>
      <c r="BC776" s="528"/>
      <c r="BD776" s="528"/>
      <c r="BE776" s="528"/>
      <c r="BF776" s="528"/>
      <c r="BG776" s="528"/>
      <c r="BH776" s="528"/>
    </row>
    <row r="777">
      <c r="A777" s="179"/>
      <c r="B777" s="549"/>
      <c r="C777" s="181"/>
      <c r="D777" s="181"/>
      <c r="E777" s="181"/>
      <c r="F777" s="179"/>
      <c r="G777" s="549"/>
      <c r="H777" s="181"/>
      <c r="I777" s="181"/>
      <c r="J777" s="181"/>
      <c r="K777" s="156"/>
      <c r="L777" s="549"/>
      <c r="M777" s="181"/>
      <c r="N777" s="181"/>
      <c r="O777" s="181"/>
      <c r="P777" s="156"/>
      <c r="Q777" s="562"/>
      <c r="R777" s="181"/>
      <c r="S777" s="181"/>
      <c r="T777" s="181"/>
      <c r="U777" s="179"/>
      <c r="V777" s="549"/>
      <c r="W777" s="181"/>
      <c r="X777" s="181"/>
      <c r="Y777" s="181"/>
      <c r="Z777" s="179"/>
      <c r="AA777" s="549"/>
      <c r="AB777" s="181"/>
      <c r="AC777" s="181"/>
      <c r="AD777" s="181"/>
      <c r="AE777" s="179"/>
      <c r="AF777" s="549"/>
      <c r="AG777" s="181"/>
      <c r="AH777" s="181"/>
      <c r="AI777" s="181"/>
      <c r="AJ777" s="179"/>
      <c r="AK777" s="549"/>
      <c r="AL777" s="181"/>
      <c r="AM777" s="181"/>
      <c r="AN777" s="181"/>
      <c r="AO777" s="179"/>
      <c r="AP777" s="549"/>
      <c r="AQ777" s="181"/>
      <c r="AR777" s="181"/>
      <c r="AS777" s="181"/>
      <c r="AT777" s="528"/>
      <c r="AU777" s="528"/>
      <c r="AV777" s="528"/>
      <c r="AW777" s="528"/>
      <c r="AX777" s="528"/>
      <c r="AY777" s="528"/>
      <c r="AZ777" s="528"/>
      <c r="BA777" s="528"/>
      <c r="BB777" s="528"/>
      <c r="BC777" s="528"/>
      <c r="BD777" s="528"/>
      <c r="BE777" s="528"/>
      <c r="BF777" s="528"/>
      <c r="BG777" s="528"/>
      <c r="BH777" s="528"/>
    </row>
    <row r="778">
      <c r="A778" s="179"/>
      <c r="B778" s="549"/>
      <c r="C778" s="181"/>
      <c r="D778" s="181"/>
      <c r="E778" s="181"/>
      <c r="F778" s="179"/>
      <c r="G778" s="549"/>
      <c r="H778" s="181"/>
      <c r="I778" s="181"/>
      <c r="J778" s="181"/>
      <c r="K778" s="156"/>
      <c r="L778" s="549"/>
      <c r="M778" s="181"/>
      <c r="N778" s="181"/>
      <c r="O778" s="181"/>
      <c r="P778" s="156"/>
      <c r="Q778" s="562"/>
      <c r="R778" s="181"/>
      <c r="S778" s="181"/>
      <c r="T778" s="181"/>
      <c r="U778" s="179"/>
      <c r="V778" s="549"/>
      <c r="W778" s="181"/>
      <c r="X778" s="181"/>
      <c r="Y778" s="181"/>
      <c r="Z778" s="179"/>
      <c r="AA778" s="549"/>
      <c r="AB778" s="181"/>
      <c r="AC778" s="181"/>
      <c r="AD778" s="181"/>
      <c r="AE778" s="179"/>
      <c r="AF778" s="549"/>
      <c r="AG778" s="181"/>
      <c r="AH778" s="181"/>
      <c r="AI778" s="181"/>
      <c r="AJ778" s="179"/>
      <c r="AK778" s="549"/>
      <c r="AL778" s="181"/>
      <c r="AM778" s="181"/>
      <c r="AN778" s="181"/>
      <c r="AO778" s="179"/>
      <c r="AP778" s="549"/>
      <c r="AQ778" s="181"/>
      <c r="AR778" s="181"/>
      <c r="AS778" s="181"/>
      <c r="AT778" s="528"/>
      <c r="AU778" s="528"/>
      <c r="AV778" s="528"/>
      <c r="AW778" s="528"/>
      <c r="AX778" s="528"/>
      <c r="AY778" s="528"/>
      <c r="AZ778" s="528"/>
      <c r="BA778" s="528"/>
      <c r="BB778" s="528"/>
      <c r="BC778" s="528"/>
      <c r="BD778" s="528"/>
      <c r="BE778" s="528"/>
      <c r="BF778" s="528"/>
      <c r="BG778" s="528"/>
      <c r="BH778" s="528"/>
    </row>
    <row r="779">
      <c r="A779" s="179"/>
      <c r="B779" s="549"/>
      <c r="C779" s="181"/>
      <c r="D779" s="181"/>
      <c r="E779" s="181"/>
      <c r="F779" s="179"/>
      <c r="G779" s="549"/>
      <c r="H779" s="181"/>
      <c r="I779" s="181"/>
      <c r="J779" s="181"/>
      <c r="K779" s="156"/>
      <c r="L779" s="549"/>
      <c r="M779" s="181"/>
      <c r="N779" s="181"/>
      <c r="O779" s="181"/>
      <c r="P779" s="156"/>
      <c r="Q779" s="562"/>
      <c r="R779" s="181"/>
      <c r="S779" s="181"/>
      <c r="T779" s="181"/>
      <c r="U779" s="179"/>
      <c r="V779" s="549"/>
      <c r="W779" s="181"/>
      <c r="X779" s="181"/>
      <c r="Y779" s="181"/>
      <c r="Z779" s="179"/>
      <c r="AA779" s="549"/>
      <c r="AB779" s="181"/>
      <c r="AC779" s="181"/>
      <c r="AD779" s="181"/>
      <c r="AE779" s="179"/>
      <c r="AF779" s="549"/>
      <c r="AG779" s="181"/>
      <c r="AH779" s="181"/>
      <c r="AI779" s="181"/>
      <c r="AJ779" s="179"/>
      <c r="AK779" s="549"/>
      <c r="AL779" s="181"/>
      <c r="AM779" s="181"/>
      <c r="AN779" s="181"/>
      <c r="AO779" s="179"/>
      <c r="AP779" s="549"/>
      <c r="AQ779" s="181"/>
      <c r="AR779" s="181"/>
      <c r="AS779" s="181"/>
      <c r="AT779" s="528"/>
      <c r="AU779" s="528"/>
      <c r="AV779" s="528"/>
      <c r="AW779" s="528"/>
      <c r="AX779" s="528"/>
      <c r="AY779" s="528"/>
      <c r="AZ779" s="528"/>
      <c r="BA779" s="528"/>
      <c r="BB779" s="528"/>
      <c r="BC779" s="528"/>
      <c r="BD779" s="528"/>
      <c r="BE779" s="528"/>
      <c r="BF779" s="528"/>
      <c r="BG779" s="528"/>
      <c r="BH779" s="528"/>
    </row>
    <row r="780">
      <c r="A780" s="179"/>
      <c r="B780" s="549"/>
      <c r="C780" s="181"/>
      <c r="D780" s="181"/>
      <c r="E780" s="181"/>
      <c r="F780" s="179"/>
      <c r="G780" s="549"/>
      <c r="H780" s="181"/>
      <c r="I780" s="181"/>
      <c r="J780" s="181"/>
      <c r="K780" s="156"/>
      <c r="L780" s="549"/>
      <c r="M780" s="181"/>
      <c r="N780" s="181"/>
      <c r="O780" s="181"/>
      <c r="P780" s="156"/>
      <c r="Q780" s="562"/>
      <c r="R780" s="181"/>
      <c r="S780" s="181"/>
      <c r="T780" s="181"/>
      <c r="U780" s="179"/>
      <c r="V780" s="549"/>
      <c r="W780" s="181"/>
      <c r="X780" s="181"/>
      <c r="Y780" s="181"/>
      <c r="Z780" s="179"/>
      <c r="AA780" s="549"/>
      <c r="AB780" s="181"/>
      <c r="AC780" s="181"/>
      <c r="AD780" s="181"/>
      <c r="AE780" s="179"/>
      <c r="AF780" s="549"/>
      <c r="AG780" s="181"/>
      <c r="AH780" s="181"/>
      <c r="AI780" s="181"/>
      <c r="AJ780" s="179"/>
      <c r="AK780" s="549"/>
      <c r="AL780" s="181"/>
      <c r="AM780" s="181"/>
      <c r="AN780" s="181"/>
      <c r="AO780" s="179"/>
      <c r="AP780" s="549"/>
      <c r="AQ780" s="181"/>
      <c r="AR780" s="181"/>
      <c r="AS780" s="181"/>
      <c r="AT780" s="528"/>
      <c r="AU780" s="528"/>
      <c r="AV780" s="528"/>
      <c r="AW780" s="528"/>
      <c r="AX780" s="528"/>
      <c r="AY780" s="528"/>
      <c r="AZ780" s="528"/>
      <c r="BA780" s="528"/>
      <c r="BB780" s="528"/>
      <c r="BC780" s="528"/>
      <c r="BD780" s="528"/>
      <c r="BE780" s="528"/>
      <c r="BF780" s="528"/>
      <c r="BG780" s="528"/>
      <c r="BH780" s="528"/>
    </row>
    <row r="781">
      <c r="A781" s="179"/>
      <c r="B781" s="549"/>
      <c r="C781" s="181"/>
      <c r="D781" s="181"/>
      <c r="E781" s="181"/>
      <c r="F781" s="179"/>
      <c r="G781" s="549"/>
      <c r="H781" s="181"/>
      <c r="I781" s="181"/>
      <c r="J781" s="181"/>
      <c r="K781" s="156"/>
      <c r="L781" s="549"/>
      <c r="M781" s="181"/>
      <c r="N781" s="181"/>
      <c r="O781" s="181"/>
      <c r="P781" s="156"/>
      <c r="Q781" s="562"/>
      <c r="R781" s="181"/>
      <c r="S781" s="181"/>
      <c r="T781" s="181"/>
      <c r="U781" s="179"/>
      <c r="V781" s="549"/>
      <c r="W781" s="181"/>
      <c r="X781" s="181"/>
      <c r="Y781" s="181"/>
      <c r="Z781" s="179"/>
      <c r="AA781" s="549"/>
      <c r="AB781" s="181"/>
      <c r="AC781" s="181"/>
      <c r="AD781" s="181"/>
      <c r="AE781" s="179"/>
      <c r="AF781" s="549"/>
      <c r="AG781" s="181"/>
      <c r="AH781" s="181"/>
      <c r="AI781" s="181"/>
      <c r="AJ781" s="179"/>
      <c r="AK781" s="549"/>
      <c r="AL781" s="181"/>
      <c r="AM781" s="181"/>
      <c r="AN781" s="181"/>
      <c r="AO781" s="179"/>
      <c r="AP781" s="549"/>
      <c r="AQ781" s="181"/>
      <c r="AR781" s="181"/>
      <c r="AS781" s="181"/>
      <c r="AT781" s="528"/>
      <c r="AU781" s="528"/>
      <c r="AV781" s="528"/>
      <c r="AW781" s="528"/>
      <c r="AX781" s="528"/>
      <c r="AY781" s="528"/>
      <c r="AZ781" s="528"/>
      <c r="BA781" s="528"/>
      <c r="BB781" s="528"/>
      <c r="BC781" s="528"/>
      <c r="BD781" s="528"/>
      <c r="BE781" s="528"/>
      <c r="BF781" s="528"/>
      <c r="BG781" s="528"/>
      <c r="BH781" s="528"/>
    </row>
    <row r="782">
      <c r="A782" s="179"/>
      <c r="B782" s="549"/>
      <c r="C782" s="181"/>
      <c r="D782" s="181"/>
      <c r="E782" s="181"/>
      <c r="F782" s="179"/>
      <c r="G782" s="549"/>
      <c r="H782" s="181"/>
      <c r="I782" s="181"/>
      <c r="J782" s="181"/>
      <c r="K782" s="156"/>
      <c r="L782" s="549"/>
      <c r="M782" s="181"/>
      <c r="N782" s="181"/>
      <c r="O782" s="181"/>
      <c r="P782" s="156"/>
      <c r="Q782" s="562"/>
      <c r="R782" s="181"/>
      <c r="S782" s="181"/>
      <c r="T782" s="181"/>
      <c r="U782" s="179"/>
      <c r="V782" s="549"/>
      <c r="W782" s="181"/>
      <c r="X782" s="181"/>
      <c r="Y782" s="181"/>
      <c r="Z782" s="179"/>
      <c r="AA782" s="549"/>
      <c r="AB782" s="181"/>
      <c r="AC782" s="181"/>
      <c r="AD782" s="181"/>
      <c r="AE782" s="179"/>
      <c r="AF782" s="549"/>
      <c r="AG782" s="181"/>
      <c r="AH782" s="181"/>
      <c r="AI782" s="181"/>
      <c r="AJ782" s="179"/>
      <c r="AK782" s="549"/>
      <c r="AL782" s="181"/>
      <c r="AM782" s="181"/>
      <c r="AN782" s="181"/>
      <c r="AO782" s="179"/>
      <c r="AP782" s="549"/>
      <c r="AQ782" s="181"/>
      <c r="AR782" s="181"/>
      <c r="AS782" s="181"/>
      <c r="AT782" s="528"/>
      <c r="AU782" s="528"/>
      <c r="AV782" s="528"/>
      <c r="AW782" s="528"/>
      <c r="AX782" s="528"/>
      <c r="AY782" s="528"/>
      <c r="AZ782" s="528"/>
      <c r="BA782" s="528"/>
      <c r="BB782" s="528"/>
      <c r="BC782" s="528"/>
      <c r="BD782" s="528"/>
      <c r="BE782" s="528"/>
      <c r="BF782" s="528"/>
      <c r="BG782" s="528"/>
      <c r="BH782" s="528"/>
    </row>
    <row r="783">
      <c r="A783" s="179"/>
      <c r="B783" s="549"/>
      <c r="C783" s="181"/>
      <c r="D783" s="181"/>
      <c r="E783" s="181"/>
      <c r="F783" s="179"/>
      <c r="G783" s="549"/>
      <c r="H783" s="181"/>
      <c r="I783" s="181"/>
      <c r="J783" s="181"/>
      <c r="K783" s="156"/>
      <c r="L783" s="549"/>
      <c r="M783" s="181"/>
      <c r="N783" s="181"/>
      <c r="O783" s="181"/>
      <c r="P783" s="156"/>
      <c r="Q783" s="562"/>
      <c r="R783" s="181"/>
      <c r="S783" s="181"/>
      <c r="T783" s="181"/>
      <c r="U783" s="179"/>
      <c r="V783" s="549"/>
      <c r="W783" s="181"/>
      <c r="X783" s="181"/>
      <c r="Y783" s="181"/>
      <c r="Z783" s="179"/>
      <c r="AA783" s="549"/>
      <c r="AB783" s="181"/>
      <c r="AC783" s="181"/>
      <c r="AD783" s="181"/>
      <c r="AE783" s="179"/>
      <c r="AF783" s="549"/>
      <c r="AG783" s="181"/>
      <c r="AH783" s="181"/>
      <c r="AI783" s="181"/>
      <c r="AJ783" s="179"/>
      <c r="AK783" s="549"/>
      <c r="AL783" s="181"/>
      <c r="AM783" s="181"/>
      <c r="AN783" s="181"/>
      <c r="AO783" s="179"/>
      <c r="AP783" s="549"/>
      <c r="AQ783" s="181"/>
      <c r="AR783" s="181"/>
      <c r="AS783" s="181"/>
      <c r="AT783" s="528"/>
      <c r="AU783" s="528"/>
      <c r="AV783" s="528"/>
      <c r="AW783" s="528"/>
      <c r="AX783" s="528"/>
      <c r="AY783" s="528"/>
      <c r="AZ783" s="528"/>
      <c r="BA783" s="528"/>
      <c r="BB783" s="528"/>
      <c r="BC783" s="528"/>
      <c r="BD783" s="528"/>
      <c r="BE783" s="528"/>
      <c r="BF783" s="528"/>
      <c r="BG783" s="528"/>
      <c r="BH783" s="528"/>
    </row>
    <row r="784">
      <c r="A784" s="179"/>
      <c r="B784" s="549"/>
      <c r="C784" s="181"/>
      <c r="D784" s="181"/>
      <c r="E784" s="181"/>
      <c r="F784" s="179"/>
      <c r="G784" s="549"/>
      <c r="H784" s="181"/>
      <c r="I784" s="181"/>
      <c r="J784" s="181"/>
      <c r="K784" s="156"/>
      <c r="L784" s="549"/>
      <c r="M784" s="181"/>
      <c r="N784" s="181"/>
      <c r="O784" s="181"/>
      <c r="P784" s="156"/>
      <c r="Q784" s="562"/>
      <c r="R784" s="181"/>
      <c r="S784" s="181"/>
      <c r="T784" s="181"/>
      <c r="U784" s="179"/>
      <c r="V784" s="549"/>
      <c r="W784" s="181"/>
      <c r="X784" s="181"/>
      <c r="Y784" s="181"/>
      <c r="Z784" s="179"/>
      <c r="AA784" s="549"/>
      <c r="AB784" s="181"/>
      <c r="AC784" s="181"/>
      <c r="AD784" s="181"/>
      <c r="AE784" s="179"/>
      <c r="AF784" s="549"/>
      <c r="AG784" s="181"/>
      <c r="AH784" s="181"/>
      <c r="AI784" s="181"/>
      <c r="AJ784" s="179"/>
      <c r="AK784" s="549"/>
      <c r="AL784" s="181"/>
      <c r="AM784" s="181"/>
      <c r="AN784" s="181"/>
      <c r="AO784" s="179"/>
      <c r="AP784" s="549"/>
      <c r="AQ784" s="181"/>
      <c r="AR784" s="181"/>
      <c r="AS784" s="181"/>
      <c r="AT784" s="528"/>
      <c r="AU784" s="528"/>
      <c r="AV784" s="528"/>
      <c r="AW784" s="528"/>
      <c r="AX784" s="528"/>
      <c r="AY784" s="528"/>
      <c r="AZ784" s="528"/>
      <c r="BA784" s="528"/>
      <c r="BB784" s="528"/>
      <c r="BC784" s="528"/>
      <c r="BD784" s="528"/>
      <c r="BE784" s="528"/>
      <c r="BF784" s="528"/>
      <c r="BG784" s="528"/>
      <c r="BH784" s="528"/>
    </row>
    <row r="785">
      <c r="A785" s="179"/>
      <c r="B785" s="549"/>
      <c r="C785" s="181"/>
      <c r="D785" s="181"/>
      <c r="E785" s="181"/>
      <c r="F785" s="179"/>
      <c r="G785" s="549"/>
      <c r="H785" s="181"/>
      <c r="I785" s="181"/>
      <c r="J785" s="181"/>
      <c r="K785" s="156"/>
      <c r="L785" s="549"/>
      <c r="M785" s="181"/>
      <c r="N785" s="181"/>
      <c r="O785" s="181"/>
      <c r="P785" s="156"/>
      <c r="Q785" s="562"/>
      <c r="R785" s="181"/>
      <c r="S785" s="181"/>
      <c r="T785" s="181"/>
      <c r="U785" s="179"/>
      <c r="V785" s="549"/>
      <c r="W785" s="181"/>
      <c r="X785" s="181"/>
      <c r="Y785" s="181"/>
      <c r="Z785" s="179"/>
      <c r="AA785" s="549"/>
      <c r="AB785" s="181"/>
      <c r="AC785" s="181"/>
      <c r="AD785" s="181"/>
      <c r="AE785" s="179"/>
      <c r="AF785" s="549"/>
      <c r="AG785" s="181"/>
      <c r="AH785" s="181"/>
      <c r="AI785" s="181"/>
      <c r="AJ785" s="179"/>
      <c r="AK785" s="549"/>
      <c r="AL785" s="181"/>
      <c r="AM785" s="181"/>
      <c r="AN785" s="181"/>
      <c r="AO785" s="179"/>
      <c r="AP785" s="549"/>
      <c r="AQ785" s="181"/>
      <c r="AR785" s="181"/>
      <c r="AS785" s="181"/>
      <c r="AT785" s="528"/>
      <c r="AU785" s="528"/>
      <c r="AV785" s="528"/>
      <c r="AW785" s="528"/>
      <c r="AX785" s="528"/>
      <c r="AY785" s="528"/>
      <c r="AZ785" s="528"/>
      <c r="BA785" s="528"/>
      <c r="BB785" s="528"/>
      <c r="BC785" s="528"/>
      <c r="BD785" s="528"/>
      <c r="BE785" s="528"/>
      <c r="BF785" s="528"/>
      <c r="BG785" s="528"/>
      <c r="BH785" s="528"/>
    </row>
    <row r="786">
      <c r="A786" s="179"/>
      <c r="B786" s="549"/>
      <c r="C786" s="181"/>
      <c r="D786" s="181"/>
      <c r="E786" s="181"/>
      <c r="F786" s="179"/>
      <c r="G786" s="549"/>
      <c r="H786" s="181"/>
      <c r="I786" s="181"/>
      <c r="J786" s="181"/>
      <c r="K786" s="156"/>
      <c r="L786" s="549"/>
      <c r="M786" s="181"/>
      <c r="N786" s="181"/>
      <c r="O786" s="181"/>
      <c r="P786" s="156"/>
      <c r="Q786" s="562"/>
      <c r="R786" s="181"/>
      <c r="S786" s="181"/>
      <c r="T786" s="181"/>
      <c r="U786" s="179"/>
      <c r="V786" s="549"/>
      <c r="W786" s="181"/>
      <c r="X786" s="181"/>
      <c r="Y786" s="181"/>
      <c r="Z786" s="179"/>
      <c r="AA786" s="549"/>
      <c r="AB786" s="181"/>
      <c r="AC786" s="181"/>
      <c r="AD786" s="181"/>
      <c r="AE786" s="179"/>
      <c r="AF786" s="549"/>
      <c r="AG786" s="181"/>
      <c r="AH786" s="181"/>
      <c r="AI786" s="181"/>
      <c r="AJ786" s="179"/>
      <c r="AK786" s="549"/>
      <c r="AL786" s="181"/>
      <c r="AM786" s="181"/>
      <c r="AN786" s="181"/>
      <c r="AO786" s="179"/>
      <c r="AP786" s="549"/>
      <c r="AQ786" s="181"/>
      <c r="AR786" s="181"/>
      <c r="AS786" s="181"/>
      <c r="AT786" s="528"/>
      <c r="AU786" s="528"/>
      <c r="AV786" s="528"/>
      <c r="AW786" s="528"/>
      <c r="AX786" s="528"/>
      <c r="AY786" s="528"/>
      <c r="AZ786" s="528"/>
      <c r="BA786" s="528"/>
      <c r="BB786" s="528"/>
      <c r="BC786" s="528"/>
      <c r="BD786" s="528"/>
      <c r="BE786" s="528"/>
      <c r="BF786" s="528"/>
      <c r="BG786" s="528"/>
      <c r="BH786" s="528"/>
    </row>
    <row r="787">
      <c r="A787" s="179"/>
      <c r="B787" s="549"/>
      <c r="C787" s="181"/>
      <c r="D787" s="181"/>
      <c r="E787" s="181"/>
      <c r="F787" s="179"/>
      <c r="G787" s="549"/>
      <c r="H787" s="181"/>
      <c r="I787" s="181"/>
      <c r="J787" s="181"/>
      <c r="K787" s="156"/>
      <c r="L787" s="549"/>
      <c r="M787" s="181"/>
      <c r="N787" s="181"/>
      <c r="O787" s="181"/>
      <c r="P787" s="156"/>
      <c r="Q787" s="562"/>
      <c r="R787" s="181"/>
      <c r="S787" s="181"/>
      <c r="T787" s="181"/>
      <c r="U787" s="179"/>
      <c r="V787" s="549"/>
      <c r="W787" s="181"/>
      <c r="X787" s="181"/>
      <c r="Y787" s="181"/>
      <c r="Z787" s="179"/>
      <c r="AA787" s="549"/>
      <c r="AB787" s="181"/>
      <c r="AC787" s="181"/>
      <c r="AD787" s="181"/>
      <c r="AE787" s="179"/>
      <c r="AF787" s="549"/>
      <c r="AG787" s="181"/>
      <c r="AH787" s="181"/>
      <c r="AI787" s="181"/>
      <c r="AJ787" s="179"/>
      <c r="AK787" s="549"/>
      <c r="AL787" s="181"/>
      <c r="AM787" s="181"/>
      <c r="AN787" s="181"/>
      <c r="AO787" s="179"/>
      <c r="AP787" s="549"/>
      <c r="AQ787" s="181"/>
      <c r="AR787" s="181"/>
      <c r="AS787" s="181"/>
      <c r="AT787" s="528"/>
      <c r="AU787" s="528"/>
      <c r="AV787" s="528"/>
      <c r="AW787" s="528"/>
      <c r="AX787" s="528"/>
      <c r="AY787" s="528"/>
      <c r="AZ787" s="528"/>
      <c r="BA787" s="528"/>
      <c r="BB787" s="528"/>
      <c r="BC787" s="528"/>
      <c r="BD787" s="528"/>
      <c r="BE787" s="528"/>
      <c r="BF787" s="528"/>
      <c r="BG787" s="528"/>
      <c r="BH787" s="528"/>
    </row>
    <row r="788">
      <c r="A788" s="179"/>
      <c r="B788" s="549"/>
      <c r="C788" s="181"/>
      <c r="D788" s="181"/>
      <c r="E788" s="181"/>
      <c r="F788" s="179"/>
      <c r="G788" s="549"/>
      <c r="H788" s="181"/>
      <c r="I788" s="181"/>
      <c r="J788" s="181"/>
      <c r="K788" s="156"/>
      <c r="L788" s="549"/>
      <c r="M788" s="181"/>
      <c r="N788" s="181"/>
      <c r="O788" s="181"/>
      <c r="P788" s="156"/>
      <c r="Q788" s="562"/>
      <c r="R788" s="181"/>
      <c r="S788" s="181"/>
      <c r="T788" s="181"/>
      <c r="U788" s="179"/>
      <c r="V788" s="549"/>
      <c r="W788" s="181"/>
      <c r="X788" s="181"/>
      <c r="Y788" s="181"/>
      <c r="Z788" s="179"/>
      <c r="AA788" s="549"/>
      <c r="AB788" s="181"/>
      <c r="AC788" s="181"/>
      <c r="AD788" s="181"/>
      <c r="AE788" s="179"/>
      <c r="AF788" s="549"/>
      <c r="AG788" s="181"/>
      <c r="AH788" s="181"/>
      <c r="AI788" s="181"/>
      <c r="AJ788" s="179"/>
      <c r="AK788" s="549"/>
      <c r="AL788" s="181"/>
      <c r="AM788" s="181"/>
      <c r="AN788" s="181"/>
      <c r="AO788" s="179"/>
      <c r="AP788" s="549"/>
      <c r="AQ788" s="181"/>
      <c r="AR788" s="181"/>
      <c r="AS788" s="181"/>
      <c r="AT788" s="528"/>
      <c r="AU788" s="528"/>
      <c r="AV788" s="528"/>
      <c r="AW788" s="528"/>
      <c r="AX788" s="528"/>
      <c r="AY788" s="528"/>
      <c r="AZ788" s="528"/>
      <c r="BA788" s="528"/>
      <c r="BB788" s="528"/>
      <c r="BC788" s="528"/>
      <c r="BD788" s="528"/>
      <c r="BE788" s="528"/>
      <c r="BF788" s="528"/>
      <c r="BG788" s="528"/>
      <c r="BH788" s="528"/>
    </row>
    <row r="789">
      <c r="A789" s="179"/>
      <c r="B789" s="549"/>
      <c r="C789" s="181"/>
      <c r="D789" s="181"/>
      <c r="E789" s="181"/>
      <c r="F789" s="179"/>
      <c r="G789" s="549"/>
      <c r="H789" s="181"/>
      <c r="I789" s="181"/>
      <c r="J789" s="181"/>
      <c r="K789" s="156"/>
      <c r="L789" s="549"/>
      <c r="M789" s="181"/>
      <c r="N789" s="181"/>
      <c r="O789" s="181"/>
      <c r="P789" s="156"/>
      <c r="Q789" s="562"/>
      <c r="R789" s="181"/>
      <c r="S789" s="181"/>
      <c r="T789" s="181"/>
      <c r="U789" s="179"/>
      <c r="V789" s="549"/>
      <c r="W789" s="181"/>
      <c r="X789" s="181"/>
      <c r="Y789" s="181"/>
      <c r="Z789" s="179"/>
      <c r="AA789" s="549"/>
      <c r="AB789" s="181"/>
      <c r="AC789" s="181"/>
      <c r="AD789" s="181"/>
      <c r="AE789" s="179"/>
      <c r="AF789" s="549"/>
      <c r="AG789" s="181"/>
      <c r="AH789" s="181"/>
      <c r="AI789" s="181"/>
      <c r="AJ789" s="179"/>
      <c r="AK789" s="549"/>
      <c r="AL789" s="181"/>
      <c r="AM789" s="181"/>
      <c r="AN789" s="181"/>
      <c r="AO789" s="179"/>
      <c r="AP789" s="549"/>
      <c r="AQ789" s="181"/>
      <c r="AR789" s="181"/>
      <c r="AS789" s="181"/>
      <c r="AT789" s="528"/>
      <c r="AU789" s="528"/>
      <c r="AV789" s="528"/>
      <c r="AW789" s="528"/>
      <c r="AX789" s="528"/>
      <c r="AY789" s="528"/>
      <c r="AZ789" s="528"/>
      <c r="BA789" s="528"/>
      <c r="BB789" s="528"/>
      <c r="BC789" s="528"/>
      <c r="BD789" s="528"/>
      <c r="BE789" s="528"/>
      <c r="BF789" s="528"/>
      <c r="BG789" s="528"/>
      <c r="BH789" s="528"/>
    </row>
    <row r="790">
      <c r="A790" s="179"/>
      <c r="B790" s="549"/>
      <c r="C790" s="181"/>
      <c r="D790" s="181"/>
      <c r="E790" s="181"/>
      <c r="F790" s="179"/>
      <c r="G790" s="549"/>
      <c r="H790" s="181"/>
      <c r="I790" s="181"/>
      <c r="J790" s="181"/>
      <c r="K790" s="156"/>
      <c r="L790" s="549"/>
      <c r="M790" s="181"/>
      <c r="N790" s="181"/>
      <c r="O790" s="181"/>
      <c r="P790" s="156"/>
      <c r="Q790" s="562"/>
      <c r="R790" s="181"/>
      <c r="S790" s="181"/>
      <c r="T790" s="181"/>
      <c r="U790" s="179"/>
      <c r="V790" s="549"/>
      <c r="W790" s="181"/>
      <c r="X790" s="181"/>
      <c r="Y790" s="181"/>
      <c r="Z790" s="179"/>
      <c r="AA790" s="549"/>
      <c r="AB790" s="181"/>
      <c r="AC790" s="181"/>
      <c r="AD790" s="181"/>
      <c r="AE790" s="179"/>
      <c r="AF790" s="549"/>
      <c r="AG790" s="181"/>
      <c r="AH790" s="181"/>
      <c r="AI790" s="181"/>
      <c r="AJ790" s="179"/>
      <c r="AK790" s="549"/>
      <c r="AL790" s="181"/>
      <c r="AM790" s="181"/>
      <c r="AN790" s="181"/>
      <c r="AO790" s="179"/>
      <c r="AP790" s="549"/>
      <c r="AQ790" s="181"/>
      <c r="AR790" s="181"/>
      <c r="AS790" s="181"/>
      <c r="AT790" s="528"/>
      <c r="AU790" s="528"/>
      <c r="AV790" s="528"/>
      <c r="AW790" s="528"/>
      <c r="AX790" s="528"/>
      <c r="AY790" s="528"/>
      <c r="AZ790" s="528"/>
      <c r="BA790" s="528"/>
      <c r="BB790" s="528"/>
      <c r="BC790" s="528"/>
      <c r="BD790" s="528"/>
      <c r="BE790" s="528"/>
      <c r="BF790" s="528"/>
      <c r="BG790" s="528"/>
      <c r="BH790" s="528"/>
    </row>
    <row r="791">
      <c r="A791" s="179"/>
      <c r="B791" s="549"/>
      <c r="C791" s="181"/>
      <c r="D791" s="181"/>
      <c r="E791" s="181"/>
      <c r="F791" s="179"/>
      <c r="G791" s="549"/>
      <c r="H791" s="181"/>
      <c r="I791" s="181"/>
      <c r="J791" s="181"/>
      <c r="K791" s="156"/>
      <c r="L791" s="549"/>
      <c r="M791" s="181"/>
      <c r="N791" s="181"/>
      <c r="O791" s="181"/>
      <c r="P791" s="156"/>
      <c r="Q791" s="562"/>
      <c r="R791" s="181"/>
      <c r="S791" s="181"/>
      <c r="T791" s="181"/>
      <c r="U791" s="179"/>
      <c r="V791" s="549"/>
      <c r="W791" s="181"/>
      <c r="X791" s="181"/>
      <c r="Y791" s="181"/>
      <c r="Z791" s="179"/>
      <c r="AA791" s="549"/>
      <c r="AB791" s="181"/>
      <c r="AC791" s="181"/>
      <c r="AD791" s="181"/>
      <c r="AE791" s="179"/>
      <c r="AF791" s="549"/>
      <c r="AG791" s="181"/>
      <c r="AH791" s="181"/>
      <c r="AI791" s="181"/>
      <c r="AJ791" s="179"/>
      <c r="AK791" s="549"/>
      <c r="AL791" s="181"/>
      <c r="AM791" s="181"/>
      <c r="AN791" s="181"/>
      <c r="AO791" s="179"/>
      <c r="AP791" s="549"/>
      <c r="AQ791" s="181"/>
      <c r="AR791" s="181"/>
      <c r="AS791" s="181"/>
      <c r="AT791" s="528"/>
      <c r="AU791" s="528"/>
      <c r="AV791" s="528"/>
      <c r="AW791" s="528"/>
      <c r="AX791" s="528"/>
      <c r="AY791" s="528"/>
      <c r="AZ791" s="528"/>
      <c r="BA791" s="528"/>
      <c r="BB791" s="528"/>
      <c r="BC791" s="528"/>
      <c r="BD791" s="528"/>
      <c r="BE791" s="528"/>
      <c r="BF791" s="528"/>
      <c r="BG791" s="528"/>
      <c r="BH791" s="528"/>
    </row>
    <row r="792">
      <c r="A792" s="179"/>
      <c r="B792" s="549"/>
      <c r="C792" s="181"/>
      <c r="D792" s="181"/>
      <c r="E792" s="181"/>
      <c r="F792" s="179"/>
      <c r="G792" s="549"/>
      <c r="H792" s="181"/>
      <c r="I792" s="181"/>
      <c r="J792" s="181"/>
      <c r="K792" s="156"/>
      <c r="L792" s="549"/>
      <c r="M792" s="181"/>
      <c r="N792" s="181"/>
      <c r="O792" s="181"/>
      <c r="P792" s="156"/>
      <c r="Q792" s="562"/>
      <c r="R792" s="181"/>
      <c r="S792" s="181"/>
      <c r="T792" s="181"/>
      <c r="U792" s="179"/>
      <c r="V792" s="549"/>
      <c r="W792" s="181"/>
      <c r="X792" s="181"/>
      <c r="Y792" s="181"/>
      <c r="Z792" s="179"/>
      <c r="AA792" s="549"/>
      <c r="AB792" s="181"/>
      <c r="AC792" s="181"/>
      <c r="AD792" s="181"/>
      <c r="AE792" s="179"/>
      <c r="AF792" s="549"/>
      <c r="AG792" s="181"/>
      <c r="AH792" s="181"/>
      <c r="AI792" s="181"/>
      <c r="AJ792" s="179"/>
      <c r="AK792" s="549"/>
      <c r="AL792" s="181"/>
      <c r="AM792" s="181"/>
      <c r="AN792" s="181"/>
      <c r="AO792" s="179"/>
      <c r="AP792" s="549"/>
      <c r="AQ792" s="181"/>
      <c r="AR792" s="181"/>
      <c r="AS792" s="181"/>
      <c r="AT792" s="528"/>
      <c r="AU792" s="528"/>
      <c r="AV792" s="528"/>
      <c r="AW792" s="528"/>
      <c r="AX792" s="528"/>
      <c r="AY792" s="528"/>
      <c r="AZ792" s="528"/>
      <c r="BA792" s="528"/>
      <c r="BB792" s="528"/>
      <c r="BC792" s="528"/>
      <c r="BD792" s="528"/>
      <c r="BE792" s="528"/>
      <c r="BF792" s="528"/>
      <c r="BG792" s="528"/>
      <c r="BH792" s="528"/>
    </row>
    <row r="793">
      <c r="A793" s="179"/>
      <c r="B793" s="549"/>
      <c r="C793" s="181"/>
      <c r="D793" s="181"/>
      <c r="E793" s="181"/>
      <c r="F793" s="179"/>
      <c r="G793" s="549"/>
      <c r="H793" s="181"/>
      <c r="I793" s="181"/>
      <c r="J793" s="181"/>
      <c r="K793" s="156"/>
      <c r="L793" s="549"/>
      <c r="M793" s="181"/>
      <c r="N793" s="181"/>
      <c r="O793" s="181"/>
      <c r="P793" s="156"/>
      <c r="Q793" s="562"/>
      <c r="R793" s="181"/>
      <c r="S793" s="181"/>
      <c r="T793" s="181"/>
      <c r="U793" s="179"/>
      <c r="V793" s="549"/>
      <c r="W793" s="181"/>
      <c r="X793" s="181"/>
      <c r="Y793" s="181"/>
      <c r="Z793" s="179"/>
      <c r="AA793" s="549"/>
      <c r="AB793" s="181"/>
      <c r="AC793" s="181"/>
      <c r="AD793" s="181"/>
      <c r="AE793" s="179"/>
      <c r="AF793" s="549"/>
      <c r="AG793" s="181"/>
      <c r="AH793" s="181"/>
      <c r="AI793" s="181"/>
      <c r="AJ793" s="179"/>
      <c r="AK793" s="549"/>
      <c r="AL793" s="181"/>
      <c r="AM793" s="181"/>
      <c r="AN793" s="181"/>
      <c r="AO793" s="179"/>
      <c r="AP793" s="549"/>
      <c r="AQ793" s="181"/>
      <c r="AR793" s="181"/>
      <c r="AS793" s="181"/>
      <c r="AT793" s="528"/>
      <c r="AU793" s="528"/>
      <c r="AV793" s="528"/>
      <c r="AW793" s="528"/>
      <c r="AX793" s="528"/>
      <c r="AY793" s="528"/>
      <c r="AZ793" s="528"/>
      <c r="BA793" s="528"/>
      <c r="BB793" s="528"/>
      <c r="BC793" s="528"/>
      <c r="BD793" s="528"/>
      <c r="BE793" s="528"/>
      <c r="BF793" s="528"/>
      <c r="BG793" s="528"/>
      <c r="BH793" s="528"/>
    </row>
    <row r="794">
      <c r="A794" s="179"/>
      <c r="B794" s="549"/>
      <c r="C794" s="181"/>
      <c r="D794" s="181"/>
      <c r="E794" s="181"/>
      <c r="F794" s="179"/>
      <c r="G794" s="549"/>
      <c r="H794" s="181"/>
      <c r="I794" s="181"/>
      <c r="J794" s="181"/>
      <c r="K794" s="156"/>
      <c r="L794" s="549"/>
      <c r="M794" s="181"/>
      <c r="N794" s="181"/>
      <c r="O794" s="181"/>
      <c r="P794" s="156"/>
      <c r="Q794" s="562"/>
      <c r="R794" s="181"/>
      <c r="S794" s="181"/>
      <c r="T794" s="181"/>
      <c r="U794" s="179"/>
      <c r="V794" s="549"/>
      <c r="W794" s="181"/>
      <c r="X794" s="181"/>
      <c r="Y794" s="181"/>
      <c r="Z794" s="179"/>
      <c r="AA794" s="549"/>
      <c r="AB794" s="181"/>
      <c r="AC794" s="181"/>
      <c r="AD794" s="181"/>
      <c r="AE794" s="179"/>
      <c r="AF794" s="549"/>
      <c r="AG794" s="181"/>
      <c r="AH794" s="181"/>
      <c r="AI794" s="181"/>
      <c r="AJ794" s="179"/>
      <c r="AK794" s="549"/>
      <c r="AL794" s="181"/>
      <c r="AM794" s="181"/>
      <c r="AN794" s="181"/>
      <c r="AO794" s="179"/>
      <c r="AP794" s="549"/>
      <c r="AQ794" s="181"/>
      <c r="AR794" s="181"/>
      <c r="AS794" s="181"/>
      <c r="AT794" s="528"/>
      <c r="AU794" s="528"/>
      <c r="AV794" s="528"/>
      <c r="AW794" s="528"/>
      <c r="AX794" s="528"/>
      <c r="AY794" s="528"/>
      <c r="AZ794" s="528"/>
      <c r="BA794" s="528"/>
      <c r="BB794" s="528"/>
      <c r="BC794" s="528"/>
      <c r="BD794" s="528"/>
      <c r="BE794" s="528"/>
      <c r="BF794" s="528"/>
      <c r="BG794" s="528"/>
      <c r="BH794" s="528"/>
    </row>
    <row r="795">
      <c r="A795" s="179"/>
      <c r="B795" s="549"/>
      <c r="C795" s="181"/>
      <c r="D795" s="181"/>
      <c r="E795" s="181"/>
      <c r="F795" s="179"/>
      <c r="G795" s="549"/>
      <c r="H795" s="181"/>
      <c r="I795" s="181"/>
      <c r="J795" s="181"/>
      <c r="K795" s="156"/>
      <c r="L795" s="549"/>
      <c r="M795" s="181"/>
      <c r="N795" s="181"/>
      <c r="O795" s="181"/>
      <c r="P795" s="156"/>
      <c r="Q795" s="562"/>
      <c r="R795" s="181"/>
      <c r="S795" s="181"/>
      <c r="T795" s="181"/>
      <c r="U795" s="179"/>
      <c r="V795" s="549"/>
      <c r="W795" s="181"/>
      <c r="X795" s="181"/>
      <c r="Y795" s="181"/>
      <c r="Z795" s="179"/>
      <c r="AA795" s="549"/>
      <c r="AB795" s="181"/>
      <c r="AC795" s="181"/>
      <c r="AD795" s="181"/>
      <c r="AE795" s="179"/>
      <c r="AF795" s="549"/>
      <c r="AG795" s="181"/>
      <c r="AH795" s="181"/>
      <c r="AI795" s="181"/>
      <c r="AJ795" s="179"/>
      <c r="AK795" s="549"/>
      <c r="AL795" s="181"/>
      <c r="AM795" s="181"/>
      <c r="AN795" s="181"/>
      <c r="AO795" s="179"/>
      <c r="AP795" s="549"/>
      <c r="AQ795" s="181"/>
      <c r="AR795" s="181"/>
      <c r="AS795" s="181"/>
      <c r="AT795" s="528"/>
      <c r="AU795" s="528"/>
      <c r="AV795" s="528"/>
      <c r="AW795" s="528"/>
      <c r="AX795" s="528"/>
      <c r="AY795" s="528"/>
      <c r="AZ795" s="528"/>
      <c r="BA795" s="528"/>
      <c r="BB795" s="528"/>
      <c r="BC795" s="528"/>
      <c r="BD795" s="528"/>
      <c r="BE795" s="528"/>
      <c r="BF795" s="528"/>
      <c r="BG795" s="528"/>
      <c r="BH795" s="528"/>
    </row>
    <row r="796">
      <c r="A796" s="179"/>
      <c r="B796" s="549"/>
      <c r="C796" s="181"/>
      <c r="D796" s="181"/>
      <c r="E796" s="181"/>
      <c r="F796" s="179"/>
      <c r="G796" s="549"/>
      <c r="H796" s="181"/>
      <c r="I796" s="181"/>
      <c r="J796" s="181"/>
      <c r="K796" s="156"/>
      <c r="L796" s="549"/>
      <c r="M796" s="181"/>
      <c r="N796" s="181"/>
      <c r="O796" s="181"/>
      <c r="P796" s="156"/>
      <c r="Q796" s="562"/>
      <c r="R796" s="181"/>
      <c r="S796" s="181"/>
      <c r="T796" s="181"/>
      <c r="U796" s="179"/>
      <c r="V796" s="549"/>
      <c r="W796" s="181"/>
      <c r="X796" s="181"/>
      <c r="Y796" s="181"/>
      <c r="Z796" s="179"/>
      <c r="AA796" s="549"/>
      <c r="AB796" s="181"/>
      <c r="AC796" s="181"/>
      <c r="AD796" s="181"/>
      <c r="AE796" s="179"/>
      <c r="AF796" s="549"/>
      <c r="AG796" s="181"/>
      <c r="AH796" s="181"/>
      <c r="AI796" s="181"/>
      <c r="AJ796" s="179"/>
      <c r="AK796" s="549"/>
      <c r="AL796" s="181"/>
      <c r="AM796" s="181"/>
      <c r="AN796" s="181"/>
      <c r="AO796" s="179"/>
      <c r="AP796" s="549"/>
      <c r="AQ796" s="181"/>
      <c r="AR796" s="181"/>
      <c r="AS796" s="181"/>
      <c r="AT796" s="528"/>
      <c r="AU796" s="528"/>
      <c r="AV796" s="528"/>
      <c r="AW796" s="528"/>
      <c r="AX796" s="528"/>
      <c r="AY796" s="528"/>
      <c r="AZ796" s="528"/>
      <c r="BA796" s="528"/>
      <c r="BB796" s="528"/>
      <c r="BC796" s="528"/>
      <c r="BD796" s="528"/>
      <c r="BE796" s="528"/>
      <c r="BF796" s="528"/>
      <c r="BG796" s="528"/>
      <c r="BH796" s="528"/>
    </row>
    <row r="797">
      <c r="A797" s="179"/>
      <c r="B797" s="549"/>
      <c r="C797" s="181"/>
      <c r="D797" s="181"/>
      <c r="E797" s="181"/>
      <c r="F797" s="179"/>
      <c r="G797" s="549"/>
      <c r="H797" s="181"/>
      <c r="I797" s="181"/>
      <c r="J797" s="181"/>
      <c r="K797" s="156"/>
      <c r="L797" s="549"/>
      <c r="M797" s="181"/>
      <c r="N797" s="181"/>
      <c r="O797" s="181"/>
      <c r="P797" s="156"/>
      <c r="Q797" s="562"/>
      <c r="R797" s="181"/>
      <c r="S797" s="181"/>
      <c r="T797" s="181"/>
      <c r="U797" s="179"/>
      <c r="V797" s="549"/>
      <c r="W797" s="181"/>
      <c r="X797" s="181"/>
      <c r="Y797" s="181"/>
      <c r="Z797" s="179"/>
      <c r="AA797" s="549"/>
      <c r="AB797" s="181"/>
      <c r="AC797" s="181"/>
      <c r="AD797" s="181"/>
      <c r="AE797" s="179"/>
      <c r="AF797" s="549"/>
      <c r="AG797" s="181"/>
      <c r="AH797" s="181"/>
      <c r="AI797" s="181"/>
      <c r="AJ797" s="179"/>
      <c r="AK797" s="549"/>
      <c r="AL797" s="181"/>
      <c r="AM797" s="181"/>
      <c r="AN797" s="181"/>
      <c r="AO797" s="179"/>
      <c r="AP797" s="549"/>
      <c r="AQ797" s="181"/>
      <c r="AR797" s="181"/>
      <c r="AS797" s="181"/>
      <c r="AT797" s="528"/>
      <c r="AU797" s="528"/>
      <c r="AV797" s="528"/>
      <c r="AW797" s="528"/>
      <c r="AX797" s="528"/>
      <c r="AY797" s="528"/>
      <c r="AZ797" s="528"/>
      <c r="BA797" s="528"/>
      <c r="BB797" s="528"/>
      <c r="BC797" s="528"/>
      <c r="BD797" s="528"/>
      <c r="BE797" s="528"/>
      <c r="BF797" s="528"/>
      <c r="BG797" s="528"/>
      <c r="BH797" s="528"/>
    </row>
    <row r="798">
      <c r="A798" s="179"/>
      <c r="B798" s="549"/>
      <c r="C798" s="181"/>
      <c r="D798" s="181"/>
      <c r="E798" s="181"/>
      <c r="F798" s="179"/>
      <c r="G798" s="549"/>
      <c r="H798" s="181"/>
      <c r="I798" s="181"/>
      <c r="J798" s="181"/>
      <c r="K798" s="156"/>
      <c r="L798" s="549"/>
      <c r="M798" s="181"/>
      <c r="N798" s="181"/>
      <c r="O798" s="181"/>
      <c r="P798" s="156"/>
      <c r="Q798" s="562"/>
      <c r="R798" s="181"/>
      <c r="S798" s="181"/>
      <c r="T798" s="181"/>
      <c r="U798" s="179"/>
      <c r="V798" s="549"/>
      <c r="W798" s="181"/>
      <c r="X798" s="181"/>
      <c r="Y798" s="181"/>
      <c r="Z798" s="179"/>
      <c r="AA798" s="549"/>
      <c r="AB798" s="181"/>
      <c r="AC798" s="181"/>
      <c r="AD798" s="181"/>
      <c r="AE798" s="179"/>
      <c r="AF798" s="549"/>
      <c r="AG798" s="181"/>
      <c r="AH798" s="181"/>
      <c r="AI798" s="181"/>
      <c r="AJ798" s="179"/>
      <c r="AK798" s="549"/>
      <c r="AL798" s="181"/>
      <c r="AM798" s="181"/>
      <c r="AN798" s="181"/>
      <c r="AO798" s="179"/>
      <c r="AP798" s="549"/>
      <c r="AQ798" s="181"/>
      <c r="AR798" s="181"/>
      <c r="AS798" s="181"/>
      <c r="AT798" s="528"/>
      <c r="AU798" s="528"/>
      <c r="AV798" s="528"/>
      <c r="AW798" s="528"/>
      <c r="AX798" s="528"/>
      <c r="AY798" s="528"/>
      <c r="AZ798" s="528"/>
      <c r="BA798" s="528"/>
      <c r="BB798" s="528"/>
      <c r="BC798" s="528"/>
      <c r="BD798" s="528"/>
      <c r="BE798" s="528"/>
      <c r="BF798" s="528"/>
      <c r="BG798" s="528"/>
      <c r="BH798" s="528"/>
    </row>
    <row r="799">
      <c r="A799" s="179"/>
      <c r="B799" s="549"/>
      <c r="C799" s="181"/>
      <c r="D799" s="181"/>
      <c r="E799" s="181"/>
      <c r="F799" s="179"/>
      <c r="G799" s="549"/>
      <c r="H799" s="181"/>
      <c r="I799" s="181"/>
      <c r="J799" s="181"/>
      <c r="K799" s="156"/>
      <c r="L799" s="549"/>
      <c r="M799" s="181"/>
      <c r="N799" s="181"/>
      <c r="O799" s="181"/>
      <c r="P799" s="156"/>
      <c r="Q799" s="562"/>
      <c r="R799" s="181"/>
      <c r="S799" s="181"/>
      <c r="T799" s="181"/>
      <c r="U799" s="179"/>
      <c r="V799" s="549"/>
      <c r="W799" s="181"/>
      <c r="X799" s="181"/>
      <c r="Y799" s="181"/>
      <c r="Z799" s="179"/>
      <c r="AA799" s="549"/>
      <c r="AB799" s="181"/>
      <c r="AC799" s="181"/>
      <c r="AD799" s="181"/>
      <c r="AE799" s="179"/>
      <c r="AF799" s="549"/>
      <c r="AG799" s="181"/>
      <c r="AH799" s="181"/>
      <c r="AI799" s="181"/>
      <c r="AJ799" s="179"/>
      <c r="AK799" s="549"/>
      <c r="AL799" s="181"/>
      <c r="AM799" s="181"/>
      <c r="AN799" s="181"/>
      <c r="AO799" s="179"/>
      <c r="AP799" s="549"/>
      <c r="AQ799" s="181"/>
      <c r="AR799" s="181"/>
      <c r="AS799" s="181"/>
      <c r="AT799" s="528"/>
      <c r="AU799" s="528"/>
      <c r="AV799" s="528"/>
      <c r="AW799" s="528"/>
      <c r="AX799" s="528"/>
      <c r="AY799" s="528"/>
      <c r="AZ799" s="528"/>
      <c r="BA799" s="528"/>
      <c r="BB799" s="528"/>
      <c r="BC799" s="528"/>
      <c r="BD799" s="528"/>
      <c r="BE799" s="528"/>
      <c r="BF799" s="528"/>
      <c r="BG799" s="528"/>
      <c r="BH799" s="528"/>
    </row>
    <row r="800">
      <c r="A800" s="179"/>
      <c r="B800" s="549"/>
      <c r="C800" s="181"/>
      <c r="D800" s="181"/>
      <c r="E800" s="181"/>
      <c r="F800" s="179"/>
      <c r="G800" s="549"/>
      <c r="H800" s="181"/>
      <c r="I800" s="181"/>
      <c r="J800" s="181"/>
      <c r="K800" s="156"/>
      <c r="L800" s="549"/>
      <c r="M800" s="181"/>
      <c r="N800" s="181"/>
      <c r="O800" s="181"/>
      <c r="P800" s="156"/>
      <c r="Q800" s="562"/>
      <c r="R800" s="181"/>
      <c r="S800" s="181"/>
      <c r="T800" s="181"/>
      <c r="U800" s="179"/>
      <c r="V800" s="549"/>
      <c r="W800" s="181"/>
      <c r="X800" s="181"/>
      <c r="Y800" s="181"/>
      <c r="Z800" s="179"/>
      <c r="AA800" s="549"/>
      <c r="AB800" s="181"/>
      <c r="AC800" s="181"/>
      <c r="AD800" s="181"/>
      <c r="AE800" s="179"/>
      <c r="AF800" s="549"/>
      <c r="AG800" s="181"/>
      <c r="AH800" s="181"/>
      <c r="AI800" s="181"/>
      <c r="AJ800" s="179"/>
      <c r="AK800" s="549"/>
      <c r="AL800" s="181"/>
      <c r="AM800" s="181"/>
      <c r="AN800" s="181"/>
      <c r="AO800" s="179"/>
      <c r="AP800" s="549"/>
      <c r="AQ800" s="181"/>
      <c r="AR800" s="181"/>
      <c r="AS800" s="181"/>
      <c r="AT800" s="528"/>
      <c r="AU800" s="528"/>
      <c r="AV800" s="528"/>
      <c r="AW800" s="528"/>
      <c r="AX800" s="528"/>
      <c r="AY800" s="528"/>
      <c r="AZ800" s="528"/>
      <c r="BA800" s="528"/>
      <c r="BB800" s="528"/>
      <c r="BC800" s="528"/>
      <c r="BD800" s="528"/>
      <c r="BE800" s="528"/>
      <c r="BF800" s="528"/>
      <c r="BG800" s="528"/>
      <c r="BH800" s="528"/>
    </row>
    <row r="801">
      <c r="A801" s="179"/>
      <c r="B801" s="549"/>
      <c r="C801" s="181"/>
      <c r="D801" s="181"/>
      <c r="E801" s="181"/>
      <c r="F801" s="179"/>
      <c r="G801" s="549"/>
      <c r="H801" s="181"/>
      <c r="I801" s="181"/>
      <c r="J801" s="181"/>
      <c r="K801" s="156"/>
      <c r="L801" s="549"/>
      <c r="M801" s="181"/>
      <c r="N801" s="181"/>
      <c r="O801" s="181"/>
      <c r="P801" s="156"/>
      <c r="Q801" s="562"/>
      <c r="R801" s="181"/>
      <c r="S801" s="181"/>
      <c r="T801" s="181"/>
      <c r="U801" s="179"/>
      <c r="V801" s="549"/>
      <c r="W801" s="181"/>
      <c r="X801" s="181"/>
      <c r="Y801" s="181"/>
      <c r="Z801" s="179"/>
      <c r="AA801" s="549"/>
      <c r="AB801" s="181"/>
      <c r="AC801" s="181"/>
      <c r="AD801" s="181"/>
      <c r="AE801" s="179"/>
      <c r="AF801" s="549"/>
      <c r="AG801" s="181"/>
      <c r="AH801" s="181"/>
      <c r="AI801" s="181"/>
      <c r="AJ801" s="179"/>
      <c r="AK801" s="549"/>
      <c r="AL801" s="181"/>
      <c r="AM801" s="181"/>
      <c r="AN801" s="181"/>
      <c r="AO801" s="179"/>
      <c r="AP801" s="549"/>
      <c r="AQ801" s="181"/>
      <c r="AR801" s="181"/>
      <c r="AS801" s="181"/>
      <c r="AT801" s="528"/>
      <c r="AU801" s="528"/>
      <c r="AV801" s="528"/>
      <c r="AW801" s="528"/>
      <c r="AX801" s="528"/>
      <c r="AY801" s="528"/>
      <c r="AZ801" s="528"/>
      <c r="BA801" s="528"/>
      <c r="BB801" s="528"/>
      <c r="BC801" s="528"/>
      <c r="BD801" s="528"/>
      <c r="BE801" s="528"/>
      <c r="BF801" s="528"/>
      <c r="BG801" s="528"/>
      <c r="BH801" s="528"/>
    </row>
    <row r="802">
      <c r="A802" s="179"/>
      <c r="B802" s="549"/>
      <c r="C802" s="181"/>
      <c r="D802" s="181"/>
      <c r="E802" s="181"/>
      <c r="F802" s="179"/>
      <c r="G802" s="549"/>
      <c r="H802" s="181"/>
      <c r="I802" s="181"/>
      <c r="J802" s="181"/>
      <c r="K802" s="156"/>
      <c r="L802" s="549"/>
      <c r="M802" s="181"/>
      <c r="N802" s="181"/>
      <c r="O802" s="181"/>
      <c r="P802" s="156"/>
      <c r="Q802" s="562"/>
      <c r="R802" s="181"/>
      <c r="S802" s="181"/>
      <c r="T802" s="181"/>
      <c r="U802" s="179"/>
      <c r="V802" s="549"/>
      <c r="W802" s="181"/>
      <c r="X802" s="181"/>
      <c r="Y802" s="181"/>
      <c r="Z802" s="179"/>
      <c r="AA802" s="549"/>
      <c r="AB802" s="181"/>
      <c r="AC802" s="181"/>
      <c r="AD802" s="181"/>
      <c r="AE802" s="179"/>
      <c r="AF802" s="549"/>
      <c r="AG802" s="181"/>
      <c r="AH802" s="181"/>
      <c r="AI802" s="181"/>
      <c r="AJ802" s="179"/>
      <c r="AK802" s="549"/>
      <c r="AL802" s="181"/>
      <c r="AM802" s="181"/>
      <c r="AN802" s="181"/>
      <c r="AO802" s="179"/>
      <c r="AP802" s="549"/>
      <c r="AQ802" s="181"/>
      <c r="AR802" s="181"/>
      <c r="AS802" s="181"/>
      <c r="AT802" s="528"/>
      <c r="AU802" s="528"/>
      <c r="AV802" s="528"/>
      <c r="AW802" s="528"/>
      <c r="AX802" s="528"/>
      <c r="AY802" s="528"/>
      <c r="AZ802" s="528"/>
      <c r="BA802" s="528"/>
      <c r="BB802" s="528"/>
      <c r="BC802" s="528"/>
      <c r="BD802" s="528"/>
      <c r="BE802" s="528"/>
      <c r="BF802" s="528"/>
      <c r="BG802" s="528"/>
      <c r="BH802" s="528"/>
    </row>
    <row r="803">
      <c r="A803" s="179"/>
      <c r="B803" s="549"/>
      <c r="C803" s="181"/>
      <c r="D803" s="181"/>
      <c r="E803" s="181"/>
      <c r="F803" s="179"/>
      <c r="G803" s="549"/>
      <c r="H803" s="181"/>
      <c r="I803" s="181"/>
      <c r="J803" s="181"/>
      <c r="K803" s="156"/>
      <c r="L803" s="549"/>
      <c r="M803" s="181"/>
      <c r="N803" s="181"/>
      <c r="O803" s="181"/>
      <c r="P803" s="156"/>
      <c r="Q803" s="562"/>
      <c r="R803" s="181"/>
      <c r="S803" s="181"/>
      <c r="T803" s="181"/>
      <c r="U803" s="179"/>
      <c r="V803" s="549"/>
      <c r="W803" s="181"/>
      <c r="X803" s="181"/>
      <c r="Y803" s="181"/>
      <c r="Z803" s="179"/>
      <c r="AA803" s="549"/>
      <c r="AB803" s="181"/>
      <c r="AC803" s="181"/>
      <c r="AD803" s="181"/>
      <c r="AE803" s="179"/>
      <c r="AF803" s="549"/>
      <c r="AG803" s="181"/>
      <c r="AH803" s="181"/>
      <c r="AI803" s="181"/>
      <c r="AJ803" s="179"/>
      <c r="AK803" s="549"/>
      <c r="AL803" s="181"/>
      <c r="AM803" s="181"/>
      <c r="AN803" s="181"/>
      <c r="AO803" s="179"/>
      <c r="AP803" s="549"/>
      <c r="AQ803" s="181"/>
      <c r="AR803" s="181"/>
      <c r="AS803" s="181"/>
      <c r="AT803" s="528"/>
      <c r="AU803" s="528"/>
      <c r="AV803" s="528"/>
      <c r="AW803" s="528"/>
      <c r="AX803" s="528"/>
      <c r="AY803" s="528"/>
      <c r="AZ803" s="528"/>
      <c r="BA803" s="528"/>
      <c r="BB803" s="528"/>
      <c r="BC803" s="528"/>
      <c r="BD803" s="528"/>
      <c r="BE803" s="528"/>
      <c r="BF803" s="528"/>
      <c r="BG803" s="528"/>
      <c r="BH803" s="528"/>
    </row>
    <row r="804">
      <c r="A804" s="179"/>
      <c r="B804" s="549"/>
      <c r="C804" s="181"/>
      <c r="D804" s="181"/>
      <c r="E804" s="181"/>
      <c r="F804" s="179"/>
      <c r="G804" s="549"/>
      <c r="H804" s="181"/>
      <c r="I804" s="181"/>
      <c r="J804" s="181"/>
      <c r="K804" s="156"/>
      <c r="L804" s="549"/>
      <c r="M804" s="181"/>
      <c r="N804" s="181"/>
      <c r="O804" s="181"/>
      <c r="P804" s="156"/>
      <c r="Q804" s="562"/>
      <c r="R804" s="181"/>
      <c r="S804" s="181"/>
      <c r="T804" s="181"/>
      <c r="U804" s="179"/>
      <c r="V804" s="549"/>
      <c r="W804" s="181"/>
      <c r="X804" s="181"/>
      <c r="Y804" s="181"/>
      <c r="Z804" s="179"/>
      <c r="AA804" s="549"/>
      <c r="AB804" s="181"/>
      <c r="AC804" s="181"/>
      <c r="AD804" s="181"/>
      <c r="AE804" s="179"/>
      <c r="AF804" s="549"/>
      <c r="AG804" s="181"/>
      <c r="AH804" s="181"/>
      <c r="AI804" s="181"/>
      <c r="AJ804" s="179"/>
      <c r="AK804" s="549"/>
      <c r="AL804" s="181"/>
      <c r="AM804" s="181"/>
      <c r="AN804" s="181"/>
      <c r="AO804" s="179"/>
      <c r="AP804" s="549"/>
      <c r="AQ804" s="181"/>
      <c r="AR804" s="181"/>
      <c r="AS804" s="181"/>
      <c r="AT804" s="528"/>
      <c r="AU804" s="528"/>
      <c r="AV804" s="528"/>
      <c r="AW804" s="528"/>
      <c r="AX804" s="528"/>
      <c r="AY804" s="528"/>
      <c r="AZ804" s="528"/>
      <c r="BA804" s="528"/>
      <c r="BB804" s="528"/>
      <c r="BC804" s="528"/>
      <c r="BD804" s="528"/>
      <c r="BE804" s="528"/>
      <c r="BF804" s="528"/>
      <c r="BG804" s="528"/>
      <c r="BH804" s="528"/>
    </row>
    <row r="805">
      <c r="A805" s="179"/>
      <c r="B805" s="549"/>
      <c r="C805" s="181"/>
      <c r="D805" s="181"/>
      <c r="E805" s="181"/>
      <c r="F805" s="179"/>
      <c r="G805" s="549"/>
      <c r="H805" s="181"/>
      <c r="I805" s="181"/>
      <c r="J805" s="181"/>
      <c r="K805" s="156"/>
      <c r="L805" s="549"/>
      <c r="M805" s="181"/>
      <c r="N805" s="181"/>
      <c r="O805" s="181"/>
      <c r="P805" s="156"/>
      <c r="Q805" s="562"/>
      <c r="R805" s="181"/>
      <c r="S805" s="181"/>
      <c r="T805" s="181"/>
      <c r="U805" s="179"/>
      <c r="V805" s="549"/>
      <c r="W805" s="181"/>
      <c r="X805" s="181"/>
      <c r="Y805" s="181"/>
      <c r="Z805" s="179"/>
      <c r="AA805" s="549"/>
      <c r="AB805" s="181"/>
      <c r="AC805" s="181"/>
      <c r="AD805" s="181"/>
      <c r="AE805" s="179"/>
      <c r="AF805" s="549"/>
      <c r="AG805" s="181"/>
      <c r="AH805" s="181"/>
      <c r="AI805" s="181"/>
      <c r="AJ805" s="179"/>
      <c r="AK805" s="549"/>
      <c r="AL805" s="181"/>
      <c r="AM805" s="181"/>
      <c r="AN805" s="181"/>
      <c r="AO805" s="179"/>
      <c r="AP805" s="549"/>
      <c r="AQ805" s="181"/>
      <c r="AR805" s="181"/>
      <c r="AS805" s="181"/>
      <c r="AT805" s="528"/>
      <c r="AU805" s="528"/>
      <c r="AV805" s="528"/>
      <c r="AW805" s="528"/>
      <c r="AX805" s="528"/>
      <c r="AY805" s="528"/>
      <c r="AZ805" s="528"/>
      <c r="BA805" s="528"/>
      <c r="BB805" s="528"/>
      <c r="BC805" s="528"/>
      <c r="BD805" s="528"/>
      <c r="BE805" s="528"/>
      <c r="BF805" s="528"/>
      <c r="BG805" s="528"/>
      <c r="BH805" s="528"/>
    </row>
    <row r="806">
      <c r="A806" s="179"/>
      <c r="B806" s="549"/>
      <c r="C806" s="181"/>
      <c r="D806" s="181"/>
      <c r="E806" s="181"/>
      <c r="F806" s="179"/>
      <c r="G806" s="549"/>
      <c r="H806" s="181"/>
      <c r="I806" s="181"/>
      <c r="J806" s="181"/>
      <c r="K806" s="156"/>
      <c r="L806" s="549"/>
      <c r="M806" s="181"/>
      <c r="N806" s="181"/>
      <c r="O806" s="181"/>
      <c r="P806" s="156"/>
      <c r="Q806" s="562"/>
      <c r="R806" s="181"/>
      <c r="S806" s="181"/>
      <c r="T806" s="181"/>
      <c r="U806" s="179"/>
      <c r="V806" s="549"/>
      <c r="W806" s="181"/>
      <c r="X806" s="181"/>
      <c r="Y806" s="181"/>
      <c r="Z806" s="179"/>
      <c r="AA806" s="549"/>
      <c r="AB806" s="181"/>
      <c r="AC806" s="181"/>
      <c r="AD806" s="181"/>
      <c r="AE806" s="179"/>
      <c r="AF806" s="549"/>
      <c r="AG806" s="181"/>
      <c r="AH806" s="181"/>
      <c r="AI806" s="181"/>
      <c r="AJ806" s="179"/>
      <c r="AK806" s="549"/>
      <c r="AL806" s="181"/>
      <c r="AM806" s="181"/>
      <c r="AN806" s="181"/>
      <c r="AO806" s="179"/>
      <c r="AP806" s="549"/>
      <c r="AQ806" s="181"/>
      <c r="AR806" s="181"/>
      <c r="AS806" s="181"/>
      <c r="AT806" s="528"/>
      <c r="AU806" s="528"/>
      <c r="AV806" s="528"/>
      <c r="AW806" s="528"/>
      <c r="AX806" s="528"/>
      <c r="AY806" s="528"/>
      <c r="AZ806" s="528"/>
      <c r="BA806" s="528"/>
      <c r="BB806" s="528"/>
      <c r="BC806" s="528"/>
      <c r="BD806" s="528"/>
      <c r="BE806" s="528"/>
      <c r="BF806" s="528"/>
      <c r="BG806" s="528"/>
      <c r="BH806" s="528"/>
    </row>
    <row r="807">
      <c r="A807" s="179"/>
      <c r="B807" s="549"/>
      <c r="C807" s="181"/>
      <c r="D807" s="181"/>
      <c r="E807" s="181"/>
      <c r="F807" s="179"/>
      <c r="G807" s="549"/>
      <c r="H807" s="181"/>
      <c r="I807" s="181"/>
      <c r="J807" s="181"/>
      <c r="K807" s="156"/>
      <c r="L807" s="549"/>
      <c r="M807" s="181"/>
      <c r="N807" s="181"/>
      <c r="O807" s="181"/>
      <c r="P807" s="156"/>
      <c r="Q807" s="562"/>
      <c r="R807" s="181"/>
      <c r="S807" s="181"/>
      <c r="T807" s="181"/>
      <c r="U807" s="179"/>
      <c r="V807" s="549"/>
      <c r="W807" s="181"/>
      <c r="X807" s="181"/>
      <c r="Y807" s="181"/>
      <c r="Z807" s="179"/>
      <c r="AA807" s="549"/>
      <c r="AB807" s="181"/>
      <c r="AC807" s="181"/>
      <c r="AD807" s="181"/>
      <c r="AE807" s="179"/>
      <c r="AF807" s="549"/>
      <c r="AG807" s="181"/>
      <c r="AH807" s="181"/>
      <c r="AI807" s="181"/>
      <c r="AJ807" s="179"/>
      <c r="AK807" s="549"/>
      <c r="AL807" s="181"/>
      <c r="AM807" s="181"/>
      <c r="AN807" s="181"/>
      <c r="AO807" s="179"/>
      <c r="AP807" s="549"/>
      <c r="AQ807" s="181"/>
      <c r="AR807" s="181"/>
      <c r="AS807" s="181"/>
      <c r="AT807" s="528"/>
      <c r="AU807" s="528"/>
      <c r="AV807" s="528"/>
      <c r="AW807" s="528"/>
      <c r="AX807" s="528"/>
      <c r="AY807" s="528"/>
      <c r="AZ807" s="528"/>
      <c r="BA807" s="528"/>
      <c r="BB807" s="528"/>
      <c r="BC807" s="528"/>
      <c r="BD807" s="528"/>
      <c r="BE807" s="528"/>
      <c r="BF807" s="528"/>
      <c r="BG807" s="528"/>
      <c r="BH807" s="528"/>
    </row>
    <row r="808">
      <c r="A808" s="179"/>
      <c r="B808" s="549"/>
      <c r="C808" s="181"/>
      <c r="D808" s="181"/>
      <c r="E808" s="181"/>
      <c r="F808" s="179"/>
      <c r="G808" s="549"/>
      <c r="H808" s="181"/>
      <c r="I808" s="181"/>
      <c r="J808" s="181"/>
      <c r="K808" s="156"/>
      <c r="L808" s="549"/>
      <c r="M808" s="181"/>
      <c r="N808" s="181"/>
      <c r="O808" s="181"/>
      <c r="P808" s="156"/>
      <c r="Q808" s="562"/>
      <c r="R808" s="181"/>
      <c r="S808" s="181"/>
      <c r="T808" s="181"/>
      <c r="U808" s="179"/>
      <c r="V808" s="549"/>
      <c r="W808" s="181"/>
      <c r="X808" s="181"/>
      <c r="Y808" s="181"/>
      <c r="Z808" s="179"/>
      <c r="AA808" s="549"/>
      <c r="AB808" s="181"/>
      <c r="AC808" s="181"/>
      <c r="AD808" s="181"/>
      <c r="AE808" s="179"/>
      <c r="AF808" s="549"/>
      <c r="AG808" s="181"/>
      <c r="AH808" s="181"/>
      <c r="AI808" s="181"/>
      <c r="AJ808" s="179"/>
      <c r="AK808" s="549"/>
      <c r="AL808" s="181"/>
      <c r="AM808" s="181"/>
      <c r="AN808" s="181"/>
      <c r="AO808" s="179"/>
      <c r="AP808" s="549"/>
      <c r="AQ808" s="181"/>
      <c r="AR808" s="181"/>
      <c r="AS808" s="181"/>
      <c r="AT808" s="528"/>
      <c r="AU808" s="528"/>
      <c r="AV808" s="528"/>
      <c r="AW808" s="528"/>
      <c r="AX808" s="528"/>
      <c r="AY808" s="528"/>
      <c r="AZ808" s="528"/>
      <c r="BA808" s="528"/>
      <c r="BB808" s="528"/>
      <c r="BC808" s="528"/>
      <c r="BD808" s="528"/>
      <c r="BE808" s="528"/>
      <c r="BF808" s="528"/>
      <c r="BG808" s="528"/>
      <c r="BH808" s="528"/>
    </row>
    <row r="809">
      <c r="A809" s="179"/>
      <c r="B809" s="549"/>
      <c r="C809" s="181"/>
      <c r="D809" s="181"/>
      <c r="E809" s="181"/>
      <c r="F809" s="179"/>
      <c r="G809" s="549"/>
      <c r="H809" s="181"/>
      <c r="I809" s="181"/>
      <c r="J809" s="181"/>
      <c r="K809" s="156"/>
      <c r="L809" s="549"/>
      <c r="M809" s="181"/>
      <c r="N809" s="181"/>
      <c r="O809" s="181"/>
      <c r="P809" s="156"/>
      <c r="Q809" s="562"/>
      <c r="R809" s="181"/>
      <c r="S809" s="181"/>
      <c r="T809" s="181"/>
      <c r="U809" s="179"/>
      <c r="V809" s="549"/>
      <c r="W809" s="181"/>
      <c r="X809" s="181"/>
      <c r="Y809" s="181"/>
      <c r="Z809" s="179"/>
      <c r="AA809" s="549"/>
      <c r="AB809" s="181"/>
      <c r="AC809" s="181"/>
      <c r="AD809" s="181"/>
      <c r="AE809" s="179"/>
      <c r="AF809" s="549"/>
      <c r="AG809" s="181"/>
      <c r="AH809" s="181"/>
      <c r="AI809" s="181"/>
      <c r="AJ809" s="179"/>
      <c r="AK809" s="549"/>
      <c r="AL809" s="181"/>
      <c r="AM809" s="181"/>
      <c r="AN809" s="181"/>
      <c r="AO809" s="179"/>
      <c r="AP809" s="549"/>
      <c r="AQ809" s="181"/>
      <c r="AR809" s="181"/>
      <c r="AS809" s="181"/>
      <c r="AT809" s="528"/>
      <c r="AU809" s="528"/>
      <c r="AV809" s="528"/>
      <c r="AW809" s="528"/>
      <c r="AX809" s="528"/>
      <c r="AY809" s="528"/>
      <c r="AZ809" s="528"/>
      <c r="BA809" s="528"/>
      <c r="BB809" s="528"/>
      <c r="BC809" s="528"/>
      <c r="BD809" s="528"/>
      <c r="BE809" s="528"/>
      <c r="BF809" s="528"/>
      <c r="BG809" s="528"/>
      <c r="BH809" s="528"/>
    </row>
    <row r="810">
      <c r="A810" s="179"/>
      <c r="B810" s="549"/>
      <c r="C810" s="181"/>
      <c r="D810" s="181"/>
      <c r="E810" s="181"/>
      <c r="F810" s="179"/>
      <c r="G810" s="549"/>
      <c r="H810" s="181"/>
      <c r="I810" s="181"/>
      <c r="J810" s="181"/>
      <c r="K810" s="156"/>
      <c r="L810" s="549"/>
      <c r="M810" s="181"/>
      <c r="N810" s="181"/>
      <c r="O810" s="181"/>
      <c r="P810" s="156"/>
      <c r="Q810" s="562"/>
      <c r="R810" s="181"/>
      <c r="S810" s="181"/>
      <c r="T810" s="181"/>
      <c r="U810" s="179"/>
      <c r="V810" s="549"/>
      <c r="W810" s="181"/>
      <c r="X810" s="181"/>
      <c r="Y810" s="181"/>
      <c r="Z810" s="179"/>
      <c r="AA810" s="549"/>
      <c r="AB810" s="181"/>
      <c r="AC810" s="181"/>
      <c r="AD810" s="181"/>
      <c r="AE810" s="179"/>
      <c r="AF810" s="549"/>
      <c r="AG810" s="181"/>
      <c r="AH810" s="181"/>
      <c r="AI810" s="181"/>
      <c r="AJ810" s="179"/>
      <c r="AK810" s="549"/>
      <c r="AL810" s="181"/>
      <c r="AM810" s="181"/>
      <c r="AN810" s="181"/>
      <c r="AO810" s="179"/>
      <c r="AP810" s="549"/>
      <c r="AQ810" s="181"/>
      <c r="AR810" s="181"/>
      <c r="AS810" s="181"/>
      <c r="AT810" s="528"/>
      <c r="AU810" s="528"/>
      <c r="AV810" s="528"/>
      <c r="AW810" s="528"/>
      <c r="AX810" s="528"/>
      <c r="AY810" s="528"/>
      <c r="AZ810" s="528"/>
      <c r="BA810" s="528"/>
      <c r="BB810" s="528"/>
      <c r="BC810" s="528"/>
      <c r="BD810" s="528"/>
      <c r="BE810" s="528"/>
      <c r="BF810" s="528"/>
      <c r="BG810" s="528"/>
      <c r="BH810" s="528"/>
    </row>
    <row r="811">
      <c r="A811" s="179"/>
      <c r="B811" s="549"/>
      <c r="C811" s="181"/>
      <c r="D811" s="181"/>
      <c r="E811" s="181"/>
      <c r="F811" s="179"/>
      <c r="G811" s="549"/>
      <c r="H811" s="181"/>
      <c r="I811" s="181"/>
      <c r="J811" s="181"/>
      <c r="K811" s="156"/>
      <c r="L811" s="549"/>
      <c r="M811" s="181"/>
      <c r="N811" s="181"/>
      <c r="O811" s="181"/>
      <c r="P811" s="156"/>
      <c r="Q811" s="562"/>
      <c r="R811" s="181"/>
      <c r="S811" s="181"/>
      <c r="T811" s="181"/>
      <c r="U811" s="179"/>
      <c r="V811" s="549"/>
      <c r="W811" s="181"/>
      <c r="X811" s="181"/>
      <c r="Y811" s="181"/>
      <c r="Z811" s="179"/>
      <c r="AA811" s="549"/>
      <c r="AB811" s="181"/>
      <c r="AC811" s="181"/>
      <c r="AD811" s="181"/>
      <c r="AE811" s="179"/>
      <c r="AF811" s="549"/>
      <c r="AG811" s="181"/>
      <c r="AH811" s="181"/>
      <c r="AI811" s="181"/>
      <c r="AJ811" s="179"/>
      <c r="AK811" s="549"/>
      <c r="AL811" s="181"/>
      <c r="AM811" s="181"/>
      <c r="AN811" s="181"/>
      <c r="AO811" s="179"/>
      <c r="AP811" s="549"/>
      <c r="AQ811" s="181"/>
      <c r="AR811" s="181"/>
      <c r="AS811" s="181"/>
      <c r="AT811" s="528"/>
      <c r="AU811" s="528"/>
      <c r="AV811" s="528"/>
      <c r="AW811" s="528"/>
      <c r="AX811" s="528"/>
      <c r="AY811" s="528"/>
      <c r="AZ811" s="528"/>
      <c r="BA811" s="528"/>
      <c r="BB811" s="528"/>
      <c r="BC811" s="528"/>
      <c r="BD811" s="528"/>
      <c r="BE811" s="528"/>
      <c r="BF811" s="528"/>
      <c r="BG811" s="528"/>
      <c r="BH811" s="528"/>
    </row>
    <row r="812">
      <c r="A812" s="179"/>
      <c r="B812" s="549"/>
      <c r="C812" s="181"/>
      <c r="D812" s="181"/>
      <c r="E812" s="181"/>
      <c r="F812" s="179"/>
      <c r="G812" s="549"/>
      <c r="H812" s="181"/>
      <c r="I812" s="181"/>
      <c r="J812" s="181"/>
      <c r="K812" s="156"/>
      <c r="L812" s="549"/>
      <c r="M812" s="181"/>
      <c r="N812" s="181"/>
      <c r="O812" s="181"/>
      <c r="P812" s="156"/>
      <c r="Q812" s="562"/>
      <c r="R812" s="181"/>
      <c r="S812" s="181"/>
      <c r="T812" s="181"/>
      <c r="U812" s="179"/>
      <c r="V812" s="549"/>
      <c r="W812" s="181"/>
      <c r="X812" s="181"/>
      <c r="Y812" s="181"/>
      <c r="Z812" s="179"/>
      <c r="AA812" s="549"/>
      <c r="AB812" s="181"/>
      <c r="AC812" s="181"/>
      <c r="AD812" s="181"/>
      <c r="AE812" s="179"/>
      <c r="AF812" s="549"/>
      <c r="AG812" s="181"/>
      <c r="AH812" s="181"/>
      <c r="AI812" s="181"/>
      <c r="AJ812" s="179"/>
      <c r="AK812" s="549"/>
      <c r="AL812" s="181"/>
      <c r="AM812" s="181"/>
      <c r="AN812" s="181"/>
      <c r="AO812" s="179"/>
      <c r="AP812" s="549"/>
      <c r="AQ812" s="181"/>
      <c r="AR812" s="181"/>
      <c r="AS812" s="181"/>
      <c r="AT812" s="528"/>
      <c r="AU812" s="528"/>
      <c r="AV812" s="528"/>
      <c r="AW812" s="528"/>
      <c r="AX812" s="528"/>
      <c r="AY812" s="528"/>
      <c r="AZ812" s="528"/>
      <c r="BA812" s="528"/>
      <c r="BB812" s="528"/>
      <c r="BC812" s="528"/>
      <c r="BD812" s="528"/>
      <c r="BE812" s="528"/>
      <c r="BF812" s="528"/>
      <c r="BG812" s="528"/>
      <c r="BH812" s="528"/>
    </row>
    <row r="813">
      <c r="A813" s="179"/>
      <c r="B813" s="549"/>
      <c r="C813" s="181"/>
      <c r="D813" s="181"/>
      <c r="E813" s="181"/>
      <c r="F813" s="179"/>
      <c r="G813" s="549"/>
      <c r="H813" s="181"/>
      <c r="I813" s="181"/>
      <c r="J813" s="181"/>
      <c r="K813" s="156"/>
      <c r="L813" s="549"/>
      <c r="M813" s="181"/>
      <c r="N813" s="181"/>
      <c r="O813" s="181"/>
      <c r="P813" s="156"/>
      <c r="Q813" s="562"/>
      <c r="R813" s="181"/>
      <c r="S813" s="181"/>
      <c r="T813" s="181"/>
      <c r="U813" s="179"/>
      <c r="V813" s="549"/>
      <c r="W813" s="181"/>
      <c r="X813" s="181"/>
      <c r="Y813" s="181"/>
      <c r="Z813" s="179"/>
      <c r="AA813" s="549"/>
      <c r="AB813" s="181"/>
      <c r="AC813" s="181"/>
      <c r="AD813" s="181"/>
      <c r="AE813" s="179"/>
      <c r="AF813" s="549"/>
      <c r="AG813" s="181"/>
      <c r="AH813" s="181"/>
      <c r="AI813" s="181"/>
      <c r="AJ813" s="179"/>
      <c r="AK813" s="549"/>
      <c r="AL813" s="181"/>
      <c r="AM813" s="181"/>
      <c r="AN813" s="181"/>
      <c r="AO813" s="179"/>
      <c r="AP813" s="549"/>
      <c r="AQ813" s="181"/>
      <c r="AR813" s="181"/>
      <c r="AS813" s="181"/>
      <c r="AT813" s="528"/>
      <c r="AU813" s="528"/>
      <c r="AV813" s="528"/>
      <c r="AW813" s="528"/>
      <c r="AX813" s="528"/>
      <c r="AY813" s="528"/>
      <c r="AZ813" s="528"/>
      <c r="BA813" s="528"/>
      <c r="BB813" s="528"/>
      <c r="BC813" s="528"/>
      <c r="BD813" s="528"/>
      <c r="BE813" s="528"/>
      <c r="BF813" s="528"/>
      <c r="BG813" s="528"/>
      <c r="BH813" s="528"/>
    </row>
    <row r="814">
      <c r="A814" s="179"/>
      <c r="B814" s="549"/>
      <c r="C814" s="181"/>
      <c r="D814" s="181"/>
      <c r="E814" s="181"/>
      <c r="F814" s="179"/>
      <c r="G814" s="549"/>
      <c r="H814" s="181"/>
      <c r="I814" s="181"/>
      <c r="J814" s="181"/>
      <c r="K814" s="156"/>
      <c r="L814" s="549"/>
      <c r="M814" s="181"/>
      <c r="N814" s="181"/>
      <c r="O814" s="181"/>
      <c r="P814" s="156"/>
      <c r="Q814" s="562"/>
      <c r="R814" s="181"/>
      <c r="S814" s="181"/>
      <c r="T814" s="181"/>
      <c r="U814" s="179"/>
      <c r="V814" s="549"/>
      <c r="W814" s="181"/>
      <c r="X814" s="181"/>
      <c r="Y814" s="181"/>
      <c r="Z814" s="179"/>
      <c r="AA814" s="549"/>
      <c r="AB814" s="181"/>
      <c r="AC814" s="181"/>
      <c r="AD814" s="181"/>
      <c r="AE814" s="179"/>
      <c r="AF814" s="549"/>
      <c r="AG814" s="181"/>
      <c r="AH814" s="181"/>
      <c r="AI814" s="181"/>
      <c r="AJ814" s="179"/>
      <c r="AK814" s="549"/>
      <c r="AL814" s="181"/>
      <c r="AM814" s="181"/>
      <c r="AN814" s="181"/>
      <c r="AO814" s="179"/>
      <c r="AP814" s="549"/>
      <c r="AQ814" s="181"/>
      <c r="AR814" s="181"/>
      <c r="AS814" s="181"/>
      <c r="AT814" s="528"/>
      <c r="AU814" s="528"/>
      <c r="AV814" s="528"/>
      <c r="AW814" s="528"/>
      <c r="AX814" s="528"/>
      <c r="AY814" s="528"/>
      <c r="AZ814" s="528"/>
      <c r="BA814" s="528"/>
      <c r="BB814" s="528"/>
      <c r="BC814" s="528"/>
      <c r="BD814" s="528"/>
      <c r="BE814" s="528"/>
      <c r="BF814" s="528"/>
      <c r="BG814" s="528"/>
      <c r="BH814" s="528"/>
    </row>
    <row r="815">
      <c r="A815" s="179"/>
      <c r="B815" s="549"/>
      <c r="C815" s="181"/>
      <c r="D815" s="181"/>
      <c r="E815" s="181"/>
      <c r="F815" s="179"/>
      <c r="G815" s="549"/>
      <c r="H815" s="181"/>
      <c r="I815" s="181"/>
      <c r="J815" s="181"/>
      <c r="K815" s="156"/>
      <c r="L815" s="549"/>
      <c r="M815" s="181"/>
      <c r="N815" s="181"/>
      <c r="O815" s="181"/>
      <c r="P815" s="156"/>
      <c r="Q815" s="562"/>
      <c r="R815" s="181"/>
      <c r="S815" s="181"/>
      <c r="T815" s="181"/>
      <c r="U815" s="179"/>
      <c r="V815" s="549"/>
      <c r="W815" s="181"/>
      <c r="X815" s="181"/>
      <c r="Y815" s="181"/>
      <c r="Z815" s="179"/>
      <c r="AA815" s="549"/>
      <c r="AB815" s="181"/>
      <c r="AC815" s="181"/>
      <c r="AD815" s="181"/>
      <c r="AE815" s="179"/>
      <c r="AF815" s="549"/>
      <c r="AG815" s="181"/>
      <c r="AH815" s="181"/>
      <c r="AI815" s="181"/>
      <c r="AJ815" s="179"/>
      <c r="AK815" s="549"/>
      <c r="AL815" s="181"/>
      <c r="AM815" s="181"/>
      <c r="AN815" s="181"/>
      <c r="AO815" s="179"/>
      <c r="AP815" s="549"/>
      <c r="AQ815" s="181"/>
      <c r="AR815" s="181"/>
      <c r="AS815" s="181"/>
      <c r="AT815" s="528"/>
      <c r="AU815" s="528"/>
      <c r="AV815" s="528"/>
      <c r="AW815" s="528"/>
      <c r="AX815" s="528"/>
      <c r="AY815" s="528"/>
      <c r="AZ815" s="528"/>
      <c r="BA815" s="528"/>
      <c r="BB815" s="528"/>
      <c r="BC815" s="528"/>
      <c r="BD815" s="528"/>
      <c r="BE815" s="528"/>
      <c r="BF815" s="528"/>
      <c r="BG815" s="528"/>
      <c r="BH815" s="528"/>
    </row>
    <row r="816">
      <c r="A816" s="179"/>
      <c r="B816" s="549"/>
      <c r="C816" s="181"/>
      <c r="D816" s="181"/>
      <c r="E816" s="181"/>
      <c r="F816" s="179"/>
      <c r="G816" s="549"/>
      <c r="H816" s="181"/>
      <c r="I816" s="181"/>
      <c r="J816" s="181"/>
      <c r="K816" s="156"/>
      <c r="L816" s="549"/>
      <c r="M816" s="181"/>
      <c r="N816" s="181"/>
      <c r="O816" s="181"/>
      <c r="P816" s="156"/>
      <c r="Q816" s="562"/>
      <c r="R816" s="181"/>
      <c r="S816" s="181"/>
      <c r="T816" s="181"/>
      <c r="U816" s="179"/>
      <c r="V816" s="549"/>
      <c r="W816" s="181"/>
      <c r="X816" s="181"/>
      <c r="Y816" s="181"/>
      <c r="Z816" s="179"/>
      <c r="AA816" s="549"/>
      <c r="AB816" s="181"/>
      <c r="AC816" s="181"/>
      <c r="AD816" s="181"/>
      <c r="AE816" s="179"/>
      <c r="AF816" s="549"/>
      <c r="AG816" s="181"/>
      <c r="AH816" s="181"/>
      <c r="AI816" s="181"/>
      <c r="AJ816" s="179"/>
      <c r="AK816" s="549"/>
      <c r="AL816" s="181"/>
      <c r="AM816" s="181"/>
      <c r="AN816" s="181"/>
      <c r="AO816" s="179"/>
      <c r="AP816" s="549"/>
      <c r="AQ816" s="181"/>
      <c r="AR816" s="181"/>
      <c r="AS816" s="181"/>
      <c r="AT816" s="528"/>
      <c r="AU816" s="528"/>
      <c r="AV816" s="528"/>
      <c r="AW816" s="528"/>
      <c r="AX816" s="528"/>
      <c r="AY816" s="528"/>
      <c r="AZ816" s="528"/>
      <c r="BA816" s="528"/>
      <c r="BB816" s="528"/>
      <c r="BC816" s="528"/>
      <c r="BD816" s="528"/>
      <c r="BE816" s="528"/>
      <c r="BF816" s="528"/>
      <c r="BG816" s="528"/>
      <c r="BH816" s="528"/>
    </row>
    <row r="817">
      <c r="A817" s="179"/>
      <c r="B817" s="549"/>
      <c r="C817" s="181"/>
      <c r="D817" s="181"/>
      <c r="E817" s="181"/>
      <c r="F817" s="179"/>
      <c r="G817" s="549"/>
      <c r="H817" s="181"/>
      <c r="I817" s="181"/>
      <c r="J817" s="181"/>
      <c r="K817" s="156"/>
      <c r="L817" s="549"/>
      <c r="M817" s="181"/>
      <c r="N817" s="181"/>
      <c r="O817" s="181"/>
      <c r="P817" s="156"/>
      <c r="Q817" s="562"/>
      <c r="R817" s="181"/>
      <c r="S817" s="181"/>
      <c r="T817" s="181"/>
      <c r="U817" s="179"/>
      <c r="V817" s="549"/>
      <c r="W817" s="181"/>
      <c r="X817" s="181"/>
      <c r="Y817" s="181"/>
      <c r="Z817" s="179"/>
      <c r="AA817" s="549"/>
      <c r="AB817" s="181"/>
      <c r="AC817" s="181"/>
      <c r="AD817" s="181"/>
      <c r="AE817" s="179"/>
      <c r="AF817" s="549"/>
      <c r="AG817" s="181"/>
      <c r="AH817" s="181"/>
      <c r="AI817" s="181"/>
      <c r="AJ817" s="179"/>
      <c r="AK817" s="549"/>
      <c r="AL817" s="181"/>
      <c r="AM817" s="181"/>
      <c r="AN817" s="181"/>
      <c r="AO817" s="179"/>
      <c r="AP817" s="549"/>
      <c r="AQ817" s="181"/>
      <c r="AR817" s="181"/>
      <c r="AS817" s="181"/>
      <c r="AT817" s="528"/>
      <c r="AU817" s="528"/>
      <c r="AV817" s="528"/>
      <c r="AW817" s="528"/>
      <c r="AX817" s="528"/>
      <c r="AY817" s="528"/>
      <c r="AZ817" s="528"/>
      <c r="BA817" s="528"/>
      <c r="BB817" s="528"/>
      <c r="BC817" s="528"/>
      <c r="BD817" s="528"/>
      <c r="BE817" s="528"/>
      <c r="BF817" s="528"/>
      <c r="BG817" s="528"/>
      <c r="BH817" s="528"/>
    </row>
    <row r="818">
      <c r="A818" s="179"/>
      <c r="B818" s="549"/>
      <c r="C818" s="181"/>
      <c r="D818" s="181"/>
      <c r="E818" s="181"/>
      <c r="F818" s="179"/>
      <c r="G818" s="549"/>
      <c r="H818" s="181"/>
      <c r="I818" s="181"/>
      <c r="J818" s="181"/>
      <c r="K818" s="156"/>
      <c r="L818" s="549"/>
      <c r="M818" s="181"/>
      <c r="N818" s="181"/>
      <c r="O818" s="181"/>
      <c r="P818" s="156"/>
      <c r="Q818" s="562"/>
      <c r="R818" s="181"/>
      <c r="S818" s="181"/>
      <c r="T818" s="181"/>
      <c r="U818" s="179"/>
      <c r="V818" s="549"/>
      <c r="W818" s="181"/>
      <c r="X818" s="181"/>
      <c r="Y818" s="181"/>
      <c r="Z818" s="179"/>
      <c r="AA818" s="549"/>
      <c r="AB818" s="181"/>
      <c r="AC818" s="181"/>
      <c r="AD818" s="181"/>
      <c r="AE818" s="179"/>
      <c r="AF818" s="549"/>
      <c r="AG818" s="181"/>
      <c r="AH818" s="181"/>
      <c r="AI818" s="181"/>
      <c r="AJ818" s="179"/>
      <c r="AK818" s="549"/>
      <c r="AL818" s="181"/>
      <c r="AM818" s="181"/>
      <c r="AN818" s="181"/>
      <c r="AO818" s="179"/>
      <c r="AP818" s="549"/>
      <c r="AQ818" s="181"/>
      <c r="AR818" s="181"/>
      <c r="AS818" s="181"/>
      <c r="AT818" s="528"/>
      <c r="AU818" s="528"/>
      <c r="AV818" s="528"/>
      <c r="AW818" s="528"/>
      <c r="AX818" s="528"/>
      <c r="AY818" s="528"/>
      <c r="AZ818" s="528"/>
      <c r="BA818" s="528"/>
      <c r="BB818" s="528"/>
      <c r="BC818" s="528"/>
      <c r="BD818" s="528"/>
      <c r="BE818" s="528"/>
      <c r="BF818" s="528"/>
      <c r="BG818" s="528"/>
      <c r="BH818" s="528"/>
    </row>
    <row r="819">
      <c r="A819" s="179"/>
      <c r="B819" s="549"/>
      <c r="C819" s="181"/>
      <c r="D819" s="181"/>
      <c r="E819" s="181"/>
      <c r="F819" s="179"/>
      <c r="G819" s="549"/>
      <c r="H819" s="181"/>
      <c r="I819" s="181"/>
      <c r="J819" s="181"/>
      <c r="K819" s="156"/>
      <c r="L819" s="549"/>
      <c r="M819" s="181"/>
      <c r="N819" s="181"/>
      <c r="O819" s="181"/>
      <c r="P819" s="156"/>
      <c r="Q819" s="562"/>
      <c r="R819" s="181"/>
      <c r="S819" s="181"/>
      <c r="T819" s="181"/>
      <c r="U819" s="179"/>
      <c r="V819" s="549"/>
      <c r="W819" s="181"/>
      <c r="X819" s="181"/>
      <c r="Y819" s="181"/>
      <c r="Z819" s="179"/>
      <c r="AA819" s="549"/>
      <c r="AB819" s="181"/>
      <c r="AC819" s="181"/>
      <c r="AD819" s="181"/>
      <c r="AE819" s="179"/>
      <c r="AF819" s="549"/>
      <c r="AG819" s="181"/>
      <c r="AH819" s="181"/>
      <c r="AI819" s="181"/>
      <c r="AJ819" s="179"/>
      <c r="AK819" s="549"/>
      <c r="AL819" s="181"/>
      <c r="AM819" s="181"/>
      <c r="AN819" s="181"/>
      <c r="AO819" s="179"/>
      <c r="AP819" s="549"/>
      <c r="AQ819" s="181"/>
      <c r="AR819" s="181"/>
      <c r="AS819" s="181"/>
      <c r="AT819" s="528"/>
      <c r="AU819" s="528"/>
      <c r="AV819" s="528"/>
      <c r="AW819" s="528"/>
      <c r="AX819" s="528"/>
      <c r="AY819" s="528"/>
      <c r="AZ819" s="528"/>
      <c r="BA819" s="528"/>
      <c r="BB819" s="528"/>
      <c r="BC819" s="528"/>
      <c r="BD819" s="528"/>
      <c r="BE819" s="528"/>
      <c r="BF819" s="528"/>
      <c r="BG819" s="528"/>
      <c r="BH819" s="528"/>
    </row>
    <row r="820">
      <c r="A820" s="179"/>
      <c r="B820" s="549"/>
      <c r="C820" s="181"/>
      <c r="D820" s="181"/>
      <c r="E820" s="181"/>
      <c r="F820" s="179"/>
      <c r="G820" s="549"/>
      <c r="H820" s="181"/>
      <c r="I820" s="181"/>
      <c r="J820" s="181"/>
      <c r="K820" s="156"/>
      <c r="L820" s="549"/>
      <c r="M820" s="181"/>
      <c r="N820" s="181"/>
      <c r="O820" s="181"/>
      <c r="P820" s="156"/>
      <c r="Q820" s="562"/>
      <c r="R820" s="181"/>
      <c r="S820" s="181"/>
      <c r="T820" s="181"/>
      <c r="U820" s="179"/>
      <c r="V820" s="549"/>
      <c r="W820" s="181"/>
      <c r="X820" s="181"/>
      <c r="Y820" s="181"/>
      <c r="Z820" s="179"/>
      <c r="AA820" s="549"/>
      <c r="AB820" s="181"/>
      <c r="AC820" s="181"/>
      <c r="AD820" s="181"/>
      <c r="AE820" s="179"/>
      <c r="AF820" s="549"/>
      <c r="AG820" s="181"/>
      <c r="AH820" s="181"/>
      <c r="AI820" s="181"/>
      <c r="AJ820" s="179"/>
      <c r="AK820" s="549"/>
      <c r="AL820" s="181"/>
      <c r="AM820" s="181"/>
      <c r="AN820" s="181"/>
      <c r="AO820" s="179"/>
      <c r="AP820" s="549"/>
      <c r="AQ820" s="181"/>
      <c r="AR820" s="181"/>
      <c r="AS820" s="181"/>
      <c r="AT820" s="528"/>
      <c r="AU820" s="528"/>
      <c r="AV820" s="528"/>
      <c r="AW820" s="528"/>
      <c r="AX820" s="528"/>
      <c r="AY820" s="528"/>
      <c r="AZ820" s="528"/>
      <c r="BA820" s="528"/>
      <c r="BB820" s="528"/>
      <c r="BC820" s="528"/>
      <c r="BD820" s="528"/>
      <c r="BE820" s="528"/>
      <c r="BF820" s="528"/>
      <c r="BG820" s="528"/>
      <c r="BH820" s="528"/>
    </row>
    <row r="821">
      <c r="A821" s="179"/>
      <c r="B821" s="549"/>
      <c r="C821" s="181"/>
      <c r="D821" s="181"/>
      <c r="E821" s="181"/>
      <c r="F821" s="179"/>
      <c r="G821" s="549"/>
      <c r="H821" s="181"/>
      <c r="I821" s="181"/>
      <c r="J821" s="181"/>
      <c r="K821" s="156"/>
      <c r="L821" s="549"/>
      <c r="M821" s="181"/>
      <c r="N821" s="181"/>
      <c r="O821" s="181"/>
      <c r="P821" s="156"/>
      <c r="Q821" s="562"/>
      <c r="R821" s="181"/>
      <c r="S821" s="181"/>
      <c r="T821" s="181"/>
      <c r="U821" s="179"/>
      <c r="V821" s="549"/>
      <c r="W821" s="181"/>
      <c r="X821" s="181"/>
      <c r="Y821" s="181"/>
      <c r="Z821" s="179"/>
      <c r="AA821" s="549"/>
      <c r="AB821" s="181"/>
      <c r="AC821" s="181"/>
      <c r="AD821" s="181"/>
      <c r="AE821" s="179"/>
      <c r="AF821" s="549"/>
      <c r="AG821" s="181"/>
      <c r="AH821" s="181"/>
      <c r="AI821" s="181"/>
      <c r="AJ821" s="179"/>
      <c r="AK821" s="549"/>
      <c r="AL821" s="181"/>
      <c r="AM821" s="181"/>
      <c r="AN821" s="181"/>
      <c r="AO821" s="179"/>
      <c r="AP821" s="549"/>
      <c r="AQ821" s="181"/>
      <c r="AR821" s="181"/>
      <c r="AS821" s="181"/>
      <c r="AT821" s="528"/>
      <c r="AU821" s="528"/>
      <c r="AV821" s="528"/>
      <c r="AW821" s="528"/>
      <c r="AX821" s="528"/>
      <c r="AY821" s="528"/>
      <c r="AZ821" s="528"/>
      <c r="BA821" s="528"/>
      <c r="BB821" s="528"/>
      <c r="BC821" s="528"/>
      <c r="BD821" s="528"/>
      <c r="BE821" s="528"/>
      <c r="BF821" s="528"/>
      <c r="BG821" s="528"/>
      <c r="BH821" s="528"/>
    </row>
    <row r="822">
      <c r="A822" s="179"/>
      <c r="B822" s="549"/>
      <c r="C822" s="181"/>
      <c r="D822" s="181"/>
      <c r="E822" s="181"/>
      <c r="F822" s="179"/>
      <c r="G822" s="549"/>
      <c r="H822" s="181"/>
      <c r="I822" s="181"/>
      <c r="J822" s="181"/>
      <c r="K822" s="156"/>
      <c r="L822" s="549"/>
      <c r="M822" s="181"/>
      <c r="N822" s="181"/>
      <c r="O822" s="181"/>
      <c r="P822" s="156"/>
      <c r="Q822" s="562"/>
      <c r="R822" s="181"/>
      <c r="S822" s="181"/>
      <c r="T822" s="181"/>
      <c r="U822" s="179"/>
      <c r="V822" s="549"/>
      <c r="W822" s="181"/>
      <c r="X822" s="181"/>
      <c r="Y822" s="181"/>
      <c r="Z822" s="179"/>
      <c r="AA822" s="549"/>
      <c r="AB822" s="181"/>
      <c r="AC822" s="181"/>
      <c r="AD822" s="181"/>
      <c r="AE822" s="179"/>
      <c r="AF822" s="549"/>
      <c r="AG822" s="181"/>
      <c r="AH822" s="181"/>
      <c r="AI822" s="181"/>
      <c r="AJ822" s="179"/>
      <c r="AK822" s="549"/>
      <c r="AL822" s="181"/>
      <c r="AM822" s="181"/>
      <c r="AN822" s="181"/>
      <c r="AO822" s="179"/>
      <c r="AP822" s="549"/>
      <c r="AQ822" s="181"/>
      <c r="AR822" s="181"/>
      <c r="AS822" s="181"/>
      <c r="AT822" s="528"/>
      <c r="AU822" s="528"/>
      <c r="AV822" s="528"/>
      <c r="AW822" s="528"/>
      <c r="AX822" s="528"/>
      <c r="AY822" s="528"/>
      <c r="AZ822" s="528"/>
      <c r="BA822" s="528"/>
      <c r="BB822" s="528"/>
      <c r="BC822" s="528"/>
      <c r="BD822" s="528"/>
      <c r="BE822" s="528"/>
      <c r="BF822" s="528"/>
      <c r="BG822" s="528"/>
      <c r="BH822" s="528"/>
    </row>
    <row r="823">
      <c r="A823" s="179"/>
      <c r="B823" s="549"/>
      <c r="C823" s="181"/>
      <c r="D823" s="181"/>
      <c r="E823" s="181"/>
      <c r="F823" s="179"/>
      <c r="G823" s="549"/>
      <c r="H823" s="181"/>
      <c r="I823" s="181"/>
      <c r="J823" s="181"/>
      <c r="K823" s="156"/>
      <c r="L823" s="549"/>
      <c r="M823" s="181"/>
      <c r="N823" s="181"/>
      <c r="O823" s="181"/>
      <c r="P823" s="156"/>
      <c r="Q823" s="562"/>
      <c r="R823" s="181"/>
      <c r="S823" s="181"/>
      <c r="T823" s="181"/>
      <c r="U823" s="179"/>
      <c r="V823" s="549"/>
      <c r="W823" s="181"/>
      <c r="X823" s="181"/>
      <c r="Y823" s="181"/>
      <c r="Z823" s="179"/>
      <c r="AA823" s="549"/>
      <c r="AB823" s="181"/>
      <c r="AC823" s="181"/>
      <c r="AD823" s="181"/>
      <c r="AE823" s="179"/>
      <c r="AF823" s="549"/>
      <c r="AG823" s="181"/>
      <c r="AH823" s="181"/>
      <c r="AI823" s="181"/>
      <c r="AJ823" s="179"/>
      <c r="AK823" s="549"/>
      <c r="AL823" s="181"/>
      <c r="AM823" s="181"/>
      <c r="AN823" s="181"/>
      <c r="AO823" s="179"/>
      <c r="AP823" s="549"/>
      <c r="AQ823" s="181"/>
      <c r="AR823" s="181"/>
      <c r="AS823" s="181"/>
      <c r="AT823" s="528"/>
      <c r="AU823" s="528"/>
      <c r="AV823" s="528"/>
      <c r="AW823" s="528"/>
      <c r="AX823" s="528"/>
      <c r="AY823" s="528"/>
      <c r="AZ823" s="528"/>
      <c r="BA823" s="528"/>
      <c r="BB823" s="528"/>
      <c r="BC823" s="528"/>
      <c r="BD823" s="528"/>
      <c r="BE823" s="528"/>
      <c r="BF823" s="528"/>
      <c r="BG823" s="528"/>
      <c r="BH823" s="528"/>
    </row>
    <row r="824">
      <c r="A824" s="179"/>
      <c r="B824" s="549"/>
      <c r="C824" s="181"/>
      <c r="D824" s="181"/>
      <c r="E824" s="181"/>
      <c r="F824" s="179"/>
      <c r="G824" s="549"/>
      <c r="H824" s="181"/>
      <c r="I824" s="181"/>
      <c r="J824" s="181"/>
      <c r="K824" s="156"/>
      <c r="L824" s="549"/>
      <c r="M824" s="181"/>
      <c r="N824" s="181"/>
      <c r="O824" s="181"/>
      <c r="P824" s="156"/>
      <c r="Q824" s="562"/>
      <c r="R824" s="181"/>
      <c r="S824" s="181"/>
      <c r="T824" s="181"/>
      <c r="U824" s="179"/>
      <c r="V824" s="549"/>
      <c r="W824" s="181"/>
      <c r="X824" s="181"/>
      <c r="Y824" s="181"/>
      <c r="Z824" s="179"/>
      <c r="AA824" s="549"/>
      <c r="AB824" s="181"/>
      <c r="AC824" s="181"/>
      <c r="AD824" s="181"/>
      <c r="AE824" s="179"/>
      <c r="AF824" s="549"/>
      <c r="AG824" s="181"/>
      <c r="AH824" s="181"/>
      <c r="AI824" s="181"/>
      <c r="AJ824" s="179"/>
      <c r="AK824" s="549"/>
      <c r="AL824" s="181"/>
      <c r="AM824" s="181"/>
      <c r="AN824" s="181"/>
      <c r="AO824" s="179"/>
      <c r="AP824" s="549"/>
      <c r="AQ824" s="181"/>
      <c r="AR824" s="181"/>
      <c r="AS824" s="181"/>
      <c r="AT824" s="528"/>
      <c r="AU824" s="528"/>
      <c r="AV824" s="528"/>
      <c r="AW824" s="528"/>
      <c r="AX824" s="528"/>
      <c r="AY824" s="528"/>
      <c r="AZ824" s="528"/>
      <c r="BA824" s="528"/>
      <c r="BB824" s="528"/>
      <c r="BC824" s="528"/>
      <c r="BD824" s="528"/>
      <c r="BE824" s="528"/>
      <c r="BF824" s="528"/>
      <c r="BG824" s="528"/>
      <c r="BH824" s="528"/>
    </row>
    <row r="825">
      <c r="A825" s="179"/>
      <c r="B825" s="549"/>
      <c r="C825" s="181"/>
      <c r="D825" s="181"/>
      <c r="E825" s="181"/>
      <c r="F825" s="179"/>
      <c r="G825" s="549"/>
      <c r="H825" s="181"/>
      <c r="I825" s="181"/>
      <c r="J825" s="181"/>
      <c r="K825" s="156"/>
      <c r="L825" s="549"/>
      <c r="M825" s="181"/>
      <c r="N825" s="181"/>
      <c r="O825" s="181"/>
      <c r="P825" s="156"/>
      <c r="Q825" s="562"/>
      <c r="R825" s="181"/>
      <c r="S825" s="181"/>
      <c r="T825" s="181"/>
      <c r="U825" s="179"/>
      <c r="V825" s="549"/>
      <c r="W825" s="181"/>
      <c r="X825" s="181"/>
      <c r="Y825" s="181"/>
      <c r="Z825" s="179"/>
      <c r="AA825" s="549"/>
      <c r="AB825" s="181"/>
      <c r="AC825" s="181"/>
      <c r="AD825" s="181"/>
      <c r="AE825" s="179"/>
      <c r="AF825" s="549"/>
      <c r="AG825" s="181"/>
      <c r="AH825" s="181"/>
      <c r="AI825" s="181"/>
      <c r="AJ825" s="179"/>
      <c r="AK825" s="549"/>
      <c r="AL825" s="181"/>
      <c r="AM825" s="181"/>
      <c r="AN825" s="181"/>
      <c r="AO825" s="179"/>
      <c r="AP825" s="549"/>
      <c r="AQ825" s="181"/>
      <c r="AR825" s="181"/>
      <c r="AS825" s="181"/>
      <c r="AT825" s="528"/>
      <c r="AU825" s="528"/>
      <c r="AV825" s="528"/>
      <c r="AW825" s="528"/>
      <c r="AX825" s="528"/>
      <c r="AY825" s="528"/>
      <c r="AZ825" s="528"/>
      <c r="BA825" s="528"/>
      <c r="BB825" s="528"/>
      <c r="BC825" s="528"/>
      <c r="BD825" s="528"/>
      <c r="BE825" s="528"/>
      <c r="BF825" s="528"/>
      <c r="BG825" s="528"/>
      <c r="BH825" s="528"/>
    </row>
    <row r="826">
      <c r="A826" s="179"/>
      <c r="B826" s="549"/>
      <c r="C826" s="181"/>
      <c r="D826" s="181"/>
      <c r="E826" s="181"/>
      <c r="F826" s="179"/>
      <c r="G826" s="549"/>
      <c r="H826" s="181"/>
      <c r="I826" s="181"/>
      <c r="J826" s="181"/>
      <c r="K826" s="156"/>
      <c r="L826" s="549"/>
      <c r="M826" s="181"/>
      <c r="N826" s="181"/>
      <c r="O826" s="181"/>
      <c r="P826" s="156"/>
      <c r="Q826" s="562"/>
      <c r="R826" s="181"/>
      <c r="S826" s="181"/>
      <c r="T826" s="181"/>
      <c r="U826" s="179"/>
      <c r="V826" s="549"/>
      <c r="W826" s="181"/>
      <c r="X826" s="181"/>
      <c r="Y826" s="181"/>
      <c r="Z826" s="179"/>
      <c r="AA826" s="549"/>
      <c r="AB826" s="181"/>
      <c r="AC826" s="181"/>
      <c r="AD826" s="181"/>
      <c r="AE826" s="179"/>
      <c r="AF826" s="549"/>
      <c r="AG826" s="181"/>
      <c r="AH826" s="181"/>
      <c r="AI826" s="181"/>
      <c r="AJ826" s="179"/>
      <c r="AK826" s="549"/>
      <c r="AL826" s="181"/>
      <c r="AM826" s="181"/>
      <c r="AN826" s="181"/>
      <c r="AO826" s="179"/>
      <c r="AP826" s="549"/>
      <c r="AQ826" s="181"/>
      <c r="AR826" s="181"/>
      <c r="AS826" s="181"/>
      <c r="AT826" s="528"/>
      <c r="AU826" s="528"/>
      <c r="AV826" s="528"/>
      <c r="AW826" s="528"/>
      <c r="AX826" s="528"/>
      <c r="AY826" s="528"/>
      <c r="AZ826" s="528"/>
      <c r="BA826" s="528"/>
      <c r="BB826" s="528"/>
      <c r="BC826" s="528"/>
      <c r="BD826" s="528"/>
      <c r="BE826" s="528"/>
      <c r="BF826" s="528"/>
      <c r="BG826" s="528"/>
      <c r="BH826" s="528"/>
    </row>
    <row r="827">
      <c r="A827" s="179"/>
      <c r="B827" s="549"/>
      <c r="C827" s="181"/>
      <c r="D827" s="181"/>
      <c r="E827" s="181"/>
      <c r="F827" s="179"/>
      <c r="G827" s="549"/>
      <c r="H827" s="181"/>
      <c r="I827" s="181"/>
      <c r="J827" s="181"/>
      <c r="K827" s="156"/>
      <c r="L827" s="549"/>
      <c r="M827" s="181"/>
      <c r="N827" s="181"/>
      <c r="O827" s="181"/>
      <c r="P827" s="156"/>
      <c r="Q827" s="562"/>
      <c r="R827" s="181"/>
      <c r="S827" s="181"/>
      <c r="T827" s="181"/>
      <c r="U827" s="179"/>
      <c r="V827" s="549"/>
      <c r="W827" s="181"/>
      <c r="X827" s="181"/>
      <c r="Y827" s="181"/>
      <c r="Z827" s="179"/>
      <c r="AA827" s="549"/>
      <c r="AB827" s="181"/>
      <c r="AC827" s="181"/>
      <c r="AD827" s="181"/>
      <c r="AE827" s="179"/>
      <c r="AF827" s="549"/>
      <c r="AG827" s="181"/>
      <c r="AH827" s="181"/>
      <c r="AI827" s="181"/>
      <c r="AJ827" s="179"/>
      <c r="AK827" s="549"/>
      <c r="AL827" s="181"/>
      <c r="AM827" s="181"/>
      <c r="AN827" s="181"/>
      <c r="AO827" s="179"/>
      <c r="AP827" s="549"/>
      <c r="AQ827" s="181"/>
      <c r="AR827" s="181"/>
      <c r="AS827" s="181"/>
      <c r="AT827" s="528"/>
      <c r="AU827" s="528"/>
      <c r="AV827" s="528"/>
      <c r="AW827" s="528"/>
      <c r="AX827" s="528"/>
      <c r="AY827" s="528"/>
      <c r="AZ827" s="528"/>
      <c r="BA827" s="528"/>
      <c r="BB827" s="528"/>
      <c r="BC827" s="528"/>
      <c r="BD827" s="528"/>
      <c r="BE827" s="528"/>
      <c r="BF827" s="528"/>
      <c r="BG827" s="528"/>
      <c r="BH827" s="528"/>
    </row>
    <row r="828">
      <c r="A828" s="179"/>
      <c r="B828" s="549"/>
      <c r="C828" s="181"/>
      <c r="D828" s="181"/>
      <c r="E828" s="181"/>
      <c r="F828" s="179"/>
      <c r="G828" s="549"/>
      <c r="H828" s="181"/>
      <c r="I828" s="181"/>
      <c r="J828" s="181"/>
      <c r="K828" s="156"/>
      <c r="L828" s="549"/>
      <c r="M828" s="181"/>
      <c r="N828" s="181"/>
      <c r="O828" s="181"/>
      <c r="P828" s="156"/>
      <c r="Q828" s="562"/>
      <c r="R828" s="181"/>
      <c r="S828" s="181"/>
      <c r="T828" s="181"/>
      <c r="U828" s="179"/>
      <c r="V828" s="549"/>
      <c r="W828" s="181"/>
      <c r="X828" s="181"/>
      <c r="Y828" s="181"/>
      <c r="Z828" s="179"/>
      <c r="AA828" s="549"/>
      <c r="AB828" s="181"/>
      <c r="AC828" s="181"/>
      <c r="AD828" s="181"/>
      <c r="AE828" s="179"/>
      <c r="AF828" s="549"/>
      <c r="AG828" s="181"/>
      <c r="AH828" s="181"/>
      <c r="AI828" s="181"/>
      <c r="AJ828" s="179"/>
      <c r="AK828" s="549"/>
      <c r="AL828" s="181"/>
      <c r="AM828" s="181"/>
      <c r="AN828" s="181"/>
      <c r="AO828" s="179"/>
      <c r="AP828" s="549"/>
      <c r="AQ828" s="181"/>
      <c r="AR828" s="181"/>
      <c r="AS828" s="181"/>
      <c r="AT828" s="528"/>
      <c r="AU828" s="528"/>
      <c r="AV828" s="528"/>
      <c r="AW828" s="528"/>
      <c r="AX828" s="528"/>
      <c r="AY828" s="528"/>
      <c r="AZ828" s="528"/>
      <c r="BA828" s="528"/>
      <c r="BB828" s="528"/>
      <c r="BC828" s="528"/>
      <c r="BD828" s="528"/>
      <c r="BE828" s="528"/>
      <c r="BF828" s="528"/>
      <c r="BG828" s="528"/>
      <c r="BH828" s="528"/>
    </row>
    <row r="829">
      <c r="A829" s="179"/>
      <c r="B829" s="549"/>
      <c r="C829" s="181"/>
      <c r="D829" s="181"/>
      <c r="E829" s="181"/>
      <c r="F829" s="179"/>
      <c r="G829" s="549"/>
      <c r="H829" s="181"/>
      <c r="I829" s="181"/>
      <c r="J829" s="181"/>
      <c r="K829" s="156"/>
      <c r="L829" s="549"/>
      <c r="M829" s="181"/>
      <c r="N829" s="181"/>
      <c r="O829" s="181"/>
      <c r="P829" s="156"/>
      <c r="Q829" s="562"/>
      <c r="R829" s="181"/>
      <c r="S829" s="181"/>
      <c r="T829" s="181"/>
      <c r="U829" s="179"/>
      <c r="V829" s="549"/>
      <c r="W829" s="181"/>
      <c r="X829" s="181"/>
      <c r="Y829" s="181"/>
      <c r="Z829" s="179"/>
      <c r="AA829" s="549"/>
      <c r="AB829" s="181"/>
      <c r="AC829" s="181"/>
      <c r="AD829" s="181"/>
      <c r="AE829" s="179"/>
      <c r="AF829" s="549"/>
      <c r="AG829" s="181"/>
      <c r="AH829" s="181"/>
      <c r="AI829" s="181"/>
      <c r="AJ829" s="179"/>
      <c r="AK829" s="549"/>
      <c r="AL829" s="181"/>
      <c r="AM829" s="181"/>
      <c r="AN829" s="181"/>
      <c r="AO829" s="179"/>
      <c r="AP829" s="549"/>
      <c r="AQ829" s="181"/>
      <c r="AR829" s="181"/>
      <c r="AS829" s="181"/>
      <c r="AT829" s="528"/>
      <c r="AU829" s="528"/>
      <c r="AV829" s="528"/>
      <c r="AW829" s="528"/>
      <c r="AX829" s="528"/>
      <c r="AY829" s="528"/>
      <c r="AZ829" s="528"/>
      <c r="BA829" s="528"/>
      <c r="BB829" s="528"/>
      <c r="BC829" s="528"/>
      <c r="BD829" s="528"/>
      <c r="BE829" s="528"/>
      <c r="BF829" s="528"/>
      <c r="BG829" s="528"/>
      <c r="BH829" s="528"/>
    </row>
    <row r="830">
      <c r="A830" s="179"/>
      <c r="B830" s="549"/>
      <c r="C830" s="181"/>
      <c r="D830" s="181"/>
      <c r="E830" s="181"/>
      <c r="F830" s="179"/>
      <c r="G830" s="549"/>
      <c r="H830" s="181"/>
      <c r="I830" s="181"/>
      <c r="J830" s="181"/>
      <c r="K830" s="156"/>
      <c r="L830" s="549"/>
      <c r="M830" s="181"/>
      <c r="N830" s="181"/>
      <c r="O830" s="181"/>
      <c r="P830" s="156"/>
      <c r="Q830" s="562"/>
      <c r="R830" s="181"/>
      <c r="S830" s="181"/>
      <c r="T830" s="181"/>
      <c r="U830" s="179"/>
      <c r="V830" s="549"/>
      <c r="W830" s="181"/>
      <c r="X830" s="181"/>
      <c r="Y830" s="181"/>
      <c r="Z830" s="179"/>
      <c r="AA830" s="549"/>
      <c r="AB830" s="181"/>
      <c r="AC830" s="181"/>
      <c r="AD830" s="181"/>
      <c r="AE830" s="179"/>
      <c r="AF830" s="549"/>
      <c r="AG830" s="181"/>
      <c r="AH830" s="181"/>
      <c r="AI830" s="181"/>
      <c r="AJ830" s="179"/>
      <c r="AK830" s="549"/>
      <c r="AL830" s="181"/>
      <c r="AM830" s="181"/>
      <c r="AN830" s="181"/>
      <c r="AO830" s="179"/>
      <c r="AP830" s="549"/>
      <c r="AQ830" s="181"/>
      <c r="AR830" s="181"/>
      <c r="AS830" s="181"/>
      <c r="AT830" s="528"/>
      <c r="AU830" s="528"/>
      <c r="AV830" s="528"/>
      <c r="AW830" s="528"/>
      <c r="AX830" s="528"/>
      <c r="AY830" s="528"/>
      <c r="AZ830" s="528"/>
      <c r="BA830" s="528"/>
      <c r="BB830" s="528"/>
      <c r="BC830" s="528"/>
      <c r="BD830" s="528"/>
      <c r="BE830" s="528"/>
      <c r="BF830" s="528"/>
      <c r="BG830" s="528"/>
      <c r="BH830" s="528"/>
    </row>
    <row r="831">
      <c r="A831" s="179"/>
      <c r="B831" s="549"/>
      <c r="C831" s="181"/>
      <c r="D831" s="181"/>
      <c r="E831" s="181"/>
      <c r="F831" s="179"/>
      <c r="G831" s="549"/>
      <c r="H831" s="181"/>
      <c r="I831" s="181"/>
      <c r="J831" s="181"/>
      <c r="K831" s="156"/>
      <c r="L831" s="549"/>
      <c r="M831" s="181"/>
      <c r="N831" s="181"/>
      <c r="O831" s="181"/>
      <c r="P831" s="156"/>
      <c r="Q831" s="562"/>
      <c r="R831" s="181"/>
      <c r="S831" s="181"/>
      <c r="T831" s="181"/>
      <c r="U831" s="179"/>
      <c r="V831" s="549"/>
      <c r="W831" s="181"/>
      <c r="X831" s="181"/>
      <c r="Y831" s="181"/>
      <c r="Z831" s="179"/>
      <c r="AA831" s="549"/>
      <c r="AB831" s="181"/>
      <c r="AC831" s="181"/>
      <c r="AD831" s="181"/>
      <c r="AE831" s="179"/>
      <c r="AF831" s="549"/>
      <c r="AG831" s="181"/>
      <c r="AH831" s="181"/>
      <c r="AI831" s="181"/>
      <c r="AJ831" s="179"/>
      <c r="AK831" s="549"/>
      <c r="AL831" s="181"/>
      <c r="AM831" s="181"/>
      <c r="AN831" s="181"/>
      <c r="AO831" s="179"/>
      <c r="AP831" s="549"/>
      <c r="AQ831" s="181"/>
      <c r="AR831" s="181"/>
      <c r="AS831" s="181"/>
      <c r="AT831" s="528"/>
      <c r="AU831" s="528"/>
      <c r="AV831" s="528"/>
      <c r="AW831" s="528"/>
      <c r="AX831" s="528"/>
      <c r="AY831" s="528"/>
      <c r="AZ831" s="528"/>
      <c r="BA831" s="528"/>
      <c r="BB831" s="528"/>
      <c r="BC831" s="528"/>
      <c r="BD831" s="528"/>
      <c r="BE831" s="528"/>
      <c r="BF831" s="528"/>
      <c r="BG831" s="528"/>
      <c r="BH831" s="528"/>
    </row>
    <row r="832">
      <c r="A832" s="179"/>
      <c r="B832" s="549"/>
      <c r="C832" s="181"/>
      <c r="D832" s="181"/>
      <c r="E832" s="181"/>
      <c r="F832" s="179"/>
      <c r="G832" s="549"/>
      <c r="H832" s="181"/>
      <c r="I832" s="181"/>
      <c r="J832" s="181"/>
      <c r="K832" s="156"/>
      <c r="L832" s="549"/>
      <c r="M832" s="181"/>
      <c r="N832" s="181"/>
      <c r="O832" s="181"/>
      <c r="P832" s="156"/>
      <c r="Q832" s="562"/>
      <c r="R832" s="181"/>
      <c r="S832" s="181"/>
      <c r="T832" s="181"/>
      <c r="U832" s="179"/>
      <c r="V832" s="549"/>
      <c r="W832" s="181"/>
      <c r="X832" s="181"/>
      <c r="Y832" s="181"/>
      <c r="Z832" s="179"/>
      <c r="AA832" s="549"/>
      <c r="AB832" s="181"/>
      <c r="AC832" s="181"/>
      <c r="AD832" s="181"/>
      <c r="AE832" s="179"/>
      <c r="AF832" s="549"/>
      <c r="AG832" s="181"/>
      <c r="AH832" s="181"/>
      <c r="AI832" s="181"/>
      <c r="AJ832" s="179"/>
      <c r="AK832" s="549"/>
      <c r="AL832" s="181"/>
      <c r="AM832" s="181"/>
      <c r="AN832" s="181"/>
      <c r="AO832" s="179"/>
      <c r="AP832" s="549"/>
      <c r="AQ832" s="181"/>
      <c r="AR832" s="181"/>
      <c r="AS832" s="181"/>
      <c r="AT832" s="528"/>
      <c r="AU832" s="528"/>
      <c r="AV832" s="528"/>
      <c r="AW832" s="528"/>
      <c r="AX832" s="528"/>
      <c r="AY832" s="528"/>
      <c r="AZ832" s="528"/>
      <c r="BA832" s="528"/>
      <c r="BB832" s="528"/>
      <c r="BC832" s="528"/>
      <c r="BD832" s="528"/>
      <c r="BE832" s="528"/>
      <c r="BF832" s="528"/>
      <c r="BG832" s="528"/>
      <c r="BH832" s="528"/>
    </row>
    <row r="833">
      <c r="A833" s="179"/>
      <c r="B833" s="549"/>
      <c r="C833" s="181"/>
      <c r="D833" s="181"/>
      <c r="E833" s="181"/>
      <c r="F833" s="179"/>
      <c r="G833" s="549"/>
      <c r="H833" s="181"/>
      <c r="I833" s="181"/>
      <c r="J833" s="181"/>
      <c r="K833" s="156"/>
      <c r="L833" s="549"/>
      <c r="M833" s="181"/>
      <c r="N833" s="181"/>
      <c r="O833" s="181"/>
      <c r="P833" s="156"/>
      <c r="Q833" s="562"/>
      <c r="R833" s="181"/>
      <c r="S833" s="181"/>
      <c r="T833" s="181"/>
      <c r="U833" s="179"/>
      <c r="V833" s="549"/>
      <c r="W833" s="181"/>
      <c r="X833" s="181"/>
      <c r="Y833" s="181"/>
      <c r="Z833" s="179"/>
      <c r="AA833" s="549"/>
      <c r="AB833" s="181"/>
      <c r="AC833" s="181"/>
      <c r="AD833" s="181"/>
      <c r="AE833" s="179"/>
      <c r="AF833" s="549"/>
      <c r="AG833" s="181"/>
      <c r="AH833" s="181"/>
      <c r="AI833" s="181"/>
      <c r="AJ833" s="179"/>
      <c r="AK833" s="549"/>
      <c r="AL833" s="181"/>
      <c r="AM833" s="181"/>
      <c r="AN833" s="181"/>
      <c r="AO833" s="179"/>
      <c r="AP833" s="549"/>
      <c r="AQ833" s="181"/>
      <c r="AR833" s="181"/>
      <c r="AS833" s="181"/>
      <c r="AT833" s="528"/>
      <c r="AU833" s="528"/>
      <c r="AV833" s="528"/>
      <c r="AW833" s="528"/>
      <c r="AX833" s="528"/>
      <c r="AY833" s="528"/>
      <c r="AZ833" s="528"/>
      <c r="BA833" s="528"/>
      <c r="BB833" s="528"/>
      <c r="BC833" s="528"/>
      <c r="BD833" s="528"/>
      <c r="BE833" s="528"/>
      <c r="BF833" s="528"/>
      <c r="BG833" s="528"/>
      <c r="BH833" s="528"/>
    </row>
    <row r="834">
      <c r="A834" s="179"/>
      <c r="B834" s="549"/>
      <c r="C834" s="181"/>
      <c r="D834" s="181"/>
      <c r="E834" s="181"/>
      <c r="F834" s="179"/>
      <c r="G834" s="549"/>
      <c r="H834" s="181"/>
      <c r="I834" s="181"/>
      <c r="J834" s="181"/>
      <c r="K834" s="156"/>
      <c r="L834" s="549"/>
      <c r="M834" s="181"/>
      <c r="N834" s="181"/>
      <c r="O834" s="181"/>
      <c r="P834" s="156"/>
      <c r="Q834" s="562"/>
      <c r="R834" s="181"/>
      <c r="S834" s="181"/>
      <c r="T834" s="181"/>
      <c r="U834" s="179"/>
      <c r="V834" s="549"/>
      <c r="W834" s="181"/>
      <c r="X834" s="181"/>
      <c r="Y834" s="181"/>
      <c r="Z834" s="179"/>
      <c r="AA834" s="549"/>
      <c r="AB834" s="181"/>
      <c r="AC834" s="181"/>
      <c r="AD834" s="181"/>
      <c r="AE834" s="179"/>
      <c r="AF834" s="549"/>
      <c r="AG834" s="181"/>
      <c r="AH834" s="181"/>
      <c r="AI834" s="181"/>
      <c r="AJ834" s="179"/>
      <c r="AK834" s="549"/>
      <c r="AL834" s="181"/>
      <c r="AM834" s="181"/>
      <c r="AN834" s="181"/>
      <c r="AO834" s="179"/>
      <c r="AP834" s="549"/>
      <c r="AQ834" s="181"/>
      <c r="AR834" s="181"/>
      <c r="AS834" s="181"/>
      <c r="AT834" s="528"/>
      <c r="AU834" s="528"/>
      <c r="AV834" s="528"/>
      <c r="AW834" s="528"/>
      <c r="AX834" s="528"/>
      <c r="AY834" s="528"/>
      <c r="AZ834" s="528"/>
      <c r="BA834" s="528"/>
      <c r="BB834" s="528"/>
      <c r="BC834" s="528"/>
      <c r="BD834" s="528"/>
      <c r="BE834" s="528"/>
      <c r="BF834" s="528"/>
      <c r="BG834" s="528"/>
      <c r="BH834" s="528"/>
    </row>
    <row r="835">
      <c r="A835" s="179"/>
      <c r="B835" s="549"/>
      <c r="C835" s="181"/>
      <c r="D835" s="181"/>
      <c r="E835" s="181"/>
      <c r="F835" s="179"/>
      <c r="G835" s="549"/>
      <c r="H835" s="181"/>
      <c r="I835" s="181"/>
      <c r="J835" s="181"/>
      <c r="K835" s="156"/>
      <c r="L835" s="549"/>
      <c r="M835" s="181"/>
      <c r="N835" s="181"/>
      <c r="O835" s="181"/>
      <c r="P835" s="156"/>
      <c r="Q835" s="562"/>
      <c r="R835" s="181"/>
      <c r="S835" s="181"/>
      <c r="T835" s="181"/>
      <c r="U835" s="179"/>
      <c r="V835" s="549"/>
      <c r="W835" s="181"/>
      <c r="X835" s="181"/>
      <c r="Y835" s="181"/>
      <c r="Z835" s="179"/>
      <c r="AA835" s="549"/>
      <c r="AB835" s="181"/>
      <c r="AC835" s="181"/>
      <c r="AD835" s="181"/>
      <c r="AE835" s="179"/>
      <c r="AF835" s="549"/>
      <c r="AG835" s="181"/>
      <c r="AH835" s="181"/>
      <c r="AI835" s="181"/>
      <c r="AJ835" s="179"/>
      <c r="AK835" s="549"/>
      <c r="AL835" s="181"/>
      <c r="AM835" s="181"/>
      <c r="AN835" s="181"/>
      <c r="AO835" s="179"/>
      <c r="AP835" s="549"/>
      <c r="AQ835" s="181"/>
      <c r="AR835" s="181"/>
      <c r="AS835" s="181"/>
      <c r="AT835" s="528"/>
      <c r="AU835" s="528"/>
      <c r="AV835" s="528"/>
      <c r="AW835" s="528"/>
      <c r="AX835" s="528"/>
      <c r="AY835" s="528"/>
      <c r="AZ835" s="528"/>
      <c r="BA835" s="528"/>
      <c r="BB835" s="528"/>
      <c r="BC835" s="528"/>
      <c r="BD835" s="528"/>
      <c r="BE835" s="528"/>
      <c r="BF835" s="528"/>
      <c r="BG835" s="528"/>
      <c r="BH835" s="528"/>
    </row>
    <row r="836">
      <c r="A836" s="179"/>
      <c r="B836" s="549"/>
      <c r="C836" s="181"/>
      <c r="D836" s="181"/>
      <c r="E836" s="181"/>
      <c r="F836" s="179"/>
      <c r="G836" s="549"/>
      <c r="H836" s="181"/>
      <c r="I836" s="181"/>
      <c r="J836" s="181"/>
      <c r="K836" s="156"/>
      <c r="L836" s="549"/>
      <c r="M836" s="181"/>
      <c r="N836" s="181"/>
      <c r="O836" s="181"/>
      <c r="P836" s="156"/>
      <c r="Q836" s="562"/>
      <c r="R836" s="181"/>
      <c r="S836" s="181"/>
      <c r="T836" s="181"/>
      <c r="U836" s="179"/>
      <c r="V836" s="549"/>
      <c r="W836" s="181"/>
      <c r="X836" s="181"/>
      <c r="Y836" s="181"/>
      <c r="Z836" s="179"/>
      <c r="AA836" s="549"/>
      <c r="AB836" s="181"/>
      <c r="AC836" s="181"/>
      <c r="AD836" s="181"/>
      <c r="AE836" s="179"/>
      <c r="AF836" s="549"/>
      <c r="AG836" s="181"/>
      <c r="AH836" s="181"/>
      <c r="AI836" s="181"/>
      <c r="AJ836" s="179"/>
      <c r="AK836" s="549"/>
      <c r="AL836" s="181"/>
      <c r="AM836" s="181"/>
      <c r="AN836" s="181"/>
      <c r="AO836" s="179"/>
      <c r="AP836" s="549"/>
      <c r="AQ836" s="181"/>
      <c r="AR836" s="181"/>
      <c r="AS836" s="181"/>
      <c r="AT836" s="528"/>
      <c r="AU836" s="528"/>
      <c r="AV836" s="528"/>
      <c r="AW836" s="528"/>
      <c r="AX836" s="528"/>
      <c r="AY836" s="528"/>
      <c r="AZ836" s="528"/>
      <c r="BA836" s="528"/>
      <c r="BB836" s="528"/>
      <c r="BC836" s="528"/>
      <c r="BD836" s="528"/>
      <c r="BE836" s="528"/>
      <c r="BF836" s="528"/>
      <c r="BG836" s="528"/>
      <c r="BH836" s="528"/>
    </row>
    <row r="837">
      <c r="A837" s="179"/>
      <c r="B837" s="549"/>
      <c r="C837" s="181"/>
      <c r="D837" s="181"/>
      <c r="E837" s="181"/>
      <c r="F837" s="179"/>
      <c r="G837" s="549"/>
      <c r="H837" s="181"/>
      <c r="I837" s="181"/>
      <c r="J837" s="181"/>
      <c r="K837" s="156"/>
      <c r="L837" s="549"/>
      <c r="M837" s="181"/>
      <c r="N837" s="181"/>
      <c r="O837" s="181"/>
      <c r="P837" s="156"/>
      <c r="Q837" s="562"/>
      <c r="R837" s="181"/>
      <c r="S837" s="181"/>
      <c r="T837" s="181"/>
      <c r="U837" s="179"/>
      <c r="V837" s="549"/>
      <c r="W837" s="181"/>
      <c r="X837" s="181"/>
      <c r="Y837" s="181"/>
      <c r="Z837" s="179"/>
      <c r="AA837" s="549"/>
      <c r="AB837" s="181"/>
      <c r="AC837" s="181"/>
      <c r="AD837" s="181"/>
      <c r="AE837" s="179"/>
      <c r="AF837" s="549"/>
      <c r="AG837" s="181"/>
      <c r="AH837" s="181"/>
      <c r="AI837" s="181"/>
      <c r="AJ837" s="179"/>
      <c r="AK837" s="549"/>
      <c r="AL837" s="181"/>
      <c r="AM837" s="181"/>
      <c r="AN837" s="181"/>
      <c r="AO837" s="179"/>
      <c r="AP837" s="549"/>
      <c r="AQ837" s="181"/>
      <c r="AR837" s="181"/>
      <c r="AS837" s="181"/>
      <c r="AT837" s="528"/>
      <c r="AU837" s="528"/>
      <c r="AV837" s="528"/>
      <c r="AW837" s="528"/>
      <c r="AX837" s="528"/>
      <c r="AY837" s="528"/>
      <c r="AZ837" s="528"/>
      <c r="BA837" s="528"/>
      <c r="BB837" s="528"/>
      <c r="BC837" s="528"/>
      <c r="BD837" s="528"/>
      <c r="BE837" s="528"/>
      <c r="BF837" s="528"/>
      <c r="BG837" s="528"/>
      <c r="BH837" s="528"/>
    </row>
    <row r="838">
      <c r="A838" s="179"/>
      <c r="B838" s="549"/>
      <c r="C838" s="181"/>
      <c r="D838" s="181"/>
      <c r="E838" s="181"/>
      <c r="F838" s="179"/>
      <c r="G838" s="549"/>
      <c r="H838" s="181"/>
      <c r="I838" s="181"/>
      <c r="J838" s="181"/>
      <c r="K838" s="156"/>
      <c r="L838" s="549"/>
      <c r="M838" s="181"/>
      <c r="N838" s="181"/>
      <c r="O838" s="181"/>
      <c r="P838" s="156"/>
      <c r="Q838" s="562"/>
      <c r="R838" s="181"/>
      <c r="S838" s="181"/>
      <c r="T838" s="181"/>
      <c r="U838" s="179"/>
      <c r="V838" s="549"/>
      <c r="W838" s="181"/>
      <c r="X838" s="181"/>
      <c r="Y838" s="181"/>
      <c r="Z838" s="179"/>
      <c r="AA838" s="549"/>
      <c r="AB838" s="181"/>
      <c r="AC838" s="181"/>
      <c r="AD838" s="181"/>
      <c r="AE838" s="179"/>
      <c r="AF838" s="549"/>
      <c r="AG838" s="181"/>
      <c r="AH838" s="181"/>
      <c r="AI838" s="181"/>
      <c r="AJ838" s="179"/>
      <c r="AK838" s="549"/>
      <c r="AL838" s="181"/>
      <c r="AM838" s="181"/>
      <c r="AN838" s="181"/>
      <c r="AO838" s="179"/>
      <c r="AP838" s="549"/>
      <c r="AQ838" s="181"/>
      <c r="AR838" s="181"/>
      <c r="AS838" s="181"/>
      <c r="AT838" s="528"/>
      <c r="AU838" s="528"/>
      <c r="AV838" s="528"/>
      <c r="AW838" s="528"/>
      <c r="AX838" s="528"/>
      <c r="AY838" s="528"/>
      <c r="AZ838" s="528"/>
      <c r="BA838" s="528"/>
      <c r="BB838" s="528"/>
      <c r="BC838" s="528"/>
      <c r="BD838" s="528"/>
      <c r="BE838" s="528"/>
      <c r="BF838" s="528"/>
      <c r="BG838" s="528"/>
      <c r="BH838" s="528"/>
    </row>
    <row r="839">
      <c r="A839" s="179"/>
      <c r="B839" s="549"/>
      <c r="C839" s="181"/>
      <c r="D839" s="181"/>
      <c r="E839" s="181"/>
      <c r="F839" s="179"/>
      <c r="G839" s="549"/>
      <c r="H839" s="181"/>
      <c r="I839" s="181"/>
      <c r="J839" s="181"/>
      <c r="K839" s="156"/>
      <c r="L839" s="549"/>
      <c r="M839" s="181"/>
      <c r="N839" s="181"/>
      <c r="O839" s="181"/>
      <c r="P839" s="156"/>
      <c r="Q839" s="562"/>
      <c r="R839" s="181"/>
      <c r="S839" s="181"/>
      <c r="T839" s="181"/>
      <c r="U839" s="179"/>
      <c r="V839" s="549"/>
      <c r="W839" s="181"/>
      <c r="X839" s="181"/>
      <c r="Y839" s="181"/>
      <c r="Z839" s="179"/>
      <c r="AA839" s="549"/>
      <c r="AB839" s="181"/>
      <c r="AC839" s="181"/>
      <c r="AD839" s="181"/>
      <c r="AE839" s="179"/>
      <c r="AF839" s="549"/>
      <c r="AG839" s="181"/>
      <c r="AH839" s="181"/>
      <c r="AI839" s="181"/>
      <c r="AJ839" s="179"/>
      <c r="AK839" s="549"/>
      <c r="AL839" s="181"/>
      <c r="AM839" s="181"/>
      <c r="AN839" s="181"/>
      <c r="AO839" s="179"/>
      <c r="AP839" s="549"/>
      <c r="AQ839" s="181"/>
      <c r="AR839" s="181"/>
      <c r="AS839" s="181"/>
      <c r="AT839" s="528"/>
      <c r="AU839" s="528"/>
      <c r="AV839" s="528"/>
      <c r="AW839" s="528"/>
      <c r="AX839" s="528"/>
      <c r="AY839" s="528"/>
      <c r="AZ839" s="528"/>
      <c r="BA839" s="528"/>
      <c r="BB839" s="528"/>
      <c r="BC839" s="528"/>
      <c r="BD839" s="528"/>
      <c r="BE839" s="528"/>
      <c r="BF839" s="528"/>
      <c r="BG839" s="528"/>
      <c r="BH839" s="528"/>
    </row>
    <row r="840">
      <c r="A840" s="179"/>
      <c r="B840" s="549"/>
      <c r="C840" s="181"/>
      <c r="D840" s="181"/>
      <c r="E840" s="181"/>
      <c r="F840" s="179"/>
      <c r="G840" s="549"/>
      <c r="H840" s="181"/>
      <c r="I840" s="181"/>
      <c r="J840" s="181"/>
      <c r="K840" s="156"/>
      <c r="L840" s="549"/>
      <c r="M840" s="181"/>
      <c r="N840" s="181"/>
      <c r="O840" s="181"/>
      <c r="P840" s="156"/>
      <c r="Q840" s="562"/>
      <c r="R840" s="181"/>
      <c r="S840" s="181"/>
      <c r="T840" s="181"/>
      <c r="U840" s="179"/>
      <c r="V840" s="549"/>
      <c r="W840" s="181"/>
      <c r="X840" s="181"/>
      <c r="Y840" s="181"/>
      <c r="Z840" s="179"/>
      <c r="AA840" s="549"/>
      <c r="AB840" s="181"/>
      <c r="AC840" s="181"/>
      <c r="AD840" s="181"/>
      <c r="AE840" s="179"/>
      <c r="AF840" s="549"/>
      <c r="AG840" s="181"/>
      <c r="AH840" s="181"/>
      <c r="AI840" s="181"/>
      <c r="AJ840" s="179"/>
      <c r="AK840" s="549"/>
      <c r="AL840" s="181"/>
      <c r="AM840" s="181"/>
      <c r="AN840" s="181"/>
      <c r="AO840" s="179"/>
      <c r="AP840" s="549"/>
      <c r="AQ840" s="181"/>
      <c r="AR840" s="181"/>
      <c r="AS840" s="181"/>
      <c r="AT840" s="528"/>
      <c r="AU840" s="528"/>
      <c r="AV840" s="528"/>
      <c r="AW840" s="528"/>
      <c r="AX840" s="528"/>
      <c r="AY840" s="528"/>
      <c r="AZ840" s="528"/>
      <c r="BA840" s="528"/>
      <c r="BB840" s="528"/>
      <c r="BC840" s="528"/>
      <c r="BD840" s="528"/>
      <c r="BE840" s="528"/>
      <c r="BF840" s="528"/>
      <c r="BG840" s="528"/>
      <c r="BH840" s="528"/>
    </row>
    <row r="841">
      <c r="A841" s="179"/>
      <c r="B841" s="549"/>
      <c r="C841" s="181"/>
      <c r="D841" s="181"/>
      <c r="E841" s="181"/>
      <c r="F841" s="179"/>
      <c r="G841" s="549"/>
      <c r="H841" s="181"/>
      <c r="I841" s="181"/>
      <c r="J841" s="181"/>
      <c r="K841" s="156"/>
      <c r="L841" s="549"/>
      <c r="M841" s="181"/>
      <c r="N841" s="181"/>
      <c r="O841" s="181"/>
      <c r="P841" s="156"/>
      <c r="Q841" s="562"/>
      <c r="R841" s="181"/>
      <c r="S841" s="181"/>
      <c r="T841" s="181"/>
      <c r="U841" s="179"/>
      <c r="V841" s="549"/>
      <c r="W841" s="181"/>
      <c r="X841" s="181"/>
      <c r="Y841" s="181"/>
      <c r="Z841" s="179"/>
      <c r="AA841" s="549"/>
      <c r="AB841" s="181"/>
      <c r="AC841" s="181"/>
      <c r="AD841" s="181"/>
      <c r="AE841" s="179"/>
      <c r="AF841" s="549"/>
      <c r="AG841" s="181"/>
      <c r="AH841" s="181"/>
      <c r="AI841" s="181"/>
      <c r="AJ841" s="179"/>
      <c r="AK841" s="549"/>
      <c r="AL841" s="181"/>
      <c r="AM841" s="181"/>
      <c r="AN841" s="181"/>
      <c r="AO841" s="179"/>
      <c r="AP841" s="549"/>
      <c r="AQ841" s="181"/>
      <c r="AR841" s="181"/>
      <c r="AS841" s="181"/>
      <c r="AT841" s="528"/>
      <c r="AU841" s="528"/>
      <c r="AV841" s="528"/>
      <c r="AW841" s="528"/>
      <c r="AX841" s="528"/>
      <c r="AY841" s="528"/>
      <c r="AZ841" s="528"/>
      <c r="BA841" s="528"/>
      <c r="BB841" s="528"/>
      <c r="BC841" s="528"/>
      <c r="BD841" s="528"/>
      <c r="BE841" s="528"/>
      <c r="BF841" s="528"/>
      <c r="BG841" s="528"/>
      <c r="BH841" s="528"/>
    </row>
    <row r="842">
      <c r="A842" s="179"/>
      <c r="B842" s="549"/>
      <c r="C842" s="181"/>
      <c r="D842" s="181"/>
      <c r="E842" s="181"/>
      <c r="F842" s="179"/>
      <c r="G842" s="549"/>
      <c r="H842" s="181"/>
      <c r="I842" s="181"/>
      <c r="J842" s="181"/>
      <c r="K842" s="156"/>
      <c r="L842" s="549"/>
      <c r="M842" s="181"/>
      <c r="N842" s="181"/>
      <c r="O842" s="181"/>
      <c r="P842" s="156"/>
      <c r="Q842" s="562"/>
      <c r="R842" s="181"/>
      <c r="S842" s="181"/>
      <c r="T842" s="181"/>
      <c r="U842" s="179"/>
      <c r="V842" s="549"/>
      <c r="W842" s="181"/>
      <c r="X842" s="181"/>
      <c r="Y842" s="181"/>
      <c r="Z842" s="179"/>
      <c r="AA842" s="549"/>
      <c r="AB842" s="181"/>
      <c r="AC842" s="181"/>
      <c r="AD842" s="181"/>
      <c r="AE842" s="179"/>
      <c r="AF842" s="549"/>
      <c r="AG842" s="181"/>
      <c r="AH842" s="181"/>
      <c r="AI842" s="181"/>
      <c r="AJ842" s="179"/>
      <c r="AK842" s="549"/>
      <c r="AL842" s="181"/>
      <c r="AM842" s="181"/>
      <c r="AN842" s="181"/>
      <c r="AO842" s="179"/>
      <c r="AP842" s="549"/>
      <c r="AQ842" s="181"/>
      <c r="AR842" s="181"/>
      <c r="AS842" s="181"/>
      <c r="AT842" s="528"/>
      <c r="AU842" s="528"/>
      <c r="AV842" s="528"/>
      <c r="AW842" s="528"/>
      <c r="AX842" s="528"/>
      <c r="AY842" s="528"/>
      <c r="AZ842" s="528"/>
      <c r="BA842" s="528"/>
      <c r="BB842" s="528"/>
      <c r="BC842" s="528"/>
      <c r="BD842" s="528"/>
      <c r="BE842" s="528"/>
      <c r="BF842" s="528"/>
      <c r="BG842" s="528"/>
      <c r="BH842" s="528"/>
    </row>
    <row r="843">
      <c r="A843" s="179"/>
      <c r="B843" s="549"/>
      <c r="C843" s="181"/>
      <c r="D843" s="181"/>
      <c r="E843" s="181"/>
      <c r="F843" s="179"/>
      <c r="G843" s="549"/>
      <c r="H843" s="181"/>
      <c r="I843" s="181"/>
      <c r="J843" s="181"/>
      <c r="K843" s="156"/>
      <c r="L843" s="549"/>
      <c r="M843" s="181"/>
      <c r="N843" s="181"/>
      <c r="O843" s="181"/>
      <c r="P843" s="156"/>
      <c r="Q843" s="562"/>
      <c r="R843" s="181"/>
      <c r="S843" s="181"/>
      <c r="T843" s="181"/>
      <c r="U843" s="179"/>
      <c r="V843" s="549"/>
      <c r="W843" s="181"/>
      <c r="X843" s="181"/>
      <c r="Y843" s="181"/>
      <c r="Z843" s="179"/>
      <c r="AA843" s="549"/>
      <c r="AB843" s="181"/>
      <c r="AC843" s="181"/>
      <c r="AD843" s="181"/>
      <c r="AE843" s="179"/>
      <c r="AF843" s="549"/>
      <c r="AG843" s="181"/>
      <c r="AH843" s="181"/>
      <c r="AI843" s="181"/>
      <c r="AJ843" s="179"/>
      <c r="AK843" s="549"/>
      <c r="AL843" s="181"/>
      <c r="AM843" s="181"/>
      <c r="AN843" s="181"/>
      <c r="AO843" s="179"/>
      <c r="AP843" s="549"/>
      <c r="AQ843" s="181"/>
      <c r="AR843" s="181"/>
      <c r="AS843" s="181"/>
      <c r="AT843" s="528"/>
      <c r="AU843" s="528"/>
      <c r="AV843" s="528"/>
      <c r="AW843" s="528"/>
      <c r="AX843" s="528"/>
      <c r="AY843" s="528"/>
      <c r="AZ843" s="528"/>
      <c r="BA843" s="528"/>
      <c r="BB843" s="528"/>
      <c r="BC843" s="528"/>
      <c r="BD843" s="528"/>
      <c r="BE843" s="528"/>
      <c r="BF843" s="528"/>
      <c r="BG843" s="528"/>
      <c r="BH843" s="528"/>
    </row>
    <row r="844">
      <c r="A844" s="179"/>
      <c r="B844" s="549"/>
      <c r="C844" s="181"/>
      <c r="D844" s="181"/>
      <c r="E844" s="181"/>
      <c r="F844" s="179"/>
      <c r="G844" s="549"/>
      <c r="H844" s="181"/>
      <c r="I844" s="181"/>
      <c r="J844" s="181"/>
      <c r="K844" s="156"/>
      <c r="L844" s="549"/>
      <c r="M844" s="181"/>
      <c r="N844" s="181"/>
      <c r="O844" s="181"/>
      <c r="P844" s="156"/>
      <c r="Q844" s="562"/>
      <c r="R844" s="181"/>
      <c r="S844" s="181"/>
      <c r="T844" s="181"/>
      <c r="U844" s="179"/>
      <c r="V844" s="549"/>
      <c r="W844" s="181"/>
      <c r="X844" s="181"/>
      <c r="Y844" s="181"/>
      <c r="Z844" s="179"/>
      <c r="AA844" s="549"/>
      <c r="AB844" s="181"/>
      <c r="AC844" s="181"/>
      <c r="AD844" s="181"/>
      <c r="AE844" s="179"/>
      <c r="AF844" s="549"/>
      <c r="AG844" s="181"/>
      <c r="AH844" s="181"/>
      <c r="AI844" s="181"/>
      <c r="AJ844" s="179"/>
      <c r="AK844" s="549"/>
      <c r="AL844" s="181"/>
      <c r="AM844" s="181"/>
      <c r="AN844" s="181"/>
      <c r="AO844" s="179"/>
      <c r="AP844" s="549"/>
      <c r="AQ844" s="181"/>
      <c r="AR844" s="181"/>
      <c r="AS844" s="181"/>
      <c r="AT844" s="528"/>
      <c r="AU844" s="528"/>
      <c r="AV844" s="528"/>
      <c r="AW844" s="528"/>
      <c r="AX844" s="528"/>
      <c r="AY844" s="528"/>
      <c r="AZ844" s="528"/>
      <c r="BA844" s="528"/>
      <c r="BB844" s="528"/>
      <c r="BC844" s="528"/>
      <c r="BD844" s="528"/>
      <c r="BE844" s="528"/>
      <c r="BF844" s="528"/>
      <c r="BG844" s="528"/>
      <c r="BH844" s="528"/>
    </row>
    <row r="845">
      <c r="A845" s="179"/>
      <c r="B845" s="549"/>
      <c r="C845" s="181"/>
      <c r="D845" s="181"/>
      <c r="E845" s="181"/>
      <c r="F845" s="179"/>
      <c r="G845" s="549"/>
      <c r="H845" s="181"/>
      <c r="I845" s="181"/>
      <c r="J845" s="181"/>
      <c r="K845" s="156"/>
      <c r="L845" s="549"/>
      <c r="M845" s="181"/>
      <c r="N845" s="181"/>
      <c r="O845" s="181"/>
      <c r="P845" s="156"/>
      <c r="Q845" s="562"/>
      <c r="R845" s="181"/>
      <c r="S845" s="181"/>
      <c r="T845" s="181"/>
      <c r="U845" s="179"/>
      <c r="V845" s="549"/>
      <c r="W845" s="181"/>
      <c r="X845" s="181"/>
      <c r="Y845" s="181"/>
      <c r="Z845" s="179"/>
      <c r="AA845" s="549"/>
      <c r="AB845" s="181"/>
      <c r="AC845" s="181"/>
      <c r="AD845" s="181"/>
      <c r="AE845" s="179"/>
      <c r="AF845" s="549"/>
      <c r="AG845" s="181"/>
      <c r="AH845" s="181"/>
      <c r="AI845" s="181"/>
      <c r="AJ845" s="179"/>
      <c r="AK845" s="549"/>
      <c r="AL845" s="181"/>
      <c r="AM845" s="181"/>
      <c r="AN845" s="181"/>
      <c r="AO845" s="179"/>
      <c r="AP845" s="549"/>
      <c r="AQ845" s="181"/>
      <c r="AR845" s="181"/>
      <c r="AS845" s="181"/>
      <c r="AT845" s="528"/>
      <c r="AU845" s="528"/>
      <c r="AV845" s="528"/>
      <c r="AW845" s="528"/>
      <c r="AX845" s="528"/>
      <c r="AY845" s="528"/>
      <c r="AZ845" s="528"/>
      <c r="BA845" s="528"/>
      <c r="BB845" s="528"/>
      <c r="BC845" s="528"/>
      <c r="BD845" s="528"/>
      <c r="BE845" s="528"/>
      <c r="BF845" s="528"/>
      <c r="BG845" s="528"/>
      <c r="BH845" s="528"/>
    </row>
    <row r="846">
      <c r="A846" s="179"/>
      <c r="B846" s="549"/>
      <c r="C846" s="181"/>
      <c r="D846" s="181"/>
      <c r="E846" s="181"/>
      <c r="F846" s="179"/>
      <c r="G846" s="549"/>
      <c r="H846" s="181"/>
      <c r="I846" s="181"/>
      <c r="J846" s="181"/>
      <c r="K846" s="156"/>
      <c r="L846" s="549"/>
      <c r="M846" s="181"/>
      <c r="N846" s="181"/>
      <c r="O846" s="181"/>
      <c r="P846" s="156"/>
      <c r="Q846" s="562"/>
      <c r="R846" s="181"/>
      <c r="S846" s="181"/>
      <c r="T846" s="181"/>
      <c r="U846" s="179"/>
      <c r="V846" s="549"/>
      <c r="W846" s="181"/>
      <c r="X846" s="181"/>
      <c r="Y846" s="181"/>
      <c r="Z846" s="179"/>
      <c r="AA846" s="549"/>
      <c r="AB846" s="181"/>
      <c r="AC846" s="181"/>
      <c r="AD846" s="181"/>
      <c r="AE846" s="179"/>
      <c r="AF846" s="549"/>
      <c r="AG846" s="181"/>
      <c r="AH846" s="181"/>
      <c r="AI846" s="181"/>
      <c r="AJ846" s="179"/>
      <c r="AK846" s="549"/>
      <c r="AL846" s="181"/>
      <c r="AM846" s="181"/>
      <c r="AN846" s="181"/>
      <c r="AO846" s="179"/>
      <c r="AP846" s="549"/>
      <c r="AQ846" s="181"/>
      <c r="AR846" s="181"/>
      <c r="AS846" s="181"/>
      <c r="AT846" s="528"/>
      <c r="AU846" s="528"/>
      <c r="AV846" s="528"/>
      <c r="AW846" s="528"/>
      <c r="AX846" s="528"/>
      <c r="AY846" s="528"/>
      <c r="AZ846" s="528"/>
      <c r="BA846" s="528"/>
      <c r="BB846" s="528"/>
      <c r="BC846" s="528"/>
      <c r="BD846" s="528"/>
      <c r="BE846" s="528"/>
      <c r="BF846" s="528"/>
      <c r="BG846" s="528"/>
      <c r="BH846" s="528"/>
    </row>
    <row r="847">
      <c r="A847" s="179"/>
      <c r="B847" s="549"/>
      <c r="C847" s="181"/>
      <c r="D847" s="181"/>
      <c r="E847" s="181"/>
      <c r="F847" s="179"/>
      <c r="G847" s="549"/>
      <c r="H847" s="181"/>
      <c r="I847" s="181"/>
      <c r="J847" s="181"/>
      <c r="K847" s="156"/>
      <c r="L847" s="549"/>
      <c r="M847" s="181"/>
      <c r="N847" s="181"/>
      <c r="O847" s="181"/>
      <c r="P847" s="156"/>
      <c r="Q847" s="562"/>
      <c r="R847" s="181"/>
      <c r="S847" s="181"/>
      <c r="T847" s="181"/>
      <c r="U847" s="179"/>
      <c r="V847" s="549"/>
      <c r="W847" s="181"/>
      <c r="X847" s="181"/>
      <c r="Y847" s="181"/>
      <c r="Z847" s="179"/>
      <c r="AA847" s="549"/>
      <c r="AB847" s="181"/>
      <c r="AC847" s="181"/>
      <c r="AD847" s="181"/>
      <c r="AE847" s="179"/>
      <c r="AF847" s="549"/>
      <c r="AG847" s="181"/>
      <c r="AH847" s="181"/>
      <c r="AI847" s="181"/>
      <c r="AJ847" s="179"/>
      <c r="AK847" s="549"/>
      <c r="AL847" s="181"/>
      <c r="AM847" s="181"/>
      <c r="AN847" s="181"/>
      <c r="AO847" s="179"/>
      <c r="AP847" s="549"/>
      <c r="AQ847" s="181"/>
      <c r="AR847" s="181"/>
      <c r="AS847" s="181"/>
      <c r="AT847" s="528"/>
      <c r="AU847" s="528"/>
      <c r="AV847" s="528"/>
      <c r="AW847" s="528"/>
      <c r="AX847" s="528"/>
      <c r="AY847" s="528"/>
      <c r="AZ847" s="528"/>
      <c r="BA847" s="528"/>
      <c r="BB847" s="528"/>
      <c r="BC847" s="528"/>
      <c r="BD847" s="528"/>
      <c r="BE847" s="528"/>
      <c r="BF847" s="528"/>
      <c r="BG847" s="528"/>
      <c r="BH847" s="528"/>
    </row>
    <row r="848">
      <c r="A848" s="179"/>
      <c r="B848" s="549"/>
      <c r="C848" s="181"/>
      <c r="D848" s="181"/>
      <c r="E848" s="181"/>
      <c r="F848" s="179"/>
      <c r="G848" s="549"/>
      <c r="H848" s="181"/>
      <c r="I848" s="181"/>
      <c r="J848" s="181"/>
      <c r="K848" s="156"/>
      <c r="L848" s="549"/>
      <c r="M848" s="181"/>
      <c r="N848" s="181"/>
      <c r="O848" s="181"/>
      <c r="P848" s="156"/>
      <c r="Q848" s="562"/>
      <c r="R848" s="181"/>
      <c r="S848" s="181"/>
      <c r="T848" s="181"/>
      <c r="U848" s="179"/>
      <c r="V848" s="549"/>
      <c r="W848" s="181"/>
      <c r="X848" s="181"/>
      <c r="Y848" s="181"/>
      <c r="Z848" s="179"/>
      <c r="AA848" s="549"/>
      <c r="AB848" s="181"/>
      <c r="AC848" s="181"/>
      <c r="AD848" s="181"/>
      <c r="AE848" s="179"/>
      <c r="AF848" s="549"/>
      <c r="AG848" s="181"/>
      <c r="AH848" s="181"/>
      <c r="AI848" s="181"/>
      <c r="AJ848" s="179"/>
      <c r="AK848" s="549"/>
      <c r="AL848" s="181"/>
      <c r="AM848" s="181"/>
      <c r="AN848" s="181"/>
      <c r="AO848" s="179"/>
      <c r="AP848" s="549"/>
      <c r="AQ848" s="181"/>
      <c r="AR848" s="181"/>
      <c r="AS848" s="181"/>
      <c r="AT848" s="528"/>
      <c r="AU848" s="528"/>
      <c r="AV848" s="528"/>
      <c r="AW848" s="528"/>
      <c r="AX848" s="528"/>
      <c r="AY848" s="528"/>
      <c r="AZ848" s="528"/>
      <c r="BA848" s="528"/>
      <c r="BB848" s="528"/>
      <c r="BC848" s="528"/>
      <c r="BD848" s="528"/>
      <c r="BE848" s="528"/>
      <c r="BF848" s="528"/>
      <c r="BG848" s="528"/>
      <c r="BH848" s="528"/>
    </row>
    <row r="849">
      <c r="A849" s="179"/>
      <c r="B849" s="549"/>
      <c r="C849" s="181"/>
      <c r="D849" s="181"/>
      <c r="E849" s="181"/>
      <c r="F849" s="179"/>
      <c r="G849" s="549"/>
      <c r="H849" s="181"/>
      <c r="I849" s="181"/>
      <c r="J849" s="181"/>
      <c r="K849" s="156"/>
      <c r="L849" s="549"/>
      <c r="M849" s="181"/>
      <c r="N849" s="181"/>
      <c r="O849" s="181"/>
      <c r="P849" s="156"/>
      <c r="Q849" s="562"/>
      <c r="R849" s="181"/>
      <c r="S849" s="181"/>
      <c r="T849" s="181"/>
      <c r="U849" s="179"/>
      <c r="V849" s="549"/>
      <c r="W849" s="181"/>
      <c r="X849" s="181"/>
      <c r="Y849" s="181"/>
      <c r="Z849" s="179"/>
      <c r="AA849" s="549"/>
      <c r="AB849" s="181"/>
      <c r="AC849" s="181"/>
      <c r="AD849" s="181"/>
      <c r="AE849" s="179"/>
      <c r="AF849" s="549"/>
      <c r="AG849" s="181"/>
      <c r="AH849" s="181"/>
      <c r="AI849" s="181"/>
      <c r="AJ849" s="179"/>
      <c r="AK849" s="549"/>
      <c r="AL849" s="181"/>
      <c r="AM849" s="181"/>
      <c r="AN849" s="181"/>
      <c r="AO849" s="179"/>
      <c r="AP849" s="549"/>
      <c r="AQ849" s="181"/>
      <c r="AR849" s="181"/>
      <c r="AS849" s="181"/>
      <c r="AT849" s="528"/>
      <c r="AU849" s="528"/>
      <c r="AV849" s="528"/>
      <c r="AW849" s="528"/>
      <c r="AX849" s="528"/>
      <c r="AY849" s="528"/>
      <c r="AZ849" s="528"/>
      <c r="BA849" s="528"/>
      <c r="BB849" s="528"/>
      <c r="BC849" s="528"/>
      <c r="BD849" s="528"/>
      <c r="BE849" s="528"/>
      <c r="BF849" s="528"/>
      <c r="BG849" s="528"/>
      <c r="BH849" s="528"/>
    </row>
    <row r="850">
      <c r="A850" s="179"/>
      <c r="B850" s="549"/>
      <c r="C850" s="181"/>
      <c r="D850" s="181"/>
      <c r="E850" s="181"/>
      <c r="F850" s="179"/>
      <c r="G850" s="549"/>
      <c r="H850" s="181"/>
      <c r="I850" s="181"/>
      <c r="J850" s="181"/>
      <c r="K850" s="156"/>
      <c r="L850" s="549"/>
      <c r="M850" s="181"/>
      <c r="N850" s="181"/>
      <c r="O850" s="181"/>
      <c r="P850" s="156"/>
      <c r="Q850" s="562"/>
      <c r="R850" s="181"/>
      <c r="S850" s="181"/>
      <c r="T850" s="181"/>
      <c r="U850" s="179"/>
      <c r="V850" s="549"/>
      <c r="W850" s="181"/>
      <c r="X850" s="181"/>
      <c r="Y850" s="181"/>
      <c r="Z850" s="179"/>
      <c r="AA850" s="549"/>
      <c r="AB850" s="181"/>
      <c r="AC850" s="181"/>
      <c r="AD850" s="181"/>
      <c r="AE850" s="179"/>
      <c r="AF850" s="549"/>
      <c r="AG850" s="181"/>
      <c r="AH850" s="181"/>
      <c r="AI850" s="181"/>
      <c r="AJ850" s="179"/>
      <c r="AK850" s="549"/>
      <c r="AL850" s="181"/>
      <c r="AM850" s="181"/>
      <c r="AN850" s="181"/>
      <c r="AO850" s="179"/>
      <c r="AP850" s="549"/>
      <c r="AQ850" s="181"/>
      <c r="AR850" s="181"/>
      <c r="AS850" s="181"/>
      <c r="AT850" s="528"/>
      <c r="AU850" s="528"/>
      <c r="AV850" s="528"/>
      <c r="AW850" s="528"/>
      <c r="AX850" s="528"/>
      <c r="AY850" s="528"/>
      <c r="AZ850" s="528"/>
      <c r="BA850" s="528"/>
      <c r="BB850" s="528"/>
      <c r="BC850" s="528"/>
      <c r="BD850" s="528"/>
      <c r="BE850" s="528"/>
      <c r="BF850" s="528"/>
      <c r="BG850" s="528"/>
      <c r="BH850" s="528"/>
    </row>
    <row r="851">
      <c r="A851" s="179"/>
      <c r="B851" s="549"/>
      <c r="C851" s="181"/>
      <c r="D851" s="181"/>
      <c r="E851" s="181"/>
      <c r="F851" s="179"/>
      <c r="G851" s="549"/>
      <c r="H851" s="181"/>
      <c r="I851" s="181"/>
      <c r="J851" s="181"/>
      <c r="K851" s="156"/>
      <c r="L851" s="549"/>
      <c r="M851" s="181"/>
      <c r="N851" s="181"/>
      <c r="O851" s="181"/>
      <c r="P851" s="156"/>
      <c r="Q851" s="562"/>
      <c r="R851" s="181"/>
      <c r="S851" s="181"/>
      <c r="T851" s="181"/>
      <c r="U851" s="179"/>
      <c r="V851" s="549"/>
      <c r="W851" s="181"/>
      <c r="X851" s="181"/>
      <c r="Y851" s="181"/>
      <c r="Z851" s="179"/>
      <c r="AA851" s="549"/>
      <c r="AB851" s="181"/>
      <c r="AC851" s="181"/>
      <c r="AD851" s="181"/>
      <c r="AE851" s="179"/>
      <c r="AF851" s="549"/>
      <c r="AG851" s="181"/>
      <c r="AH851" s="181"/>
      <c r="AI851" s="181"/>
      <c r="AJ851" s="179"/>
      <c r="AK851" s="549"/>
      <c r="AL851" s="181"/>
      <c r="AM851" s="181"/>
      <c r="AN851" s="181"/>
      <c r="AO851" s="179"/>
      <c r="AP851" s="549"/>
      <c r="AQ851" s="181"/>
      <c r="AR851" s="181"/>
      <c r="AS851" s="181"/>
      <c r="AT851" s="528"/>
      <c r="AU851" s="528"/>
      <c r="AV851" s="528"/>
      <c r="AW851" s="528"/>
      <c r="AX851" s="528"/>
      <c r="AY851" s="528"/>
      <c r="AZ851" s="528"/>
      <c r="BA851" s="528"/>
      <c r="BB851" s="528"/>
      <c r="BC851" s="528"/>
      <c r="BD851" s="528"/>
      <c r="BE851" s="528"/>
      <c r="BF851" s="528"/>
      <c r="BG851" s="528"/>
      <c r="BH851" s="528"/>
    </row>
    <row r="852">
      <c r="A852" s="179"/>
      <c r="B852" s="549"/>
      <c r="C852" s="181"/>
      <c r="D852" s="181"/>
      <c r="E852" s="181"/>
      <c r="F852" s="179"/>
      <c r="G852" s="549"/>
      <c r="H852" s="181"/>
      <c r="I852" s="181"/>
      <c r="J852" s="181"/>
      <c r="K852" s="156"/>
      <c r="L852" s="549"/>
      <c r="M852" s="181"/>
      <c r="N852" s="181"/>
      <c r="O852" s="181"/>
      <c r="P852" s="156"/>
      <c r="Q852" s="562"/>
      <c r="R852" s="181"/>
      <c r="S852" s="181"/>
      <c r="T852" s="181"/>
      <c r="U852" s="179"/>
      <c r="V852" s="549"/>
      <c r="W852" s="181"/>
      <c r="X852" s="181"/>
      <c r="Y852" s="181"/>
      <c r="Z852" s="179"/>
      <c r="AA852" s="549"/>
      <c r="AB852" s="181"/>
      <c r="AC852" s="181"/>
      <c r="AD852" s="181"/>
      <c r="AE852" s="179"/>
      <c r="AF852" s="549"/>
      <c r="AG852" s="181"/>
      <c r="AH852" s="181"/>
      <c r="AI852" s="181"/>
      <c r="AJ852" s="179"/>
      <c r="AK852" s="549"/>
      <c r="AL852" s="181"/>
      <c r="AM852" s="181"/>
      <c r="AN852" s="181"/>
      <c r="AO852" s="179"/>
      <c r="AP852" s="549"/>
      <c r="AQ852" s="181"/>
      <c r="AR852" s="181"/>
      <c r="AS852" s="181"/>
      <c r="AT852" s="528"/>
      <c r="AU852" s="528"/>
      <c r="AV852" s="528"/>
      <c r="AW852" s="528"/>
      <c r="AX852" s="528"/>
      <c r="AY852" s="528"/>
      <c r="AZ852" s="528"/>
      <c r="BA852" s="528"/>
      <c r="BB852" s="528"/>
      <c r="BC852" s="528"/>
      <c r="BD852" s="528"/>
      <c r="BE852" s="528"/>
      <c r="BF852" s="528"/>
      <c r="BG852" s="528"/>
      <c r="BH852" s="528"/>
    </row>
    <row r="853">
      <c r="A853" s="179"/>
      <c r="B853" s="549"/>
      <c r="C853" s="181"/>
      <c r="D853" s="181"/>
      <c r="E853" s="181"/>
      <c r="F853" s="179"/>
      <c r="G853" s="549"/>
      <c r="H853" s="181"/>
      <c r="I853" s="181"/>
      <c r="J853" s="181"/>
      <c r="K853" s="156"/>
      <c r="L853" s="549"/>
      <c r="M853" s="181"/>
      <c r="N853" s="181"/>
      <c r="O853" s="181"/>
      <c r="P853" s="156"/>
      <c r="Q853" s="562"/>
      <c r="R853" s="181"/>
      <c r="S853" s="181"/>
      <c r="T853" s="181"/>
      <c r="U853" s="179"/>
      <c r="V853" s="549"/>
      <c r="W853" s="181"/>
      <c r="X853" s="181"/>
      <c r="Y853" s="181"/>
      <c r="Z853" s="179"/>
      <c r="AA853" s="549"/>
      <c r="AB853" s="181"/>
      <c r="AC853" s="181"/>
      <c r="AD853" s="181"/>
      <c r="AE853" s="179"/>
      <c r="AF853" s="549"/>
      <c r="AG853" s="181"/>
      <c r="AH853" s="181"/>
      <c r="AI853" s="181"/>
      <c r="AJ853" s="179"/>
      <c r="AK853" s="549"/>
      <c r="AL853" s="181"/>
      <c r="AM853" s="181"/>
      <c r="AN853" s="181"/>
      <c r="AO853" s="179"/>
      <c r="AP853" s="549"/>
      <c r="AQ853" s="181"/>
      <c r="AR853" s="181"/>
      <c r="AS853" s="181"/>
      <c r="AT853" s="528"/>
      <c r="AU853" s="528"/>
      <c r="AV853" s="528"/>
      <c r="AW853" s="528"/>
      <c r="AX853" s="528"/>
      <c r="AY853" s="528"/>
      <c r="AZ853" s="528"/>
      <c r="BA853" s="528"/>
      <c r="BB853" s="528"/>
      <c r="BC853" s="528"/>
      <c r="BD853" s="528"/>
      <c r="BE853" s="528"/>
      <c r="BF853" s="528"/>
      <c r="BG853" s="528"/>
      <c r="BH853" s="528"/>
    </row>
    <row r="854">
      <c r="A854" s="179"/>
      <c r="B854" s="549"/>
      <c r="C854" s="181"/>
      <c r="D854" s="181"/>
      <c r="E854" s="181"/>
      <c r="F854" s="179"/>
      <c r="G854" s="549"/>
      <c r="H854" s="181"/>
      <c r="I854" s="181"/>
      <c r="J854" s="181"/>
      <c r="K854" s="156"/>
      <c r="L854" s="549"/>
      <c r="M854" s="181"/>
      <c r="N854" s="181"/>
      <c r="O854" s="181"/>
      <c r="P854" s="156"/>
      <c r="Q854" s="562"/>
      <c r="R854" s="181"/>
      <c r="S854" s="181"/>
      <c r="T854" s="181"/>
      <c r="U854" s="179"/>
      <c r="V854" s="549"/>
      <c r="W854" s="181"/>
      <c r="X854" s="181"/>
      <c r="Y854" s="181"/>
      <c r="Z854" s="179"/>
      <c r="AA854" s="549"/>
      <c r="AB854" s="181"/>
      <c r="AC854" s="181"/>
      <c r="AD854" s="181"/>
      <c r="AE854" s="179"/>
      <c r="AF854" s="549"/>
      <c r="AG854" s="181"/>
      <c r="AH854" s="181"/>
      <c r="AI854" s="181"/>
      <c r="AJ854" s="179"/>
      <c r="AK854" s="549"/>
      <c r="AL854" s="181"/>
      <c r="AM854" s="181"/>
      <c r="AN854" s="181"/>
      <c r="AO854" s="179"/>
      <c r="AP854" s="549"/>
      <c r="AQ854" s="181"/>
      <c r="AR854" s="181"/>
      <c r="AS854" s="181"/>
      <c r="AT854" s="528"/>
      <c r="AU854" s="528"/>
      <c r="AV854" s="528"/>
      <c r="AW854" s="528"/>
      <c r="AX854" s="528"/>
      <c r="AY854" s="528"/>
      <c r="AZ854" s="528"/>
      <c r="BA854" s="528"/>
      <c r="BB854" s="528"/>
      <c r="BC854" s="528"/>
      <c r="BD854" s="528"/>
      <c r="BE854" s="528"/>
      <c r="BF854" s="528"/>
      <c r="BG854" s="528"/>
      <c r="BH854" s="528"/>
    </row>
    <row r="855">
      <c r="A855" s="179"/>
      <c r="B855" s="549"/>
      <c r="C855" s="181"/>
      <c r="D855" s="181"/>
      <c r="E855" s="181"/>
      <c r="F855" s="179"/>
      <c r="G855" s="549"/>
      <c r="H855" s="181"/>
      <c r="I855" s="181"/>
      <c r="J855" s="181"/>
      <c r="K855" s="156"/>
      <c r="L855" s="549"/>
      <c r="M855" s="181"/>
      <c r="N855" s="181"/>
      <c r="O855" s="181"/>
      <c r="P855" s="156"/>
      <c r="Q855" s="562"/>
      <c r="R855" s="181"/>
      <c r="S855" s="181"/>
      <c r="T855" s="181"/>
      <c r="U855" s="179"/>
      <c r="V855" s="549"/>
      <c r="W855" s="181"/>
      <c r="X855" s="181"/>
      <c r="Y855" s="181"/>
      <c r="Z855" s="179"/>
      <c r="AA855" s="549"/>
      <c r="AB855" s="181"/>
      <c r="AC855" s="181"/>
      <c r="AD855" s="181"/>
      <c r="AE855" s="179"/>
      <c r="AF855" s="549"/>
      <c r="AG855" s="181"/>
      <c r="AH855" s="181"/>
      <c r="AI855" s="181"/>
      <c r="AJ855" s="179"/>
      <c r="AK855" s="549"/>
      <c r="AL855" s="181"/>
      <c r="AM855" s="181"/>
      <c r="AN855" s="181"/>
      <c r="AO855" s="179"/>
      <c r="AP855" s="549"/>
      <c r="AQ855" s="181"/>
      <c r="AR855" s="181"/>
      <c r="AS855" s="181"/>
      <c r="AT855" s="528"/>
      <c r="AU855" s="528"/>
      <c r="AV855" s="528"/>
      <c r="AW855" s="528"/>
      <c r="AX855" s="528"/>
      <c r="AY855" s="528"/>
      <c r="AZ855" s="528"/>
      <c r="BA855" s="528"/>
      <c r="BB855" s="528"/>
      <c r="BC855" s="528"/>
      <c r="BD855" s="528"/>
      <c r="BE855" s="528"/>
      <c r="BF855" s="528"/>
      <c r="BG855" s="528"/>
      <c r="BH855" s="528"/>
    </row>
    <row r="856">
      <c r="A856" s="179"/>
      <c r="B856" s="549"/>
      <c r="C856" s="181"/>
      <c r="D856" s="181"/>
      <c r="E856" s="181"/>
      <c r="F856" s="179"/>
      <c r="G856" s="549"/>
      <c r="H856" s="181"/>
      <c r="I856" s="181"/>
      <c r="J856" s="181"/>
      <c r="K856" s="156"/>
      <c r="L856" s="549"/>
      <c r="M856" s="181"/>
      <c r="N856" s="181"/>
      <c r="O856" s="181"/>
      <c r="P856" s="156"/>
      <c r="Q856" s="562"/>
      <c r="R856" s="181"/>
      <c r="S856" s="181"/>
      <c r="T856" s="181"/>
      <c r="U856" s="179"/>
      <c r="V856" s="549"/>
      <c r="W856" s="181"/>
      <c r="X856" s="181"/>
      <c r="Y856" s="181"/>
      <c r="Z856" s="179"/>
      <c r="AA856" s="549"/>
      <c r="AB856" s="181"/>
      <c r="AC856" s="181"/>
      <c r="AD856" s="181"/>
      <c r="AE856" s="179"/>
      <c r="AF856" s="549"/>
      <c r="AG856" s="181"/>
      <c r="AH856" s="181"/>
      <c r="AI856" s="181"/>
      <c r="AJ856" s="179"/>
      <c r="AK856" s="549"/>
      <c r="AL856" s="181"/>
      <c r="AM856" s="181"/>
      <c r="AN856" s="181"/>
      <c r="AO856" s="179"/>
      <c r="AP856" s="549"/>
      <c r="AQ856" s="181"/>
      <c r="AR856" s="181"/>
      <c r="AS856" s="181"/>
      <c r="AT856" s="528"/>
      <c r="AU856" s="528"/>
      <c r="AV856" s="528"/>
      <c r="AW856" s="528"/>
      <c r="AX856" s="528"/>
      <c r="AY856" s="528"/>
      <c r="AZ856" s="528"/>
      <c r="BA856" s="528"/>
      <c r="BB856" s="528"/>
      <c r="BC856" s="528"/>
      <c r="BD856" s="528"/>
      <c r="BE856" s="528"/>
      <c r="BF856" s="528"/>
      <c r="BG856" s="528"/>
      <c r="BH856" s="528"/>
    </row>
    <row r="857">
      <c r="A857" s="179"/>
      <c r="B857" s="549"/>
      <c r="C857" s="181"/>
      <c r="D857" s="181"/>
      <c r="E857" s="181"/>
      <c r="F857" s="179"/>
      <c r="G857" s="549"/>
      <c r="H857" s="181"/>
      <c r="I857" s="181"/>
      <c r="J857" s="181"/>
      <c r="K857" s="156"/>
      <c r="L857" s="549"/>
      <c r="M857" s="181"/>
      <c r="N857" s="181"/>
      <c r="O857" s="181"/>
      <c r="P857" s="156"/>
      <c r="Q857" s="562"/>
      <c r="R857" s="181"/>
      <c r="S857" s="181"/>
      <c r="T857" s="181"/>
      <c r="U857" s="179"/>
      <c r="V857" s="549"/>
      <c r="W857" s="181"/>
      <c r="X857" s="181"/>
      <c r="Y857" s="181"/>
      <c r="Z857" s="179"/>
      <c r="AA857" s="549"/>
      <c r="AB857" s="181"/>
      <c r="AC857" s="181"/>
      <c r="AD857" s="181"/>
      <c r="AE857" s="179"/>
      <c r="AF857" s="549"/>
      <c r="AG857" s="181"/>
      <c r="AH857" s="181"/>
      <c r="AI857" s="181"/>
      <c r="AJ857" s="179"/>
      <c r="AK857" s="549"/>
      <c r="AL857" s="181"/>
      <c r="AM857" s="181"/>
      <c r="AN857" s="181"/>
      <c r="AO857" s="179"/>
      <c r="AP857" s="549"/>
      <c r="AQ857" s="181"/>
      <c r="AR857" s="181"/>
      <c r="AS857" s="181"/>
      <c r="AT857" s="528"/>
      <c r="AU857" s="528"/>
      <c r="AV857" s="528"/>
      <c r="AW857" s="528"/>
      <c r="AX857" s="528"/>
      <c r="AY857" s="528"/>
      <c r="AZ857" s="528"/>
      <c r="BA857" s="528"/>
      <c r="BB857" s="528"/>
      <c r="BC857" s="528"/>
      <c r="BD857" s="528"/>
      <c r="BE857" s="528"/>
      <c r="BF857" s="528"/>
      <c r="BG857" s="528"/>
      <c r="BH857" s="528"/>
    </row>
    <row r="858">
      <c r="A858" s="179"/>
      <c r="B858" s="549"/>
      <c r="C858" s="181"/>
      <c r="D858" s="181"/>
      <c r="E858" s="181"/>
      <c r="F858" s="179"/>
      <c r="G858" s="549"/>
      <c r="H858" s="181"/>
      <c r="I858" s="181"/>
      <c r="J858" s="181"/>
      <c r="K858" s="156"/>
      <c r="L858" s="549"/>
      <c r="M858" s="181"/>
      <c r="N858" s="181"/>
      <c r="O858" s="181"/>
      <c r="P858" s="156"/>
      <c r="Q858" s="562"/>
      <c r="R858" s="181"/>
      <c r="S858" s="181"/>
      <c r="T858" s="181"/>
      <c r="U858" s="179"/>
      <c r="V858" s="549"/>
      <c r="W858" s="181"/>
      <c r="X858" s="181"/>
      <c r="Y858" s="181"/>
      <c r="Z858" s="179"/>
      <c r="AA858" s="549"/>
      <c r="AB858" s="181"/>
      <c r="AC858" s="181"/>
      <c r="AD858" s="181"/>
      <c r="AE858" s="179"/>
      <c r="AF858" s="549"/>
      <c r="AG858" s="181"/>
      <c r="AH858" s="181"/>
      <c r="AI858" s="181"/>
      <c r="AJ858" s="179"/>
      <c r="AK858" s="549"/>
      <c r="AL858" s="181"/>
      <c r="AM858" s="181"/>
      <c r="AN858" s="181"/>
      <c r="AO858" s="179"/>
      <c r="AP858" s="549"/>
      <c r="AQ858" s="181"/>
      <c r="AR858" s="181"/>
      <c r="AS858" s="181"/>
      <c r="AT858" s="528"/>
      <c r="AU858" s="528"/>
      <c r="AV858" s="528"/>
      <c r="AW858" s="528"/>
      <c r="AX858" s="528"/>
      <c r="AY858" s="528"/>
      <c r="AZ858" s="528"/>
      <c r="BA858" s="528"/>
      <c r="BB858" s="528"/>
      <c r="BC858" s="528"/>
      <c r="BD858" s="528"/>
      <c r="BE858" s="528"/>
      <c r="BF858" s="528"/>
      <c r="BG858" s="528"/>
      <c r="BH858" s="528"/>
    </row>
    <row r="859">
      <c r="A859" s="179"/>
      <c r="B859" s="549"/>
      <c r="C859" s="181"/>
      <c r="D859" s="181"/>
      <c r="E859" s="181"/>
      <c r="F859" s="179"/>
      <c r="G859" s="549"/>
      <c r="H859" s="181"/>
      <c r="I859" s="181"/>
      <c r="J859" s="181"/>
      <c r="K859" s="156"/>
      <c r="L859" s="549"/>
      <c r="M859" s="181"/>
      <c r="N859" s="181"/>
      <c r="O859" s="181"/>
      <c r="P859" s="156"/>
      <c r="Q859" s="562"/>
      <c r="R859" s="181"/>
      <c r="S859" s="181"/>
      <c r="T859" s="181"/>
      <c r="U859" s="179"/>
      <c r="V859" s="549"/>
      <c r="W859" s="181"/>
      <c r="X859" s="181"/>
      <c r="Y859" s="181"/>
      <c r="Z859" s="179"/>
      <c r="AA859" s="549"/>
      <c r="AB859" s="181"/>
      <c r="AC859" s="181"/>
      <c r="AD859" s="181"/>
      <c r="AE859" s="179"/>
      <c r="AF859" s="549"/>
      <c r="AG859" s="181"/>
      <c r="AH859" s="181"/>
      <c r="AI859" s="181"/>
      <c r="AJ859" s="179"/>
      <c r="AK859" s="549"/>
      <c r="AL859" s="181"/>
      <c r="AM859" s="181"/>
      <c r="AN859" s="181"/>
      <c r="AO859" s="179"/>
      <c r="AP859" s="549"/>
      <c r="AQ859" s="181"/>
      <c r="AR859" s="181"/>
      <c r="AS859" s="181"/>
      <c r="AT859" s="528"/>
      <c r="AU859" s="528"/>
      <c r="AV859" s="528"/>
      <c r="AW859" s="528"/>
      <c r="AX859" s="528"/>
      <c r="AY859" s="528"/>
      <c r="AZ859" s="528"/>
      <c r="BA859" s="528"/>
      <c r="BB859" s="528"/>
      <c r="BC859" s="528"/>
      <c r="BD859" s="528"/>
      <c r="BE859" s="528"/>
      <c r="BF859" s="528"/>
      <c r="BG859" s="528"/>
      <c r="BH859" s="528"/>
    </row>
    <row r="860">
      <c r="A860" s="179"/>
      <c r="B860" s="549"/>
      <c r="C860" s="181"/>
      <c r="D860" s="181"/>
      <c r="E860" s="181"/>
      <c r="F860" s="179"/>
      <c r="G860" s="549"/>
      <c r="H860" s="181"/>
      <c r="I860" s="181"/>
      <c r="J860" s="181"/>
      <c r="K860" s="156"/>
      <c r="L860" s="549"/>
      <c r="M860" s="181"/>
      <c r="N860" s="181"/>
      <c r="O860" s="181"/>
      <c r="P860" s="156"/>
      <c r="Q860" s="562"/>
      <c r="R860" s="181"/>
      <c r="S860" s="181"/>
      <c r="T860" s="181"/>
      <c r="U860" s="179"/>
      <c r="V860" s="549"/>
      <c r="W860" s="181"/>
      <c r="X860" s="181"/>
      <c r="Y860" s="181"/>
      <c r="Z860" s="179"/>
      <c r="AA860" s="549"/>
      <c r="AB860" s="181"/>
      <c r="AC860" s="181"/>
      <c r="AD860" s="181"/>
      <c r="AE860" s="179"/>
      <c r="AF860" s="549"/>
      <c r="AG860" s="181"/>
      <c r="AH860" s="181"/>
      <c r="AI860" s="181"/>
      <c r="AJ860" s="179"/>
      <c r="AK860" s="549"/>
      <c r="AL860" s="181"/>
      <c r="AM860" s="181"/>
      <c r="AN860" s="181"/>
      <c r="AO860" s="179"/>
      <c r="AP860" s="549"/>
      <c r="AQ860" s="181"/>
      <c r="AR860" s="181"/>
      <c r="AS860" s="181"/>
      <c r="AT860" s="528"/>
      <c r="AU860" s="528"/>
      <c r="AV860" s="528"/>
      <c r="AW860" s="528"/>
      <c r="AX860" s="528"/>
      <c r="AY860" s="528"/>
      <c r="AZ860" s="528"/>
      <c r="BA860" s="528"/>
      <c r="BB860" s="528"/>
      <c r="BC860" s="528"/>
      <c r="BD860" s="528"/>
      <c r="BE860" s="528"/>
      <c r="BF860" s="528"/>
      <c r="BG860" s="528"/>
      <c r="BH860" s="528"/>
    </row>
    <row r="861">
      <c r="A861" s="179"/>
      <c r="B861" s="549"/>
      <c r="C861" s="181"/>
      <c r="D861" s="181"/>
      <c r="E861" s="181"/>
      <c r="F861" s="179"/>
      <c r="G861" s="549"/>
      <c r="H861" s="181"/>
      <c r="I861" s="181"/>
      <c r="J861" s="181"/>
      <c r="K861" s="156"/>
      <c r="L861" s="549"/>
      <c r="M861" s="181"/>
      <c r="N861" s="181"/>
      <c r="O861" s="181"/>
      <c r="P861" s="156"/>
      <c r="Q861" s="562"/>
      <c r="R861" s="181"/>
      <c r="S861" s="181"/>
      <c r="T861" s="181"/>
      <c r="U861" s="179"/>
      <c r="V861" s="549"/>
      <c r="W861" s="181"/>
      <c r="X861" s="181"/>
      <c r="Y861" s="181"/>
      <c r="Z861" s="179"/>
      <c r="AA861" s="549"/>
      <c r="AB861" s="181"/>
      <c r="AC861" s="181"/>
      <c r="AD861" s="181"/>
      <c r="AE861" s="179"/>
      <c r="AF861" s="549"/>
      <c r="AG861" s="181"/>
      <c r="AH861" s="181"/>
      <c r="AI861" s="181"/>
      <c r="AJ861" s="179"/>
      <c r="AK861" s="549"/>
      <c r="AL861" s="181"/>
      <c r="AM861" s="181"/>
      <c r="AN861" s="181"/>
      <c r="AO861" s="179"/>
      <c r="AP861" s="549"/>
      <c r="AQ861" s="181"/>
      <c r="AR861" s="181"/>
      <c r="AS861" s="181"/>
      <c r="AT861" s="528"/>
      <c r="AU861" s="528"/>
      <c r="AV861" s="528"/>
      <c r="AW861" s="528"/>
      <c r="AX861" s="528"/>
      <c r="AY861" s="528"/>
      <c r="AZ861" s="528"/>
      <c r="BA861" s="528"/>
      <c r="BB861" s="528"/>
      <c r="BC861" s="528"/>
      <c r="BD861" s="528"/>
      <c r="BE861" s="528"/>
      <c r="BF861" s="528"/>
      <c r="BG861" s="528"/>
      <c r="BH861" s="528"/>
    </row>
    <row r="862">
      <c r="A862" s="179"/>
      <c r="B862" s="549"/>
      <c r="C862" s="181"/>
      <c r="D862" s="181"/>
      <c r="E862" s="181"/>
      <c r="F862" s="179"/>
      <c r="G862" s="549"/>
      <c r="H862" s="181"/>
      <c r="I862" s="181"/>
      <c r="J862" s="181"/>
      <c r="K862" s="156"/>
      <c r="L862" s="549"/>
      <c r="M862" s="181"/>
      <c r="N862" s="181"/>
      <c r="O862" s="181"/>
      <c r="P862" s="156"/>
      <c r="Q862" s="562"/>
      <c r="R862" s="181"/>
      <c r="S862" s="181"/>
      <c r="T862" s="181"/>
      <c r="U862" s="179"/>
      <c r="V862" s="549"/>
      <c r="W862" s="181"/>
      <c r="X862" s="181"/>
      <c r="Y862" s="181"/>
      <c r="Z862" s="179"/>
      <c r="AA862" s="549"/>
      <c r="AB862" s="181"/>
      <c r="AC862" s="181"/>
      <c r="AD862" s="181"/>
      <c r="AE862" s="179"/>
      <c r="AF862" s="549"/>
      <c r="AG862" s="181"/>
      <c r="AH862" s="181"/>
      <c r="AI862" s="181"/>
      <c r="AJ862" s="179"/>
      <c r="AK862" s="549"/>
      <c r="AL862" s="181"/>
      <c r="AM862" s="181"/>
      <c r="AN862" s="181"/>
      <c r="AO862" s="179"/>
      <c r="AP862" s="549"/>
      <c r="AQ862" s="181"/>
      <c r="AR862" s="181"/>
      <c r="AS862" s="181"/>
      <c r="AT862" s="528"/>
      <c r="AU862" s="528"/>
      <c r="AV862" s="528"/>
      <c r="AW862" s="528"/>
      <c r="AX862" s="528"/>
      <c r="AY862" s="528"/>
      <c r="AZ862" s="528"/>
      <c r="BA862" s="528"/>
      <c r="BB862" s="528"/>
      <c r="BC862" s="528"/>
      <c r="BD862" s="528"/>
      <c r="BE862" s="528"/>
      <c r="BF862" s="528"/>
      <c r="BG862" s="528"/>
      <c r="BH862" s="528"/>
    </row>
    <row r="863">
      <c r="A863" s="179"/>
      <c r="B863" s="549"/>
      <c r="C863" s="181"/>
      <c r="D863" s="181"/>
      <c r="E863" s="181"/>
      <c r="F863" s="179"/>
      <c r="G863" s="549"/>
      <c r="H863" s="181"/>
      <c r="I863" s="181"/>
      <c r="J863" s="181"/>
      <c r="K863" s="156"/>
      <c r="L863" s="549"/>
      <c r="M863" s="181"/>
      <c r="N863" s="181"/>
      <c r="O863" s="181"/>
      <c r="P863" s="156"/>
      <c r="Q863" s="562"/>
      <c r="R863" s="181"/>
      <c r="S863" s="181"/>
      <c r="T863" s="181"/>
      <c r="U863" s="179"/>
      <c r="V863" s="549"/>
      <c r="W863" s="181"/>
      <c r="X863" s="181"/>
      <c r="Y863" s="181"/>
      <c r="Z863" s="179"/>
      <c r="AA863" s="549"/>
      <c r="AB863" s="181"/>
      <c r="AC863" s="181"/>
      <c r="AD863" s="181"/>
      <c r="AE863" s="179"/>
      <c r="AF863" s="549"/>
      <c r="AG863" s="181"/>
      <c r="AH863" s="181"/>
      <c r="AI863" s="181"/>
      <c r="AJ863" s="179"/>
      <c r="AK863" s="549"/>
      <c r="AL863" s="181"/>
      <c r="AM863" s="181"/>
      <c r="AN863" s="181"/>
      <c r="AO863" s="179"/>
      <c r="AP863" s="549"/>
      <c r="AQ863" s="181"/>
      <c r="AR863" s="181"/>
      <c r="AS863" s="181"/>
      <c r="AT863" s="528"/>
      <c r="AU863" s="528"/>
      <c r="AV863" s="528"/>
      <c r="AW863" s="528"/>
      <c r="AX863" s="528"/>
      <c r="AY863" s="528"/>
      <c r="AZ863" s="528"/>
      <c r="BA863" s="528"/>
      <c r="BB863" s="528"/>
      <c r="BC863" s="528"/>
      <c r="BD863" s="528"/>
      <c r="BE863" s="528"/>
      <c r="BF863" s="528"/>
      <c r="BG863" s="528"/>
      <c r="BH863" s="528"/>
    </row>
    <row r="864">
      <c r="A864" s="179"/>
      <c r="B864" s="549"/>
      <c r="C864" s="181"/>
      <c r="D864" s="181"/>
      <c r="E864" s="181"/>
      <c r="F864" s="179"/>
      <c r="G864" s="549"/>
      <c r="H864" s="181"/>
      <c r="I864" s="181"/>
      <c r="J864" s="181"/>
      <c r="K864" s="156"/>
      <c r="L864" s="549"/>
      <c r="M864" s="181"/>
      <c r="N864" s="181"/>
      <c r="O864" s="181"/>
      <c r="P864" s="156"/>
      <c r="Q864" s="562"/>
      <c r="R864" s="181"/>
      <c r="S864" s="181"/>
      <c r="T864" s="181"/>
      <c r="U864" s="179"/>
      <c r="V864" s="549"/>
      <c r="W864" s="181"/>
      <c r="X864" s="181"/>
      <c r="Y864" s="181"/>
      <c r="Z864" s="179"/>
      <c r="AA864" s="549"/>
      <c r="AB864" s="181"/>
      <c r="AC864" s="181"/>
      <c r="AD864" s="181"/>
      <c r="AE864" s="179"/>
      <c r="AF864" s="549"/>
      <c r="AG864" s="181"/>
      <c r="AH864" s="181"/>
      <c r="AI864" s="181"/>
      <c r="AJ864" s="179"/>
      <c r="AK864" s="549"/>
      <c r="AL864" s="181"/>
      <c r="AM864" s="181"/>
      <c r="AN864" s="181"/>
      <c r="AO864" s="179"/>
      <c r="AP864" s="549"/>
      <c r="AQ864" s="181"/>
      <c r="AR864" s="181"/>
      <c r="AS864" s="181"/>
      <c r="AT864" s="528"/>
      <c r="AU864" s="528"/>
      <c r="AV864" s="528"/>
      <c r="AW864" s="528"/>
      <c r="AX864" s="528"/>
      <c r="AY864" s="528"/>
      <c r="AZ864" s="528"/>
      <c r="BA864" s="528"/>
      <c r="BB864" s="528"/>
      <c r="BC864" s="528"/>
      <c r="BD864" s="528"/>
      <c r="BE864" s="528"/>
      <c r="BF864" s="528"/>
      <c r="BG864" s="528"/>
      <c r="BH864" s="528"/>
    </row>
    <row r="865">
      <c r="A865" s="179"/>
      <c r="B865" s="549"/>
      <c r="C865" s="181"/>
      <c r="D865" s="181"/>
      <c r="E865" s="181"/>
      <c r="F865" s="179"/>
      <c r="G865" s="549"/>
      <c r="H865" s="181"/>
      <c r="I865" s="181"/>
      <c r="J865" s="181"/>
      <c r="K865" s="156"/>
      <c r="L865" s="549"/>
      <c r="M865" s="181"/>
      <c r="N865" s="181"/>
      <c r="O865" s="181"/>
      <c r="P865" s="156"/>
      <c r="Q865" s="562"/>
      <c r="R865" s="181"/>
      <c r="S865" s="181"/>
      <c r="T865" s="181"/>
      <c r="U865" s="179"/>
      <c r="V865" s="549"/>
      <c r="W865" s="181"/>
      <c r="X865" s="181"/>
      <c r="Y865" s="181"/>
      <c r="Z865" s="179"/>
      <c r="AA865" s="549"/>
      <c r="AB865" s="181"/>
      <c r="AC865" s="181"/>
      <c r="AD865" s="181"/>
      <c r="AE865" s="179"/>
      <c r="AF865" s="549"/>
      <c r="AG865" s="181"/>
      <c r="AH865" s="181"/>
      <c r="AI865" s="181"/>
      <c r="AJ865" s="179"/>
      <c r="AK865" s="549"/>
      <c r="AL865" s="181"/>
      <c r="AM865" s="181"/>
      <c r="AN865" s="181"/>
      <c r="AO865" s="179"/>
      <c r="AP865" s="549"/>
      <c r="AQ865" s="181"/>
      <c r="AR865" s="181"/>
      <c r="AS865" s="181"/>
      <c r="AT865" s="528"/>
      <c r="AU865" s="528"/>
      <c r="AV865" s="528"/>
      <c r="AW865" s="528"/>
      <c r="AX865" s="528"/>
      <c r="AY865" s="528"/>
      <c r="AZ865" s="528"/>
      <c r="BA865" s="528"/>
      <c r="BB865" s="528"/>
      <c r="BC865" s="528"/>
      <c r="BD865" s="528"/>
      <c r="BE865" s="528"/>
      <c r="BF865" s="528"/>
      <c r="BG865" s="528"/>
      <c r="BH865" s="528"/>
    </row>
    <row r="866">
      <c r="A866" s="179"/>
      <c r="B866" s="549"/>
      <c r="C866" s="181"/>
      <c r="D866" s="181"/>
      <c r="E866" s="181"/>
      <c r="F866" s="179"/>
      <c r="G866" s="549"/>
      <c r="H866" s="181"/>
      <c r="I866" s="181"/>
      <c r="J866" s="181"/>
      <c r="K866" s="156"/>
      <c r="L866" s="549"/>
      <c r="M866" s="181"/>
      <c r="N866" s="181"/>
      <c r="O866" s="181"/>
      <c r="P866" s="156"/>
      <c r="Q866" s="562"/>
      <c r="R866" s="181"/>
      <c r="S866" s="181"/>
      <c r="T866" s="181"/>
      <c r="U866" s="179"/>
      <c r="V866" s="549"/>
      <c r="W866" s="181"/>
      <c r="X866" s="181"/>
      <c r="Y866" s="181"/>
      <c r="Z866" s="179"/>
      <c r="AA866" s="549"/>
      <c r="AB866" s="181"/>
      <c r="AC866" s="181"/>
      <c r="AD866" s="181"/>
      <c r="AE866" s="179"/>
      <c r="AF866" s="549"/>
      <c r="AG866" s="181"/>
      <c r="AH866" s="181"/>
      <c r="AI866" s="181"/>
      <c r="AJ866" s="179"/>
      <c r="AK866" s="549"/>
      <c r="AL866" s="181"/>
      <c r="AM866" s="181"/>
      <c r="AN866" s="181"/>
      <c r="AO866" s="179"/>
      <c r="AP866" s="549"/>
      <c r="AQ866" s="181"/>
      <c r="AR866" s="181"/>
      <c r="AS866" s="181"/>
      <c r="AT866" s="528"/>
      <c r="AU866" s="528"/>
      <c r="AV866" s="528"/>
      <c r="AW866" s="528"/>
      <c r="AX866" s="528"/>
      <c r="AY866" s="528"/>
      <c r="AZ866" s="528"/>
      <c r="BA866" s="528"/>
      <c r="BB866" s="528"/>
      <c r="BC866" s="528"/>
      <c r="BD866" s="528"/>
      <c r="BE866" s="528"/>
      <c r="BF866" s="528"/>
      <c r="BG866" s="528"/>
      <c r="BH866" s="528"/>
    </row>
    <row r="867">
      <c r="A867" s="179"/>
      <c r="B867" s="549"/>
      <c r="C867" s="181"/>
      <c r="D867" s="181"/>
      <c r="E867" s="181"/>
      <c r="F867" s="179"/>
      <c r="G867" s="549"/>
      <c r="H867" s="181"/>
      <c r="I867" s="181"/>
      <c r="J867" s="181"/>
      <c r="K867" s="156"/>
      <c r="L867" s="549"/>
      <c r="M867" s="181"/>
      <c r="N867" s="181"/>
      <c r="O867" s="181"/>
      <c r="P867" s="156"/>
      <c r="Q867" s="562"/>
      <c r="R867" s="181"/>
      <c r="S867" s="181"/>
      <c r="T867" s="181"/>
      <c r="U867" s="179"/>
      <c r="V867" s="549"/>
      <c r="W867" s="181"/>
      <c r="X867" s="181"/>
      <c r="Y867" s="181"/>
      <c r="Z867" s="179"/>
      <c r="AA867" s="549"/>
      <c r="AB867" s="181"/>
      <c r="AC867" s="181"/>
      <c r="AD867" s="181"/>
      <c r="AE867" s="179"/>
      <c r="AF867" s="549"/>
      <c r="AG867" s="181"/>
      <c r="AH867" s="181"/>
      <c r="AI867" s="181"/>
      <c r="AJ867" s="179"/>
      <c r="AK867" s="549"/>
      <c r="AL867" s="181"/>
      <c r="AM867" s="181"/>
      <c r="AN867" s="181"/>
      <c r="AO867" s="179"/>
      <c r="AP867" s="549"/>
      <c r="AQ867" s="181"/>
      <c r="AR867" s="181"/>
      <c r="AS867" s="181"/>
      <c r="AT867" s="528"/>
      <c r="AU867" s="528"/>
      <c r="AV867" s="528"/>
      <c r="AW867" s="528"/>
      <c r="AX867" s="528"/>
      <c r="AY867" s="528"/>
      <c r="AZ867" s="528"/>
      <c r="BA867" s="528"/>
      <c r="BB867" s="528"/>
      <c r="BC867" s="528"/>
      <c r="BD867" s="528"/>
      <c r="BE867" s="528"/>
      <c r="BF867" s="528"/>
      <c r="BG867" s="528"/>
      <c r="BH867" s="528"/>
    </row>
    <row r="868">
      <c r="A868" s="179"/>
      <c r="B868" s="549"/>
      <c r="C868" s="181"/>
      <c r="D868" s="181"/>
      <c r="E868" s="181"/>
      <c r="F868" s="179"/>
      <c r="G868" s="549"/>
      <c r="H868" s="181"/>
      <c r="I868" s="181"/>
      <c r="J868" s="181"/>
      <c r="K868" s="156"/>
      <c r="L868" s="549"/>
      <c r="M868" s="181"/>
      <c r="N868" s="181"/>
      <c r="O868" s="181"/>
      <c r="P868" s="156"/>
      <c r="Q868" s="562"/>
      <c r="R868" s="181"/>
      <c r="S868" s="181"/>
      <c r="T868" s="181"/>
      <c r="U868" s="179"/>
      <c r="V868" s="549"/>
      <c r="W868" s="181"/>
      <c r="X868" s="181"/>
      <c r="Y868" s="181"/>
      <c r="Z868" s="179"/>
      <c r="AA868" s="549"/>
      <c r="AB868" s="181"/>
      <c r="AC868" s="181"/>
      <c r="AD868" s="181"/>
      <c r="AE868" s="179"/>
      <c r="AF868" s="549"/>
      <c r="AG868" s="181"/>
      <c r="AH868" s="181"/>
      <c r="AI868" s="181"/>
      <c r="AJ868" s="179"/>
      <c r="AK868" s="549"/>
      <c r="AL868" s="181"/>
      <c r="AM868" s="181"/>
      <c r="AN868" s="181"/>
      <c r="AO868" s="179"/>
      <c r="AP868" s="549"/>
      <c r="AQ868" s="181"/>
      <c r="AR868" s="181"/>
      <c r="AS868" s="181"/>
      <c r="AT868" s="528"/>
      <c r="AU868" s="528"/>
      <c r="AV868" s="528"/>
      <c r="AW868" s="528"/>
      <c r="AX868" s="528"/>
      <c r="AY868" s="528"/>
      <c r="AZ868" s="528"/>
      <c r="BA868" s="528"/>
      <c r="BB868" s="528"/>
      <c r="BC868" s="528"/>
      <c r="BD868" s="528"/>
      <c r="BE868" s="528"/>
      <c r="BF868" s="528"/>
      <c r="BG868" s="528"/>
      <c r="BH868" s="528"/>
    </row>
    <row r="869">
      <c r="A869" s="179"/>
      <c r="B869" s="549"/>
      <c r="C869" s="181"/>
      <c r="D869" s="181"/>
      <c r="E869" s="181"/>
      <c r="F869" s="179"/>
      <c r="G869" s="549"/>
      <c r="H869" s="181"/>
      <c r="I869" s="181"/>
      <c r="J869" s="181"/>
      <c r="K869" s="156"/>
      <c r="L869" s="549"/>
      <c r="M869" s="181"/>
      <c r="N869" s="181"/>
      <c r="O869" s="181"/>
      <c r="P869" s="156"/>
      <c r="Q869" s="562"/>
      <c r="R869" s="181"/>
      <c r="S869" s="181"/>
      <c r="T869" s="181"/>
      <c r="U869" s="179"/>
      <c r="V869" s="549"/>
      <c r="W869" s="181"/>
      <c r="X869" s="181"/>
      <c r="Y869" s="181"/>
      <c r="Z869" s="179"/>
      <c r="AA869" s="549"/>
      <c r="AB869" s="181"/>
      <c r="AC869" s="181"/>
      <c r="AD869" s="181"/>
      <c r="AE869" s="179"/>
      <c r="AF869" s="549"/>
      <c r="AG869" s="181"/>
      <c r="AH869" s="181"/>
      <c r="AI869" s="181"/>
      <c r="AJ869" s="179"/>
      <c r="AK869" s="549"/>
      <c r="AL869" s="181"/>
      <c r="AM869" s="181"/>
      <c r="AN869" s="181"/>
      <c r="AO869" s="179"/>
      <c r="AP869" s="549"/>
      <c r="AQ869" s="181"/>
      <c r="AR869" s="181"/>
      <c r="AS869" s="181"/>
      <c r="AT869" s="528"/>
      <c r="AU869" s="528"/>
      <c r="AV869" s="528"/>
      <c r="AW869" s="528"/>
      <c r="AX869" s="528"/>
      <c r="AY869" s="528"/>
      <c r="AZ869" s="528"/>
      <c r="BA869" s="528"/>
      <c r="BB869" s="528"/>
      <c r="BC869" s="528"/>
      <c r="BD869" s="528"/>
      <c r="BE869" s="528"/>
      <c r="BF869" s="528"/>
      <c r="BG869" s="528"/>
      <c r="BH869" s="528"/>
    </row>
    <row r="870">
      <c r="A870" s="179"/>
      <c r="B870" s="549"/>
      <c r="C870" s="181"/>
      <c r="D870" s="181"/>
      <c r="E870" s="181"/>
      <c r="F870" s="179"/>
      <c r="G870" s="549"/>
      <c r="H870" s="181"/>
      <c r="I870" s="181"/>
      <c r="J870" s="181"/>
      <c r="K870" s="156"/>
      <c r="L870" s="549"/>
      <c r="M870" s="181"/>
      <c r="N870" s="181"/>
      <c r="O870" s="181"/>
      <c r="P870" s="156"/>
      <c r="Q870" s="562"/>
      <c r="R870" s="181"/>
      <c r="S870" s="181"/>
      <c r="T870" s="181"/>
      <c r="U870" s="179"/>
      <c r="V870" s="549"/>
      <c r="W870" s="181"/>
      <c r="X870" s="181"/>
      <c r="Y870" s="181"/>
      <c r="Z870" s="179"/>
      <c r="AA870" s="549"/>
      <c r="AB870" s="181"/>
      <c r="AC870" s="181"/>
      <c r="AD870" s="181"/>
      <c r="AE870" s="179"/>
      <c r="AF870" s="549"/>
      <c r="AG870" s="181"/>
      <c r="AH870" s="181"/>
      <c r="AI870" s="181"/>
      <c r="AJ870" s="179"/>
      <c r="AK870" s="549"/>
      <c r="AL870" s="181"/>
      <c r="AM870" s="181"/>
      <c r="AN870" s="181"/>
      <c r="AO870" s="179"/>
      <c r="AP870" s="549"/>
      <c r="AQ870" s="181"/>
      <c r="AR870" s="181"/>
      <c r="AS870" s="181"/>
      <c r="AT870" s="528"/>
      <c r="AU870" s="528"/>
      <c r="AV870" s="528"/>
      <c r="AW870" s="528"/>
      <c r="AX870" s="528"/>
      <c r="AY870" s="528"/>
      <c r="AZ870" s="528"/>
      <c r="BA870" s="528"/>
      <c r="BB870" s="528"/>
      <c r="BC870" s="528"/>
      <c r="BD870" s="528"/>
      <c r="BE870" s="528"/>
      <c r="BF870" s="528"/>
      <c r="BG870" s="528"/>
      <c r="BH870" s="528"/>
    </row>
    <row r="871">
      <c r="A871" s="179"/>
      <c r="B871" s="549"/>
      <c r="C871" s="181"/>
      <c r="D871" s="181"/>
      <c r="E871" s="181"/>
      <c r="F871" s="179"/>
      <c r="G871" s="549"/>
      <c r="H871" s="181"/>
      <c r="I871" s="181"/>
      <c r="J871" s="181"/>
      <c r="K871" s="156"/>
      <c r="L871" s="549"/>
      <c r="M871" s="181"/>
      <c r="N871" s="181"/>
      <c r="O871" s="181"/>
      <c r="P871" s="156"/>
      <c r="Q871" s="562"/>
      <c r="R871" s="181"/>
      <c r="S871" s="181"/>
      <c r="T871" s="181"/>
      <c r="U871" s="179"/>
      <c r="V871" s="549"/>
      <c r="W871" s="181"/>
      <c r="X871" s="181"/>
      <c r="Y871" s="181"/>
      <c r="Z871" s="179"/>
      <c r="AA871" s="549"/>
      <c r="AB871" s="181"/>
      <c r="AC871" s="181"/>
      <c r="AD871" s="181"/>
      <c r="AE871" s="179"/>
      <c r="AF871" s="549"/>
      <c r="AG871" s="181"/>
      <c r="AH871" s="181"/>
      <c r="AI871" s="181"/>
      <c r="AJ871" s="179"/>
      <c r="AK871" s="549"/>
      <c r="AL871" s="181"/>
      <c r="AM871" s="181"/>
      <c r="AN871" s="181"/>
      <c r="AO871" s="179"/>
      <c r="AP871" s="549"/>
      <c r="AQ871" s="181"/>
      <c r="AR871" s="181"/>
      <c r="AS871" s="181"/>
      <c r="AT871" s="528"/>
      <c r="AU871" s="528"/>
      <c r="AV871" s="528"/>
      <c r="AW871" s="528"/>
      <c r="AX871" s="528"/>
      <c r="AY871" s="528"/>
      <c r="AZ871" s="528"/>
      <c r="BA871" s="528"/>
      <c r="BB871" s="528"/>
      <c r="BC871" s="528"/>
      <c r="BD871" s="528"/>
      <c r="BE871" s="528"/>
      <c r="BF871" s="528"/>
      <c r="BG871" s="528"/>
      <c r="BH871" s="528"/>
    </row>
    <row r="872">
      <c r="A872" s="179"/>
      <c r="B872" s="549"/>
      <c r="C872" s="181"/>
      <c r="D872" s="181"/>
      <c r="E872" s="181"/>
      <c r="F872" s="179"/>
      <c r="G872" s="549"/>
      <c r="H872" s="181"/>
      <c r="I872" s="181"/>
      <c r="J872" s="181"/>
      <c r="K872" s="156"/>
      <c r="L872" s="549"/>
      <c r="M872" s="181"/>
      <c r="N872" s="181"/>
      <c r="O872" s="181"/>
      <c r="P872" s="156"/>
      <c r="Q872" s="562"/>
      <c r="R872" s="181"/>
      <c r="S872" s="181"/>
      <c r="T872" s="181"/>
      <c r="U872" s="179"/>
      <c r="V872" s="549"/>
      <c r="W872" s="181"/>
      <c r="X872" s="181"/>
      <c r="Y872" s="181"/>
      <c r="Z872" s="179"/>
      <c r="AA872" s="549"/>
      <c r="AB872" s="181"/>
      <c r="AC872" s="181"/>
      <c r="AD872" s="181"/>
      <c r="AE872" s="179"/>
      <c r="AF872" s="549"/>
      <c r="AG872" s="181"/>
      <c r="AH872" s="181"/>
      <c r="AI872" s="181"/>
      <c r="AJ872" s="179"/>
      <c r="AK872" s="549"/>
      <c r="AL872" s="181"/>
      <c r="AM872" s="181"/>
      <c r="AN872" s="181"/>
      <c r="AO872" s="179"/>
      <c r="AP872" s="549"/>
      <c r="AQ872" s="181"/>
      <c r="AR872" s="181"/>
      <c r="AS872" s="181"/>
      <c r="AT872" s="528"/>
      <c r="AU872" s="528"/>
      <c r="AV872" s="528"/>
      <c r="AW872" s="528"/>
      <c r="AX872" s="528"/>
      <c r="AY872" s="528"/>
      <c r="AZ872" s="528"/>
      <c r="BA872" s="528"/>
      <c r="BB872" s="528"/>
      <c r="BC872" s="528"/>
      <c r="BD872" s="528"/>
      <c r="BE872" s="528"/>
      <c r="BF872" s="528"/>
      <c r="BG872" s="528"/>
      <c r="BH872" s="528"/>
    </row>
    <row r="873">
      <c r="A873" s="179"/>
      <c r="B873" s="549"/>
      <c r="C873" s="181"/>
      <c r="D873" s="181"/>
      <c r="E873" s="181"/>
      <c r="F873" s="179"/>
      <c r="G873" s="549"/>
      <c r="H873" s="181"/>
      <c r="I873" s="181"/>
      <c r="J873" s="181"/>
      <c r="K873" s="156"/>
      <c r="L873" s="549"/>
      <c r="M873" s="181"/>
      <c r="N873" s="181"/>
      <c r="O873" s="181"/>
      <c r="P873" s="156"/>
      <c r="Q873" s="562"/>
      <c r="R873" s="181"/>
      <c r="S873" s="181"/>
      <c r="T873" s="181"/>
      <c r="U873" s="179"/>
      <c r="V873" s="549"/>
      <c r="W873" s="181"/>
      <c r="X873" s="181"/>
      <c r="Y873" s="181"/>
      <c r="Z873" s="179"/>
      <c r="AA873" s="549"/>
      <c r="AB873" s="181"/>
      <c r="AC873" s="181"/>
      <c r="AD873" s="181"/>
      <c r="AE873" s="179"/>
      <c r="AF873" s="549"/>
      <c r="AG873" s="181"/>
      <c r="AH873" s="181"/>
      <c r="AI873" s="181"/>
      <c r="AJ873" s="179"/>
      <c r="AK873" s="549"/>
      <c r="AL873" s="181"/>
      <c r="AM873" s="181"/>
      <c r="AN873" s="181"/>
      <c r="AO873" s="179"/>
      <c r="AP873" s="549"/>
      <c r="AQ873" s="181"/>
      <c r="AR873" s="181"/>
      <c r="AS873" s="181"/>
      <c r="AT873" s="528"/>
      <c r="AU873" s="528"/>
      <c r="AV873" s="528"/>
      <c r="AW873" s="528"/>
      <c r="AX873" s="528"/>
      <c r="AY873" s="528"/>
      <c r="AZ873" s="528"/>
      <c r="BA873" s="528"/>
      <c r="BB873" s="528"/>
      <c r="BC873" s="528"/>
      <c r="BD873" s="528"/>
      <c r="BE873" s="528"/>
      <c r="BF873" s="528"/>
      <c r="BG873" s="528"/>
      <c r="BH873" s="528"/>
    </row>
    <row r="874">
      <c r="A874" s="179"/>
      <c r="B874" s="549"/>
      <c r="C874" s="181"/>
      <c r="D874" s="181"/>
      <c r="E874" s="181"/>
      <c r="F874" s="179"/>
      <c r="G874" s="549"/>
      <c r="H874" s="181"/>
      <c r="I874" s="181"/>
      <c r="J874" s="181"/>
      <c r="K874" s="156"/>
      <c r="L874" s="549"/>
      <c r="M874" s="181"/>
      <c r="N874" s="181"/>
      <c r="O874" s="181"/>
      <c r="P874" s="156"/>
      <c r="Q874" s="562"/>
      <c r="R874" s="181"/>
      <c r="S874" s="181"/>
      <c r="T874" s="181"/>
      <c r="U874" s="179"/>
      <c r="V874" s="549"/>
      <c r="W874" s="181"/>
      <c r="X874" s="181"/>
      <c r="Y874" s="181"/>
      <c r="Z874" s="179"/>
      <c r="AA874" s="549"/>
      <c r="AB874" s="181"/>
      <c r="AC874" s="181"/>
      <c r="AD874" s="181"/>
      <c r="AE874" s="179"/>
      <c r="AF874" s="549"/>
      <c r="AG874" s="181"/>
      <c r="AH874" s="181"/>
      <c r="AI874" s="181"/>
      <c r="AJ874" s="179"/>
      <c r="AK874" s="549"/>
      <c r="AL874" s="181"/>
      <c r="AM874" s="181"/>
      <c r="AN874" s="181"/>
      <c r="AO874" s="179"/>
      <c r="AP874" s="549"/>
      <c r="AQ874" s="181"/>
      <c r="AR874" s="181"/>
      <c r="AS874" s="181"/>
      <c r="AT874" s="528"/>
      <c r="AU874" s="528"/>
      <c r="AV874" s="528"/>
      <c r="AW874" s="528"/>
      <c r="AX874" s="528"/>
      <c r="AY874" s="528"/>
      <c r="AZ874" s="528"/>
      <c r="BA874" s="528"/>
      <c r="BB874" s="528"/>
      <c r="BC874" s="528"/>
      <c r="BD874" s="528"/>
      <c r="BE874" s="528"/>
      <c r="BF874" s="528"/>
      <c r="BG874" s="528"/>
      <c r="BH874" s="528"/>
    </row>
    <row r="875">
      <c r="A875" s="179"/>
      <c r="B875" s="549"/>
      <c r="C875" s="181"/>
      <c r="D875" s="181"/>
      <c r="E875" s="181"/>
      <c r="F875" s="179"/>
      <c r="G875" s="549"/>
      <c r="H875" s="181"/>
      <c r="I875" s="181"/>
      <c r="J875" s="181"/>
      <c r="K875" s="156"/>
      <c r="L875" s="549"/>
      <c r="M875" s="181"/>
      <c r="N875" s="181"/>
      <c r="O875" s="181"/>
      <c r="P875" s="156"/>
      <c r="Q875" s="562"/>
      <c r="R875" s="181"/>
      <c r="S875" s="181"/>
      <c r="T875" s="181"/>
      <c r="U875" s="179"/>
      <c r="V875" s="549"/>
      <c r="W875" s="181"/>
      <c r="X875" s="181"/>
      <c r="Y875" s="181"/>
      <c r="Z875" s="179"/>
      <c r="AA875" s="549"/>
      <c r="AB875" s="181"/>
      <c r="AC875" s="181"/>
      <c r="AD875" s="181"/>
      <c r="AE875" s="179"/>
      <c r="AF875" s="549"/>
      <c r="AG875" s="181"/>
      <c r="AH875" s="181"/>
      <c r="AI875" s="181"/>
      <c r="AJ875" s="179"/>
      <c r="AK875" s="549"/>
      <c r="AL875" s="181"/>
      <c r="AM875" s="181"/>
      <c r="AN875" s="181"/>
      <c r="AO875" s="179"/>
      <c r="AP875" s="549"/>
      <c r="AQ875" s="181"/>
      <c r="AR875" s="181"/>
      <c r="AS875" s="181"/>
      <c r="AT875" s="528"/>
      <c r="AU875" s="528"/>
      <c r="AV875" s="528"/>
      <c r="AW875" s="528"/>
      <c r="AX875" s="528"/>
      <c r="AY875" s="528"/>
      <c r="AZ875" s="528"/>
      <c r="BA875" s="528"/>
      <c r="BB875" s="528"/>
      <c r="BC875" s="528"/>
      <c r="BD875" s="528"/>
      <c r="BE875" s="528"/>
      <c r="BF875" s="528"/>
      <c r="BG875" s="528"/>
      <c r="BH875" s="528"/>
    </row>
    <row r="876">
      <c r="A876" s="179"/>
      <c r="B876" s="549"/>
      <c r="C876" s="181"/>
      <c r="D876" s="181"/>
      <c r="E876" s="181"/>
      <c r="F876" s="179"/>
      <c r="G876" s="549"/>
      <c r="H876" s="181"/>
      <c r="I876" s="181"/>
      <c r="J876" s="181"/>
      <c r="K876" s="156"/>
      <c r="L876" s="549"/>
      <c r="M876" s="181"/>
      <c r="N876" s="181"/>
      <c r="O876" s="181"/>
      <c r="P876" s="156"/>
      <c r="Q876" s="562"/>
      <c r="R876" s="181"/>
      <c r="S876" s="181"/>
      <c r="T876" s="181"/>
      <c r="U876" s="179"/>
      <c r="V876" s="549"/>
      <c r="W876" s="181"/>
      <c r="X876" s="181"/>
      <c r="Y876" s="181"/>
      <c r="Z876" s="179"/>
      <c r="AA876" s="549"/>
      <c r="AB876" s="181"/>
      <c r="AC876" s="181"/>
      <c r="AD876" s="181"/>
      <c r="AE876" s="179"/>
      <c r="AF876" s="549"/>
      <c r="AG876" s="181"/>
      <c r="AH876" s="181"/>
      <c r="AI876" s="181"/>
      <c r="AJ876" s="179"/>
      <c r="AK876" s="549"/>
      <c r="AL876" s="181"/>
      <c r="AM876" s="181"/>
      <c r="AN876" s="181"/>
      <c r="AO876" s="179"/>
      <c r="AP876" s="549"/>
      <c r="AQ876" s="181"/>
      <c r="AR876" s="181"/>
      <c r="AS876" s="181"/>
      <c r="AT876" s="528"/>
      <c r="AU876" s="528"/>
      <c r="AV876" s="528"/>
      <c r="AW876" s="528"/>
      <c r="AX876" s="528"/>
      <c r="AY876" s="528"/>
      <c r="AZ876" s="528"/>
      <c r="BA876" s="528"/>
      <c r="BB876" s="528"/>
      <c r="BC876" s="528"/>
      <c r="BD876" s="528"/>
      <c r="BE876" s="528"/>
      <c r="BF876" s="528"/>
      <c r="BG876" s="528"/>
      <c r="BH876" s="528"/>
    </row>
    <row r="877">
      <c r="A877" s="179"/>
      <c r="B877" s="549"/>
      <c r="C877" s="181"/>
      <c r="D877" s="181"/>
      <c r="E877" s="181"/>
      <c r="F877" s="179"/>
      <c r="G877" s="549"/>
      <c r="H877" s="181"/>
      <c r="I877" s="181"/>
      <c r="J877" s="181"/>
      <c r="K877" s="156"/>
      <c r="L877" s="549"/>
      <c r="M877" s="181"/>
      <c r="N877" s="181"/>
      <c r="O877" s="181"/>
      <c r="P877" s="156"/>
      <c r="Q877" s="562"/>
      <c r="R877" s="181"/>
      <c r="S877" s="181"/>
      <c r="T877" s="181"/>
      <c r="U877" s="179"/>
      <c r="V877" s="549"/>
      <c r="W877" s="181"/>
      <c r="X877" s="181"/>
      <c r="Y877" s="181"/>
      <c r="Z877" s="179"/>
      <c r="AA877" s="549"/>
      <c r="AB877" s="181"/>
      <c r="AC877" s="181"/>
      <c r="AD877" s="181"/>
      <c r="AE877" s="179"/>
      <c r="AF877" s="549"/>
      <c r="AG877" s="181"/>
      <c r="AH877" s="181"/>
      <c r="AI877" s="181"/>
      <c r="AJ877" s="179"/>
      <c r="AK877" s="549"/>
      <c r="AL877" s="181"/>
      <c r="AM877" s="181"/>
      <c r="AN877" s="181"/>
      <c r="AO877" s="179"/>
      <c r="AP877" s="549"/>
      <c r="AQ877" s="181"/>
      <c r="AR877" s="181"/>
      <c r="AS877" s="181"/>
      <c r="AT877" s="528"/>
      <c r="AU877" s="528"/>
      <c r="AV877" s="528"/>
      <c r="AW877" s="528"/>
      <c r="AX877" s="528"/>
      <c r="AY877" s="528"/>
      <c r="AZ877" s="528"/>
      <c r="BA877" s="528"/>
      <c r="BB877" s="528"/>
      <c r="BC877" s="528"/>
      <c r="BD877" s="528"/>
      <c r="BE877" s="528"/>
      <c r="BF877" s="528"/>
      <c r="BG877" s="528"/>
      <c r="BH877" s="528"/>
    </row>
    <row r="878">
      <c r="A878" s="179"/>
      <c r="B878" s="549"/>
      <c r="C878" s="181"/>
      <c r="D878" s="181"/>
      <c r="E878" s="181"/>
      <c r="F878" s="179"/>
      <c r="G878" s="549"/>
      <c r="H878" s="181"/>
      <c r="I878" s="181"/>
      <c r="J878" s="181"/>
      <c r="K878" s="156"/>
      <c r="L878" s="549"/>
      <c r="M878" s="181"/>
      <c r="N878" s="181"/>
      <c r="O878" s="181"/>
      <c r="P878" s="156"/>
      <c r="Q878" s="562"/>
      <c r="R878" s="181"/>
      <c r="S878" s="181"/>
      <c r="T878" s="181"/>
      <c r="U878" s="179"/>
      <c r="V878" s="549"/>
      <c r="W878" s="181"/>
      <c r="X878" s="181"/>
      <c r="Y878" s="181"/>
      <c r="Z878" s="179"/>
      <c r="AA878" s="549"/>
      <c r="AB878" s="181"/>
      <c r="AC878" s="181"/>
      <c r="AD878" s="181"/>
      <c r="AE878" s="179"/>
      <c r="AF878" s="549"/>
      <c r="AG878" s="181"/>
      <c r="AH878" s="181"/>
      <c r="AI878" s="181"/>
      <c r="AJ878" s="179"/>
      <c r="AK878" s="549"/>
      <c r="AL878" s="181"/>
      <c r="AM878" s="181"/>
      <c r="AN878" s="181"/>
      <c r="AO878" s="179"/>
      <c r="AP878" s="549"/>
      <c r="AQ878" s="181"/>
      <c r="AR878" s="181"/>
      <c r="AS878" s="181"/>
      <c r="AT878" s="528"/>
      <c r="AU878" s="528"/>
      <c r="AV878" s="528"/>
      <c r="AW878" s="528"/>
      <c r="AX878" s="528"/>
      <c r="AY878" s="528"/>
      <c r="AZ878" s="528"/>
      <c r="BA878" s="528"/>
      <c r="BB878" s="528"/>
      <c r="BC878" s="528"/>
      <c r="BD878" s="528"/>
      <c r="BE878" s="528"/>
      <c r="BF878" s="528"/>
      <c r="BG878" s="528"/>
      <c r="BH878" s="528"/>
    </row>
    <row r="879">
      <c r="A879" s="179"/>
      <c r="B879" s="549"/>
      <c r="C879" s="181"/>
      <c r="D879" s="181"/>
      <c r="E879" s="181"/>
      <c r="F879" s="179"/>
      <c r="G879" s="549"/>
      <c r="H879" s="181"/>
      <c r="I879" s="181"/>
      <c r="J879" s="181"/>
      <c r="K879" s="156"/>
      <c r="L879" s="549"/>
      <c r="M879" s="181"/>
      <c r="N879" s="181"/>
      <c r="O879" s="181"/>
      <c r="P879" s="156"/>
      <c r="Q879" s="562"/>
      <c r="R879" s="181"/>
      <c r="S879" s="181"/>
      <c r="T879" s="181"/>
      <c r="U879" s="179"/>
      <c r="V879" s="549"/>
      <c r="W879" s="181"/>
      <c r="X879" s="181"/>
      <c r="Y879" s="181"/>
      <c r="Z879" s="179"/>
      <c r="AA879" s="549"/>
      <c r="AB879" s="181"/>
      <c r="AC879" s="181"/>
      <c r="AD879" s="181"/>
      <c r="AE879" s="179"/>
      <c r="AF879" s="549"/>
      <c r="AG879" s="181"/>
      <c r="AH879" s="181"/>
      <c r="AI879" s="181"/>
      <c r="AJ879" s="179"/>
      <c r="AK879" s="549"/>
      <c r="AL879" s="181"/>
      <c r="AM879" s="181"/>
      <c r="AN879" s="181"/>
      <c r="AO879" s="179"/>
      <c r="AP879" s="549"/>
      <c r="AQ879" s="181"/>
      <c r="AR879" s="181"/>
      <c r="AS879" s="181"/>
      <c r="AT879" s="528"/>
      <c r="AU879" s="528"/>
      <c r="AV879" s="528"/>
      <c r="AW879" s="528"/>
      <c r="AX879" s="528"/>
      <c r="AY879" s="528"/>
      <c r="AZ879" s="528"/>
      <c r="BA879" s="528"/>
      <c r="BB879" s="528"/>
      <c r="BC879" s="528"/>
      <c r="BD879" s="528"/>
      <c r="BE879" s="528"/>
      <c r="BF879" s="528"/>
      <c r="BG879" s="528"/>
      <c r="BH879" s="528"/>
    </row>
    <row r="880">
      <c r="A880" s="179"/>
      <c r="B880" s="549"/>
      <c r="C880" s="181"/>
      <c r="D880" s="181"/>
      <c r="E880" s="181"/>
      <c r="F880" s="179"/>
      <c r="G880" s="549"/>
      <c r="H880" s="181"/>
      <c r="I880" s="181"/>
      <c r="J880" s="181"/>
      <c r="K880" s="156"/>
      <c r="L880" s="549"/>
      <c r="M880" s="181"/>
      <c r="N880" s="181"/>
      <c r="O880" s="181"/>
      <c r="P880" s="156"/>
      <c r="Q880" s="562"/>
      <c r="R880" s="181"/>
      <c r="S880" s="181"/>
      <c r="T880" s="181"/>
      <c r="U880" s="179"/>
      <c r="V880" s="549"/>
      <c r="W880" s="181"/>
      <c r="X880" s="181"/>
      <c r="Y880" s="181"/>
      <c r="Z880" s="179"/>
      <c r="AA880" s="549"/>
      <c r="AB880" s="181"/>
      <c r="AC880" s="181"/>
      <c r="AD880" s="181"/>
      <c r="AE880" s="179"/>
      <c r="AF880" s="549"/>
      <c r="AG880" s="181"/>
      <c r="AH880" s="181"/>
      <c r="AI880" s="181"/>
      <c r="AJ880" s="179"/>
      <c r="AK880" s="549"/>
      <c r="AL880" s="181"/>
      <c r="AM880" s="181"/>
      <c r="AN880" s="181"/>
      <c r="AO880" s="179"/>
      <c r="AP880" s="549"/>
      <c r="AQ880" s="181"/>
      <c r="AR880" s="181"/>
      <c r="AS880" s="181"/>
      <c r="AT880" s="528"/>
      <c r="AU880" s="528"/>
      <c r="AV880" s="528"/>
      <c r="AW880" s="528"/>
      <c r="AX880" s="528"/>
      <c r="AY880" s="528"/>
      <c r="AZ880" s="528"/>
      <c r="BA880" s="528"/>
      <c r="BB880" s="528"/>
      <c r="BC880" s="528"/>
      <c r="BD880" s="528"/>
      <c r="BE880" s="528"/>
      <c r="BF880" s="528"/>
      <c r="BG880" s="528"/>
      <c r="BH880" s="528"/>
    </row>
    <row r="881">
      <c r="A881" s="179"/>
      <c r="B881" s="549"/>
      <c r="C881" s="181"/>
      <c r="D881" s="181"/>
      <c r="E881" s="181"/>
      <c r="F881" s="179"/>
      <c r="G881" s="549"/>
      <c r="H881" s="181"/>
      <c r="I881" s="181"/>
      <c r="J881" s="181"/>
      <c r="K881" s="156"/>
      <c r="L881" s="549"/>
      <c r="M881" s="181"/>
      <c r="N881" s="181"/>
      <c r="O881" s="181"/>
      <c r="P881" s="156"/>
      <c r="Q881" s="562"/>
      <c r="R881" s="181"/>
      <c r="S881" s="181"/>
      <c r="T881" s="181"/>
      <c r="U881" s="179"/>
      <c r="V881" s="549"/>
      <c r="W881" s="181"/>
      <c r="X881" s="181"/>
      <c r="Y881" s="181"/>
      <c r="Z881" s="179"/>
      <c r="AA881" s="549"/>
      <c r="AB881" s="181"/>
      <c r="AC881" s="181"/>
      <c r="AD881" s="181"/>
      <c r="AE881" s="179"/>
      <c r="AF881" s="549"/>
      <c r="AG881" s="181"/>
      <c r="AH881" s="181"/>
      <c r="AI881" s="181"/>
      <c r="AJ881" s="179"/>
      <c r="AK881" s="549"/>
      <c r="AL881" s="181"/>
      <c r="AM881" s="181"/>
      <c r="AN881" s="181"/>
      <c r="AO881" s="179"/>
      <c r="AP881" s="549"/>
      <c r="AQ881" s="181"/>
      <c r="AR881" s="181"/>
      <c r="AS881" s="181"/>
      <c r="AT881" s="528"/>
      <c r="AU881" s="528"/>
      <c r="AV881" s="528"/>
      <c r="AW881" s="528"/>
      <c r="AX881" s="528"/>
      <c r="AY881" s="528"/>
      <c r="AZ881" s="528"/>
      <c r="BA881" s="528"/>
      <c r="BB881" s="528"/>
      <c r="BC881" s="528"/>
      <c r="BD881" s="528"/>
      <c r="BE881" s="528"/>
      <c r="BF881" s="528"/>
      <c r="BG881" s="528"/>
      <c r="BH881" s="528"/>
    </row>
    <row r="882">
      <c r="A882" s="179"/>
      <c r="B882" s="549"/>
      <c r="C882" s="181"/>
      <c r="D882" s="181"/>
      <c r="E882" s="181"/>
      <c r="F882" s="179"/>
      <c r="G882" s="549"/>
      <c r="H882" s="181"/>
      <c r="I882" s="181"/>
      <c r="J882" s="181"/>
      <c r="K882" s="156"/>
      <c r="L882" s="549"/>
      <c r="M882" s="181"/>
      <c r="N882" s="181"/>
      <c r="O882" s="181"/>
      <c r="P882" s="156"/>
      <c r="Q882" s="562"/>
      <c r="R882" s="181"/>
      <c r="S882" s="181"/>
      <c r="T882" s="181"/>
      <c r="U882" s="179"/>
      <c r="V882" s="549"/>
      <c r="W882" s="181"/>
      <c r="X882" s="181"/>
      <c r="Y882" s="181"/>
      <c r="Z882" s="179"/>
      <c r="AA882" s="549"/>
      <c r="AB882" s="181"/>
      <c r="AC882" s="181"/>
      <c r="AD882" s="181"/>
      <c r="AE882" s="179"/>
      <c r="AF882" s="549"/>
      <c r="AG882" s="181"/>
      <c r="AH882" s="181"/>
      <c r="AI882" s="181"/>
      <c r="AJ882" s="179"/>
      <c r="AK882" s="549"/>
      <c r="AL882" s="181"/>
      <c r="AM882" s="181"/>
      <c r="AN882" s="181"/>
      <c r="AO882" s="179"/>
      <c r="AP882" s="549"/>
      <c r="AQ882" s="181"/>
      <c r="AR882" s="181"/>
      <c r="AS882" s="181"/>
      <c r="AT882" s="528"/>
      <c r="AU882" s="528"/>
      <c r="AV882" s="528"/>
      <c r="AW882" s="528"/>
      <c r="AX882" s="528"/>
      <c r="AY882" s="528"/>
      <c r="AZ882" s="528"/>
      <c r="BA882" s="528"/>
      <c r="BB882" s="528"/>
      <c r="BC882" s="528"/>
      <c r="BD882" s="528"/>
      <c r="BE882" s="528"/>
      <c r="BF882" s="528"/>
      <c r="BG882" s="528"/>
      <c r="BH882" s="528"/>
    </row>
    <row r="883">
      <c r="A883" s="179"/>
      <c r="B883" s="549"/>
      <c r="C883" s="181"/>
      <c r="D883" s="181"/>
      <c r="E883" s="181"/>
      <c r="F883" s="179"/>
      <c r="G883" s="549"/>
      <c r="H883" s="181"/>
      <c r="I883" s="181"/>
      <c r="J883" s="181"/>
      <c r="K883" s="156"/>
      <c r="L883" s="549"/>
      <c r="M883" s="181"/>
      <c r="N883" s="181"/>
      <c r="O883" s="181"/>
      <c r="P883" s="156"/>
      <c r="Q883" s="562"/>
      <c r="R883" s="181"/>
      <c r="S883" s="181"/>
      <c r="T883" s="181"/>
      <c r="U883" s="179"/>
      <c r="V883" s="549"/>
      <c r="W883" s="181"/>
      <c r="X883" s="181"/>
      <c r="Y883" s="181"/>
      <c r="Z883" s="179"/>
      <c r="AA883" s="549"/>
      <c r="AB883" s="181"/>
      <c r="AC883" s="181"/>
      <c r="AD883" s="181"/>
      <c r="AE883" s="179"/>
      <c r="AF883" s="549"/>
      <c r="AG883" s="181"/>
      <c r="AH883" s="181"/>
      <c r="AI883" s="181"/>
      <c r="AJ883" s="179"/>
      <c r="AK883" s="549"/>
      <c r="AL883" s="181"/>
      <c r="AM883" s="181"/>
      <c r="AN883" s="181"/>
      <c r="AO883" s="179"/>
      <c r="AP883" s="549"/>
      <c r="AQ883" s="181"/>
      <c r="AR883" s="181"/>
      <c r="AS883" s="181"/>
      <c r="AT883" s="528"/>
      <c r="AU883" s="528"/>
      <c r="AV883" s="528"/>
      <c r="AW883" s="528"/>
      <c r="AX883" s="528"/>
      <c r="AY883" s="528"/>
      <c r="AZ883" s="528"/>
      <c r="BA883" s="528"/>
      <c r="BB883" s="528"/>
      <c r="BC883" s="528"/>
      <c r="BD883" s="528"/>
      <c r="BE883" s="528"/>
      <c r="BF883" s="528"/>
      <c r="BG883" s="528"/>
      <c r="BH883" s="528"/>
    </row>
    <row r="884">
      <c r="A884" s="179"/>
      <c r="B884" s="549"/>
      <c r="C884" s="181"/>
      <c r="D884" s="181"/>
      <c r="E884" s="181"/>
      <c r="F884" s="179"/>
      <c r="G884" s="549"/>
      <c r="H884" s="181"/>
      <c r="I884" s="181"/>
      <c r="J884" s="181"/>
      <c r="K884" s="156"/>
      <c r="L884" s="549"/>
      <c r="M884" s="181"/>
      <c r="N884" s="181"/>
      <c r="O884" s="181"/>
      <c r="P884" s="156"/>
      <c r="Q884" s="562"/>
      <c r="R884" s="181"/>
      <c r="S884" s="181"/>
      <c r="T884" s="181"/>
      <c r="U884" s="179"/>
      <c r="V884" s="549"/>
      <c r="W884" s="181"/>
      <c r="X884" s="181"/>
      <c r="Y884" s="181"/>
      <c r="Z884" s="179"/>
      <c r="AA884" s="549"/>
      <c r="AB884" s="181"/>
      <c r="AC884" s="181"/>
      <c r="AD884" s="181"/>
      <c r="AE884" s="179"/>
      <c r="AF884" s="549"/>
      <c r="AG884" s="181"/>
      <c r="AH884" s="181"/>
      <c r="AI884" s="181"/>
      <c r="AJ884" s="179"/>
      <c r="AK884" s="549"/>
      <c r="AL884" s="181"/>
      <c r="AM884" s="181"/>
      <c r="AN884" s="181"/>
      <c r="AO884" s="179"/>
      <c r="AP884" s="549"/>
      <c r="AQ884" s="181"/>
      <c r="AR884" s="181"/>
      <c r="AS884" s="181"/>
      <c r="AT884" s="528"/>
      <c r="AU884" s="528"/>
      <c r="AV884" s="528"/>
      <c r="AW884" s="528"/>
      <c r="AX884" s="528"/>
      <c r="AY884" s="528"/>
      <c r="AZ884" s="528"/>
      <c r="BA884" s="528"/>
      <c r="BB884" s="528"/>
      <c r="BC884" s="528"/>
      <c r="BD884" s="528"/>
      <c r="BE884" s="528"/>
      <c r="BF884" s="528"/>
      <c r="BG884" s="528"/>
      <c r="BH884" s="528"/>
    </row>
    <row r="885">
      <c r="A885" s="179"/>
      <c r="B885" s="549"/>
      <c r="C885" s="181"/>
      <c r="D885" s="181"/>
      <c r="E885" s="181"/>
      <c r="F885" s="179"/>
      <c r="G885" s="549"/>
      <c r="H885" s="181"/>
      <c r="I885" s="181"/>
      <c r="J885" s="181"/>
      <c r="K885" s="156"/>
      <c r="L885" s="549"/>
      <c r="M885" s="181"/>
      <c r="N885" s="181"/>
      <c r="O885" s="181"/>
      <c r="P885" s="156"/>
      <c r="Q885" s="562"/>
      <c r="R885" s="181"/>
      <c r="S885" s="181"/>
      <c r="T885" s="181"/>
      <c r="U885" s="179"/>
      <c r="V885" s="549"/>
      <c r="W885" s="181"/>
      <c r="X885" s="181"/>
      <c r="Y885" s="181"/>
      <c r="Z885" s="179"/>
      <c r="AA885" s="549"/>
      <c r="AB885" s="181"/>
      <c r="AC885" s="181"/>
      <c r="AD885" s="181"/>
      <c r="AE885" s="179"/>
      <c r="AF885" s="549"/>
      <c r="AG885" s="181"/>
      <c r="AH885" s="181"/>
      <c r="AI885" s="181"/>
      <c r="AJ885" s="179"/>
      <c r="AK885" s="549"/>
      <c r="AL885" s="181"/>
      <c r="AM885" s="181"/>
      <c r="AN885" s="181"/>
      <c r="AO885" s="179"/>
      <c r="AP885" s="549"/>
      <c r="AQ885" s="181"/>
      <c r="AR885" s="181"/>
      <c r="AS885" s="181"/>
      <c r="AT885" s="528"/>
      <c r="AU885" s="528"/>
      <c r="AV885" s="528"/>
      <c r="AW885" s="528"/>
      <c r="AX885" s="528"/>
      <c r="AY885" s="528"/>
      <c r="AZ885" s="528"/>
      <c r="BA885" s="528"/>
      <c r="BB885" s="528"/>
      <c r="BC885" s="528"/>
      <c r="BD885" s="528"/>
      <c r="BE885" s="528"/>
      <c r="BF885" s="528"/>
      <c r="BG885" s="528"/>
      <c r="BH885" s="528"/>
    </row>
    <row r="886">
      <c r="A886" s="179"/>
      <c r="B886" s="549"/>
      <c r="C886" s="181"/>
      <c r="D886" s="181"/>
      <c r="E886" s="181"/>
      <c r="F886" s="179"/>
      <c r="G886" s="549"/>
      <c r="H886" s="181"/>
      <c r="I886" s="181"/>
      <c r="J886" s="181"/>
      <c r="K886" s="156"/>
      <c r="L886" s="549"/>
      <c r="M886" s="181"/>
      <c r="N886" s="181"/>
      <c r="O886" s="181"/>
      <c r="P886" s="156"/>
      <c r="Q886" s="562"/>
      <c r="R886" s="181"/>
      <c r="S886" s="181"/>
      <c r="T886" s="181"/>
      <c r="U886" s="179"/>
      <c r="V886" s="549"/>
      <c r="W886" s="181"/>
      <c r="X886" s="181"/>
      <c r="Y886" s="181"/>
      <c r="Z886" s="179"/>
      <c r="AA886" s="549"/>
      <c r="AB886" s="181"/>
      <c r="AC886" s="181"/>
      <c r="AD886" s="181"/>
      <c r="AE886" s="179"/>
      <c r="AF886" s="549"/>
      <c r="AG886" s="181"/>
      <c r="AH886" s="181"/>
      <c r="AI886" s="181"/>
      <c r="AJ886" s="179"/>
      <c r="AK886" s="549"/>
      <c r="AL886" s="181"/>
      <c r="AM886" s="181"/>
      <c r="AN886" s="181"/>
      <c r="AO886" s="179"/>
      <c r="AP886" s="549"/>
      <c r="AQ886" s="181"/>
      <c r="AR886" s="181"/>
      <c r="AS886" s="181"/>
      <c r="AT886" s="528"/>
      <c r="AU886" s="528"/>
      <c r="AV886" s="528"/>
      <c r="AW886" s="528"/>
      <c r="AX886" s="528"/>
      <c r="AY886" s="528"/>
      <c r="AZ886" s="528"/>
      <c r="BA886" s="528"/>
      <c r="BB886" s="528"/>
      <c r="BC886" s="528"/>
      <c r="BD886" s="528"/>
      <c r="BE886" s="528"/>
      <c r="BF886" s="528"/>
      <c r="BG886" s="528"/>
      <c r="BH886" s="528"/>
    </row>
    <row r="887">
      <c r="A887" s="179"/>
      <c r="B887" s="549"/>
      <c r="C887" s="181"/>
      <c r="D887" s="181"/>
      <c r="E887" s="181"/>
      <c r="F887" s="179"/>
      <c r="G887" s="549"/>
      <c r="H887" s="181"/>
      <c r="I887" s="181"/>
      <c r="J887" s="181"/>
      <c r="K887" s="156"/>
      <c r="L887" s="549"/>
      <c r="M887" s="181"/>
      <c r="N887" s="181"/>
      <c r="O887" s="181"/>
      <c r="P887" s="156"/>
      <c r="Q887" s="562"/>
      <c r="R887" s="181"/>
      <c r="S887" s="181"/>
      <c r="T887" s="181"/>
      <c r="U887" s="179"/>
      <c r="V887" s="549"/>
      <c r="W887" s="181"/>
      <c r="X887" s="181"/>
      <c r="Y887" s="181"/>
      <c r="Z887" s="179"/>
      <c r="AA887" s="549"/>
      <c r="AB887" s="181"/>
      <c r="AC887" s="181"/>
      <c r="AD887" s="181"/>
      <c r="AE887" s="179"/>
      <c r="AF887" s="549"/>
      <c r="AG887" s="181"/>
      <c r="AH887" s="181"/>
      <c r="AI887" s="181"/>
      <c r="AJ887" s="179"/>
      <c r="AK887" s="549"/>
      <c r="AL887" s="181"/>
      <c r="AM887" s="181"/>
      <c r="AN887" s="181"/>
      <c r="AO887" s="179"/>
      <c r="AP887" s="549"/>
      <c r="AQ887" s="181"/>
      <c r="AR887" s="181"/>
      <c r="AS887" s="181"/>
      <c r="AT887" s="528"/>
      <c r="AU887" s="528"/>
      <c r="AV887" s="528"/>
      <c r="AW887" s="528"/>
      <c r="AX887" s="528"/>
      <c r="AY887" s="528"/>
      <c r="AZ887" s="528"/>
      <c r="BA887" s="528"/>
      <c r="BB887" s="528"/>
      <c r="BC887" s="528"/>
      <c r="BD887" s="528"/>
      <c r="BE887" s="528"/>
      <c r="BF887" s="528"/>
      <c r="BG887" s="528"/>
      <c r="BH887" s="528"/>
    </row>
    <row r="888">
      <c r="A888" s="179"/>
      <c r="B888" s="549"/>
      <c r="C888" s="181"/>
      <c r="D888" s="181"/>
      <c r="E888" s="181"/>
      <c r="F888" s="179"/>
      <c r="G888" s="549"/>
      <c r="H888" s="181"/>
      <c r="I888" s="181"/>
      <c r="J888" s="181"/>
      <c r="K888" s="156"/>
      <c r="L888" s="549"/>
      <c r="M888" s="181"/>
      <c r="N888" s="181"/>
      <c r="O888" s="181"/>
      <c r="P888" s="156"/>
      <c r="Q888" s="562"/>
      <c r="R888" s="181"/>
      <c r="S888" s="181"/>
      <c r="T888" s="181"/>
      <c r="U888" s="179"/>
      <c r="V888" s="549"/>
      <c r="W888" s="181"/>
      <c r="X888" s="181"/>
      <c r="Y888" s="181"/>
      <c r="Z888" s="179"/>
      <c r="AA888" s="549"/>
      <c r="AB888" s="181"/>
      <c r="AC888" s="181"/>
      <c r="AD888" s="181"/>
      <c r="AE888" s="179"/>
      <c r="AF888" s="549"/>
      <c r="AG888" s="181"/>
      <c r="AH888" s="181"/>
      <c r="AI888" s="181"/>
      <c r="AJ888" s="179"/>
      <c r="AK888" s="549"/>
      <c r="AL888" s="181"/>
      <c r="AM888" s="181"/>
      <c r="AN888" s="181"/>
      <c r="AO888" s="179"/>
      <c r="AP888" s="549"/>
      <c r="AQ888" s="181"/>
      <c r="AR888" s="181"/>
      <c r="AS888" s="181"/>
      <c r="AT888" s="528"/>
      <c r="AU888" s="528"/>
      <c r="AV888" s="528"/>
      <c r="AW888" s="528"/>
      <c r="AX888" s="528"/>
      <c r="AY888" s="528"/>
      <c r="AZ888" s="528"/>
      <c r="BA888" s="528"/>
      <c r="BB888" s="528"/>
      <c r="BC888" s="528"/>
      <c r="BD888" s="528"/>
      <c r="BE888" s="528"/>
      <c r="BF888" s="528"/>
      <c r="BG888" s="528"/>
      <c r="BH888" s="528"/>
    </row>
    <row r="889">
      <c r="A889" s="179"/>
      <c r="B889" s="549"/>
      <c r="C889" s="181"/>
      <c r="D889" s="181"/>
      <c r="E889" s="181"/>
      <c r="F889" s="179"/>
      <c r="G889" s="549"/>
      <c r="H889" s="181"/>
      <c r="I889" s="181"/>
      <c r="J889" s="181"/>
      <c r="K889" s="156"/>
      <c r="L889" s="549"/>
      <c r="M889" s="181"/>
      <c r="N889" s="181"/>
      <c r="O889" s="181"/>
      <c r="P889" s="156"/>
      <c r="Q889" s="562"/>
      <c r="R889" s="181"/>
      <c r="S889" s="181"/>
      <c r="T889" s="181"/>
      <c r="U889" s="179"/>
      <c r="V889" s="549"/>
      <c r="W889" s="181"/>
      <c r="X889" s="181"/>
      <c r="Y889" s="181"/>
      <c r="Z889" s="179"/>
      <c r="AA889" s="549"/>
      <c r="AB889" s="181"/>
      <c r="AC889" s="181"/>
      <c r="AD889" s="181"/>
      <c r="AE889" s="179"/>
      <c r="AF889" s="549"/>
      <c r="AG889" s="181"/>
      <c r="AH889" s="181"/>
      <c r="AI889" s="181"/>
      <c r="AJ889" s="179"/>
      <c r="AK889" s="549"/>
      <c r="AL889" s="181"/>
      <c r="AM889" s="181"/>
      <c r="AN889" s="181"/>
      <c r="AO889" s="179"/>
      <c r="AP889" s="549"/>
      <c r="AQ889" s="181"/>
      <c r="AR889" s="181"/>
      <c r="AS889" s="181"/>
      <c r="AT889" s="528"/>
      <c r="AU889" s="528"/>
      <c r="AV889" s="528"/>
      <c r="AW889" s="528"/>
      <c r="AX889" s="528"/>
      <c r="AY889" s="528"/>
      <c r="AZ889" s="528"/>
      <c r="BA889" s="528"/>
      <c r="BB889" s="528"/>
      <c r="BC889" s="528"/>
      <c r="BD889" s="528"/>
      <c r="BE889" s="528"/>
      <c r="BF889" s="528"/>
      <c r="BG889" s="528"/>
      <c r="BH889" s="528"/>
    </row>
    <row r="890">
      <c r="A890" s="179"/>
      <c r="B890" s="549"/>
      <c r="C890" s="181"/>
      <c r="D890" s="181"/>
      <c r="E890" s="181"/>
      <c r="F890" s="179"/>
      <c r="G890" s="549"/>
      <c r="H890" s="181"/>
      <c r="I890" s="181"/>
      <c r="J890" s="181"/>
      <c r="K890" s="156"/>
      <c r="L890" s="549"/>
      <c r="M890" s="181"/>
      <c r="N890" s="181"/>
      <c r="O890" s="181"/>
      <c r="P890" s="156"/>
      <c r="Q890" s="562"/>
      <c r="R890" s="181"/>
      <c r="S890" s="181"/>
      <c r="T890" s="181"/>
      <c r="U890" s="179"/>
      <c r="V890" s="549"/>
      <c r="W890" s="181"/>
      <c r="X890" s="181"/>
      <c r="Y890" s="181"/>
      <c r="Z890" s="179"/>
      <c r="AA890" s="549"/>
      <c r="AB890" s="181"/>
      <c r="AC890" s="181"/>
      <c r="AD890" s="181"/>
      <c r="AE890" s="179"/>
      <c r="AF890" s="549"/>
      <c r="AG890" s="181"/>
      <c r="AH890" s="181"/>
      <c r="AI890" s="181"/>
      <c r="AJ890" s="179"/>
      <c r="AK890" s="549"/>
      <c r="AL890" s="181"/>
      <c r="AM890" s="181"/>
      <c r="AN890" s="181"/>
      <c r="AO890" s="179"/>
      <c r="AP890" s="549"/>
      <c r="AQ890" s="181"/>
      <c r="AR890" s="181"/>
      <c r="AS890" s="181"/>
      <c r="AT890" s="528"/>
      <c r="AU890" s="528"/>
      <c r="AV890" s="528"/>
      <c r="AW890" s="528"/>
      <c r="AX890" s="528"/>
      <c r="AY890" s="528"/>
      <c r="AZ890" s="528"/>
      <c r="BA890" s="528"/>
      <c r="BB890" s="528"/>
      <c r="BC890" s="528"/>
      <c r="BD890" s="528"/>
      <c r="BE890" s="528"/>
      <c r="BF890" s="528"/>
      <c r="BG890" s="528"/>
      <c r="BH890" s="528"/>
    </row>
    <row r="891">
      <c r="A891" s="179"/>
      <c r="B891" s="549"/>
      <c r="C891" s="181"/>
      <c r="D891" s="181"/>
      <c r="E891" s="181"/>
      <c r="F891" s="179"/>
      <c r="G891" s="549"/>
      <c r="H891" s="181"/>
      <c r="I891" s="181"/>
      <c r="J891" s="181"/>
      <c r="K891" s="156"/>
      <c r="L891" s="549"/>
      <c r="M891" s="181"/>
      <c r="N891" s="181"/>
      <c r="O891" s="181"/>
      <c r="P891" s="156"/>
      <c r="Q891" s="562"/>
      <c r="R891" s="181"/>
      <c r="S891" s="181"/>
      <c r="T891" s="181"/>
      <c r="U891" s="179"/>
      <c r="V891" s="549"/>
      <c r="W891" s="181"/>
      <c r="X891" s="181"/>
      <c r="Y891" s="181"/>
      <c r="Z891" s="179"/>
      <c r="AA891" s="549"/>
      <c r="AB891" s="181"/>
      <c r="AC891" s="181"/>
      <c r="AD891" s="181"/>
      <c r="AE891" s="179"/>
      <c r="AF891" s="549"/>
      <c r="AG891" s="181"/>
      <c r="AH891" s="181"/>
      <c r="AI891" s="181"/>
      <c r="AJ891" s="179"/>
      <c r="AK891" s="549"/>
      <c r="AL891" s="181"/>
      <c r="AM891" s="181"/>
      <c r="AN891" s="181"/>
      <c r="AO891" s="179"/>
      <c r="AP891" s="549"/>
      <c r="AQ891" s="181"/>
      <c r="AR891" s="181"/>
      <c r="AS891" s="181"/>
      <c r="AT891" s="528"/>
      <c r="AU891" s="528"/>
      <c r="AV891" s="528"/>
      <c r="AW891" s="528"/>
      <c r="AX891" s="528"/>
      <c r="AY891" s="528"/>
      <c r="AZ891" s="528"/>
      <c r="BA891" s="528"/>
      <c r="BB891" s="528"/>
      <c r="BC891" s="528"/>
      <c r="BD891" s="528"/>
      <c r="BE891" s="528"/>
      <c r="BF891" s="528"/>
      <c r="BG891" s="528"/>
      <c r="BH891" s="528"/>
    </row>
    <row r="892">
      <c r="A892" s="179"/>
      <c r="B892" s="549"/>
      <c r="C892" s="181"/>
      <c r="D892" s="181"/>
      <c r="E892" s="181"/>
      <c r="F892" s="179"/>
      <c r="G892" s="549"/>
      <c r="H892" s="181"/>
      <c r="I892" s="181"/>
      <c r="J892" s="181"/>
      <c r="K892" s="156"/>
      <c r="L892" s="549"/>
      <c r="M892" s="181"/>
      <c r="N892" s="181"/>
      <c r="O892" s="181"/>
      <c r="P892" s="156"/>
      <c r="Q892" s="562"/>
      <c r="R892" s="181"/>
      <c r="S892" s="181"/>
      <c r="T892" s="181"/>
      <c r="U892" s="179"/>
      <c r="V892" s="549"/>
      <c r="W892" s="181"/>
      <c r="X892" s="181"/>
      <c r="Y892" s="181"/>
      <c r="Z892" s="179"/>
      <c r="AA892" s="549"/>
      <c r="AB892" s="181"/>
      <c r="AC892" s="181"/>
      <c r="AD892" s="181"/>
      <c r="AE892" s="179"/>
      <c r="AF892" s="549"/>
      <c r="AG892" s="181"/>
      <c r="AH892" s="181"/>
      <c r="AI892" s="181"/>
      <c r="AJ892" s="179"/>
      <c r="AK892" s="549"/>
      <c r="AL892" s="181"/>
      <c r="AM892" s="181"/>
      <c r="AN892" s="181"/>
      <c r="AO892" s="179"/>
      <c r="AP892" s="549"/>
      <c r="AQ892" s="181"/>
      <c r="AR892" s="181"/>
      <c r="AS892" s="181"/>
      <c r="AT892" s="528"/>
      <c r="AU892" s="528"/>
      <c r="AV892" s="528"/>
      <c r="AW892" s="528"/>
      <c r="AX892" s="528"/>
      <c r="AY892" s="528"/>
      <c r="AZ892" s="528"/>
      <c r="BA892" s="528"/>
      <c r="BB892" s="528"/>
      <c r="BC892" s="528"/>
      <c r="BD892" s="528"/>
      <c r="BE892" s="528"/>
      <c r="BF892" s="528"/>
      <c r="BG892" s="528"/>
      <c r="BH892" s="528"/>
    </row>
    <row r="893">
      <c r="A893" s="179"/>
      <c r="B893" s="549"/>
      <c r="C893" s="181"/>
      <c r="D893" s="181"/>
      <c r="E893" s="181"/>
      <c r="F893" s="179"/>
      <c r="G893" s="549"/>
      <c r="H893" s="181"/>
      <c r="I893" s="181"/>
      <c r="J893" s="181"/>
      <c r="K893" s="156"/>
      <c r="L893" s="549"/>
      <c r="M893" s="181"/>
      <c r="N893" s="181"/>
      <c r="O893" s="181"/>
      <c r="P893" s="156"/>
      <c r="Q893" s="562"/>
      <c r="R893" s="181"/>
      <c r="S893" s="181"/>
      <c r="T893" s="181"/>
      <c r="U893" s="179"/>
      <c r="V893" s="549"/>
      <c r="W893" s="181"/>
      <c r="X893" s="181"/>
      <c r="Y893" s="181"/>
      <c r="Z893" s="179"/>
      <c r="AA893" s="549"/>
      <c r="AB893" s="181"/>
      <c r="AC893" s="181"/>
      <c r="AD893" s="181"/>
      <c r="AE893" s="179"/>
      <c r="AF893" s="549"/>
      <c r="AG893" s="181"/>
      <c r="AH893" s="181"/>
      <c r="AI893" s="181"/>
      <c r="AJ893" s="179"/>
      <c r="AK893" s="549"/>
      <c r="AL893" s="181"/>
      <c r="AM893" s="181"/>
      <c r="AN893" s="181"/>
      <c r="AO893" s="179"/>
      <c r="AP893" s="549"/>
      <c r="AQ893" s="181"/>
      <c r="AR893" s="181"/>
      <c r="AS893" s="181"/>
      <c r="AT893" s="528"/>
      <c r="AU893" s="528"/>
      <c r="AV893" s="528"/>
      <c r="AW893" s="528"/>
      <c r="AX893" s="528"/>
      <c r="AY893" s="528"/>
      <c r="AZ893" s="528"/>
      <c r="BA893" s="528"/>
      <c r="BB893" s="528"/>
      <c r="BC893" s="528"/>
      <c r="BD893" s="528"/>
      <c r="BE893" s="528"/>
      <c r="BF893" s="528"/>
      <c r="BG893" s="528"/>
      <c r="BH893" s="528"/>
    </row>
    <row r="894">
      <c r="A894" s="179"/>
      <c r="B894" s="549"/>
      <c r="C894" s="181"/>
      <c r="D894" s="181"/>
      <c r="E894" s="181"/>
      <c r="F894" s="179"/>
      <c r="G894" s="549"/>
      <c r="H894" s="181"/>
      <c r="I894" s="181"/>
      <c r="J894" s="181"/>
      <c r="K894" s="156"/>
      <c r="L894" s="549"/>
      <c r="M894" s="181"/>
      <c r="N894" s="181"/>
      <c r="O894" s="181"/>
      <c r="P894" s="156"/>
      <c r="Q894" s="562"/>
      <c r="R894" s="181"/>
      <c r="S894" s="181"/>
      <c r="T894" s="181"/>
      <c r="U894" s="179"/>
      <c r="V894" s="549"/>
      <c r="W894" s="181"/>
      <c r="X894" s="181"/>
      <c r="Y894" s="181"/>
      <c r="Z894" s="179"/>
      <c r="AA894" s="549"/>
      <c r="AB894" s="181"/>
      <c r="AC894" s="181"/>
      <c r="AD894" s="181"/>
      <c r="AE894" s="179"/>
      <c r="AF894" s="549"/>
      <c r="AG894" s="181"/>
      <c r="AH894" s="181"/>
      <c r="AI894" s="181"/>
      <c r="AJ894" s="179"/>
      <c r="AK894" s="549"/>
      <c r="AL894" s="181"/>
      <c r="AM894" s="181"/>
      <c r="AN894" s="181"/>
      <c r="AO894" s="179"/>
      <c r="AP894" s="549"/>
      <c r="AQ894" s="181"/>
      <c r="AR894" s="181"/>
      <c r="AS894" s="181"/>
      <c r="AT894" s="528"/>
      <c r="AU894" s="528"/>
      <c r="AV894" s="528"/>
      <c r="AW894" s="528"/>
      <c r="AX894" s="528"/>
      <c r="AY894" s="528"/>
      <c r="AZ894" s="528"/>
      <c r="BA894" s="528"/>
      <c r="BB894" s="528"/>
      <c r="BC894" s="528"/>
      <c r="BD894" s="528"/>
      <c r="BE894" s="528"/>
      <c r="BF894" s="528"/>
      <c r="BG894" s="528"/>
      <c r="BH894" s="528"/>
    </row>
    <row r="895">
      <c r="A895" s="179"/>
      <c r="B895" s="549"/>
      <c r="C895" s="181"/>
      <c r="D895" s="181"/>
      <c r="E895" s="181"/>
      <c r="F895" s="179"/>
      <c r="G895" s="549"/>
      <c r="H895" s="181"/>
      <c r="I895" s="181"/>
      <c r="J895" s="181"/>
      <c r="K895" s="156"/>
      <c r="L895" s="549"/>
      <c r="M895" s="181"/>
      <c r="N895" s="181"/>
      <c r="O895" s="181"/>
      <c r="P895" s="156"/>
      <c r="Q895" s="562"/>
      <c r="R895" s="181"/>
      <c r="S895" s="181"/>
      <c r="T895" s="181"/>
      <c r="U895" s="179"/>
      <c r="V895" s="549"/>
      <c r="W895" s="181"/>
      <c r="X895" s="181"/>
      <c r="Y895" s="181"/>
      <c r="Z895" s="179"/>
      <c r="AA895" s="549"/>
      <c r="AB895" s="181"/>
      <c r="AC895" s="181"/>
      <c r="AD895" s="181"/>
      <c r="AE895" s="179"/>
      <c r="AF895" s="549"/>
      <c r="AG895" s="181"/>
      <c r="AH895" s="181"/>
      <c r="AI895" s="181"/>
      <c r="AJ895" s="179"/>
      <c r="AK895" s="549"/>
      <c r="AL895" s="181"/>
      <c r="AM895" s="181"/>
      <c r="AN895" s="181"/>
      <c r="AO895" s="179"/>
      <c r="AP895" s="549"/>
      <c r="AQ895" s="181"/>
      <c r="AR895" s="181"/>
      <c r="AS895" s="181"/>
      <c r="AT895" s="528"/>
      <c r="AU895" s="528"/>
      <c r="AV895" s="528"/>
      <c r="AW895" s="528"/>
      <c r="AX895" s="528"/>
      <c r="AY895" s="528"/>
      <c r="AZ895" s="528"/>
      <c r="BA895" s="528"/>
      <c r="BB895" s="528"/>
      <c r="BC895" s="528"/>
      <c r="BD895" s="528"/>
      <c r="BE895" s="528"/>
      <c r="BF895" s="528"/>
      <c r="BG895" s="528"/>
      <c r="BH895" s="528"/>
    </row>
    <row r="896">
      <c r="A896" s="179"/>
      <c r="B896" s="549"/>
      <c r="C896" s="181"/>
      <c r="D896" s="181"/>
      <c r="E896" s="181"/>
      <c r="F896" s="179"/>
      <c r="G896" s="549"/>
      <c r="H896" s="181"/>
      <c r="I896" s="181"/>
      <c r="J896" s="181"/>
      <c r="K896" s="156"/>
      <c r="L896" s="549"/>
      <c r="M896" s="181"/>
      <c r="N896" s="181"/>
      <c r="O896" s="181"/>
      <c r="P896" s="156"/>
      <c r="Q896" s="562"/>
      <c r="R896" s="181"/>
      <c r="S896" s="181"/>
      <c r="T896" s="181"/>
      <c r="U896" s="179"/>
      <c r="V896" s="549"/>
      <c r="W896" s="181"/>
      <c r="X896" s="181"/>
      <c r="Y896" s="181"/>
      <c r="Z896" s="179"/>
      <c r="AA896" s="549"/>
      <c r="AB896" s="181"/>
      <c r="AC896" s="181"/>
      <c r="AD896" s="181"/>
      <c r="AE896" s="179"/>
      <c r="AF896" s="549"/>
      <c r="AG896" s="181"/>
      <c r="AH896" s="181"/>
      <c r="AI896" s="181"/>
      <c r="AJ896" s="179"/>
      <c r="AK896" s="549"/>
      <c r="AL896" s="181"/>
      <c r="AM896" s="181"/>
      <c r="AN896" s="181"/>
      <c r="AO896" s="179"/>
      <c r="AP896" s="549"/>
      <c r="AQ896" s="181"/>
      <c r="AR896" s="181"/>
      <c r="AS896" s="181"/>
      <c r="AT896" s="528"/>
      <c r="AU896" s="528"/>
      <c r="AV896" s="528"/>
      <c r="AW896" s="528"/>
      <c r="AX896" s="528"/>
      <c r="AY896" s="528"/>
      <c r="AZ896" s="528"/>
      <c r="BA896" s="528"/>
      <c r="BB896" s="528"/>
      <c r="BC896" s="528"/>
      <c r="BD896" s="528"/>
      <c r="BE896" s="528"/>
      <c r="BF896" s="528"/>
      <c r="BG896" s="528"/>
      <c r="BH896" s="528"/>
    </row>
    <row r="897">
      <c r="A897" s="179"/>
      <c r="B897" s="549"/>
      <c r="C897" s="181"/>
      <c r="D897" s="181"/>
      <c r="E897" s="181"/>
      <c r="F897" s="179"/>
      <c r="G897" s="549"/>
      <c r="H897" s="181"/>
      <c r="I897" s="181"/>
      <c r="J897" s="181"/>
      <c r="K897" s="156"/>
      <c r="L897" s="549"/>
      <c r="M897" s="181"/>
      <c r="N897" s="181"/>
      <c r="O897" s="181"/>
      <c r="P897" s="156"/>
      <c r="Q897" s="562"/>
      <c r="R897" s="181"/>
      <c r="S897" s="181"/>
      <c r="T897" s="181"/>
      <c r="U897" s="179"/>
      <c r="V897" s="549"/>
      <c r="W897" s="181"/>
      <c r="X897" s="181"/>
      <c r="Y897" s="181"/>
      <c r="Z897" s="179"/>
      <c r="AA897" s="549"/>
      <c r="AB897" s="181"/>
      <c r="AC897" s="181"/>
      <c r="AD897" s="181"/>
      <c r="AE897" s="179"/>
      <c r="AF897" s="549"/>
      <c r="AG897" s="181"/>
      <c r="AH897" s="181"/>
      <c r="AI897" s="181"/>
      <c r="AJ897" s="179"/>
      <c r="AK897" s="549"/>
      <c r="AL897" s="181"/>
      <c r="AM897" s="181"/>
      <c r="AN897" s="181"/>
      <c r="AO897" s="179"/>
      <c r="AP897" s="549"/>
      <c r="AQ897" s="181"/>
      <c r="AR897" s="181"/>
      <c r="AS897" s="181"/>
      <c r="AT897" s="528"/>
      <c r="AU897" s="528"/>
      <c r="AV897" s="528"/>
      <c r="AW897" s="528"/>
      <c r="AX897" s="528"/>
      <c r="AY897" s="528"/>
      <c r="AZ897" s="528"/>
      <c r="BA897" s="528"/>
      <c r="BB897" s="528"/>
      <c r="BC897" s="528"/>
      <c r="BD897" s="528"/>
      <c r="BE897" s="528"/>
      <c r="BF897" s="528"/>
      <c r="BG897" s="528"/>
      <c r="BH897" s="528"/>
    </row>
    <row r="898">
      <c r="A898" s="179"/>
      <c r="B898" s="549"/>
      <c r="C898" s="181"/>
      <c r="D898" s="181"/>
      <c r="E898" s="181"/>
      <c r="F898" s="179"/>
      <c r="G898" s="549"/>
      <c r="H898" s="181"/>
      <c r="I898" s="181"/>
      <c r="J898" s="181"/>
      <c r="K898" s="156"/>
      <c r="L898" s="549"/>
      <c r="M898" s="181"/>
      <c r="N898" s="181"/>
      <c r="O898" s="181"/>
      <c r="P898" s="156"/>
      <c r="Q898" s="562"/>
      <c r="R898" s="181"/>
      <c r="S898" s="181"/>
      <c r="T898" s="181"/>
      <c r="U898" s="179"/>
      <c r="V898" s="549"/>
      <c r="W898" s="181"/>
      <c r="X898" s="181"/>
      <c r="Y898" s="181"/>
      <c r="Z898" s="179"/>
      <c r="AA898" s="549"/>
      <c r="AB898" s="181"/>
      <c r="AC898" s="181"/>
      <c r="AD898" s="181"/>
      <c r="AE898" s="179"/>
      <c r="AF898" s="549"/>
      <c r="AG898" s="181"/>
      <c r="AH898" s="181"/>
      <c r="AI898" s="181"/>
      <c r="AJ898" s="179"/>
      <c r="AK898" s="549"/>
      <c r="AL898" s="181"/>
      <c r="AM898" s="181"/>
      <c r="AN898" s="181"/>
      <c r="AO898" s="179"/>
      <c r="AP898" s="549"/>
      <c r="AQ898" s="181"/>
      <c r="AR898" s="181"/>
      <c r="AS898" s="181"/>
      <c r="AT898" s="528"/>
      <c r="AU898" s="528"/>
      <c r="AV898" s="528"/>
      <c r="AW898" s="528"/>
      <c r="AX898" s="528"/>
      <c r="AY898" s="528"/>
      <c r="AZ898" s="528"/>
      <c r="BA898" s="528"/>
      <c r="BB898" s="528"/>
      <c r="BC898" s="528"/>
      <c r="BD898" s="528"/>
      <c r="BE898" s="528"/>
      <c r="BF898" s="528"/>
      <c r="BG898" s="528"/>
      <c r="BH898" s="528"/>
    </row>
    <row r="899">
      <c r="A899" s="179"/>
      <c r="B899" s="549"/>
      <c r="C899" s="181"/>
      <c r="D899" s="181"/>
      <c r="E899" s="181"/>
      <c r="F899" s="179"/>
      <c r="G899" s="549"/>
      <c r="H899" s="181"/>
      <c r="I899" s="181"/>
      <c r="J899" s="181"/>
      <c r="K899" s="156"/>
      <c r="L899" s="549"/>
      <c r="M899" s="181"/>
      <c r="N899" s="181"/>
      <c r="O899" s="181"/>
      <c r="P899" s="156"/>
      <c r="Q899" s="562"/>
      <c r="R899" s="181"/>
      <c r="S899" s="181"/>
      <c r="T899" s="181"/>
      <c r="U899" s="179"/>
      <c r="V899" s="549"/>
      <c r="W899" s="181"/>
      <c r="X899" s="181"/>
      <c r="Y899" s="181"/>
      <c r="Z899" s="179"/>
      <c r="AA899" s="549"/>
      <c r="AB899" s="181"/>
      <c r="AC899" s="181"/>
      <c r="AD899" s="181"/>
      <c r="AE899" s="179"/>
      <c r="AF899" s="549"/>
      <c r="AG899" s="181"/>
      <c r="AH899" s="181"/>
      <c r="AI899" s="181"/>
      <c r="AJ899" s="179"/>
      <c r="AK899" s="549"/>
      <c r="AL899" s="181"/>
      <c r="AM899" s="181"/>
      <c r="AN899" s="181"/>
      <c r="AO899" s="179"/>
      <c r="AP899" s="549"/>
      <c r="AQ899" s="181"/>
      <c r="AR899" s="181"/>
      <c r="AS899" s="181"/>
      <c r="AT899" s="528"/>
      <c r="AU899" s="528"/>
      <c r="AV899" s="528"/>
      <c r="AW899" s="528"/>
      <c r="AX899" s="528"/>
      <c r="AY899" s="528"/>
      <c r="AZ899" s="528"/>
      <c r="BA899" s="528"/>
      <c r="BB899" s="528"/>
      <c r="BC899" s="528"/>
      <c r="BD899" s="528"/>
      <c r="BE899" s="528"/>
      <c r="BF899" s="528"/>
      <c r="BG899" s="528"/>
      <c r="BH899" s="528"/>
    </row>
    <row r="900">
      <c r="A900" s="179"/>
      <c r="B900" s="549"/>
      <c r="C900" s="181"/>
      <c r="D900" s="181"/>
      <c r="E900" s="181"/>
      <c r="F900" s="179"/>
      <c r="G900" s="549"/>
      <c r="H900" s="181"/>
      <c r="I900" s="181"/>
      <c r="J900" s="181"/>
      <c r="K900" s="156"/>
      <c r="L900" s="549"/>
      <c r="M900" s="181"/>
      <c r="N900" s="181"/>
      <c r="O900" s="181"/>
      <c r="P900" s="156"/>
      <c r="Q900" s="562"/>
      <c r="R900" s="181"/>
      <c r="S900" s="181"/>
      <c r="T900" s="181"/>
      <c r="U900" s="179"/>
      <c r="V900" s="549"/>
      <c r="W900" s="181"/>
      <c r="X900" s="181"/>
      <c r="Y900" s="181"/>
      <c r="Z900" s="179"/>
      <c r="AA900" s="549"/>
      <c r="AB900" s="181"/>
      <c r="AC900" s="181"/>
      <c r="AD900" s="181"/>
      <c r="AE900" s="179"/>
      <c r="AF900" s="549"/>
      <c r="AG900" s="181"/>
      <c r="AH900" s="181"/>
      <c r="AI900" s="181"/>
      <c r="AJ900" s="179"/>
      <c r="AK900" s="549"/>
      <c r="AL900" s="181"/>
      <c r="AM900" s="181"/>
      <c r="AN900" s="181"/>
      <c r="AO900" s="179"/>
      <c r="AP900" s="549"/>
      <c r="AQ900" s="181"/>
      <c r="AR900" s="181"/>
      <c r="AS900" s="181"/>
      <c r="AT900" s="528"/>
      <c r="AU900" s="528"/>
      <c r="AV900" s="528"/>
      <c r="AW900" s="528"/>
      <c r="AX900" s="528"/>
      <c r="AY900" s="528"/>
      <c r="AZ900" s="528"/>
      <c r="BA900" s="528"/>
      <c r="BB900" s="528"/>
      <c r="BC900" s="528"/>
      <c r="BD900" s="528"/>
      <c r="BE900" s="528"/>
      <c r="BF900" s="528"/>
      <c r="BG900" s="528"/>
      <c r="BH900" s="528"/>
    </row>
    <row r="901">
      <c r="A901" s="179"/>
      <c r="B901" s="549"/>
      <c r="C901" s="181"/>
      <c r="D901" s="181"/>
      <c r="E901" s="181"/>
      <c r="F901" s="179"/>
      <c r="G901" s="549"/>
      <c r="H901" s="181"/>
      <c r="I901" s="181"/>
      <c r="J901" s="181"/>
      <c r="K901" s="156"/>
      <c r="L901" s="549"/>
      <c r="M901" s="181"/>
      <c r="N901" s="181"/>
      <c r="O901" s="181"/>
      <c r="P901" s="156"/>
      <c r="Q901" s="562"/>
      <c r="R901" s="181"/>
      <c r="S901" s="181"/>
      <c r="T901" s="181"/>
      <c r="U901" s="179"/>
      <c r="V901" s="549"/>
      <c r="W901" s="181"/>
      <c r="X901" s="181"/>
      <c r="Y901" s="181"/>
      <c r="Z901" s="179"/>
      <c r="AA901" s="549"/>
      <c r="AB901" s="181"/>
      <c r="AC901" s="181"/>
      <c r="AD901" s="181"/>
      <c r="AE901" s="179"/>
      <c r="AF901" s="549"/>
      <c r="AG901" s="181"/>
      <c r="AH901" s="181"/>
      <c r="AI901" s="181"/>
      <c r="AJ901" s="179"/>
      <c r="AK901" s="549"/>
      <c r="AL901" s="181"/>
      <c r="AM901" s="181"/>
      <c r="AN901" s="181"/>
      <c r="AO901" s="179"/>
      <c r="AP901" s="549"/>
      <c r="AQ901" s="181"/>
      <c r="AR901" s="181"/>
      <c r="AS901" s="181"/>
      <c r="AT901" s="528"/>
      <c r="AU901" s="528"/>
      <c r="AV901" s="528"/>
      <c r="AW901" s="528"/>
      <c r="AX901" s="528"/>
      <c r="AY901" s="528"/>
      <c r="AZ901" s="528"/>
      <c r="BA901" s="528"/>
      <c r="BB901" s="528"/>
      <c r="BC901" s="528"/>
      <c r="BD901" s="528"/>
      <c r="BE901" s="528"/>
      <c r="BF901" s="528"/>
      <c r="BG901" s="528"/>
      <c r="BH901" s="528"/>
    </row>
    <row r="902">
      <c r="A902" s="179"/>
      <c r="B902" s="549"/>
      <c r="C902" s="181"/>
      <c r="D902" s="181"/>
      <c r="E902" s="181"/>
      <c r="F902" s="179"/>
      <c r="G902" s="549"/>
      <c r="H902" s="181"/>
      <c r="I902" s="181"/>
      <c r="J902" s="181"/>
      <c r="K902" s="156"/>
      <c r="L902" s="549"/>
      <c r="M902" s="181"/>
      <c r="N902" s="181"/>
      <c r="O902" s="181"/>
      <c r="P902" s="156"/>
      <c r="Q902" s="562"/>
      <c r="R902" s="181"/>
      <c r="S902" s="181"/>
      <c r="T902" s="181"/>
      <c r="U902" s="179"/>
      <c r="V902" s="549"/>
      <c r="W902" s="181"/>
      <c r="X902" s="181"/>
      <c r="Y902" s="181"/>
      <c r="Z902" s="179"/>
      <c r="AA902" s="549"/>
      <c r="AB902" s="181"/>
      <c r="AC902" s="181"/>
      <c r="AD902" s="181"/>
      <c r="AE902" s="179"/>
      <c r="AF902" s="549"/>
      <c r="AG902" s="181"/>
      <c r="AH902" s="181"/>
      <c r="AI902" s="181"/>
      <c r="AJ902" s="179"/>
      <c r="AK902" s="549"/>
      <c r="AL902" s="181"/>
      <c r="AM902" s="181"/>
      <c r="AN902" s="181"/>
      <c r="AO902" s="179"/>
      <c r="AP902" s="549"/>
      <c r="AQ902" s="181"/>
      <c r="AR902" s="181"/>
      <c r="AS902" s="181"/>
      <c r="AT902" s="528"/>
      <c r="AU902" s="528"/>
      <c r="AV902" s="528"/>
      <c r="AW902" s="528"/>
      <c r="AX902" s="528"/>
      <c r="AY902" s="528"/>
      <c r="AZ902" s="528"/>
      <c r="BA902" s="528"/>
      <c r="BB902" s="528"/>
      <c r="BC902" s="528"/>
      <c r="BD902" s="528"/>
      <c r="BE902" s="528"/>
      <c r="BF902" s="528"/>
      <c r="BG902" s="528"/>
      <c r="BH902" s="528"/>
    </row>
    <row r="903">
      <c r="A903" s="179"/>
      <c r="B903" s="549"/>
      <c r="C903" s="181"/>
      <c r="D903" s="181"/>
      <c r="E903" s="181"/>
      <c r="F903" s="179"/>
      <c r="G903" s="549"/>
      <c r="H903" s="181"/>
      <c r="I903" s="181"/>
      <c r="J903" s="181"/>
      <c r="K903" s="156"/>
      <c r="L903" s="549"/>
      <c r="M903" s="181"/>
      <c r="N903" s="181"/>
      <c r="O903" s="181"/>
      <c r="P903" s="156"/>
      <c r="Q903" s="562"/>
      <c r="R903" s="181"/>
      <c r="S903" s="181"/>
      <c r="T903" s="181"/>
      <c r="U903" s="179"/>
      <c r="V903" s="549"/>
      <c r="W903" s="181"/>
      <c r="X903" s="181"/>
      <c r="Y903" s="181"/>
      <c r="Z903" s="179"/>
      <c r="AA903" s="549"/>
      <c r="AB903" s="181"/>
      <c r="AC903" s="181"/>
      <c r="AD903" s="181"/>
      <c r="AE903" s="179"/>
      <c r="AF903" s="549"/>
      <c r="AG903" s="181"/>
      <c r="AH903" s="181"/>
      <c r="AI903" s="181"/>
      <c r="AJ903" s="179"/>
      <c r="AK903" s="549"/>
      <c r="AL903" s="181"/>
      <c r="AM903" s="181"/>
      <c r="AN903" s="181"/>
      <c r="AO903" s="179"/>
      <c r="AP903" s="549"/>
      <c r="AQ903" s="181"/>
      <c r="AR903" s="181"/>
      <c r="AS903" s="181"/>
      <c r="AT903" s="528"/>
      <c r="AU903" s="528"/>
      <c r="AV903" s="528"/>
      <c r="AW903" s="528"/>
      <c r="AX903" s="528"/>
      <c r="AY903" s="528"/>
      <c r="AZ903" s="528"/>
      <c r="BA903" s="528"/>
      <c r="BB903" s="528"/>
      <c r="BC903" s="528"/>
      <c r="BD903" s="528"/>
      <c r="BE903" s="528"/>
      <c r="BF903" s="528"/>
      <c r="BG903" s="528"/>
      <c r="BH903" s="528"/>
    </row>
    <row r="904">
      <c r="A904" s="179"/>
      <c r="B904" s="549"/>
      <c r="C904" s="181"/>
      <c r="D904" s="181"/>
      <c r="E904" s="181"/>
      <c r="F904" s="179"/>
      <c r="G904" s="549"/>
      <c r="H904" s="181"/>
      <c r="I904" s="181"/>
      <c r="J904" s="181"/>
      <c r="K904" s="156"/>
      <c r="L904" s="549"/>
      <c r="M904" s="181"/>
      <c r="N904" s="181"/>
      <c r="O904" s="181"/>
      <c r="P904" s="156"/>
      <c r="Q904" s="562"/>
      <c r="R904" s="181"/>
      <c r="S904" s="181"/>
      <c r="T904" s="181"/>
      <c r="U904" s="179"/>
      <c r="V904" s="549"/>
      <c r="W904" s="181"/>
      <c r="X904" s="181"/>
      <c r="Y904" s="181"/>
      <c r="Z904" s="179"/>
      <c r="AA904" s="549"/>
      <c r="AB904" s="181"/>
      <c r="AC904" s="181"/>
      <c r="AD904" s="181"/>
      <c r="AE904" s="179"/>
      <c r="AF904" s="549"/>
      <c r="AG904" s="181"/>
      <c r="AH904" s="181"/>
      <c r="AI904" s="181"/>
      <c r="AJ904" s="179"/>
      <c r="AK904" s="549"/>
      <c r="AL904" s="181"/>
      <c r="AM904" s="181"/>
      <c r="AN904" s="181"/>
      <c r="AO904" s="179"/>
      <c r="AP904" s="549"/>
      <c r="AQ904" s="181"/>
      <c r="AR904" s="181"/>
      <c r="AS904" s="181"/>
      <c r="AT904" s="528"/>
      <c r="AU904" s="528"/>
      <c r="AV904" s="528"/>
      <c r="AW904" s="528"/>
      <c r="AX904" s="528"/>
      <c r="AY904" s="528"/>
      <c r="AZ904" s="528"/>
      <c r="BA904" s="528"/>
      <c r="BB904" s="528"/>
      <c r="BC904" s="528"/>
      <c r="BD904" s="528"/>
      <c r="BE904" s="528"/>
      <c r="BF904" s="528"/>
      <c r="BG904" s="528"/>
      <c r="BH904" s="528"/>
    </row>
    <row r="905">
      <c r="A905" s="179"/>
      <c r="B905" s="549"/>
      <c r="C905" s="181"/>
      <c r="D905" s="181"/>
      <c r="E905" s="181"/>
      <c r="F905" s="179"/>
      <c r="G905" s="549"/>
      <c r="H905" s="181"/>
      <c r="I905" s="181"/>
      <c r="J905" s="181"/>
      <c r="K905" s="156"/>
      <c r="L905" s="549"/>
      <c r="M905" s="181"/>
      <c r="N905" s="181"/>
      <c r="O905" s="181"/>
      <c r="P905" s="156"/>
      <c r="Q905" s="562"/>
      <c r="R905" s="181"/>
      <c r="S905" s="181"/>
      <c r="T905" s="181"/>
      <c r="U905" s="179"/>
      <c r="V905" s="549"/>
      <c r="W905" s="181"/>
      <c r="X905" s="181"/>
      <c r="Y905" s="181"/>
      <c r="Z905" s="179"/>
      <c r="AA905" s="549"/>
      <c r="AB905" s="181"/>
      <c r="AC905" s="181"/>
      <c r="AD905" s="181"/>
      <c r="AE905" s="179"/>
      <c r="AF905" s="549"/>
      <c r="AG905" s="181"/>
      <c r="AH905" s="181"/>
      <c r="AI905" s="181"/>
      <c r="AJ905" s="179"/>
      <c r="AK905" s="549"/>
      <c r="AL905" s="181"/>
      <c r="AM905" s="181"/>
      <c r="AN905" s="181"/>
      <c r="AO905" s="179"/>
      <c r="AP905" s="549"/>
      <c r="AQ905" s="181"/>
      <c r="AR905" s="181"/>
      <c r="AS905" s="181"/>
      <c r="AT905" s="528"/>
      <c r="AU905" s="528"/>
      <c r="AV905" s="528"/>
      <c r="AW905" s="528"/>
      <c r="AX905" s="528"/>
      <c r="AY905" s="528"/>
      <c r="AZ905" s="528"/>
      <c r="BA905" s="528"/>
      <c r="BB905" s="528"/>
      <c r="BC905" s="528"/>
      <c r="BD905" s="528"/>
      <c r="BE905" s="528"/>
      <c r="BF905" s="528"/>
      <c r="BG905" s="528"/>
      <c r="BH905" s="528"/>
    </row>
    <row r="906">
      <c r="A906" s="179"/>
      <c r="B906" s="549"/>
      <c r="C906" s="181"/>
      <c r="D906" s="181"/>
      <c r="E906" s="181"/>
      <c r="F906" s="179"/>
      <c r="G906" s="549"/>
      <c r="H906" s="181"/>
      <c r="I906" s="181"/>
      <c r="J906" s="181"/>
      <c r="K906" s="156"/>
      <c r="L906" s="549"/>
      <c r="M906" s="181"/>
      <c r="N906" s="181"/>
      <c r="O906" s="181"/>
      <c r="P906" s="156"/>
      <c r="Q906" s="562"/>
      <c r="R906" s="181"/>
      <c r="S906" s="181"/>
      <c r="T906" s="181"/>
      <c r="U906" s="179"/>
      <c r="V906" s="549"/>
      <c r="W906" s="181"/>
      <c r="X906" s="181"/>
      <c r="Y906" s="181"/>
      <c r="Z906" s="179"/>
      <c r="AA906" s="549"/>
      <c r="AB906" s="181"/>
      <c r="AC906" s="181"/>
      <c r="AD906" s="181"/>
      <c r="AE906" s="179"/>
      <c r="AF906" s="549"/>
      <c r="AG906" s="181"/>
      <c r="AH906" s="181"/>
      <c r="AI906" s="181"/>
      <c r="AJ906" s="179"/>
      <c r="AK906" s="549"/>
      <c r="AL906" s="181"/>
      <c r="AM906" s="181"/>
      <c r="AN906" s="181"/>
      <c r="AO906" s="179"/>
      <c r="AP906" s="549"/>
      <c r="AQ906" s="181"/>
      <c r="AR906" s="181"/>
      <c r="AS906" s="181"/>
      <c r="AT906" s="528"/>
      <c r="AU906" s="528"/>
      <c r="AV906" s="528"/>
      <c r="AW906" s="528"/>
      <c r="AX906" s="528"/>
      <c r="AY906" s="528"/>
      <c r="AZ906" s="528"/>
      <c r="BA906" s="528"/>
      <c r="BB906" s="528"/>
      <c r="BC906" s="528"/>
      <c r="BD906" s="528"/>
      <c r="BE906" s="528"/>
      <c r="BF906" s="528"/>
      <c r="BG906" s="528"/>
      <c r="BH906" s="528"/>
    </row>
    <row r="907">
      <c r="A907" s="179"/>
      <c r="B907" s="549"/>
      <c r="C907" s="181"/>
      <c r="D907" s="181"/>
      <c r="E907" s="181"/>
      <c r="F907" s="179"/>
      <c r="G907" s="549"/>
      <c r="H907" s="181"/>
      <c r="I907" s="181"/>
      <c r="J907" s="181"/>
      <c r="K907" s="156"/>
      <c r="L907" s="549"/>
      <c r="M907" s="181"/>
      <c r="N907" s="181"/>
      <c r="O907" s="181"/>
      <c r="P907" s="156"/>
      <c r="Q907" s="562"/>
      <c r="R907" s="181"/>
      <c r="S907" s="181"/>
      <c r="T907" s="181"/>
      <c r="U907" s="179"/>
      <c r="V907" s="549"/>
      <c r="W907" s="181"/>
      <c r="X907" s="181"/>
      <c r="Y907" s="181"/>
      <c r="Z907" s="179"/>
      <c r="AA907" s="549"/>
      <c r="AB907" s="181"/>
      <c r="AC907" s="181"/>
      <c r="AD907" s="181"/>
      <c r="AE907" s="179"/>
      <c r="AF907" s="549"/>
      <c r="AG907" s="181"/>
      <c r="AH907" s="181"/>
      <c r="AI907" s="181"/>
      <c r="AJ907" s="179"/>
      <c r="AK907" s="549"/>
      <c r="AL907" s="181"/>
      <c r="AM907" s="181"/>
      <c r="AN907" s="181"/>
      <c r="AO907" s="179"/>
      <c r="AP907" s="549"/>
      <c r="AQ907" s="181"/>
      <c r="AR907" s="181"/>
      <c r="AS907" s="181"/>
      <c r="AT907" s="528"/>
      <c r="AU907" s="528"/>
      <c r="AV907" s="528"/>
      <c r="AW907" s="528"/>
      <c r="AX907" s="528"/>
      <c r="AY907" s="528"/>
      <c r="AZ907" s="528"/>
      <c r="BA907" s="528"/>
      <c r="BB907" s="528"/>
      <c r="BC907" s="528"/>
      <c r="BD907" s="528"/>
      <c r="BE907" s="528"/>
      <c r="BF907" s="528"/>
      <c r="BG907" s="528"/>
      <c r="BH907" s="528"/>
    </row>
    <row r="908">
      <c r="A908" s="179"/>
      <c r="B908" s="549"/>
      <c r="C908" s="181"/>
      <c r="D908" s="181"/>
      <c r="E908" s="181"/>
      <c r="F908" s="179"/>
      <c r="G908" s="549"/>
      <c r="H908" s="181"/>
      <c r="I908" s="181"/>
      <c r="J908" s="181"/>
      <c r="K908" s="156"/>
      <c r="L908" s="549"/>
      <c r="M908" s="181"/>
      <c r="N908" s="181"/>
      <c r="O908" s="181"/>
      <c r="P908" s="156"/>
      <c r="Q908" s="562"/>
      <c r="R908" s="181"/>
      <c r="S908" s="181"/>
      <c r="T908" s="181"/>
      <c r="U908" s="179"/>
      <c r="V908" s="549"/>
      <c r="W908" s="181"/>
      <c r="X908" s="181"/>
      <c r="Y908" s="181"/>
      <c r="Z908" s="179"/>
      <c r="AA908" s="549"/>
      <c r="AB908" s="181"/>
      <c r="AC908" s="181"/>
      <c r="AD908" s="181"/>
      <c r="AE908" s="179"/>
      <c r="AF908" s="549"/>
      <c r="AG908" s="181"/>
      <c r="AH908" s="181"/>
      <c r="AI908" s="181"/>
      <c r="AJ908" s="179"/>
      <c r="AK908" s="549"/>
      <c r="AL908" s="181"/>
      <c r="AM908" s="181"/>
      <c r="AN908" s="181"/>
      <c r="AO908" s="179"/>
      <c r="AP908" s="549"/>
      <c r="AQ908" s="181"/>
      <c r="AR908" s="181"/>
      <c r="AS908" s="181"/>
      <c r="AT908" s="528"/>
      <c r="AU908" s="528"/>
      <c r="AV908" s="528"/>
      <c r="AW908" s="528"/>
      <c r="AX908" s="528"/>
      <c r="AY908" s="528"/>
      <c r="AZ908" s="528"/>
      <c r="BA908" s="528"/>
      <c r="BB908" s="528"/>
      <c r="BC908" s="528"/>
      <c r="BD908" s="528"/>
      <c r="BE908" s="528"/>
      <c r="BF908" s="528"/>
      <c r="BG908" s="528"/>
      <c r="BH908" s="528"/>
    </row>
    <row r="909">
      <c r="A909" s="179"/>
      <c r="B909" s="549"/>
      <c r="C909" s="181"/>
      <c r="D909" s="181"/>
      <c r="E909" s="181"/>
      <c r="F909" s="179"/>
      <c r="G909" s="549"/>
      <c r="H909" s="181"/>
      <c r="I909" s="181"/>
      <c r="J909" s="181"/>
      <c r="K909" s="156"/>
      <c r="L909" s="549"/>
      <c r="M909" s="181"/>
      <c r="N909" s="181"/>
      <c r="O909" s="181"/>
      <c r="P909" s="156"/>
      <c r="Q909" s="562"/>
      <c r="R909" s="181"/>
      <c r="S909" s="181"/>
      <c r="T909" s="181"/>
      <c r="U909" s="179"/>
      <c r="V909" s="549"/>
      <c r="W909" s="181"/>
      <c r="X909" s="181"/>
      <c r="Y909" s="181"/>
      <c r="Z909" s="179"/>
      <c r="AA909" s="549"/>
      <c r="AB909" s="181"/>
      <c r="AC909" s="181"/>
      <c r="AD909" s="181"/>
      <c r="AE909" s="179"/>
      <c r="AF909" s="549"/>
      <c r="AG909" s="181"/>
      <c r="AH909" s="181"/>
      <c r="AI909" s="181"/>
      <c r="AJ909" s="179"/>
      <c r="AK909" s="549"/>
      <c r="AL909" s="181"/>
      <c r="AM909" s="181"/>
      <c r="AN909" s="181"/>
      <c r="AO909" s="179"/>
      <c r="AP909" s="549"/>
      <c r="AQ909" s="181"/>
      <c r="AR909" s="181"/>
      <c r="AS909" s="181"/>
      <c r="AT909" s="528"/>
      <c r="AU909" s="528"/>
      <c r="AV909" s="528"/>
      <c r="AW909" s="528"/>
      <c r="AX909" s="528"/>
      <c r="AY909" s="528"/>
      <c r="AZ909" s="528"/>
      <c r="BA909" s="528"/>
      <c r="BB909" s="528"/>
      <c r="BC909" s="528"/>
      <c r="BD909" s="528"/>
      <c r="BE909" s="528"/>
      <c r="BF909" s="528"/>
      <c r="BG909" s="528"/>
      <c r="BH909" s="528"/>
    </row>
    <row r="910">
      <c r="A910" s="179"/>
      <c r="B910" s="549"/>
      <c r="C910" s="181"/>
      <c r="D910" s="181"/>
      <c r="E910" s="181"/>
      <c r="F910" s="179"/>
      <c r="G910" s="549"/>
      <c r="H910" s="181"/>
      <c r="I910" s="181"/>
      <c r="J910" s="181"/>
      <c r="K910" s="156"/>
      <c r="L910" s="549"/>
      <c r="M910" s="181"/>
      <c r="N910" s="181"/>
      <c r="O910" s="181"/>
      <c r="P910" s="156"/>
      <c r="Q910" s="562"/>
      <c r="R910" s="181"/>
      <c r="S910" s="181"/>
      <c r="T910" s="181"/>
      <c r="U910" s="179"/>
      <c r="V910" s="549"/>
      <c r="W910" s="181"/>
      <c r="X910" s="181"/>
      <c r="Y910" s="181"/>
      <c r="Z910" s="179"/>
      <c r="AA910" s="549"/>
      <c r="AB910" s="181"/>
      <c r="AC910" s="181"/>
      <c r="AD910" s="181"/>
      <c r="AE910" s="179"/>
      <c r="AF910" s="549"/>
      <c r="AG910" s="181"/>
      <c r="AH910" s="181"/>
      <c r="AI910" s="181"/>
      <c r="AJ910" s="179"/>
      <c r="AK910" s="549"/>
      <c r="AL910" s="181"/>
      <c r="AM910" s="181"/>
      <c r="AN910" s="181"/>
      <c r="AO910" s="179"/>
      <c r="AP910" s="549"/>
      <c r="AQ910" s="181"/>
      <c r="AR910" s="181"/>
      <c r="AS910" s="181"/>
      <c r="AT910" s="528"/>
      <c r="AU910" s="528"/>
      <c r="AV910" s="528"/>
      <c r="AW910" s="528"/>
      <c r="AX910" s="528"/>
      <c r="AY910" s="528"/>
      <c r="AZ910" s="528"/>
      <c r="BA910" s="528"/>
      <c r="BB910" s="528"/>
      <c r="BC910" s="528"/>
      <c r="BD910" s="528"/>
      <c r="BE910" s="528"/>
      <c r="BF910" s="528"/>
      <c r="BG910" s="528"/>
      <c r="BH910" s="528"/>
    </row>
    <row r="911">
      <c r="A911" s="179"/>
      <c r="B911" s="549"/>
      <c r="C911" s="181"/>
      <c r="D911" s="181"/>
      <c r="E911" s="181"/>
      <c r="F911" s="179"/>
      <c r="G911" s="549"/>
      <c r="H911" s="181"/>
      <c r="I911" s="181"/>
      <c r="J911" s="181"/>
      <c r="K911" s="156"/>
      <c r="L911" s="549"/>
      <c r="M911" s="181"/>
      <c r="N911" s="181"/>
      <c r="O911" s="181"/>
      <c r="P911" s="156"/>
      <c r="Q911" s="562"/>
      <c r="R911" s="181"/>
      <c r="S911" s="181"/>
      <c r="T911" s="181"/>
      <c r="U911" s="179"/>
      <c r="V911" s="549"/>
      <c r="W911" s="181"/>
      <c r="X911" s="181"/>
      <c r="Y911" s="181"/>
      <c r="Z911" s="179"/>
      <c r="AA911" s="549"/>
      <c r="AB911" s="181"/>
      <c r="AC911" s="181"/>
      <c r="AD911" s="181"/>
      <c r="AE911" s="179"/>
      <c r="AF911" s="549"/>
      <c r="AG911" s="181"/>
      <c r="AH911" s="181"/>
      <c r="AI911" s="181"/>
      <c r="AJ911" s="179"/>
      <c r="AK911" s="549"/>
      <c r="AL911" s="181"/>
      <c r="AM911" s="181"/>
      <c r="AN911" s="181"/>
      <c r="AO911" s="179"/>
      <c r="AP911" s="549"/>
      <c r="AQ911" s="181"/>
      <c r="AR911" s="181"/>
      <c r="AS911" s="181"/>
      <c r="AT911" s="528"/>
      <c r="AU911" s="528"/>
      <c r="AV911" s="528"/>
      <c r="AW911" s="528"/>
      <c r="AX911" s="528"/>
      <c r="AY911" s="528"/>
      <c r="AZ911" s="528"/>
      <c r="BA911" s="528"/>
      <c r="BB911" s="528"/>
      <c r="BC911" s="528"/>
      <c r="BD911" s="528"/>
      <c r="BE911" s="528"/>
      <c r="BF911" s="528"/>
      <c r="BG911" s="528"/>
      <c r="BH911" s="528"/>
    </row>
    <row r="912">
      <c r="A912" s="179"/>
      <c r="B912" s="549"/>
      <c r="C912" s="181"/>
      <c r="D912" s="181"/>
      <c r="E912" s="181"/>
      <c r="F912" s="179"/>
      <c r="G912" s="549"/>
      <c r="H912" s="181"/>
      <c r="I912" s="181"/>
      <c r="J912" s="181"/>
      <c r="K912" s="156"/>
      <c r="L912" s="549"/>
      <c r="M912" s="181"/>
      <c r="N912" s="181"/>
      <c r="O912" s="181"/>
      <c r="P912" s="156"/>
      <c r="Q912" s="562"/>
      <c r="R912" s="181"/>
      <c r="S912" s="181"/>
      <c r="T912" s="181"/>
      <c r="U912" s="179"/>
      <c r="V912" s="549"/>
      <c r="W912" s="181"/>
      <c r="X912" s="181"/>
      <c r="Y912" s="181"/>
      <c r="Z912" s="179"/>
      <c r="AA912" s="549"/>
      <c r="AB912" s="181"/>
      <c r="AC912" s="181"/>
      <c r="AD912" s="181"/>
      <c r="AE912" s="179"/>
      <c r="AF912" s="549"/>
      <c r="AG912" s="181"/>
      <c r="AH912" s="181"/>
      <c r="AI912" s="181"/>
      <c r="AJ912" s="179"/>
      <c r="AK912" s="549"/>
      <c r="AL912" s="181"/>
      <c r="AM912" s="181"/>
      <c r="AN912" s="181"/>
      <c r="AO912" s="179"/>
      <c r="AP912" s="549"/>
      <c r="AQ912" s="181"/>
      <c r="AR912" s="181"/>
      <c r="AS912" s="181"/>
      <c r="AT912" s="528"/>
      <c r="AU912" s="528"/>
      <c r="AV912" s="528"/>
      <c r="AW912" s="528"/>
      <c r="AX912" s="528"/>
      <c r="AY912" s="528"/>
      <c r="AZ912" s="528"/>
      <c r="BA912" s="528"/>
      <c r="BB912" s="528"/>
      <c r="BC912" s="528"/>
      <c r="BD912" s="528"/>
      <c r="BE912" s="528"/>
      <c r="BF912" s="528"/>
      <c r="BG912" s="528"/>
      <c r="BH912" s="528"/>
    </row>
    <row r="913">
      <c r="A913" s="179"/>
      <c r="B913" s="549"/>
      <c r="C913" s="181"/>
      <c r="D913" s="181"/>
      <c r="E913" s="181"/>
      <c r="F913" s="179"/>
      <c r="G913" s="549"/>
      <c r="H913" s="181"/>
      <c r="I913" s="181"/>
      <c r="J913" s="181"/>
      <c r="K913" s="156"/>
      <c r="L913" s="549"/>
      <c r="M913" s="181"/>
      <c r="N913" s="181"/>
      <c r="O913" s="181"/>
      <c r="P913" s="156"/>
      <c r="Q913" s="562"/>
      <c r="R913" s="181"/>
      <c r="S913" s="181"/>
      <c r="T913" s="181"/>
      <c r="U913" s="179"/>
      <c r="V913" s="549"/>
      <c r="W913" s="181"/>
      <c r="X913" s="181"/>
      <c r="Y913" s="181"/>
      <c r="Z913" s="179"/>
      <c r="AA913" s="549"/>
      <c r="AB913" s="181"/>
      <c r="AC913" s="181"/>
      <c r="AD913" s="181"/>
      <c r="AE913" s="179"/>
      <c r="AF913" s="549"/>
      <c r="AG913" s="181"/>
      <c r="AH913" s="181"/>
      <c r="AI913" s="181"/>
      <c r="AJ913" s="179"/>
      <c r="AK913" s="549"/>
      <c r="AL913" s="181"/>
      <c r="AM913" s="181"/>
      <c r="AN913" s="181"/>
      <c r="AO913" s="179"/>
      <c r="AP913" s="549"/>
      <c r="AQ913" s="181"/>
      <c r="AR913" s="181"/>
      <c r="AS913" s="181"/>
      <c r="AT913" s="528"/>
      <c r="AU913" s="528"/>
      <c r="AV913" s="528"/>
      <c r="AW913" s="528"/>
      <c r="AX913" s="528"/>
      <c r="AY913" s="528"/>
      <c r="AZ913" s="528"/>
      <c r="BA913" s="528"/>
      <c r="BB913" s="528"/>
      <c r="BC913" s="528"/>
      <c r="BD913" s="528"/>
      <c r="BE913" s="528"/>
      <c r="BF913" s="528"/>
      <c r="BG913" s="528"/>
      <c r="BH913" s="528"/>
    </row>
    <row r="914">
      <c r="A914" s="179"/>
      <c r="B914" s="549"/>
      <c r="C914" s="181"/>
      <c r="D914" s="181"/>
      <c r="E914" s="181"/>
      <c r="F914" s="179"/>
      <c r="G914" s="549"/>
      <c r="H914" s="181"/>
      <c r="I914" s="181"/>
      <c r="J914" s="181"/>
      <c r="K914" s="156"/>
      <c r="L914" s="549"/>
      <c r="M914" s="181"/>
      <c r="N914" s="181"/>
      <c r="O914" s="181"/>
      <c r="P914" s="156"/>
      <c r="Q914" s="562"/>
      <c r="R914" s="181"/>
      <c r="S914" s="181"/>
      <c r="T914" s="181"/>
      <c r="U914" s="179"/>
      <c r="V914" s="549"/>
      <c r="W914" s="181"/>
      <c r="X914" s="181"/>
      <c r="Y914" s="181"/>
      <c r="Z914" s="179"/>
      <c r="AA914" s="549"/>
      <c r="AB914" s="181"/>
      <c r="AC914" s="181"/>
      <c r="AD914" s="181"/>
      <c r="AE914" s="179"/>
      <c r="AF914" s="549"/>
      <c r="AG914" s="181"/>
      <c r="AH914" s="181"/>
      <c r="AI914" s="181"/>
      <c r="AJ914" s="179"/>
      <c r="AK914" s="549"/>
      <c r="AL914" s="181"/>
      <c r="AM914" s="181"/>
      <c r="AN914" s="181"/>
      <c r="AO914" s="179"/>
      <c r="AP914" s="549"/>
      <c r="AQ914" s="181"/>
      <c r="AR914" s="181"/>
      <c r="AS914" s="181"/>
      <c r="AT914" s="528"/>
      <c r="AU914" s="528"/>
      <c r="AV914" s="528"/>
      <c r="AW914" s="528"/>
      <c r="AX914" s="528"/>
      <c r="AY914" s="528"/>
      <c r="AZ914" s="528"/>
      <c r="BA914" s="528"/>
      <c r="BB914" s="528"/>
      <c r="BC914" s="528"/>
      <c r="BD914" s="528"/>
      <c r="BE914" s="528"/>
      <c r="BF914" s="528"/>
      <c r="BG914" s="528"/>
      <c r="BH914" s="528"/>
    </row>
    <row r="915">
      <c r="A915" s="179"/>
      <c r="B915" s="549"/>
      <c r="C915" s="181"/>
      <c r="D915" s="181"/>
      <c r="E915" s="181"/>
      <c r="F915" s="179"/>
      <c r="G915" s="549"/>
      <c r="H915" s="181"/>
      <c r="I915" s="181"/>
      <c r="J915" s="181"/>
      <c r="K915" s="156"/>
      <c r="L915" s="549"/>
      <c r="M915" s="181"/>
      <c r="N915" s="181"/>
      <c r="O915" s="181"/>
      <c r="P915" s="156"/>
      <c r="Q915" s="562"/>
      <c r="R915" s="181"/>
      <c r="S915" s="181"/>
      <c r="T915" s="181"/>
      <c r="U915" s="179"/>
      <c r="V915" s="549"/>
      <c r="W915" s="181"/>
      <c r="X915" s="181"/>
      <c r="Y915" s="181"/>
      <c r="Z915" s="179"/>
      <c r="AA915" s="549"/>
      <c r="AB915" s="181"/>
      <c r="AC915" s="181"/>
      <c r="AD915" s="181"/>
      <c r="AE915" s="179"/>
      <c r="AF915" s="549"/>
      <c r="AG915" s="181"/>
      <c r="AH915" s="181"/>
      <c r="AI915" s="181"/>
      <c r="AJ915" s="179"/>
      <c r="AK915" s="549"/>
      <c r="AL915" s="181"/>
      <c r="AM915" s="181"/>
      <c r="AN915" s="181"/>
      <c r="AO915" s="179"/>
      <c r="AP915" s="549"/>
      <c r="AQ915" s="181"/>
      <c r="AR915" s="181"/>
      <c r="AS915" s="181"/>
      <c r="AT915" s="528"/>
      <c r="AU915" s="528"/>
      <c r="AV915" s="528"/>
      <c r="AW915" s="528"/>
      <c r="AX915" s="528"/>
      <c r="AY915" s="528"/>
      <c r="AZ915" s="528"/>
      <c r="BA915" s="528"/>
      <c r="BB915" s="528"/>
      <c r="BC915" s="528"/>
      <c r="BD915" s="528"/>
      <c r="BE915" s="528"/>
      <c r="BF915" s="528"/>
      <c r="BG915" s="528"/>
      <c r="BH915" s="528"/>
    </row>
    <row r="916">
      <c r="A916" s="179"/>
      <c r="B916" s="549"/>
      <c r="C916" s="181"/>
      <c r="D916" s="181"/>
      <c r="E916" s="181"/>
      <c r="F916" s="179"/>
      <c r="G916" s="549"/>
      <c r="H916" s="181"/>
      <c r="I916" s="181"/>
      <c r="J916" s="181"/>
      <c r="K916" s="156"/>
      <c r="L916" s="549"/>
      <c r="M916" s="181"/>
      <c r="N916" s="181"/>
      <c r="O916" s="181"/>
      <c r="P916" s="156"/>
      <c r="Q916" s="562"/>
      <c r="R916" s="181"/>
      <c r="S916" s="181"/>
      <c r="T916" s="181"/>
      <c r="U916" s="179"/>
      <c r="V916" s="549"/>
      <c r="W916" s="181"/>
      <c r="X916" s="181"/>
      <c r="Y916" s="181"/>
      <c r="Z916" s="179"/>
      <c r="AA916" s="549"/>
      <c r="AB916" s="181"/>
      <c r="AC916" s="181"/>
      <c r="AD916" s="181"/>
      <c r="AE916" s="179"/>
      <c r="AF916" s="549"/>
      <c r="AG916" s="181"/>
      <c r="AH916" s="181"/>
      <c r="AI916" s="181"/>
      <c r="AJ916" s="179"/>
      <c r="AK916" s="549"/>
      <c r="AL916" s="181"/>
      <c r="AM916" s="181"/>
      <c r="AN916" s="181"/>
      <c r="AO916" s="179"/>
      <c r="AP916" s="549"/>
      <c r="AQ916" s="181"/>
      <c r="AR916" s="181"/>
      <c r="AS916" s="181"/>
      <c r="AT916" s="528"/>
      <c r="AU916" s="528"/>
      <c r="AV916" s="528"/>
      <c r="AW916" s="528"/>
      <c r="AX916" s="528"/>
      <c r="AY916" s="528"/>
      <c r="AZ916" s="528"/>
      <c r="BA916" s="528"/>
      <c r="BB916" s="528"/>
      <c r="BC916" s="528"/>
      <c r="BD916" s="528"/>
      <c r="BE916" s="528"/>
      <c r="BF916" s="528"/>
      <c r="BG916" s="528"/>
      <c r="BH916" s="528"/>
    </row>
    <row r="917">
      <c r="A917" s="179"/>
      <c r="B917" s="549"/>
      <c r="C917" s="181"/>
      <c r="D917" s="181"/>
      <c r="E917" s="181"/>
      <c r="F917" s="179"/>
      <c r="G917" s="549"/>
      <c r="H917" s="181"/>
      <c r="I917" s="181"/>
      <c r="J917" s="181"/>
      <c r="K917" s="156"/>
      <c r="L917" s="549"/>
      <c r="M917" s="181"/>
      <c r="N917" s="181"/>
      <c r="O917" s="181"/>
      <c r="P917" s="156"/>
      <c r="Q917" s="562"/>
      <c r="R917" s="181"/>
      <c r="S917" s="181"/>
      <c r="T917" s="181"/>
      <c r="U917" s="179"/>
      <c r="V917" s="549"/>
      <c r="W917" s="181"/>
      <c r="X917" s="181"/>
      <c r="Y917" s="181"/>
      <c r="Z917" s="179"/>
      <c r="AA917" s="549"/>
      <c r="AB917" s="181"/>
      <c r="AC917" s="181"/>
      <c r="AD917" s="181"/>
      <c r="AE917" s="179"/>
      <c r="AF917" s="549"/>
      <c r="AG917" s="181"/>
      <c r="AH917" s="181"/>
      <c r="AI917" s="181"/>
      <c r="AJ917" s="179"/>
      <c r="AK917" s="549"/>
      <c r="AL917" s="181"/>
      <c r="AM917" s="181"/>
      <c r="AN917" s="181"/>
      <c r="AO917" s="179"/>
      <c r="AP917" s="549"/>
      <c r="AQ917" s="181"/>
      <c r="AR917" s="181"/>
      <c r="AS917" s="181"/>
      <c r="AT917" s="528"/>
      <c r="AU917" s="528"/>
      <c r="AV917" s="528"/>
      <c r="AW917" s="528"/>
      <c r="AX917" s="528"/>
      <c r="AY917" s="528"/>
      <c r="AZ917" s="528"/>
      <c r="BA917" s="528"/>
      <c r="BB917" s="528"/>
      <c r="BC917" s="528"/>
      <c r="BD917" s="528"/>
      <c r="BE917" s="528"/>
      <c r="BF917" s="528"/>
      <c r="BG917" s="528"/>
      <c r="BH917" s="528"/>
    </row>
    <row r="918">
      <c r="A918" s="179"/>
      <c r="B918" s="549"/>
      <c r="C918" s="181"/>
      <c r="D918" s="181"/>
      <c r="E918" s="181"/>
      <c r="F918" s="179"/>
      <c r="G918" s="549"/>
      <c r="H918" s="181"/>
      <c r="I918" s="181"/>
      <c r="J918" s="181"/>
      <c r="K918" s="156"/>
      <c r="L918" s="549"/>
      <c r="M918" s="181"/>
      <c r="N918" s="181"/>
      <c r="O918" s="181"/>
      <c r="P918" s="156"/>
      <c r="Q918" s="562"/>
      <c r="R918" s="181"/>
      <c r="S918" s="181"/>
      <c r="T918" s="181"/>
      <c r="U918" s="179"/>
      <c r="V918" s="549"/>
      <c r="W918" s="181"/>
      <c r="X918" s="181"/>
      <c r="Y918" s="181"/>
      <c r="Z918" s="179"/>
      <c r="AA918" s="549"/>
      <c r="AB918" s="181"/>
      <c r="AC918" s="181"/>
      <c r="AD918" s="181"/>
      <c r="AE918" s="179"/>
      <c r="AF918" s="549"/>
      <c r="AG918" s="181"/>
      <c r="AH918" s="181"/>
      <c r="AI918" s="181"/>
      <c r="AJ918" s="179"/>
      <c r="AK918" s="549"/>
      <c r="AL918" s="181"/>
      <c r="AM918" s="181"/>
      <c r="AN918" s="181"/>
      <c r="AO918" s="179"/>
      <c r="AP918" s="549"/>
      <c r="AQ918" s="181"/>
      <c r="AR918" s="181"/>
      <c r="AS918" s="181"/>
      <c r="AT918" s="528"/>
      <c r="AU918" s="528"/>
      <c r="AV918" s="528"/>
      <c r="AW918" s="528"/>
      <c r="AX918" s="528"/>
      <c r="AY918" s="528"/>
      <c r="AZ918" s="528"/>
      <c r="BA918" s="528"/>
      <c r="BB918" s="528"/>
      <c r="BC918" s="528"/>
      <c r="BD918" s="528"/>
      <c r="BE918" s="528"/>
      <c r="BF918" s="528"/>
      <c r="BG918" s="528"/>
      <c r="BH918" s="528"/>
    </row>
    <row r="919">
      <c r="A919" s="179"/>
      <c r="B919" s="549"/>
      <c r="C919" s="181"/>
      <c r="D919" s="181"/>
      <c r="E919" s="181"/>
      <c r="F919" s="179"/>
      <c r="G919" s="549"/>
      <c r="H919" s="181"/>
      <c r="I919" s="181"/>
      <c r="J919" s="181"/>
      <c r="K919" s="156"/>
      <c r="L919" s="549"/>
      <c r="M919" s="181"/>
      <c r="N919" s="181"/>
      <c r="O919" s="181"/>
      <c r="P919" s="156"/>
      <c r="Q919" s="562"/>
      <c r="R919" s="181"/>
      <c r="S919" s="181"/>
      <c r="T919" s="181"/>
      <c r="U919" s="179"/>
      <c r="V919" s="549"/>
      <c r="W919" s="181"/>
      <c r="X919" s="181"/>
      <c r="Y919" s="181"/>
      <c r="Z919" s="179"/>
      <c r="AA919" s="549"/>
      <c r="AB919" s="181"/>
      <c r="AC919" s="181"/>
      <c r="AD919" s="181"/>
      <c r="AE919" s="179"/>
      <c r="AF919" s="549"/>
      <c r="AG919" s="181"/>
      <c r="AH919" s="181"/>
      <c r="AI919" s="181"/>
      <c r="AJ919" s="179"/>
      <c r="AK919" s="549"/>
      <c r="AL919" s="181"/>
      <c r="AM919" s="181"/>
      <c r="AN919" s="181"/>
      <c r="AO919" s="179"/>
      <c r="AP919" s="549"/>
      <c r="AQ919" s="181"/>
      <c r="AR919" s="181"/>
      <c r="AS919" s="181"/>
      <c r="AT919" s="528"/>
      <c r="AU919" s="528"/>
      <c r="AV919" s="528"/>
      <c r="AW919" s="528"/>
      <c r="AX919" s="528"/>
      <c r="AY919" s="528"/>
      <c r="AZ919" s="528"/>
      <c r="BA919" s="528"/>
      <c r="BB919" s="528"/>
      <c r="BC919" s="528"/>
      <c r="BD919" s="528"/>
      <c r="BE919" s="528"/>
      <c r="BF919" s="528"/>
      <c r="BG919" s="528"/>
      <c r="BH919" s="528"/>
    </row>
    <row r="920">
      <c r="A920" s="179"/>
      <c r="B920" s="549"/>
      <c r="C920" s="181"/>
      <c r="D920" s="181"/>
      <c r="E920" s="181"/>
      <c r="F920" s="179"/>
      <c r="G920" s="549"/>
      <c r="H920" s="181"/>
      <c r="I920" s="181"/>
      <c r="J920" s="181"/>
      <c r="K920" s="156"/>
      <c r="L920" s="549"/>
      <c r="M920" s="181"/>
      <c r="N920" s="181"/>
      <c r="O920" s="181"/>
      <c r="P920" s="156"/>
      <c r="Q920" s="562"/>
      <c r="R920" s="181"/>
      <c r="S920" s="181"/>
      <c r="T920" s="181"/>
      <c r="U920" s="179"/>
      <c r="V920" s="549"/>
      <c r="W920" s="181"/>
      <c r="X920" s="181"/>
      <c r="Y920" s="181"/>
      <c r="Z920" s="179"/>
      <c r="AA920" s="549"/>
      <c r="AB920" s="181"/>
      <c r="AC920" s="181"/>
      <c r="AD920" s="181"/>
      <c r="AE920" s="179"/>
      <c r="AF920" s="549"/>
      <c r="AG920" s="181"/>
      <c r="AH920" s="181"/>
      <c r="AI920" s="181"/>
      <c r="AJ920" s="179"/>
      <c r="AK920" s="549"/>
      <c r="AL920" s="181"/>
      <c r="AM920" s="181"/>
      <c r="AN920" s="181"/>
      <c r="AO920" s="179"/>
      <c r="AP920" s="549"/>
      <c r="AQ920" s="181"/>
      <c r="AR920" s="181"/>
      <c r="AS920" s="181"/>
      <c r="AT920" s="528"/>
      <c r="AU920" s="528"/>
      <c r="AV920" s="528"/>
      <c r="AW920" s="528"/>
      <c r="AX920" s="528"/>
      <c r="AY920" s="528"/>
      <c r="AZ920" s="528"/>
      <c r="BA920" s="528"/>
      <c r="BB920" s="528"/>
      <c r="BC920" s="528"/>
      <c r="BD920" s="528"/>
      <c r="BE920" s="528"/>
      <c r="BF920" s="528"/>
      <c r="BG920" s="528"/>
      <c r="BH920" s="528"/>
    </row>
    <row r="921">
      <c r="A921" s="179"/>
      <c r="B921" s="549"/>
      <c r="C921" s="181"/>
      <c r="D921" s="181"/>
      <c r="E921" s="181"/>
      <c r="F921" s="179"/>
      <c r="G921" s="549"/>
      <c r="H921" s="181"/>
      <c r="I921" s="181"/>
      <c r="J921" s="181"/>
      <c r="K921" s="156"/>
      <c r="L921" s="549"/>
      <c r="M921" s="181"/>
      <c r="N921" s="181"/>
      <c r="O921" s="181"/>
      <c r="P921" s="156"/>
      <c r="Q921" s="562"/>
      <c r="R921" s="181"/>
      <c r="S921" s="181"/>
      <c r="T921" s="181"/>
      <c r="U921" s="179"/>
      <c r="V921" s="549"/>
      <c r="W921" s="181"/>
      <c r="X921" s="181"/>
      <c r="Y921" s="181"/>
      <c r="Z921" s="179"/>
      <c r="AA921" s="549"/>
      <c r="AB921" s="181"/>
      <c r="AC921" s="181"/>
      <c r="AD921" s="181"/>
      <c r="AE921" s="179"/>
      <c r="AF921" s="549"/>
      <c r="AG921" s="181"/>
      <c r="AH921" s="181"/>
      <c r="AI921" s="181"/>
      <c r="AJ921" s="179"/>
      <c r="AK921" s="549"/>
      <c r="AL921" s="181"/>
      <c r="AM921" s="181"/>
      <c r="AN921" s="181"/>
      <c r="AO921" s="179"/>
      <c r="AP921" s="549"/>
      <c r="AQ921" s="181"/>
      <c r="AR921" s="181"/>
      <c r="AS921" s="181"/>
      <c r="AT921" s="528"/>
      <c r="AU921" s="528"/>
      <c r="AV921" s="528"/>
      <c r="AW921" s="528"/>
      <c r="AX921" s="528"/>
      <c r="AY921" s="528"/>
      <c r="AZ921" s="528"/>
      <c r="BA921" s="528"/>
      <c r="BB921" s="528"/>
      <c r="BC921" s="528"/>
      <c r="BD921" s="528"/>
      <c r="BE921" s="528"/>
      <c r="BF921" s="528"/>
      <c r="BG921" s="528"/>
      <c r="BH921" s="528"/>
    </row>
    <row r="922">
      <c r="A922" s="179"/>
      <c r="B922" s="549"/>
      <c r="C922" s="181"/>
      <c r="D922" s="181"/>
      <c r="E922" s="181"/>
      <c r="F922" s="179"/>
      <c r="G922" s="549"/>
      <c r="H922" s="181"/>
      <c r="I922" s="181"/>
      <c r="J922" s="181"/>
      <c r="K922" s="156"/>
      <c r="L922" s="549"/>
      <c r="M922" s="181"/>
      <c r="N922" s="181"/>
      <c r="O922" s="181"/>
      <c r="P922" s="156"/>
      <c r="Q922" s="562"/>
      <c r="R922" s="181"/>
      <c r="S922" s="181"/>
      <c r="T922" s="181"/>
      <c r="U922" s="179"/>
      <c r="V922" s="549"/>
      <c r="W922" s="181"/>
      <c r="X922" s="181"/>
      <c r="Y922" s="181"/>
      <c r="Z922" s="179"/>
      <c r="AA922" s="549"/>
      <c r="AB922" s="181"/>
      <c r="AC922" s="181"/>
      <c r="AD922" s="181"/>
      <c r="AE922" s="179"/>
      <c r="AF922" s="549"/>
      <c r="AG922" s="181"/>
      <c r="AH922" s="181"/>
      <c r="AI922" s="181"/>
      <c r="AJ922" s="179"/>
      <c r="AK922" s="549"/>
      <c r="AL922" s="181"/>
      <c r="AM922" s="181"/>
      <c r="AN922" s="181"/>
      <c r="AO922" s="179"/>
      <c r="AP922" s="549"/>
      <c r="AQ922" s="181"/>
      <c r="AR922" s="181"/>
      <c r="AS922" s="181"/>
      <c r="AT922" s="528"/>
      <c r="AU922" s="528"/>
      <c r="AV922" s="528"/>
      <c r="AW922" s="528"/>
      <c r="AX922" s="528"/>
      <c r="AY922" s="528"/>
      <c r="AZ922" s="528"/>
      <c r="BA922" s="528"/>
      <c r="BB922" s="528"/>
      <c r="BC922" s="528"/>
      <c r="BD922" s="528"/>
      <c r="BE922" s="528"/>
      <c r="BF922" s="528"/>
      <c r="BG922" s="528"/>
      <c r="BH922" s="528"/>
    </row>
    <row r="923">
      <c r="A923" s="179"/>
      <c r="B923" s="549"/>
      <c r="C923" s="181"/>
      <c r="D923" s="181"/>
      <c r="E923" s="181"/>
      <c r="F923" s="179"/>
      <c r="G923" s="549"/>
      <c r="H923" s="181"/>
      <c r="I923" s="181"/>
      <c r="J923" s="181"/>
      <c r="K923" s="156"/>
      <c r="L923" s="549"/>
      <c r="M923" s="181"/>
      <c r="N923" s="181"/>
      <c r="O923" s="181"/>
      <c r="P923" s="156"/>
      <c r="Q923" s="562"/>
      <c r="R923" s="181"/>
      <c r="S923" s="181"/>
      <c r="T923" s="181"/>
      <c r="U923" s="179"/>
      <c r="V923" s="549"/>
      <c r="W923" s="181"/>
      <c r="X923" s="181"/>
      <c r="Y923" s="181"/>
      <c r="Z923" s="179"/>
      <c r="AA923" s="549"/>
      <c r="AB923" s="181"/>
      <c r="AC923" s="181"/>
      <c r="AD923" s="181"/>
      <c r="AE923" s="179"/>
      <c r="AF923" s="549"/>
      <c r="AG923" s="181"/>
      <c r="AH923" s="181"/>
      <c r="AI923" s="181"/>
      <c r="AJ923" s="179"/>
      <c r="AK923" s="549"/>
      <c r="AL923" s="181"/>
      <c r="AM923" s="181"/>
      <c r="AN923" s="181"/>
      <c r="AO923" s="179"/>
      <c r="AP923" s="549"/>
      <c r="AQ923" s="181"/>
      <c r="AR923" s="181"/>
      <c r="AS923" s="181"/>
      <c r="AT923" s="528"/>
      <c r="AU923" s="528"/>
      <c r="AV923" s="528"/>
      <c r="AW923" s="528"/>
      <c r="AX923" s="528"/>
      <c r="AY923" s="528"/>
      <c r="AZ923" s="528"/>
      <c r="BA923" s="528"/>
      <c r="BB923" s="528"/>
      <c r="BC923" s="528"/>
      <c r="BD923" s="528"/>
      <c r="BE923" s="528"/>
      <c r="BF923" s="528"/>
      <c r="BG923" s="528"/>
      <c r="BH923" s="528"/>
    </row>
    <row r="924">
      <c r="A924" s="179"/>
      <c r="B924" s="549"/>
      <c r="C924" s="181"/>
      <c r="D924" s="181"/>
      <c r="E924" s="181"/>
      <c r="F924" s="179"/>
      <c r="G924" s="549"/>
      <c r="H924" s="181"/>
      <c r="I924" s="181"/>
      <c r="J924" s="181"/>
      <c r="K924" s="156"/>
      <c r="L924" s="549"/>
      <c r="M924" s="181"/>
      <c r="N924" s="181"/>
      <c r="O924" s="181"/>
      <c r="P924" s="156"/>
      <c r="Q924" s="562"/>
      <c r="R924" s="181"/>
      <c r="S924" s="181"/>
      <c r="T924" s="181"/>
      <c r="U924" s="179"/>
      <c r="V924" s="549"/>
      <c r="W924" s="181"/>
      <c r="X924" s="181"/>
      <c r="Y924" s="181"/>
      <c r="Z924" s="179"/>
      <c r="AA924" s="549"/>
      <c r="AB924" s="181"/>
      <c r="AC924" s="181"/>
      <c r="AD924" s="181"/>
      <c r="AE924" s="179"/>
      <c r="AF924" s="549"/>
      <c r="AG924" s="181"/>
      <c r="AH924" s="181"/>
      <c r="AI924" s="181"/>
      <c r="AJ924" s="179"/>
      <c r="AK924" s="549"/>
      <c r="AL924" s="181"/>
      <c r="AM924" s="181"/>
      <c r="AN924" s="181"/>
      <c r="AO924" s="179"/>
      <c r="AP924" s="549"/>
      <c r="AQ924" s="181"/>
      <c r="AR924" s="181"/>
      <c r="AS924" s="181"/>
      <c r="AT924" s="528"/>
      <c r="AU924" s="528"/>
      <c r="AV924" s="528"/>
      <c r="AW924" s="528"/>
      <c r="AX924" s="528"/>
      <c r="AY924" s="528"/>
      <c r="AZ924" s="528"/>
      <c r="BA924" s="528"/>
      <c r="BB924" s="528"/>
      <c r="BC924" s="528"/>
      <c r="BD924" s="528"/>
      <c r="BE924" s="528"/>
      <c r="BF924" s="528"/>
      <c r="BG924" s="528"/>
      <c r="BH924" s="528"/>
    </row>
    <row r="925">
      <c r="A925" s="179"/>
      <c r="B925" s="549"/>
      <c r="C925" s="181"/>
      <c r="D925" s="181"/>
      <c r="E925" s="181"/>
      <c r="F925" s="179"/>
      <c r="G925" s="549"/>
      <c r="H925" s="181"/>
      <c r="I925" s="181"/>
      <c r="J925" s="181"/>
      <c r="K925" s="156"/>
      <c r="L925" s="549"/>
      <c r="M925" s="181"/>
      <c r="N925" s="181"/>
      <c r="O925" s="181"/>
      <c r="P925" s="156"/>
      <c r="Q925" s="562"/>
      <c r="R925" s="181"/>
      <c r="S925" s="181"/>
      <c r="T925" s="181"/>
      <c r="U925" s="179"/>
      <c r="V925" s="549"/>
      <c r="W925" s="181"/>
      <c r="X925" s="181"/>
      <c r="Y925" s="181"/>
      <c r="Z925" s="179"/>
      <c r="AA925" s="549"/>
      <c r="AB925" s="181"/>
      <c r="AC925" s="181"/>
      <c r="AD925" s="181"/>
      <c r="AE925" s="179"/>
      <c r="AF925" s="549"/>
      <c r="AG925" s="181"/>
      <c r="AH925" s="181"/>
      <c r="AI925" s="181"/>
      <c r="AJ925" s="179"/>
      <c r="AK925" s="549"/>
      <c r="AL925" s="181"/>
      <c r="AM925" s="181"/>
      <c r="AN925" s="181"/>
      <c r="AO925" s="179"/>
      <c r="AP925" s="549"/>
      <c r="AQ925" s="181"/>
      <c r="AR925" s="181"/>
      <c r="AS925" s="181"/>
      <c r="AT925" s="528"/>
      <c r="AU925" s="528"/>
      <c r="AV925" s="528"/>
      <c r="AW925" s="528"/>
      <c r="AX925" s="528"/>
      <c r="AY925" s="528"/>
      <c r="AZ925" s="528"/>
      <c r="BA925" s="528"/>
      <c r="BB925" s="528"/>
      <c r="BC925" s="528"/>
      <c r="BD925" s="528"/>
      <c r="BE925" s="528"/>
      <c r="BF925" s="528"/>
      <c r="BG925" s="528"/>
      <c r="BH925" s="528"/>
    </row>
    <row r="926">
      <c r="A926" s="179"/>
      <c r="B926" s="549"/>
      <c r="C926" s="181"/>
      <c r="D926" s="181"/>
      <c r="E926" s="181"/>
      <c r="F926" s="179"/>
      <c r="G926" s="549"/>
      <c r="H926" s="181"/>
      <c r="I926" s="181"/>
      <c r="J926" s="181"/>
      <c r="K926" s="156"/>
      <c r="L926" s="549"/>
      <c r="M926" s="181"/>
      <c r="N926" s="181"/>
      <c r="O926" s="181"/>
      <c r="P926" s="156"/>
      <c r="Q926" s="562"/>
      <c r="R926" s="181"/>
      <c r="S926" s="181"/>
      <c r="T926" s="181"/>
      <c r="U926" s="179"/>
      <c r="V926" s="549"/>
      <c r="W926" s="181"/>
      <c r="X926" s="181"/>
      <c r="Y926" s="181"/>
      <c r="Z926" s="179"/>
      <c r="AA926" s="549"/>
      <c r="AB926" s="181"/>
      <c r="AC926" s="181"/>
      <c r="AD926" s="181"/>
      <c r="AE926" s="179"/>
      <c r="AF926" s="549"/>
      <c r="AG926" s="181"/>
      <c r="AH926" s="181"/>
      <c r="AI926" s="181"/>
      <c r="AJ926" s="179"/>
      <c r="AK926" s="549"/>
      <c r="AL926" s="181"/>
      <c r="AM926" s="181"/>
      <c r="AN926" s="181"/>
      <c r="AO926" s="179"/>
      <c r="AP926" s="549"/>
      <c r="AQ926" s="181"/>
      <c r="AR926" s="181"/>
      <c r="AS926" s="181"/>
      <c r="AT926" s="528"/>
      <c r="AU926" s="528"/>
      <c r="AV926" s="528"/>
      <c r="AW926" s="528"/>
      <c r="AX926" s="528"/>
      <c r="AY926" s="528"/>
      <c r="AZ926" s="528"/>
      <c r="BA926" s="528"/>
      <c r="BB926" s="528"/>
      <c r="BC926" s="528"/>
      <c r="BD926" s="528"/>
      <c r="BE926" s="528"/>
      <c r="BF926" s="528"/>
      <c r="BG926" s="528"/>
      <c r="BH926" s="528"/>
    </row>
    <row r="927">
      <c r="A927" s="179"/>
      <c r="B927" s="549"/>
      <c r="C927" s="181"/>
      <c r="D927" s="181"/>
      <c r="E927" s="181"/>
      <c r="F927" s="179"/>
      <c r="G927" s="549"/>
      <c r="H927" s="181"/>
      <c r="I927" s="181"/>
      <c r="J927" s="181"/>
      <c r="K927" s="156"/>
      <c r="L927" s="549"/>
      <c r="M927" s="181"/>
      <c r="N927" s="181"/>
      <c r="O927" s="181"/>
      <c r="P927" s="156"/>
      <c r="Q927" s="562"/>
      <c r="R927" s="181"/>
      <c r="S927" s="181"/>
      <c r="T927" s="181"/>
      <c r="U927" s="179"/>
      <c r="V927" s="549"/>
      <c r="W927" s="181"/>
      <c r="X927" s="181"/>
      <c r="Y927" s="181"/>
      <c r="Z927" s="179"/>
      <c r="AA927" s="549"/>
      <c r="AB927" s="181"/>
      <c r="AC927" s="181"/>
      <c r="AD927" s="181"/>
      <c r="AE927" s="179"/>
      <c r="AF927" s="549"/>
      <c r="AG927" s="181"/>
      <c r="AH927" s="181"/>
      <c r="AI927" s="181"/>
      <c r="AJ927" s="179"/>
      <c r="AK927" s="549"/>
      <c r="AL927" s="181"/>
      <c r="AM927" s="181"/>
      <c r="AN927" s="181"/>
      <c r="AO927" s="179"/>
      <c r="AP927" s="549"/>
      <c r="AQ927" s="181"/>
      <c r="AR927" s="181"/>
      <c r="AS927" s="181"/>
      <c r="AT927" s="528"/>
      <c r="AU927" s="528"/>
      <c r="AV927" s="528"/>
      <c r="AW927" s="528"/>
      <c r="AX927" s="528"/>
      <c r="AY927" s="528"/>
      <c r="AZ927" s="528"/>
      <c r="BA927" s="528"/>
      <c r="BB927" s="528"/>
      <c r="BC927" s="528"/>
      <c r="BD927" s="528"/>
      <c r="BE927" s="528"/>
      <c r="BF927" s="528"/>
      <c r="BG927" s="528"/>
      <c r="BH927" s="528"/>
    </row>
    <row r="928">
      <c r="A928" s="179"/>
      <c r="B928" s="549"/>
      <c r="C928" s="181"/>
      <c r="D928" s="181"/>
      <c r="E928" s="181"/>
      <c r="F928" s="179"/>
      <c r="G928" s="549"/>
      <c r="H928" s="181"/>
      <c r="I928" s="181"/>
      <c r="J928" s="181"/>
      <c r="K928" s="156"/>
      <c r="L928" s="549"/>
      <c r="M928" s="181"/>
      <c r="N928" s="181"/>
      <c r="O928" s="181"/>
      <c r="P928" s="156"/>
      <c r="Q928" s="562"/>
      <c r="R928" s="181"/>
      <c r="S928" s="181"/>
      <c r="T928" s="181"/>
      <c r="U928" s="179"/>
      <c r="V928" s="549"/>
      <c r="W928" s="181"/>
      <c r="X928" s="181"/>
      <c r="Y928" s="181"/>
      <c r="Z928" s="179"/>
      <c r="AA928" s="549"/>
      <c r="AB928" s="181"/>
      <c r="AC928" s="181"/>
      <c r="AD928" s="181"/>
      <c r="AE928" s="179"/>
      <c r="AF928" s="549"/>
      <c r="AG928" s="181"/>
      <c r="AH928" s="181"/>
      <c r="AI928" s="181"/>
      <c r="AJ928" s="179"/>
      <c r="AK928" s="549"/>
      <c r="AL928" s="181"/>
      <c r="AM928" s="181"/>
      <c r="AN928" s="181"/>
      <c r="AO928" s="179"/>
      <c r="AP928" s="549"/>
      <c r="AQ928" s="181"/>
      <c r="AR928" s="181"/>
      <c r="AS928" s="181"/>
      <c r="AT928" s="528"/>
      <c r="AU928" s="528"/>
      <c r="AV928" s="528"/>
      <c r="AW928" s="528"/>
      <c r="AX928" s="528"/>
      <c r="AY928" s="528"/>
      <c r="AZ928" s="528"/>
      <c r="BA928" s="528"/>
      <c r="BB928" s="528"/>
      <c r="BC928" s="528"/>
      <c r="BD928" s="528"/>
      <c r="BE928" s="528"/>
      <c r="BF928" s="528"/>
      <c r="BG928" s="528"/>
      <c r="BH928" s="528"/>
    </row>
    <row r="929">
      <c r="A929" s="179"/>
      <c r="B929" s="549"/>
      <c r="C929" s="181"/>
      <c r="D929" s="181"/>
      <c r="E929" s="181"/>
      <c r="F929" s="179"/>
      <c r="G929" s="549"/>
      <c r="H929" s="181"/>
      <c r="I929" s="181"/>
      <c r="J929" s="181"/>
      <c r="K929" s="156"/>
      <c r="L929" s="549"/>
      <c r="M929" s="181"/>
      <c r="N929" s="181"/>
      <c r="O929" s="181"/>
      <c r="P929" s="156"/>
      <c r="Q929" s="562"/>
      <c r="R929" s="181"/>
      <c r="S929" s="181"/>
      <c r="T929" s="181"/>
      <c r="U929" s="179"/>
      <c r="V929" s="549"/>
      <c r="W929" s="181"/>
      <c r="X929" s="181"/>
      <c r="Y929" s="181"/>
      <c r="Z929" s="179"/>
      <c r="AA929" s="549"/>
      <c r="AB929" s="181"/>
      <c r="AC929" s="181"/>
      <c r="AD929" s="181"/>
      <c r="AE929" s="179"/>
      <c r="AF929" s="549"/>
      <c r="AG929" s="181"/>
      <c r="AH929" s="181"/>
      <c r="AI929" s="181"/>
      <c r="AJ929" s="179"/>
      <c r="AK929" s="549"/>
      <c r="AL929" s="181"/>
      <c r="AM929" s="181"/>
      <c r="AN929" s="181"/>
      <c r="AO929" s="179"/>
      <c r="AP929" s="549"/>
      <c r="AQ929" s="181"/>
      <c r="AR929" s="181"/>
      <c r="AS929" s="181"/>
      <c r="AT929" s="528"/>
      <c r="AU929" s="528"/>
      <c r="AV929" s="528"/>
      <c r="AW929" s="528"/>
      <c r="AX929" s="528"/>
      <c r="AY929" s="528"/>
      <c r="AZ929" s="528"/>
      <c r="BA929" s="528"/>
      <c r="BB929" s="528"/>
      <c r="BC929" s="528"/>
      <c r="BD929" s="528"/>
      <c r="BE929" s="528"/>
      <c r="BF929" s="528"/>
      <c r="BG929" s="528"/>
      <c r="BH929" s="528"/>
    </row>
    <row r="930">
      <c r="A930" s="179"/>
      <c r="B930" s="549"/>
      <c r="C930" s="181"/>
      <c r="D930" s="181"/>
      <c r="E930" s="181"/>
      <c r="F930" s="179"/>
      <c r="G930" s="549"/>
      <c r="H930" s="181"/>
      <c r="I930" s="181"/>
      <c r="J930" s="181"/>
      <c r="K930" s="156"/>
      <c r="L930" s="549"/>
      <c r="M930" s="181"/>
      <c r="N930" s="181"/>
      <c r="O930" s="181"/>
      <c r="P930" s="156"/>
      <c r="Q930" s="562"/>
      <c r="R930" s="181"/>
      <c r="S930" s="181"/>
      <c r="T930" s="181"/>
      <c r="U930" s="179"/>
      <c r="V930" s="549"/>
      <c r="W930" s="181"/>
      <c r="X930" s="181"/>
      <c r="Y930" s="181"/>
      <c r="Z930" s="179"/>
      <c r="AA930" s="549"/>
      <c r="AB930" s="181"/>
      <c r="AC930" s="181"/>
      <c r="AD930" s="181"/>
      <c r="AE930" s="179"/>
      <c r="AF930" s="549"/>
      <c r="AG930" s="181"/>
      <c r="AH930" s="181"/>
      <c r="AI930" s="181"/>
      <c r="AJ930" s="179"/>
      <c r="AK930" s="549"/>
      <c r="AL930" s="181"/>
      <c r="AM930" s="181"/>
      <c r="AN930" s="181"/>
      <c r="AO930" s="179"/>
      <c r="AP930" s="549"/>
      <c r="AQ930" s="181"/>
      <c r="AR930" s="181"/>
      <c r="AS930" s="181"/>
      <c r="AT930" s="528"/>
      <c r="AU930" s="528"/>
      <c r="AV930" s="528"/>
      <c r="AW930" s="528"/>
      <c r="AX930" s="528"/>
      <c r="AY930" s="528"/>
      <c r="AZ930" s="528"/>
      <c r="BA930" s="528"/>
      <c r="BB930" s="528"/>
      <c r="BC930" s="528"/>
      <c r="BD930" s="528"/>
      <c r="BE930" s="528"/>
      <c r="BF930" s="528"/>
      <c r="BG930" s="528"/>
      <c r="BH930" s="528"/>
    </row>
    <row r="931">
      <c r="A931" s="179"/>
      <c r="B931" s="549"/>
      <c r="C931" s="181"/>
      <c r="D931" s="181"/>
      <c r="E931" s="181"/>
      <c r="F931" s="179"/>
      <c r="G931" s="549"/>
      <c r="H931" s="181"/>
      <c r="I931" s="181"/>
      <c r="J931" s="181"/>
      <c r="K931" s="156"/>
      <c r="L931" s="549"/>
      <c r="M931" s="181"/>
      <c r="N931" s="181"/>
      <c r="O931" s="181"/>
      <c r="P931" s="156"/>
      <c r="Q931" s="562"/>
      <c r="R931" s="181"/>
      <c r="S931" s="181"/>
      <c r="T931" s="181"/>
      <c r="U931" s="179"/>
      <c r="V931" s="549"/>
      <c r="W931" s="181"/>
      <c r="X931" s="181"/>
      <c r="Y931" s="181"/>
      <c r="Z931" s="179"/>
      <c r="AA931" s="549"/>
      <c r="AB931" s="181"/>
      <c r="AC931" s="181"/>
      <c r="AD931" s="181"/>
      <c r="AE931" s="179"/>
      <c r="AF931" s="549"/>
      <c r="AG931" s="181"/>
      <c r="AH931" s="181"/>
      <c r="AI931" s="181"/>
      <c r="AJ931" s="179"/>
      <c r="AK931" s="549"/>
      <c r="AL931" s="181"/>
      <c r="AM931" s="181"/>
      <c r="AN931" s="181"/>
      <c r="AO931" s="179"/>
      <c r="AP931" s="549"/>
      <c r="AQ931" s="181"/>
      <c r="AR931" s="181"/>
      <c r="AS931" s="181"/>
      <c r="AT931" s="528"/>
      <c r="AU931" s="528"/>
      <c r="AV931" s="528"/>
      <c r="AW931" s="528"/>
      <c r="AX931" s="528"/>
      <c r="AY931" s="528"/>
      <c r="AZ931" s="528"/>
      <c r="BA931" s="528"/>
      <c r="BB931" s="528"/>
      <c r="BC931" s="528"/>
      <c r="BD931" s="528"/>
      <c r="BE931" s="528"/>
      <c r="BF931" s="528"/>
      <c r="BG931" s="528"/>
      <c r="BH931" s="528"/>
    </row>
    <row r="932">
      <c r="A932" s="179"/>
      <c r="B932" s="549"/>
      <c r="C932" s="181"/>
      <c r="D932" s="181"/>
      <c r="E932" s="181"/>
      <c r="F932" s="179"/>
      <c r="G932" s="549"/>
      <c r="H932" s="181"/>
      <c r="I932" s="181"/>
      <c r="J932" s="181"/>
      <c r="K932" s="156"/>
      <c r="L932" s="549"/>
      <c r="M932" s="181"/>
      <c r="N932" s="181"/>
      <c r="O932" s="181"/>
      <c r="P932" s="156"/>
      <c r="Q932" s="562"/>
      <c r="R932" s="181"/>
      <c r="S932" s="181"/>
      <c r="T932" s="181"/>
      <c r="U932" s="179"/>
      <c r="V932" s="549"/>
      <c r="W932" s="181"/>
      <c r="X932" s="181"/>
      <c r="Y932" s="181"/>
      <c r="Z932" s="179"/>
      <c r="AA932" s="549"/>
      <c r="AB932" s="181"/>
      <c r="AC932" s="181"/>
      <c r="AD932" s="181"/>
      <c r="AE932" s="179"/>
      <c r="AF932" s="549"/>
      <c r="AG932" s="181"/>
      <c r="AH932" s="181"/>
      <c r="AI932" s="181"/>
      <c r="AJ932" s="179"/>
      <c r="AK932" s="549"/>
      <c r="AL932" s="181"/>
      <c r="AM932" s="181"/>
      <c r="AN932" s="181"/>
      <c r="AO932" s="179"/>
      <c r="AP932" s="549"/>
      <c r="AQ932" s="181"/>
      <c r="AR932" s="181"/>
      <c r="AS932" s="181"/>
      <c r="AT932" s="528"/>
      <c r="AU932" s="528"/>
      <c r="AV932" s="528"/>
      <c r="AW932" s="528"/>
      <c r="AX932" s="528"/>
      <c r="AY932" s="528"/>
      <c r="AZ932" s="528"/>
      <c r="BA932" s="528"/>
      <c r="BB932" s="528"/>
      <c r="BC932" s="528"/>
      <c r="BD932" s="528"/>
      <c r="BE932" s="528"/>
      <c r="BF932" s="528"/>
      <c r="BG932" s="528"/>
      <c r="BH932" s="528"/>
    </row>
    <row r="933">
      <c r="A933" s="179"/>
      <c r="B933" s="549"/>
      <c r="C933" s="181"/>
      <c r="D933" s="181"/>
      <c r="E933" s="181"/>
      <c r="F933" s="179"/>
      <c r="G933" s="549"/>
      <c r="H933" s="181"/>
      <c r="I933" s="181"/>
      <c r="J933" s="181"/>
      <c r="K933" s="156"/>
      <c r="L933" s="549"/>
      <c r="M933" s="181"/>
      <c r="N933" s="181"/>
      <c r="O933" s="181"/>
      <c r="P933" s="156"/>
      <c r="Q933" s="562"/>
      <c r="R933" s="181"/>
      <c r="S933" s="181"/>
      <c r="T933" s="181"/>
      <c r="U933" s="179"/>
      <c r="V933" s="549"/>
      <c r="W933" s="181"/>
      <c r="X933" s="181"/>
      <c r="Y933" s="181"/>
      <c r="Z933" s="179"/>
      <c r="AA933" s="549"/>
      <c r="AB933" s="181"/>
      <c r="AC933" s="181"/>
      <c r="AD933" s="181"/>
      <c r="AE933" s="179"/>
      <c r="AF933" s="549"/>
      <c r="AG933" s="181"/>
      <c r="AH933" s="181"/>
      <c r="AI933" s="181"/>
      <c r="AJ933" s="179"/>
      <c r="AK933" s="549"/>
      <c r="AL933" s="181"/>
      <c r="AM933" s="181"/>
      <c r="AN933" s="181"/>
      <c r="AO933" s="179"/>
      <c r="AP933" s="549"/>
      <c r="AQ933" s="181"/>
      <c r="AR933" s="181"/>
      <c r="AS933" s="181"/>
      <c r="AT933" s="528"/>
      <c r="AU933" s="528"/>
      <c r="AV933" s="528"/>
      <c r="AW933" s="528"/>
      <c r="AX933" s="528"/>
      <c r="AY933" s="528"/>
      <c r="AZ933" s="528"/>
      <c r="BA933" s="528"/>
      <c r="BB933" s="528"/>
      <c r="BC933" s="528"/>
      <c r="BD933" s="528"/>
      <c r="BE933" s="528"/>
      <c r="BF933" s="528"/>
      <c r="BG933" s="528"/>
      <c r="BH933" s="528"/>
    </row>
    <row r="934">
      <c r="A934" s="179"/>
      <c r="B934" s="549"/>
      <c r="C934" s="181"/>
      <c r="D934" s="181"/>
      <c r="E934" s="181"/>
      <c r="F934" s="179"/>
      <c r="G934" s="549"/>
      <c r="H934" s="181"/>
      <c r="I934" s="181"/>
      <c r="J934" s="181"/>
      <c r="K934" s="156"/>
      <c r="L934" s="549"/>
      <c r="M934" s="181"/>
      <c r="N934" s="181"/>
      <c r="O934" s="181"/>
      <c r="P934" s="156"/>
      <c r="Q934" s="562"/>
      <c r="R934" s="181"/>
      <c r="S934" s="181"/>
      <c r="T934" s="181"/>
      <c r="U934" s="179"/>
      <c r="V934" s="549"/>
      <c r="W934" s="181"/>
      <c r="X934" s="181"/>
      <c r="Y934" s="181"/>
      <c r="Z934" s="179"/>
      <c r="AA934" s="549"/>
      <c r="AB934" s="181"/>
      <c r="AC934" s="181"/>
      <c r="AD934" s="181"/>
      <c r="AE934" s="179"/>
      <c r="AF934" s="549"/>
      <c r="AG934" s="181"/>
      <c r="AH934" s="181"/>
      <c r="AI934" s="181"/>
      <c r="AJ934" s="179"/>
      <c r="AK934" s="549"/>
      <c r="AL934" s="181"/>
      <c r="AM934" s="181"/>
      <c r="AN934" s="181"/>
      <c r="AO934" s="179"/>
      <c r="AP934" s="549"/>
      <c r="AQ934" s="181"/>
      <c r="AR934" s="181"/>
      <c r="AS934" s="181"/>
      <c r="AT934" s="528"/>
      <c r="AU934" s="528"/>
      <c r="AV934" s="528"/>
      <c r="AW934" s="528"/>
      <c r="AX934" s="528"/>
      <c r="AY934" s="528"/>
      <c r="AZ934" s="528"/>
      <c r="BA934" s="528"/>
      <c r="BB934" s="528"/>
      <c r="BC934" s="528"/>
      <c r="BD934" s="528"/>
      <c r="BE934" s="528"/>
      <c r="BF934" s="528"/>
      <c r="BG934" s="528"/>
      <c r="BH934" s="528"/>
    </row>
    <row r="935">
      <c r="A935" s="179"/>
      <c r="B935" s="549"/>
      <c r="C935" s="181"/>
      <c r="D935" s="181"/>
      <c r="E935" s="181"/>
      <c r="F935" s="179"/>
      <c r="G935" s="549"/>
      <c r="H935" s="181"/>
      <c r="I935" s="181"/>
      <c r="J935" s="181"/>
      <c r="K935" s="156"/>
      <c r="L935" s="549"/>
      <c r="M935" s="181"/>
      <c r="N935" s="181"/>
      <c r="O935" s="181"/>
      <c r="P935" s="156"/>
      <c r="Q935" s="562"/>
      <c r="R935" s="181"/>
      <c r="S935" s="181"/>
      <c r="T935" s="181"/>
      <c r="U935" s="179"/>
      <c r="V935" s="549"/>
      <c r="W935" s="181"/>
      <c r="X935" s="181"/>
      <c r="Y935" s="181"/>
      <c r="Z935" s="179"/>
      <c r="AA935" s="549"/>
      <c r="AB935" s="181"/>
      <c r="AC935" s="181"/>
      <c r="AD935" s="181"/>
      <c r="AE935" s="179"/>
      <c r="AF935" s="549"/>
      <c r="AG935" s="181"/>
      <c r="AH935" s="181"/>
      <c r="AI935" s="181"/>
      <c r="AJ935" s="179"/>
      <c r="AK935" s="549"/>
      <c r="AL935" s="181"/>
      <c r="AM935" s="181"/>
      <c r="AN935" s="181"/>
      <c r="AO935" s="179"/>
      <c r="AP935" s="549"/>
      <c r="AQ935" s="181"/>
      <c r="AR935" s="181"/>
      <c r="AS935" s="181"/>
      <c r="AT935" s="528"/>
      <c r="AU935" s="528"/>
      <c r="AV935" s="528"/>
      <c r="AW935" s="528"/>
      <c r="AX935" s="528"/>
      <c r="AY935" s="528"/>
      <c r="AZ935" s="528"/>
      <c r="BA935" s="528"/>
      <c r="BB935" s="528"/>
      <c r="BC935" s="528"/>
      <c r="BD935" s="528"/>
      <c r="BE935" s="528"/>
      <c r="BF935" s="528"/>
      <c r="BG935" s="528"/>
      <c r="BH935" s="528"/>
    </row>
    <row r="936">
      <c r="A936" s="179"/>
      <c r="B936" s="549"/>
      <c r="C936" s="181"/>
      <c r="D936" s="181"/>
      <c r="E936" s="181"/>
      <c r="F936" s="179"/>
      <c r="G936" s="549"/>
      <c r="H936" s="181"/>
      <c r="I936" s="181"/>
      <c r="J936" s="181"/>
      <c r="K936" s="156"/>
      <c r="L936" s="549"/>
      <c r="M936" s="181"/>
      <c r="N936" s="181"/>
      <c r="O936" s="181"/>
      <c r="P936" s="156"/>
      <c r="Q936" s="562"/>
      <c r="R936" s="181"/>
      <c r="S936" s="181"/>
      <c r="T936" s="181"/>
      <c r="U936" s="179"/>
      <c r="V936" s="549"/>
      <c r="W936" s="181"/>
      <c r="X936" s="181"/>
      <c r="Y936" s="181"/>
      <c r="Z936" s="179"/>
      <c r="AA936" s="549"/>
      <c r="AB936" s="181"/>
      <c r="AC936" s="181"/>
      <c r="AD936" s="181"/>
      <c r="AE936" s="179"/>
      <c r="AF936" s="549"/>
      <c r="AG936" s="181"/>
      <c r="AH936" s="181"/>
      <c r="AI936" s="181"/>
      <c r="AJ936" s="179"/>
      <c r="AK936" s="549"/>
      <c r="AL936" s="181"/>
      <c r="AM936" s="181"/>
      <c r="AN936" s="181"/>
      <c r="AO936" s="179"/>
      <c r="AP936" s="549"/>
      <c r="AQ936" s="181"/>
      <c r="AR936" s="181"/>
      <c r="AS936" s="181"/>
      <c r="AT936" s="528"/>
      <c r="AU936" s="528"/>
      <c r="AV936" s="528"/>
      <c r="AW936" s="528"/>
      <c r="AX936" s="528"/>
      <c r="AY936" s="528"/>
      <c r="AZ936" s="528"/>
      <c r="BA936" s="528"/>
      <c r="BB936" s="528"/>
      <c r="BC936" s="528"/>
      <c r="BD936" s="528"/>
      <c r="BE936" s="528"/>
      <c r="BF936" s="528"/>
      <c r="BG936" s="528"/>
      <c r="BH936" s="528"/>
    </row>
    <row r="937">
      <c r="A937" s="179"/>
      <c r="B937" s="549"/>
      <c r="C937" s="181"/>
      <c r="D937" s="181"/>
      <c r="E937" s="181"/>
      <c r="F937" s="179"/>
      <c r="G937" s="549"/>
      <c r="H937" s="181"/>
      <c r="I937" s="181"/>
      <c r="J937" s="181"/>
      <c r="K937" s="156"/>
      <c r="L937" s="549"/>
      <c r="M937" s="181"/>
      <c r="N937" s="181"/>
      <c r="O937" s="181"/>
      <c r="P937" s="156"/>
      <c r="Q937" s="562"/>
      <c r="R937" s="181"/>
      <c r="S937" s="181"/>
      <c r="T937" s="181"/>
      <c r="U937" s="179"/>
      <c r="V937" s="549"/>
      <c r="W937" s="181"/>
      <c r="X937" s="181"/>
      <c r="Y937" s="181"/>
      <c r="Z937" s="179"/>
      <c r="AA937" s="549"/>
      <c r="AB937" s="181"/>
      <c r="AC937" s="181"/>
      <c r="AD937" s="181"/>
      <c r="AE937" s="179"/>
      <c r="AF937" s="549"/>
      <c r="AG937" s="181"/>
      <c r="AH937" s="181"/>
      <c r="AI937" s="181"/>
      <c r="AJ937" s="179"/>
      <c r="AK937" s="549"/>
      <c r="AL937" s="181"/>
      <c r="AM937" s="181"/>
      <c r="AN937" s="181"/>
      <c r="AO937" s="179"/>
      <c r="AP937" s="549"/>
      <c r="AQ937" s="181"/>
      <c r="AR937" s="181"/>
      <c r="AS937" s="181"/>
      <c r="AT937" s="528"/>
      <c r="AU937" s="528"/>
      <c r="AV937" s="528"/>
      <c r="AW937" s="528"/>
      <c r="AX937" s="528"/>
      <c r="AY937" s="528"/>
      <c r="AZ937" s="528"/>
      <c r="BA937" s="528"/>
      <c r="BB937" s="528"/>
      <c r="BC937" s="528"/>
      <c r="BD937" s="528"/>
      <c r="BE937" s="528"/>
      <c r="BF937" s="528"/>
      <c r="BG937" s="528"/>
      <c r="BH937" s="528"/>
    </row>
    <row r="938">
      <c r="A938" s="179"/>
      <c r="B938" s="549"/>
      <c r="C938" s="181"/>
      <c r="D938" s="181"/>
      <c r="E938" s="181"/>
      <c r="F938" s="179"/>
      <c r="G938" s="549"/>
      <c r="H938" s="181"/>
      <c r="I938" s="181"/>
      <c r="J938" s="181"/>
      <c r="K938" s="156"/>
      <c r="L938" s="549"/>
      <c r="M938" s="181"/>
      <c r="N938" s="181"/>
      <c r="O938" s="181"/>
      <c r="P938" s="156"/>
      <c r="Q938" s="562"/>
      <c r="R938" s="181"/>
      <c r="S938" s="181"/>
      <c r="T938" s="181"/>
      <c r="U938" s="179"/>
      <c r="V938" s="549"/>
      <c r="W938" s="181"/>
      <c r="X938" s="181"/>
      <c r="Y938" s="181"/>
      <c r="Z938" s="179"/>
      <c r="AA938" s="549"/>
      <c r="AB938" s="181"/>
      <c r="AC938" s="181"/>
      <c r="AD938" s="181"/>
      <c r="AE938" s="179"/>
      <c r="AF938" s="549"/>
      <c r="AG938" s="181"/>
      <c r="AH938" s="181"/>
      <c r="AI938" s="181"/>
      <c r="AJ938" s="179"/>
      <c r="AK938" s="549"/>
      <c r="AL938" s="181"/>
      <c r="AM938" s="181"/>
      <c r="AN938" s="181"/>
      <c r="AO938" s="179"/>
      <c r="AP938" s="549"/>
      <c r="AQ938" s="181"/>
      <c r="AR938" s="181"/>
      <c r="AS938" s="181"/>
      <c r="AT938" s="528"/>
      <c r="AU938" s="528"/>
      <c r="AV938" s="528"/>
      <c r="AW938" s="528"/>
      <c r="AX938" s="528"/>
      <c r="AY938" s="528"/>
      <c r="AZ938" s="528"/>
      <c r="BA938" s="528"/>
      <c r="BB938" s="528"/>
      <c r="BC938" s="528"/>
      <c r="BD938" s="528"/>
      <c r="BE938" s="528"/>
      <c r="BF938" s="528"/>
      <c r="BG938" s="528"/>
      <c r="BH938" s="528"/>
    </row>
    <row r="939">
      <c r="A939" s="179"/>
      <c r="B939" s="549"/>
      <c r="C939" s="181"/>
      <c r="D939" s="181"/>
      <c r="E939" s="181"/>
      <c r="F939" s="179"/>
      <c r="G939" s="549"/>
      <c r="H939" s="181"/>
      <c r="I939" s="181"/>
      <c r="J939" s="181"/>
      <c r="K939" s="156"/>
      <c r="L939" s="549"/>
      <c r="M939" s="181"/>
      <c r="N939" s="181"/>
      <c r="O939" s="181"/>
      <c r="P939" s="156"/>
      <c r="Q939" s="562"/>
      <c r="R939" s="181"/>
      <c r="S939" s="181"/>
      <c r="T939" s="181"/>
      <c r="U939" s="179"/>
      <c r="V939" s="549"/>
      <c r="W939" s="181"/>
      <c r="X939" s="181"/>
      <c r="Y939" s="181"/>
      <c r="Z939" s="179"/>
      <c r="AA939" s="549"/>
      <c r="AB939" s="181"/>
      <c r="AC939" s="181"/>
      <c r="AD939" s="181"/>
      <c r="AE939" s="179"/>
      <c r="AF939" s="549"/>
      <c r="AG939" s="181"/>
      <c r="AH939" s="181"/>
      <c r="AI939" s="181"/>
      <c r="AJ939" s="179"/>
      <c r="AK939" s="549"/>
      <c r="AL939" s="181"/>
      <c r="AM939" s="181"/>
      <c r="AN939" s="181"/>
      <c r="AO939" s="179"/>
      <c r="AP939" s="549"/>
      <c r="AQ939" s="181"/>
      <c r="AR939" s="181"/>
      <c r="AS939" s="181"/>
      <c r="AT939" s="528"/>
      <c r="AU939" s="528"/>
      <c r="AV939" s="528"/>
      <c r="AW939" s="528"/>
      <c r="AX939" s="528"/>
      <c r="AY939" s="528"/>
      <c r="AZ939" s="528"/>
      <c r="BA939" s="528"/>
      <c r="BB939" s="528"/>
      <c r="BC939" s="528"/>
      <c r="BD939" s="528"/>
      <c r="BE939" s="528"/>
      <c r="BF939" s="528"/>
      <c r="BG939" s="528"/>
      <c r="BH939" s="528"/>
    </row>
    <row r="940">
      <c r="A940" s="179"/>
      <c r="B940" s="549"/>
      <c r="C940" s="181"/>
      <c r="D940" s="181"/>
      <c r="E940" s="181"/>
      <c r="F940" s="179"/>
      <c r="G940" s="549"/>
      <c r="H940" s="181"/>
      <c r="I940" s="181"/>
      <c r="J940" s="181"/>
      <c r="K940" s="156"/>
      <c r="L940" s="549"/>
      <c r="M940" s="181"/>
      <c r="N940" s="181"/>
      <c r="O940" s="181"/>
      <c r="P940" s="156"/>
      <c r="Q940" s="562"/>
      <c r="R940" s="181"/>
      <c r="S940" s="181"/>
      <c r="T940" s="181"/>
      <c r="U940" s="179"/>
      <c r="V940" s="549"/>
      <c r="W940" s="181"/>
      <c r="X940" s="181"/>
      <c r="Y940" s="181"/>
      <c r="Z940" s="179"/>
      <c r="AA940" s="549"/>
      <c r="AB940" s="181"/>
      <c r="AC940" s="181"/>
      <c r="AD940" s="181"/>
      <c r="AE940" s="179"/>
      <c r="AF940" s="549"/>
      <c r="AG940" s="181"/>
      <c r="AH940" s="181"/>
      <c r="AI940" s="181"/>
      <c r="AJ940" s="179"/>
      <c r="AK940" s="549"/>
      <c r="AL940" s="181"/>
      <c r="AM940" s="181"/>
      <c r="AN940" s="181"/>
      <c r="AO940" s="179"/>
      <c r="AP940" s="549"/>
      <c r="AQ940" s="181"/>
      <c r="AR940" s="181"/>
      <c r="AS940" s="181"/>
      <c r="AT940" s="528"/>
      <c r="AU940" s="528"/>
      <c r="AV940" s="528"/>
      <c r="AW940" s="528"/>
      <c r="AX940" s="528"/>
      <c r="AY940" s="528"/>
      <c r="AZ940" s="528"/>
      <c r="BA940" s="528"/>
      <c r="BB940" s="528"/>
      <c r="BC940" s="528"/>
      <c r="BD940" s="528"/>
      <c r="BE940" s="528"/>
      <c r="BF940" s="528"/>
      <c r="BG940" s="528"/>
      <c r="BH940" s="528"/>
    </row>
    <row r="941">
      <c r="A941" s="179"/>
      <c r="B941" s="549"/>
      <c r="C941" s="181"/>
      <c r="D941" s="181"/>
      <c r="E941" s="181"/>
      <c r="F941" s="179"/>
      <c r="G941" s="549"/>
      <c r="H941" s="181"/>
      <c r="I941" s="181"/>
      <c r="J941" s="181"/>
      <c r="K941" s="156"/>
      <c r="L941" s="549"/>
      <c r="M941" s="181"/>
      <c r="N941" s="181"/>
      <c r="O941" s="181"/>
      <c r="P941" s="156"/>
      <c r="Q941" s="562"/>
      <c r="R941" s="181"/>
      <c r="S941" s="181"/>
      <c r="T941" s="181"/>
      <c r="U941" s="179"/>
      <c r="V941" s="549"/>
      <c r="W941" s="181"/>
      <c r="X941" s="181"/>
      <c r="Y941" s="181"/>
      <c r="Z941" s="179"/>
      <c r="AA941" s="549"/>
      <c r="AB941" s="181"/>
      <c r="AC941" s="181"/>
      <c r="AD941" s="181"/>
      <c r="AE941" s="179"/>
      <c r="AF941" s="549"/>
      <c r="AG941" s="181"/>
      <c r="AH941" s="181"/>
      <c r="AI941" s="181"/>
      <c r="AJ941" s="179"/>
      <c r="AK941" s="549"/>
      <c r="AL941" s="181"/>
      <c r="AM941" s="181"/>
      <c r="AN941" s="181"/>
      <c r="AO941" s="179"/>
      <c r="AP941" s="549"/>
      <c r="AQ941" s="181"/>
      <c r="AR941" s="181"/>
      <c r="AS941" s="181"/>
      <c r="AT941" s="528"/>
      <c r="AU941" s="528"/>
      <c r="AV941" s="528"/>
      <c r="AW941" s="528"/>
      <c r="AX941" s="528"/>
      <c r="AY941" s="528"/>
      <c r="AZ941" s="528"/>
      <c r="BA941" s="528"/>
      <c r="BB941" s="528"/>
      <c r="BC941" s="528"/>
      <c r="BD941" s="528"/>
      <c r="BE941" s="528"/>
      <c r="BF941" s="528"/>
      <c r="BG941" s="528"/>
      <c r="BH941" s="528"/>
    </row>
    <row r="942">
      <c r="A942" s="179"/>
      <c r="B942" s="549"/>
      <c r="C942" s="181"/>
      <c r="D942" s="181"/>
      <c r="E942" s="181"/>
      <c r="F942" s="179"/>
      <c r="G942" s="549"/>
      <c r="H942" s="181"/>
      <c r="I942" s="181"/>
      <c r="J942" s="181"/>
      <c r="K942" s="156"/>
      <c r="L942" s="549"/>
      <c r="M942" s="181"/>
      <c r="N942" s="181"/>
      <c r="O942" s="181"/>
      <c r="P942" s="156"/>
      <c r="Q942" s="562"/>
      <c r="R942" s="181"/>
      <c r="S942" s="181"/>
      <c r="T942" s="181"/>
      <c r="U942" s="179"/>
      <c r="V942" s="549"/>
      <c r="W942" s="181"/>
      <c r="X942" s="181"/>
      <c r="Y942" s="181"/>
      <c r="Z942" s="179"/>
      <c r="AA942" s="549"/>
      <c r="AB942" s="181"/>
      <c r="AC942" s="181"/>
      <c r="AD942" s="181"/>
      <c r="AE942" s="179"/>
      <c r="AF942" s="549"/>
      <c r="AG942" s="181"/>
      <c r="AH942" s="181"/>
      <c r="AI942" s="181"/>
      <c r="AJ942" s="179"/>
      <c r="AK942" s="549"/>
      <c r="AL942" s="181"/>
      <c r="AM942" s="181"/>
      <c r="AN942" s="181"/>
      <c r="AO942" s="179"/>
      <c r="AP942" s="549"/>
      <c r="AQ942" s="181"/>
      <c r="AR942" s="181"/>
      <c r="AS942" s="181"/>
      <c r="AT942" s="528"/>
      <c r="AU942" s="528"/>
      <c r="AV942" s="528"/>
      <c r="AW942" s="528"/>
      <c r="AX942" s="528"/>
      <c r="AY942" s="528"/>
      <c r="AZ942" s="528"/>
      <c r="BA942" s="528"/>
      <c r="BB942" s="528"/>
      <c r="BC942" s="528"/>
      <c r="BD942" s="528"/>
      <c r="BE942" s="528"/>
      <c r="BF942" s="528"/>
      <c r="BG942" s="528"/>
      <c r="BH942" s="528"/>
    </row>
    <row r="943">
      <c r="A943" s="179"/>
      <c r="B943" s="549"/>
      <c r="C943" s="181"/>
      <c r="D943" s="181"/>
      <c r="E943" s="181"/>
      <c r="F943" s="179"/>
      <c r="G943" s="549"/>
      <c r="H943" s="181"/>
      <c r="I943" s="181"/>
      <c r="J943" s="181"/>
      <c r="K943" s="156"/>
      <c r="L943" s="549"/>
      <c r="M943" s="181"/>
      <c r="N943" s="181"/>
      <c r="O943" s="181"/>
      <c r="P943" s="156"/>
      <c r="Q943" s="562"/>
      <c r="R943" s="181"/>
      <c r="S943" s="181"/>
      <c r="T943" s="181"/>
      <c r="U943" s="179"/>
      <c r="V943" s="549"/>
      <c r="W943" s="181"/>
      <c r="X943" s="181"/>
      <c r="Y943" s="181"/>
      <c r="Z943" s="179"/>
      <c r="AA943" s="549"/>
      <c r="AB943" s="181"/>
      <c r="AC943" s="181"/>
      <c r="AD943" s="181"/>
      <c r="AE943" s="179"/>
      <c r="AF943" s="549"/>
      <c r="AG943" s="181"/>
      <c r="AH943" s="181"/>
      <c r="AI943" s="181"/>
      <c r="AJ943" s="179"/>
      <c r="AK943" s="549"/>
      <c r="AL943" s="181"/>
      <c r="AM943" s="181"/>
      <c r="AN943" s="181"/>
      <c r="AO943" s="179"/>
      <c r="AP943" s="549"/>
      <c r="AQ943" s="181"/>
      <c r="AR943" s="181"/>
      <c r="AS943" s="181"/>
      <c r="AT943" s="528"/>
      <c r="AU943" s="528"/>
      <c r="AV943" s="528"/>
      <c r="AW943" s="528"/>
      <c r="AX943" s="528"/>
      <c r="AY943" s="528"/>
      <c r="AZ943" s="528"/>
      <c r="BA943" s="528"/>
      <c r="BB943" s="528"/>
      <c r="BC943" s="528"/>
      <c r="BD943" s="528"/>
      <c r="BE943" s="528"/>
      <c r="BF943" s="528"/>
      <c r="BG943" s="528"/>
      <c r="BH943" s="528"/>
    </row>
    <row r="944">
      <c r="A944" s="179"/>
      <c r="B944" s="549"/>
      <c r="C944" s="181"/>
      <c r="D944" s="181"/>
      <c r="E944" s="181"/>
      <c r="F944" s="179"/>
      <c r="G944" s="549"/>
      <c r="H944" s="181"/>
      <c r="I944" s="181"/>
      <c r="J944" s="181"/>
      <c r="K944" s="156"/>
      <c r="L944" s="549"/>
      <c r="M944" s="181"/>
      <c r="N944" s="181"/>
      <c r="O944" s="181"/>
      <c r="P944" s="156"/>
      <c r="Q944" s="562"/>
      <c r="R944" s="181"/>
      <c r="S944" s="181"/>
      <c r="T944" s="181"/>
      <c r="U944" s="179"/>
      <c r="V944" s="549"/>
      <c r="W944" s="181"/>
      <c r="X944" s="181"/>
      <c r="Y944" s="181"/>
      <c r="Z944" s="179"/>
      <c r="AA944" s="549"/>
      <c r="AB944" s="181"/>
      <c r="AC944" s="181"/>
      <c r="AD944" s="181"/>
      <c r="AE944" s="179"/>
      <c r="AF944" s="549"/>
      <c r="AG944" s="181"/>
      <c r="AH944" s="181"/>
      <c r="AI944" s="181"/>
      <c r="AJ944" s="179"/>
      <c r="AK944" s="549"/>
      <c r="AL944" s="181"/>
      <c r="AM944" s="181"/>
      <c r="AN944" s="181"/>
      <c r="AO944" s="179"/>
      <c r="AP944" s="549"/>
      <c r="AQ944" s="181"/>
      <c r="AR944" s="181"/>
      <c r="AS944" s="181"/>
      <c r="AT944" s="528"/>
      <c r="AU944" s="528"/>
      <c r="AV944" s="528"/>
      <c r="AW944" s="528"/>
      <c r="AX944" s="528"/>
      <c r="AY944" s="528"/>
      <c r="AZ944" s="528"/>
      <c r="BA944" s="528"/>
      <c r="BB944" s="528"/>
      <c r="BC944" s="528"/>
      <c r="BD944" s="528"/>
      <c r="BE944" s="528"/>
      <c r="BF944" s="528"/>
      <c r="BG944" s="528"/>
      <c r="BH944" s="528"/>
    </row>
    <row r="945">
      <c r="A945" s="179"/>
      <c r="B945" s="549"/>
      <c r="C945" s="181"/>
      <c r="D945" s="181"/>
      <c r="E945" s="181"/>
      <c r="F945" s="179"/>
      <c r="G945" s="549"/>
      <c r="H945" s="181"/>
      <c r="I945" s="181"/>
      <c r="J945" s="181"/>
      <c r="K945" s="156"/>
      <c r="L945" s="549"/>
      <c r="M945" s="181"/>
      <c r="N945" s="181"/>
      <c r="O945" s="181"/>
      <c r="P945" s="156"/>
      <c r="Q945" s="562"/>
      <c r="R945" s="181"/>
      <c r="S945" s="181"/>
      <c r="T945" s="181"/>
      <c r="U945" s="179"/>
      <c r="V945" s="549"/>
      <c r="W945" s="181"/>
      <c r="X945" s="181"/>
      <c r="Y945" s="181"/>
      <c r="Z945" s="179"/>
      <c r="AA945" s="549"/>
      <c r="AB945" s="181"/>
      <c r="AC945" s="181"/>
      <c r="AD945" s="181"/>
      <c r="AE945" s="179"/>
      <c r="AF945" s="549"/>
      <c r="AG945" s="181"/>
      <c r="AH945" s="181"/>
      <c r="AI945" s="181"/>
      <c r="AJ945" s="179"/>
      <c r="AK945" s="549"/>
      <c r="AL945" s="181"/>
      <c r="AM945" s="181"/>
      <c r="AN945" s="181"/>
      <c r="AO945" s="179"/>
      <c r="AP945" s="549"/>
      <c r="AQ945" s="181"/>
      <c r="AR945" s="181"/>
      <c r="AS945" s="181"/>
      <c r="AT945" s="528"/>
      <c r="AU945" s="528"/>
      <c r="AV945" s="528"/>
      <c r="AW945" s="528"/>
      <c r="AX945" s="528"/>
      <c r="AY945" s="528"/>
      <c r="AZ945" s="528"/>
      <c r="BA945" s="528"/>
      <c r="BB945" s="528"/>
      <c r="BC945" s="528"/>
      <c r="BD945" s="528"/>
      <c r="BE945" s="528"/>
      <c r="BF945" s="528"/>
      <c r="BG945" s="528"/>
      <c r="BH945" s="528"/>
    </row>
    <row r="946">
      <c r="A946" s="179"/>
      <c r="B946" s="549"/>
      <c r="C946" s="181"/>
      <c r="D946" s="181"/>
      <c r="E946" s="181"/>
      <c r="F946" s="179"/>
      <c r="G946" s="549"/>
      <c r="H946" s="181"/>
      <c r="I946" s="181"/>
      <c r="J946" s="181"/>
      <c r="K946" s="156"/>
      <c r="L946" s="549"/>
      <c r="M946" s="181"/>
      <c r="N946" s="181"/>
      <c r="O946" s="181"/>
      <c r="P946" s="156"/>
      <c r="Q946" s="562"/>
      <c r="R946" s="181"/>
      <c r="S946" s="181"/>
      <c r="T946" s="181"/>
      <c r="U946" s="179"/>
      <c r="V946" s="549"/>
      <c r="W946" s="181"/>
      <c r="X946" s="181"/>
      <c r="Y946" s="181"/>
      <c r="Z946" s="179"/>
      <c r="AA946" s="549"/>
      <c r="AB946" s="181"/>
      <c r="AC946" s="181"/>
      <c r="AD946" s="181"/>
      <c r="AE946" s="179"/>
      <c r="AF946" s="549"/>
      <c r="AG946" s="181"/>
      <c r="AH946" s="181"/>
      <c r="AI946" s="181"/>
      <c r="AJ946" s="179"/>
      <c r="AK946" s="549"/>
      <c r="AL946" s="181"/>
      <c r="AM946" s="181"/>
      <c r="AN946" s="181"/>
      <c r="AO946" s="179"/>
      <c r="AP946" s="549"/>
      <c r="AQ946" s="181"/>
      <c r="AR946" s="181"/>
      <c r="AS946" s="181"/>
      <c r="AT946" s="528"/>
      <c r="AU946" s="528"/>
      <c r="AV946" s="528"/>
      <c r="AW946" s="528"/>
      <c r="AX946" s="528"/>
      <c r="AY946" s="528"/>
      <c r="AZ946" s="528"/>
      <c r="BA946" s="528"/>
      <c r="BB946" s="528"/>
      <c r="BC946" s="528"/>
      <c r="BD946" s="528"/>
      <c r="BE946" s="528"/>
      <c r="BF946" s="528"/>
      <c r="BG946" s="528"/>
      <c r="BH946" s="528"/>
    </row>
    <row r="947">
      <c r="A947" s="179"/>
      <c r="B947" s="549"/>
      <c r="C947" s="181"/>
      <c r="D947" s="181"/>
      <c r="E947" s="181"/>
      <c r="F947" s="179"/>
      <c r="G947" s="549"/>
      <c r="H947" s="181"/>
      <c r="I947" s="181"/>
      <c r="J947" s="181"/>
      <c r="K947" s="156"/>
      <c r="L947" s="549"/>
      <c r="M947" s="181"/>
      <c r="N947" s="181"/>
      <c r="O947" s="181"/>
      <c r="P947" s="156"/>
      <c r="Q947" s="562"/>
      <c r="R947" s="181"/>
      <c r="S947" s="181"/>
      <c r="T947" s="181"/>
      <c r="U947" s="179"/>
      <c r="V947" s="549"/>
      <c r="W947" s="181"/>
      <c r="X947" s="181"/>
      <c r="Y947" s="181"/>
      <c r="Z947" s="179"/>
      <c r="AA947" s="549"/>
      <c r="AB947" s="181"/>
      <c r="AC947" s="181"/>
      <c r="AD947" s="181"/>
      <c r="AE947" s="179"/>
      <c r="AF947" s="549"/>
      <c r="AG947" s="181"/>
      <c r="AH947" s="181"/>
      <c r="AI947" s="181"/>
      <c r="AJ947" s="179"/>
      <c r="AK947" s="549"/>
      <c r="AL947" s="181"/>
      <c r="AM947" s="181"/>
      <c r="AN947" s="181"/>
      <c r="AO947" s="179"/>
      <c r="AP947" s="549"/>
      <c r="AQ947" s="181"/>
      <c r="AR947" s="181"/>
      <c r="AS947" s="181"/>
      <c r="AT947" s="528"/>
      <c r="AU947" s="528"/>
      <c r="AV947" s="528"/>
      <c r="AW947" s="528"/>
      <c r="AX947" s="528"/>
      <c r="AY947" s="528"/>
      <c r="AZ947" s="528"/>
      <c r="BA947" s="528"/>
      <c r="BB947" s="528"/>
      <c r="BC947" s="528"/>
      <c r="BD947" s="528"/>
      <c r="BE947" s="528"/>
      <c r="BF947" s="528"/>
      <c r="BG947" s="528"/>
      <c r="BH947" s="528"/>
    </row>
    <row r="948">
      <c r="A948" s="179"/>
      <c r="B948" s="549"/>
      <c r="C948" s="181"/>
      <c r="D948" s="181"/>
      <c r="E948" s="181"/>
      <c r="F948" s="179"/>
      <c r="G948" s="549"/>
      <c r="H948" s="181"/>
      <c r="I948" s="181"/>
      <c r="J948" s="181"/>
      <c r="K948" s="156"/>
      <c r="L948" s="549"/>
      <c r="M948" s="181"/>
      <c r="N948" s="181"/>
      <c r="O948" s="181"/>
      <c r="P948" s="156"/>
      <c r="Q948" s="562"/>
      <c r="R948" s="181"/>
      <c r="S948" s="181"/>
      <c r="T948" s="181"/>
      <c r="U948" s="179"/>
      <c r="V948" s="549"/>
      <c r="W948" s="181"/>
      <c r="X948" s="181"/>
      <c r="Y948" s="181"/>
      <c r="Z948" s="179"/>
      <c r="AA948" s="549"/>
      <c r="AB948" s="181"/>
      <c r="AC948" s="181"/>
      <c r="AD948" s="181"/>
      <c r="AE948" s="179"/>
      <c r="AF948" s="549"/>
      <c r="AG948" s="181"/>
      <c r="AH948" s="181"/>
      <c r="AI948" s="181"/>
      <c r="AJ948" s="179"/>
      <c r="AK948" s="549"/>
      <c r="AL948" s="181"/>
      <c r="AM948" s="181"/>
      <c r="AN948" s="181"/>
      <c r="AO948" s="179"/>
      <c r="AP948" s="549"/>
      <c r="AQ948" s="181"/>
      <c r="AR948" s="181"/>
      <c r="AS948" s="181"/>
      <c r="AT948" s="528"/>
      <c r="AU948" s="528"/>
      <c r="AV948" s="528"/>
      <c r="AW948" s="528"/>
      <c r="AX948" s="528"/>
      <c r="AY948" s="528"/>
      <c r="AZ948" s="528"/>
      <c r="BA948" s="528"/>
      <c r="BB948" s="528"/>
      <c r="BC948" s="528"/>
      <c r="BD948" s="528"/>
      <c r="BE948" s="528"/>
      <c r="BF948" s="528"/>
      <c r="BG948" s="528"/>
      <c r="BH948" s="528"/>
    </row>
    <row r="949">
      <c r="A949" s="179"/>
      <c r="B949" s="549"/>
      <c r="C949" s="181"/>
      <c r="D949" s="181"/>
      <c r="E949" s="181"/>
      <c r="F949" s="179"/>
      <c r="G949" s="549"/>
      <c r="H949" s="181"/>
      <c r="I949" s="181"/>
      <c r="J949" s="181"/>
      <c r="K949" s="156"/>
      <c r="L949" s="549"/>
      <c r="M949" s="181"/>
      <c r="N949" s="181"/>
      <c r="O949" s="181"/>
      <c r="P949" s="156"/>
      <c r="Q949" s="562"/>
      <c r="R949" s="181"/>
      <c r="S949" s="181"/>
      <c r="T949" s="181"/>
      <c r="U949" s="179"/>
      <c r="V949" s="549"/>
      <c r="W949" s="181"/>
      <c r="X949" s="181"/>
      <c r="Y949" s="181"/>
      <c r="Z949" s="179"/>
      <c r="AA949" s="549"/>
      <c r="AB949" s="181"/>
      <c r="AC949" s="181"/>
      <c r="AD949" s="181"/>
      <c r="AE949" s="179"/>
      <c r="AF949" s="549"/>
      <c r="AG949" s="181"/>
      <c r="AH949" s="181"/>
      <c r="AI949" s="181"/>
      <c r="AJ949" s="179"/>
      <c r="AK949" s="549"/>
      <c r="AL949" s="181"/>
      <c r="AM949" s="181"/>
      <c r="AN949" s="181"/>
      <c r="AO949" s="179"/>
      <c r="AP949" s="549"/>
      <c r="AQ949" s="181"/>
      <c r="AR949" s="181"/>
      <c r="AS949" s="181"/>
      <c r="AT949" s="528"/>
      <c r="AU949" s="528"/>
      <c r="AV949" s="528"/>
      <c r="AW949" s="528"/>
      <c r="AX949" s="528"/>
      <c r="AY949" s="528"/>
      <c r="AZ949" s="528"/>
      <c r="BA949" s="528"/>
      <c r="BB949" s="528"/>
      <c r="BC949" s="528"/>
      <c r="BD949" s="528"/>
      <c r="BE949" s="528"/>
      <c r="BF949" s="528"/>
      <c r="BG949" s="528"/>
      <c r="BH949" s="528"/>
    </row>
    <row r="950">
      <c r="A950" s="179"/>
      <c r="B950" s="549"/>
      <c r="C950" s="181"/>
      <c r="D950" s="181"/>
      <c r="E950" s="181"/>
      <c r="F950" s="179"/>
      <c r="G950" s="549"/>
      <c r="H950" s="181"/>
      <c r="I950" s="181"/>
      <c r="J950" s="181"/>
      <c r="K950" s="156"/>
      <c r="L950" s="549"/>
      <c r="M950" s="181"/>
      <c r="N950" s="181"/>
      <c r="O950" s="181"/>
      <c r="P950" s="156"/>
      <c r="Q950" s="562"/>
      <c r="R950" s="181"/>
      <c r="S950" s="181"/>
      <c r="T950" s="181"/>
      <c r="U950" s="179"/>
      <c r="V950" s="549"/>
      <c r="W950" s="181"/>
      <c r="X950" s="181"/>
      <c r="Y950" s="181"/>
      <c r="Z950" s="179"/>
      <c r="AA950" s="549"/>
      <c r="AB950" s="181"/>
      <c r="AC950" s="181"/>
      <c r="AD950" s="181"/>
      <c r="AE950" s="179"/>
      <c r="AF950" s="549"/>
      <c r="AG950" s="181"/>
      <c r="AH950" s="181"/>
      <c r="AI950" s="181"/>
      <c r="AJ950" s="179"/>
      <c r="AK950" s="549"/>
      <c r="AL950" s="181"/>
      <c r="AM950" s="181"/>
      <c r="AN950" s="181"/>
      <c r="AO950" s="179"/>
      <c r="AP950" s="549"/>
      <c r="AQ950" s="181"/>
      <c r="AR950" s="181"/>
      <c r="AS950" s="181"/>
      <c r="AT950" s="528"/>
      <c r="AU950" s="528"/>
      <c r="AV950" s="528"/>
      <c r="AW950" s="528"/>
      <c r="AX950" s="528"/>
      <c r="AY950" s="528"/>
      <c r="AZ950" s="528"/>
      <c r="BA950" s="528"/>
      <c r="BB950" s="528"/>
      <c r="BC950" s="528"/>
      <c r="BD950" s="528"/>
      <c r="BE950" s="528"/>
      <c r="BF950" s="528"/>
      <c r="BG950" s="528"/>
      <c r="BH950" s="528"/>
    </row>
    <row r="951">
      <c r="A951" s="179"/>
      <c r="B951" s="549"/>
      <c r="C951" s="181"/>
      <c r="D951" s="181"/>
      <c r="E951" s="181"/>
      <c r="F951" s="179"/>
      <c r="G951" s="549"/>
      <c r="H951" s="181"/>
      <c r="I951" s="181"/>
      <c r="J951" s="181"/>
      <c r="K951" s="156"/>
      <c r="L951" s="549"/>
      <c r="M951" s="181"/>
      <c r="N951" s="181"/>
      <c r="O951" s="181"/>
      <c r="P951" s="156"/>
      <c r="Q951" s="562"/>
      <c r="R951" s="181"/>
      <c r="S951" s="181"/>
      <c r="T951" s="181"/>
      <c r="U951" s="179"/>
      <c r="V951" s="549"/>
      <c r="W951" s="181"/>
      <c r="X951" s="181"/>
      <c r="Y951" s="181"/>
      <c r="Z951" s="179"/>
      <c r="AA951" s="549"/>
      <c r="AB951" s="181"/>
      <c r="AC951" s="181"/>
      <c r="AD951" s="181"/>
      <c r="AE951" s="179"/>
      <c r="AF951" s="549"/>
      <c r="AG951" s="181"/>
      <c r="AH951" s="181"/>
      <c r="AI951" s="181"/>
      <c r="AJ951" s="179"/>
      <c r="AK951" s="549"/>
      <c r="AL951" s="181"/>
      <c r="AM951" s="181"/>
      <c r="AN951" s="181"/>
      <c r="AO951" s="179"/>
      <c r="AP951" s="549"/>
      <c r="AQ951" s="181"/>
      <c r="AR951" s="181"/>
      <c r="AS951" s="181"/>
      <c r="AT951" s="528"/>
      <c r="AU951" s="528"/>
      <c r="AV951" s="528"/>
      <c r="AW951" s="528"/>
      <c r="AX951" s="528"/>
      <c r="AY951" s="528"/>
      <c r="AZ951" s="528"/>
      <c r="BA951" s="528"/>
      <c r="BB951" s="528"/>
      <c r="BC951" s="528"/>
      <c r="BD951" s="528"/>
      <c r="BE951" s="528"/>
      <c r="BF951" s="528"/>
      <c r="BG951" s="528"/>
      <c r="BH951" s="528"/>
    </row>
    <row r="952">
      <c r="A952" s="179"/>
      <c r="B952" s="549"/>
      <c r="C952" s="181"/>
      <c r="D952" s="181"/>
      <c r="E952" s="181"/>
      <c r="F952" s="179"/>
      <c r="G952" s="549"/>
      <c r="H952" s="181"/>
      <c r="I952" s="181"/>
      <c r="J952" s="181"/>
      <c r="K952" s="156"/>
      <c r="L952" s="549"/>
      <c r="M952" s="181"/>
      <c r="N952" s="181"/>
      <c r="O952" s="181"/>
      <c r="P952" s="156"/>
      <c r="Q952" s="562"/>
      <c r="R952" s="181"/>
      <c r="S952" s="181"/>
      <c r="T952" s="181"/>
      <c r="U952" s="179"/>
      <c r="V952" s="549"/>
      <c r="W952" s="181"/>
      <c r="X952" s="181"/>
      <c r="Y952" s="181"/>
      <c r="Z952" s="179"/>
      <c r="AA952" s="549"/>
      <c r="AB952" s="181"/>
      <c r="AC952" s="181"/>
      <c r="AD952" s="181"/>
      <c r="AE952" s="179"/>
      <c r="AF952" s="549"/>
      <c r="AG952" s="181"/>
      <c r="AH952" s="181"/>
      <c r="AI952" s="181"/>
      <c r="AJ952" s="179"/>
      <c r="AK952" s="549"/>
      <c r="AL952" s="181"/>
      <c r="AM952" s="181"/>
      <c r="AN952" s="181"/>
      <c r="AO952" s="179"/>
      <c r="AP952" s="549"/>
      <c r="AQ952" s="181"/>
      <c r="AR952" s="181"/>
      <c r="AS952" s="181"/>
      <c r="AT952" s="528"/>
      <c r="AU952" s="528"/>
      <c r="AV952" s="528"/>
      <c r="AW952" s="528"/>
      <c r="AX952" s="528"/>
      <c r="AY952" s="528"/>
      <c r="AZ952" s="528"/>
      <c r="BA952" s="528"/>
      <c r="BB952" s="528"/>
      <c r="BC952" s="528"/>
      <c r="BD952" s="528"/>
      <c r="BE952" s="528"/>
      <c r="BF952" s="528"/>
      <c r="BG952" s="528"/>
      <c r="BH952" s="528"/>
    </row>
    <row r="953">
      <c r="A953" s="179"/>
      <c r="B953" s="549"/>
      <c r="C953" s="181"/>
      <c r="D953" s="181"/>
      <c r="E953" s="181"/>
      <c r="F953" s="179"/>
      <c r="G953" s="549"/>
      <c r="H953" s="181"/>
      <c r="I953" s="181"/>
      <c r="J953" s="181"/>
      <c r="K953" s="156"/>
      <c r="L953" s="549"/>
      <c r="M953" s="181"/>
      <c r="N953" s="181"/>
      <c r="O953" s="181"/>
      <c r="P953" s="156"/>
      <c r="Q953" s="562"/>
      <c r="R953" s="181"/>
      <c r="S953" s="181"/>
      <c r="T953" s="181"/>
      <c r="U953" s="179"/>
      <c r="V953" s="549"/>
      <c r="W953" s="181"/>
      <c r="X953" s="181"/>
      <c r="Y953" s="181"/>
      <c r="Z953" s="179"/>
      <c r="AA953" s="549"/>
      <c r="AB953" s="181"/>
      <c r="AC953" s="181"/>
      <c r="AD953" s="181"/>
      <c r="AE953" s="179"/>
      <c r="AF953" s="549"/>
      <c r="AG953" s="181"/>
      <c r="AH953" s="181"/>
      <c r="AI953" s="181"/>
      <c r="AJ953" s="179"/>
      <c r="AK953" s="549"/>
      <c r="AL953" s="181"/>
      <c r="AM953" s="181"/>
      <c r="AN953" s="181"/>
      <c r="AO953" s="179"/>
      <c r="AP953" s="549"/>
      <c r="AQ953" s="181"/>
      <c r="AR953" s="181"/>
      <c r="AS953" s="181"/>
      <c r="AT953" s="528"/>
      <c r="AU953" s="528"/>
      <c r="AV953" s="528"/>
      <c r="AW953" s="528"/>
      <c r="AX953" s="528"/>
      <c r="AY953" s="528"/>
      <c r="AZ953" s="528"/>
      <c r="BA953" s="528"/>
      <c r="BB953" s="528"/>
      <c r="BC953" s="528"/>
      <c r="BD953" s="528"/>
      <c r="BE953" s="528"/>
      <c r="BF953" s="528"/>
      <c r="BG953" s="528"/>
      <c r="BH953" s="528"/>
    </row>
    <row r="954">
      <c r="A954" s="179"/>
      <c r="B954" s="549"/>
      <c r="C954" s="181"/>
      <c r="D954" s="181"/>
      <c r="E954" s="181"/>
      <c r="F954" s="179"/>
      <c r="G954" s="549"/>
      <c r="H954" s="181"/>
      <c r="I954" s="181"/>
      <c r="J954" s="181"/>
      <c r="K954" s="156"/>
      <c r="L954" s="549"/>
      <c r="M954" s="181"/>
      <c r="N954" s="181"/>
      <c r="O954" s="181"/>
      <c r="P954" s="156"/>
      <c r="Q954" s="562"/>
      <c r="R954" s="181"/>
      <c r="S954" s="181"/>
      <c r="T954" s="181"/>
      <c r="U954" s="179"/>
      <c r="V954" s="549"/>
      <c r="W954" s="181"/>
      <c r="X954" s="181"/>
      <c r="Y954" s="181"/>
      <c r="Z954" s="179"/>
      <c r="AA954" s="549"/>
      <c r="AB954" s="181"/>
      <c r="AC954" s="181"/>
      <c r="AD954" s="181"/>
      <c r="AE954" s="179"/>
      <c r="AF954" s="549"/>
      <c r="AG954" s="181"/>
      <c r="AH954" s="181"/>
      <c r="AI954" s="181"/>
      <c r="AJ954" s="179"/>
      <c r="AK954" s="549"/>
      <c r="AL954" s="181"/>
      <c r="AM954" s="181"/>
      <c r="AN954" s="181"/>
      <c r="AO954" s="179"/>
      <c r="AP954" s="549"/>
      <c r="AQ954" s="181"/>
      <c r="AR954" s="181"/>
      <c r="AS954" s="181"/>
      <c r="AT954" s="528"/>
      <c r="AU954" s="528"/>
      <c r="AV954" s="528"/>
      <c r="AW954" s="528"/>
      <c r="AX954" s="528"/>
      <c r="AY954" s="528"/>
      <c r="AZ954" s="528"/>
      <c r="BA954" s="528"/>
      <c r="BB954" s="528"/>
      <c r="BC954" s="528"/>
      <c r="BD954" s="528"/>
      <c r="BE954" s="528"/>
      <c r="BF954" s="528"/>
      <c r="BG954" s="528"/>
      <c r="BH954" s="528"/>
    </row>
    <row r="955">
      <c r="A955" s="179"/>
      <c r="B955" s="549"/>
      <c r="C955" s="181"/>
      <c r="D955" s="181"/>
      <c r="E955" s="181"/>
      <c r="F955" s="179"/>
      <c r="G955" s="549"/>
      <c r="H955" s="181"/>
      <c r="I955" s="181"/>
      <c r="J955" s="181"/>
      <c r="K955" s="156"/>
      <c r="L955" s="549"/>
      <c r="M955" s="181"/>
      <c r="N955" s="181"/>
      <c r="O955" s="181"/>
      <c r="P955" s="156"/>
      <c r="Q955" s="562"/>
      <c r="R955" s="181"/>
      <c r="S955" s="181"/>
      <c r="T955" s="181"/>
      <c r="U955" s="179"/>
      <c r="V955" s="549"/>
      <c r="W955" s="181"/>
      <c r="X955" s="181"/>
      <c r="Y955" s="181"/>
      <c r="Z955" s="179"/>
      <c r="AA955" s="549"/>
      <c r="AB955" s="181"/>
      <c r="AC955" s="181"/>
      <c r="AD955" s="181"/>
      <c r="AE955" s="179"/>
      <c r="AF955" s="549"/>
      <c r="AG955" s="181"/>
      <c r="AH955" s="181"/>
      <c r="AI955" s="181"/>
      <c r="AJ955" s="179"/>
      <c r="AK955" s="549"/>
      <c r="AL955" s="181"/>
      <c r="AM955" s="181"/>
      <c r="AN955" s="181"/>
      <c r="AO955" s="179"/>
      <c r="AP955" s="549"/>
      <c r="AQ955" s="181"/>
      <c r="AR955" s="181"/>
      <c r="AS955" s="181"/>
      <c r="AT955" s="528"/>
      <c r="AU955" s="528"/>
      <c r="AV955" s="528"/>
      <c r="AW955" s="528"/>
      <c r="AX955" s="528"/>
      <c r="AY955" s="528"/>
      <c r="AZ955" s="528"/>
      <c r="BA955" s="528"/>
      <c r="BB955" s="528"/>
      <c r="BC955" s="528"/>
      <c r="BD955" s="528"/>
      <c r="BE955" s="528"/>
      <c r="BF955" s="528"/>
      <c r="BG955" s="528"/>
      <c r="BH955" s="528"/>
    </row>
    <row r="956">
      <c r="A956" s="179"/>
      <c r="B956" s="549"/>
      <c r="C956" s="181"/>
      <c r="D956" s="181"/>
      <c r="E956" s="181"/>
      <c r="F956" s="179"/>
      <c r="G956" s="549"/>
      <c r="H956" s="181"/>
      <c r="I956" s="181"/>
      <c r="J956" s="181"/>
      <c r="K956" s="156"/>
      <c r="L956" s="549"/>
      <c r="M956" s="181"/>
      <c r="N956" s="181"/>
      <c r="O956" s="181"/>
      <c r="P956" s="156"/>
      <c r="Q956" s="562"/>
      <c r="R956" s="181"/>
      <c r="S956" s="181"/>
      <c r="T956" s="181"/>
      <c r="U956" s="179"/>
      <c r="V956" s="549"/>
      <c r="W956" s="181"/>
      <c r="X956" s="181"/>
      <c r="Y956" s="181"/>
      <c r="Z956" s="179"/>
      <c r="AA956" s="549"/>
      <c r="AB956" s="181"/>
      <c r="AC956" s="181"/>
      <c r="AD956" s="181"/>
      <c r="AE956" s="179"/>
      <c r="AF956" s="549"/>
      <c r="AG956" s="181"/>
      <c r="AH956" s="181"/>
      <c r="AI956" s="181"/>
      <c r="AJ956" s="179"/>
      <c r="AK956" s="549"/>
      <c r="AL956" s="181"/>
      <c r="AM956" s="181"/>
      <c r="AN956" s="181"/>
      <c r="AO956" s="179"/>
      <c r="AP956" s="549"/>
      <c r="AQ956" s="181"/>
      <c r="AR956" s="181"/>
      <c r="AS956" s="181"/>
      <c r="AT956" s="528"/>
      <c r="AU956" s="528"/>
      <c r="AV956" s="528"/>
      <c r="AW956" s="528"/>
      <c r="AX956" s="528"/>
      <c r="AY956" s="528"/>
      <c r="AZ956" s="528"/>
      <c r="BA956" s="528"/>
      <c r="BB956" s="528"/>
      <c r="BC956" s="528"/>
      <c r="BD956" s="528"/>
      <c r="BE956" s="528"/>
      <c r="BF956" s="528"/>
      <c r="BG956" s="528"/>
      <c r="BH956" s="528"/>
    </row>
    <row r="957">
      <c r="A957" s="179"/>
      <c r="B957" s="549"/>
      <c r="C957" s="181"/>
      <c r="D957" s="181"/>
      <c r="E957" s="181"/>
      <c r="F957" s="179"/>
      <c r="G957" s="549"/>
      <c r="H957" s="181"/>
      <c r="I957" s="181"/>
      <c r="J957" s="181"/>
      <c r="K957" s="156"/>
      <c r="L957" s="549"/>
      <c r="M957" s="181"/>
      <c r="N957" s="181"/>
      <c r="O957" s="181"/>
      <c r="P957" s="156"/>
      <c r="Q957" s="562"/>
      <c r="R957" s="181"/>
      <c r="S957" s="181"/>
      <c r="T957" s="181"/>
      <c r="U957" s="179"/>
      <c r="V957" s="549"/>
      <c r="W957" s="181"/>
      <c r="X957" s="181"/>
      <c r="Y957" s="181"/>
      <c r="Z957" s="179"/>
      <c r="AA957" s="549"/>
      <c r="AB957" s="181"/>
      <c r="AC957" s="181"/>
      <c r="AD957" s="181"/>
      <c r="AE957" s="179"/>
      <c r="AF957" s="549"/>
      <c r="AG957" s="181"/>
      <c r="AH957" s="181"/>
      <c r="AI957" s="181"/>
      <c r="AJ957" s="179"/>
      <c r="AK957" s="549"/>
      <c r="AL957" s="181"/>
      <c r="AM957" s="181"/>
      <c r="AN957" s="181"/>
      <c r="AO957" s="179"/>
      <c r="AP957" s="549"/>
      <c r="AQ957" s="181"/>
      <c r="AR957" s="181"/>
      <c r="AS957" s="181"/>
      <c r="AT957" s="528"/>
      <c r="AU957" s="528"/>
      <c r="AV957" s="528"/>
      <c r="AW957" s="528"/>
      <c r="AX957" s="528"/>
      <c r="AY957" s="528"/>
      <c r="AZ957" s="528"/>
      <c r="BA957" s="528"/>
      <c r="BB957" s="528"/>
      <c r="BC957" s="528"/>
      <c r="BD957" s="528"/>
      <c r="BE957" s="528"/>
      <c r="BF957" s="528"/>
      <c r="BG957" s="528"/>
      <c r="BH957" s="528"/>
    </row>
    <row r="958">
      <c r="A958" s="179"/>
      <c r="B958" s="549"/>
      <c r="C958" s="181"/>
      <c r="D958" s="181"/>
      <c r="E958" s="181"/>
      <c r="F958" s="179"/>
      <c r="G958" s="549"/>
      <c r="H958" s="181"/>
      <c r="I958" s="181"/>
      <c r="J958" s="181"/>
      <c r="K958" s="156"/>
      <c r="L958" s="549"/>
      <c r="M958" s="181"/>
      <c r="N958" s="181"/>
      <c r="O958" s="181"/>
      <c r="P958" s="156"/>
      <c r="Q958" s="562"/>
      <c r="R958" s="181"/>
      <c r="S958" s="181"/>
      <c r="T958" s="181"/>
      <c r="U958" s="179"/>
      <c r="V958" s="549"/>
      <c r="W958" s="181"/>
      <c r="X958" s="181"/>
      <c r="Y958" s="181"/>
      <c r="Z958" s="179"/>
      <c r="AA958" s="549"/>
      <c r="AB958" s="181"/>
      <c r="AC958" s="181"/>
      <c r="AD958" s="181"/>
      <c r="AE958" s="179"/>
      <c r="AF958" s="549"/>
      <c r="AG958" s="181"/>
      <c r="AH958" s="181"/>
      <c r="AI958" s="181"/>
      <c r="AJ958" s="179"/>
      <c r="AK958" s="549"/>
      <c r="AL958" s="181"/>
      <c r="AM958" s="181"/>
      <c r="AN958" s="181"/>
      <c r="AO958" s="179"/>
      <c r="AP958" s="549"/>
      <c r="AQ958" s="181"/>
      <c r="AR958" s="181"/>
      <c r="AS958" s="181"/>
      <c r="AT958" s="528"/>
      <c r="AU958" s="528"/>
      <c r="AV958" s="528"/>
      <c r="AW958" s="528"/>
      <c r="AX958" s="528"/>
      <c r="AY958" s="528"/>
      <c r="AZ958" s="528"/>
      <c r="BA958" s="528"/>
      <c r="BB958" s="528"/>
      <c r="BC958" s="528"/>
      <c r="BD958" s="528"/>
      <c r="BE958" s="528"/>
      <c r="BF958" s="528"/>
      <c r="BG958" s="528"/>
      <c r="BH958" s="528"/>
    </row>
    <row r="959">
      <c r="A959" s="179"/>
      <c r="B959" s="549"/>
      <c r="C959" s="181"/>
      <c r="D959" s="181"/>
      <c r="E959" s="181"/>
      <c r="F959" s="179"/>
      <c r="G959" s="549"/>
      <c r="H959" s="181"/>
      <c r="I959" s="181"/>
      <c r="J959" s="181"/>
      <c r="K959" s="156"/>
      <c r="L959" s="549"/>
      <c r="M959" s="181"/>
      <c r="N959" s="181"/>
      <c r="O959" s="181"/>
      <c r="P959" s="156"/>
      <c r="Q959" s="562"/>
      <c r="R959" s="181"/>
      <c r="S959" s="181"/>
      <c r="T959" s="181"/>
      <c r="U959" s="179"/>
      <c r="V959" s="549"/>
      <c r="W959" s="181"/>
      <c r="X959" s="181"/>
      <c r="Y959" s="181"/>
      <c r="Z959" s="179"/>
      <c r="AA959" s="549"/>
      <c r="AB959" s="181"/>
      <c r="AC959" s="181"/>
      <c r="AD959" s="181"/>
      <c r="AE959" s="179"/>
      <c r="AF959" s="549"/>
      <c r="AG959" s="181"/>
      <c r="AH959" s="181"/>
      <c r="AI959" s="181"/>
      <c r="AJ959" s="179"/>
      <c r="AK959" s="549"/>
      <c r="AL959" s="181"/>
      <c r="AM959" s="181"/>
      <c r="AN959" s="181"/>
      <c r="AO959" s="179"/>
      <c r="AP959" s="549"/>
      <c r="AQ959" s="181"/>
      <c r="AR959" s="181"/>
      <c r="AS959" s="181"/>
      <c r="AT959" s="528"/>
      <c r="AU959" s="528"/>
      <c r="AV959" s="528"/>
      <c r="AW959" s="528"/>
      <c r="AX959" s="528"/>
      <c r="AY959" s="528"/>
      <c r="AZ959" s="528"/>
      <c r="BA959" s="528"/>
      <c r="BB959" s="528"/>
      <c r="BC959" s="528"/>
      <c r="BD959" s="528"/>
      <c r="BE959" s="528"/>
      <c r="BF959" s="528"/>
      <c r="BG959" s="528"/>
      <c r="BH959" s="528"/>
    </row>
    <row r="960">
      <c r="A960" s="179"/>
      <c r="B960" s="549"/>
      <c r="C960" s="181"/>
      <c r="D960" s="181"/>
      <c r="E960" s="181"/>
      <c r="F960" s="179"/>
      <c r="G960" s="549"/>
      <c r="H960" s="181"/>
      <c r="I960" s="181"/>
      <c r="J960" s="181"/>
      <c r="K960" s="156"/>
      <c r="L960" s="549"/>
      <c r="M960" s="181"/>
      <c r="N960" s="181"/>
      <c r="O960" s="181"/>
      <c r="P960" s="156"/>
      <c r="Q960" s="562"/>
      <c r="R960" s="181"/>
      <c r="S960" s="181"/>
      <c r="T960" s="181"/>
      <c r="U960" s="179"/>
      <c r="V960" s="549"/>
      <c r="W960" s="181"/>
      <c r="X960" s="181"/>
      <c r="Y960" s="181"/>
      <c r="Z960" s="179"/>
      <c r="AA960" s="549"/>
      <c r="AB960" s="181"/>
      <c r="AC960" s="181"/>
      <c r="AD960" s="181"/>
      <c r="AE960" s="179"/>
      <c r="AF960" s="549"/>
      <c r="AG960" s="181"/>
      <c r="AH960" s="181"/>
      <c r="AI960" s="181"/>
      <c r="AJ960" s="179"/>
      <c r="AK960" s="549"/>
      <c r="AL960" s="181"/>
      <c r="AM960" s="181"/>
      <c r="AN960" s="181"/>
      <c r="AO960" s="179"/>
      <c r="AP960" s="549"/>
      <c r="AQ960" s="181"/>
      <c r="AR960" s="181"/>
      <c r="AS960" s="181"/>
      <c r="AT960" s="528"/>
      <c r="AU960" s="528"/>
      <c r="AV960" s="528"/>
      <c r="AW960" s="528"/>
      <c r="AX960" s="528"/>
      <c r="AY960" s="528"/>
      <c r="AZ960" s="528"/>
      <c r="BA960" s="528"/>
      <c r="BB960" s="528"/>
      <c r="BC960" s="528"/>
      <c r="BD960" s="528"/>
      <c r="BE960" s="528"/>
      <c r="BF960" s="528"/>
      <c r="BG960" s="528"/>
      <c r="BH960" s="528"/>
    </row>
    <row r="961">
      <c r="A961" s="179"/>
      <c r="B961" s="549"/>
      <c r="C961" s="181"/>
      <c r="D961" s="181"/>
      <c r="E961" s="181"/>
      <c r="F961" s="179"/>
      <c r="G961" s="549"/>
      <c r="H961" s="181"/>
      <c r="I961" s="181"/>
      <c r="J961" s="181"/>
      <c r="K961" s="156"/>
      <c r="L961" s="549"/>
      <c r="M961" s="181"/>
      <c r="N961" s="181"/>
      <c r="O961" s="181"/>
      <c r="P961" s="156"/>
      <c r="Q961" s="562"/>
      <c r="R961" s="181"/>
      <c r="S961" s="181"/>
      <c r="T961" s="181"/>
      <c r="U961" s="179"/>
      <c r="V961" s="549"/>
      <c r="W961" s="181"/>
      <c r="X961" s="181"/>
      <c r="Y961" s="181"/>
      <c r="Z961" s="179"/>
      <c r="AA961" s="549"/>
      <c r="AB961" s="181"/>
      <c r="AC961" s="181"/>
      <c r="AD961" s="181"/>
      <c r="AE961" s="179"/>
      <c r="AF961" s="549"/>
      <c r="AG961" s="181"/>
      <c r="AH961" s="181"/>
      <c r="AI961" s="181"/>
      <c r="AJ961" s="179"/>
      <c r="AK961" s="549"/>
      <c r="AL961" s="181"/>
      <c r="AM961" s="181"/>
      <c r="AN961" s="181"/>
      <c r="AO961" s="179"/>
      <c r="AP961" s="549"/>
      <c r="AQ961" s="181"/>
      <c r="AR961" s="181"/>
      <c r="AS961" s="181"/>
      <c r="AT961" s="528"/>
      <c r="AU961" s="528"/>
      <c r="AV961" s="528"/>
      <c r="AW961" s="528"/>
      <c r="AX961" s="528"/>
      <c r="AY961" s="528"/>
      <c r="AZ961" s="528"/>
      <c r="BA961" s="528"/>
      <c r="BB961" s="528"/>
      <c r="BC961" s="528"/>
      <c r="BD961" s="528"/>
      <c r="BE961" s="528"/>
      <c r="BF961" s="528"/>
      <c r="BG961" s="528"/>
      <c r="BH961" s="528"/>
    </row>
    <row r="962">
      <c r="A962" s="179"/>
      <c r="B962" s="549"/>
      <c r="C962" s="181"/>
      <c r="D962" s="181"/>
      <c r="E962" s="181"/>
      <c r="F962" s="179"/>
      <c r="G962" s="549"/>
      <c r="H962" s="181"/>
      <c r="I962" s="181"/>
      <c r="J962" s="181"/>
      <c r="K962" s="156"/>
      <c r="L962" s="549"/>
      <c r="M962" s="181"/>
      <c r="N962" s="181"/>
      <c r="O962" s="181"/>
      <c r="P962" s="156"/>
      <c r="Q962" s="562"/>
      <c r="R962" s="181"/>
      <c r="S962" s="181"/>
      <c r="T962" s="181"/>
      <c r="U962" s="179"/>
      <c r="V962" s="549"/>
      <c r="W962" s="181"/>
      <c r="X962" s="181"/>
      <c r="Y962" s="181"/>
      <c r="Z962" s="179"/>
      <c r="AA962" s="549"/>
      <c r="AB962" s="181"/>
      <c r="AC962" s="181"/>
      <c r="AD962" s="181"/>
      <c r="AE962" s="179"/>
      <c r="AF962" s="549"/>
      <c r="AG962" s="181"/>
      <c r="AH962" s="181"/>
      <c r="AI962" s="181"/>
      <c r="AJ962" s="179"/>
      <c r="AK962" s="549"/>
      <c r="AL962" s="181"/>
      <c r="AM962" s="181"/>
      <c r="AN962" s="181"/>
      <c r="AO962" s="179"/>
      <c r="AP962" s="549"/>
      <c r="AQ962" s="181"/>
      <c r="AR962" s="181"/>
      <c r="AS962" s="181"/>
      <c r="AT962" s="528"/>
      <c r="AU962" s="528"/>
      <c r="AV962" s="528"/>
      <c r="AW962" s="528"/>
      <c r="AX962" s="528"/>
      <c r="AY962" s="528"/>
      <c r="AZ962" s="528"/>
      <c r="BA962" s="528"/>
      <c r="BB962" s="528"/>
      <c r="BC962" s="528"/>
      <c r="BD962" s="528"/>
      <c r="BE962" s="528"/>
      <c r="BF962" s="528"/>
      <c r="BG962" s="528"/>
      <c r="BH962" s="528"/>
    </row>
    <row r="963">
      <c r="A963" s="179"/>
      <c r="B963" s="549"/>
      <c r="C963" s="181"/>
      <c r="D963" s="181"/>
      <c r="E963" s="181"/>
      <c r="F963" s="179"/>
      <c r="G963" s="549"/>
      <c r="H963" s="181"/>
      <c r="I963" s="181"/>
      <c r="J963" s="181"/>
      <c r="K963" s="156"/>
      <c r="L963" s="549"/>
      <c r="M963" s="181"/>
      <c r="N963" s="181"/>
      <c r="O963" s="181"/>
      <c r="P963" s="156"/>
      <c r="Q963" s="562"/>
      <c r="R963" s="181"/>
      <c r="S963" s="181"/>
      <c r="T963" s="181"/>
      <c r="U963" s="179"/>
      <c r="V963" s="549"/>
      <c r="W963" s="181"/>
      <c r="X963" s="181"/>
      <c r="Y963" s="181"/>
      <c r="Z963" s="179"/>
      <c r="AA963" s="549"/>
      <c r="AB963" s="181"/>
      <c r="AC963" s="181"/>
      <c r="AD963" s="181"/>
      <c r="AE963" s="179"/>
      <c r="AF963" s="549"/>
      <c r="AG963" s="181"/>
      <c r="AH963" s="181"/>
      <c r="AI963" s="181"/>
      <c r="AJ963" s="179"/>
      <c r="AK963" s="549"/>
      <c r="AL963" s="181"/>
      <c r="AM963" s="181"/>
      <c r="AN963" s="181"/>
      <c r="AO963" s="179"/>
      <c r="AP963" s="549"/>
      <c r="AQ963" s="181"/>
      <c r="AR963" s="181"/>
      <c r="AS963" s="181"/>
      <c r="AT963" s="528"/>
      <c r="AU963" s="528"/>
      <c r="AV963" s="528"/>
      <c r="AW963" s="528"/>
      <c r="AX963" s="528"/>
      <c r="AY963" s="528"/>
      <c r="AZ963" s="528"/>
      <c r="BA963" s="528"/>
      <c r="BB963" s="528"/>
      <c r="BC963" s="528"/>
      <c r="BD963" s="528"/>
      <c r="BE963" s="528"/>
      <c r="BF963" s="528"/>
      <c r="BG963" s="528"/>
      <c r="BH963" s="528"/>
    </row>
    <row r="964">
      <c r="A964" s="179"/>
      <c r="B964" s="549"/>
      <c r="C964" s="181"/>
      <c r="D964" s="181"/>
      <c r="E964" s="181"/>
      <c r="F964" s="179"/>
      <c r="G964" s="549"/>
      <c r="H964" s="181"/>
      <c r="I964" s="181"/>
      <c r="J964" s="181"/>
      <c r="K964" s="156"/>
      <c r="L964" s="549"/>
      <c r="M964" s="181"/>
      <c r="N964" s="181"/>
      <c r="O964" s="181"/>
      <c r="P964" s="156"/>
      <c r="Q964" s="562"/>
      <c r="R964" s="181"/>
      <c r="S964" s="181"/>
      <c r="T964" s="181"/>
      <c r="U964" s="179"/>
      <c r="V964" s="549"/>
      <c r="W964" s="181"/>
      <c r="X964" s="181"/>
      <c r="Y964" s="181"/>
      <c r="Z964" s="179"/>
      <c r="AA964" s="549"/>
      <c r="AB964" s="181"/>
      <c r="AC964" s="181"/>
      <c r="AD964" s="181"/>
      <c r="AE964" s="179"/>
      <c r="AF964" s="549"/>
      <c r="AG964" s="181"/>
      <c r="AH964" s="181"/>
      <c r="AI964" s="181"/>
      <c r="AJ964" s="179"/>
      <c r="AK964" s="549"/>
      <c r="AL964" s="181"/>
      <c r="AM964" s="181"/>
      <c r="AN964" s="181"/>
      <c r="AO964" s="179"/>
      <c r="AP964" s="549"/>
      <c r="AQ964" s="181"/>
      <c r="AR964" s="181"/>
      <c r="AS964" s="181"/>
      <c r="AT964" s="528"/>
      <c r="AU964" s="528"/>
      <c r="AV964" s="528"/>
      <c r="AW964" s="528"/>
      <c r="AX964" s="528"/>
      <c r="AY964" s="528"/>
      <c r="AZ964" s="528"/>
      <c r="BA964" s="528"/>
      <c r="BB964" s="528"/>
      <c r="BC964" s="528"/>
      <c r="BD964" s="528"/>
      <c r="BE964" s="528"/>
      <c r="BF964" s="528"/>
      <c r="BG964" s="528"/>
      <c r="BH964" s="528"/>
    </row>
    <row r="965">
      <c r="A965" s="179"/>
      <c r="B965" s="549"/>
      <c r="C965" s="181"/>
      <c r="D965" s="181"/>
      <c r="E965" s="181"/>
      <c r="F965" s="179"/>
      <c r="G965" s="549"/>
      <c r="H965" s="181"/>
      <c r="I965" s="181"/>
      <c r="J965" s="181"/>
      <c r="K965" s="156"/>
      <c r="L965" s="549"/>
      <c r="M965" s="181"/>
      <c r="N965" s="181"/>
      <c r="O965" s="181"/>
      <c r="P965" s="156"/>
      <c r="Q965" s="562"/>
      <c r="R965" s="181"/>
      <c r="S965" s="181"/>
      <c r="T965" s="181"/>
      <c r="U965" s="179"/>
      <c r="V965" s="549"/>
      <c r="W965" s="181"/>
      <c r="X965" s="181"/>
      <c r="Y965" s="181"/>
      <c r="Z965" s="179"/>
      <c r="AA965" s="549"/>
      <c r="AB965" s="181"/>
      <c r="AC965" s="181"/>
      <c r="AD965" s="181"/>
      <c r="AE965" s="179"/>
      <c r="AF965" s="549"/>
      <c r="AG965" s="181"/>
      <c r="AH965" s="181"/>
      <c r="AI965" s="181"/>
      <c r="AJ965" s="179"/>
      <c r="AK965" s="549"/>
      <c r="AL965" s="181"/>
      <c r="AM965" s="181"/>
      <c r="AN965" s="181"/>
      <c r="AO965" s="179"/>
      <c r="AP965" s="549"/>
      <c r="AQ965" s="181"/>
      <c r="AR965" s="181"/>
      <c r="AS965" s="181"/>
      <c r="AT965" s="528"/>
      <c r="AU965" s="528"/>
      <c r="AV965" s="528"/>
      <c r="AW965" s="528"/>
      <c r="AX965" s="528"/>
      <c r="AY965" s="528"/>
      <c r="AZ965" s="528"/>
      <c r="BA965" s="528"/>
      <c r="BB965" s="528"/>
      <c r="BC965" s="528"/>
      <c r="BD965" s="528"/>
      <c r="BE965" s="528"/>
      <c r="BF965" s="528"/>
      <c r="BG965" s="528"/>
      <c r="BH965" s="528"/>
    </row>
    <row r="966">
      <c r="A966" s="179"/>
      <c r="B966" s="549"/>
      <c r="C966" s="181"/>
      <c r="D966" s="181"/>
      <c r="E966" s="181"/>
      <c r="F966" s="179"/>
      <c r="G966" s="549"/>
      <c r="H966" s="181"/>
      <c r="I966" s="181"/>
      <c r="J966" s="181"/>
      <c r="K966" s="156"/>
      <c r="L966" s="549"/>
      <c r="M966" s="181"/>
      <c r="N966" s="181"/>
      <c r="O966" s="181"/>
      <c r="P966" s="156"/>
      <c r="Q966" s="562"/>
      <c r="R966" s="181"/>
      <c r="S966" s="181"/>
      <c r="T966" s="181"/>
      <c r="U966" s="179"/>
      <c r="V966" s="549"/>
      <c r="W966" s="181"/>
      <c r="X966" s="181"/>
      <c r="Y966" s="181"/>
      <c r="Z966" s="179"/>
      <c r="AA966" s="549"/>
      <c r="AB966" s="181"/>
      <c r="AC966" s="181"/>
      <c r="AD966" s="181"/>
      <c r="AE966" s="179"/>
      <c r="AF966" s="549"/>
      <c r="AG966" s="181"/>
      <c r="AH966" s="181"/>
      <c r="AI966" s="181"/>
      <c r="AJ966" s="179"/>
      <c r="AK966" s="549"/>
      <c r="AL966" s="181"/>
      <c r="AM966" s="181"/>
      <c r="AN966" s="181"/>
      <c r="AO966" s="179"/>
      <c r="AP966" s="549"/>
      <c r="AQ966" s="181"/>
      <c r="AR966" s="181"/>
      <c r="AS966" s="181"/>
      <c r="AT966" s="528"/>
      <c r="AU966" s="528"/>
      <c r="AV966" s="528"/>
      <c r="AW966" s="528"/>
      <c r="AX966" s="528"/>
      <c r="AY966" s="528"/>
      <c r="AZ966" s="528"/>
      <c r="BA966" s="528"/>
      <c r="BB966" s="528"/>
      <c r="BC966" s="528"/>
      <c r="BD966" s="528"/>
      <c r="BE966" s="528"/>
      <c r="BF966" s="528"/>
      <c r="BG966" s="528"/>
      <c r="BH966" s="528"/>
    </row>
    <row r="967">
      <c r="A967" s="179"/>
      <c r="B967" s="549"/>
      <c r="C967" s="181"/>
      <c r="D967" s="181"/>
      <c r="E967" s="181"/>
      <c r="F967" s="179"/>
      <c r="G967" s="549"/>
      <c r="H967" s="181"/>
      <c r="I967" s="181"/>
      <c r="J967" s="181"/>
      <c r="K967" s="156"/>
      <c r="L967" s="549"/>
      <c r="M967" s="181"/>
      <c r="N967" s="181"/>
      <c r="O967" s="181"/>
      <c r="P967" s="156"/>
      <c r="Q967" s="562"/>
      <c r="R967" s="181"/>
      <c r="S967" s="181"/>
      <c r="T967" s="181"/>
      <c r="U967" s="179"/>
      <c r="V967" s="549"/>
      <c r="W967" s="181"/>
      <c r="X967" s="181"/>
      <c r="Y967" s="181"/>
      <c r="Z967" s="179"/>
      <c r="AA967" s="549"/>
      <c r="AB967" s="181"/>
      <c r="AC967" s="181"/>
      <c r="AD967" s="181"/>
      <c r="AE967" s="179"/>
      <c r="AF967" s="549"/>
      <c r="AG967" s="181"/>
      <c r="AH967" s="181"/>
      <c r="AI967" s="181"/>
      <c r="AJ967" s="179"/>
      <c r="AK967" s="549"/>
      <c r="AL967" s="181"/>
      <c r="AM967" s="181"/>
      <c r="AN967" s="181"/>
      <c r="AO967" s="179"/>
      <c r="AP967" s="549"/>
      <c r="AQ967" s="181"/>
      <c r="AR967" s="181"/>
      <c r="AS967" s="181"/>
      <c r="AT967" s="528"/>
      <c r="AU967" s="528"/>
      <c r="AV967" s="528"/>
      <c r="AW967" s="528"/>
      <c r="AX967" s="528"/>
      <c r="AY967" s="528"/>
      <c r="AZ967" s="528"/>
      <c r="BA967" s="528"/>
      <c r="BB967" s="528"/>
      <c r="BC967" s="528"/>
      <c r="BD967" s="528"/>
      <c r="BE967" s="528"/>
      <c r="BF967" s="528"/>
      <c r="BG967" s="528"/>
      <c r="BH967" s="528"/>
    </row>
    <row r="968">
      <c r="A968" s="179"/>
      <c r="B968" s="549"/>
      <c r="C968" s="181"/>
      <c r="D968" s="181"/>
      <c r="E968" s="181"/>
      <c r="F968" s="179"/>
      <c r="G968" s="549"/>
      <c r="H968" s="181"/>
      <c r="I968" s="181"/>
      <c r="J968" s="181"/>
      <c r="K968" s="156"/>
      <c r="L968" s="549"/>
      <c r="M968" s="181"/>
      <c r="N968" s="181"/>
      <c r="O968" s="181"/>
      <c r="P968" s="156"/>
      <c r="Q968" s="562"/>
      <c r="R968" s="181"/>
      <c r="S968" s="181"/>
      <c r="T968" s="181"/>
      <c r="U968" s="179"/>
      <c r="V968" s="549"/>
      <c r="W968" s="181"/>
      <c r="X968" s="181"/>
      <c r="Y968" s="181"/>
      <c r="Z968" s="179"/>
      <c r="AA968" s="549"/>
      <c r="AB968" s="181"/>
      <c r="AC968" s="181"/>
      <c r="AD968" s="181"/>
      <c r="AE968" s="179"/>
      <c r="AF968" s="549"/>
      <c r="AG968" s="181"/>
      <c r="AH968" s="181"/>
      <c r="AI968" s="181"/>
      <c r="AJ968" s="179"/>
      <c r="AK968" s="549"/>
      <c r="AL968" s="181"/>
      <c r="AM968" s="181"/>
      <c r="AN968" s="181"/>
      <c r="AO968" s="179"/>
      <c r="AP968" s="549"/>
      <c r="AQ968" s="181"/>
      <c r="AR968" s="181"/>
      <c r="AS968" s="181"/>
      <c r="AT968" s="528"/>
      <c r="AU968" s="528"/>
      <c r="AV968" s="528"/>
      <c r="AW968" s="528"/>
      <c r="AX968" s="528"/>
      <c r="AY968" s="528"/>
      <c r="AZ968" s="528"/>
      <c r="BA968" s="528"/>
      <c r="BB968" s="528"/>
      <c r="BC968" s="528"/>
      <c r="BD968" s="528"/>
      <c r="BE968" s="528"/>
      <c r="BF968" s="528"/>
      <c r="BG968" s="528"/>
      <c r="BH968" s="528"/>
    </row>
    <row r="969">
      <c r="A969" s="179"/>
      <c r="B969" s="549"/>
      <c r="C969" s="181"/>
      <c r="D969" s="181"/>
      <c r="E969" s="181"/>
      <c r="F969" s="179"/>
      <c r="G969" s="549"/>
      <c r="H969" s="181"/>
      <c r="I969" s="181"/>
      <c r="J969" s="181"/>
      <c r="K969" s="156"/>
      <c r="L969" s="549"/>
      <c r="M969" s="181"/>
      <c r="N969" s="181"/>
      <c r="O969" s="181"/>
      <c r="P969" s="156"/>
      <c r="Q969" s="562"/>
      <c r="R969" s="181"/>
      <c r="S969" s="181"/>
      <c r="T969" s="181"/>
      <c r="U969" s="179"/>
      <c r="V969" s="549"/>
      <c r="W969" s="181"/>
      <c r="X969" s="181"/>
      <c r="Y969" s="181"/>
      <c r="Z969" s="179"/>
      <c r="AA969" s="549"/>
      <c r="AB969" s="181"/>
      <c r="AC969" s="181"/>
      <c r="AD969" s="181"/>
      <c r="AE969" s="179"/>
      <c r="AF969" s="549"/>
      <c r="AG969" s="181"/>
      <c r="AH969" s="181"/>
      <c r="AI969" s="181"/>
      <c r="AJ969" s="179"/>
      <c r="AK969" s="549"/>
      <c r="AL969" s="181"/>
      <c r="AM969" s="181"/>
      <c r="AN969" s="181"/>
      <c r="AO969" s="179"/>
      <c r="AP969" s="549"/>
      <c r="AQ969" s="181"/>
      <c r="AR969" s="181"/>
      <c r="AS969" s="181"/>
      <c r="AT969" s="528"/>
      <c r="AU969" s="528"/>
      <c r="AV969" s="528"/>
      <c r="AW969" s="528"/>
      <c r="AX969" s="528"/>
      <c r="AY969" s="528"/>
      <c r="AZ969" s="528"/>
      <c r="BA969" s="528"/>
      <c r="BB969" s="528"/>
      <c r="BC969" s="528"/>
      <c r="BD969" s="528"/>
      <c r="BE969" s="528"/>
      <c r="BF969" s="528"/>
      <c r="BG969" s="528"/>
      <c r="BH969" s="528"/>
    </row>
    <row r="970">
      <c r="A970" s="179"/>
      <c r="B970" s="549"/>
      <c r="C970" s="181"/>
      <c r="D970" s="181"/>
      <c r="E970" s="181"/>
      <c r="F970" s="179"/>
      <c r="G970" s="549"/>
      <c r="H970" s="181"/>
      <c r="I970" s="181"/>
      <c r="J970" s="181"/>
      <c r="K970" s="156"/>
      <c r="L970" s="549"/>
      <c r="M970" s="181"/>
      <c r="N970" s="181"/>
      <c r="O970" s="181"/>
      <c r="P970" s="156"/>
      <c r="Q970" s="562"/>
      <c r="R970" s="181"/>
      <c r="S970" s="181"/>
      <c r="T970" s="181"/>
      <c r="U970" s="179"/>
      <c r="V970" s="549"/>
      <c r="W970" s="181"/>
      <c r="X970" s="181"/>
      <c r="Y970" s="181"/>
      <c r="Z970" s="179"/>
      <c r="AA970" s="549"/>
      <c r="AB970" s="181"/>
      <c r="AC970" s="181"/>
      <c r="AD970" s="181"/>
      <c r="AE970" s="179"/>
      <c r="AF970" s="549"/>
      <c r="AG970" s="181"/>
      <c r="AH970" s="181"/>
      <c r="AI970" s="181"/>
      <c r="AJ970" s="179"/>
      <c r="AK970" s="549"/>
      <c r="AL970" s="181"/>
      <c r="AM970" s="181"/>
      <c r="AN970" s="181"/>
      <c r="AO970" s="179"/>
      <c r="AP970" s="549"/>
      <c r="AQ970" s="181"/>
      <c r="AR970" s="181"/>
      <c r="AS970" s="181"/>
      <c r="AT970" s="528"/>
      <c r="AU970" s="528"/>
      <c r="AV970" s="528"/>
      <c r="AW970" s="528"/>
      <c r="AX970" s="528"/>
      <c r="AY970" s="528"/>
      <c r="AZ970" s="528"/>
      <c r="BA970" s="528"/>
      <c r="BB970" s="528"/>
      <c r="BC970" s="528"/>
      <c r="BD970" s="528"/>
      <c r="BE970" s="528"/>
      <c r="BF970" s="528"/>
      <c r="BG970" s="528"/>
      <c r="BH970" s="528"/>
    </row>
    <row r="971">
      <c r="A971" s="179"/>
      <c r="B971" s="549"/>
      <c r="C971" s="181"/>
      <c r="D971" s="181"/>
      <c r="E971" s="181"/>
      <c r="F971" s="179"/>
      <c r="G971" s="549"/>
      <c r="H971" s="181"/>
      <c r="I971" s="181"/>
      <c r="J971" s="181"/>
      <c r="K971" s="156"/>
      <c r="L971" s="549"/>
      <c r="M971" s="181"/>
      <c r="N971" s="181"/>
      <c r="O971" s="181"/>
      <c r="P971" s="156"/>
      <c r="Q971" s="562"/>
      <c r="R971" s="181"/>
      <c r="S971" s="181"/>
      <c r="T971" s="181"/>
      <c r="U971" s="179"/>
      <c r="V971" s="549"/>
      <c r="W971" s="181"/>
      <c r="X971" s="181"/>
      <c r="Y971" s="181"/>
      <c r="Z971" s="179"/>
      <c r="AA971" s="549"/>
      <c r="AB971" s="181"/>
      <c r="AC971" s="181"/>
      <c r="AD971" s="181"/>
      <c r="AE971" s="179"/>
      <c r="AF971" s="549"/>
      <c r="AG971" s="181"/>
      <c r="AH971" s="181"/>
      <c r="AI971" s="181"/>
      <c r="AJ971" s="179"/>
      <c r="AK971" s="549"/>
      <c r="AL971" s="181"/>
      <c r="AM971" s="181"/>
      <c r="AN971" s="181"/>
      <c r="AO971" s="179"/>
      <c r="AP971" s="549"/>
      <c r="AQ971" s="181"/>
      <c r="AR971" s="181"/>
      <c r="AS971" s="181"/>
      <c r="AT971" s="528"/>
      <c r="AU971" s="528"/>
      <c r="AV971" s="528"/>
      <c r="AW971" s="528"/>
      <c r="AX971" s="528"/>
      <c r="AY971" s="528"/>
      <c r="AZ971" s="528"/>
      <c r="BA971" s="528"/>
      <c r="BB971" s="528"/>
      <c r="BC971" s="528"/>
      <c r="BD971" s="528"/>
      <c r="BE971" s="528"/>
      <c r="BF971" s="528"/>
      <c r="BG971" s="528"/>
      <c r="BH971" s="528"/>
    </row>
    <row r="972">
      <c r="A972" s="179"/>
      <c r="B972" s="549"/>
      <c r="C972" s="181"/>
      <c r="D972" s="181"/>
      <c r="E972" s="181"/>
      <c r="F972" s="179"/>
      <c r="G972" s="549"/>
      <c r="H972" s="181"/>
      <c r="I972" s="181"/>
      <c r="J972" s="181"/>
      <c r="K972" s="156"/>
      <c r="L972" s="549"/>
      <c r="M972" s="181"/>
      <c r="N972" s="181"/>
      <c r="O972" s="181"/>
      <c r="P972" s="156"/>
      <c r="Q972" s="562"/>
      <c r="R972" s="181"/>
      <c r="S972" s="181"/>
      <c r="T972" s="181"/>
      <c r="U972" s="179"/>
      <c r="V972" s="549"/>
      <c r="W972" s="181"/>
      <c r="X972" s="181"/>
      <c r="Y972" s="181"/>
      <c r="Z972" s="179"/>
      <c r="AA972" s="549"/>
      <c r="AB972" s="181"/>
      <c r="AC972" s="181"/>
      <c r="AD972" s="181"/>
      <c r="AE972" s="179"/>
      <c r="AF972" s="549"/>
      <c r="AG972" s="181"/>
      <c r="AH972" s="181"/>
      <c r="AI972" s="181"/>
      <c r="AJ972" s="179"/>
      <c r="AK972" s="549"/>
      <c r="AL972" s="181"/>
      <c r="AM972" s="181"/>
      <c r="AN972" s="181"/>
      <c r="AO972" s="179"/>
      <c r="AP972" s="549"/>
      <c r="AQ972" s="181"/>
      <c r="AR972" s="181"/>
      <c r="AS972" s="181"/>
      <c r="AT972" s="528"/>
      <c r="AU972" s="528"/>
      <c r="AV972" s="528"/>
      <c r="AW972" s="528"/>
      <c r="AX972" s="528"/>
      <c r="AY972" s="528"/>
      <c r="AZ972" s="528"/>
      <c r="BA972" s="528"/>
      <c r="BB972" s="528"/>
      <c r="BC972" s="528"/>
      <c r="BD972" s="528"/>
      <c r="BE972" s="528"/>
      <c r="BF972" s="528"/>
      <c r="BG972" s="528"/>
      <c r="BH972" s="528"/>
    </row>
    <row r="973">
      <c r="A973" s="179"/>
      <c r="B973" s="549"/>
      <c r="C973" s="181"/>
      <c r="D973" s="181"/>
      <c r="E973" s="181"/>
      <c r="F973" s="179"/>
      <c r="G973" s="549"/>
      <c r="H973" s="181"/>
      <c r="I973" s="181"/>
      <c r="J973" s="181"/>
      <c r="K973" s="156"/>
      <c r="L973" s="549"/>
      <c r="M973" s="181"/>
      <c r="N973" s="181"/>
      <c r="O973" s="181"/>
      <c r="P973" s="156"/>
      <c r="Q973" s="562"/>
      <c r="R973" s="181"/>
      <c r="S973" s="181"/>
      <c r="T973" s="181"/>
      <c r="U973" s="179"/>
      <c r="V973" s="549"/>
      <c r="W973" s="181"/>
      <c r="X973" s="181"/>
      <c r="Y973" s="181"/>
      <c r="Z973" s="179"/>
      <c r="AA973" s="549"/>
      <c r="AB973" s="181"/>
      <c r="AC973" s="181"/>
      <c r="AD973" s="181"/>
      <c r="AE973" s="179"/>
      <c r="AF973" s="549"/>
      <c r="AG973" s="181"/>
      <c r="AH973" s="181"/>
      <c r="AI973" s="181"/>
      <c r="AJ973" s="179"/>
      <c r="AK973" s="549"/>
      <c r="AL973" s="181"/>
      <c r="AM973" s="181"/>
      <c r="AN973" s="181"/>
      <c r="AO973" s="179"/>
      <c r="AP973" s="549"/>
      <c r="AQ973" s="181"/>
      <c r="AR973" s="181"/>
      <c r="AS973" s="181"/>
      <c r="AT973" s="528"/>
      <c r="AU973" s="528"/>
      <c r="AV973" s="528"/>
      <c r="AW973" s="528"/>
      <c r="AX973" s="528"/>
      <c r="AY973" s="528"/>
      <c r="AZ973" s="528"/>
      <c r="BA973" s="528"/>
      <c r="BB973" s="528"/>
      <c r="BC973" s="528"/>
      <c r="BD973" s="528"/>
      <c r="BE973" s="528"/>
      <c r="BF973" s="528"/>
      <c r="BG973" s="528"/>
      <c r="BH973" s="528"/>
    </row>
    <row r="974">
      <c r="A974" s="179"/>
      <c r="B974" s="549"/>
      <c r="C974" s="181"/>
      <c r="D974" s="181"/>
      <c r="E974" s="181"/>
      <c r="F974" s="179"/>
      <c r="G974" s="549"/>
      <c r="H974" s="181"/>
      <c r="I974" s="181"/>
      <c r="J974" s="181"/>
      <c r="K974" s="156"/>
      <c r="L974" s="549"/>
      <c r="M974" s="181"/>
      <c r="N974" s="181"/>
      <c r="O974" s="181"/>
      <c r="P974" s="156"/>
      <c r="Q974" s="562"/>
      <c r="R974" s="181"/>
      <c r="S974" s="181"/>
      <c r="T974" s="181"/>
      <c r="U974" s="179"/>
      <c r="V974" s="549"/>
      <c r="W974" s="181"/>
      <c r="X974" s="181"/>
      <c r="Y974" s="181"/>
      <c r="Z974" s="179"/>
      <c r="AA974" s="549"/>
      <c r="AB974" s="181"/>
      <c r="AC974" s="181"/>
      <c r="AD974" s="181"/>
      <c r="AE974" s="179"/>
      <c r="AF974" s="549"/>
      <c r="AG974" s="181"/>
      <c r="AH974" s="181"/>
      <c r="AI974" s="181"/>
      <c r="AJ974" s="179"/>
      <c r="AK974" s="549"/>
      <c r="AL974" s="181"/>
      <c r="AM974" s="181"/>
      <c r="AN974" s="181"/>
      <c r="AO974" s="179"/>
      <c r="AP974" s="549"/>
      <c r="AQ974" s="181"/>
      <c r="AR974" s="181"/>
      <c r="AS974" s="181"/>
      <c r="AT974" s="528"/>
      <c r="AU974" s="528"/>
      <c r="AV974" s="528"/>
      <c r="AW974" s="528"/>
      <c r="AX974" s="528"/>
      <c r="AY974" s="528"/>
      <c r="AZ974" s="528"/>
      <c r="BA974" s="528"/>
      <c r="BB974" s="528"/>
      <c r="BC974" s="528"/>
      <c r="BD974" s="528"/>
      <c r="BE974" s="528"/>
      <c r="BF974" s="528"/>
      <c r="BG974" s="528"/>
      <c r="BH974" s="528"/>
    </row>
    <row r="975">
      <c r="A975" s="179"/>
      <c r="B975" s="549"/>
      <c r="C975" s="181"/>
      <c r="D975" s="181"/>
      <c r="E975" s="181"/>
      <c r="F975" s="179"/>
      <c r="G975" s="549"/>
      <c r="H975" s="181"/>
      <c r="I975" s="181"/>
      <c r="J975" s="181"/>
      <c r="K975" s="156"/>
      <c r="L975" s="549"/>
      <c r="M975" s="181"/>
      <c r="N975" s="181"/>
      <c r="O975" s="181"/>
      <c r="P975" s="156"/>
      <c r="Q975" s="562"/>
      <c r="R975" s="181"/>
      <c r="S975" s="181"/>
      <c r="T975" s="181"/>
      <c r="U975" s="179"/>
      <c r="V975" s="549"/>
      <c r="W975" s="181"/>
      <c r="X975" s="181"/>
      <c r="Y975" s="181"/>
      <c r="Z975" s="179"/>
      <c r="AA975" s="549"/>
      <c r="AB975" s="181"/>
      <c r="AC975" s="181"/>
      <c r="AD975" s="181"/>
      <c r="AE975" s="179"/>
      <c r="AF975" s="549"/>
      <c r="AG975" s="181"/>
      <c r="AH975" s="181"/>
      <c r="AI975" s="181"/>
      <c r="AJ975" s="179"/>
      <c r="AK975" s="549"/>
      <c r="AL975" s="181"/>
      <c r="AM975" s="181"/>
      <c r="AN975" s="181"/>
      <c r="AO975" s="179"/>
      <c r="AP975" s="549"/>
      <c r="AQ975" s="181"/>
      <c r="AR975" s="181"/>
      <c r="AS975" s="181"/>
      <c r="AT975" s="528"/>
      <c r="AU975" s="528"/>
      <c r="AV975" s="528"/>
      <c r="AW975" s="528"/>
      <c r="AX975" s="528"/>
      <c r="AY975" s="528"/>
      <c r="AZ975" s="528"/>
      <c r="BA975" s="528"/>
      <c r="BB975" s="528"/>
      <c r="BC975" s="528"/>
      <c r="BD975" s="528"/>
      <c r="BE975" s="528"/>
      <c r="BF975" s="528"/>
      <c r="BG975" s="528"/>
      <c r="BH975" s="528"/>
    </row>
    <row r="976">
      <c r="A976" s="179"/>
      <c r="B976" s="549"/>
      <c r="C976" s="181"/>
      <c r="D976" s="181"/>
      <c r="E976" s="181"/>
      <c r="F976" s="179"/>
      <c r="G976" s="549"/>
      <c r="H976" s="181"/>
      <c r="I976" s="181"/>
      <c r="J976" s="181"/>
      <c r="K976" s="156"/>
      <c r="L976" s="549"/>
      <c r="M976" s="181"/>
      <c r="N976" s="181"/>
      <c r="O976" s="181"/>
      <c r="P976" s="156"/>
      <c r="Q976" s="562"/>
      <c r="R976" s="181"/>
      <c r="S976" s="181"/>
      <c r="T976" s="181"/>
      <c r="U976" s="179"/>
      <c r="V976" s="549"/>
      <c r="W976" s="181"/>
      <c r="X976" s="181"/>
      <c r="Y976" s="181"/>
      <c r="Z976" s="179"/>
      <c r="AA976" s="549"/>
      <c r="AB976" s="181"/>
      <c r="AC976" s="181"/>
      <c r="AD976" s="181"/>
      <c r="AE976" s="179"/>
      <c r="AF976" s="549"/>
      <c r="AG976" s="181"/>
      <c r="AH976" s="181"/>
      <c r="AI976" s="181"/>
      <c r="AJ976" s="179"/>
      <c r="AK976" s="549"/>
      <c r="AL976" s="181"/>
      <c r="AM976" s="181"/>
      <c r="AN976" s="181"/>
      <c r="AO976" s="179"/>
      <c r="AP976" s="549"/>
      <c r="AQ976" s="181"/>
      <c r="AR976" s="181"/>
      <c r="AS976" s="181"/>
      <c r="AT976" s="528"/>
      <c r="AU976" s="528"/>
      <c r="AV976" s="528"/>
      <c r="AW976" s="528"/>
      <c r="AX976" s="528"/>
      <c r="AY976" s="528"/>
      <c r="AZ976" s="528"/>
      <c r="BA976" s="528"/>
      <c r="BB976" s="528"/>
      <c r="BC976" s="528"/>
      <c r="BD976" s="528"/>
      <c r="BE976" s="528"/>
      <c r="BF976" s="528"/>
      <c r="BG976" s="528"/>
      <c r="BH976" s="528"/>
    </row>
    <row r="977">
      <c r="A977" s="179"/>
      <c r="B977" s="549"/>
      <c r="C977" s="181"/>
      <c r="D977" s="181"/>
      <c r="E977" s="181"/>
      <c r="F977" s="179"/>
      <c r="G977" s="549"/>
      <c r="H977" s="181"/>
      <c r="I977" s="181"/>
      <c r="J977" s="181"/>
      <c r="K977" s="156"/>
      <c r="L977" s="549"/>
      <c r="M977" s="181"/>
      <c r="N977" s="181"/>
      <c r="O977" s="181"/>
      <c r="P977" s="156"/>
      <c r="Q977" s="562"/>
      <c r="R977" s="181"/>
      <c r="S977" s="181"/>
      <c r="T977" s="181"/>
      <c r="U977" s="179"/>
      <c r="V977" s="549"/>
      <c r="W977" s="181"/>
      <c r="X977" s="181"/>
      <c r="Y977" s="181"/>
      <c r="Z977" s="179"/>
      <c r="AA977" s="549"/>
      <c r="AB977" s="181"/>
      <c r="AC977" s="181"/>
      <c r="AD977" s="181"/>
      <c r="AE977" s="179"/>
      <c r="AF977" s="549"/>
      <c r="AG977" s="181"/>
      <c r="AH977" s="181"/>
      <c r="AI977" s="181"/>
      <c r="AJ977" s="179"/>
      <c r="AK977" s="549"/>
      <c r="AL977" s="181"/>
      <c r="AM977" s="181"/>
      <c r="AN977" s="181"/>
      <c r="AO977" s="179"/>
      <c r="AP977" s="549"/>
      <c r="AQ977" s="181"/>
      <c r="AR977" s="181"/>
      <c r="AS977" s="181"/>
      <c r="AT977" s="528"/>
      <c r="AU977" s="528"/>
      <c r="AV977" s="528"/>
      <c r="AW977" s="528"/>
      <c r="AX977" s="528"/>
      <c r="AY977" s="528"/>
      <c r="AZ977" s="528"/>
      <c r="BA977" s="528"/>
      <c r="BB977" s="528"/>
      <c r="BC977" s="528"/>
      <c r="BD977" s="528"/>
      <c r="BE977" s="528"/>
      <c r="BF977" s="528"/>
      <c r="BG977" s="528"/>
      <c r="BH977" s="528"/>
    </row>
    <row r="978">
      <c r="A978" s="179"/>
      <c r="B978" s="549"/>
      <c r="C978" s="181"/>
      <c r="D978" s="181"/>
      <c r="E978" s="181"/>
      <c r="F978" s="179"/>
      <c r="G978" s="549"/>
      <c r="H978" s="181"/>
      <c r="I978" s="181"/>
      <c r="J978" s="181"/>
      <c r="K978" s="156"/>
      <c r="L978" s="549"/>
      <c r="M978" s="181"/>
      <c r="N978" s="181"/>
      <c r="O978" s="181"/>
      <c r="P978" s="156"/>
      <c r="Q978" s="562"/>
      <c r="R978" s="181"/>
      <c r="S978" s="181"/>
      <c r="T978" s="181"/>
      <c r="U978" s="179"/>
      <c r="V978" s="549"/>
      <c r="W978" s="181"/>
      <c r="X978" s="181"/>
      <c r="Y978" s="181"/>
      <c r="Z978" s="179"/>
      <c r="AA978" s="549"/>
      <c r="AB978" s="181"/>
      <c r="AC978" s="181"/>
      <c r="AD978" s="181"/>
      <c r="AE978" s="179"/>
      <c r="AF978" s="549"/>
      <c r="AG978" s="181"/>
      <c r="AH978" s="181"/>
      <c r="AI978" s="181"/>
      <c r="AJ978" s="179"/>
      <c r="AK978" s="549"/>
      <c r="AL978" s="181"/>
      <c r="AM978" s="181"/>
      <c r="AN978" s="181"/>
      <c r="AO978" s="179"/>
      <c r="AP978" s="549"/>
      <c r="AQ978" s="181"/>
      <c r="AR978" s="181"/>
      <c r="AS978" s="181"/>
      <c r="AT978" s="528"/>
      <c r="AU978" s="528"/>
      <c r="AV978" s="528"/>
      <c r="AW978" s="528"/>
      <c r="AX978" s="528"/>
      <c r="AY978" s="528"/>
      <c r="AZ978" s="528"/>
      <c r="BA978" s="528"/>
      <c r="BB978" s="528"/>
      <c r="BC978" s="528"/>
      <c r="BD978" s="528"/>
      <c r="BE978" s="528"/>
      <c r="BF978" s="528"/>
      <c r="BG978" s="528"/>
      <c r="BH978" s="528"/>
    </row>
    <row r="979">
      <c r="A979" s="179"/>
      <c r="B979" s="549"/>
      <c r="C979" s="181"/>
      <c r="D979" s="181"/>
      <c r="E979" s="181"/>
      <c r="F979" s="179"/>
      <c r="G979" s="549"/>
      <c r="H979" s="181"/>
      <c r="I979" s="181"/>
      <c r="J979" s="181"/>
      <c r="K979" s="156"/>
      <c r="L979" s="549"/>
      <c r="M979" s="181"/>
      <c r="N979" s="181"/>
      <c r="O979" s="181"/>
      <c r="P979" s="156"/>
      <c r="Q979" s="562"/>
      <c r="R979" s="181"/>
      <c r="S979" s="181"/>
      <c r="T979" s="181"/>
      <c r="U979" s="179"/>
      <c r="V979" s="549"/>
      <c r="W979" s="181"/>
      <c r="X979" s="181"/>
      <c r="Y979" s="181"/>
      <c r="Z979" s="179"/>
      <c r="AA979" s="549"/>
      <c r="AB979" s="181"/>
      <c r="AC979" s="181"/>
      <c r="AD979" s="181"/>
      <c r="AE979" s="179"/>
      <c r="AF979" s="549"/>
      <c r="AG979" s="181"/>
      <c r="AH979" s="181"/>
      <c r="AI979" s="181"/>
      <c r="AJ979" s="179"/>
      <c r="AK979" s="549"/>
      <c r="AL979" s="181"/>
      <c r="AM979" s="181"/>
      <c r="AN979" s="181"/>
      <c r="AO979" s="179"/>
      <c r="AP979" s="549"/>
      <c r="AQ979" s="181"/>
      <c r="AR979" s="181"/>
      <c r="AS979" s="181"/>
      <c r="AT979" s="528"/>
      <c r="AU979" s="528"/>
      <c r="AV979" s="528"/>
      <c r="AW979" s="528"/>
      <c r="AX979" s="528"/>
      <c r="AY979" s="528"/>
      <c r="AZ979" s="528"/>
      <c r="BA979" s="528"/>
      <c r="BB979" s="528"/>
      <c r="BC979" s="528"/>
      <c r="BD979" s="528"/>
      <c r="BE979" s="528"/>
      <c r="BF979" s="528"/>
      <c r="BG979" s="528"/>
      <c r="BH979" s="528"/>
    </row>
    <row r="980">
      <c r="A980" s="179"/>
      <c r="B980" s="549"/>
      <c r="C980" s="181"/>
      <c r="D980" s="181"/>
      <c r="E980" s="181"/>
      <c r="F980" s="179"/>
      <c r="G980" s="549"/>
      <c r="H980" s="181"/>
      <c r="I980" s="181"/>
      <c r="J980" s="181"/>
      <c r="K980" s="156"/>
      <c r="L980" s="549"/>
      <c r="M980" s="181"/>
      <c r="N980" s="181"/>
      <c r="O980" s="181"/>
      <c r="P980" s="156"/>
      <c r="Q980" s="562"/>
      <c r="R980" s="181"/>
      <c r="S980" s="181"/>
      <c r="T980" s="181"/>
      <c r="U980" s="179"/>
      <c r="V980" s="549"/>
      <c r="W980" s="181"/>
      <c r="X980" s="181"/>
      <c r="Y980" s="181"/>
      <c r="Z980" s="179"/>
      <c r="AA980" s="549"/>
      <c r="AB980" s="181"/>
      <c r="AC980" s="181"/>
      <c r="AD980" s="181"/>
      <c r="AE980" s="179"/>
      <c r="AF980" s="549"/>
      <c r="AG980" s="181"/>
      <c r="AH980" s="181"/>
      <c r="AI980" s="181"/>
      <c r="AJ980" s="179"/>
      <c r="AK980" s="549"/>
      <c r="AL980" s="181"/>
      <c r="AM980" s="181"/>
      <c r="AN980" s="181"/>
      <c r="AO980" s="179"/>
      <c r="AP980" s="549"/>
      <c r="AQ980" s="181"/>
      <c r="AR980" s="181"/>
      <c r="AS980" s="181"/>
      <c r="AT980" s="528"/>
      <c r="AU980" s="528"/>
      <c r="AV980" s="528"/>
      <c r="AW980" s="528"/>
      <c r="AX980" s="528"/>
      <c r="AY980" s="528"/>
      <c r="AZ980" s="528"/>
      <c r="BA980" s="528"/>
      <c r="BB980" s="528"/>
      <c r="BC980" s="528"/>
      <c r="BD980" s="528"/>
      <c r="BE980" s="528"/>
      <c r="BF980" s="528"/>
      <c r="BG980" s="528"/>
      <c r="BH980" s="528"/>
    </row>
    <row r="981">
      <c r="A981" s="179"/>
      <c r="B981" s="549"/>
      <c r="C981" s="181"/>
      <c r="D981" s="181"/>
      <c r="E981" s="181"/>
      <c r="F981" s="179"/>
      <c r="G981" s="549"/>
      <c r="H981" s="181"/>
      <c r="I981" s="181"/>
      <c r="J981" s="181"/>
      <c r="K981" s="156"/>
      <c r="L981" s="549"/>
      <c r="M981" s="181"/>
      <c r="N981" s="181"/>
      <c r="O981" s="181"/>
      <c r="P981" s="156"/>
      <c r="Q981" s="562"/>
      <c r="R981" s="181"/>
      <c r="S981" s="181"/>
      <c r="T981" s="181"/>
      <c r="U981" s="179"/>
      <c r="V981" s="549"/>
      <c r="W981" s="181"/>
      <c r="X981" s="181"/>
      <c r="Y981" s="181"/>
      <c r="Z981" s="179"/>
      <c r="AA981" s="549"/>
      <c r="AB981" s="181"/>
      <c r="AC981" s="181"/>
      <c r="AD981" s="181"/>
      <c r="AE981" s="179"/>
      <c r="AF981" s="549"/>
      <c r="AG981" s="181"/>
      <c r="AH981" s="181"/>
      <c r="AI981" s="181"/>
      <c r="AJ981" s="179"/>
      <c r="AK981" s="549"/>
      <c r="AL981" s="181"/>
      <c r="AM981" s="181"/>
      <c r="AN981" s="181"/>
      <c r="AO981" s="179"/>
      <c r="AP981" s="549"/>
      <c r="AQ981" s="181"/>
      <c r="AR981" s="181"/>
      <c r="AS981" s="181"/>
      <c r="AT981" s="528"/>
      <c r="AU981" s="528"/>
      <c r="AV981" s="528"/>
      <c r="AW981" s="528"/>
      <c r="AX981" s="528"/>
      <c r="AY981" s="528"/>
      <c r="AZ981" s="528"/>
      <c r="BA981" s="528"/>
      <c r="BB981" s="528"/>
      <c r="BC981" s="528"/>
      <c r="BD981" s="528"/>
      <c r="BE981" s="528"/>
      <c r="BF981" s="528"/>
      <c r="BG981" s="528"/>
      <c r="BH981" s="528"/>
    </row>
    <row r="982">
      <c r="A982" s="179"/>
      <c r="B982" s="549"/>
      <c r="C982" s="181"/>
      <c r="D982" s="181"/>
      <c r="E982" s="181"/>
      <c r="F982" s="179"/>
      <c r="G982" s="549"/>
      <c r="H982" s="181"/>
      <c r="I982" s="181"/>
      <c r="J982" s="181"/>
      <c r="K982" s="156"/>
      <c r="L982" s="549"/>
      <c r="M982" s="181"/>
      <c r="N982" s="181"/>
      <c r="O982" s="181"/>
      <c r="P982" s="156"/>
      <c r="Q982" s="562"/>
      <c r="R982" s="181"/>
      <c r="S982" s="181"/>
      <c r="T982" s="181"/>
      <c r="U982" s="179"/>
      <c r="V982" s="549"/>
      <c r="W982" s="181"/>
      <c r="X982" s="181"/>
      <c r="Y982" s="181"/>
      <c r="Z982" s="179"/>
      <c r="AA982" s="549"/>
      <c r="AB982" s="181"/>
      <c r="AC982" s="181"/>
      <c r="AD982" s="181"/>
      <c r="AE982" s="179"/>
      <c r="AF982" s="549"/>
      <c r="AG982" s="181"/>
      <c r="AH982" s="181"/>
      <c r="AI982" s="181"/>
      <c r="AJ982" s="179"/>
      <c r="AK982" s="549"/>
      <c r="AL982" s="181"/>
      <c r="AM982" s="181"/>
      <c r="AN982" s="181"/>
      <c r="AO982" s="179"/>
      <c r="AP982" s="549"/>
      <c r="AQ982" s="181"/>
      <c r="AR982" s="181"/>
      <c r="AS982" s="181"/>
      <c r="AT982" s="528"/>
      <c r="AU982" s="528"/>
      <c r="AV982" s="528"/>
      <c r="AW982" s="528"/>
      <c r="AX982" s="528"/>
      <c r="AY982" s="528"/>
      <c r="AZ982" s="528"/>
      <c r="BA982" s="528"/>
      <c r="BB982" s="528"/>
      <c r="BC982" s="528"/>
      <c r="BD982" s="528"/>
      <c r="BE982" s="528"/>
      <c r="BF982" s="528"/>
      <c r="BG982" s="528"/>
      <c r="BH982" s="528"/>
    </row>
    <row r="983">
      <c r="A983" s="179"/>
      <c r="B983" s="549"/>
      <c r="C983" s="181"/>
      <c r="D983" s="181"/>
      <c r="E983" s="181"/>
      <c r="F983" s="179"/>
      <c r="G983" s="549"/>
      <c r="H983" s="181"/>
      <c r="I983" s="181"/>
      <c r="J983" s="181"/>
      <c r="K983" s="156"/>
      <c r="L983" s="549"/>
      <c r="M983" s="181"/>
      <c r="N983" s="181"/>
      <c r="O983" s="181"/>
      <c r="P983" s="156"/>
      <c r="Q983" s="562"/>
      <c r="R983" s="181"/>
      <c r="S983" s="181"/>
      <c r="T983" s="181"/>
      <c r="U983" s="179"/>
      <c r="V983" s="549"/>
      <c r="W983" s="181"/>
      <c r="X983" s="181"/>
      <c r="Y983" s="181"/>
      <c r="Z983" s="179"/>
      <c r="AA983" s="549"/>
      <c r="AB983" s="181"/>
      <c r="AC983" s="181"/>
      <c r="AD983" s="181"/>
      <c r="AE983" s="179"/>
      <c r="AF983" s="549"/>
      <c r="AG983" s="181"/>
      <c r="AH983" s="181"/>
      <c r="AI983" s="181"/>
      <c r="AJ983" s="179"/>
      <c r="AK983" s="549"/>
      <c r="AL983" s="181"/>
      <c r="AM983" s="181"/>
      <c r="AN983" s="181"/>
      <c r="AO983" s="179"/>
      <c r="AP983" s="549"/>
      <c r="AQ983" s="181"/>
      <c r="AR983" s="181"/>
      <c r="AS983" s="181"/>
      <c r="AT983" s="528"/>
      <c r="AU983" s="528"/>
      <c r="AV983" s="528"/>
      <c r="AW983" s="528"/>
      <c r="AX983" s="528"/>
      <c r="AY983" s="528"/>
      <c r="AZ983" s="528"/>
      <c r="BA983" s="528"/>
      <c r="BB983" s="528"/>
      <c r="BC983" s="528"/>
      <c r="BD983" s="528"/>
      <c r="BE983" s="528"/>
      <c r="BF983" s="528"/>
      <c r="BG983" s="528"/>
      <c r="BH983" s="528"/>
    </row>
    <row r="984">
      <c r="A984" s="179"/>
      <c r="B984" s="549"/>
      <c r="C984" s="181"/>
      <c r="D984" s="181"/>
      <c r="E984" s="181"/>
      <c r="F984" s="179"/>
      <c r="G984" s="549"/>
      <c r="H984" s="181"/>
      <c r="I984" s="181"/>
      <c r="J984" s="181"/>
      <c r="K984" s="156"/>
      <c r="L984" s="549"/>
      <c r="M984" s="181"/>
      <c r="N984" s="181"/>
      <c r="O984" s="181"/>
      <c r="P984" s="156"/>
      <c r="Q984" s="562"/>
      <c r="R984" s="181"/>
      <c r="S984" s="181"/>
      <c r="T984" s="181"/>
      <c r="U984" s="179"/>
      <c r="V984" s="549"/>
      <c r="W984" s="181"/>
      <c r="X984" s="181"/>
      <c r="Y984" s="181"/>
      <c r="Z984" s="179"/>
      <c r="AA984" s="549"/>
      <c r="AB984" s="181"/>
      <c r="AC984" s="181"/>
      <c r="AD984" s="181"/>
      <c r="AE984" s="179"/>
      <c r="AF984" s="549"/>
      <c r="AG984" s="181"/>
      <c r="AH984" s="181"/>
      <c r="AI984" s="181"/>
      <c r="AJ984" s="179"/>
      <c r="AK984" s="549"/>
      <c r="AL984" s="181"/>
      <c r="AM984" s="181"/>
      <c r="AN984" s="181"/>
      <c r="AO984" s="179"/>
      <c r="AP984" s="549"/>
      <c r="AQ984" s="181"/>
      <c r="AR984" s="181"/>
      <c r="AS984" s="181"/>
      <c r="AT984" s="528"/>
      <c r="AU984" s="528"/>
      <c r="AV984" s="528"/>
      <c r="AW984" s="528"/>
      <c r="AX984" s="528"/>
      <c r="AY984" s="528"/>
      <c r="AZ984" s="528"/>
      <c r="BA984" s="528"/>
      <c r="BB984" s="528"/>
      <c r="BC984" s="528"/>
      <c r="BD984" s="528"/>
      <c r="BE984" s="528"/>
      <c r="BF984" s="528"/>
      <c r="BG984" s="528"/>
      <c r="BH984" s="528"/>
    </row>
    <row r="985">
      <c r="A985" s="179"/>
      <c r="B985" s="549"/>
      <c r="C985" s="181"/>
      <c r="D985" s="181"/>
      <c r="E985" s="181"/>
      <c r="F985" s="179"/>
      <c r="G985" s="549"/>
      <c r="H985" s="181"/>
      <c r="I985" s="181"/>
      <c r="J985" s="181"/>
      <c r="K985" s="156"/>
      <c r="L985" s="549"/>
      <c r="M985" s="181"/>
      <c r="N985" s="181"/>
      <c r="O985" s="181"/>
      <c r="P985" s="156"/>
      <c r="Q985" s="562"/>
      <c r="R985" s="181"/>
      <c r="S985" s="181"/>
      <c r="T985" s="181"/>
      <c r="U985" s="179"/>
      <c r="V985" s="549"/>
      <c r="W985" s="181"/>
      <c r="X985" s="181"/>
      <c r="Y985" s="181"/>
      <c r="Z985" s="179"/>
      <c r="AA985" s="549"/>
      <c r="AB985" s="181"/>
      <c r="AC985" s="181"/>
      <c r="AD985" s="181"/>
      <c r="AE985" s="179"/>
      <c r="AF985" s="549"/>
      <c r="AG985" s="181"/>
      <c r="AH985" s="181"/>
      <c r="AI985" s="181"/>
      <c r="AJ985" s="179"/>
      <c r="AK985" s="549"/>
      <c r="AL985" s="181"/>
      <c r="AM985" s="181"/>
      <c r="AN985" s="181"/>
      <c r="AO985" s="179"/>
      <c r="AP985" s="549"/>
      <c r="AQ985" s="181"/>
      <c r="AR985" s="181"/>
      <c r="AS985" s="181"/>
      <c r="AT985" s="528"/>
      <c r="AU985" s="528"/>
      <c r="AV985" s="528"/>
      <c r="AW985" s="528"/>
      <c r="AX985" s="528"/>
      <c r="AY985" s="528"/>
      <c r="AZ985" s="528"/>
      <c r="BA985" s="528"/>
      <c r="BB985" s="528"/>
      <c r="BC985" s="528"/>
      <c r="BD985" s="528"/>
      <c r="BE985" s="528"/>
      <c r="BF985" s="528"/>
      <c r="BG985" s="528"/>
      <c r="BH985" s="528"/>
    </row>
    <row r="986">
      <c r="A986" s="179"/>
      <c r="B986" s="549"/>
      <c r="C986" s="181"/>
      <c r="D986" s="181"/>
      <c r="E986" s="181"/>
      <c r="F986" s="179"/>
      <c r="G986" s="549"/>
      <c r="H986" s="181"/>
      <c r="I986" s="181"/>
      <c r="J986" s="181"/>
      <c r="K986" s="156"/>
      <c r="L986" s="549"/>
      <c r="M986" s="181"/>
      <c r="N986" s="181"/>
      <c r="O986" s="181"/>
      <c r="P986" s="156"/>
      <c r="Q986" s="562"/>
      <c r="R986" s="181"/>
      <c r="S986" s="181"/>
      <c r="T986" s="181"/>
      <c r="U986" s="179"/>
      <c r="V986" s="549"/>
      <c r="W986" s="181"/>
      <c r="X986" s="181"/>
      <c r="Y986" s="181"/>
      <c r="Z986" s="179"/>
      <c r="AA986" s="549"/>
      <c r="AB986" s="181"/>
      <c r="AC986" s="181"/>
      <c r="AD986" s="181"/>
      <c r="AE986" s="179"/>
      <c r="AF986" s="549"/>
      <c r="AG986" s="181"/>
      <c r="AH986" s="181"/>
      <c r="AI986" s="181"/>
      <c r="AJ986" s="179"/>
      <c r="AK986" s="549"/>
      <c r="AL986" s="181"/>
      <c r="AM986" s="181"/>
      <c r="AN986" s="181"/>
      <c r="AO986" s="179"/>
      <c r="AP986" s="549"/>
      <c r="AQ986" s="181"/>
      <c r="AR986" s="181"/>
      <c r="AS986" s="181"/>
      <c r="AT986" s="528"/>
      <c r="AU986" s="528"/>
      <c r="AV986" s="528"/>
      <c r="AW986" s="528"/>
      <c r="AX986" s="528"/>
      <c r="AY986" s="528"/>
      <c r="AZ986" s="528"/>
      <c r="BA986" s="528"/>
      <c r="BB986" s="528"/>
      <c r="BC986" s="528"/>
      <c r="BD986" s="528"/>
      <c r="BE986" s="528"/>
      <c r="BF986" s="528"/>
      <c r="BG986" s="528"/>
      <c r="BH986" s="528"/>
    </row>
    <row r="987">
      <c r="A987" s="179"/>
      <c r="B987" s="549"/>
      <c r="C987" s="181"/>
      <c r="D987" s="181"/>
      <c r="E987" s="181"/>
      <c r="F987" s="179"/>
      <c r="G987" s="549"/>
      <c r="H987" s="181"/>
      <c r="I987" s="181"/>
      <c r="J987" s="181"/>
      <c r="K987" s="156"/>
      <c r="L987" s="549"/>
      <c r="M987" s="181"/>
      <c r="N987" s="181"/>
      <c r="O987" s="181"/>
      <c r="P987" s="156"/>
      <c r="Q987" s="562"/>
      <c r="R987" s="181"/>
      <c r="S987" s="181"/>
      <c r="T987" s="181"/>
      <c r="U987" s="179"/>
      <c r="V987" s="549"/>
      <c r="W987" s="181"/>
      <c r="X987" s="181"/>
      <c r="Y987" s="181"/>
      <c r="Z987" s="179"/>
      <c r="AA987" s="549"/>
      <c r="AB987" s="181"/>
      <c r="AC987" s="181"/>
      <c r="AD987" s="181"/>
      <c r="AE987" s="179"/>
      <c r="AF987" s="549"/>
      <c r="AG987" s="181"/>
      <c r="AH987" s="181"/>
      <c r="AI987" s="181"/>
      <c r="AJ987" s="179"/>
      <c r="AK987" s="549"/>
      <c r="AL987" s="181"/>
      <c r="AM987" s="181"/>
      <c r="AN987" s="181"/>
      <c r="AO987" s="179"/>
      <c r="AP987" s="549"/>
      <c r="AQ987" s="181"/>
      <c r="AR987" s="181"/>
      <c r="AS987" s="181"/>
      <c r="AT987" s="528"/>
      <c r="AU987" s="528"/>
      <c r="AV987" s="528"/>
      <c r="AW987" s="528"/>
      <c r="AX987" s="528"/>
      <c r="AY987" s="528"/>
      <c r="AZ987" s="528"/>
      <c r="BA987" s="528"/>
      <c r="BB987" s="528"/>
      <c r="BC987" s="528"/>
      <c r="BD987" s="528"/>
      <c r="BE987" s="528"/>
      <c r="BF987" s="528"/>
      <c r="BG987" s="528"/>
      <c r="BH987" s="528"/>
    </row>
    <row r="988">
      <c r="A988" s="179"/>
      <c r="B988" s="549"/>
      <c r="C988" s="181"/>
      <c r="D988" s="181"/>
      <c r="E988" s="181"/>
      <c r="F988" s="179"/>
      <c r="G988" s="549"/>
      <c r="H988" s="181"/>
      <c r="I988" s="181"/>
      <c r="J988" s="181"/>
      <c r="K988" s="156"/>
      <c r="L988" s="549"/>
      <c r="M988" s="181"/>
      <c r="N988" s="181"/>
      <c r="O988" s="181"/>
      <c r="P988" s="156"/>
      <c r="Q988" s="562"/>
      <c r="R988" s="181"/>
      <c r="S988" s="181"/>
      <c r="T988" s="181"/>
      <c r="U988" s="179"/>
      <c r="V988" s="549"/>
      <c r="W988" s="181"/>
      <c r="X988" s="181"/>
      <c r="Y988" s="181"/>
      <c r="Z988" s="179"/>
      <c r="AA988" s="549"/>
      <c r="AB988" s="181"/>
      <c r="AC988" s="181"/>
      <c r="AD988" s="181"/>
      <c r="AE988" s="179"/>
      <c r="AF988" s="549"/>
      <c r="AG988" s="181"/>
      <c r="AH988" s="181"/>
      <c r="AI988" s="181"/>
      <c r="AJ988" s="179"/>
      <c r="AK988" s="549"/>
      <c r="AL988" s="181"/>
      <c r="AM988" s="181"/>
      <c r="AN988" s="181"/>
      <c r="AO988" s="179"/>
      <c r="AP988" s="549"/>
      <c r="AQ988" s="181"/>
      <c r="AR988" s="181"/>
      <c r="AS988" s="181"/>
      <c r="AT988" s="528"/>
      <c r="AU988" s="528"/>
      <c r="AV988" s="528"/>
      <c r="AW988" s="528"/>
      <c r="AX988" s="528"/>
      <c r="AY988" s="528"/>
      <c r="AZ988" s="528"/>
      <c r="BA988" s="528"/>
      <c r="BB988" s="528"/>
      <c r="BC988" s="528"/>
      <c r="BD988" s="528"/>
      <c r="BE988" s="528"/>
      <c r="BF988" s="528"/>
      <c r="BG988" s="528"/>
      <c r="BH988" s="528"/>
    </row>
    <row r="989">
      <c r="A989" s="179"/>
      <c r="B989" s="549"/>
      <c r="C989" s="181"/>
      <c r="D989" s="181"/>
      <c r="E989" s="181"/>
      <c r="F989" s="179"/>
      <c r="G989" s="549"/>
      <c r="H989" s="181"/>
      <c r="I989" s="181"/>
      <c r="J989" s="181"/>
      <c r="K989" s="156"/>
      <c r="L989" s="549"/>
      <c r="M989" s="181"/>
      <c r="N989" s="181"/>
      <c r="O989" s="181"/>
      <c r="P989" s="156"/>
      <c r="Q989" s="562"/>
      <c r="R989" s="181"/>
      <c r="S989" s="181"/>
      <c r="T989" s="181"/>
      <c r="U989" s="179"/>
      <c r="V989" s="549"/>
      <c r="W989" s="181"/>
      <c r="X989" s="181"/>
      <c r="Y989" s="181"/>
      <c r="Z989" s="179"/>
      <c r="AA989" s="549"/>
      <c r="AB989" s="181"/>
      <c r="AC989" s="181"/>
      <c r="AD989" s="181"/>
      <c r="AE989" s="179"/>
      <c r="AF989" s="549"/>
      <c r="AG989" s="181"/>
      <c r="AH989" s="181"/>
      <c r="AI989" s="181"/>
      <c r="AJ989" s="179"/>
      <c r="AK989" s="549"/>
      <c r="AL989" s="181"/>
      <c r="AM989" s="181"/>
      <c r="AN989" s="181"/>
      <c r="AO989" s="179"/>
      <c r="AP989" s="549"/>
      <c r="AQ989" s="181"/>
      <c r="AR989" s="181"/>
      <c r="AS989" s="181"/>
      <c r="AT989" s="528"/>
      <c r="AU989" s="528"/>
      <c r="AV989" s="528"/>
      <c r="AW989" s="528"/>
      <c r="AX989" s="528"/>
      <c r="AY989" s="528"/>
      <c r="AZ989" s="528"/>
      <c r="BA989" s="528"/>
      <c r="BB989" s="528"/>
      <c r="BC989" s="528"/>
      <c r="BD989" s="528"/>
      <c r="BE989" s="528"/>
      <c r="BF989" s="528"/>
      <c r="BG989" s="528"/>
      <c r="BH989" s="528"/>
    </row>
    <row r="990">
      <c r="A990" s="179"/>
      <c r="B990" s="549"/>
      <c r="C990" s="181"/>
      <c r="D990" s="181"/>
      <c r="E990" s="181"/>
      <c r="F990" s="179"/>
      <c r="G990" s="549"/>
      <c r="H990" s="181"/>
      <c r="I990" s="181"/>
      <c r="J990" s="181"/>
      <c r="K990" s="156"/>
      <c r="L990" s="549"/>
      <c r="M990" s="181"/>
      <c r="N990" s="181"/>
      <c r="O990" s="181"/>
      <c r="P990" s="156"/>
      <c r="Q990" s="562"/>
      <c r="R990" s="181"/>
      <c r="S990" s="181"/>
      <c r="T990" s="181"/>
      <c r="U990" s="179"/>
      <c r="V990" s="549"/>
      <c r="W990" s="181"/>
      <c r="X990" s="181"/>
      <c r="Y990" s="181"/>
      <c r="Z990" s="179"/>
      <c r="AA990" s="549"/>
      <c r="AB990" s="181"/>
      <c r="AC990" s="181"/>
      <c r="AD990" s="181"/>
      <c r="AE990" s="179"/>
      <c r="AF990" s="549"/>
      <c r="AG990" s="181"/>
      <c r="AH990" s="181"/>
      <c r="AI990" s="181"/>
      <c r="AJ990" s="179"/>
      <c r="AK990" s="549"/>
      <c r="AL990" s="181"/>
      <c r="AM990" s="181"/>
      <c r="AN990" s="181"/>
      <c r="AO990" s="179"/>
      <c r="AP990" s="549"/>
      <c r="AQ990" s="181"/>
      <c r="AR990" s="181"/>
      <c r="AS990" s="181"/>
      <c r="AT990" s="528"/>
      <c r="AU990" s="528"/>
      <c r="AV990" s="528"/>
      <c r="AW990" s="528"/>
      <c r="AX990" s="528"/>
      <c r="AY990" s="528"/>
      <c r="AZ990" s="528"/>
      <c r="BA990" s="528"/>
      <c r="BB990" s="528"/>
      <c r="BC990" s="528"/>
      <c r="BD990" s="528"/>
      <c r="BE990" s="528"/>
      <c r="BF990" s="528"/>
      <c r="BG990" s="528"/>
      <c r="BH990" s="528"/>
    </row>
    <row r="991">
      <c r="A991" s="179"/>
      <c r="B991" s="549"/>
      <c r="C991" s="181"/>
      <c r="D991" s="181"/>
      <c r="E991" s="181"/>
      <c r="F991" s="179"/>
      <c r="G991" s="549"/>
      <c r="H991" s="181"/>
      <c r="I991" s="181"/>
      <c r="J991" s="181"/>
      <c r="K991" s="156"/>
      <c r="L991" s="549"/>
      <c r="M991" s="181"/>
      <c r="N991" s="181"/>
      <c r="O991" s="181"/>
      <c r="P991" s="156"/>
      <c r="Q991" s="562"/>
      <c r="R991" s="181"/>
      <c r="S991" s="181"/>
      <c r="T991" s="181"/>
      <c r="U991" s="179"/>
      <c r="V991" s="549"/>
      <c r="W991" s="181"/>
      <c r="X991" s="181"/>
      <c r="Y991" s="181"/>
      <c r="Z991" s="179"/>
      <c r="AA991" s="549"/>
      <c r="AB991" s="181"/>
      <c r="AC991" s="181"/>
      <c r="AD991" s="181"/>
      <c r="AE991" s="179"/>
      <c r="AF991" s="549"/>
      <c r="AG991" s="181"/>
      <c r="AH991" s="181"/>
      <c r="AI991" s="181"/>
      <c r="AJ991" s="179"/>
      <c r="AK991" s="549"/>
      <c r="AL991" s="181"/>
      <c r="AM991" s="181"/>
      <c r="AN991" s="181"/>
      <c r="AO991" s="179"/>
      <c r="AP991" s="549"/>
      <c r="AQ991" s="181"/>
      <c r="AR991" s="181"/>
      <c r="AS991" s="181"/>
      <c r="AT991" s="528"/>
      <c r="AU991" s="528"/>
      <c r="AV991" s="528"/>
      <c r="AW991" s="528"/>
      <c r="AX991" s="528"/>
      <c r="AY991" s="528"/>
      <c r="AZ991" s="528"/>
      <c r="BA991" s="528"/>
      <c r="BB991" s="528"/>
      <c r="BC991" s="528"/>
      <c r="BD991" s="528"/>
      <c r="BE991" s="528"/>
      <c r="BF991" s="528"/>
      <c r="BG991" s="528"/>
      <c r="BH991" s="528"/>
    </row>
    <row r="992">
      <c r="A992" s="179"/>
      <c r="B992" s="549"/>
      <c r="C992" s="181"/>
      <c r="D992" s="181"/>
      <c r="E992" s="181"/>
      <c r="F992" s="179"/>
      <c r="G992" s="549"/>
      <c r="H992" s="181"/>
      <c r="I992" s="181"/>
      <c r="J992" s="181"/>
      <c r="K992" s="156"/>
      <c r="L992" s="549"/>
      <c r="M992" s="181"/>
      <c r="N992" s="181"/>
      <c r="O992" s="181"/>
      <c r="P992" s="156"/>
      <c r="Q992" s="562"/>
      <c r="R992" s="181"/>
      <c r="S992" s="181"/>
      <c r="T992" s="181"/>
      <c r="U992" s="179"/>
      <c r="V992" s="549"/>
      <c r="W992" s="181"/>
      <c r="X992" s="181"/>
      <c r="Y992" s="181"/>
      <c r="Z992" s="179"/>
      <c r="AA992" s="549"/>
      <c r="AB992" s="181"/>
      <c r="AC992" s="181"/>
      <c r="AD992" s="181"/>
      <c r="AE992" s="179"/>
      <c r="AF992" s="549"/>
      <c r="AG992" s="181"/>
      <c r="AH992" s="181"/>
      <c r="AI992" s="181"/>
      <c r="AJ992" s="179"/>
      <c r="AK992" s="549"/>
      <c r="AL992" s="181"/>
      <c r="AM992" s="181"/>
      <c r="AN992" s="181"/>
      <c r="AO992" s="179"/>
      <c r="AP992" s="549"/>
      <c r="AQ992" s="181"/>
      <c r="AR992" s="181"/>
      <c r="AS992" s="181"/>
      <c r="AT992" s="528"/>
      <c r="AU992" s="528"/>
      <c r="AV992" s="528"/>
      <c r="AW992" s="528"/>
      <c r="AX992" s="528"/>
      <c r="AY992" s="528"/>
      <c r="AZ992" s="528"/>
      <c r="BA992" s="528"/>
      <c r="BB992" s="528"/>
      <c r="BC992" s="528"/>
      <c r="BD992" s="528"/>
      <c r="BE992" s="528"/>
      <c r="BF992" s="528"/>
      <c r="BG992" s="528"/>
      <c r="BH992" s="528"/>
    </row>
    <row r="993">
      <c r="A993" s="179"/>
      <c r="B993" s="549"/>
      <c r="C993" s="181"/>
      <c r="D993" s="181"/>
      <c r="E993" s="181"/>
      <c r="F993" s="179"/>
      <c r="G993" s="549"/>
      <c r="H993" s="181"/>
      <c r="I993" s="181"/>
      <c r="J993" s="181"/>
      <c r="K993" s="156"/>
      <c r="L993" s="549"/>
      <c r="M993" s="181"/>
      <c r="N993" s="181"/>
      <c r="O993" s="181"/>
      <c r="P993" s="156"/>
      <c r="Q993" s="562"/>
      <c r="R993" s="181"/>
      <c r="S993" s="181"/>
      <c r="T993" s="181"/>
      <c r="U993" s="179"/>
      <c r="V993" s="549"/>
      <c r="W993" s="181"/>
      <c r="X993" s="181"/>
      <c r="Y993" s="181"/>
      <c r="Z993" s="179"/>
      <c r="AA993" s="549"/>
      <c r="AB993" s="181"/>
      <c r="AC993" s="181"/>
      <c r="AD993" s="181"/>
      <c r="AE993" s="179"/>
      <c r="AF993" s="549"/>
      <c r="AG993" s="181"/>
      <c r="AH993" s="181"/>
      <c r="AI993" s="181"/>
      <c r="AJ993" s="179"/>
      <c r="AK993" s="549"/>
      <c r="AL993" s="181"/>
      <c r="AM993" s="181"/>
      <c r="AN993" s="181"/>
      <c r="AO993" s="179"/>
      <c r="AP993" s="549"/>
      <c r="AQ993" s="181"/>
      <c r="AR993" s="181"/>
      <c r="AS993" s="181"/>
      <c r="AT993" s="528"/>
      <c r="AU993" s="528"/>
      <c r="AV993" s="528"/>
      <c r="AW993" s="528"/>
      <c r="AX993" s="528"/>
      <c r="AY993" s="528"/>
      <c r="AZ993" s="528"/>
      <c r="BA993" s="528"/>
      <c r="BB993" s="528"/>
      <c r="BC993" s="528"/>
      <c r="BD993" s="528"/>
      <c r="BE993" s="528"/>
      <c r="BF993" s="528"/>
      <c r="BG993" s="528"/>
      <c r="BH993" s="528"/>
    </row>
    <row r="994">
      <c r="A994" s="179"/>
      <c r="B994" s="549"/>
      <c r="C994" s="181"/>
      <c r="D994" s="181"/>
      <c r="E994" s="181"/>
      <c r="F994" s="179"/>
      <c r="G994" s="549"/>
      <c r="H994" s="181"/>
      <c r="I994" s="181"/>
      <c r="J994" s="181"/>
      <c r="K994" s="156"/>
      <c r="L994" s="549"/>
      <c r="M994" s="181"/>
      <c r="N994" s="181"/>
      <c r="O994" s="181"/>
      <c r="P994" s="156"/>
      <c r="Q994" s="562"/>
      <c r="R994" s="181"/>
      <c r="S994" s="181"/>
      <c r="T994" s="181"/>
      <c r="U994" s="179"/>
      <c r="V994" s="549"/>
      <c r="W994" s="181"/>
      <c r="X994" s="181"/>
      <c r="Y994" s="181"/>
      <c r="Z994" s="179"/>
      <c r="AA994" s="549"/>
      <c r="AB994" s="181"/>
      <c r="AC994" s="181"/>
      <c r="AD994" s="181"/>
      <c r="AE994" s="179"/>
      <c r="AF994" s="549"/>
      <c r="AG994" s="181"/>
      <c r="AH994" s="181"/>
      <c r="AI994" s="181"/>
      <c r="AJ994" s="179"/>
      <c r="AK994" s="549"/>
      <c r="AL994" s="181"/>
      <c r="AM994" s="181"/>
      <c r="AN994" s="181"/>
      <c r="AO994" s="179"/>
      <c r="AP994" s="549"/>
      <c r="AQ994" s="181"/>
      <c r="AR994" s="181"/>
      <c r="AS994" s="181"/>
      <c r="AT994" s="528"/>
      <c r="AU994" s="528"/>
      <c r="AV994" s="528"/>
      <c r="AW994" s="528"/>
      <c r="AX994" s="528"/>
      <c r="AY994" s="528"/>
      <c r="AZ994" s="528"/>
      <c r="BA994" s="528"/>
      <c r="BB994" s="528"/>
      <c r="BC994" s="528"/>
      <c r="BD994" s="528"/>
      <c r="BE994" s="528"/>
      <c r="BF994" s="528"/>
      <c r="BG994" s="528"/>
      <c r="BH994" s="528"/>
    </row>
    <row r="995">
      <c r="A995" s="179"/>
      <c r="B995" s="549"/>
      <c r="C995" s="181"/>
      <c r="D995" s="181"/>
      <c r="E995" s="181"/>
      <c r="F995" s="179"/>
      <c r="G995" s="549"/>
      <c r="H995" s="181"/>
      <c r="I995" s="181"/>
      <c r="J995" s="181"/>
      <c r="K995" s="156"/>
      <c r="L995" s="549"/>
      <c r="M995" s="181"/>
      <c r="N995" s="181"/>
      <c r="O995" s="181"/>
      <c r="P995" s="156"/>
      <c r="Q995" s="562"/>
      <c r="R995" s="181"/>
      <c r="S995" s="181"/>
      <c r="T995" s="181"/>
      <c r="U995" s="179"/>
      <c r="V995" s="549"/>
      <c r="W995" s="181"/>
      <c r="X995" s="181"/>
      <c r="Y995" s="181"/>
      <c r="Z995" s="179"/>
      <c r="AA995" s="549"/>
      <c r="AB995" s="181"/>
      <c r="AC995" s="181"/>
      <c r="AD995" s="181"/>
      <c r="AE995" s="179"/>
      <c r="AF995" s="549"/>
      <c r="AG995" s="181"/>
      <c r="AH995" s="181"/>
      <c r="AI995" s="181"/>
      <c r="AJ995" s="179"/>
      <c r="AK995" s="549"/>
      <c r="AL995" s="181"/>
      <c r="AM995" s="181"/>
      <c r="AN995" s="181"/>
      <c r="AO995" s="179"/>
      <c r="AP995" s="549"/>
      <c r="AQ995" s="181"/>
      <c r="AR995" s="181"/>
      <c r="AS995" s="181"/>
      <c r="AT995" s="528"/>
      <c r="AU995" s="528"/>
      <c r="AV995" s="528"/>
      <c r="AW995" s="528"/>
      <c r="AX995" s="528"/>
      <c r="AY995" s="528"/>
      <c r="AZ995" s="528"/>
      <c r="BA995" s="528"/>
      <c r="BB995" s="528"/>
      <c r="BC995" s="528"/>
      <c r="BD995" s="528"/>
      <c r="BE995" s="528"/>
      <c r="BF995" s="528"/>
      <c r="BG995" s="528"/>
      <c r="BH995" s="528"/>
    </row>
    <row r="996">
      <c r="A996" s="179"/>
      <c r="B996" s="549"/>
      <c r="C996" s="181"/>
      <c r="D996" s="181"/>
      <c r="E996" s="181"/>
      <c r="F996" s="179"/>
      <c r="G996" s="549"/>
      <c r="H996" s="181"/>
      <c r="I996" s="181"/>
      <c r="J996" s="181"/>
      <c r="K996" s="156"/>
      <c r="L996" s="549"/>
      <c r="M996" s="181"/>
      <c r="N996" s="181"/>
      <c r="O996" s="181"/>
      <c r="P996" s="156"/>
      <c r="Q996" s="562"/>
      <c r="R996" s="181"/>
      <c r="S996" s="181"/>
      <c r="T996" s="181"/>
      <c r="U996" s="179"/>
      <c r="V996" s="549"/>
      <c r="W996" s="181"/>
      <c r="X996" s="181"/>
      <c r="Y996" s="181"/>
      <c r="Z996" s="179"/>
      <c r="AA996" s="549"/>
      <c r="AB996" s="181"/>
      <c r="AC996" s="181"/>
      <c r="AD996" s="181"/>
      <c r="AE996" s="179"/>
      <c r="AF996" s="549"/>
      <c r="AG996" s="181"/>
      <c r="AH996" s="181"/>
      <c r="AI996" s="181"/>
      <c r="AJ996" s="179"/>
      <c r="AK996" s="549"/>
      <c r="AL996" s="181"/>
      <c r="AM996" s="181"/>
      <c r="AN996" s="181"/>
      <c r="AO996" s="179"/>
      <c r="AP996" s="549"/>
      <c r="AQ996" s="181"/>
      <c r="AR996" s="181"/>
      <c r="AS996" s="181"/>
      <c r="AT996" s="528"/>
      <c r="AU996" s="528"/>
      <c r="AV996" s="528"/>
      <c r="AW996" s="528"/>
      <c r="AX996" s="528"/>
      <c r="AY996" s="528"/>
      <c r="AZ996" s="528"/>
      <c r="BA996" s="528"/>
      <c r="BB996" s="528"/>
      <c r="BC996" s="528"/>
      <c r="BD996" s="528"/>
      <c r="BE996" s="528"/>
      <c r="BF996" s="528"/>
      <c r="BG996" s="528"/>
      <c r="BH996" s="528"/>
    </row>
    <row r="997">
      <c r="A997" s="179"/>
      <c r="B997" s="549"/>
      <c r="C997" s="181"/>
      <c r="D997" s="181"/>
      <c r="E997" s="181"/>
      <c r="F997" s="179"/>
      <c r="G997" s="549"/>
      <c r="H997" s="181"/>
      <c r="I997" s="181"/>
      <c r="J997" s="181"/>
      <c r="K997" s="156"/>
      <c r="L997" s="549"/>
      <c r="M997" s="181"/>
      <c r="N997" s="181"/>
      <c r="O997" s="181"/>
      <c r="P997" s="156"/>
      <c r="Q997" s="562"/>
      <c r="R997" s="181"/>
      <c r="S997" s="181"/>
      <c r="T997" s="181"/>
      <c r="U997" s="179"/>
      <c r="V997" s="549"/>
      <c r="W997" s="181"/>
      <c r="X997" s="181"/>
      <c r="Y997" s="181"/>
      <c r="Z997" s="179"/>
      <c r="AA997" s="549"/>
      <c r="AB997" s="181"/>
      <c r="AC997" s="181"/>
      <c r="AD997" s="181"/>
      <c r="AE997" s="179"/>
      <c r="AF997" s="549"/>
      <c r="AG997" s="181"/>
      <c r="AH997" s="181"/>
      <c r="AI997" s="181"/>
      <c r="AJ997" s="179"/>
      <c r="AK997" s="549"/>
      <c r="AL997" s="181"/>
      <c r="AM997" s="181"/>
      <c r="AN997" s="181"/>
      <c r="AO997" s="179"/>
      <c r="AP997" s="549"/>
      <c r="AQ997" s="181"/>
      <c r="AR997" s="181"/>
      <c r="AS997" s="181"/>
      <c r="AT997" s="528"/>
      <c r="AU997" s="528"/>
      <c r="AV997" s="528"/>
      <c r="AW997" s="528"/>
      <c r="AX997" s="528"/>
      <c r="AY997" s="528"/>
      <c r="AZ997" s="528"/>
      <c r="BA997" s="528"/>
      <c r="BB997" s="528"/>
      <c r="BC997" s="528"/>
      <c r="BD997" s="528"/>
      <c r="BE997" s="528"/>
      <c r="BF997" s="528"/>
      <c r="BG997" s="528"/>
      <c r="BH997" s="528"/>
    </row>
    <row r="998">
      <c r="A998" s="179"/>
      <c r="B998" s="549"/>
      <c r="C998" s="181"/>
      <c r="D998" s="181"/>
      <c r="E998" s="181"/>
      <c r="F998" s="179"/>
      <c r="G998" s="549"/>
      <c r="H998" s="181"/>
      <c r="I998" s="181"/>
      <c r="J998" s="181"/>
      <c r="K998" s="156"/>
      <c r="L998" s="549"/>
      <c r="M998" s="181"/>
      <c r="N998" s="181"/>
      <c r="O998" s="181"/>
      <c r="P998" s="156"/>
      <c r="Q998" s="562"/>
      <c r="R998" s="181"/>
      <c r="S998" s="181"/>
      <c r="T998" s="181"/>
      <c r="U998" s="179"/>
      <c r="V998" s="549"/>
      <c r="W998" s="181"/>
      <c r="X998" s="181"/>
      <c r="Y998" s="181"/>
      <c r="Z998" s="179"/>
      <c r="AA998" s="549"/>
      <c r="AB998" s="181"/>
      <c r="AC998" s="181"/>
      <c r="AD998" s="181"/>
      <c r="AE998" s="179"/>
      <c r="AF998" s="549"/>
      <c r="AG998" s="181"/>
      <c r="AH998" s="181"/>
      <c r="AI998" s="181"/>
      <c r="AJ998" s="179"/>
      <c r="AK998" s="549"/>
      <c r="AL998" s="181"/>
      <c r="AM998" s="181"/>
      <c r="AN998" s="181"/>
      <c r="AO998" s="179"/>
      <c r="AP998" s="549"/>
      <c r="AQ998" s="181"/>
      <c r="AR998" s="181"/>
      <c r="AS998" s="181"/>
      <c r="AT998" s="528"/>
      <c r="AU998" s="528"/>
      <c r="AV998" s="528"/>
      <c r="AW998" s="528"/>
      <c r="AX998" s="528"/>
      <c r="AY998" s="528"/>
      <c r="AZ998" s="528"/>
      <c r="BA998" s="528"/>
      <c r="BB998" s="528"/>
      <c r="BC998" s="528"/>
      <c r="BD998" s="528"/>
      <c r="BE998" s="528"/>
      <c r="BF998" s="528"/>
      <c r="BG998" s="528"/>
      <c r="BH998" s="528"/>
    </row>
    <row r="999">
      <c r="A999" s="179"/>
      <c r="B999" s="549"/>
      <c r="C999" s="181"/>
      <c r="D999" s="181"/>
      <c r="E999" s="181"/>
      <c r="F999" s="179"/>
      <c r="G999" s="549"/>
      <c r="H999" s="181"/>
      <c r="I999" s="181"/>
      <c r="J999" s="181"/>
      <c r="K999" s="156"/>
      <c r="L999" s="549"/>
      <c r="M999" s="181"/>
      <c r="N999" s="181"/>
      <c r="O999" s="181"/>
      <c r="P999" s="156"/>
      <c r="Q999" s="562"/>
      <c r="R999" s="181"/>
      <c r="S999" s="181"/>
      <c r="T999" s="181"/>
      <c r="U999" s="179"/>
      <c r="V999" s="549"/>
      <c r="W999" s="181"/>
      <c r="X999" s="181"/>
      <c r="Y999" s="181"/>
      <c r="Z999" s="179"/>
      <c r="AA999" s="549"/>
      <c r="AB999" s="181"/>
      <c r="AC999" s="181"/>
      <c r="AD999" s="181"/>
      <c r="AE999" s="179"/>
      <c r="AF999" s="549"/>
      <c r="AG999" s="181"/>
      <c r="AH999" s="181"/>
      <c r="AI999" s="181"/>
      <c r="AJ999" s="179"/>
      <c r="AK999" s="549"/>
      <c r="AL999" s="181"/>
      <c r="AM999" s="181"/>
      <c r="AN999" s="181"/>
      <c r="AO999" s="179"/>
      <c r="AP999" s="549"/>
      <c r="AQ999" s="181"/>
      <c r="AR999" s="181"/>
      <c r="AS999" s="181"/>
      <c r="AT999" s="528"/>
      <c r="AU999" s="528"/>
      <c r="AV999" s="528"/>
      <c r="AW999" s="528"/>
      <c r="AX999" s="528"/>
      <c r="AY999" s="528"/>
      <c r="AZ999" s="528"/>
      <c r="BA999" s="528"/>
      <c r="BB999" s="528"/>
      <c r="BC999" s="528"/>
      <c r="BD999" s="528"/>
      <c r="BE999" s="528"/>
      <c r="BF999" s="528"/>
      <c r="BG999" s="528"/>
      <c r="BH999" s="528"/>
    </row>
    <row r="1000">
      <c r="A1000" s="179"/>
      <c r="B1000" s="549"/>
      <c r="C1000" s="181"/>
      <c r="D1000" s="181"/>
      <c r="E1000" s="181"/>
      <c r="F1000" s="179"/>
      <c r="G1000" s="549"/>
      <c r="H1000" s="181"/>
      <c r="I1000" s="181"/>
      <c r="J1000" s="181"/>
      <c r="K1000" s="156"/>
      <c r="L1000" s="549"/>
      <c r="M1000" s="181"/>
      <c r="N1000" s="181"/>
      <c r="O1000" s="181"/>
      <c r="P1000" s="156"/>
      <c r="Q1000" s="562"/>
      <c r="R1000" s="181"/>
      <c r="S1000" s="181"/>
      <c r="T1000" s="181"/>
      <c r="U1000" s="179"/>
      <c r="V1000" s="549"/>
      <c r="W1000" s="181"/>
      <c r="X1000" s="181"/>
      <c r="Y1000" s="181"/>
      <c r="Z1000" s="179"/>
      <c r="AA1000" s="549"/>
      <c r="AB1000" s="181"/>
      <c r="AC1000" s="181"/>
      <c r="AD1000" s="181"/>
      <c r="AE1000" s="179"/>
      <c r="AF1000" s="549"/>
      <c r="AG1000" s="181"/>
      <c r="AH1000" s="181"/>
      <c r="AI1000" s="181"/>
      <c r="AJ1000" s="179"/>
      <c r="AK1000" s="549"/>
      <c r="AL1000" s="181"/>
      <c r="AM1000" s="181"/>
      <c r="AN1000" s="181"/>
      <c r="AO1000" s="179"/>
      <c r="AP1000" s="549"/>
      <c r="AQ1000" s="181"/>
      <c r="AR1000" s="181"/>
      <c r="AS1000" s="181"/>
      <c r="AT1000" s="528"/>
      <c r="AU1000" s="528"/>
      <c r="AV1000" s="528"/>
      <c r="AW1000" s="528"/>
      <c r="AX1000" s="528"/>
      <c r="AY1000" s="528"/>
      <c r="AZ1000" s="528"/>
      <c r="BA1000" s="528"/>
      <c r="BB1000" s="528"/>
      <c r="BC1000" s="528"/>
      <c r="BD1000" s="528"/>
      <c r="BE1000" s="528"/>
      <c r="BF1000" s="528"/>
      <c r="BG1000" s="528"/>
      <c r="BH1000" s="528"/>
    </row>
  </sheetData>
  <mergeCells count="18">
    <mergeCell ref="AL1:AN3"/>
    <mergeCell ref="AQ1:AS3"/>
    <mergeCell ref="AV1:AX3"/>
    <mergeCell ref="BA1:BC3"/>
    <mergeCell ref="C8:E8"/>
    <mergeCell ref="R8:T8"/>
    <mergeCell ref="W8:Y8"/>
    <mergeCell ref="AB8:AD8"/>
    <mergeCell ref="AG8:AI8"/>
    <mergeCell ref="AL8:AN8"/>
    <mergeCell ref="AQ8:AS8"/>
    <mergeCell ref="C1:E3"/>
    <mergeCell ref="H1:J3"/>
    <mergeCell ref="M1:O3"/>
    <mergeCell ref="R1:T3"/>
    <mergeCell ref="W1:Y3"/>
    <mergeCell ref="AB1:AD3"/>
    <mergeCell ref="AG1:AI3"/>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6" width="46.63"/>
    <col customWidth="1" min="7" max="7" width="43.38"/>
    <col customWidth="1" min="8" max="9" width="46.63"/>
    <col customWidth="1" min="10" max="10" width="47.5"/>
    <col customWidth="1" min="11" max="11" width="43.38"/>
    <col customWidth="1" min="12" max="12" width="39.38"/>
  </cols>
  <sheetData>
    <row r="1">
      <c r="A1" s="97" t="s">
        <v>12468</v>
      </c>
      <c r="B1" s="578" t="s">
        <v>12469</v>
      </c>
      <c r="C1" s="97" t="s">
        <v>12470</v>
      </c>
      <c r="D1" s="578" t="str">
        <f>IFERROR(__xludf.DUMMYFUNCTION("GOOGLETRANSLATE(A1,""zh-tw"",""zh"")"),"使用『6a1n60ld』密技，可以立即获得""10万金币""、""Ruika的万宝槌""(增加掉落率)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使用『get40rfree』， 取得所有日常必需品和材料 (限1次)
使用『hard2k1ll』，可以立即获得""妖精女王的晶翼""道具(免疫坠落伤害、降低最终受到的伤害)
请注意：
一旦使用作弊代码，会获得""杂鱼""的称号，此效果无法移除且永久存在，拥有此称号将在后续版本更新中，出现其他的影响。
例如开场的妹妹嘲讽语音、来自NPC的嘲讽等等，建议使用不同的存档。
可以于游戏设定中开关""杂鱼模式""选项
于外出的RPG模式时，长按头像，会出现输入框。")</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使用『get40rfree』， 取得所有日常必需品和材料 (限1次)
使用『hard2k1ll』，可以立即获得"妖精女王的晶翼"道具(免疫坠落伤害、降低最终受到的伤害)
请注意：
一旦使用作弊代码，会获得"杂鱼"的称号，此效果无法移除且永久存在，拥有此称号将在后续版本更新中，出现其他的影响。
例如开场的妹妹嘲讽语音、来自NPC的嘲讽等等，建议使用不同的存档。
可以于游戏设定中开关"杂鱼模式"选项
于外出的RPG模式时，长按头像，会出现输入框。</v>
      </c>
      <c r="E1" s="100" t="str">
        <f>IFERROR(__xludf.DUMMYFUNCTION("GOOGLETRANSLATE(A1,""zh-tw"",""es-MX"")"),"Usar el código de trucos '6a1n60ld' otorga instantáneamente ""100.000 de oro"" y el ""Martillo del Tesoro de Ruika"" (aumenta la probabilidad de obtención de objetos).
Usar el código de trucos 'healmeplz' otorga instantáneamente el ""Botiquín de Primeros"&amp;" Auxilios de Mio"" (restaura salud por segundo).
Usar el código de trucos 'unshatter' otorga instantáneamente el ""Dedo Dorado de Aniquilación Blanca"" (las armas son gratis).
Usar el código de trucos '60dpat' otorga instantáneamente el objeto ""Onda de"&amp;" Amor"" (cada caricia en la cabeza añade un corazón).
Usar el código de trucos 'muestacz' otorga instantáneamente el objeto ""Territorio Absoluto"" (aumenta el número de armas y armaduras en el inventario a +99).
Usar '1f0g0ty0u' te permite cambiar el n"&amp;"ombre de tu hermana; esto no se considera usar códigos de trucos.
Usar 'get40rfree' otorga todos los artículos y materiales de primera necesidad. (Limitado a 1 uso) Usar 'hard2k1ll' te otorgará instantáneamente el objeto ""Alas de Cristal de la Reina Had"&amp;"a"" (inmunidad al daño por caída, daño final reducido).
Nota: Usar códigos de trucos te dará el título de ""Esbirro"", que es permanente y no se puede eliminar. Este título tendrá otros efectos en futuras actualizaciones.
Por ejemplo, puede provocar que"&amp;" tu hermana diga su frase de burla al principio, que los PNJ te insulten, etc. Se recomienda usar un archivo de guardado diferente.
Puedes activar o desactivar la opción ""Modo Esbirro"" en la configuración del juego.
En el modo RPG, al estar al aire li"&amp;"bre, mantén pulsado tu avatar para que aparezca un cuadro de diálogo.")</f>
        <v>Usar el código de trucos '6a1n60ld' otorga instantáneamente "100.000 de oro" y el "Martillo del Tesoro de Ruika" (aumenta la probabilidad de obtención de objetos).
Usar el código de trucos 'healmeplz' otorga instantáneamente el "Botiquín de Primeros Auxilios de Mio" (restaura salud por segundo).
Usar el código de trucos 'unshatter' otorga instantáneamente el "Dedo Dorado de Aniquilación Blanca" (las armas son gratis).
Usar el código de trucos '60dpat' otorga instantáneamente el objeto "Onda de Amor" (cada caricia en la cabeza añade un corazón).
Usar el código de trucos 'muestacz' otorga instantáneamente el objeto "Territorio Absoluto" (aumenta el número de armas y armaduras en el inventario a +99).
Usar '1f0g0ty0u' te permite cambiar el nombre de tu hermana; esto no se considera usar códigos de trucos.
Usar 'get40rfree' otorga todos los artículos y materiales de primera necesidad. (Limitado a 1 uso) Usar 'hard2k1ll' te otorgará instantáneamente el objeto "Alas de Cristal de la Reina Hada" (inmunidad al daño por caída, daño final reducido).
Nota: Usar códigos de trucos te dará el título de "Esbirro", que es permanente y no se puede eliminar. Este título tendrá otros efectos en futuras actualizaciones.
Por ejemplo, puede provocar que tu hermana diga su frase de burla al principio, que los PNJ te insulten, etc. Se recomienda usar un archivo de guardado diferente.
Puedes activar o desactivar la opción "Modo Esbirro" en la configuración del juego.
En el modo RPG, al estar al aire libre, mantén pulsado tu avatar para que aparezca un cuadro de diálogo.</v>
      </c>
      <c r="F1" s="579" t="str">
        <f>IFERROR(__xludf.DUMMYFUNCTION("GOOGLETRANSLATE(A1,""zh-tw"",""KO"")"),"치트 코드 '6a1n60ld'를 사용하면 즉시 ""100,000 골드""와 ""루이카의 보물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파문""(머리"&amp;"를 쓰다듬을 때마다 하트 1개 증가)을 획득할 수 있습니다.
치트 코드 'muestacz'를 사용하면 즉시 ""절대 영토""(무기/방어구 소지량 +99)를 획득할 수 있습니다.
'1f0g0ty0u'를 사용하면 여동생의 이름을 변경할 수 있습니다. 이는 치트 코드 사용으로 간주되지 않습니다.
'get40rfree'를 사용하면 모든 일상 필수품과 재료를 무료로 얻을 수 있습니다. (1회 사용 제한) 'hard2k1ll'을 사용하면 '요정 여왕의 수정 "&amp;"날개' 아이템(낙하 피해 면역, 최종 피해 감소)을 즉시 획득할 수 있습니다.
주의: 치트 코드를 사용하면 '미니언'이라는 칭호가 부여되며, 이는 영구적으로 유지되고 제거할 수 없습니다. 이 칭호는 향후 업데이트에서 다른 영향을 미칠 수 있습니다.
예를 들어, 게임 시작 시 여동생의 조롱하는 대사가 나오거나 NPC의 조롱을 받을 수 있습니다. 다른 저장 파일을 사용하는 것을 권장합니다.
게임 설정에서 '미니언 모드'를 켜고 끌 수 있습니다.
RP"&amp;"G 모드에서 탁 트인 공간에 있을 때 아바타를 길게 누르면 입력 상자가 나타납니다.")</f>
        <v>치트 코드 '6a1n60ld'를 사용하면 즉시 "100,000 골드"와 "루이카의 보물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파문"(머리를 쓰다듬을 때마다 하트 1개 증가)을 획득할 수 있습니다.
치트 코드 'muestacz'를 사용하면 즉시 "절대 영토"(무기/방어구 소지량 +99)를 획득할 수 있습니다.
'1f0g0ty0u'를 사용하면 여동생의 이름을 변경할 수 있습니다. 이는 치트 코드 사용으로 간주되지 않습니다.
'get40rfree'를 사용하면 모든 일상 필수품과 재료를 무료로 얻을 수 있습니다. (1회 사용 제한) 'hard2k1ll'을 사용하면 '요정 여왕의 수정 날개' 아이템(낙하 피해 면역, 최종 피해 감소)을 즉시 획득할 수 있습니다.
주의: 치트 코드를 사용하면 '미니언'이라는 칭호가 부여되며, 이는 영구적으로 유지되고 제거할 수 없습니다. 이 칭호는 향후 업데이트에서 다른 영향을 미칠 수 있습니다.
예를 들어, 게임 시작 시 여동생의 조롱하는 대사가 나오거나 NPC의 조롱을 받을 수 있습니다. 다른 저장 파일을 사용하는 것을 권장합니다.
게임 설정에서 '미니언 모드'를 켜고 끌 수 있습니다.
RPG 모드에서 탁 트인 공간에 있을 때 아바타를 길게 누르면 입력 상자가 나타납니다.</v>
      </c>
      <c r="G1" s="153" t="s">
        <v>12471</v>
      </c>
      <c r="H1" s="580" t="s">
        <v>12472</v>
      </c>
      <c r="I1" s="97" t="s">
        <v>12473</v>
      </c>
      <c r="J1" s="581" t="s">
        <v>12474</v>
      </c>
      <c r="K1" s="97" t="s">
        <v>12475</v>
      </c>
      <c r="L1" s="578" t="s">
        <v>12476</v>
      </c>
      <c r="M1" s="87"/>
      <c r="N1" s="87"/>
      <c r="O1" s="87"/>
      <c r="P1" s="87"/>
      <c r="Q1" s="87"/>
      <c r="R1" s="87"/>
      <c r="S1" s="87"/>
      <c r="T1" s="87"/>
      <c r="U1" s="87"/>
      <c r="V1" s="87"/>
      <c r="W1" s="87"/>
      <c r="X1" s="87"/>
      <c r="Y1" s="87"/>
    </row>
    <row r="2">
      <c r="A2" s="97" t="s">
        <v>12477</v>
      </c>
      <c r="B2" s="578" t="s">
        <v>12478</v>
      </c>
      <c r="C2" s="97" t="s">
        <v>12479</v>
      </c>
      <c r="D2" s="578" t="s">
        <v>12480</v>
      </c>
      <c r="E2" s="100" t="str">
        <f>IFERROR(__xludf.DUMMYFUNCTION("GOOGLETRANSLATE(A2,""zh-tw"",""es-MX"")"),"Para guardar tu partida en diferentes versiones, simplemente mueve el archivo de guardado de www-&gt;save a la misma ubicación en la nueva versión.")</f>
        <v>Para guardar tu partida en diferentes versiones, simplemente mueve el archivo de guardado de www-&gt;save a la misma ubicación en la nueva versión.</v>
      </c>
      <c r="F2" s="579" t="str">
        <f>IFERROR(__xludf.DUMMYFUNCTION("GOOGLETRANSLATE(A2,""zh-tw"",""KO"")"),"다른 버전에서 게임을 저장하려면 www-&gt;save 폴더에 있는 저장 파일을 새 버전의 동일한 위치로 옮기기만 하면 됩니다.")</f>
        <v>다른 버전에서 게임을 저장하려면 www-&gt;save 폴더에 있는 저장 파일을 새 버전의 동일한 위치로 옮기기만 하면 됩니다.</v>
      </c>
      <c r="G2" s="181" t="s">
        <v>12481</v>
      </c>
      <c r="H2" s="582" t="s">
        <v>12482</v>
      </c>
      <c r="I2" s="97" t="s">
        <v>12483</v>
      </c>
      <c r="J2" s="583" t="s">
        <v>12484</v>
      </c>
      <c r="K2" s="100" t="s">
        <v>12485</v>
      </c>
      <c r="L2" s="584" t="s">
        <v>12486</v>
      </c>
      <c r="M2" s="87"/>
      <c r="N2" s="87"/>
      <c r="O2" s="87"/>
      <c r="P2" s="87"/>
      <c r="Q2" s="87"/>
      <c r="R2" s="87"/>
      <c r="S2" s="87"/>
      <c r="T2" s="87"/>
      <c r="U2" s="87"/>
      <c r="V2" s="87"/>
      <c r="W2" s="87"/>
      <c r="X2" s="87"/>
      <c r="Y2" s="87"/>
    </row>
    <row r="3">
      <c r="A3" s="97" t="s">
        <v>12487</v>
      </c>
      <c r="B3" s="578" t="s">
        <v>12488</v>
      </c>
      <c r="C3" s="97" t="s">
        <v>12489</v>
      </c>
      <c r="D3" s="578" t="str">
        <f>IFERROR(__xludf.DUMMYFUNCTION("GOOGLETRANSLATE(A3,""zh-tw"",""zh"")"),"ALT可加速动画与音乐变奏的演绎")</f>
        <v>ALT可加速动画与音乐变奏的演绎</v>
      </c>
      <c r="E3" s="100" t="str">
        <f>IFERROR(__xludf.DUMMYFUNCTION("GOOGLETRANSLATE(A3,""zh-tw"",""es-MX"")"),"ALT puede acelerar el rendimiento de las animaciones y las variaciones musicales.")</f>
        <v>ALT puede acelerar el rendimiento de las animaciones y las variaciones musicales.</v>
      </c>
      <c r="F3" s="579" t="str">
        <f>IFERROR(__xludf.DUMMYFUNCTION("GOOGLETRANSLATE(A3,""zh-tw"",""KO"")"),"ALT는 애니메이션 및 음악 변형의 성능을 향상시킬 수 있습니다.")</f>
        <v>ALT는 애니메이션 및 음악 변형의 성능을 향상시킬 수 있습니다.</v>
      </c>
      <c r="G3" s="181" t="s">
        <v>12490</v>
      </c>
      <c r="H3" s="585" t="s">
        <v>12491</v>
      </c>
      <c r="I3" s="86" t="s">
        <v>12492</v>
      </c>
      <c r="J3" s="581" t="s">
        <v>12493</v>
      </c>
      <c r="K3" s="100" t="s">
        <v>12494</v>
      </c>
      <c r="L3" s="584" t="s">
        <v>12495</v>
      </c>
      <c r="M3" s="87"/>
      <c r="N3" s="87"/>
      <c r="O3" s="87"/>
      <c r="P3" s="87"/>
      <c r="Q3" s="87"/>
      <c r="R3" s="87"/>
      <c r="S3" s="87"/>
      <c r="T3" s="87"/>
      <c r="U3" s="87"/>
      <c r="V3" s="87"/>
      <c r="W3" s="87"/>
      <c r="X3" s="87"/>
      <c r="Y3" s="87"/>
    </row>
    <row r="4">
      <c r="A4" s="97" t="s">
        <v>12496</v>
      </c>
      <c r="B4" s="578" t="s">
        <v>12497</v>
      </c>
      <c r="C4" s="97" t="s">
        <v>12498</v>
      </c>
      <c r="D4" s="578" t="str">
        <f>IFERROR(__xludf.DUMMYFUNCTION("GOOGLETRANSLATE(A4,""zh-tw"",""zh"")"),"CTRL可加速对话")</f>
        <v>CTRL可加速对话</v>
      </c>
      <c r="E4" s="100" t="str">
        <f>IFERROR(__xludf.DUMMYFUNCTION("GOOGLETRANSLATE(A4,""zh-tw"",""es-MX"")"),"La tecla CTRL puede acelerar la conversación.")</f>
        <v>La tecla CTRL puede acelerar la conversación.</v>
      </c>
      <c r="F4" s="579" t="str">
        <f>IFERROR(__xludf.DUMMYFUNCTION("GOOGLETRANSLATE(A4,""zh-tw"",""KO"")"),"CTRL 키를 누르면 대화 속도가 빨라집니다.")</f>
        <v>CTRL 키를 누르면 대화 속도가 빨라집니다.</v>
      </c>
      <c r="G4" s="181" t="s">
        <v>12499</v>
      </c>
      <c r="H4" s="582" t="s">
        <v>12500</v>
      </c>
      <c r="I4" s="97" t="s">
        <v>12501</v>
      </c>
      <c r="J4" s="583" t="s">
        <v>12502</v>
      </c>
      <c r="K4" s="100" t="s">
        <v>12503</v>
      </c>
      <c r="L4" s="584" t="s">
        <v>12504</v>
      </c>
      <c r="M4" s="87"/>
      <c r="N4" s="87"/>
      <c r="O4" s="87"/>
      <c r="P4" s="87"/>
      <c r="Q4" s="87"/>
      <c r="R4" s="87"/>
      <c r="S4" s="87"/>
      <c r="T4" s="87"/>
      <c r="U4" s="87"/>
      <c r="V4" s="87"/>
      <c r="W4" s="87"/>
      <c r="X4" s="87"/>
      <c r="Y4" s="87"/>
    </row>
    <row r="5">
      <c r="A5" s="97" t="s">
        <v>12505</v>
      </c>
      <c r="B5" s="578" t="s">
        <v>12506</v>
      </c>
      <c r="C5" s="97" t="s">
        <v>12507</v>
      </c>
      <c r="D5" s="578" t="str">
        <f>IFERROR(__xludf.DUMMYFUNCTION("GOOGLETRANSLATE(A5,""zh-tw"",""zh"")"),"Z键可以推进对话")</f>
        <v>Z键可以推进对话</v>
      </c>
      <c r="E5" s="100" t="str">
        <f>IFERROR(__xludf.DUMMYFUNCTION("GOOGLETRANSLATE(A5,""zh-tw"",""es-MX"")"),"La tecla Z hace avanzar el diálogo.")</f>
        <v>La tecla Z hace avanzar el diálogo.</v>
      </c>
      <c r="F5" s="579" t="str">
        <f>IFERROR(__xludf.DUMMYFUNCTION("GOOGLETRANSLATE(A5,""zh-tw"",""KO"")"),"Z 키를 누르면 대화가 진행됩니다.")</f>
        <v>Z 키를 누르면 대화가 진행됩니다.</v>
      </c>
      <c r="G5" s="181" t="s">
        <v>12508</v>
      </c>
      <c r="H5" s="585" t="s">
        <v>12509</v>
      </c>
      <c r="I5" s="97" t="s">
        <v>12510</v>
      </c>
      <c r="J5" s="583" t="s">
        <v>12511</v>
      </c>
      <c r="K5" s="100" t="s">
        <v>12512</v>
      </c>
      <c r="L5" s="584" t="s">
        <v>12513</v>
      </c>
      <c r="M5" s="87"/>
      <c r="N5" s="87"/>
      <c r="O5" s="87"/>
      <c r="P5" s="87"/>
      <c r="Q5" s="87"/>
      <c r="R5" s="87"/>
      <c r="S5" s="87"/>
      <c r="T5" s="87"/>
      <c r="U5" s="87"/>
      <c r="V5" s="87"/>
      <c r="W5" s="87"/>
      <c r="X5" s="87"/>
      <c r="Y5" s="87"/>
    </row>
    <row r="6">
      <c r="A6" s="97" t="s">
        <v>12514</v>
      </c>
      <c r="B6" s="578" t="s">
        <v>12515</v>
      </c>
      <c r="C6" s="97" t="s">
        <v>12516</v>
      </c>
      <c r="D6" s="578" t="str">
        <f>IFERROR(__xludf.DUMMYFUNCTION("GOOGLETRANSLATE(A6,""zh-tw"",""zh"")"),"在取得相机后，F7可快速截图")</f>
        <v>在取得相机后，F7可快速截图</v>
      </c>
      <c r="E6" s="100" t="str">
        <f>IFERROR(__xludf.DUMMYFUNCTION("GOOGLETRANSLATE(A6,""zh-tw"",""es-MX"")"),"Tras obtener la cámara, el F7 puede tomar una captura de pantalla rápidamente.")</f>
        <v>Tras obtener la cámara, el F7 puede tomar una captura de pantalla rápidamente.</v>
      </c>
      <c r="F6" s="579" t="str">
        <f>IFERROR(__xludf.DUMMYFUNCTION("GOOGLETRANSLATE(A6,""zh-tw"",""KO"")"),"카메라를 획득한 후, F7은 빠르게 스크린샷을 찍을 수 있습니다.")</f>
        <v>카메라를 획득한 후, F7은 빠르게 스크린샷을 찍을 수 있습니다.</v>
      </c>
      <c r="G6" s="181" t="s">
        <v>12517</v>
      </c>
      <c r="H6" s="585" t="s">
        <v>12518</v>
      </c>
      <c r="I6" s="97" t="s">
        <v>12519</v>
      </c>
      <c r="J6" s="583" t="s">
        <v>12520</v>
      </c>
      <c r="K6" s="100" t="s">
        <v>12521</v>
      </c>
      <c r="L6" s="584" t="s">
        <v>12522</v>
      </c>
      <c r="M6" s="87"/>
      <c r="N6" s="87"/>
      <c r="O6" s="87"/>
      <c r="P6" s="87"/>
      <c r="Q6" s="87"/>
      <c r="R6" s="87"/>
      <c r="S6" s="87"/>
      <c r="T6" s="87"/>
      <c r="U6" s="87"/>
      <c r="V6" s="87"/>
      <c r="W6" s="87"/>
      <c r="X6" s="87"/>
      <c r="Y6" s="87"/>
    </row>
    <row r="7">
      <c r="A7" s="97" t="s">
        <v>12523</v>
      </c>
      <c r="B7" s="578" t="s">
        <v>12524</v>
      </c>
      <c r="C7" s="97" t="s">
        <v>12525</v>
      </c>
      <c r="D7" s="578" t="str">
        <f>IFERROR(__xludf.DUMMYFUNCTION("GOOGLETRANSLATE(A7,""zh-tw"",""zh"")"),"F12可显示控制台")</f>
        <v>F12可显示控制台</v>
      </c>
      <c r="E7" s="100" t="str">
        <f>IFERROR(__xludf.DUMMYFUNCTION("GOOGLETRANSLATE(A7,""zh-tw"",""es-MX"")"),"Pulse F12 para mostrar la consola.")</f>
        <v>Pulse F12 para mostrar la consola.</v>
      </c>
      <c r="F7" s="579" t="str">
        <f>IFERROR(__xludf.DUMMYFUNCTION("GOOGLETRANSLATE(A7,""zh-tw"",""KO"")"),"F12 키를 눌러 콘솔을 표시하십시오.")</f>
        <v>F12 키를 눌러 콘솔을 표시하십시오.</v>
      </c>
      <c r="G7" s="181" t="s">
        <v>12526</v>
      </c>
      <c r="H7" s="585" t="s">
        <v>12527</v>
      </c>
      <c r="I7" s="97" t="s">
        <v>12528</v>
      </c>
      <c r="J7" s="583" t="s">
        <v>12529</v>
      </c>
      <c r="K7" s="100" t="s">
        <v>12530</v>
      </c>
      <c r="L7" s="584" t="s">
        <v>12531</v>
      </c>
      <c r="M7" s="87"/>
      <c r="N7" s="87"/>
      <c r="O7" s="87"/>
      <c r="P7" s="87"/>
      <c r="Q7" s="87"/>
      <c r="R7" s="87"/>
      <c r="S7" s="87"/>
      <c r="T7" s="87"/>
      <c r="U7" s="87"/>
      <c r="V7" s="87"/>
      <c r="W7" s="87"/>
      <c r="X7" s="87"/>
      <c r="Y7" s="87"/>
    </row>
    <row r="8">
      <c r="A8" s="97" t="s">
        <v>12532</v>
      </c>
      <c r="B8" s="578" t="s">
        <v>12533</v>
      </c>
      <c r="C8" s="97" t="s">
        <v>12534</v>
      </c>
      <c r="D8" s="578" t="str">
        <f>IFERROR(__xludf.DUMMYFUNCTION("GOOGLETRANSLATE(A8,""zh-tw"",""zh"")"),"红色的进度条是好感度，累积满后会将一颗❤️，爱心最高7颗。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8" s="100" t="str">
        <f>IFERROR(__xludf.DUMMYFUNCTION("GOOGLETRANSLATE(A8,""zh-tw"",""es-MX"")"),"La barra de progreso roja representa el nivel de afecto. Se otorga un corazón (❤️) cuando está llena, con un máximo de 7 corazones.
El porcentaje representa el valor de ambiente, también conocido como libido. Cuando supera el 100%, un corazón se conviert"&amp;"e en un 💜. ""No"" otorga un corazón adicional. En futuras versiones, tras la implementación de los eventos H, los 💜 se usarán como consumibles.
La barra de progreso azul representa el nivel de alerta de la hermana en situaciones específicas. Por ejempl"&amp;"o:
1. En un escenario de incursión nocturna, una barra azul más baja indica que la hermana duerme más profundamente y es menos probable que se despierte.
2. Después de usar caramelos azules en una partida, una barra azul completamente vacía indica que l"&amp;"a hermana no puede concentrarse, lo que provoca que pierda la partida.")</f>
        <v>La barra de progreso roja representa el nivel de afecto. Se otorga un corazón (❤️) cuando está llena, con un máximo de 7 corazones.
El porcentaje representa el valor de ambiente, también conocido como libido. Cuando supera el 100%, un corazón se convierte en un 💜. "No" otorga un corazón adicional. En futuras versiones, tras la implementación de los eventos H, los 💜 se usarán como consumibles.
La barra de progreso azul representa el nivel de alerta de la hermana en situaciones específicas. Por ejemplo:
1. En un escenario de incursión nocturna, una barra azul más baja indica que la hermana duerme más profundamente y es menos probable que se despierte.
2. Después de usar caramelos azules en una partida, una barra azul completamente vacía indica que la hermana no puede concentrarse, lo que provoca que pierda la partida.</v>
      </c>
      <c r="F8" s="579" t="str">
        <f>IFERROR(__xludf.DUMMYFUNCTION("GOOGLETRANSLATE(A8,""zh-tw"",""KO"")"),"빨간색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8" s="181" t="s">
        <v>12535</v>
      </c>
      <c r="H8" s="582" t="s">
        <v>12536</v>
      </c>
      <c r="I8" s="97" t="s">
        <v>12537</v>
      </c>
      <c r="J8" s="583" t="s">
        <v>12538</v>
      </c>
      <c r="K8" s="100" t="s">
        <v>12539</v>
      </c>
      <c r="L8" s="578" t="s">
        <v>12540</v>
      </c>
      <c r="M8" s="87"/>
      <c r="N8" s="87"/>
      <c r="O8" s="87"/>
      <c r="P8" s="87"/>
      <c r="Q8" s="87"/>
      <c r="R8" s="87"/>
      <c r="S8" s="87"/>
      <c r="T8" s="87"/>
      <c r="U8" s="87"/>
      <c r="V8" s="87"/>
      <c r="W8" s="87"/>
      <c r="X8" s="87"/>
      <c r="Y8" s="87"/>
    </row>
    <row r="9">
      <c r="A9" s="97" t="s">
        <v>12541</v>
      </c>
      <c r="B9" s="578" t="s">
        <v>12542</v>
      </c>
      <c r="C9" s="97" t="s">
        <v>12543</v>
      </c>
      <c r="D9" s="578" t="str">
        <f>IFERROR(__xludf.DUMMYFUNCTION("GOOGLETRANSLATE(A9,""zh-tw"",""zh"")"),"好感度7颗的数值是：100-200-300-400-500-600-700
0.6版本只要4星就可以完整体验完游戏，不用到达7颗")</f>
        <v>好感度7颗的数值是：100-200-300-400-500-600-700
0.6版本只要4星就可以完整体验完游戏，不用到达7颗</v>
      </c>
      <c r="E9" s="100" t="str">
        <f>IFERROR(__xludf.DUMMYFUNCTION("GOOGLETRANSLATE(A9,""zh-tw"",""es-MX"")"),"Las estadísticas para 7 estrellas de afinidad son: 100-200-300-400-500-600-700. En la versión 0.6, una experiencia de juego completa se obtiene con solo 4 estrellas; alcanzar 7 estrellas es innecesario.")</f>
        <v>Las estadísticas para 7 estrellas de afinidad son: 100-200-300-400-500-600-700. En la versión 0.6, una experiencia de juego completa se obtiene con solo 4 estrellas; alcanzar 7 estrellas es innecesario.</v>
      </c>
      <c r="F9" s="579" t="str">
        <f>IFERROR(__xludf.DUMMYFUNCTION("GOOGLETRANSLATE(A9,""zh-tw"",""KO"")"),"친밀도 별 7개에 대한 능력치는 100-200-300-400-500-600-700입니다. 버전 0.6에서는 별 4개만으로도 게임을 완벽하게 즐길 수 있으므로, 별 7개를 달성할 필요는 없습니다.")</f>
        <v>친밀도 별 7개에 대한 능력치는 100-200-300-400-500-600-700입니다. 버전 0.6에서는 별 4개만으로도 게임을 완벽하게 즐길 수 있으므로, 별 7개를 달성할 필요는 없습니다.</v>
      </c>
      <c r="G9" s="181" t="s">
        <v>12544</v>
      </c>
      <c r="H9" s="582" t="s">
        <v>12545</v>
      </c>
      <c r="I9" s="97" t="s">
        <v>12546</v>
      </c>
      <c r="J9" s="583" t="s">
        <v>12547</v>
      </c>
      <c r="K9" s="100" t="s">
        <v>12548</v>
      </c>
      <c r="L9" s="584" t="s">
        <v>12549</v>
      </c>
      <c r="M9" s="87"/>
      <c r="N9" s="87"/>
      <c r="O9" s="87"/>
      <c r="P9" s="87"/>
      <c r="Q9" s="87"/>
      <c r="R9" s="87"/>
      <c r="S9" s="87"/>
      <c r="T9" s="87"/>
      <c r="U9" s="87"/>
      <c r="V9" s="87"/>
      <c r="W9" s="87"/>
      <c r="X9" s="87"/>
      <c r="Y9" s="87"/>
    </row>
    <row r="10">
      <c r="A10" s="97" t="s">
        <v>12550</v>
      </c>
      <c r="B10" s="578" t="s">
        <v>12551</v>
      </c>
      <c r="C10" s="97" t="s">
        <v>12552</v>
      </c>
      <c r="D10" s="578" t="str">
        <f>IFERROR(__xludf.DUMMYFUNCTION("GOOGLETRANSLATE(A10,""zh-tw"",""zh"")"),"目前版本想要快速满红心和紫心的作法就是和妹妹玩游戏以及夜袭")</f>
        <v>目前版本想要快速满红心和紫心的作法就是和妹妹玩游戏以及夜袭</v>
      </c>
      <c r="E10" s="100" t="str">
        <f>IFERROR(__xludf.DUMMYFUNCTION("GOOGLETRANSLATE(A10,""zh-tw"",""es-MX"")"),"El método actual para conseguir rápidamente el máximo de corazones rojos y morados es jugar partidas con tu hermana y hacer incursiones nocturnas.")</f>
        <v>El método actual para conseguir rápidamente el máximo de corazones rojos y morados es jugar partidas con tu hermana y hacer incursiones nocturnas.</v>
      </c>
      <c r="F10" s="579" t="str">
        <f>IFERROR(__xludf.DUMMYFUNCTION("GOOGLETRANSLATE(A10,""zh-tw"",""KO"")"),"현재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10" s="181" t="s">
        <v>12553</v>
      </c>
      <c r="H10" s="585" t="s">
        <v>12554</v>
      </c>
      <c r="I10" s="97" t="s">
        <v>12555</v>
      </c>
      <c r="J10" s="583" t="s">
        <v>12556</v>
      </c>
      <c r="K10" s="100" t="s">
        <v>12557</v>
      </c>
      <c r="L10" s="578" t="s">
        <v>12558</v>
      </c>
      <c r="M10" s="87"/>
      <c r="N10" s="87"/>
      <c r="O10" s="87"/>
      <c r="P10" s="87"/>
      <c r="Q10" s="87"/>
      <c r="R10" s="87"/>
      <c r="S10" s="87"/>
      <c r="T10" s="87"/>
      <c r="U10" s="87"/>
      <c r="V10" s="87"/>
      <c r="W10" s="87"/>
      <c r="X10" s="87"/>
      <c r="Y10" s="87"/>
    </row>
    <row r="11">
      <c r="A11" s="97" t="s">
        <v>12559</v>
      </c>
      <c r="B11" s="578" t="s">
        <v>12560</v>
      </c>
      <c r="C11" s="97" t="s">
        <v>12561</v>
      </c>
      <c r="D11" s="578" t="str">
        <f>IFERROR(__xludf.DUMMYFUNCTION("GOOGLETRANSLATE(A11,""zh-tw"",""zh"")"),"想和妹妹共浴吗? 请先到达2爱心")</f>
        <v>想和妹妹共浴吗? 请先到达2爱心</v>
      </c>
      <c r="E11" s="100" t="str">
        <f>IFERROR(__xludf.DUMMYFUNCTION("GOOGLETRANSLATE(A11,""zh-tw"",""es-MX"")"),"¿Quieres bañarte con tu hermana? Primero, consigue 2 corazones.")</f>
        <v>¿Quieres bañarte con tu hermana? Primero, consigue 2 corazones.</v>
      </c>
      <c r="F11" s="579" t="str">
        <f>IFERROR(__xludf.DUMMYFUNCTION("GOOGLETRANSLATE(A11,""zh-tw"",""KO"")"),"여동생과 함께 목욕하고 싶으세요? 먼저 하트 2개를 달성하세요.")</f>
        <v>여동생과 함께 목욕하고 싶으세요? 먼저 하트 2개를 달성하세요.</v>
      </c>
      <c r="G11" s="181" t="s">
        <v>12562</v>
      </c>
      <c r="H11" s="585" t="s">
        <v>12563</v>
      </c>
      <c r="I11" s="97" t="s">
        <v>12564</v>
      </c>
      <c r="J11" s="583" t="s">
        <v>12565</v>
      </c>
      <c r="K11" s="100" t="s">
        <v>12566</v>
      </c>
      <c r="L11" s="584" t="s">
        <v>12567</v>
      </c>
      <c r="M11" s="87"/>
      <c r="N11" s="87"/>
      <c r="O11" s="87"/>
      <c r="P11" s="87"/>
      <c r="Q11" s="87"/>
      <c r="R11" s="87"/>
      <c r="S11" s="87"/>
      <c r="T11" s="87"/>
      <c r="U11" s="87"/>
      <c r="V11" s="87"/>
      <c r="W11" s="87"/>
      <c r="X11" s="87"/>
      <c r="Y11" s="87"/>
    </row>
    <row r="12">
      <c r="A12" s="97" t="s">
        <v>12568</v>
      </c>
      <c r="B12" s="578" t="s">
        <v>12569</v>
      </c>
      <c r="C12" s="97" t="s">
        <v>12570</v>
      </c>
      <c r="D12" s="578" t="str">
        <f>IFERROR(__xludf.DUMMYFUNCTION("GOOGLETRANSLATE(A12,""zh-tw"",""zh"")"),"假如很不幸地遇到遇到卡点，可以发呆到下午5点自动回家")</f>
        <v>假如很不幸地遇到遇到卡点，可以发呆到下午5点自动回家</v>
      </c>
      <c r="E12" s="100" t="str">
        <f>IFERROR(__xludf.DUMMYFUNCTION("GOOGLETRANSLATE(A12,""zh-tw"",""es-MX"")"),"Si, por desgracia, te encuentras con un puesto de control, simplemente puedes esperar hasta las 17:00 y regresarás automáticamente a casa.")</f>
        <v>Si, por desgracia, te encuentras con un puesto de control, simplemente puedes esperar hasta las 17:00 y regresarás automáticamente a casa.</v>
      </c>
      <c r="F12" s="579" t="str">
        <f>IFERROR(__xludf.DUMMYFUNCTION("GOOGLETRANSLATE(A12,""zh-tw"",""KO"")"),"만약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2" s="181" t="s">
        <v>12571</v>
      </c>
      <c r="H12" s="582" t="s">
        <v>12572</v>
      </c>
      <c r="I12" s="97" t="s">
        <v>12573</v>
      </c>
      <c r="J12" s="583" t="s">
        <v>12574</v>
      </c>
      <c r="K12" s="100" t="s">
        <v>12575</v>
      </c>
      <c r="L12" s="584" t="s">
        <v>12576</v>
      </c>
      <c r="M12" s="87"/>
      <c r="N12" s="87"/>
      <c r="O12" s="87"/>
      <c r="P12" s="87"/>
      <c r="Q12" s="87"/>
      <c r="R12" s="87"/>
      <c r="S12" s="87"/>
      <c r="T12" s="87"/>
      <c r="U12" s="87"/>
      <c r="V12" s="87"/>
      <c r="W12" s="87"/>
      <c r="X12" s="87"/>
      <c r="Y12" s="87"/>
    </row>
    <row r="13">
      <c r="A13" s="97" t="s">
        <v>12577</v>
      </c>
      <c r="B13" s="578" t="s">
        <v>12578</v>
      </c>
      <c r="C13" s="97" t="s">
        <v>12579</v>
      </c>
      <c r="D13" s="578" t="str">
        <f>IFERROR(__xludf.DUMMYFUNCTION("GOOGLETRANSLATE(A13,""zh-tw"",""zh"")"),"当哥哥性欲值高于一定数值才会触发夜袭")</f>
        <v>当哥哥性欲值高于一定数值才会触发夜袭</v>
      </c>
      <c r="E13" s="100" t="str">
        <f>IFERROR(__xludf.DUMMYFUNCTION("GOOGLETRANSLATE(A13,""zh-tw"",""es-MX"")"),"La incursión nocturna solo se activará cuando la libido del hermano mayor supere cierto valor.")</f>
        <v>La incursión nocturna solo se activará cuando la libido del hermano mayor supere cierto valor.</v>
      </c>
      <c r="F13" s="579" t="str">
        <f>IFERROR(__xludf.DUMMYFUNCTION("GOOGLETRANSLATE(A13,""zh-tw"",""KO"")"),"야간 습격은 형의 성욕이 특정 수치를 초과할 때만 발생합니다.")</f>
        <v>야간 습격은 형의 성욕이 특정 수치를 초과할 때만 발생합니다.</v>
      </c>
      <c r="G13" s="181" t="s">
        <v>12580</v>
      </c>
      <c r="H13" s="582" t="s">
        <v>12581</v>
      </c>
      <c r="I13" s="97" t="s">
        <v>12582</v>
      </c>
      <c r="J13" s="583" t="s">
        <v>12583</v>
      </c>
      <c r="K13" s="100" t="s">
        <v>12584</v>
      </c>
      <c r="L13" s="584" t="s">
        <v>12585</v>
      </c>
      <c r="M13" s="87"/>
      <c r="N13" s="87"/>
      <c r="O13" s="87"/>
      <c r="P13" s="87"/>
      <c r="Q13" s="87"/>
      <c r="R13" s="87"/>
      <c r="S13" s="87"/>
      <c r="T13" s="87"/>
      <c r="U13" s="87"/>
      <c r="V13" s="87"/>
      <c r="W13" s="87"/>
      <c r="X13" s="87"/>
      <c r="Y13" s="87"/>
    </row>
    <row r="14">
      <c r="A14" s="97" t="s">
        <v>12586</v>
      </c>
      <c r="B14" s="578" t="s">
        <v>12587</v>
      </c>
      <c r="C14" s="97" t="s">
        <v>12588</v>
      </c>
      <c r="D14" s="578" t="str">
        <f>IFERROR(__xludf.DUMMYFUNCTION("GOOGLETRANSLATE(A14,""zh-tw"",""zh"")"),"若打爆了扭蛋机别担心，使用塔罗牌能随时再召唤")</f>
        <v>若打爆了扭蛋机别担心，使用塔罗牌能随时再召唤</v>
      </c>
      <c r="E14" s="100" t="str">
        <f>IFERROR(__xludf.DUMMYFUNCTION("GOOGLETRANSLATE(A14,""zh-tw"",""es-MX"")"),"No te preocupes si rompes la máquina de gashapon; puedes volver a invocarla en cualquier momento usando cartas del tarot.")</f>
        <v>No te preocupes si rompes la máquina de gashapon; puedes volver a invocarla en cualquier momento usando cartas del tarot.</v>
      </c>
      <c r="F14" s="579" t="str">
        <f>IFERROR(__xludf.DUMMYFUNCTION("GOOGLETRANSLATE(A14,""zh-tw"",""KO"")"),"가챠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4" s="181" t="s">
        <v>12589</v>
      </c>
      <c r="H14" s="582" t="s">
        <v>12590</v>
      </c>
      <c r="I14" s="97" t="s">
        <v>12591</v>
      </c>
      <c r="J14" s="581" t="s">
        <v>12592</v>
      </c>
      <c r="K14" s="100" t="s">
        <v>12593</v>
      </c>
      <c r="L14" s="584" t="s">
        <v>12594</v>
      </c>
      <c r="M14" s="87"/>
      <c r="N14" s="87"/>
      <c r="O14" s="87"/>
      <c r="P14" s="87"/>
      <c r="Q14" s="87"/>
      <c r="R14" s="87"/>
      <c r="S14" s="87"/>
      <c r="T14" s="87"/>
      <c r="U14" s="87"/>
      <c r="V14" s="87"/>
      <c r="W14" s="87"/>
      <c r="X14" s="87"/>
      <c r="Y14" s="87"/>
    </row>
    <row r="15">
      <c r="A15" s="97" t="s">
        <v>12595</v>
      </c>
      <c r="B15" s="578" t="s">
        <v>12596</v>
      </c>
      <c r="C15" s="97" t="s">
        <v>12597</v>
      </c>
      <c r="D15" s="578" t="str">
        <f>IFERROR(__xludf.DUMMYFUNCTION("GOOGLETRANSLATE(A15,""zh-tw"",""zh"")"),"从后方接近扭蛋机，扭蛋机会跳起")</f>
        <v>从后方接近扭蛋机，扭蛋机会跳起</v>
      </c>
      <c r="E15" s="100" t="str">
        <f>IFERROR(__xludf.DUMMYFUNCTION("GOOGLETRANSLATE(A15,""zh-tw"",""es-MX"")"),"Acércate a la máquina de gashapon por detrás y aparecerá.")</f>
        <v>Acércate a la máquina de gashapon por detrás y aparecerá.</v>
      </c>
      <c r="F15" s="579" t="str">
        <f>IFERROR(__xludf.DUMMYFUNCTION("GOOGLETRANSLATE(A15,""zh-tw"",""KO"")"),"가챠 기계 뒤쪽으로 다가가면 팝업으로 나타납니다.")</f>
        <v>가챠 기계 뒤쪽으로 다가가면 팝업으로 나타납니다.</v>
      </c>
      <c r="G15" s="181" t="s">
        <v>12598</v>
      </c>
      <c r="H15" s="582" t="s">
        <v>12599</v>
      </c>
      <c r="I15" s="97" t="s">
        <v>12600</v>
      </c>
      <c r="J15" s="583" t="s">
        <v>12601</v>
      </c>
      <c r="K15" s="100" t="s">
        <v>12602</v>
      </c>
      <c r="L15" s="584" t="s">
        <v>12603</v>
      </c>
      <c r="M15" s="87"/>
      <c r="N15" s="87"/>
      <c r="O15" s="87"/>
      <c r="P15" s="87"/>
      <c r="Q15" s="87"/>
      <c r="R15" s="87"/>
      <c r="S15" s="87"/>
      <c r="T15" s="87"/>
      <c r="U15" s="87"/>
      <c r="V15" s="87"/>
      <c r="W15" s="87"/>
      <c r="X15" s="87"/>
      <c r="Y15" s="87"/>
    </row>
    <row r="16">
      <c r="A16" s="97" t="s">
        <v>12604</v>
      </c>
      <c r="B16" s="578" t="s">
        <v>12605</v>
      </c>
      <c r="C16" s="97" t="s">
        <v>12606</v>
      </c>
      <c r="D16" s="578" t="str">
        <f>IFERROR(__xludf.DUMMYFUNCTION("GOOGLETRANSLATE(A16,""zh-tw"",""zh"")"),"扭蛋奖品可以使用远距离武器攻击，快速开启")</f>
        <v>扭蛋奖品可以使用远距离武器攻击，快速开启</v>
      </c>
      <c r="E16" s="100" t="str">
        <f>IFERROR(__xludf.DUMMYFUNCTION("GOOGLETRANSLATE(A16,""zh-tw"",""es-MX"")"),"Los premios de Gacha se pueden usar para atacar con armas a distancia y se pueden obtener rápidamente.")</f>
        <v>Los premios de Gacha se pueden usar para atacar con armas a distancia y se pueden obtener rápidamente.</v>
      </c>
      <c r="F16" s="579" t="str">
        <f>IFERROR(__xludf.DUMMYFUNCTION("GOOGLETRANSLATE(A16,""zh-tw"",""KO"")"),"가챠 상품은 원거리 무기 공격에 사용할 수 있으며 빠르게 열 수 있습니다.")</f>
        <v>가챠 상품은 원거리 무기 공격에 사용할 수 있으며 빠르게 열 수 있습니다.</v>
      </c>
      <c r="G16" s="181" t="s">
        <v>12607</v>
      </c>
      <c r="H16" s="582" t="s">
        <v>12608</v>
      </c>
      <c r="I16" s="97" t="s">
        <v>12609</v>
      </c>
      <c r="J16" s="583" t="s">
        <v>12610</v>
      </c>
      <c r="K16" s="100" t="s">
        <v>12611</v>
      </c>
      <c r="L16" s="584" t="s">
        <v>12612</v>
      </c>
      <c r="M16" s="87"/>
      <c r="N16" s="87"/>
      <c r="O16" s="87"/>
      <c r="P16" s="87"/>
      <c r="Q16" s="87"/>
      <c r="R16" s="87"/>
      <c r="S16" s="87"/>
      <c r="T16" s="87"/>
      <c r="U16" s="87"/>
      <c r="V16" s="87"/>
      <c r="W16" s="87"/>
      <c r="X16" s="87"/>
      <c r="Y16" s="87"/>
    </row>
    <row r="17">
      <c r="A17" s="97" t="s">
        <v>12613</v>
      </c>
      <c r="B17" s="578" t="s">
        <v>12614</v>
      </c>
      <c r="C17" s="97" t="s">
        <v>12615</v>
      </c>
      <c r="D17" s="578" t="str">
        <f>IFERROR(__xludf.DUMMYFUNCTION("GOOGLETRANSLATE(A17,""zh-tw"",""zh"")"),"扭蛋机的金蛋只有2%概率出现")</f>
        <v>扭蛋机的金蛋只有2%概率出现</v>
      </c>
      <c r="E17" s="100" t="str">
        <f>IFERROR(__xludf.DUMMYFUNCTION("GOOGLETRANSLATE(A17,""zh-tw"",""es-MX"")"),"El huevo dorado en la máquina de gashapon solo tiene un 2% de probabilidad de aparecer.")</f>
        <v>El huevo dorado en la máquina de gashapon solo tiene un 2% de probabilidad de aparecer.</v>
      </c>
      <c r="F17" s="579" t="str">
        <f>IFERROR(__xludf.DUMMYFUNCTION("GOOGLETRANSLATE(A17,""zh-tw"",""KO"")"),"가샤폰 기계에서 황금알이 나올 확률은 단 2%입니다.")</f>
        <v>가샤폰 기계에서 황금알이 나올 확률은 단 2%입니다.</v>
      </c>
      <c r="G17" s="181" t="s">
        <v>12616</v>
      </c>
      <c r="H17" s="582" t="s">
        <v>12617</v>
      </c>
      <c r="I17" s="97" t="s">
        <v>12618</v>
      </c>
      <c r="J17" s="583" t="s">
        <v>12619</v>
      </c>
      <c r="K17" s="100" t="s">
        <v>12620</v>
      </c>
      <c r="L17" s="584" t="s">
        <v>12621</v>
      </c>
      <c r="M17" s="87"/>
      <c r="N17" s="87"/>
      <c r="O17" s="87"/>
      <c r="P17" s="87"/>
      <c r="Q17" s="87"/>
      <c r="R17" s="87"/>
      <c r="S17" s="87"/>
      <c r="T17" s="87"/>
      <c r="U17" s="87"/>
      <c r="V17" s="87"/>
      <c r="W17" s="87"/>
      <c r="X17" s="87"/>
      <c r="Y17" s="87"/>
    </row>
    <row r="18">
      <c r="A18" s="97" t="s">
        <v>12622</v>
      </c>
      <c r="B18" s="578" t="s">
        <v>12623</v>
      </c>
      <c r="C18" s="97" t="s">
        <v>12624</v>
      </c>
      <c r="D18" s="578" t="str">
        <f>IFERROR(__xludf.DUMMYFUNCTION("GOOGLETRANSLATE(A18,""zh-tw"",""zh"")"),"扭蛋机的爱好与妹妹差不多")</f>
        <v>扭蛋机的爱好与妹妹差不多</v>
      </c>
      <c r="E18" s="100" t="str">
        <f>IFERROR(__xludf.DUMMYFUNCTION("GOOGLETRANSLATE(A18,""zh-tw"",""es-MX"")"),"Mi afición por las máquinas de gashapon es similar a la de mi hermana.")</f>
        <v>Mi afición por las máquinas de gashapon es similar a la de mi hermana.</v>
      </c>
      <c r="F18" s="579" t="str">
        <f>IFERROR(__xludf.DUMMYFUNCTION("GOOGLETRANSLATE(A18,""zh-tw"",""KO"")"),"저는 여동생처럼 가챠 기계를 정말 좋아해요.")</f>
        <v>저는 여동생처럼 가챠 기계를 정말 좋아해요.</v>
      </c>
      <c r="G18" s="181" t="s">
        <v>12625</v>
      </c>
      <c r="H18" s="582" t="s">
        <v>12626</v>
      </c>
      <c r="I18" s="97" t="s">
        <v>12627</v>
      </c>
      <c r="J18" s="583" t="s">
        <v>12628</v>
      </c>
      <c r="K18" s="100" t="s">
        <v>12629</v>
      </c>
      <c r="L18" s="578" t="s">
        <v>12630</v>
      </c>
      <c r="M18" s="87"/>
      <c r="N18" s="87"/>
      <c r="O18" s="87"/>
      <c r="P18" s="87"/>
      <c r="Q18" s="87"/>
      <c r="R18" s="87"/>
      <c r="S18" s="87"/>
      <c r="T18" s="87"/>
      <c r="U18" s="87"/>
      <c r="V18" s="87"/>
      <c r="W18" s="87"/>
      <c r="X18" s="87"/>
      <c r="Y18" s="87"/>
    </row>
    <row r="19">
      <c r="A19" s="97" t="s">
        <v>12631</v>
      </c>
      <c r="B19" s="578" t="s">
        <v>12632</v>
      </c>
      <c r="C19" s="97" t="s">
        <v>12633</v>
      </c>
      <c r="D19" s="578" t="str">
        <f>IFERROR(__xludf.DUMMYFUNCTION("GOOGLETRANSLATE(A19,""zh-tw"",""zh"")"),"在投钱进入扭蛋机前，最好先保证机器完好无损，因为机器血量会影响扭蛋数量")</f>
        <v>在投钱进入扭蛋机前，最好先保证机器完好无损，因为机器血量会影响扭蛋数量</v>
      </c>
      <c r="E19" s="100" t="str">
        <f>IFERROR(__xludf.DUMMYFUNCTION("GOOGLETRANSLATE(A19,""zh-tw"",""es-MX"")"),"Antes de introducir dinero en la máquina de gashapon, es mejor asegurarse de que la máquina esté en buen estado de funcionamiento, ya que el estado de la máquina afectará a la cantidad de cápsulas de gashapon que se pueden obtener.")</f>
        <v>Antes de introducir dinero en la máquina de gashapon, es mejor asegurarse de que la máquina esté en buen estado de funcionamiento, ya que el estado de la máquina afectará a la cantidad de cápsulas de gashapon que se pueden obtener.</v>
      </c>
      <c r="F19" s="579" t="str">
        <f>IFERROR(__xludf.DUMMYFUNCTION("GOOGLETRANSLATE(A19,""zh-tw"",""KO"")"),"가샤폰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9" s="181" t="s">
        <v>12634</v>
      </c>
      <c r="H19" s="585" t="s">
        <v>12635</v>
      </c>
      <c r="I19" s="97" t="s">
        <v>12636</v>
      </c>
      <c r="J19" s="583" t="s">
        <v>12637</v>
      </c>
      <c r="K19" s="100" t="s">
        <v>12638</v>
      </c>
      <c r="L19" s="584" t="s">
        <v>12639</v>
      </c>
      <c r="M19" s="87"/>
      <c r="N19" s="87"/>
      <c r="O19" s="87"/>
      <c r="P19" s="87"/>
      <c r="Q19" s="87"/>
      <c r="R19" s="87"/>
      <c r="S19" s="87"/>
      <c r="T19" s="87"/>
      <c r="U19" s="87"/>
      <c r="V19" s="87"/>
      <c r="W19" s="87"/>
      <c r="X19" s="87"/>
      <c r="Y19" s="87"/>
    </row>
    <row r="20">
      <c r="A20" s="97" t="s">
        <v>12640</v>
      </c>
      <c r="B20" s="578" t="s">
        <v>12641</v>
      </c>
      <c r="C20" s="97" t="s">
        <v>12642</v>
      </c>
      <c r="D20" s="578" t="str">
        <f>IFERROR(__xludf.DUMMYFUNCTION("GOOGLETRANSLATE(A20,""zh-tw"",""zh"")"),"召唤门若位置不好，可以破坏并重新召唤")</f>
        <v>召唤门若位置不好，可以破坏并重新召唤</v>
      </c>
      <c r="E20" s="100" t="str">
        <f>IFERROR(__xludf.DUMMYFUNCTION("GOOGLETRANSLATE(A20,""zh-tw"",""es-MX"")"),"Si el portal de invocación está mal ubicado, puede ser destruido y vuelto a invocar.")</f>
        <v>Si el portal de invocación está mal ubicado, puede ser destruido y vuelto a invocar.</v>
      </c>
      <c r="F20" s="579" t="str">
        <f>IFERROR(__xludf.DUMMYFUNCTION("GOOGLETRANSLATE(A20,""zh-tw"",""KO"")"),"소환 포털의 위치가 부적절하면 파괴한 후 다시 소환할 수 있습니다.")</f>
        <v>소환 포털의 위치가 부적절하면 파괴한 후 다시 소환할 수 있습니다.</v>
      </c>
      <c r="G20" s="181" t="s">
        <v>12643</v>
      </c>
      <c r="H20" s="585" t="s">
        <v>12644</v>
      </c>
      <c r="I20" s="97" t="s">
        <v>12645</v>
      </c>
      <c r="J20" s="581" t="s">
        <v>12646</v>
      </c>
      <c r="K20" s="100" t="s">
        <v>12647</v>
      </c>
      <c r="L20" s="584" t="s">
        <v>12648</v>
      </c>
      <c r="M20" s="87"/>
      <c r="N20" s="87"/>
      <c r="O20" s="87"/>
      <c r="P20" s="87"/>
      <c r="Q20" s="87"/>
      <c r="R20" s="87"/>
      <c r="S20" s="87"/>
      <c r="T20" s="87"/>
      <c r="U20" s="87"/>
      <c r="V20" s="87"/>
      <c r="W20" s="87"/>
      <c r="X20" s="87"/>
      <c r="Y20" s="87"/>
    </row>
    <row r="21">
      <c r="A21" s="97" t="s">
        <v>12649</v>
      </c>
      <c r="B21" s="578" t="s">
        <v>12650</v>
      </c>
      <c r="C21" s="97" t="s">
        <v>12651</v>
      </c>
      <c r="D21" s="578" t="str">
        <f>IFERROR(__xludf.DUMMYFUNCTION("GOOGLETRANSLATE(A21,""zh-tw"",""zh"")"),"在洗面所的偷窥，会因为开门的多寡而影响被妹妹发现的机率")</f>
        <v>在洗面所的偷窥，会因为开门的多寡而影响被妹妹发现的机率</v>
      </c>
      <c r="E21" s="100" t="str">
        <f>IFERROR(__xludf.DUMMYFUNCTION("GOOGLETRANSLATE(A21,""zh-tw"",""es-MX"")"),"Las probabilidades de ser descubierto por la hermana menor mientras espías en una casa de baños dependen de la frecuencia con la que se abra la puerta.")</f>
        <v>Las probabilidades de ser descubierto por la hermana menor mientras espías en una casa de baños dependen de la frecuencia con la que se abra la puerta.</v>
      </c>
      <c r="F21" s="579" t="str">
        <f>IFERROR(__xludf.DUMMYFUNCTION("GOOGLETRANSLATE(A21,""zh-tw"",""KO"")"),"목욕탕에서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1" s="181" t="s">
        <v>12652</v>
      </c>
      <c r="H21" s="585" t="s">
        <v>12653</v>
      </c>
      <c r="I21" s="97" t="s">
        <v>12654</v>
      </c>
      <c r="J21" s="581" t="s">
        <v>12655</v>
      </c>
      <c r="K21" s="100" t="s">
        <v>12656</v>
      </c>
      <c r="L21" s="578" t="s">
        <v>12657</v>
      </c>
      <c r="M21" s="87"/>
      <c r="N21" s="87"/>
      <c r="O21" s="87"/>
      <c r="P21" s="87"/>
      <c r="Q21" s="87"/>
      <c r="R21" s="87"/>
      <c r="S21" s="87"/>
      <c r="T21" s="87"/>
      <c r="U21" s="87"/>
      <c r="V21" s="87"/>
      <c r="W21" s="87"/>
      <c r="X21" s="87"/>
      <c r="Y21" s="87"/>
    </row>
    <row r="22">
      <c r="A22" s="97" t="s">
        <v>12658</v>
      </c>
      <c r="B22" s="578" t="s">
        <v>12659</v>
      </c>
      <c r="C22" s="97" t="s">
        <v>12660</v>
      </c>
      <c r="D22" s="578" t="str">
        <f>IFERROR(__xludf.DUMMYFUNCTION("GOOGLETRANSLATE(A22,""zh-tw"",""zh"")"),"机甲消失后，该地图名称会改变")</f>
        <v>机甲消失后，该地图名称会改变</v>
      </c>
      <c r="E22" s="100" t="str">
        <f>IFERROR(__xludf.DUMMYFUNCTION("GOOGLETRANSLATE(A22,""zh-tw"",""es-MX"")"),"El nombre del mapa cambiará después de que el robot desaparezca.")</f>
        <v>El nombre del mapa cambiará después de que el robot desaparezca.</v>
      </c>
      <c r="F22" s="579" t="str">
        <f>IFERROR(__xludf.DUMMYFUNCTION("GOOGLETRANSLATE(A22,""zh-tw"",""KO"")"),"메카닉이 사라지면 맵 이름이 바뀝니다.")</f>
        <v>메카닉이 사라지면 맵 이름이 바뀝니다.</v>
      </c>
      <c r="G22" s="181" t="s">
        <v>12661</v>
      </c>
      <c r="H22" s="585" t="s">
        <v>12662</v>
      </c>
      <c r="I22" s="97" t="s">
        <v>12663</v>
      </c>
      <c r="J22" s="581" t="s">
        <v>12664</v>
      </c>
      <c r="K22" s="100" t="s">
        <v>12665</v>
      </c>
      <c r="L22" s="578" t="s">
        <v>12666</v>
      </c>
      <c r="M22" s="87"/>
      <c r="N22" s="87"/>
      <c r="O22" s="87"/>
      <c r="P22" s="87"/>
      <c r="Q22" s="87"/>
      <c r="R22" s="87"/>
      <c r="S22" s="87"/>
      <c r="T22" s="87"/>
      <c r="U22" s="87"/>
      <c r="V22" s="87"/>
      <c r="W22" s="87"/>
      <c r="X22" s="87"/>
      <c r="Y22" s="87"/>
    </row>
    <row r="23">
      <c r="A23" s="97" t="s">
        <v>12667</v>
      </c>
      <c r="B23" s="578" t="s">
        <v>12668</v>
      </c>
      <c r="C23" s="97" t="s">
        <v>12669</v>
      </c>
      <c r="D23" s="578" t="str">
        <f>IFERROR(__xludf.DUMMYFUNCTION("GOOGLETRANSLATE(A23,""zh-tw"",""zh"")"),"矿车行进中，可使用远距离武器攻击方向舵")</f>
        <v>矿车行进中，可使用远距离武器攻击方向舵</v>
      </c>
      <c r="E23" s="100" t="str">
        <f>IFERROR(__xludf.DUMMYFUNCTION("GOOGLETRANSLATE(A23,""zh-tw"",""es-MX"")"),"Mientras la vagoneta está en movimiento, el timón puede ser atacado con armas de largo alcance.")</f>
        <v>Mientras la vagoneta está en movimiento, el timón puede ser atacado con armas de largo alcance.</v>
      </c>
      <c r="F23" s="579" t="str">
        <f>IFERROR(__xludf.DUMMYFUNCTION("GOOGLETRANSLATE(A23,""zh-tw"",""KO"")"),"광산 수레가 움직이는 동안에는 장거리 무기로 키를 공격할 수 있습니다.")</f>
        <v>광산 수레가 움직이는 동안에는 장거리 무기로 키를 공격할 수 있습니다.</v>
      </c>
      <c r="G23" s="153" t="s">
        <v>12670</v>
      </c>
      <c r="H23" s="585" t="s">
        <v>12671</v>
      </c>
      <c r="I23" s="97" t="s">
        <v>12672</v>
      </c>
      <c r="J23" s="583" t="s">
        <v>12673</v>
      </c>
      <c r="K23" s="138" t="s">
        <v>12674</v>
      </c>
      <c r="L23" s="584" t="s">
        <v>12675</v>
      </c>
      <c r="M23" s="87"/>
      <c r="N23" s="87"/>
      <c r="O23" s="87"/>
      <c r="P23" s="87"/>
      <c r="Q23" s="87"/>
      <c r="R23" s="87"/>
      <c r="S23" s="87"/>
      <c r="T23" s="87"/>
      <c r="U23" s="87"/>
      <c r="V23" s="87"/>
      <c r="W23" s="87"/>
      <c r="X23" s="87"/>
      <c r="Y23" s="87"/>
    </row>
    <row r="24">
      <c r="A24" s="97" t="s">
        <v>12676</v>
      </c>
      <c r="B24" s="578" t="s">
        <v>12677</v>
      </c>
      <c r="C24" s="97" t="s">
        <v>12678</v>
      </c>
      <c r="D24" s="578" t="str">
        <f>IFERROR(__xludf.DUMMYFUNCTION("GOOGLETRANSLATE(A24,""zh-tw"",""zh"")"),"电击类武器碰到水...你懂的~ 包含下雨天")</f>
        <v>电击类武器碰到水...你懂的~ 包含下雨天</v>
      </c>
      <c r="E24" s="100" t="str">
        <f>IFERROR(__xludf.DUMMYFUNCTION("GOOGLETRANSLATE(A24,""zh-tw"",""es-MX"")"),"Las armas de descarga eléctrica que entran en contacto con el agua... ya sabes lo que eso significa, incluso en días de lluvia.")</f>
        <v>Las armas de descarga eléctrica que entran en contacto con el agua... ya sabes lo que eso significa, incluso en días de lluvia.</v>
      </c>
      <c r="F24" s="579" t="str">
        <f>IFERROR(__xludf.DUMMYFUNCTION("GOOGLETRANSLATE(A24,""zh-tw"",""KO"")"),"전기 충격 무기가 물에 닿으면... 무슨 뜻인지 아시죠? 비 오는 날에도 마찬가지고요.")</f>
        <v>전기 충격 무기가 물에 닿으면... 무슨 뜻인지 아시죠? 비 오는 날에도 마찬가지고요.</v>
      </c>
      <c r="G24" s="181" t="s">
        <v>12679</v>
      </c>
      <c r="H24" s="585" t="s">
        <v>12680</v>
      </c>
      <c r="I24" s="97" t="s">
        <v>12681</v>
      </c>
      <c r="J24" s="583" t="s">
        <v>12682</v>
      </c>
      <c r="K24" s="100" t="s">
        <v>12683</v>
      </c>
      <c r="L24" s="584" t="s">
        <v>12684</v>
      </c>
      <c r="M24" s="87"/>
      <c r="N24" s="87"/>
      <c r="O24" s="87"/>
      <c r="P24" s="87"/>
      <c r="Q24" s="87"/>
      <c r="R24" s="87"/>
      <c r="S24" s="87"/>
      <c r="T24" s="87"/>
      <c r="U24" s="87"/>
      <c r="V24" s="87"/>
      <c r="W24" s="87"/>
      <c r="X24" s="87"/>
      <c r="Y24" s="87"/>
    </row>
    <row r="25">
      <c r="A25" s="97" t="s">
        <v>12685</v>
      </c>
      <c r="B25" s="578" t="s">
        <v>12686</v>
      </c>
      <c r="C25" s="97" t="s">
        <v>12687</v>
      </c>
      <c r="D25" s="578" t="str">
        <f>IFERROR(__xludf.DUMMYFUNCTION("GOOGLETRANSLATE(A25,""zh-tw"",""zh"")"),"炸弹除了无视防御炸岩石、炸水面，还可以炸自己")</f>
        <v>炸弹除了无视防御炸岩石、炸水面，还可以炸自己</v>
      </c>
      <c r="E25" s="100" t="str">
        <f>IFERROR(__xludf.DUMMYFUNCTION("GOOGLETRANSLATE(A25,""zh-tw"",""es-MX"")"),"Además de ignorar las defensas y destruir rocas y agua, las bombas también pueden autodestruirse.")</f>
        <v>Además de ignorar las defensas y destruir rocas y agua, las bombas también pueden autodestruirse.</v>
      </c>
      <c r="F25" s="579" t="str">
        <f>IFERROR(__xludf.DUMMYFUNCTION("GOOGLETRANSLATE(A25,""zh-tw"",""KO"")"),"폭탄은 방어 시설을 무시하고 바위와 물을 폭파시키는 것 외에도 스스로 폭발할 수도 있습니다.")</f>
        <v>폭탄은 방어 시설을 무시하고 바위와 물을 폭파시키는 것 외에도 스스로 폭발할 수도 있습니다.</v>
      </c>
      <c r="G25" s="181" t="s">
        <v>12688</v>
      </c>
      <c r="H25" s="585" t="s">
        <v>12689</v>
      </c>
      <c r="I25" s="97" t="s">
        <v>12690</v>
      </c>
      <c r="J25" s="583" t="s">
        <v>12691</v>
      </c>
      <c r="K25" s="100" t="s">
        <v>12692</v>
      </c>
      <c r="L25" s="578" t="s">
        <v>12693</v>
      </c>
      <c r="M25" s="87"/>
      <c r="N25" s="87"/>
      <c r="O25" s="87"/>
      <c r="P25" s="87"/>
      <c r="Q25" s="87"/>
      <c r="R25" s="87"/>
      <c r="S25" s="87"/>
      <c r="T25" s="87"/>
      <c r="U25" s="87"/>
      <c r="V25" s="87"/>
      <c r="W25" s="87"/>
      <c r="X25" s="87"/>
      <c r="Y25" s="87"/>
    </row>
    <row r="26">
      <c r="A26" s="97" t="s">
        <v>12694</v>
      </c>
      <c r="B26" s="578" t="s">
        <v>12695</v>
      </c>
      <c r="C26" s="97" t="s">
        <v>12696</v>
      </c>
      <c r="D26" s="578" t="s">
        <v>12697</v>
      </c>
      <c r="E26" s="100" t="str">
        <f>IFERROR(__xludf.DUMMYFUNCTION("GOOGLETRANSLATE(A26,""zh-tw"",""es-MX"")"),"He oído... que el Caballero huele muy bien, tal vez podamos tener buenas perspectivas de futuro.")</f>
        <v>He oído... que el Caballero huele muy bien, tal vez podamos tener buenas perspectivas de futuro.</v>
      </c>
      <c r="F26" s="579" t="str">
        <f>IFERROR(__xludf.DUMMYFUNCTION("GOOGLETRANSLATE(A26,""zh-tw"",""KO"")"),"듣기로는… 나이트에게서 정말 좋은 냄새가 난다고 하더군요. 어쩌면 미래를 기대할 수 있을지도 몰라요.")</f>
        <v>듣기로는… 나이트에게서 정말 좋은 냄새가 난다고 하더군요. 어쩌면 미래를 기대할 수 있을지도 몰라요.</v>
      </c>
      <c r="G26" s="181" t="s">
        <v>12698</v>
      </c>
      <c r="H26" s="585" t="s">
        <v>12699</v>
      </c>
      <c r="I26" s="97" t="s">
        <v>12700</v>
      </c>
      <c r="J26" s="583" t="s">
        <v>12701</v>
      </c>
      <c r="K26" s="100" t="s">
        <v>12702</v>
      </c>
      <c r="L26" s="584" t="s">
        <v>12703</v>
      </c>
      <c r="M26" s="87"/>
      <c r="N26" s="87"/>
      <c r="O26" s="87"/>
      <c r="P26" s="87"/>
      <c r="Q26" s="87"/>
      <c r="R26" s="87"/>
      <c r="S26" s="87"/>
      <c r="T26" s="87"/>
      <c r="U26" s="87"/>
      <c r="V26" s="87"/>
      <c r="W26" s="87"/>
      <c r="X26" s="87"/>
      <c r="Y26" s="87"/>
    </row>
    <row r="27">
      <c r="A27" s="586" t="s">
        <v>12704</v>
      </c>
      <c r="B27" s="578" t="s">
        <v>12705</v>
      </c>
      <c r="C27" s="97" t="s">
        <v>12706</v>
      </c>
      <c r="D27" s="578" t="s">
        <v>12707</v>
      </c>
      <c r="E27" s="100" t="str">
        <f>IFERROR(__xludf.DUMMYFUNCTION("GOOGLETRANSLATE(A27,""zh-tw"",""es-MX"")"),"¿Qué talla de sujetador usa mi hermana? He oído que es G~H.")</f>
        <v>¿Qué talla de sujetador usa mi hermana? He oído que es G~H.</v>
      </c>
      <c r="F27" s="579" t="str">
        <f>IFERROR(__xludf.DUMMYFUNCTION("GOOGLETRANSLATE(A27,""zh-tw"",""KO"")"),"내 여동생 브라 사이즈가 어떻게 돼? G~H라고 들었어.")</f>
        <v>내 여동생 브라 사이즈가 어떻게 돼? G~H라고 들었어.</v>
      </c>
      <c r="G27" s="181" t="s">
        <v>12708</v>
      </c>
      <c r="H27" s="585" t="s">
        <v>12709</v>
      </c>
      <c r="I27" s="97" t="s">
        <v>12710</v>
      </c>
      <c r="J27" s="583" t="s">
        <v>12711</v>
      </c>
      <c r="K27" s="100" t="s">
        <v>12712</v>
      </c>
      <c r="L27" s="578" t="s">
        <v>12713</v>
      </c>
      <c r="M27" s="87"/>
      <c r="N27" s="87"/>
      <c r="O27" s="87"/>
      <c r="P27" s="87"/>
      <c r="Q27" s="87"/>
      <c r="R27" s="87"/>
      <c r="S27" s="87"/>
      <c r="T27" s="87"/>
      <c r="U27" s="87"/>
      <c r="V27" s="87"/>
      <c r="W27" s="87"/>
      <c r="X27" s="87"/>
      <c r="Y27" s="87"/>
    </row>
    <row r="28">
      <c r="A28" s="97" t="s">
        <v>12714</v>
      </c>
      <c r="B28" s="578" t="s">
        <v>12715</v>
      </c>
      <c r="C28" s="97" t="s">
        <v>12716</v>
      </c>
      <c r="D28" s="578" t="str">
        <f>IFERROR(__xludf.DUMMYFUNCTION("GOOGLETRANSLATE(A28,""zh-tw"",""zh"")"),"当成为贤者的哥哥在胡思乱想时...")</f>
        <v>当成为贤者的哥哥在胡思乱想时...</v>
      </c>
      <c r="E28" s="100" t="str">
        <f>IFERROR(__xludf.DUMMYFUNCTION("GOOGLETRANSLATE(A28,""zh-tw"",""es-MX"")"),"Mientras tanto, el hermano mayor, ahora un sabio, estaba absorto en sus pensamientos...")</f>
        <v>Mientras tanto, el hermano mayor, ahora un sabio, estaba absorto en sus pensamientos...</v>
      </c>
      <c r="F28" s="579" t="str">
        <f>IFERROR(__xludf.DUMMYFUNCTION("GOOGLETRANSLATE(A28,""zh-tw"",""KO"")"),"이제 현자가 된 형은 깊은 생각에 잠겨 있었다...")</f>
        <v>이제 현자가 된 형은 깊은 생각에 잠겨 있었다...</v>
      </c>
      <c r="G28" s="181" t="s">
        <v>12717</v>
      </c>
      <c r="H28" s="585" t="s">
        <v>12718</v>
      </c>
      <c r="I28" s="97" t="s">
        <v>12719</v>
      </c>
      <c r="J28" s="583" t="s">
        <v>12720</v>
      </c>
      <c r="K28" s="100" t="s">
        <v>12721</v>
      </c>
      <c r="L28" s="584" t="s">
        <v>12722</v>
      </c>
      <c r="M28" s="87"/>
      <c r="N28" s="87"/>
      <c r="O28" s="87"/>
      <c r="P28" s="87"/>
      <c r="Q28" s="87"/>
      <c r="R28" s="87"/>
      <c r="S28" s="87"/>
      <c r="T28" s="87"/>
      <c r="U28" s="87"/>
      <c r="V28" s="87"/>
      <c r="W28" s="87"/>
      <c r="X28" s="87"/>
      <c r="Y28" s="87"/>
    </row>
    <row r="29">
      <c r="A29" s="97" t="s">
        <v>12723</v>
      </c>
      <c r="B29" s="578" t="s">
        <v>12724</v>
      </c>
      <c r="C29" s="100" t="str">
        <f>IFERROR(__xludf.DUMMYFUNCTION("GOOGLETRANSLATE(A29,""zh-tw"",""en"")"),"When equipped with ""Girl's Smile"", the side effects of the Sage state will be ignored.")</f>
        <v>When equipped with "Girl's Smile", the side effects of the Sage state will be ignored.</v>
      </c>
      <c r="D29" s="578" t="str">
        <f>IFERROR(__xludf.DUMMYFUNCTION("GOOGLETRANSLATE(A29,""zh-tw"",""zh"")"),"当装备""少女的笑容""时，会无视贤者状态副作用")</f>
        <v>当装备"少女的笑容"时，会无视贤者状态副作用</v>
      </c>
      <c r="E29" s="100" t="str">
        <f>IFERROR(__xludf.DUMMYFUNCTION("GOOGLETRANSLATE(A29,""zh-tw"",""es-MX"")"),"Cuando se equipa con ""Sonrisa de chica"", los efectos secundarios del estado Sabio serán ignorados.")</f>
        <v>Cuando se equipa con "Sonrisa de chica", los efectos secundarios del estado Sabio serán ignorados.</v>
      </c>
      <c r="F29" s="579" t="str">
        <f>IFERROR(__xludf.DUMMYFUNCTION("GOOGLETRANSLATE(A29,""zh-tw"",""KO"")"),"""소녀의 미소""를 장착하면 현자 상태의 부작용이 무시됩니다.")</f>
        <v>"소녀의 미소"를 장착하면 현자 상태의 부작용이 무시됩니다.</v>
      </c>
      <c r="G29" s="181" t="s">
        <v>12725</v>
      </c>
      <c r="H29" s="585" t="s">
        <v>12726</v>
      </c>
      <c r="I29" s="97" t="s">
        <v>12727</v>
      </c>
      <c r="J29" s="583" t="s">
        <v>12728</v>
      </c>
      <c r="K29" s="100" t="s">
        <v>12729</v>
      </c>
      <c r="L29" s="584" t="s">
        <v>12730</v>
      </c>
      <c r="M29" s="87"/>
      <c r="N29" s="87"/>
      <c r="O29" s="87"/>
      <c r="P29" s="87"/>
      <c r="Q29" s="87"/>
      <c r="R29" s="87"/>
      <c r="S29" s="87"/>
      <c r="T29" s="87"/>
      <c r="U29" s="87"/>
      <c r="V29" s="87"/>
      <c r="W29" s="87"/>
      <c r="X29" s="87"/>
      <c r="Y29" s="87"/>
    </row>
    <row r="30">
      <c r="A30" s="97" t="s">
        <v>12731</v>
      </c>
      <c r="B30" s="578" t="s">
        <v>12732</v>
      </c>
      <c r="C30" s="97" t="s">
        <v>12733</v>
      </c>
      <c r="D30" s="578" t="s">
        <v>12734</v>
      </c>
      <c r="E30" s="100" t="str">
        <f>IFERROR(__xludf.DUMMYFUNCTION("GOOGLETRANSLATE(A30,""zh-tw"",""es-MX"")"),"La criatura indescriptible del inodoro tiene diferentes nombres en diferentes versiones lingüísticas.")</f>
        <v>La criatura indescriptible del inodoro tiene diferentes nombres en diferentes versiones lingüísticas.</v>
      </c>
      <c r="F30" s="579" t="str">
        <f>IFERROR(__xludf.DUMMYFUNCTION("GOOGLETRANSLATE(A30,""zh-tw"",""KO"")"),"화장실에 있는 형언할 수 없는 생물은 언어 버전에 따라 다른 이름으로 불립니다.")</f>
        <v>화장실에 있는 형언할 수 없는 생물은 언어 버전에 따라 다른 이름으로 불립니다.</v>
      </c>
      <c r="G30" s="181" t="s">
        <v>12735</v>
      </c>
      <c r="H30" s="585" t="s">
        <v>12736</v>
      </c>
      <c r="I30" s="97" t="s">
        <v>12737</v>
      </c>
      <c r="J30" s="583" t="s">
        <v>12738</v>
      </c>
      <c r="K30" s="100" t="s">
        <v>12739</v>
      </c>
      <c r="L30" s="584" t="s">
        <v>12740</v>
      </c>
      <c r="M30" s="87"/>
      <c r="N30" s="87"/>
      <c r="O30" s="87"/>
      <c r="P30" s="87"/>
      <c r="Q30" s="87"/>
      <c r="R30" s="87"/>
      <c r="S30" s="87"/>
      <c r="T30" s="87"/>
      <c r="U30" s="87"/>
      <c r="V30" s="87"/>
      <c r="W30" s="87"/>
      <c r="X30" s="87"/>
      <c r="Y30" s="87"/>
    </row>
    <row r="31">
      <c r="A31" s="97" t="s">
        <v>12741</v>
      </c>
      <c r="B31" s="578" t="s">
        <v>12742</v>
      </c>
      <c r="C31" s="97" t="s">
        <v>12743</v>
      </c>
      <c r="D31" s="578" t="str">
        <f>IFERROR(__xludf.DUMMYFUNCTION("GOOGLETRANSLATE(A31,""zh-tw"",""zh"")"),"在厕所的不可名状生物，其实是哥哥从深渊带回来的")</f>
        <v>在厕所的不可名状生物，其实是哥哥从深渊带回来的</v>
      </c>
      <c r="E31" s="100" t="str">
        <f>IFERROR(__xludf.DUMMYFUNCTION("GOOGLETRANSLATE(A31,""zh-tw"",""es-MX"")"),"La criatura indescriptible que encontré en el inodoro fue, en realidad, rescatada del abismo por mi hermano.")</f>
        <v>La criatura indescriptible que encontré en el inodoro fue, en realidad, rescatada del abismo por mi hermano.</v>
      </c>
      <c r="F31" s="579" t="str">
        <f>IFERROR(__xludf.DUMMYFUNCTION("GOOGLETRANSLATE(A31,""zh-tw"",""KO"")"),"화장실에 있던 형언할 수 없는 괴물은 사실 제 형이 심연에서 데려온 것입니다.")</f>
        <v>화장실에 있던 형언할 수 없는 괴물은 사실 제 형이 심연에서 데려온 것입니다.</v>
      </c>
      <c r="G31" s="181" t="s">
        <v>12744</v>
      </c>
      <c r="H31" s="585" t="s">
        <v>12745</v>
      </c>
      <c r="I31" s="97" t="s">
        <v>12746</v>
      </c>
      <c r="J31" s="583" t="s">
        <v>12747</v>
      </c>
      <c r="K31" s="100" t="s">
        <v>12748</v>
      </c>
      <c r="L31" s="584" t="s">
        <v>12749</v>
      </c>
      <c r="M31" s="87"/>
      <c r="N31" s="87"/>
      <c r="O31" s="87"/>
      <c r="P31" s="87"/>
      <c r="Q31" s="87"/>
      <c r="R31" s="87"/>
      <c r="S31" s="87"/>
      <c r="T31" s="87"/>
      <c r="U31" s="87"/>
      <c r="V31" s="87"/>
      <c r="W31" s="87"/>
      <c r="X31" s="87"/>
      <c r="Y31" s="87"/>
    </row>
    <row r="32">
      <c r="A32" s="97" t="s">
        <v>12750</v>
      </c>
      <c r="B32" s="578" t="s">
        <v>12751</v>
      </c>
      <c r="C32" s="97" t="s">
        <v>12752</v>
      </c>
      <c r="D32" s="578" t="str">
        <f>IFERROR(__xludf.DUMMYFUNCTION("GOOGLETRANSLATE(A32,""zh-tw"",""zh"")"),"在雨天修理饮料贩卖机的人是谁呢?目前仍是个谜")</f>
        <v>在雨天修理饮料贩卖机的人是谁呢?目前仍是个谜</v>
      </c>
      <c r="E32" s="100" t="str">
        <f>IFERROR(__xludf.DUMMYFUNCTION("GOOGLETRANSLATE(A32,""zh-tw"",""es-MX"")"),"¿Quién reparó la máquina expendedora bajo la lluvia? Eso sigue siendo un misterio.")</f>
        <v>¿Quién reparó la máquina expendedora bajo la lluvia? Eso sigue siendo un misterio.</v>
      </c>
      <c r="F32" s="579" t="str">
        <f>IFERROR(__xludf.DUMMYFUNCTION("GOOGLETRANSLATE(A32,""zh-tw"",""KO"")"),"누가 빗속에서 자판기를 고쳤을까? 그건 여전히 미스터리로 남아있다.")</f>
        <v>누가 빗속에서 자판기를 고쳤을까? 그건 여전히 미스터리로 남아있다.</v>
      </c>
      <c r="G32" s="181" t="s">
        <v>12753</v>
      </c>
      <c r="H32" s="585" t="s">
        <v>12754</v>
      </c>
      <c r="I32" s="97" t="s">
        <v>12755</v>
      </c>
      <c r="J32" s="583" t="s">
        <v>12756</v>
      </c>
      <c r="K32" s="100" t="s">
        <v>12757</v>
      </c>
      <c r="L32" s="584" t="s">
        <v>12758</v>
      </c>
      <c r="M32" s="87"/>
      <c r="N32" s="87"/>
      <c r="O32" s="87"/>
      <c r="P32" s="87"/>
      <c r="Q32" s="87"/>
      <c r="R32" s="87"/>
      <c r="S32" s="87"/>
      <c r="T32" s="87"/>
      <c r="U32" s="87"/>
      <c r="V32" s="87"/>
      <c r="W32" s="87"/>
      <c r="X32" s="87"/>
      <c r="Y32" s="87"/>
    </row>
    <row r="33">
      <c r="A33" s="97" t="s">
        <v>12759</v>
      </c>
      <c r="B33" s="578" t="s">
        <v>12760</v>
      </c>
      <c r="C33" s="97" t="s">
        <v>12761</v>
      </c>
      <c r="D33" s="578" t="str">
        <f>IFERROR(__xludf.DUMMYFUNCTION("GOOGLETRANSLATE(A33,""zh-tw"",""zh"")"),"早上可透过窗外状况，得知外出时的天气")</f>
        <v>早上可透过窗外状况，得知外出时的天气</v>
      </c>
      <c r="E33" s="100" t="str">
        <f>IFERROR(__xludf.DUMMYFUNCTION("GOOGLETRANSLATE(A33,""zh-tw"",""es-MX"")"),"Por la mañana, puedes consultar el pronóstico del tiempo fuera de la ventana para saber qué tiempo hará cuando salgas.")</f>
        <v>Por la mañana, puedes consultar el pronóstico del tiempo fuera de la ventana para saber qué tiempo hará cuando salgas.</v>
      </c>
      <c r="F33" s="579" t="str">
        <f>IFERROR(__xludf.DUMMYFUNCTION("GOOGLETRANSLATE(A33,""zh-tw"",""KO"")"),"아침에 창밖 날씨를 확인하면 외출할 때 날씨가 어떨지 알 수 있습니다.")</f>
        <v>아침에 창밖 날씨를 확인하면 외출할 때 날씨가 어떨지 알 수 있습니다.</v>
      </c>
      <c r="G33" s="181" t="s">
        <v>12762</v>
      </c>
      <c r="H33" s="585" t="s">
        <v>12763</v>
      </c>
      <c r="I33" s="97" t="s">
        <v>12764</v>
      </c>
      <c r="J33" s="583" t="s">
        <v>12765</v>
      </c>
      <c r="K33" s="100" t="s">
        <v>12766</v>
      </c>
      <c r="L33" s="584" t="s">
        <v>12767</v>
      </c>
      <c r="M33" s="87"/>
      <c r="N33" s="87"/>
      <c r="O33" s="87"/>
      <c r="P33" s="87"/>
      <c r="Q33" s="87"/>
      <c r="R33" s="87"/>
      <c r="S33" s="87"/>
      <c r="T33" s="87"/>
      <c r="U33" s="87"/>
      <c r="V33" s="87"/>
      <c r="W33" s="87"/>
      <c r="X33" s="87"/>
      <c r="Y33" s="87"/>
    </row>
    <row r="34">
      <c r="A34" s="97" t="s">
        <v>12768</v>
      </c>
      <c r="B34" s="578" t="s">
        <v>12769</v>
      </c>
      <c r="C34" s="97" t="s">
        <v>12770</v>
      </c>
      <c r="D34" s="578" t="s">
        <v>12771</v>
      </c>
      <c r="E34" s="100" t="str">
        <f>IFERROR(__xludf.DUMMYFUNCTION("GOOGLETRANSLATE(A34,""zh-tw"",""es-MX"")"),"Cuanto más adorable sea la criatura, mayor suele ser su poder de ataque.")</f>
        <v>Cuanto más adorable sea la criatura, mayor suele ser su poder de ataque.</v>
      </c>
      <c r="F34" s="579" t="str">
        <f>IFERROR(__xludf.DUMMYFUNCTION("GOOGLETRANSLATE(A34,""zh-tw"",""KO"")"),"생물이 귀여울수록 공격력이 높은 경우가 많습니다.")</f>
        <v>생물이 귀여울수록 공격력이 높은 경우가 많습니다.</v>
      </c>
      <c r="G34" s="181" t="s">
        <v>12772</v>
      </c>
      <c r="H34" s="585" t="s">
        <v>12773</v>
      </c>
      <c r="I34" s="97" t="s">
        <v>12774</v>
      </c>
      <c r="J34" s="583" t="s">
        <v>12775</v>
      </c>
      <c r="K34" s="100" t="s">
        <v>12776</v>
      </c>
      <c r="L34" s="584" t="s">
        <v>12777</v>
      </c>
      <c r="M34" s="87"/>
      <c r="N34" s="87"/>
      <c r="O34" s="87"/>
      <c r="P34" s="87"/>
      <c r="Q34" s="87"/>
      <c r="R34" s="87"/>
      <c r="S34" s="87"/>
      <c r="T34" s="87"/>
      <c r="U34" s="87"/>
      <c r="V34" s="87"/>
      <c r="W34" s="87"/>
      <c r="X34" s="87"/>
      <c r="Y34" s="87"/>
    </row>
    <row r="35">
      <c r="A35" s="97" t="s">
        <v>12778</v>
      </c>
      <c r="B35" s="578" t="s">
        <v>12779</v>
      </c>
      <c r="C35" s="97" t="s">
        <v>12780</v>
      </c>
      <c r="D35" s="578" t="str">
        <f>IFERROR(__xludf.DUMMYFUNCTION("GOOGLETRANSLATE(A35,""zh-tw"",""zh"")"),"厕所沉思中的&lt;42&gt;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5" s="100" t="str">
        <f>IFERROR(__xludf.DUMMYFUNCTION("GOOGLETRANSLATE(A35,""zh-tw"",""es-MX"")"),"&lt;42&gt;, un pensamiento en el baño, es la respuesta a la pregunta ""la respuesta definitiva a la vida, el universo y todo lo demás"" de la novela de Douglas Adams *La guía del autoestopista galáctico*.")</f>
        <v>&lt;42&gt;, un pensamiento en el baño, es la respuesta a la pregunta "la respuesta definitiva a la vida, el universo y todo lo demás" de la novela de Douglas Adams *La guía del autoestopista galáctico*.</v>
      </c>
      <c r="F35" s="579" t="str">
        <f>IFERROR(__xludf.DUMMYFUNCTION("GOOGLETRANSLATE(A35,""zh-tw"",""KO"")"),"&lt;42&gt;, 화장실에서의 생각은 더글러스 애덤스의 소설 *은하수를 여행하는 히치하이커를 위한 안내서*에 나오는 ""삶, 우주, 그리고 모든 것에 대한 궁극적인 답""이라는 질문에 대한 답입니다.")</f>
        <v>&lt;42&gt;, 화장실에서의 생각은 더글러스 애덤스의 소설 *은하수를 여행하는 히치하이커를 위한 안내서*에 나오는 "삶, 우주, 그리고 모든 것에 대한 궁극적인 답"이라는 질문에 대한 답입니다.</v>
      </c>
      <c r="G35" s="181" t="s">
        <v>12781</v>
      </c>
      <c r="H35" s="585" t="s">
        <v>12782</v>
      </c>
      <c r="I35" s="97" t="s">
        <v>12783</v>
      </c>
      <c r="J35" s="581" t="s">
        <v>12784</v>
      </c>
      <c r="K35" s="100" t="s">
        <v>12785</v>
      </c>
      <c r="L35" s="584" t="s">
        <v>12786</v>
      </c>
      <c r="M35" s="87"/>
      <c r="N35" s="87"/>
      <c r="O35" s="87"/>
      <c r="P35" s="87"/>
      <c r="Q35" s="87"/>
      <c r="R35" s="87"/>
      <c r="S35" s="87"/>
      <c r="T35" s="87"/>
      <c r="U35" s="87"/>
      <c r="V35" s="87"/>
      <c r="W35" s="87"/>
      <c r="X35" s="87"/>
      <c r="Y35" s="87"/>
    </row>
    <row r="36">
      <c r="A36" s="97" t="s">
        <v>12787</v>
      </c>
      <c r="B36" s="578" t="s">
        <v>12788</v>
      </c>
      <c r="C36" s="97" t="s">
        <v>12789</v>
      </c>
      <c r="D36" s="578" t="str">
        <f>IFERROR(__xludf.DUMMYFUNCTION("GOOGLETRANSLATE(A36,""zh-tw"",""zh"")"),"一个水怪黏液大约等于两个史莱姆黏液")</f>
        <v>一个水怪黏液大约等于两个史莱姆黏液</v>
      </c>
      <c r="E36" s="100" t="str">
        <f>IFERROR(__xludf.DUMMYFUNCTION("GOOGLETRANSLATE(A36,""zh-tw"",""es-MX"")"),"Un monstruo de agua viscoso es aproximadamente equivalente a dos limos viscosos.")</f>
        <v>Un monstruo de agua viscoso es aproximadamente equivalente a dos limos viscosos.</v>
      </c>
      <c r="F36" s="579" t="str">
        <f>IFERROR(__xludf.DUMMYFUNCTION("GOOGLETRANSLATE(A36,""zh-tw"",""KO"")"),"물 괴물 슬라임 하나는 일반 슬라임 두 개와 거의 같습니다.")</f>
        <v>물 괴물 슬라임 하나는 일반 슬라임 두 개와 거의 같습니다.</v>
      </c>
      <c r="G36" s="181" t="s">
        <v>12790</v>
      </c>
      <c r="H36" s="585" t="s">
        <v>12791</v>
      </c>
      <c r="I36" s="97" t="s">
        <v>12792</v>
      </c>
      <c r="J36" s="583" t="s">
        <v>12793</v>
      </c>
      <c r="K36" s="100" t="s">
        <v>12794</v>
      </c>
      <c r="L36" s="584" t="s">
        <v>12795</v>
      </c>
      <c r="M36" s="87"/>
      <c r="N36" s="87"/>
      <c r="O36" s="87"/>
      <c r="P36" s="87"/>
      <c r="Q36" s="87"/>
      <c r="R36" s="87"/>
      <c r="S36" s="87"/>
      <c r="T36" s="87"/>
      <c r="U36" s="87"/>
      <c r="V36" s="87"/>
      <c r="W36" s="87"/>
      <c r="X36" s="87"/>
      <c r="Y36" s="87"/>
    </row>
    <row r="37">
      <c r="A37" s="97" t="s">
        <v>12796</v>
      </c>
      <c r="B37" s="578" t="s">
        <v>12797</v>
      </c>
      <c r="C37" s="97" t="s">
        <v>12798</v>
      </c>
      <c r="D37" s="578" t="str">
        <f>IFERROR(__xludf.DUMMYFUNCTION("GOOGLETRANSLATE(A37,""zh-tw"",""zh"")"),"遗迹BOSS每七天会重生，而且每次重生会更强，也可以使用""世界""塔罗牌")</f>
        <v>遗迹BOSS每七天会重生，而且每次重生会更强，也可以使用"世界"塔罗牌</v>
      </c>
      <c r="E37" s="100" t="str">
        <f>IFERROR(__xludf.DUMMYFUNCTION("GOOGLETRANSLATE(A37,""zh-tw"",""es-MX"")"),"El jefe de las Ruinas reaparece cada siete días, volviéndose más fuerte con cada reaparición. También se puede usar la carta del Tarot ""El Mundo"".")</f>
        <v>El jefe de las Ruinas reaparece cada siete días, volviéndose más fuerte con cada reaparición. También se puede usar la carta del Tarot "El Mundo".</v>
      </c>
      <c r="F37" s="579" t="str">
        <f>IFERROR(__xludf.DUMMYFUNCTION("GOOGLETRANSLATE(A37,""zh-tw"",""KO"")"),"유적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7" s="181" t="s">
        <v>12799</v>
      </c>
      <c r="H37" s="585" t="s">
        <v>12800</v>
      </c>
      <c r="I37" s="97" t="s">
        <v>12801</v>
      </c>
      <c r="J37" s="583" t="s">
        <v>12802</v>
      </c>
      <c r="K37" s="100" t="s">
        <v>12803</v>
      </c>
      <c r="L37" s="584" t="s">
        <v>12804</v>
      </c>
      <c r="M37" s="87"/>
      <c r="N37" s="87"/>
      <c r="O37" s="87"/>
      <c r="P37" s="87"/>
      <c r="Q37" s="87"/>
      <c r="R37" s="87"/>
      <c r="S37" s="87"/>
      <c r="T37" s="87"/>
      <c r="U37" s="87"/>
      <c r="V37" s="87"/>
      <c r="W37" s="87"/>
      <c r="X37" s="87"/>
      <c r="Y37" s="87"/>
    </row>
    <row r="38">
      <c r="A38" s="97" t="s">
        <v>12805</v>
      </c>
      <c r="B38" s="578" t="s">
        <v>12806</v>
      </c>
      <c r="C38" s="97" t="s">
        <v>12807</v>
      </c>
      <c r="D38" s="578" t="s">
        <v>12808</v>
      </c>
      <c r="E38" s="100" t="str">
        <f>IFERROR(__xludf.DUMMYFUNCTION("GOOGLETRANSLATE(A38,""zh-tw"",""es-MX"")"),"¿Es demasiado difícil derrotar al jefe de las Ruinas? Podrías intentar pararte al borde de un precipicio y comportarte como un forastero despreciable.")</f>
        <v>¿Es demasiado difícil derrotar al jefe de las Ruinas? Podrías intentar pararte al borde de un precipicio y comportarte como un forastero despreciable.</v>
      </c>
      <c r="F38" s="579" t="str">
        <f>IFERROR(__xludf.DUMMYFUNCTION("GOOGLETRANSLATE(A38,""zh-tw"",""KO"")"),"유적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8" s="181" t="s">
        <v>12809</v>
      </c>
      <c r="H38" s="585" t="s">
        <v>12810</v>
      </c>
      <c r="I38" s="97" t="s">
        <v>12811</v>
      </c>
      <c r="J38" s="583" t="s">
        <v>12812</v>
      </c>
      <c r="K38" s="100" t="s">
        <v>12813</v>
      </c>
      <c r="L38" s="584" t="s">
        <v>12814</v>
      </c>
      <c r="M38" s="87"/>
      <c r="N38" s="87"/>
      <c r="O38" s="87"/>
      <c r="P38" s="87"/>
      <c r="Q38" s="87"/>
      <c r="R38" s="87"/>
      <c r="S38" s="87"/>
      <c r="T38" s="87"/>
      <c r="U38" s="87"/>
      <c r="V38" s="87"/>
      <c r="W38" s="87"/>
      <c r="X38" s="87"/>
      <c r="Y38" s="87"/>
    </row>
    <row r="39">
      <c r="A39" s="97" t="s">
        <v>12815</v>
      </c>
      <c r="B39" s="578" t="s">
        <v>12816</v>
      </c>
      <c r="C39" s="97" t="s">
        <v>12817</v>
      </c>
      <c r="D39" s="578" t="s">
        <v>12818</v>
      </c>
      <c r="E39" s="100" t="str">
        <f>IFERROR(__xludf.DUMMYFUNCTION("GOOGLETRANSLATE(A39,""zh-tw"",""es-MX"")"),"Los efectos que aumentan la velocidad de ataque (por ejemplo, los Guantes de Pata de Gato) también potenciarán los efectos mágicos.")</f>
        <v>Los efectos que aumentan la velocidad de ataque (por ejemplo, los Guantes de Pata de Gato) también potenciarán los efectos mágicos.</v>
      </c>
      <c r="F39" s="579" t="str">
        <f>IFERROR(__xludf.DUMMYFUNCTION("GOOGLETRANSLATE(A39,""zh-tw"",""KO"")"),"공격 속도를 증가시키는 효과(예: 고양이 발 장갑)는 마법 효과도 강화합니다.")</f>
        <v>공격 속도를 증가시키는 효과(예: 고양이 발 장갑)는 마법 효과도 강화합니다.</v>
      </c>
      <c r="G39" s="181" t="s">
        <v>12819</v>
      </c>
      <c r="H39" s="585" t="s">
        <v>12820</v>
      </c>
      <c r="I39" s="100" t="str">
        <f>IFERROR(__xludf.DUMMYFUNCTION("GOOGLETRANSLATE(A39,""zh-tw"",""de"")"),"Effekte, die die Angriffsgeschwindigkeit erhöhen (z. B. Katzenpfotenhandschuhe), verstärken auch magische Effekte.")</f>
        <v>Effekte, die die Angriffsgeschwindigkeit erhöhen (z. B. Katzenpfotenhandschuhe), verstärken auch magische Effekte.</v>
      </c>
      <c r="J39" s="583" t="s">
        <v>12821</v>
      </c>
      <c r="K39" s="100" t="s">
        <v>12822</v>
      </c>
      <c r="L39" s="584" t="s">
        <v>12823</v>
      </c>
      <c r="M39" s="87"/>
      <c r="N39" s="87"/>
      <c r="O39" s="87"/>
      <c r="P39" s="87"/>
      <c r="Q39" s="87"/>
      <c r="R39" s="87"/>
      <c r="S39" s="87"/>
      <c r="T39" s="87"/>
      <c r="U39" s="87"/>
      <c r="V39" s="87"/>
      <c r="W39" s="87"/>
      <c r="X39" s="87"/>
      <c r="Y39" s="87"/>
    </row>
    <row r="40">
      <c r="A40" s="97" t="s">
        <v>12824</v>
      </c>
      <c r="B40" s="578" t="s">
        <v>12825</v>
      </c>
      <c r="C40" s="97" t="s">
        <v>12826</v>
      </c>
      <c r="D40" s="578" t="str">
        <f>IFERROR(__xludf.DUMMYFUNCTION("GOOGLETRANSLATE(A40,""zh-tw"",""zh"")"),"加强命中的效果(例如:堕落法师的手套)，以后也会使魔法获得效果，多穿几件还会增加更多")</f>
        <v>加强命中的效果(例如:堕落法师的手套)，以后也会使魔法获得效果，多穿几件还会增加更多</v>
      </c>
      <c r="E40" s="100" t="str">
        <f>IFERROR(__xludf.DUMMYFUNCTION("GOOGLETRANSLATE(A40,""zh-tw"",""es-MX"")"),"Mejorar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40" s="579" t="str">
        <f>IFERROR(__xludf.DUMMYFUNCTION("GOOGLETRANSLATE(A40,""zh-tw"",""KO"")"),"적중률을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40" s="181" t="s">
        <v>12827</v>
      </c>
      <c r="H40" s="585" t="s">
        <v>12828</v>
      </c>
      <c r="I40" s="100" t="str">
        <f>IFERROR(__xludf.DUMMYFUNCTION("GOOGLETRANSLATE(A40,""zh-tw"",""de"")"),"Eine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J40" s="583" t="s">
        <v>12829</v>
      </c>
      <c r="K40" s="100" t="s">
        <v>12830</v>
      </c>
      <c r="L40" s="584" t="s">
        <v>12831</v>
      </c>
      <c r="M40" s="87"/>
      <c r="N40" s="87"/>
      <c r="O40" s="87"/>
      <c r="P40" s="87"/>
      <c r="Q40" s="87"/>
      <c r="R40" s="87"/>
      <c r="S40" s="87"/>
      <c r="T40" s="87"/>
      <c r="U40" s="87"/>
      <c r="V40" s="87"/>
      <c r="W40" s="87"/>
      <c r="X40" s="87"/>
      <c r="Y40" s="87"/>
    </row>
    <row r="41">
      <c r="A41" s="97" t="s">
        <v>12832</v>
      </c>
      <c r="B41" s="578" t="s">
        <v>12833</v>
      </c>
      <c r="C41" s="97" t="s">
        <v>12834</v>
      </c>
      <c r="D41" s="578" t="str">
        <f>IFERROR(__xludf.DUMMYFUNCTION("GOOGLETRANSLATE(A41,""zh-tw"",""zh"")"),"遗迹BOSS房间，底下悬崖有个秘密地点，想办法过去吧!
提示:移动型道具 / 加速型道具+技能")</f>
        <v>遗迹BOSS房间，底下悬崖有个秘密地点，想办法过去吧!
提示:移动型道具 / 加速型道具+技能</v>
      </c>
      <c r="E41" s="100" t="str">
        <f>IFERROR(__xludf.DUMMYFUNCTION("GOOGLETRANSLATE(A41,""zh-tw"",""es-MX"")"),"En la sala del JEFE de las Ruinas, hay un lugar secreto en el acantilado de abajo. ¡Descubre cómo llegar! Pista: Objetos de movimiento / Objetos de aceleración + Habilidades")</f>
        <v>En la sala del JEFE de las Ruinas, hay un lugar secreto en el acantilado de abajo. ¡Descubre cómo llegar! Pista: Objetos de movimiento / Objetos de aceleración + Habilidades</v>
      </c>
      <c r="F41" s="579" t="str">
        <f>IFERROR(__xludf.DUMMYFUNCTION("GOOGLETRANSLATE(A41,""zh-tw"",""KO"")"),"폐허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1" s="181" t="s">
        <v>12835</v>
      </c>
      <c r="H41" s="585" t="s">
        <v>12836</v>
      </c>
      <c r="I41" s="100" t="str">
        <f>IFERROR(__xludf.DUMMYFUNCTION("GOOGLETRANSLATE(A41,""zh-tw"",""de"")"),"Im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J41" s="583" t="s">
        <v>12837</v>
      </c>
      <c r="K41" s="100" t="s">
        <v>12838</v>
      </c>
      <c r="L41" s="584" t="s">
        <v>12839</v>
      </c>
      <c r="M41" s="87"/>
      <c r="N41" s="87"/>
      <c r="O41" s="87"/>
      <c r="P41" s="87"/>
      <c r="Q41" s="87"/>
      <c r="R41" s="87"/>
      <c r="S41" s="87"/>
      <c r="T41" s="87"/>
      <c r="U41" s="87"/>
      <c r="V41" s="87"/>
      <c r="W41" s="87"/>
      <c r="X41" s="87"/>
      <c r="Y41" s="87"/>
    </row>
    <row r="42">
      <c r="A42" s="97" t="s">
        <v>12840</v>
      </c>
      <c r="B42" s="578" t="s">
        <v>12841</v>
      </c>
      <c r="C42" s="97" t="s">
        <v>12842</v>
      </c>
      <c r="D42" s="578" t="str">
        <f>IFERROR(__xludf.DUMMYFUNCTION("GOOGLETRANSLATE(A42,""zh-tw"",""zh"")"),"利用道具，不只能和怪物，也能使NPC交换位置")</f>
        <v>利用道具，不只能和怪物，也能使NPC交换位置</v>
      </c>
      <c r="E42" s="100" t="str">
        <f>IFERROR(__xludf.DUMMYFUNCTION("GOOGLETRANSLATE(A42,""zh-tw"",""es-MX"")"),"Mediante el uso de objetos, no solo puedes intercambiar posiciones con los monstruos, sino también con los PNJ (personajes no jugables).")</f>
        <v>Mediante el uso de objetos, no solo puedes intercambiar posiciones con los monstruos, sino también con los PNJ (personajes no jugables).</v>
      </c>
      <c r="F42" s="579" t="str">
        <f>IFERROR(__xludf.DUMMYFUNCTION("GOOGLETRANSLATE(A42,""zh-tw"",""KO"")"),"아이템을 사용하면 몬스터뿐만 아니라 NPC와도 위치를 바꿀 수 있습니다.")</f>
        <v>아이템을 사용하면 몬스터뿐만 아니라 NPC와도 위치를 바꿀 수 있습니다.</v>
      </c>
      <c r="G42" s="181" t="s">
        <v>12843</v>
      </c>
      <c r="H42" s="585" t="s">
        <v>12844</v>
      </c>
      <c r="I42" s="100" t="str">
        <f>IFERROR(__xludf.DUMMYFUNCTION("GOOGLETRANSLATE(A42,""zh-tw"",""de"")"),"Mithilfe von Gegenständen kann man nicht nur mit Monstern, sondern auch mit NPCs die Position tauschen.")</f>
        <v>Mithilfe von Gegenständen kann man nicht nur mit Monstern, sondern auch mit NPCs die Position tauschen.</v>
      </c>
      <c r="J42" s="583" t="s">
        <v>12845</v>
      </c>
      <c r="K42" s="100" t="s">
        <v>12846</v>
      </c>
      <c r="L42" s="584" t="s">
        <v>12847</v>
      </c>
      <c r="M42" s="87"/>
      <c r="N42" s="87"/>
      <c r="O42" s="87"/>
      <c r="P42" s="87"/>
      <c r="Q42" s="87"/>
      <c r="R42" s="87"/>
      <c r="S42" s="87"/>
      <c r="T42" s="87"/>
      <c r="U42" s="87"/>
      <c r="V42" s="87"/>
      <c r="W42" s="87"/>
      <c r="X42" s="87"/>
      <c r="Y42" s="87"/>
    </row>
    <row r="43">
      <c r="A43" s="97" t="s">
        <v>12848</v>
      </c>
      <c r="B43" s="578" t="s">
        <v>12849</v>
      </c>
      <c r="C43" s="97" t="s">
        <v>12850</v>
      </c>
      <c r="D43" s="578" t="s">
        <v>12851</v>
      </c>
      <c r="E43" s="100" t="str">
        <f>IFERROR(__xludf.DUMMYFUNCTION("GOOGLETRANSLATE(A43,""zh-tw"",""es-MX"")"),"Los monstruos también tienen sentido del olfato, y algunos huyen ante un mal olor.")</f>
        <v>Los monstruos también tienen sentido del olfato, y algunos huyen ante un mal olor.</v>
      </c>
      <c r="F43" s="579" t="str">
        <f>IFERROR(__xludf.DUMMYFUNCTION("GOOGLETRANSLATE(A43,""zh-tw"",""KO"")"),"괴물들도 후각을 가지고 있으며, 일부 괴물들은 악취를 맡으면 도망칩니다.")</f>
        <v>괴물들도 후각을 가지고 있으며, 일부 괴물들은 악취를 맡으면 도망칩니다.</v>
      </c>
      <c r="G43" s="181" t="s">
        <v>12852</v>
      </c>
      <c r="H43" s="585" t="s">
        <v>12853</v>
      </c>
      <c r="I43" s="100" t="str">
        <f>IFERROR(__xludf.DUMMYFUNCTION("GOOGLETRANSLATE(A43,""zh-tw"",""de"")"),"Auch Monster besitzen einen Geruchssinn, und manche Monster fliehen vor einem üblen Geruch.")</f>
        <v>Auch Monster besitzen einen Geruchssinn, und manche Monster fliehen vor einem üblen Geruch.</v>
      </c>
      <c r="J43" s="583" t="s">
        <v>12854</v>
      </c>
      <c r="K43" s="100" t="s">
        <v>12855</v>
      </c>
      <c r="L43" s="584" t="s">
        <v>12856</v>
      </c>
      <c r="M43" s="87"/>
      <c r="N43" s="87"/>
      <c r="O43" s="87"/>
      <c r="P43" s="87"/>
      <c r="Q43" s="87"/>
      <c r="R43" s="87"/>
      <c r="S43" s="87"/>
      <c r="T43" s="87"/>
      <c r="U43" s="87"/>
      <c r="V43" s="87"/>
      <c r="W43" s="87"/>
      <c r="X43" s="87"/>
      <c r="Y43" s="87"/>
    </row>
    <row r="44">
      <c r="A44" s="97" t="s">
        <v>12857</v>
      </c>
      <c r="B44" s="578" t="s">
        <v>12858</v>
      </c>
      <c r="C44" s="97" t="s">
        <v>12859</v>
      </c>
      <c r="D44" s="578" t="str">
        <f>IFERROR(__xludf.DUMMYFUNCTION("GOOGLETRANSLATE(A44,""zh-tw"",""zh"")"),"当妹妹玩游戏时，可以对妹妹恶作剧。
若要触发特殊的开腿选项，需要先完成DLC的任务")</f>
        <v>当妹妹玩游戏时，可以对妹妹恶作剧。
若要触发特殊的开腿选项，需要先完成DLC的任务</v>
      </c>
      <c r="E44" s="100" t="str">
        <f>IFERROR(__xludf.DUMMYFUNCTION("GOOGLETRANSLATE(A44,""zh-tw"",""es-MX"")"),"Puedes gastarle bromas a tu hermana mientras juega.
Para activar la opción especial de abrir las piernas, primero debes completar la misión del DLC.")</f>
        <v>Puedes gastarle bromas a tu hermana mientras juega.
Para activar la opción especial de abrir las piernas, primero debes completar la misión del DLC.</v>
      </c>
      <c r="F44" s="579" t="str">
        <f>IFERROR(__xludf.DUMMYFUNCTION("GOOGLETRANSLATE(A44,""zh-tw"",""KO"")"),"여동생이 게임하는 동안 장난을 칠 수 있습니다.
특별한 다리 벌리기 옵션을 사용하려면 먼저 DLC 미션을 완료해야 합니다.")</f>
        <v>여동생이 게임하는 동안 장난을 칠 수 있습니다.
특별한 다리 벌리기 옵션을 사용하려면 먼저 DLC 미션을 완료해야 합니다.</v>
      </c>
      <c r="G44" s="181" t="s">
        <v>12860</v>
      </c>
      <c r="H44" s="582" t="s">
        <v>12861</v>
      </c>
      <c r="I44" s="100" t="str">
        <f>IFERROR(__xludf.DUMMYFUNCTION("GOOGLETRANSLATE(A44,""zh-tw"",""de"")"),"Du kannst deiner Schwester Streiche spielen, während sie spielt.
Um die Option zum Spreizen der Beine freizuschalten, musst du zuerst die DLC-Mission abschließen.")</f>
        <v>Du kannst deiner Schwester Streiche spielen, während sie spielt.
Um die Option zum Spreizen der Beine freizuschalten, musst du zuerst die DLC-Mission abschließen.</v>
      </c>
      <c r="J44" s="583" t="s">
        <v>12862</v>
      </c>
      <c r="K44" s="100" t="s">
        <v>12863</v>
      </c>
      <c r="L44" s="584" t="s">
        <v>12864</v>
      </c>
      <c r="M44" s="87"/>
      <c r="N44" s="87"/>
      <c r="O44" s="87"/>
      <c r="P44" s="87"/>
      <c r="Q44" s="87"/>
      <c r="R44" s="87"/>
      <c r="S44" s="87"/>
      <c r="T44" s="87"/>
      <c r="U44" s="87"/>
      <c r="V44" s="87"/>
      <c r="W44" s="87"/>
      <c r="X44" s="87"/>
      <c r="Y44" s="87"/>
    </row>
    <row r="45">
      <c r="A45" s="97" t="s">
        <v>12865</v>
      </c>
      <c r="B45" s="578" t="s">
        <v>12866</v>
      </c>
      <c r="C45" s="97" t="s">
        <v>12867</v>
      </c>
      <c r="D45" s="578" t="str">
        <f>IFERROR(__xludf.DUMMYFUNCTION("GOOGLETRANSLATE(A45,""zh-tw"",""zh"")"),"妹妹治愈后，除了早上起得来，睡眠时间也会变晚")</f>
        <v>妹妹治愈后，除了早上起得来，睡眠时间也会变晚</v>
      </c>
      <c r="E45" s="100" t="str">
        <f>IFERROR(__xludf.DUMMYFUNCTION("GOOGLETRANSLATE(A45,""zh-tw"",""es-MX"")"),"Después de que mi hermana se recuperó, pudo despertarse por la mañana y también empezó a acostarse más tarde.")</f>
        <v>Después de que mi hermana se recuperó, pudo despertarse por la mañana y también empezó a acostarse más tarde.</v>
      </c>
      <c r="F45" s="579" t="str">
        <f>IFERROR(__xludf.DUMMYFUNCTION("GOOGLETRANSLATE(A45,""zh-tw"",""KO"")"),"언니는 회복된 후 아침에 일어날 수 있게 되었고, 잠자리에 드는 시간도 늦어졌습니다.")</f>
        <v>언니는 회복된 후 아침에 일어날 수 있게 되었고, 잠자리에 드는 시간도 늦어졌습니다.</v>
      </c>
      <c r="G45" s="181" t="s">
        <v>12868</v>
      </c>
      <c r="H45" s="585" t="s">
        <v>12869</v>
      </c>
      <c r="I45" s="100" t="str">
        <f>IFERROR(__xludf.DUMMYFUNCTION("GOOGLETRANSLATE(A45,""zh-tw"",""de"")"),"Nach der Genesung meiner Schwester konnte sie morgens wieder aufwachen und auch ihre Schlafenszeit verschob sich nach hinten.")</f>
        <v>Nach der Genesung meiner Schwester konnte sie morgens wieder aufwachen und auch ihre Schlafenszeit verschob sich nach hinten.</v>
      </c>
      <c r="J45" s="583" t="s">
        <v>12870</v>
      </c>
      <c r="K45" s="100" t="s">
        <v>12871</v>
      </c>
      <c r="L45" s="584" t="s">
        <v>12872</v>
      </c>
      <c r="M45" s="87"/>
      <c r="N45" s="87"/>
      <c r="O45" s="87"/>
      <c r="P45" s="87"/>
      <c r="Q45" s="87"/>
      <c r="R45" s="87"/>
      <c r="S45" s="87"/>
      <c r="T45" s="87"/>
      <c r="U45" s="87"/>
      <c r="V45" s="87"/>
      <c r="W45" s="87"/>
      <c r="X45" s="87"/>
      <c r="Y45" s="87"/>
    </row>
    <row r="46">
      <c r="A46" s="97" t="s">
        <v>12873</v>
      </c>
      <c r="B46" s="578" t="s">
        <v>12874</v>
      </c>
      <c r="C46" s="97" t="s">
        <v>12875</v>
      </c>
      <c r="D46" s="578" t="str">
        <f>IFERROR(__xludf.DUMMYFUNCTION("GOOGLETRANSLATE(A46,""zh-tw"",""zh"")"),"幸运值可以用来影响扭蛋、物品掉落(实装)
和妹妹相关的机率事件也会受到幸运值的影响(未实装)")</f>
        <v>幸运值可以用来影响扭蛋、物品掉落(实装)
和妹妹相关的机率事件也会受到幸运值的影响(未实装)</v>
      </c>
      <c r="E46" s="100" t="str">
        <f>IFERROR(__xludf.DUMMYFUNCTION("GOOGLETRANSLATE(A46,""zh-tw"",""es-MX"")"),"Las estadísticas de suerte pueden usarse para influir en las tiradas de gacha y la obtención de objetos (implementado). Las estadísticas de suerte también afectan a los eventos basados ​​en la probabilidad relacionados con la hermana (aún no implementado)"&amp;".")</f>
        <v>Las estadísticas de suerte pueden usarse para influir en las tiradas de gacha y la obtención de objetos (implementado). Las estadísticas de suerte también afectan a los eventos basados ​​en la probabilidad relacionados con la hermana (aún no implementado).</v>
      </c>
      <c r="F46" s="579" t="str">
        <f>IFERROR(__xludf.DUMMYFUNCTION("GOOGLETRANSLATE(A46,""zh-tw"",""KO"")"),"행운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6" s="181" t="s">
        <v>12876</v>
      </c>
      <c r="H46" s="585" t="s">
        <v>12877</v>
      </c>
      <c r="I46" s="100" t="str">
        <f>IFERROR(__xludf.DUMMYFUNCTION("GOOGLETRANSLATE(A46,""zh-tw"",""de"")"),"Glückswerte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J46" s="583" t="s">
        <v>12878</v>
      </c>
      <c r="K46" s="100" t="s">
        <v>12879</v>
      </c>
      <c r="L46" s="578" t="s">
        <v>12880</v>
      </c>
      <c r="M46" s="87"/>
      <c r="N46" s="87"/>
      <c r="O46" s="87"/>
      <c r="P46" s="87"/>
      <c r="Q46" s="87"/>
      <c r="R46" s="87"/>
      <c r="S46" s="87"/>
      <c r="T46" s="87"/>
      <c r="U46" s="87"/>
      <c r="V46" s="87"/>
      <c r="W46" s="87"/>
      <c r="X46" s="87"/>
      <c r="Y46" s="87"/>
    </row>
    <row r="47">
      <c r="A47" s="97" t="s">
        <v>12881</v>
      </c>
      <c r="B47" s="578" t="s">
        <v>12882</v>
      </c>
      <c r="C47" s="97" t="s">
        <v>12883</v>
      </c>
      <c r="D47" s="578" t="str">
        <f>IFERROR(__xludf.DUMMYFUNCTION("GOOGLETRANSLATE(A47,""zh-tw"",""zh"")"),"商店老板娘叫做aki，另外妹妹的声优也是aki")</f>
        <v>商店老板娘叫做aki，另外妹妹的声优也是aki</v>
      </c>
      <c r="E47" s="100" t="str">
        <f>IFERROR(__xludf.DUMMYFUNCTION("GOOGLETRANSLATE(A47,""zh-tw"",""es-MX"")"),"La dueña de la tienda se llama Aki, y la actriz de doblaje de la hermana menor también se llama Aki.")</f>
        <v>La dueña de la tienda se llama Aki, y la actriz de doblaje de la hermana menor también se llama Aki.</v>
      </c>
      <c r="F47" s="579" t="str">
        <f>IFERROR(__xludf.DUMMYFUNCTION("GOOGLETRANSLATE(A47,""zh-tw"",""KO"")"),"가게 주인의 이름은 아키이고, 여동생의 성우도 아키입니다.")</f>
        <v>가게 주인의 이름은 아키이고, 여동생의 성우도 아키입니다.</v>
      </c>
      <c r="G47" s="181" t="s">
        <v>12884</v>
      </c>
      <c r="H47" s="585" t="s">
        <v>12885</v>
      </c>
      <c r="I47" s="100" t="str">
        <f>IFERROR(__xludf.DUMMYFUNCTION("GOOGLETRANSLATE(A47,""zh-tw"",""de"")"),"Der Name der Ladenbesitzerin ist Aki, und die Synchronsprecherin der jüngeren Schwester heißt ebenfalls Aki.")</f>
        <v>Der Name der Ladenbesitzerin ist Aki, und die Synchronsprecherin der jüngeren Schwester heißt ebenfalls Aki.</v>
      </c>
      <c r="J47" s="583" t="s">
        <v>12886</v>
      </c>
      <c r="K47" s="100" t="s">
        <v>12887</v>
      </c>
      <c r="L47" s="578" t="s">
        <v>12888</v>
      </c>
      <c r="M47" s="87"/>
      <c r="N47" s="87"/>
      <c r="O47" s="87"/>
      <c r="P47" s="87"/>
      <c r="Q47" s="87"/>
      <c r="R47" s="87"/>
      <c r="S47" s="87"/>
      <c r="T47" s="87"/>
      <c r="U47" s="87"/>
      <c r="V47" s="87"/>
      <c r="W47" s="87"/>
      <c r="X47" s="87"/>
      <c r="Y47" s="87"/>
    </row>
    <row r="48">
      <c r="A48" s="97" t="s">
        <v>12889</v>
      </c>
      <c r="B48" s="578" t="s">
        <v>12890</v>
      </c>
      <c r="C48" s="100" t="s">
        <v>12891</v>
      </c>
      <c r="D48" s="578" t="str">
        <f>IFERROR(__xludf.DUMMYFUNCTION("GOOGLETRANSLATE(A48,""zh-tw"",""zh"")"),"Ehwaz符文会在扔出去后和触碰到的敌人交换位置")</f>
        <v>Ehwaz符文会在扔出去后和触碰到的敌人交换位置</v>
      </c>
      <c r="E48" s="100" t="str">
        <f>IFERROR(__xludf.DUMMYFUNCTION("GOOGLETRANSLATE(A48,""zh-tw"",""es-MX"")"),"Tras ser lanzada, la runa Ehwaz intercambiará posiciones con cualquier enemigo que toque.")</f>
        <v>Tras ser lanzada, la runa Ehwaz intercambiará posiciones con cualquier enemigo que toque.</v>
      </c>
      <c r="F48" s="579" t="str">
        <f>IFERROR(__xludf.DUMMYFUNCTION("GOOGLETRANSLATE(A48,""zh-tw"",""KO"")"),"에흐와즈 룬은 던진 후 닿는 모든 적과 위치를 바꿉니다.")</f>
        <v>에흐와즈 룬은 던진 후 닿는 모든 적과 위치를 바꿉니다.</v>
      </c>
      <c r="G48" s="181" t="s">
        <v>12892</v>
      </c>
      <c r="H48" s="585" t="s">
        <v>12893</v>
      </c>
      <c r="I48" s="100" t="str">
        <f>IFERROR(__xludf.DUMMYFUNCTION("GOOGLETRANSLATE(A48,""zh-tw"",""de"")"),"Die Ehwaz-Rune tauscht nach dem Werfen die Position mit jedem Gegner, den sie berührt.")</f>
        <v>Die Ehwaz-Rune tauscht nach dem Werfen die Position mit jedem Gegner, den sie berührt.</v>
      </c>
      <c r="J48" s="583" t="s">
        <v>12894</v>
      </c>
      <c r="K48" s="100" t="s">
        <v>12895</v>
      </c>
      <c r="L48" s="584" t="s">
        <v>12896</v>
      </c>
      <c r="M48" s="87"/>
      <c r="N48" s="87"/>
      <c r="O48" s="87"/>
      <c r="P48" s="87"/>
      <c r="Q48" s="87"/>
      <c r="R48" s="87"/>
      <c r="S48" s="87"/>
      <c r="T48" s="87"/>
      <c r="U48" s="87"/>
      <c r="V48" s="87"/>
      <c r="W48" s="87"/>
      <c r="X48" s="87"/>
      <c r="Y48" s="87"/>
    </row>
    <row r="49">
      <c r="A49" s="97" t="s">
        <v>12897</v>
      </c>
      <c r="B49" s="578" t="s">
        <v>12898</v>
      </c>
      <c r="C49" s="97" t="s">
        <v>12899</v>
      </c>
      <c r="D49" s="578" t="s">
        <v>12900</v>
      </c>
      <c r="E49" s="100" t="str">
        <f>IFERROR(__xludf.DUMMYFUNCTION("GOOGLETRANSLATE(A49,""zh-tw"",""es-MX"")"),"Las runas Raido se lanzan y dejan un marcador al aterrizar. Al hacer clic en este marcador, te teletransportarás instantáneamente a esa ubicación.")</f>
        <v>Las runas Raido se lanzan y dejan un marcador al aterrizar. Al hacer clic en este marcador, te teletransportarás instantáneamente a esa ubicación.</v>
      </c>
      <c r="F49" s="579" t="str">
        <f>IFERROR(__xludf.DUMMYFUNCTION("GOOGLETRANSLATE(A49,""zh-tw"",""KO"")"),"라이도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9" s="181" t="s">
        <v>12901</v>
      </c>
      <c r="H49" s="585" t="s">
        <v>12902</v>
      </c>
      <c r="I49" s="100" t="str">
        <f>IFERROR(__xludf.DUMMYFUNCTION("GOOGLETRANSLATE(A49,""zh-tw"",""de"")"),"Raido-Runen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J49" s="583" t="s">
        <v>12903</v>
      </c>
      <c r="K49" s="100" t="s">
        <v>12904</v>
      </c>
      <c r="L49" s="578" t="s">
        <v>12905</v>
      </c>
      <c r="M49" s="87"/>
      <c r="N49" s="87"/>
      <c r="O49" s="87"/>
      <c r="P49" s="87"/>
      <c r="Q49" s="87"/>
      <c r="R49" s="87"/>
      <c r="S49" s="87"/>
      <c r="T49" s="87"/>
      <c r="U49" s="87"/>
      <c r="V49" s="87"/>
      <c r="W49" s="87"/>
      <c r="X49" s="87"/>
      <c r="Y49" s="87"/>
    </row>
    <row r="50">
      <c r="A50" s="97" t="s">
        <v>12906</v>
      </c>
      <c r="B50" s="578" t="s">
        <v>12907</v>
      </c>
      <c r="C50" s="97" t="s">
        <v>12908</v>
      </c>
      <c r="D50" s="578" t="str">
        <f>IFERROR(__xludf.DUMMYFUNCTION("GOOGLETRANSLATE(A50,""zh-tw"",""zh"")"),"Jera符文，丢出去可以变换接触到的敌人或掉落物，也就是复制的作用(未实装)")</f>
        <v>Jera符文，丢出去可以变换接触到的敌人或掉落物，也就是复制的作用(未实装)</v>
      </c>
      <c r="E50" s="100" t="str">
        <f>IFERROR(__xludf.DUMMYFUNCTION("GOOGLETRANSLATE(A50,""zh-tw"",""es-MX"")"),"La runa Jera, al ser lanzada, puede transformar a cualquier enemigo u objeto que toque, creando esencialmente una copia (aún no implementado).")</f>
        <v>La runa Jera, al ser lanzada, puede transformar a cualquier enemigo u objeto que toque, creando esencialmente una copia (aún no implementado).</v>
      </c>
      <c r="F50" s="579" t="str">
        <f>IFERROR(__xludf.DUMMYFUNCTION("GOOGLETRANSLATE(A50,""zh-tw"",""KO"")"),"제라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50" s="181" t="s">
        <v>12909</v>
      </c>
      <c r="H50" s="585" t="s">
        <v>12910</v>
      </c>
      <c r="I50" s="100" t="str">
        <f>IFERROR(__xludf.DUMMYFUNCTION("GOOGLETRANSLATE(A50,""zh-tw"",""de"")"),"Die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J50" s="583" t="s">
        <v>12911</v>
      </c>
      <c r="K50" s="100" t="s">
        <v>12912</v>
      </c>
      <c r="L50" s="584" t="s">
        <v>12913</v>
      </c>
      <c r="M50" s="87"/>
      <c r="N50" s="87"/>
      <c r="O50" s="87"/>
      <c r="P50" s="87"/>
      <c r="Q50" s="87"/>
      <c r="R50" s="87"/>
      <c r="S50" s="87"/>
      <c r="T50" s="87"/>
      <c r="U50" s="87"/>
      <c r="V50" s="87"/>
      <c r="W50" s="87"/>
      <c r="X50" s="87"/>
      <c r="Y50" s="87"/>
    </row>
    <row r="51">
      <c r="A51" s="97" t="s">
        <v>12914</v>
      </c>
      <c r="B51" s="578" t="s">
        <v>12915</v>
      </c>
      <c r="C51" s="97" t="s">
        <v>12916</v>
      </c>
      <c r="D51" s="578" t="str">
        <f>IFERROR(__xludf.DUMMYFUNCTION("GOOGLETRANSLATE(A51,""zh-tw"",""zh"")"),"Perth符文，丢出去会造成范围影响，范围内的敌人或掉落物会被随机替换(未实装)")</f>
        <v>Perth符文，丢出去会造成范围影响，范围内的敌人或掉落物会被随机替换(未实装)</v>
      </c>
      <c r="E51" s="100" t="str">
        <f>IFERROR(__xludf.DUMMYFUNCTION("GOOGLETRANSLATE(A51,""zh-tw"",""es-MX"")"),"La runa Perth, al ser lanzada, crea un efecto de área que reemplaza aleatoriamente a los enemigos o los objetos caídos dentro de esa área (aún no implementado).")</f>
        <v>La runa Perth, al ser lanzada, crea un efecto de área que reemplaza aleatoriamente a los enemigos o los objetos caídos dentro de esa área (aún no implementado).</v>
      </c>
      <c r="F51" s="579" t="str">
        <f>IFERROR(__xludf.DUMMYFUNCTION("GOOGLETRANSLATE(A51,""zh-tw"",""KO"")"),"퍼스 룬을 던지면 해당 범위 내에 적이나 떨어진 아이템을 무작위로 교체하는 광역 효과가 발생합니다(아직 구현되지 않음).")</f>
        <v>퍼스 룬을 던지면 해당 범위 내에 적이나 떨어진 아이템을 무작위로 교체하는 광역 효과가 발생합니다(아직 구현되지 않음).</v>
      </c>
      <c r="G51" s="181" t="s">
        <v>12917</v>
      </c>
      <c r="H51" s="585" t="s">
        <v>12918</v>
      </c>
      <c r="I51" s="100" t="str">
        <f>IFERROR(__xludf.DUMMYFUNCTION("GOOGLETRANSLATE(A51,""zh-tw"",""de"")"),"Die Perth-Rune erzeugt beim Werfen einen Flächeneffekt, bei dem zufällig Feinde oder fallengelassene Gegenstände innerhalb dieses Bereichs ersetzt werden (noch nicht implementiert).")</f>
        <v>Die Perth-Rune erzeugt beim Werfen einen Flächeneffekt, bei dem zufällig Feinde oder fallengelassene Gegenstände innerhalb dieses Bereichs ersetzt werden (noch nicht implementiert).</v>
      </c>
      <c r="J51" s="583" t="s">
        <v>12919</v>
      </c>
      <c r="K51" s="100" t="s">
        <v>12920</v>
      </c>
      <c r="L51" s="584" t="s">
        <v>12921</v>
      </c>
      <c r="M51" s="87"/>
      <c r="N51" s="87"/>
      <c r="O51" s="87"/>
      <c r="P51" s="87"/>
      <c r="Q51" s="87"/>
      <c r="R51" s="87"/>
      <c r="S51" s="87"/>
      <c r="T51" s="87"/>
      <c r="U51" s="87"/>
      <c r="V51" s="87"/>
      <c r="W51" s="87"/>
      <c r="X51" s="87"/>
      <c r="Y51" s="87"/>
    </row>
    <row r="52">
      <c r="A52" s="97" t="s">
        <v>12922</v>
      </c>
      <c r="B52" s="578" t="s">
        <v>12923</v>
      </c>
      <c r="C52" s="97" t="s">
        <v>12924</v>
      </c>
      <c r="D52" s="578" t="str">
        <f>IFERROR(__xludf.DUMMYFUNCTION("GOOGLETRANSLATE(A52,""zh-tw"",""zh"")"),"甜筒大剑的效果是喂食怪物，每次攻击有一定机率累积数值，当到达一定数量时怪物会吃太饱而死亡。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2" s="100" t="str">
        <f>IFERROR(__xludf.DUMMYFUNCTION("GOOGLETRANSLATE(A52,""zh-tw"",""es-MX"")"),"La Gran Espada Cono de Helado alimenta a los monstruos; cada ataque tiene una probabilidad de acumular cierta cantidad de comida. Cuando se alcanza una cantidad determinada, el monstruo se saciará demasiado y morirá. (No probado con jefes).")</f>
        <v>La Gran Espada Cono de Helado alimenta a los monstruos; cada ataque tiene una probabilidad de acumular cierta cantidad de comida. Cuando se alcanza una cantidad determinada, el monstruo se saciará demasiado y morirá. (No probado con jefes).</v>
      </c>
      <c r="F52" s="579" t="str">
        <f>IFERROR(__xludf.DUMMYFUNCTION("GOOGLETRANSLATE(A52,""zh-tw"",""KO"")"),"아이스크림 콘 대검은 몬스터에게 먹이를 제공합니다. 공격할 때마다 일정량의 먹이가 축적되며, 일정량에 도달하면 몬스터는 배가 너무 불러 죽게 됩니다. (보스전에서는 테스트되지 않았습니다.)")</f>
        <v>아이스크림 콘 대검은 몬스터에게 먹이를 제공합니다. 공격할 때마다 일정량의 먹이가 축적되며, 일정량에 도달하면 몬스터는 배가 너무 불러 죽게 됩니다. (보스전에서는 테스트되지 않았습니다.)</v>
      </c>
      <c r="G52" s="181" t="s">
        <v>12925</v>
      </c>
      <c r="H52" s="585" t="s">
        <v>12926</v>
      </c>
      <c r="I52" s="100" t="str">
        <f>IFERROR(__xludf.DUMMYFUNCTION("GOOGLETRANSLATE(A52,""zh-tw"",""de"")"),"Das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J52" s="583" t="s">
        <v>12927</v>
      </c>
      <c r="K52" s="100" t="s">
        <v>12928</v>
      </c>
      <c r="L52" s="584" t="s">
        <v>12929</v>
      </c>
      <c r="M52" s="87"/>
      <c r="N52" s="87"/>
      <c r="O52" s="87"/>
      <c r="P52" s="87"/>
      <c r="Q52" s="87"/>
      <c r="R52" s="87"/>
      <c r="S52" s="87"/>
      <c r="T52" s="87"/>
      <c r="U52" s="87"/>
      <c r="V52" s="87"/>
      <c r="W52" s="87"/>
      <c r="X52" s="87"/>
      <c r="Y52" s="87"/>
    </row>
    <row r="53">
      <c r="A53" s="97" t="s">
        <v>12930</v>
      </c>
      <c r="B53" s="578" t="s">
        <v>12931</v>
      </c>
      <c r="C53" s="97" t="s">
        <v>12932</v>
      </c>
      <c r="D53" s="578" t="str">
        <f>IFERROR(__xludf.DUMMYFUNCTION("GOOGLETRANSLATE(A53,""zh-tw"",""zh"")"),"如果扭蛋掉到骑士的脚边，他会帮你捡起")</f>
        <v>如果扭蛋掉到骑士的脚边，他会帮你捡起</v>
      </c>
      <c r="E53" s="100" t="str">
        <f>IFERROR(__xludf.DUMMYFUNCTION("GOOGLETRANSLATE(A53,""zh-tw"",""es-MX"")"),"Si el gashapon cae cerca de los pies del caballero, él lo recogerá por ti.")</f>
        <v>Si el gashapon cae cerca de los pies del caballero, él lo recogerá por ti.</v>
      </c>
      <c r="F53" s="579" t="str">
        <f>IFERROR(__xludf.DUMMYFUNCTION("GOOGLETRANSLATE(A53,""zh-tw"",""KO"")"),"가샤폰이 기사의 발 근처에 떨어지면 기사가 주워줄 것입니다.")</f>
        <v>가샤폰이 기사의 발 근처에 떨어지면 기사가 주워줄 것입니다.</v>
      </c>
      <c r="G53" s="181" t="s">
        <v>12933</v>
      </c>
      <c r="H53" s="585" t="s">
        <v>12934</v>
      </c>
      <c r="I53" s="100" t="str">
        <f>IFERROR(__xludf.DUMMYFUNCTION("GOOGLETRANSLATE(A53,""zh-tw"",""de"")"),"Wenn der Gashapon in die Nähe der Füße des Ritters fällt, wird er ihn für dich aufheben.")</f>
        <v>Wenn der Gashapon in die Nähe der Füße des Ritters fällt, wird er ihn für dich aufheben.</v>
      </c>
      <c r="J53" s="583" t="s">
        <v>12935</v>
      </c>
      <c r="K53" s="100" t="s">
        <v>12936</v>
      </c>
      <c r="L53" s="584" t="s">
        <v>12937</v>
      </c>
      <c r="M53" s="87"/>
      <c r="N53" s="87"/>
      <c r="O53" s="87"/>
      <c r="P53" s="87"/>
      <c r="Q53" s="87"/>
      <c r="R53" s="87"/>
      <c r="S53" s="87"/>
      <c r="T53" s="87"/>
      <c r="U53" s="87"/>
      <c r="V53" s="87"/>
      <c r="W53" s="87"/>
      <c r="X53" s="87"/>
      <c r="Y53" s="87"/>
    </row>
    <row r="54">
      <c r="A54" s="97" t="s">
        <v>12938</v>
      </c>
      <c r="B54" s="578" t="s">
        <v>12939</v>
      </c>
      <c r="C54" s="97" t="s">
        <v>12940</v>
      </c>
      <c r="D54" s="578" t="s">
        <v>12941</v>
      </c>
      <c r="E54" s="100" t="str">
        <f>IFERROR(__xludf.DUMMYFUNCTION("GOOGLETRANSLATE(A54,""zh-tw"",""es-MX"")"),"La durabilidad máxima predeterminada para todas las armas es de 114514, derivada de &lt;El sueño de una noche de verano&gt;.")</f>
        <v>La durabilidad máxima predeterminada para todas las armas es de 114514, derivada de &lt;El sueño de una noche de verano&gt;.</v>
      </c>
      <c r="F54" s="579" t="str">
        <f>IFERROR(__xludf.DUMMYFUNCTION("GOOGLETRANSLATE(A54,""zh-tw"",""KO"")"),"모든 무기의 기본 최대 내구도는 셰익스피어의 희곡 &lt;한여름 밤의 꿈&gt;에서 유래한 114514입니다.")</f>
        <v>모든 무기의 기본 최대 내구도는 셰익스피어의 희곡 &lt;한여름 밤의 꿈&gt;에서 유래한 114514입니다.</v>
      </c>
      <c r="G54" s="181" t="s">
        <v>12942</v>
      </c>
      <c r="H54" s="585" t="s">
        <v>12943</v>
      </c>
      <c r="I54" s="100" t="str">
        <f>IFERROR(__xludf.DUMMYFUNCTION("GOOGLETRANSLATE(A54,""zh-tw"",""de"")"),"Die standardmäßige maximale Haltbarkeit aller Waffen beträgt 114514 und ist dem Roman „Ein Sommernachtstraum“ entlehnt.")</f>
        <v>Die standardmäßige maximale Haltbarkeit aller Waffen beträgt 114514 und ist dem Roman „Ein Sommernachtstraum“ entlehnt.</v>
      </c>
      <c r="J54" s="583" t="s">
        <v>12944</v>
      </c>
      <c r="K54" s="100" t="s">
        <v>12945</v>
      </c>
      <c r="L54" s="584" t="s">
        <v>12946</v>
      </c>
      <c r="M54" s="87"/>
      <c r="N54" s="87"/>
      <c r="O54" s="87"/>
      <c r="P54" s="87"/>
      <c r="Q54" s="87"/>
      <c r="R54" s="87"/>
      <c r="S54" s="87"/>
      <c r="T54" s="87"/>
      <c r="U54" s="87"/>
      <c r="V54" s="87"/>
      <c r="W54" s="87"/>
      <c r="X54" s="87"/>
      <c r="Y54" s="87"/>
    </row>
    <row r="55">
      <c r="A55" s="97" t="s">
        <v>12947</v>
      </c>
      <c r="B55" s="578" t="s">
        <v>12948</v>
      </c>
      <c r="C55" s="97" t="s">
        <v>12949</v>
      </c>
      <c r="D55" s="578" t="str">
        <f>IFERROR(__xludf.DUMMYFUNCTION("GOOGLETRANSLATE(A55,""zh-tw"",""zh"")"),"猫娘商店车会有以下的商品：
1.固定物品 2.猫娘们收集到的食材 3.随机的常规道具，品质随机分布。")</f>
        <v>猫娘商店车会有以下的商品：
1.固定物品 2.猫娘们收集到的食材 3.随机的常规道具，品质随机分布。</v>
      </c>
      <c r="E55" s="100" t="str">
        <f>IFERROR(__xludf.DUMMYFUNCTION("GOOGLETRANSLATE(A55,""zh-tw"",""es-MX"")"),"El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5" s="579" t="str">
        <f>IFERROR(__xludf.DUMMYFUNCTION("GOOGLETRANSLATE(A55,""zh-tw"",""KO"")"),"고양이소녀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5" s="181" t="s">
        <v>12950</v>
      </c>
      <c r="H55" s="585" t="s">
        <v>12951</v>
      </c>
      <c r="I55" s="100" t="str">
        <f>IFERROR(__xludf.DUMMYFUNCTION("GOOGLETRANSLATE(A55,""zh-tw"",""de"")"),"Der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J55" s="583" t="s">
        <v>12952</v>
      </c>
      <c r="K55" s="100" t="s">
        <v>12953</v>
      </c>
      <c r="L55" s="584" t="s">
        <v>12954</v>
      </c>
      <c r="M55" s="87"/>
      <c r="N55" s="87"/>
      <c r="O55" s="87"/>
      <c r="P55" s="87"/>
      <c r="Q55" s="87"/>
      <c r="R55" s="87"/>
      <c r="S55" s="87"/>
      <c r="T55" s="87"/>
      <c r="U55" s="87"/>
      <c r="V55" s="87"/>
      <c r="W55" s="87"/>
      <c r="X55" s="87"/>
      <c r="Y55" s="87"/>
    </row>
    <row r="56">
      <c r="A56" s="97" t="s">
        <v>12955</v>
      </c>
      <c r="B56" s="578" t="s">
        <v>12956</v>
      </c>
      <c r="C56" s="97" t="s">
        <v>12957</v>
      </c>
      <c r="D56" s="578" t="s">
        <v>12958</v>
      </c>
      <c r="E56" s="100" t="str">
        <f>IFERROR(__xludf.DUMMYFUNCTION("GOOGLETRANSLATE(A56,""zh-tw"",""es-MX"")"),"La chica gato Asaba posee la velocidad de ataque de seis patas de gato y puede lanzar armas aleatorias, lo que la hace extremadamente poderosa.
Además, su aggro se mantiene durante todo el día, la resurrección no elimina el aggro y puede perseguir enemig"&amp;"os por todo el mapa.
(Algunos efectos aún no están implementados).")</f>
        <v>La chica gato Asaba posee la velocidad de ataque de seis patas de gato y puede lanzar armas aleatorias, lo que la hace extremadamente poderosa.
Además, su aggro se mantiene durante todo el día, la resurrección no elimina el aggro y puede perseguir enemigos por todo el mapa.
(Algunos efectos aún no están implementados).</v>
      </c>
      <c r="F56" s="579" t="str">
        <f>IFERROR(__xludf.DUMMYFUNCTION("GOOGLETRANSLATE(A56,""zh-tw"",""KO"")"),"고양이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6" s="181" t="s">
        <v>12959</v>
      </c>
      <c r="H56" s="585" t="s">
        <v>12960</v>
      </c>
      <c r="I56" s="100" t="str">
        <f>IFERROR(__xludf.DUMMYFUNCTION("GOOGLETRANSLATE(A56,""zh-tw"",""de"")"),"Das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J56" s="583" t="s">
        <v>12961</v>
      </c>
      <c r="K56" s="100" t="s">
        <v>12962</v>
      </c>
      <c r="L56" s="578" t="s">
        <v>12963</v>
      </c>
      <c r="M56" s="87"/>
      <c r="N56" s="87"/>
      <c r="O56" s="87"/>
      <c r="P56" s="87"/>
      <c r="Q56" s="87"/>
      <c r="R56" s="87"/>
      <c r="S56" s="87"/>
      <c r="T56" s="87"/>
      <c r="U56" s="87"/>
      <c r="V56" s="87"/>
      <c r="W56" s="87"/>
      <c r="X56" s="87"/>
      <c r="Y56" s="87"/>
    </row>
    <row r="57">
      <c r="A57" s="97" t="s">
        <v>12964</v>
      </c>
      <c r="B57" s="578" t="s">
        <v>12965</v>
      </c>
      <c r="C57" s="97" t="s">
        <v>12966</v>
      </c>
      <c r="D57" s="578" t="str">
        <f>IFERROR(__xludf.DUMMYFUNCTION("GOOGLETRANSLATE(A57,""zh-tw"",""zh"")"),"可以对猫娘商店车使用时间暂停器，是个优秀的攻击方式
(P.S.对AKI商店无效)")</f>
        <v>可以对猫娘商店车使用时间暂停器，是个优秀的攻击方式
(P.S.对AKI商店无效)</v>
      </c>
      <c r="E57" s="100" t="str">
        <f>IFERROR(__xludf.DUMMYFUNCTION("GOOGLETRANSLATE(A57,""zh-tw"",""es-MX"")"),"El dispositivo para detener el tiempo se puede usar en el carrito de la tienda de la chica gato, lo que lo convierte en un excelente método de ataque.
(P.D.: Ineficaz contra la tienda AKI)")</f>
        <v>El dispositivo para detener el tiempo se puede usar en el carrito de la tienda de la chica gato, lo que lo convierte en un excelente método de ataque.
(P.D.: Ineficaz contra la tienda AKI)</v>
      </c>
      <c r="F57" s="579" t="str">
        <f>IFERROR(__xludf.DUMMYFUNCTION("GOOGLETRANSLATE(A57,""zh-tw"",""KO"")"),"시간을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7" s="181" t="s">
        <v>12967</v>
      </c>
      <c r="H57" s="585" t="s">
        <v>12968</v>
      </c>
      <c r="I57" s="100" t="str">
        <f>IFERROR(__xludf.DUMMYFUNCTION("GOOGLETRANSLATE(A57,""zh-tw"",""de"")"),"Die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J57" s="583" t="s">
        <v>12969</v>
      </c>
      <c r="K57" s="100" t="s">
        <v>12970</v>
      </c>
      <c r="L57" s="584" t="s">
        <v>12971</v>
      </c>
      <c r="M57" s="87"/>
      <c r="N57" s="87"/>
      <c r="O57" s="87"/>
      <c r="P57" s="87"/>
      <c r="Q57" s="87"/>
      <c r="R57" s="87"/>
      <c r="S57" s="87"/>
      <c r="T57" s="87"/>
      <c r="U57" s="87"/>
      <c r="V57" s="87"/>
      <c r="W57" s="87"/>
      <c r="X57" s="87"/>
      <c r="Y57" s="87"/>
    </row>
    <row r="58">
      <c r="A58" s="97" t="s">
        <v>12972</v>
      </c>
      <c r="B58" s="578" t="s">
        <v>12973</v>
      </c>
      <c r="C58" s="97" t="s">
        <v>12974</v>
      </c>
      <c r="D58" s="578" t="s">
        <v>12975</v>
      </c>
      <c r="E58" s="100" t="str">
        <f>IFERROR(__xludf.DUMMYFUNCTION("GOOGLETRANSLATE(A58,""zh-tw"",""es-MX"")"),"Ya sea un carrito de tienda en movimiento o el daño infligido por la chica gato Asaba, ambos pueden dañar a los monstruos.
Ni siquiera el Jefe del Abismo puede resistir a la chica gato Asaba, aunque para ello tendrás que sacrificar tu propia vida.")</f>
        <v>Ya sea un carrito de tienda en movimiento o el daño infligido por la chica gato Asaba, ambos pueden dañar a los monstruos.
Ni siquiera el Jefe del Abismo puede resistir a la chica gato Asaba, aunque para ello tendrás que sacrificar tu propia vida.</v>
      </c>
      <c r="F58" s="579" t="str">
        <f>IFERROR(__xludf.DUMMYFUNCTION("GOOGLETRANSLATE(A58,""zh-tw"",""KO"")"),"움직이는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8" s="181" t="s">
        <v>12976</v>
      </c>
      <c r="H58" s="585" t="s">
        <v>12977</v>
      </c>
      <c r="I58" s="100" t="str">
        <f>IFERROR(__xludf.DUMMYFUNCTION("GOOGLETRANSLATE(A58,""zh-tw"",""de"")"),"Ob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J58" s="583" t="s">
        <v>12978</v>
      </c>
      <c r="K58" s="100" t="s">
        <v>12979</v>
      </c>
      <c r="L58" s="584" t="s">
        <v>12980</v>
      </c>
      <c r="M58" s="87"/>
      <c r="N58" s="87"/>
      <c r="O58" s="87"/>
      <c r="P58" s="87"/>
      <c r="Q58" s="87"/>
      <c r="R58" s="87"/>
      <c r="S58" s="87"/>
      <c r="T58" s="87"/>
      <c r="U58" s="87"/>
      <c r="V58" s="87"/>
      <c r="W58" s="87"/>
      <c r="X58" s="87"/>
      <c r="Y58" s="87"/>
    </row>
    <row r="59">
      <c r="A59" s="97" t="s">
        <v>12981</v>
      </c>
      <c r="B59" s="578" t="s">
        <v>12982</v>
      </c>
      <c r="C59" s="97" t="s">
        <v>12983</v>
      </c>
      <c r="D59" s="578" t="str">
        <f>IFERROR(__xludf.DUMMYFUNCTION("GOOGLETRANSLATE(A59,""zh-tw"",""zh"")"),"机率100%不代表必定触发，因为还有敌人的抗性。有些装备还会依据溢出的机率来增强效果。")</f>
        <v>机率100%不代表必定触发，因为还有敌人的抗性。有些装备还会依据溢出的机率来增强效果。</v>
      </c>
      <c r="E59" s="100" t="str">
        <f>IFERROR(__xludf.DUMMYFUNCTION("GOOGLETRANSLATE(A59,""zh-tw"",""es-MX"")"),"Una probabilidad del 100 % no garantiza que se active, ya que la resistencia del enemigo también influye. Algunos equipos incluso potencian sus efectos en función de cualquier exceso de probabilidad.")</f>
        <v>Una probabilidad del 100 % no garantiza que se active, ya que la resistencia del enemigo también influye. Algunos equipos incluso potencian sus efectos en función de cualquier exceso de probabilidad.</v>
      </c>
      <c r="F59" s="579" t="str">
        <f>IFERROR(__xludf.DUMMYFUNCTION("GOOGLETRANSLATE(A59,""zh-tw"",""KO"")"),"100%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9" s="181" t="s">
        <v>12984</v>
      </c>
      <c r="H59" s="585" t="s">
        <v>12985</v>
      </c>
      <c r="I59" s="100" t="str">
        <f>IFERROR(__xludf.DUMMYFUNCTION("GOOGLETRANSLATE(A59,""zh-tw"",""de"")"),"Eine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J59" s="583" t="s">
        <v>12986</v>
      </c>
      <c r="K59" s="100" t="s">
        <v>12987</v>
      </c>
      <c r="L59" s="584" t="s">
        <v>12988</v>
      </c>
      <c r="M59" s="87"/>
      <c r="N59" s="87"/>
      <c r="O59" s="87"/>
      <c r="P59" s="87"/>
      <c r="Q59" s="87"/>
      <c r="R59" s="87"/>
      <c r="S59" s="87"/>
      <c r="T59" s="87"/>
      <c r="U59" s="87"/>
      <c r="V59" s="87"/>
      <c r="W59" s="87"/>
      <c r="X59" s="87"/>
      <c r="Y59" s="87"/>
    </row>
    <row r="60">
      <c r="A60" s="97" t="s">
        <v>12989</v>
      </c>
      <c r="B60" s="578" t="s">
        <v>12990</v>
      </c>
      <c r="C60" s="97" t="s">
        <v>12991</v>
      </c>
      <c r="D60" s="578" t="str">
        <f>IFERROR(__xludf.DUMMYFUNCTION("GOOGLETRANSLATE(A60,""zh-tw"",""zh"")"),"不同天气时，妹妹会涂不同颜色的指甲油。")</f>
        <v>不同天气时，妹妹会涂不同颜色的指甲油。</v>
      </c>
      <c r="E60" s="100" t="str">
        <f>IFERROR(__xludf.DUMMYFUNCTION("GOOGLETRANSLATE(A60,""zh-tw"",""es-MX"")"),"Mi hermana se pinta las uñas de diferentes colores según el clima.")</f>
        <v>Mi hermana se pinta las uñas de diferentes colores según el clima.</v>
      </c>
      <c r="F60" s="579" t="str">
        <f>IFERROR(__xludf.DUMMYFUNCTION("GOOGLETRANSLATE(A60,""zh-tw"",""KO"")"),"내 여동생은 날씨에 따라 손톱에 다른 색깔을 칠해요.")</f>
        <v>내 여동생은 날씨에 따라 손톱에 다른 색깔을 칠해요.</v>
      </c>
      <c r="G60" s="181" t="s">
        <v>12992</v>
      </c>
      <c r="H60" s="585" t="s">
        <v>12993</v>
      </c>
      <c r="I60" s="100" t="str">
        <f>IFERROR(__xludf.DUMMYFUNCTION("GOOGLETRANSLATE(A60,""zh-tw"",""de"")"),"Meine Schwester lackiert ihre Nägel je nach Wetterlage in verschiedenen Farben.")</f>
        <v>Meine Schwester lackiert ihre Nägel je nach Wetterlage in verschiedenen Farben.</v>
      </c>
      <c r="J60" s="583" t="s">
        <v>12994</v>
      </c>
      <c r="K60" s="100" t="s">
        <v>12995</v>
      </c>
      <c r="L60" s="578" t="s">
        <v>12996</v>
      </c>
      <c r="M60" s="87"/>
      <c r="N60" s="87"/>
      <c r="O60" s="87"/>
      <c r="P60" s="87"/>
      <c r="Q60" s="87"/>
      <c r="R60" s="87"/>
      <c r="S60" s="87"/>
      <c r="T60" s="87"/>
      <c r="U60" s="87"/>
      <c r="V60" s="87"/>
      <c r="W60" s="87"/>
      <c r="X60" s="87"/>
      <c r="Y60" s="87"/>
    </row>
    <row r="61">
      <c r="A61" s="97" t="s">
        <v>12997</v>
      </c>
      <c r="B61" s="578" t="s">
        <v>12998</v>
      </c>
      <c r="C61" s="97" t="s">
        <v>12999</v>
      </c>
      <c r="D61" s="578" t="str">
        <f>IFERROR(__xludf.DUMMYFUNCTION("GOOGLETRANSLATE(A61,""zh-tw"",""zh"")"),"星之门地图，丢弃在星之门中的物品不会遗失，可以当作临时仓库。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1" s="100" t="str">
        <f>IFERROR(__xludf.DUMMYFUNCTION("GOOGLETRANSLATE(A61,""zh-tw"",""es-MX"")"),"En el mapa de la Puerta Estelar, los objetos que se dejen caer en ella no se perderán y podrán usarse como almacenamiento temporal.
Sin embargo, dejar caer demasiados objetos puede causar ralentizaciones, por lo que no se recomienda hacerlo.
El número m"&amp;"áximo de objetos que se pueden dejar caer es de aproximadamente 200 a 600 (esta función aún no está completamente implementada).")</f>
        <v>En el mapa de la Puerta Estelar, los objetos que se dejen caer en ella no se perderán y podrán usarse como almacenamiento temporal.
Sin embargo, dejar caer demasiados objetos puede causar ralentizaciones, por lo que no se recomienda hacerlo.
El número máximo de objetos que se pueden dejar caer es de aproximadamente 200 a 600 (esta función aún no está completamente implementada).</v>
      </c>
      <c r="F61" s="579" t="str">
        <f>IFERROR(__xludf.DUMMYFUNCTION("GOOGLETRANSLATE(A61,""zh-tw"",""KO"")"),"스타게이트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1" s="181" t="s">
        <v>13000</v>
      </c>
      <c r="H61" s="585" t="s">
        <v>13001</v>
      </c>
      <c r="I61" s="100" t="str">
        <f>IFERROR(__xludf.DUMMYFUNCTION("GOOGLETRANSLATE(A61,""zh-tw"",""de"")"),"Auf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J61" s="581" t="s">
        <v>13002</v>
      </c>
      <c r="K61" s="100" t="s">
        <v>13003</v>
      </c>
      <c r="L61" s="584" t="s">
        <v>13004</v>
      </c>
      <c r="M61" s="87"/>
      <c r="N61" s="87"/>
      <c r="O61" s="87"/>
      <c r="P61" s="87"/>
      <c r="Q61" s="87"/>
      <c r="R61" s="87"/>
      <c r="S61" s="87"/>
      <c r="T61" s="87"/>
      <c r="U61" s="87"/>
      <c r="V61" s="87"/>
      <c r="W61" s="87"/>
      <c r="X61" s="87"/>
      <c r="Y61" s="87"/>
    </row>
    <row r="62">
      <c r="A62" s="97" t="s">
        <v>13005</v>
      </c>
      <c r="B62" s="578" t="s">
        <v>13006</v>
      </c>
      <c r="C62" s="97" t="s">
        <v>13007</v>
      </c>
      <c r="D62" s="578" t="str">
        <f>IFERROR(__xludf.DUMMYFUNCTION("GOOGLETRANSLATE(A62,""zh-tw"",""zh"")"),"心情数值(0~100)是隐藏的，可以从妹妹平时的态度感受出来")</f>
        <v>心情数值(0~100)是隐藏的，可以从妹妹平时的态度感受出来</v>
      </c>
      <c r="E62" s="100" t="str">
        <f>IFERROR(__xludf.DUMMYFUNCTION("GOOGLETRANSLATE(A62,""zh-tw"",""es-MX"")"),"La puntuación del estado de ánimo (0~100) está oculta, pero se puede intuir por la actitud habitual de la hermana menor.")</f>
        <v>La puntuación del estado de ánimo (0~100) está oculta, pero se puede intuir por la actitud habitual de la hermana menor.</v>
      </c>
      <c r="F62" s="579" t="str">
        <f>IFERROR(__xludf.DUMMYFUNCTION("GOOGLETRANSLATE(A62,""zh-tw"",""KO"")"),"기분 점수(0~100)는 숨겨져 있지만, 여동생의 평소 태도를 통해 짐작할 수 있다.")</f>
        <v>기분 점수(0~100)는 숨겨져 있지만, 여동생의 평소 태도를 통해 짐작할 수 있다.</v>
      </c>
      <c r="G62" s="181" t="s">
        <v>13008</v>
      </c>
      <c r="H62" s="585" t="s">
        <v>13009</v>
      </c>
      <c r="I62" s="100" t="str">
        <f>IFERROR(__xludf.DUMMYFUNCTION("GOOGLETRANSLATE(A62,""zh-tw"",""de"")"),"Die Stimmungsbewertung (0~100) ist nicht sichtbar, lässt sich aber an der üblichen Haltung der jüngeren Schwester ablesen.")</f>
        <v>Die Stimmungsbewertung (0~100) ist nicht sichtbar, lässt sich aber an der üblichen Haltung der jüngeren Schwester ablesen.</v>
      </c>
      <c r="J62" s="583" t="s">
        <v>13010</v>
      </c>
      <c r="K62" s="100" t="s">
        <v>13011</v>
      </c>
      <c r="L62" s="584" t="s">
        <v>13012</v>
      </c>
      <c r="M62" s="87"/>
      <c r="N62" s="87"/>
      <c r="O62" s="87"/>
      <c r="P62" s="87"/>
      <c r="Q62" s="87"/>
      <c r="R62" s="87"/>
      <c r="S62" s="87"/>
      <c r="T62" s="87"/>
      <c r="U62" s="87"/>
      <c r="V62" s="87"/>
      <c r="W62" s="87"/>
      <c r="X62" s="87"/>
      <c r="Y62" s="87"/>
    </row>
    <row r="63">
      <c r="A63" s="97" t="s">
        <v>13013</v>
      </c>
      <c r="B63" s="578" t="s">
        <v>13014</v>
      </c>
      <c r="C63" s="97" t="s">
        <v>13015</v>
      </c>
      <c r="D63" s="578" t="str">
        <f>IFERROR(__xludf.DUMMYFUNCTION("GOOGLETRANSLATE(A63,""zh-tw"",""zh"")"),"0.75版本后，使用新存档的玩家，能从一块墓碑上听到很细微的，发出奇怪的咕噜声")</f>
        <v>0.75版本后，使用新存档的玩家，能从一块墓碑上听到很细微的，发出奇怪的咕噜声</v>
      </c>
      <c r="E63" s="100" t="str">
        <f>IFERROR(__xludf.DUMMYFUNCTION("GOOGLETRANSLATE(A63,""zh-tw"",""es-MX"")"),"A partir de la versión 0.75, los jugadores que utilicen archivos de guardado nuevos podrán oír un gorgoteo muy débil y extraño procedente de una lápida.")</f>
        <v>A partir de la versión 0.75, los jugadores que utilicen archivos de guardado nuevos podrán oír un gorgoteo muy débil y extraño procedente de una lápida.</v>
      </c>
      <c r="F63" s="579" t="str">
        <f>IFERROR(__xludf.DUMMYFUNCTION("GOOGLETRANSLATE(A63,""zh-tw"",""KO"")"),"버전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3" s="181" t="s">
        <v>13016</v>
      </c>
      <c r="H63" s="585" t="s">
        <v>13017</v>
      </c>
      <c r="I63" s="100" t="str">
        <f>IFERROR(__xludf.DUMMYFUNCTION("GOOGLETRANSLATE(A63,""zh-tw"",""de"")"),"Ab Version 0.75 können Spieler, die neue Speicherstände verwenden, ein sehr leises, seltsames Glucksen aus einem Grabstein hören.")</f>
        <v>Ab Version 0.75 können Spieler, die neue Speicherstände verwenden, ein sehr leises, seltsames Glucksen aus einem Grabstein hören.</v>
      </c>
      <c r="J63" s="583" t="s">
        <v>13018</v>
      </c>
      <c r="K63" s="100" t="s">
        <v>13019</v>
      </c>
      <c r="L63" s="584" t="s">
        <v>13020</v>
      </c>
      <c r="M63" s="87"/>
      <c r="N63" s="87"/>
      <c r="O63" s="87"/>
      <c r="P63" s="87"/>
      <c r="Q63" s="87"/>
      <c r="R63" s="87"/>
      <c r="S63" s="87"/>
      <c r="T63" s="87"/>
      <c r="U63" s="87"/>
      <c r="V63" s="87"/>
      <c r="W63" s="87"/>
      <c r="X63" s="87"/>
      <c r="Y63" s="87"/>
    </row>
    <row r="64">
      <c r="A64" s="97" t="s">
        <v>13021</v>
      </c>
      <c r="B64" s="578" t="s">
        <v>13022</v>
      </c>
      <c r="C64" s="97" t="s">
        <v>13023</v>
      </c>
      <c r="D64" s="578" t="str">
        <f>IFERROR(__xludf.DUMMYFUNCTION("GOOGLETRANSLATE(A64,""zh-tw"",""zh"")"),"妹妹免疫毒素，因此有毒的食物不会使她中毒，但哥哥无法免疫。")</f>
        <v>妹妹免疫毒素，因此有毒的食物不会使她中毒，但哥哥无法免疫。</v>
      </c>
      <c r="E64" s="100" t="str">
        <f>IFERROR(__xludf.DUMMYFUNCTION("GOOGLETRANSLATE(A64,""zh-tw"",""es-MX"")"),"La hermana menor es inmune a las toxinas, por lo que los alimentos venenosos no la envenenarán, pero el hermano mayor no es inmune.")</f>
        <v>La hermana menor es inmune a las toxinas, por lo que los alimentos venenosos no la envenenarán, pero el hermano mayor no es inmune.</v>
      </c>
      <c r="F64" s="579" t="str">
        <f>IFERROR(__xludf.DUMMYFUNCTION("GOOGLETRANSLATE(A64,""zh-tw"",""KO"")"),"여동생은 독소에 면역력이 있어서 독이 든 음식을 먹어도 중독되지 않지만, 오빠는 그렇지 않다.")</f>
        <v>여동생은 독소에 면역력이 있어서 독이 든 음식을 먹어도 중독되지 않지만, 오빠는 그렇지 않다.</v>
      </c>
      <c r="G64" s="181" t="s">
        <v>13024</v>
      </c>
      <c r="H64" s="585" t="s">
        <v>13025</v>
      </c>
      <c r="I64" s="100" t="str">
        <f>IFERROR(__xludf.DUMMYFUNCTION("GOOGLETRANSLATE(A64,""zh-tw"",""de"")"),"Die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J64" s="581" t="s">
        <v>13026</v>
      </c>
      <c r="K64" s="100" t="s">
        <v>13027</v>
      </c>
      <c r="L64" s="584" t="s">
        <v>13028</v>
      </c>
      <c r="M64" s="87"/>
      <c r="N64" s="87"/>
      <c r="O64" s="87"/>
      <c r="P64" s="87"/>
      <c r="Q64" s="87"/>
      <c r="R64" s="87"/>
      <c r="S64" s="87"/>
      <c r="T64" s="87"/>
      <c r="U64" s="87"/>
      <c r="V64" s="87"/>
      <c r="W64" s="87"/>
      <c r="X64" s="87"/>
      <c r="Y64" s="87"/>
    </row>
    <row r="65">
      <c r="A65" s="97" t="s">
        <v>13029</v>
      </c>
      <c r="B65" s="578" t="s">
        <v>13030</v>
      </c>
      <c r="C65" s="97" t="s">
        <v>13031</v>
      </c>
      <c r="D65" s="578" t="str">
        <f>IFERROR(__xludf.DUMMYFUNCTION("GOOGLETRANSLATE(A65,""zh-tw"",""zh"")"),"shift键可以切换走路/奔跑姿态")</f>
        <v>shift键可以切换走路/奔跑姿态</v>
      </c>
      <c r="E65" s="100" t="str">
        <f>IFERROR(__xludf.DUMMYFUNCTION("GOOGLETRANSLATE(A65,""zh-tw"",""es-MX"")"),"La tecla Mayús permite alternar entre las posturas de caminar y correr.")</f>
        <v>La tecla Mayús permite alternar entre las posturas de caminar y correr.</v>
      </c>
      <c r="F65" s="579" t="str">
        <f>IFERROR(__xludf.DUMMYFUNCTION("GOOGLETRANSLATE(A65,""zh-tw"",""KO"")"),"Shift 키를 누르면 걷기 자세와 달리기 자세를 전환할 수 있습니다.")</f>
        <v>Shift 키를 누르면 걷기 자세와 달리기 자세를 전환할 수 있습니다.</v>
      </c>
      <c r="G65" s="181" t="s">
        <v>13032</v>
      </c>
      <c r="H65" s="585" t="s">
        <v>13033</v>
      </c>
      <c r="I65" s="100" t="str">
        <f>IFERROR(__xludf.DUMMYFUNCTION("GOOGLETRANSLATE(A65,""zh-tw"",""de"")"),"Mit der Shift-Taste kann zwischen Geh- und Laufhaltung umgeschaltet werden.")</f>
        <v>Mit der Shift-Taste kann zwischen Geh- und Laufhaltung umgeschaltet werden.</v>
      </c>
      <c r="J65" s="583" t="s">
        <v>13034</v>
      </c>
      <c r="K65" s="100" t="s">
        <v>13035</v>
      </c>
      <c r="L65" s="584" t="s">
        <v>13036</v>
      </c>
      <c r="M65" s="87"/>
      <c r="N65" s="87"/>
      <c r="O65" s="87"/>
      <c r="P65" s="87"/>
      <c r="Q65" s="87"/>
      <c r="R65" s="87"/>
      <c r="S65" s="87"/>
      <c r="T65" s="87"/>
      <c r="U65" s="87"/>
      <c r="V65" s="87"/>
      <c r="W65" s="87"/>
      <c r="X65" s="87"/>
      <c r="Y65" s="87"/>
    </row>
    <row r="66">
      <c r="A66" s="97" t="s">
        <v>13037</v>
      </c>
      <c r="B66" s="578" t="s">
        <v>13038</v>
      </c>
      <c r="C66" s="97" t="s">
        <v>13039</v>
      </c>
      <c r="D66" s="578" t="str">
        <f>IFERROR(__xludf.DUMMYFUNCTION("GOOGLETRANSLATE(A66,""zh-tw"",""zh"")"),"部分武器会因为习得忍者相关技能后而产生变化，例如匕首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6" s="100" t="str">
        <f>IFERROR(__xludf.DUMMYFUNCTION("GOOGLETRANSLATE(A66,""zh-tw"",""es-MX"")"),"Algunas armas, como las dagas, cambian tras aprender habilidades ninja.
Cuando no hay enemigos cerca, se activa automáticamente un ataque arrojadizo de largo alcance que marca al enemigo.
""Corte Torbellino"" se ha sustituido por ""Asalto"", que permite"&amp;" teletransportarse instantáneamente detrás de un enemigo marcado y aumentar el daño de los ataques por la espalda.
La habilidad ""Katana Paso Relámpago"" activa un breve periodo de sigilo; el primer ataque durante el sigilo inflige daño adicional por la "&amp;"espalda.
****Las dagas aún no están implementadas.")</f>
        <v>Algunas armas, como las dagas, cambian tras aprender habilidades ninja.
Cuando no hay enemigos cerca, se activa automáticamente un ataque arrojadizo de largo alcance que marca al enemigo.
"Corte Torbellino" se ha sustituido por "Asalto", que permite teletransportarse instantáneamente detrás de un enemigo marcado y aumentar el daño de los ataques por la espalda.
La habilidad "Katana Paso Relámpago" activa un breve periodo de sigilo; el primer ataque durante el sigilo inflige daño adicional por la espalda.
****Las dagas aún no están implementadas.</v>
      </c>
      <c r="F66" s="579" t="str">
        <f>IFERROR(__xludf.DUMMYFUNCTION("GOOGLETRANSLATE(A66,""zh-tw"",""KO"")"),"일부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6" s="181" t="s">
        <v>13040</v>
      </c>
      <c r="H66" s="585" t="s">
        <v>13041</v>
      </c>
      <c r="I66" s="100" t="str">
        <f>IFERROR(__xludf.DUMMYFUNCTION("GOOGLETRANSLATE(A66,""zh-tw"",""de"")"),"Einige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J66" s="583" t="s">
        <v>13042</v>
      </c>
      <c r="K66" s="100" t="s">
        <v>13043</v>
      </c>
      <c r="L66" s="584" t="s">
        <v>13044</v>
      </c>
      <c r="M66" s="87"/>
      <c r="N66" s="87"/>
      <c r="O66" s="87"/>
      <c r="P66" s="87"/>
      <c r="Q66" s="87"/>
      <c r="R66" s="87"/>
      <c r="S66" s="87"/>
      <c r="T66" s="87"/>
      <c r="U66" s="87"/>
      <c r="V66" s="87"/>
      <c r="W66" s="87"/>
      <c r="X66" s="87"/>
      <c r="Y66" s="87"/>
    </row>
    <row r="67">
      <c r="A67" s="97" t="s">
        <v>13045</v>
      </c>
      <c r="B67" s="578" t="s">
        <v>13046</v>
      </c>
      <c r="C67" s="97" t="s">
        <v>13047</v>
      </c>
      <c r="D67" s="578" t="str">
        <f>IFERROR(__xludf.DUMMYFUNCTION("GOOGLETRANSLATE(A67,""zh-tw"",""zh"")"),"「做坏事」会累积罪恶值，例如：对妹妹性骚扰、背刺敌人、破坏公物、使用炸弹到河里
(罪恶值目前未实装)")</f>
        <v>「做坏事」会累积罪恶值，例如：对妹妹性骚扰、背刺敌人、破坏公物、使用炸弹到河里
(罪恶值目前未实装)</v>
      </c>
      <c r="E67" s="100" t="str">
        <f>IFERROR(__xludf.DUMMYFUNCTION("GOOGLETRANSLATE(A67,""zh-tw"",""es-MX"")"),"Realizar malas acciones acumula puntos de pecado, como acosar sexualmente a tu hermana, traicionar a un enemigo, vandalizar propiedad pública y arrojar una bomba a un río.
(Los puntos de pecado aún no están implementados).")</f>
        <v>Realizar malas acciones acumula puntos de pecado, como acosar sexualmente a tu hermana, traicionar a un enemigo, vandalizar propiedad pública y arrojar una bomba a un río.
(Los puntos de pecado aún no están implementados).</v>
      </c>
      <c r="F67" s="579" t="str">
        <f>IFERROR(__xludf.DUMMYFUNCTION("GOOGLETRANSLATE(A67,""zh-tw"",""KO"")"),"나쁜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7" s="181" t="s">
        <v>13048</v>
      </c>
      <c r="H67" s="585" t="s">
        <v>13049</v>
      </c>
      <c r="I67" s="100" t="str">
        <f>IFERROR(__xludf.DUMMYFUNCTION("GOOGLETRANSLATE(A67,""zh-tw"",""de"")"),"Schlechte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J67" s="581" t="s">
        <v>13050</v>
      </c>
      <c r="K67" s="100" t="s">
        <v>13051</v>
      </c>
      <c r="L67" s="578" t="s">
        <v>13052</v>
      </c>
      <c r="M67" s="87"/>
      <c r="N67" s="87"/>
      <c r="O67" s="87"/>
      <c r="P67" s="87"/>
      <c r="Q67" s="87"/>
      <c r="R67" s="87"/>
      <c r="S67" s="87"/>
      <c r="T67" s="87"/>
      <c r="U67" s="87"/>
      <c r="V67" s="87"/>
      <c r="W67" s="87"/>
      <c r="X67" s="87"/>
      <c r="Y67" s="87"/>
    </row>
    <row r="68">
      <c r="A68" s="97" t="s">
        <v>13053</v>
      </c>
      <c r="B68" s="578" t="s">
        <v>13054</v>
      </c>
      <c r="C68" s="97" t="s">
        <v>13055</v>
      </c>
      <c r="D68" s="578" t="str">
        <f>IFERROR(__xludf.DUMMYFUNCTION("GOOGLETRANSLATE(A68,""zh-tw"",""zh"")"),"背后刺杀的各阶段等级需求(次数)：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f>
        <v>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v>
      </c>
      <c r="E68" s="100" t="str">
        <f>IFERROR(__xludf.DUMMYFUNCTION("GOOGLETRANSLATE(A68,""zh-tw"",""es-MX"")"),"Requisitos de nivel (número de intentos) para cada fase del Ataque por la espalda:
Nivel 2 -&gt; 5
Nivel 3 -&gt; 27
Nivel 4 -&gt; 60
Nivel 5 -&gt; 120
Nivel 6 -&gt; 256
Nivel 7 -&gt; 530
Nivel 8 -&gt; 960
Nivel 9 -&gt; 1587
Nivel 10 -&gt; 2452
Nivel 11 -&gt; 3600
Multiplica"&amp;"dor de daño (%) para cada fase del Ataque por la espalda:
Nivel=1 → 200
Nivel=2 → 241
Nivel=2 → 241
Nivel=3 → 342
Nivel=4 → 495
Nivel=5 → 696
Nivel=6 → 940
Nivel=7 → 1228
Nivel=8 → 1557
Nivel=9 → 1926
Nivel=10 → 2333
Nivel=11 → 2778")</f>
        <v>Requisitos de nivel (número de intentos) para cada fase del Ataque por la espalda:
Nivel 2 -&gt; 5
Nivel 3 -&gt; 27
Nivel 4 -&gt; 60
Nivel 5 -&gt; 120
Nivel 6 -&gt; 256
Nivel 7 -&gt; 530
Nivel 8 -&gt; 960
Nivel 9 -&gt; 1587
Nivel 10 -&gt; 2452
Nivel 11 -&gt; 3600
Multiplicador de daño (%) para cada fase del Ataque por la espalda:
Nivel=1 → 200
Nivel=2 → 241
Nivel=2 → 241
Nivel=3 → 342
Nivel=4 → 495
Nivel=5 → 696
Nivel=6 → 940
Nivel=7 → 1228
Nivel=8 → 1557
Nivel=9 → 1926
Nivel=10 → 2333
Nivel=11 → 2778</v>
      </c>
      <c r="F68" s="579" t="str">
        <f>IFERROR(__xludf.DUMMYFUNCTION("GOOGLETRANSLATE(A68,""zh-tw"",""KO"")"),"백스탭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"&amp;"6 → 940
레벨 7 → 1228
레벨 8 → 1557
레벨=9 → 1926
레벨=10 → 2333
레벨=11 → 2778")</f>
        <v>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6 → 940
레벨 7 → 1228
레벨 8 → 1557
레벨=9 → 1926
레벨=10 → 2333
레벨=11 → 2778</v>
      </c>
      <c r="G68" s="153" t="s">
        <v>13056</v>
      </c>
      <c r="H68" s="582" t="s">
        <v>13057</v>
      </c>
      <c r="I68" s="100" t="str">
        <f>IFERROR(__xludf.DUMMYFUNCTION("GOOGLETRANSLATE(A68,""zh-tw"",""de"")"),"Levelvoraussetzungen (Anzahl der Versuche) für jede Phase des Hinterhalts:
Level 2 -&gt; 5
Level 3 -&gt; 27
Level 4 -&gt; 60
Level 5 -&gt; 120
Level 6 -&gt; 256
Level 7 -&gt; 530
Level 8 -&gt; 960
Level 9 -&gt; 1587
Level 10 -&gt; 2452
Level 11 -&gt; 3600
Schadensmultiplika"&amp;"tor (%) für jede Phase des Hinterhalts:
Level 1 → 200
Level 2 → 241
Level 3 → 342
Level 4 → 495
Level 5 → 696
Level 6 → 940
Level 7 → 1228
Level 8 → 1557
Level=9 → 1926
Level=10 → 2333
Level=11 → 2778")</f>
        <v>Levelvoraussetzungen (Anzahl der Versuche) für jede Phase des Hinterhalts:
Level 2 -&gt; 5
Level 3 -&gt; 27
Level 4 -&gt; 60
Level 5 -&gt; 120
Level 6 -&gt; 256
Level 7 -&gt; 530
Level 8 -&gt; 960
Level 9 -&gt; 1587
Level 10 -&gt; 2452
Level 11 -&gt; 3600
Schadensmultiplikator (%) für jede Phase des Hinterhalts:
Level 1 → 200
Level 2 → 241
Level 3 → 342
Level 4 → 495
Level 5 → 696
Level 6 → 940
Level 7 → 1228
Level 8 → 1557
Level=9 → 1926
Level=10 → 2333
Level=11 → 2778</v>
      </c>
      <c r="J68" s="581" t="s">
        <v>13058</v>
      </c>
      <c r="K68" s="97" t="s">
        <v>13059</v>
      </c>
      <c r="L68" s="584" t="s">
        <v>13060</v>
      </c>
      <c r="M68" s="87"/>
      <c r="N68" s="87"/>
      <c r="O68" s="87"/>
      <c r="P68" s="87"/>
      <c r="Q68" s="87"/>
      <c r="R68" s="87"/>
      <c r="S68" s="87"/>
      <c r="T68" s="87"/>
      <c r="U68" s="87"/>
      <c r="V68" s="87"/>
      <c r="W68" s="87"/>
      <c r="X68" s="87"/>
      <c r="Y68" s="87"/>
    </row>
    <row r="69">
      <c r="A69" s="97" t="s">
        <v>13061</v>
      </c>
      <c r="B69" s="578" t="s">
        <v>13062</v>
      </c>
      <c r="C69" s="97" t="s">
        <v>13063</v>
      </c>
      <c r="D69" s="578" t="str">
        <f>IFERROR(__xludf.DUMMYFUNCTION("GOOGLETRANSLATE(A69,""zh-tw"",""zh"")"),"背后刺杀，也可以对场景物件(例如树木、罐子)生效，可以轻松的提升熟练度。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9" s="100" t="str">
        <f>IFERROR(__xludf.DUMMYFUNCTION("GOOGLETRANSLATE(A69,""zh-tw"",""es-MX"")"),"También se pueden realizar ataques por la espalda a objetos del entorno (como árboles y jarrones), lo que aumenta fácilmente la habilidad.
(Observa la ubicación de algunos objetos, como flores y setas).")</f>
        <v>También se pueden realizar ataques por la espalda a objetos del entorno (como árboles y jarrones), lo que aumenta fácilmente la habilidad.
(Observa la ubicación de algunos objetos, como flores y setas).</v>
      </c>
      <c r="F69" s="579" t="str">
        <f>IFERROR(__xludf.DUMMYFUNCTION("GOOGLETRANSLATE(A69,""zh-tw"",""KO"")"),"뒤에서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69" s="181" t="s">
        <v>13064</v>
      </c>
      <c r="H69" s="585" t="s">
        <v>13065</v>
      </c>
      <c r="I69" s="100" t="str">
        <f>IFERROR(__xludf.DUMMYFUNCTION("GOOGLETRANSLATE(A69,""zh-tw"",""de"")"),"Hinterhältige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J69" s="583" t="s">
        <v>13066</v>
      </c>
      <c r="K69" s="100" t="s">
        <v>13067</v>
      </c>
      <c r="L69" s="584" t="s">
        <v>13068</v>
      </c>
      <c r="M69" s="87"/>
      <c r="N69" s="87"/>
      <c r="O69" s="87"/>
      <c r="P69" s="87"/>
      <c r="Q69" s="87"/>
      <c r="R69" s="87"/>
      <c r="S69" s="87"/>
      <c r="T69" s="87"/>
      <c r="U69" s="87"/>
      <c r="V69" s="87"/>
      <c r="W69" s="87"/>
      <c r="X69" s="87"/>
      <c r="Y69" s="87"/>
    </row>
    <row r="70">
      <c r="A70" s="97" t="s">
        <v>13069</v>
      </c>
      <c r="B70" s="578" t="s">
        <v>13070</v>
      </c>
      <c r="C70" s="97" t="s">
        <v>13071</v>
      </c>
      <c r="D70" s="578" t="str">
        <f>IFERROR(__xludf.DUMMYFUNCTION("GOOGLETRANSLATE(A70,""zh-tw"",""zh"")"),"技能""气息消除""
在敌人背后潜行和在洗面所跳舞都可以累积熟练度，熟练度看不到，请直接查看技能等级")</f>
        <v>技能"气息消除"
在敌人背后潜行和在洗面所跳舞都可以累积熟练度，熟练度看不到，请直接查看技能等级</v>
      </c>
      <c r="E70" s="100" t="str">
        <f>IFERROR(__xludf.DUMMYFUNCTION("GOOGLETRANSLATE(A70,""zh-tw"",""es-MX"")"),"La habilidad ""Aura Eliminadora"" se puede dominar acercándose sigilosamente a los enemigos o bailando en el baño. El nivel de dominio no se muestra; por favor, compruebe el nivel de la habilidad directamente.")</f>
        <v>La habilidad "Aura Eliminadora" se puede dominar acercándose sigilosamente a los enemigos o bailando en el baño. El nivel de dominio no se muestra; por favor, compruebe el nivel de la habilidad directamente.</v>
      </c>
      <c r="F70" s="579" t="str">
        <f>IFERROR(__xludf.DUMMYFUNCTION("GOOGLETRANSLATE(A70,""zh-tw"",""KO"")"),"""오라 제거"" 스킬은 적 뒤로 몰래 접근하거나 화장실에서 춤을 추는 등의 방법으로 숙달할 수 있습니다. 숙달 레벨은 표시되지 않으므로 스킬 레벨을 직접 확인하세요.")</f>
        <v>"오라 제거" 스킬은 적 뒤로 몰래 접근하거나 화장실에서 춤을 추는 등의 방법으로 숙달할 수 있습니다. 숙달 레벨은 표시되지 않으므로 스킬 레벨을 직접 확인하세요.</v>
      </c>
      <c r="G70" s="181" t="s">
        <v>13072</v>
      </c>
      <c r="H70" s="585" t="s">
        <v>13073</v>
      </c>
      <c r="I70" s="97" t="s">
        <v>13074</v>
      </c>
      <c r="J70" s="583" t="s">
        <v>13075</v>
      </c>
      <c r="K70" s="100" t="s">
        <v>13076</v>
      </c>
      <c r="L70" s="584" t="s">
        <v>13077</v>
      </c>
      <c r="M70" s="87"/>
      <c r="N70" s="87"/>
      <c r="O70" s="87"/>
      <c r="P70" s="87"/>
      <c r="Q70" s="87"/>
      <c r="R70" s="87"/>
      <c r="S70" s="87"/>
      <c r="T70" s="87"/>
      <c r="U70" s="87"/>
      <c r="V70" s="87"/>
      <c r="W70" s="87"/>
      <c r="X70" s="87"/>
      <c r="Y70" s="87"/>
    </row>
    <row r="71">
      <c r="A71" s="97" t="s">
        <v>13078</v>
      </c>
      <c r="B71" s="578" t="s">
        <v>13079</v>
      </c>
      <c r="C71" s="97" t="s">
        <v>13080</v>
      </c>
      <c r="D71" s="578" t="str">
        <f>IFERROR(__xludf.DUMMYFUNCTION("GOOGLETRANSLATE(A71,""zh-tw"",""zh"")"),"精英野怪：当一种怪物被击杀的数量达到某个程度后，就可能诞生被强化的野怪，拥有更强大的属性。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1" s="100" t="str">
        <f>IFERROR(__xludf.DUMMYFUNCTION("GOOGLETRANSLATE(A71,""zh-tw"",""es-MX"")"),"Monstruos de élite: Al derrotar a un cierto número de monstruos, pueden aparecer monstruos mejorados con atributos más poderosos.
Actualmente, esta función se encuentra en su fase inicial; próximamente se realizarán mejoras en diversos efectos y en los o"&amp;"bjetos que se obtienen.")</f>
        <v>Monstruos de élite: Al derrotar a un cierto número de monstruos, pueden aparecer monstruos mejorados con atributos más poderosos.
Actualmente, esta función se encuentra en su fase inicial; próximamente se realizarán mejoras en diversos efectos y en los objetos que se obtienen.</v>
      </c>
      <c r="F71" s="579" t="str">
        <f>IFERROR(__xludf.DUMMYFUNCTION("GOOGLETRANSLATE(A71,""zh-tw"",""KO"")"),"정예 몬스터: 일정 수의 몬스터를 처치하면 더욱 강력한 능력을 가진 강화 몬스터가 등장할 수 있습니다.
현재 이 기능은 초기 구현 단계이며, 향후 다양한 효과와 아이템 드롭이 개선될 예정입니다.")</f>
        <v>정예 몬스터: 일정 수의 몬스터를 처치하면 더욱 강력한 능력을 가진 강화 몬스터가 등장할 수 있습니다.
현재 이 기능은 초기 구현 단계이며, 향후 다양한 효과와 아이템 드롭이 개선될 예정입니다.</v>
      </c>
      <c r="G71" s="181" t="s">
        <v>13081</v>
      </c>
      <c r="H71" s="585" t="s">
        <v>13082</v>
      </c>
      <c r="I71" s="97" t="s">
        <v>13083</v>
      </c>
      <c r="J71" s="583" t="s">
        <v>13084</v>
      </c>
      <c r="K71" s="100" t="s">
        <v>13085</v>
      </c>
      <c r="L71" s="584" t="s">
        <v>13086</v>
      </c>
      <c r="M71" s="87"/>
      <c r="N71" s="87"/>
      <c r="O71" s="87"/>
      <c r="P71" s="87"/>
      <c r="Q71" s="87"/>
      <c r="R71" s="87"/>
      <c r="S71" s="87"/>
      <c r="T71" s="87"/>
      <c r="U71" s="87"/>
      <c r="V71" s="87"/>
      <c r="W71" s="87"/>
      <c r="X71" s="87"/>
      <c r="Y71" s="87"/>
    </row>
    <row r="72">
      <c r="A72" s="97" t="s">
        <v>13087</v>
      </c>
      <c r="B72" s="578" t="s">
        <v>13088</v>
      </c>
      <c r="C72" s="97" t="s">
        <v>13089</v>
      </c>
      <c r="D72" s="578" t="str">
        <f>IFERROR(__xludf.DUMMYFUNCTION("GOOGLETRANSLATE(A72,""zh-tw"",""zh"")"),"同上，饮料贩卖机也有可能出现菁英饮料贩卖机")</f>
        <v>同上，饮料贩卖机也有可能出现菁英饮料贩卖机</v>
      </c>
      <c r="E72" s="100" t="str">
        <f>IFERROR(__xludf.DUMMYFUNCTION("GOOGLETRANSLATE(A72,""zh-tw"",""es-MX"")"),"Del mismo modo, también podrían aparecer máquinas expendedoras de bebidas de alta gama.")</f>
        <v>Del mismo modo, también podrían aparecer máquinas expendedoras de bebidas de alta gama.</v>
      </c>
      <c r="F72" s="579" t="str">
        <f>IFERROR(__xludf.DUMMYFUNCTION("GOOGLETRANSLATE(A72,""zh-tw"",""KO"")"),"마찬가지로 고급 음료 자판기도 등장할 수 있습니다.")</f>
        <v>마찬가지로 고급 음료 자판기도 등장할 수 있습니다.</v>
      </c>
      <c r="G72" s="181" t="s">
        <v>13090</v>
      </c>
      <c r="H72" s="585" t="s">
        <v>13091</v>
      </c>
      <c r="I72" s="97" t="s">
        <v>13092</v>
      </c>
      <c r="J72" s="583" t="s">
        <v>13093</v>
      </c>
      <c r="K72" s="100" t="s">
        <v>13094</v>
      </c>
      <c r="L72" s="584" t="s">
        <v>13095</v>
      </c>
      <c r="M72" s="87"/>
      <c r="N72" s="87"/>
      <c r="O72" s="87"/>
      <c r="P72" s="87"/>
      <c r="Q72" s="87"/>
      <c r="R72" s="87"/>
      <c r="S72" s="87"/>
      <c r="T72" s="87"/>
      <c r="U72" s="87"/>
      <c r="V72" s="87"/>
      <c r="W72" s="87"/>
      <c r="X72" s="87"/>
      <c r="Y72" s="87"/>
    </row>
    <row r="73">
      <c r="A73" s="97" t="s">
        <v>13096</v>
      </c>
      <c r="B73" s="578" t="s">
        <v>13097</v>
      </c>
      <c r="C73" s="97" t="s">
        <v>13098</v>
      </c>
      <c r="D73" s="578" t="str">
        <f>IFERROR(__xludf.DUMMYFUNCTION("GOOGLETRANSLATE(A73,""zh-tw"",""zh"")"),"史莱姆猫咪其实不是喜欢哥哥，而是喜欢他身上沾到的妹妹香味。")</f>
        <v>史莱姆猫咪其实不是喜欢哥哥，而是喜欢他身上沾到的妹妹香味。</v>
      </c>
      <c r="E73" s="100" t="str">
        <f>IFERROR(__xludf.DUMMYFUNCTION("GOOGLETRANSLATE(A73,""zh-tw"",""es-MX"")"),"Al gato viscoso en realidad no le cae bien su hermano; simplemente le gusta el aroma de su hermana que se le adhiere.")</f>
        <v>Al gato viscoso en realidad no le cae bien su hermano; simplemente le gusta el aroma de su hermana que se le adhiere.</v>
      </c>
      <c r="F73" s="579" t="str">
        <f>IFERROR(__xludf.DUMMYFUNCTION("GOOGLETRANSLATE(A73,""zh-tw"",""KO"")"),"점액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3" s="181" t="s">
        <v>13099</v>
      </c>
      <c r="H73" s="585" t="s">
        <v>13100</v>
      </c>
      <c r="I73" s="97" t="s">
        <v>13101</v>
      </c>
      <c r="J73" s="583" t="s">
        <v>13102</v>
      </c>
      <c r="K73" s="100" t="s">
        <v>13103</v>
      </c>
      <c r="L73" s="578" t="s">
        <v>13104</v>
      </c>
      <c r="M73" s="87"/>
      <c r="N73" s="87"/>
      <c r="O73" s="87"/>
      <c r="P73" s="87"/>
      <c r="Q73" s="87"/>
      <c r="R73" s="87"/>
      <c r="S73" s="87"/>
      <c r="T73" s="87"/>
      <c r="U73" s="87"/>
      <c r="V73" s="87"/>
      <c r="W73" s="87"/>
      <c r="X73" s="87"/>
      <c r="Y73" s="87"/>
    </row>
    <row r="74">
      <c r="A74" s="97" t="s">
        <v>13105</v>
      </c>
      <c r="B74" s="578" t="s">
        <v>13106</v>
      </c>
      <c r="C74" s="97" t="s">
        <v>13107</v>
      </c>
      <c r="D74" s="578" t="str">
        <f>IFERROR(__xludf.DUMMYFUNCTION("GOOGLETRANSLATE(A74,""zh-tw"",""zh"")"),"打开的""星之门""可以吸收物体和子弹，阻挡的伤害有上限(被浅羽攻击大约2秒就爆了)")</f>
        <v>打开的"星之门"可以吸收物体和子弹，阻挡的伤害有上限(被浅羽攻击大约2秒就爆了)</v>
      </c>
      <c r="E74" s="100" t="str">
        <f>IFERROR(__xludf.DUMMYFUNCTION("GOOGLETRANSLATE(A74,""zh-tw"",""es-MX"")"),"La ""Puerta Estelar"" abierta puede absorber objetos y balas, pero hay un límite en el daño que puede bloquear (explota después de unos 2 segundos si es atacada por Asaba).")</f>
        <v>La "Puerta Estelar" abierta puede absorber objetos y balas, pero hay un límite en el daño que puede bloquear (explota después de unos 2 segundos si es atacada por Asaba).</v>
      </c>
      <c r="F74" s="579" t="str">
        <f>IFERROR(__xludf.DUMMYFUNCTION("GOOGLETRANSLATE(A74,""zh-tw"",""KO"")"),"열린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4" s="181" t="s">
        <v>13108</v>
      </c>
      <c r="H74" s="585" t="s">
        <v>13109</v>
      </c>
      <c r="I74" s="97" t="s">
        <v>13110</v>
      </c>
      <c r="J74" s="581" t="s">
        <v>13111</v>
      </c>
      <c r="K74" s="100" t="s">
        <v>13112</v>
      </c>
      <c r="L74" s="584" t="s">
        <v>13113</v>
      </c>
      <c r="M74" s="87"/>
      <c r="N74" s="87"/>
      <c r="O74" s="87"/>
      <c r="P74" s="87"/>
      <c r="Q74" s="87"/>
      <c r="R74" s="87"/>
      <c r="S74" s="87"/>
      <c r="T74" s="87"/>
      <c r="U74" s="87"/>
      <c r="V74" s="87"/>
      <c r="W74" s="87"/>
      <c r="X74" s="87"/>
      <c r="Y74" s="87"/>
    </row>
    <row r="75">
      <c r="A75" s="97" t="s">
        <v>13114</v>
      </c>
      <c r="B75" s="578" t="s">
        <v>13115</v>
      </c>
      <c r="C75" s="97" t="s">
        <v>13116</v>
      </c>
      <c r="D75" s="578" t="str">
        <f>IFERROR(__xludf.DUMMYFUNCTION("GOOGLETRANSLATE(A75,""zh-tw"",""zh"")"),"亲密接触(洗澡后、各服装、各心情、各甜品状态，皆有可能有不同演出)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5" s="100" t="str">
        <f>IFERROR(__xludf.DUMMYFUNCTION("GOOGLETRANSLATE(A75,""zh-tw"",""es-MX"")"),"Contacto íntimo (pueden darse diferentes actuaciones después del baño, con diferentes atuendos, en diferentes estados de ánimo y al manipular diferentes postres). Las partes del cuerpo incluyen: mechón de pelo (ahoge), cabeza, pecho, genitales, orejas, cl"&amp;"avícula, pezones y vientre. Elementos especiales para arrastrar: mechón de pelo, pecho y pezones.")</f>
        <v>Contacto íntimo (pueden darse diferentes actuaciones después del baño, con diferentes atuendos, en diferentes estados de ánimo y al manipular diferentes postres). Las partes del cuerpo incluyen: mechón de pelo (ahoge), cabeza, pecho, genitales, orejas, clavícula, pezones y vientre. Elementos especiales para arrastrar: mechón de pelo, pecho y pezones.</v>
      </c>
      <c r="F75" s="579" t="str">
        <f>IFERROR(__xludf.DUMMYFUNCTION("GOOGLETRANSLATE(A75,""zh-tw"",""KO"")"),"친밀한 접촉 (목욕 후, 다른 의상을 입고, 다른 기분으로, 그리고 다른 디저트를 다루는 동안 다른 공연이 펼쳐질 수 있습니다.) 신체 부위: 아호게(앞머리 삐죽 솟은 부분), 머리, 가슴, 생식기, 귀, 쇄골, 젖꼭지, 배. 끌어당기는 데 사용되는 특별 부위: 아호게, 가슴, 젖꼭지.")</f>
        <v>친밀한 접촉 (목욕 후, 다른 의상을 입고, 다른 기분으로, 그리고 다른 디저트를 다루는 동안 다른 공연이 펼쳐질 수 있습니다.) 신체 부위: 아호게(앞머리 삐죽 솟은 부분), 머리, 가슴, 생식기, 귀, 쇄골, 젖꼭지, 배. 끌어당기는 데 사용되는 특별 부위: 아호게, 가슴, 젖꼭지.</v>
      </c>
      <c r="G75" s="181" t="s">
        <v>13117</v>
      </c>
      <c r="H75" s="585" t="s">
        <v>13118</v>
      </c>
      <c r="I75" s="97" t="s">
        <v>13119</v>
      </c>
      <c r="J75" s="583" t="s">
        <v>13120</v>
      </c>
      <c r="K75" s="100" t="s">
        <v>13121</v>
      </c>
      <c r="L75" s="584" t="s">
        <v>13122</v>
      </c>
      <c r="M75" s="87"/>
      <c r="N75" s="87"/>
      <c r="O75" s="87"/>
      <c r="P75" s="87"/>
      <c r="Q75" s="87"/>
      <c r="R75" s="87"/>
      <c r="S75" s="87"/>
      <c r="T75" s="87"/>
      <c r="U75" s="87"/>
      <c r="V75" s="87"/>
      <c r="W75" s="87"/>
      <c r="X75" s="87"/>
      <c r="Y75" s="87"/>
    </row>
    <row r="76">
      <c r="A76" s="97" t="s">
        <v>13123</v>
      </c>
      <c r="B76" s="578" t="s">
        <v>13124</v>
      </c>
      <c r="C76" s="97" t="s">
        <v>13125</v>
      </c>
      <c r="D76" s="578" t="str">
        <f>IFERROR(__xludf.DUMMYFUNCTION("GOOGLETRANSLATE(A76,""zh-tw"",""zh"")"),"空手且背刺的情况下，可以使用隐藏的千年杀技能，可以击飞目标敌人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6" s="100" t="str">
        <f>IFERROR(__xludf.DUMMYFUNCTION("GOOGLETRANSLATE(A76,""zh-tw"",""es-MX"")"),"Al atacar por la espalda sin armas, se puede usar la habilidad oculta ""Mil Años de Muerte"", que lanza al enemigo por los aires.
※El daño se ve afectado por la habilidad de ataque por la espalda, pero no por las habilidades de entrenamiento con espadas."&amp;"
※No se puede usar contra monstruos inmunes al retroceso; solo contra unidades enemigas.
※En futuras actualizaciones, se podrían incluir variaciones con diferentes acciones eróticas contra distintos enemigos.")</f>
        <v>Al atacar por la espalda sin armas, se puede usar la habilidad oculta "Mil Años de Muerte", que lanza al enemigo por los aires.
※El daño se ve afectado por la habilidad de ataque por la espalda, pero no por las habilidades de entrenamiento con espadas.
※No se puede usar contra monstruos inmunes al retroceso; solo contra unidades enemigas.
※En futuras actualizaciones, se podrían incluir variaciones con diferentes acciones eróticas contra distintos enemigos.</v>
      </c>
      <c r="F76" s="579" t="str">
        <f>IFERROR(__xludf.DUMMYFUNCTION("GOOGLETRANSLATE(A76,""zh-tw"",""KO"")"),"무장하지 않은 상태에서 뒤에서 공격할 때, 숨겨진 스킬 ""천년의 죽음""을 사용하여 대상 적을 공중으로 날려버릴 수 있습니다.
※피해량은 뒤에서 공격하는 스킬의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 적을 공중으로 날려버릴 수 있습니다.
※피해량은 뒤에서 공격하는 스킬의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6" s="181" t="s">
        <v>13126</v>
      </c>
      <c r="H76" s="585" t="s">
        <v>13127</v>
      </c>
      <c r="I76" s="100" t="str">
        <f>IFERROR(__xludf.DUMMYFUNCTION("GOOGLETRANSLATE(A76,""zh-tw"",""de"")"),"Im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J76" s="583" t="s">
        <v>13128</v>
      </c>
      <c r="K76" s="100" t="s">
        <v>13129</v>
      </c>
      <c r="L76" s="584" t="s">
        <v>13130</v>
      </c>
      <c r="M76" s="87"/>
      <c r="N76" s="87"/>
      <c r="O76" s="87"/>
      <c r="P76" s="87"/>
      <c r="Q76" s="87"/>
      <c r="R76" s="87"/>
      <c r="S76" s="87"/>
      <c r="T76" s="87"/>
      <c r="U76" s="87"/>
      <c r="V76" s="87"/>
      <c r="W76" s="87"/>
      <c r="X76" s="87"/>
      <c r="Y76" s="87"/>
    </row>
    <row r="77">
      <c r="A77" s="100" t="s">
        <v>13131</v>
      </c>
      <c r="B77" s="578" t="s">
        <v>13132</v>
      </c>
      <c r="C77" s="100" t="s">
        <v>13133</v>
      </c>
      <c r="D77" s="578" t="str">
        <f>IFERROR(__xludf.DUMMYFUNCTION("GOOGLETRANSLATE(A77,""zh-tw"",""zh"")"),"牛奶是最好的解辣饮品，能大幅缩短解除辣哭了的持续时间")</f>
        <v>牛奶是最好的解辣饮品，能大幅缩短解除辣哭了的持续时间</v>
      </c>
      <c r="E77" s="97" t="s">
        <v>13134</v>
      </c>
      <c r="F77" s="579" t="str">
        <f>IFERROR(__xludf.DUMMYFUNCTION("GOOGLETRANSLATE(A77,""zh-tw"",""KO"")"),"우유는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7" s="181" t="s">
        <v>13135</v>
      </c>
      <c r="H77" s="585" t="s">
        <v>13136</v>
      </c>
      <c r="I77" s="100" t="s">
        <v>13137</v>
      </c>
      <c r="J77" s="583" t="s">
        <v>13138</v>
      </c>
      <c r="K77" s="100" t="s">
        <v>13139</v>
      </c>
      <c r="L77" s="584" t="s">
        <v>13140</v>
      </c>
      <c r="M77" s="87"/>
      <c r="N77" s="87"/>
      <c r="O77" s="87"/>
      <c r="P77" s="87"/>
      <c r="Q77" s="87"/>
      <c r="R77" s="87"/>
      <c r="S77" s="87"/>
      <c r="T77" s="87"/>
      <c r="U77" s="87"/>
      <c r="V77" s="87"/>
      <c r="W77" s="87"/>
      <c r="X77" s="87"/>
      <c r="Y77" s="87"/>
    </row>
    <row r="78">
      <c r="A78" s="100" t="s">
        <v>13141</v>
      </c>
      <c r="B78" s="579" t="s">
        <v>13142</v>
      </c>
      <c r="C78" s="100" t="s">
        <v>13143</v>
      </c>
      <c r="D78" s="578" t="str">
        <f>IFERROR(__xludf.DUMMYFUNCTION("GOOGLETRANSLATE(A78,""zh-tw"",""zh"")"),"客厅的电视，目前无实际用途，未来预计会依照不同的天数，每天做出不同的画面(例如：新闻、动画、食谱、黑暗料理、彩蛋等)")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8" s="97" t="s">
        <v>13144</v>
      </c>
      <c r="F78" s="579" t="str">
        <f>IFERROR(__xludf.DUMMYFUNCTION("GOOGLETRANSLATE(A78,""zh-tw"",""KO"")"),"거실의 텔레비전은 현재 사용하지 않고 있지만, 날짜 수에 따라 매일 다른 콘텐츠(예: 뉴스, 애니메이션, 요리 레시피, 특이한 요리, 부활절 달걀 등)를 보여줄 계획입니다.")</f>
        <v>거실의 텔레비전은 현재 사용하지 않고 있지만, 날짜 수에 따라 매일 다른 콘텐츠(예: 뉴스, 애니메이션, 요리 레시피, 특이한 요리, 부활절 달걀 등)를 보여줄 계획입니다.</v>
      </c>
      <c r="G78" s="181" t="s">
        <v>13145</v>
      </c>
      <c r="H78" s="585" t="s">
        <v>13146</v>
      </c>
      <c r="I78" s="100" t="s">
        <v>13147</v>
      </c>
      <c r="J78" s="583" t="s">
        <v>13148</v>
      </c>
      <c r="K78" s="100" t="s">
        <v>13149</v>
      </c>
      <c r="L78" s="584" t="s">
        <v>13150</v>
      </c>
      <c r="M78" s="87"/>
      <c r="N78" s="87"/>
      <c r="O78" s="87"/>
      <c r="P78" s="87"/>
      <c r="Q78" s="87"/>
      <c r="R78" s="87"/>
      <c r="S78" s="87"/>
      <c r="T78" s="87"/>
      <c r="U78" s="87"/>
      <c r="V78" s="87"/>
      <c r="W78" s="87"/>
      <c r="X78" s="87"/>
      <c r="Y78" s="87"/>
    </row>
    <row r="79">
      <c r="A79" s="100" t="s">
        <v>13151</v>
      </c>
      <c r="B79" s="579" t="s">
        <v>13152</v>
      </c>
      <c r="C79" s="100" t="s">
        <v>13153</v>
      </c>
      <c r="D79" s="578" t="str">
        <f>IFERROR(__xludf.DUMMYFUNCTION("GOOGLETRANSLATE(A79,""zh-tw"",""zh"")"),"ASABA通常会出现在路边的草莓丛中")</f>
        <v>ASABA通常会出现在路边的草莓丛中</v>
      </c>
      <c r="E79" s="97" t="s">
        <v>13154</v>
      </c>
      <c r="F79" s="579" t="str">
        <f>IFERROR(__xludf.DUMMYFUNCTION("GOOGLETRANSLATE(A79,""zh-tw"",""KO"")"),"아사바는 보통 길가 딸기 덤불에서 발견됩니다.")</f>
        <v>아사바는 보통 길가 딸기 덤불에서 발견됩니다.</v>
      </c>
      <c r="G79" s="181" t="s">
        <v>13155</v>
      </c>
      <c r="H79" s="585" t="s">
        <v>13156</v>
      </c>
      <c r="I79" s="100" t="s">
        <v>13157</v>
      </c>
      <c r="J79" s="583" t="s">
        <v>13158</v>
      </c>
      <c r="K79" s="100" t="s">
        <v>13159</v>
      </c>
      <c r="L79" s="584" t="s">
        <v>13160</v>
      </c>
      <c r="M79" s="87"/>
      <c r="N79" s="87"/>
      <c r="O79" s="87"/>
      <c r="P79" s="87"/>
      <c r="Q79" s="87"/>
      <c r="R79" s="87"/>
      <c r="S79" s="87"/>
      <c r="T79" s="87"/>
      <c r="U79" s="87"/>
      <c r="V79" s="87"/>
      <c r="W79" s="87"/>
      <c r="X79" s="87"/>
      <c r="Y79" s="87"/>
    </row>
    <row r="80">
      <c r="A80" s="100" t="s">
        <v>13161</v>
      </c>
      <c r="B80" s="579" t="s">
        <v>13162</v>
      </c>
      <c r="C80" s="100" t="s">
        <v>13163</v>
      </c>
      <c r="D80" s="578" t="str">
        <f>IFERROR(__xludf.DUMMYFUNCTION("GOOGLETRANSLATE(A80,""zh-tw"",""zh"")"),"""草莓""食材，目前无实际用途，等待未来更新")</f>
        <v>"草莓"食材，目前无实际用途，等待未来更新</v>
      </c>
      <c r="E80" s="97" t="s">
        <v>13164</v>
      </c>
      <c r="F80" s="579" t="str">
        <f>IFERROR(__xludf.DUMMYFUNCTION("GOOGLETRANSLATE(A80,""zh-tw"",""KO"")"),"""딸기""라는 재료는 현재 실용적인 용도가 없으며, 자세한 내용은 추후 업데이트될 예정입니다.")</f>
        <v>"딸기"라는 재료는 현재 실용적인 용도가 없으며, 자세한 내용은 추후 업데이트될 예정입니다.</v>
      </c>
      <c r="G80" s="181" t="s">
        <v>13165</v>
      </c>
      <c r="H80" s="585" t="s">
        <v>13166</v>
      </c>
      <c r="I80" s="100" t="s">
        <v>13167</v>
      </c>
      <c r="J80" s="583" t="s">
        <v>13168</v>
      </c>
      <c r="K80" s="100" t="s">
        <v>13169</v>
      </c>
      <c r="L80" s="584" t="s">
        <v>13170</v>
      </c>
      <c r="M80" s="87"/>
      <c r="N80" s="87"/>
      <c r="O80" s="87"/>
      <c r="P80" s="87"/>
      <c r="Q80" s="87"/>
      <c r="R80" s="87"/>
      <c r="S80" s="87"/>
      <c r="T80" s="87"/>
      <c r="U80" s="87"/>
      <c r="V80" s="87"/>
      <c r="W80" s="87"/>
      <c r="X80" s="87"/>
      <c r="Y80" s="87"/>
    </row>
    <row r="81">
      <c r="A81" s="97" t="s">
        <v>13171</v>
      </c>
      <c r="B81" s="578" t="s">
        <v>13172</v>
      </c>
      <c r="C81" s="97" t="s">
        <v>13173</v>
      </c>
      <c r="D81" s="578" t="str">
        <f>IFERROR(__xludf.DUMMYFUNCTION("GOOGLETRANSLATE(A81,""zh-tw"",""zh"")"),"关于稻草人，目前版本开发出来的击杀方式有：死神塔罗牌与复活术、破颜拳套+猫爪手套、毒刀不断的累积伤害")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1" s="97" t="s">
        <v>13174</v>
      </c>
      <c r="F81" s="579" t="str">
        <f>IFERROR(__xludf.DUMMYFUNCTION("GOOGLETRANSLATE(A81,""zh-tw"",""KO"")"),"허수아비를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1" s="181" t="s">
        <v>13175</v>
      </c>
      <c r="H81" s="585" t="s">
        <v>13176</v>
      </c>
      <c r="I81" s="100" t="s">
        <v>13177</v>
      </c>
      <c r="J81" s="581" t="s">
        <v>13178</v>
      </c>
      <c r="K81" s="100" t="s">
        <v>13179</v>
      </c>
      <c r="L81" s="584" t="s">
        <v>13180</v>
      </c>
      <c r="M81" s="87"/>
      <c r="N81" s="87"/>
      <c r="O81" s="87"/>
      <c r="P81" s="87"/>
      <c r="Q81" s="87"/>
      <c r="R81" s="87"/>
      <c r="S81" s="87"/>
      <c r="T81" s="87"/>
      <c r="U81" s="87"/>
      <c r="V81" s="87"/>
      <c r="W81" s="87"/>
      <c r="X81" s="87"/>
      <c r="Y81" s="87"/>
    </row>
    <row r="82">
      <c r="A82" s="97" t="s">
        <v>13181</v>
      </c>
      <c r="B82" s="578" t="s">
        <v>13182</v>
      </c>
      <c r="C82" s="97" t="s">
        <v>13183</v>
      </c>
      <c r="D82" s="578" t="str">
        <f>IFERROR(__xludf.DUMMYFUNCTION("GOOGLETRANSLATE(A82,""zh-tw"",""zh"")"),"在""冒险者小道:纪念碑""地图中，石碑可以查看到战败的次数了")</f>
        <v>在"冒险者小道:纪念碑"地图中，石碑可以查看到战败的次数了</v>
      </c>
      <c r="E82" s="100" t="str">
        <f>IFERROR(__xludf.DUMMYFUNCTION("GOOGLETRANSLATE(A82,""zh-tw"",""es-MX"")"),"En el mapa ""Sendero del Aventurero: Monumento"", el monumento de piedra muestra el número de veces que has sido derrotado.")</f>
        <v>En el mapa "Sendero del Aventurero: Monumento", el monumento de piedra muestra el número de veces que has sido derrotado.</v>
      </c>
      <c r="F82" s="579" t="str">
        <f>IFERROR(__xludf.DUMMYFUNCTION("GOOGLETRANSLATE(A82,""zh-tw"",""KO"")"),"""모험가의 길: 기념비"" 지도에서 돌 기념비는 당신이 패배한 횟수를 표시합니다.")</f>
        <v>"모험가의 길: 기념비" 지도에서 돌 기념비는 당신이 패배한 횟수를 표시합니다.</v>
      </c>
      <c r="G82" s="181" t="s">
        <v>13184</v>
      </c>
      <c r="H82" s="585" t="s">
        <v>13185</v>
      </c>
      <c r="I82" s="587" t="s">
        <v>13186</v>
      </c>
      <c r="J82" s="583" t="s">
        <v>13187</v>
      </c>
      <c r="K82" s="100" t="s">
        <v>13188</v>
      </c>
      <c r="L82" s="584" t="s">
        <v>13189</v>
      </c>
      <c r="M82" s="87"/>
      <c r="N82" s="87"/>
      <c r="O82" s="87"/>
      <c r="P82" s="87"/>
      <c r="Q82" s="87"/>
      <c r="R82" s="87"/>
      <c r="S82" s="87"/>
      <c r="T82" s="87"/>
      <c r="U82" s="87"/>
      <c r="V82" s="87"/>
      <c r="W82" s="87"/>
      <c r="X82" s="87"/>
      <c r="Y82" s="87"/>
    </row>
    <row r="83">
      <c r="A83" s="97" t="s">
        <v>13190</v>
      </c>
      <c r="B83" s="578" t="s">
        <v>13191</v>
      </c>
      <c r="C83" s="97" t="s">
        <v>13192</v>
      </c>
      <c r="D83" s="578" t="str">
        <f>IFERROR(__xludf.DUMMYFUNCTION("GOOGLETRANSLATE(A83,""zh-tw"",""zh"")"),"取名补充：
取妹妹相关的名子时，游戏标题和游戏LOGO中的""彼女""将会变更为""妹""")</f>
        <v>取名补充：
取妹妹相关的名子时，游戏标题和游戏LOGO中的"彼女"将会变更为"妹"</v>
      </c>
      <c r="E83" s="100" t="str">
        <f>IFERROR(__xludf.DUMMYFUNCTION("GOOGLETRANSLATE(A83,""zh-tw"",""es-MX"")"),"Información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3" s="579" t="str">
        <f>IFERROR(__xludf.DUMMYFUNCTION("GOOGLETRANSLATE(A83,""zh-tw"",""KO"")"),"이름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3" s="181" t="s">
        <v>13193</v>
      </c>
      <c r="H83" s="585" t="s">
        <v>13194</v>
      </c>
      <c r="I83" s="97" t="s">
        <v>13195</v>
      </c>
      <c r="J83" s="581" t="s">
        <v>13196</v>
      </c>
      <c r="K83" s="100" t="s">
        <v>13197</v>
      </c>
      <c r="L83" s="584" t="s">
        <v>13198</v>
      </c>
      <c r="M83" s="87"/>
      <c r="N83" s="87"/>
      <c r="O83" s="87"/>
      <c r="P83" s="87"/>
      <c r="Q83" s="87"/>
      <c r="R83" s="87"/>
      <c r="S83" s="87"/>
      <c r="T83" s="87"/>
      <c r="U83" s="87"/>
      <c r="V83" s="87"/>
      <c r="W83" s="87"/>
      <c r="X83" s="87"/>
      <c r="Y83" s="87"/>
    </row>
    <row r="84">
      <c r="A84" s="100" t="s">
        <v>13199</v>
      </c>
      <c r="B84" s="578" t="s">
        <v>13200</v>
      </c>
      <c r="C84" s="100" t="s">
        <v>13201</v>
      </c>
      <c r="D84" s="578" t="str">
        <f>IFERROR(__xludf.DUMMYFUNCTION("GOOGLETRANSLATE(A84,""zh-tw"",""zh"")"),"安卓版在RPG模式下，透过点击头像框，可以显示FPS；PC版本是F2按键。")</f>
        <v>安卓版在RPG模式下，透过点击头像框，可以显示FPS；PC版本是F2按键。</v>
      </c>
      <c r="E84" s="100" t="str">
        <f>IFERROR(__xludf.DUMMYFUNCTION("GOOGLETRANSLATE(A84,""zh-tw"",""es-MX"")"),"En la versión de Android, los FPS se muestran haciendo clic en el marco del avatar en el modo RPG; en la versión para PC, se muestran pulsando la tecla F2.")</f>
        <v>En la versión de Android, los FPS se muestran haciendo clic en el marco del avatar en el modo RPG; en la versión para PC, se muestran pulsando la tecla F2.</v>
      </c>
      <c r="F84" s="579" t="str">
        <f>IFERROR(__xludf.DUMMYFUNCTION("GOOGLETRANSLATE(A84,""zh-tw"",""KO"")"),"안드로이드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4" s="181" t="s">
        <v>13202</v>
      </c>
      <c r="H84" s="585" t="s">
        <v>13203</v>
      </c>
      <c r="I84" s="100" t="s">
        <v>13204</v>
      </c>
      <c r="J84" s="583" t="s">
        <v>13205</v>
      </c>
      <c r="K84" s="100" t="s">
        <v>13206</v>
      </c>
      <c r="L84" s="584" t="s">
        <v>13207</v>
      </c>
      <c r="M84" s="87"/>
      <c r="N84" s="87"/>
      <c r="O84" s="87"/>
      <c r="P84" s="87"/>
      <c r="Q84" s="87"/>
      <c r="R84" s="87"/>
      <c r="S84" s="87"/>
      <c r="T84" s="87"/>
      <c r="U84" s="87"/>
      <c r="V84" s="87"/>
      <c r="W84" s="87"/>
      <c r="X84" s="87"/>
      <c r="Y84" s="87"/>
    </row>
    <row r="85" ht="53.25" customHeight="1">
      <c r="A85" s="100" t="s">
        <v>13208</v>
      </c>
      <c r="B85" s="578" t="s">
        <v>13209</v>
      </c>
      <c r="C85" s="100" t="s">
        <v>13210</v>
      </c>
      <c r="D85" s="578" t="str">
        <f>IFERROR(__xludf.DUMMYFUNCTION("GOOGLETRANSLATE(A85,""zh-tw"",""zh"")"),"安卓版在RPG模式下，透过长按头像框，可以显示作弊码的输入框")</f>
        <v>安卓版在RPG模式下，透过长按头像框，可以显示作弊码的输入框</v>
      </c>
      <c r="E85" s="100" t="str">
        <f>IFERROR(__xludf.DUMMYFUNCTION("GOOGLETRANSLATE(A85,""zh-tw"",""es-MX"")"),"En la versión de Android, en el modo RPG, al mantener pulsado el marco del avatar aparecerá un cuadro para introducir el código de trucos.")</f>
        <v>En la versión de Android, en el modo RPG, al mantener pulsado el marco del avatar aparecerá un cuadro para introducir el código de trucos.</v>
      </c>
      <c r="F85" s="579" t="str">
        <f>IFERROR(__xludf.DUMMYFUNCTION("GOOGLETRANSLATE(A85,""zh-tw"",""KO"")"),"안드로이드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5" s="181" t="s">
        <v>13211</v>
      </c>
      <c r="H85" s="585" t="s">
        <v>13212</v>
      </c>
      <c r="I85" s="100" t="s">
        <v>13213</v>
      </c>
      <c r="J85" s="583" t="s">
        <v>13214</v>
      </c>
      <c r="K85" s="100" t="s">
        <v>13215</v>
      </c>
      <c r="L85" s="584" t="s">
        <v>13216</v>
      </c>
      <c r="M85" s="87"/>
      <c r="N85" s="87"/>
      <c r="O85" s="87"/>
      <c r="P85" s="87"/>
      <c r="Q85" s="87"/>
      <c r="R85" s="87"/>
      <c r="S85" s="87"/>
      <c r="T85" s="87"/>
      <c r="U85" s="87"/>
      <c r="V85" s="87"/>
      <c r="W85" s="87"/>
      <c r="X85" s="87"/>
      <c r="Y85" s="87"/>
    </row>
    <row r="86">
      <c r="A86" s="100" t="s">
        <v>13217</v>
      </c>
      <c r="B86" s="579" t="s">
        <v>13218</v>
      </c>
      <c r="C86" s="100" t="s">
        <v>13219</v>
      </c>
      <c r="D86" s="578"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97" t="s">
        <v>13220</v>
      </c>
      <c r="F86" s="579" t="str">
        <f>IFERROR(__xludf.DUMMYFUNCTION("GOOGLETRANSLATE(A86,""zh-tw"",""KO"")"),"뇌물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f>
        <v>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v>
      </c>
      <c r="G86" s="181" t="s">
        <v>13221</v>
      </c>
      <c r="H86" s="585" t="s">
        <v>13222</v>
      </c>
      <c r="I86" s="100" t="s">
        <v>13223</v>
      </c>
      <c r="J86" s="581" t="s">
        <v>13224</v>
      </c>
      <c r="K86" s="100" t="s">
        <v>13225</v>
      </c>
      <c r="L86" s="578" t="s">
        <v>13226</v>
      </c>
      <c r="M86" s="87"/>
      <c r="N86" s="87"/>
      <c r="O86" s="87"/>
      <c r="P86" s="87"/>
      <c r="Q86" s="87"/>
      <c r="R86" s="87"/>
      <c r="S86" s="87"/>
      <c r="T86" s="87"/>
      <c r="U86" s="87"/>
      <c r="V86" s="87"/>
      <c r="W86" s="87"/>
      <c r="X86" s="87"/>
      <c r="Y86" s="87"/>
    </row>
    <row r="87">
      <c r="A87" s="100" t="s">
        <v>13227</v>
      </c>
      <c r="B87" s="579" t="s">
        <v>13228</v>
      </c>
      <c r="C87" s="100" t="s">
        <v>13229</v>
      </c>
      <c r="D87" s="578"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100" t="str">
        <f>IFERROR(__xludf.DUMMYFUNCTION("GOOGLETRANSLATE(A87,""zh-tw"",""es-MX"")"),"Cuenta la leyenda que un fragmento de una piedra celestial yace oculto bajo cierta región, provocando que la zanahoria crezca hasta alcanzar un tamaño descomunal; y allí vive un jefe que quiere proteger a la zanahoria.")</f>
        <v>Cuenta la leyenda que un fragmento de una piedra celestial yace oculto bajo cierta región, provocando que la zanahoria crezca hasta alcanzar un tamaño descomunal; y allí vive un jefe que quiere proteger a la zanahoria.</v>
      </c>
      <c r="F87" s="579"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181" t="s">
        <v>13230</v>
      </c>
      <c r="H87" s="585" t="s">
        <v>13231</v>
      </c>
      <c r="I87" s="100" t="s">
        <v>13232</v>
      </c>
      <c r="J87" s="583" t="s">
        <v>13233</v>
      </c>
      <c r="K87" s="100" t="s">
        <v>13234</v>
      </c>
      <c r="L87" s="584" t="s">
        <v>13235</v>
      </c>
      <c r="M87" s="87"/>
      <c r="N87" s="87"/>
      <c r="O87" s="87"/>
      <c r="P87" s="87"/>
      <c r="Q87" s="87"/>
      <c r="R87" s="87"/>
      <c r="S87" s="87"/>
      <c r="T87" s="87"/>
      <c r="U87" s="87"/>
      <c r="V87" s="87"/>
      <c r="W87" s="87"/>
      <c r="X87" s="87"/>
      <c r="Y87" s="87"/>
    </row>
    <row r="88">
      <c r="A88" s="100" t="s">
        <v>13236</v>
      </c>
      <c r="B88" s="579" t="s">
        <v>13237</v>
      </c>
      <c r="C88" s="100" t="s">
        <v>13238</v>
      </c>
      <c r="D88" s="578" t="str">
        <f>IFERROR(__xludf.DUMMYFUNCTION("GOOGLETRANSLATE(A88,""zh-tw"",""zh"")"),"卢恩符文Kenaz，只要是能攻击的对象，都可以发生效果(地图物件、怪物、BOSS、兔子洞...等)")</f>
        <v>卢恩符文Kenaz，只要是能攻击的对象，都可以发生效果(地图物件、怪物、BOSS、兔子洞...等)</v>
      </c>
      <c r="E88" s="100"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579"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181" t="s">
        <v>13239</v>
      </c>
      <c r="H88" s="585" t="s">
        <v>13240</v>
      </c>
      <c r="I88" s="100" t="s">
        <v>13241</v>
      </c>
      <c r="J88" s="583" t="s">
        <v>13242</v>
      </c>
      <c r="K88" s="100" t="s">
        <v>13243</v>
      </c>
      <c r="L88" s="584" t="s">
        <v>13244</v>
      </c>
      <c r="M88" s="87"/>
      <c r="N88" s="87"/>
      <c r="O88" s="87"/>
      <c r="P88" s="87"/>
      <c r="Q88" s="87"/>
      <c r="R88" s="87"/>
      <c r="S88" s="87"/>
      <c r="T88" s="87"/>
      <c r="U88" s="87"/>
      <c r="V88" s="87"/>
      <c r="W88" s="87"/>
      <c r="X88" s="87"/>
      <c r="Y88" s="87"/>
    </row>
    <row r="89">
      <c r="A89" s="97" t="s">
        <v>13245</v>
      </c>
      <c r="B89" s="578" t="s">
        <v>13246</v>
      </c>
      <c r="C89" s="97" t="s">
        <v>13247</v>
      </c>
      <c r="D89" s="578" t="str">
        <f>IFERROR(__xludf.DUMMYFUNCTION("GOOGLETRANSLATE(A89,""zh-tw"",""zh"")"),"不论是哥哥或妹妹，当食材全吃光后...将会触发在仓库中发现泡面的隐藏剧情")</f>
        <v>不论是哥哥或妹妹，当食材全吃光后...将会触发在仓库中发现泡面的隐藏剧情</v>
      </c>
      <c r="E89" s="100" t="str">
        <f>IFERROR(__xludf.DUMMYFUNCTION("GOOGLETRANSLATE(A89,""zh-tw"",""es-MX"")"),"Ya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89" s="579"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181" t="s">
        <v>13248</v>
      </c>
      <c r="H89" s="585" t="s">
        <v>13249</v>
      </c>
      <c r="I89" s="100"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J89" s="583" t="s">
        <v>13250</v>
      </c>
      <c r="K89" s="100" t="s">
        <v>13251</v>
      </c>
      <c r="L89" s="584" t="s">
        <v>13252</v>
      </c>
      <c r="M89" s="87"/>
      <c r="N89" s="87"/>
      <c r="O89" s="87"/>
      <c r="P89" s="87"/>
      <c r="Q89" s="87"/>
      <c r="R89" s="87"/>
      <c r="S89" s="87"/>
      <c r="T89" s="87"/>
      <c r="U89" s="87"/>
      <c r="V89" s="87"/>
      <c r="W89" s="87"/>
      <c r="X89" s="87"/>
      <c r="Y89" s="87"/>
    </row>
    <row r="90">
      <c r="A90" s="100" t="s">
        <v>13253</v>
      </c>
      <c r="B90" s="579" t="s">
        <v>13254</v>
      </c>
      <c r="C90" s="100" t="s">
        <v>13255</v>
      </c>
      <c r="D90" s="578" t="str">
        <f>IFERROR(__xludf.DUMMYFUNCTION("GOOGLETRANSLATE(A90,""zh-tw"",""zh"")"),"矿车移动期间，可以提前跳车(部分效果演绎也会因此发生变化)")</f>
        <v>矿车移动期间，可以提前跳车(部分效果演绎也会因此发生变化)</v>
      </c>
      <c r="E90" s="100" t="str">
        <f>IFERROR(__xludf.DUMMYFUNCTION("GOOGLETRANSLATE(A90,""zh-tw"",""es-MX"")"),"Puedes saltar de la vagoneta antes de que empiece a moverse (esto modificará algunos de los efectos visuales).")</f>
        <v>Puedes saltar de la vagoneta antes de que empiece a moverse (esto modificará algunos de los efectos visuales).</v>
      </c>
      <c r="F90" s="579" t="str">
        <f>IFERROR(__xludf.DUMMYFUNCTION("GOOGLETRANSLATE(A90,""zh-tw"",""KO"")"),"광산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0" s="181" t="s">
        <v>13256</v>
      </c>
      <c r="H90" s="585" t="s">
        <v>13257</v>
      </c>
      <c r="I90" s="100" t="s">
        <v>13258</v>
      </c>
      <c r="J90" s="583" t="s">
        <v>13259</v>
      </c>
      <c r="K90" s="100" t="s">
        <v>13260</v>
      </c>
      <c r="L90" s="584" t="s">
        <v>13261</v>
      </c>
      <c r="M90" s="87"/>
      <c r="N90" s="87"/>
      <c r="O90" s="87"/>
      <c r="P90" s="87"/>
      <c r="Q90" s="87"/>
      <c r="R90" s="87"/>
      <c r="S90" s="87"/>
      <c r="T90" s="87"/>
      <c r="U90" s="87"/>
      <c r="V90" s="87"/>
      <c r="W90" s="87"/>
      <c r="X90" s="87"/>
      <c r="Y90" s="87"/>
    </row>
    <row r="91">
      <c r="A91" s="97" t="s">
        <v>13262</v>
      </c>
      <c r="B91" s="578" t="s">
        <v>13263</v>
      </c>
      <c r="C91" s="97" t="s">
        <v>13264</v>
      </c>
      <c r="D91" s="578"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100" t="str">
        <f>IFERROR(__xludf.DUMMYFUNCTION("GOOGLETRANSLATE(A91,""zh-tw"",""es-MX"")"),"En cuanto a las burbujas en la superficie del agua, su ubicación se genera aleatoriamente. Usar bombas facilitará la aparición de alimentos.
Además, es posible generar criaturas (aún no implementado).")</f>
        <v>En cuanto a las burbujas en la superficie del agua, su ubicación se genera aleatoriamente. Usar bombas facilitará la aparición de alimentos.
Además, es posible generar criaturas (aún no implementado).</v>
      </c>
      <c r="F91" s="579"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181" t="s">
        <v>13265</v>
      </c>
      <c r="H91" s="585" t="s">
        <v>13266</v>
      </c>
      <c r="I91" s="97" t="s">
        <v>13267</v>
      </c>
      <c r="J91" s="583" t="s">
        <v>13268</v>
      </c>
      <c r="K91" s="100" t="s">
        <v>13269</v>
      </c>
      <c r="L91" s="584" t="s">
        <v>13270</v>
      </c>
      <c r="M91" s="87"/>
      <c r="N91" s="87"/>
      <c r="O91" s="87"/>
      <c r="P91" s="87"/>
      <c r="Q91" s="87"/>
      <c r="R91" s="87"/>
      <c r="S91" s="87"/>
      <c r="T91" s="87"/>
      <c r="U91" s="87"/>
      <c r="V91" s="87"/>
      <c r="W91" s="87"/>
      <c r="X91" s="87"/>
      <c r="Y91" s="87"/>
    </row>
    <row r="92">
      <c r="A92" s="100" t="s">
        <v>13271</v>
      </c>
      <c r="B92" s="578" t="s">
        <v>13272</v>
      </c>
      <c r="C92" s="100" t="s">
        <v>13273</v>
      </c>
      <c r="D92" s="578" t="str">
        <f>IFERROR(__xludf.DUMMYFUNCTION("GOOGLETRANSLATE(A92,""zh-tw"",""zh"")"),"箱庭的白兔-在兔子洞全部破坏后，会被迫弹到地面")</f>
        <v>箱庭的白兔-在兔子洞全部破坏后，会被迫弹到地面</v>
      </c>
      <c r="E92" s="100" t="str">
        <f>IFERROR(__xludf.DUMMYFUNCTION("GOOGLETRANSLATE(A92,""zh-tw"",""es-MX"")"),"El conejo blanco del pequeño jardín: después de que la madriguera del conejo sea destruida por completo, se verá obligado a rebotar contra el suelo.")</f>
        <v>El conejo blanco del pequeño jardín: después de que la madriguera del conejo sea destruida por completo, se verá obligado a rebotar contra el suelo.</v>
      </c>
      <c r="F92" s="579" t="str">
        <f>IFERROR(__xludf.DUMMYFUNCTION("GOOGLETRANSLATE(A92,""zh-tw"",""KO"")"),"작은 정원의 흰 토끼 - 토끼 굴이 완전히 파괴되면 토끼는 땅바닥으로 튕겨 나갈 수밖에 없습니다.")</f>
        <v>작은 정원의 흰 토끼 - 토끼 굴이 완전히 파괴되면 토끼는 땅바닥으로 튕겨 나갈 수밖에 없습니다.</v>
      </c>
      <c r="G92" s="181" t="s">
        <v>13274</v>
      </c>
      <c r="H92" s="585" t="s">
        <v>13275</v>
      </c>
      <c r="I92" s="100" t="s">
        <v>13276</v>
      </c>
      <c r="J92" s="583" t="s">
        <v>13277</v>
      </c>
      <c r="K92" s="100" t="s">
        <v>13278</v>
      </c>
      <c r="L92" s="584" t="s">
        <v>13279</v>
      </c>
      <c r="M92" s="87"/>
      <c r="N92" s="87"/>
      <c r="O92" s="87"/>
      <c r="P92" s="87"/>
      <c r="Q92" s="87"/>
      <c r="R92" s="87"/>
      <c r="S92" s="87"/>
      <c r="T92" s="87"/>
      <c r="U92" s="87"/>
      <c r="V92" s="87"/>
      <c r="W92" s="87"/>
      <c r="X92" s="87"/>
      <c r="Y92" s="87"/>
    </row>
    <row r="93">
      <c r="A93" s="100" t="s">
        <v>13280</v>
      </c>
      <c r="B93" s="579" t="s">
        <v>13281</v>
      </c>
      <c r="C93" s="100" t="s">
        <v>13282</v>
      </c>
      <c r="D93" s="578" t="str">
        <f>IFERROR(__xludf.DUMMYFUNCTION("GOOGLETRANSLATE(A93,""zh-tw"",""zh"")"),"箱庭的白兔-会强制玩家无法逃离(星之门也会被吞噬)，但是塔罗牌不受影响。")</f>
        <v>箱庭的白兔-会强制玩家无法逃离(星之门也会被吞噬)，但是塔罗牌不受影响。</v>
      </c>
      <c r="E93" s="100" t="str">
        <f>IFERROR(__xludf.DUMMYFUNCTION("GOOGLETRANSLATE(A93,""zh-tw"",""es-MX"")"),"El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3" s="579"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181" t="s">
        <v>13283</v>
      </c>
      <c r="H93" s="585" t="s">
        <v>13284</v>
      </c>
      <c r="I93" s="100" t="s">
        <v>13285</v>
      </c>
      <c r="J93" s="583" t="s">
        <v>13286</v>
      </c>
      <c r="K93" s="100" t="s">
        <v>13287</v>
      </c>
      <c r="L93" s="584" t="s">
        <v>13288</v>
      </c>
      <c r="M93" s="87"/>
      <c r="N93" s="87"/>
      <c r="O93" s="87"/>
      <c r="P93" s="87"/>
      <c r="Q93" s="87"/>
      <c r="R93" s="87"/>
      <c r="S93" s="87"/>
      <c r="T93" s="87"/>
      <c r="U93" s="87"/>
      <c r="V93" s="87"/>
      <c r="W93" s="87"/>
      <c r="X93" s="87"/>
      <c r="Y93" s="87"/>
    </row>
    <row r="94">
      <c r="A94" s="100" t="s">
        <v>13289</v>
      </c>
      <c r="B94" s="579" t="s">
        <v>13290</v>
      </c>
      <c r="C94" s="100" t="s">
        <v>13291</v>
      </c>
      <c r="D94" s="578" t="str">
        <f>IFERROR(__xludf.DUMMYFUNCTION("GOOGLETRANSLATE(A94,""zh-tw"",""zh"")"),"箱庭的白兔-如果玩家战斗落败，身上的胡萝卜会被没收")</f>
        <v>箱庭的白兔-如果玩家战斗落败，身上的胡萝卜会被没收</v>
      </c>
      <c r="E94" s="100"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579"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181" t="s">
        <v>13292</v>
      </c>
      <c r="H94" s="585" t="s">
        <v>13293</v>
      </c>
      <c r="I94" s="100" t="s">
        <v>13294</v>
      </c>
      <c r="J94" s="583" t="s">
        <v>13295</v>
      </c>
      <c r="K94" s="100" t="s">
        <v>13296</v>
      </c>
      <c r="L94" s="584" t="s">
        <v>13297</v>
      </c>
      <c r="M94" s="87"/>
      <c r="N94" s="87"/>
      <c r="O94" s="87"/>
      <c r="P94" s="87"/>
      <c r="Q94" s="87"/>
      <c r="R94" s="87"/>
      <c r="S94" s="87"/>
      <c r="T94" s="87"/>
      <c r="U94" s="87"/>
      <c r="V94" s="87"/>
      <c r="W94" s="87"/>
      <c r="X94" s="87"/>
      <c r="Y94" s="87"/>
    </row>
    <row r="95">
      <c r="A95" s="97" t="s">
        <v>13298</v>
      </c>
      <c r="B95" s="579" t="s">
        <v>13299</v>
      </c>
      <c r="C95" s="100" t="s">
        <v>13300</v>
      </c>
      <c r="D95" s="578"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100" t="str">
        <f>IFERROR(__xludf.DUMMYFUNCTION("GOOGLETRANSLATE(A95,""zh-tw"",""es-MX"")"),"Gran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5" s="579"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181" t="s">
        <v>13301</v>
      </c>
      <c r="H95" s="585" t="s">
        <v>13302</v>
      </c>
      <c r="I95" s="100" t="s">
        <v>13303</v>
      </c>
      <c r="J95" s="583" t="s">
        <v>13304</v>
      </c>
      <c r="K95" s="100" t="s">
        <v>13305</v>
      </c>
      <c r="L95" s="584" t="s">
        <v>13306</v>
      </c>
      <c r="M95" s="87"/>
      <c r="N95" s="87"/>
      <c r="O95" s="87"/>
      <c r="P95" s="87"/>
      <c r="Q95" s="87"/>
      <c r="R95" s="87"/>
      <c r="S95" s="87"/>
      <c r="T95" s="87"/>
      <c r="U95" s="87"/>
      <c r="V95" s="87"/>
      <c r="W95" s="87"/>
      <c r="X95" s="87"/>
      <c r="Y95" s="87"/>
    </row>
    <row r="96">
      <c r="A96" s="97" t="s">
        <v>13307</v>
      </c>
      <c r="B96" s="579" t="s">
        <v>13308</v>
      </c>
      <c r="C96" s="100" t="s">
        <v>13309</v>
      </c>
      <c r="D96" s="578" t="str">
        <f>IFERROR(__xludf.DUMMYFUNCTION("GOOGLETRANSLATE(A96,""zh-tw"",""zh"")"),"ASABA的草莓/胡萝卜，目前对于妹妹与哥哥的饮食方面无特殊影响效果")</f>
        <v>ASABA的草莓/胡萝卜，目前对于妹妹与哥哥的饮食方面无特殊影响效果</v>
      </c>
      <c r="E96" s="100"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579" t="str">
        <f>IFERROR(__xludf.DUMMYFUNCTION("GOOGLETRANSLATE(A96,""zh-tw"",""KO"")"),"아사바가 재배한 딸기와 당근은 아직 여동생과 오빠의 식단에 특별한 영향을 미치지 않았습니다.")</f>
        <v>아사바가 재배한 딸기와 당근은 아직 여동생과 오빠의 식단에 특별한 영향을 미치지 않았습니다.</v>
      </c>
      <c r="G96" s="181" t="s">
        <v>13310</v>
      </c>
      <c r="H96" s="585" t="s">
        <v>13311</v>
      </c>
      <c r="I96" s="100" t="s">
        <v>13312</v>
      </c>
      <c r="J96" s="583" t="s">
        <v>13313</v>
      </c>
      <c r="K96" s="100" t="s">
        <v>13314</v>
      </c>
      <c r="L96" s="584" t="s">
        <v>13315</v>
      </c>
      <c r="M96" s="87"/>
      <c r="N96" s="87"/>
      <c r="O96" s="87"/>
      <c r="P96" s="87"/>
      <c r="Q96" s="87"/>
      <c r="R96" s="87"/>
      <c r="S96" s="87"/>
      <c r="T96" s="87"/>
      <c r="U96" s="87"/>
      <c r="V96" s="87"/>
      <c r="W96" s="87"/>
      <c r="X96" s="87"/>
      <c r="Y96" s="87"/>
    </row>
    <row r="97">
      <c r="A97" s="97" t="s">
        <v>13316</v>
      </c>
      <c r="B97" s="579" t="s">
        <v>13317</v>
      </c>
      <c r="C97" s="100" t="s">
        <v>13318</v>
      </c>
      <c r="D97" s="578" t="str">
        <f>IFERROR(__xludf.DUMMYFUNCTION("GOOGLETRANSLATE(A97,""zh-tw"",""zh"")"),"""ASABA的草莓""比普通草莓更好吃，如果拿这个食材喂ASABA，会激怒它，并触发BOSS战斗")</f>
        <v>"ASABA的草莓"比普通草莓更好吃，如果拿这个食材喂ASABA，会激怒它，并触发BOSS战斗</v>
      </c>
      <c r="E97" s="100" t="str">
        <f>IFERROR(__xludf.DUMMYFUNCTION("GOOGLETRANSLATE(A97,""zh-tw"",""es-MX"")"),"Las fresas de ASABA tienen mejor sabor que las fresas normales. Si alimentas a ASABA con este ingrediente, se enfurecerá y se desencadenará una batalla contra un jefe final.")</f>
        <v>Las fresas de ASABA tienen mejor sabor que las fresas normales. Si alimentas a ASABA con este ingrediente, se enfurecerá y se desencadenará una batalla contra un jefe final.</v>
      </c>
      <c r="F97" s="579"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181" t="s">
        <v>13319</v>
      </c>
      <c r="H97" s="585" t="s">
        <v>13320</v>
      </c>
      <c r="I97" s="100" t="s">
        <v>13321</v>
      </c>
      <c r="J97" s="583" t="s">
        <v>13322</v>
      </c>
      <c r="K97" s="100" t="s">
        <v>13323</v>
      </c>
      <c r="L97" s="584" t="s">
        <v>13324</v>
      </c>
      <c r="M97" s="87"/>
      <c r="N97" s="87"/>
      <c r="O97" s="87"/>
      <c r="P97" s="87"/>
      <c r="Q97" s="87"/>
      <c r="R97" s="87"/>
      <c r="S97" s="87"/>
      <c r="T97" s="87"/>
      <c r="U97" s="87"/>
      <c r="V97" s="87"/>
      <c r="W97" s="87"/>
      <c r="X97" s="87"/>
      <c r="Y97" s="87"/>
    </row>
    <row r="98">
      <c r="A98" s="97" t="s">
        <v>13325</v>
      </c>
      <c r="B98" s="578" t="s">
        <v>13326</v>
      </c>
      <c r="C98" s="97" t="s">
        <v>13327</v>
      </c>
      <c r="D98" s="578"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100" t="str">
        <f>IFERROR(__xludf.DUMMYFUNCTION("GOOGLETRANSLATE(A98,""zh-tw"",""es-MX"")"),"Respecto a ""ASABA Furioso"": mientras salta a izquierda y derecha, puede esquivar todos los ataques. Mientras gira, puede desviar la mayoría de los proyectiles. Buscará una oportunidad para embestir y lanzar un ataque devastador que matará al jugador al "&amp;"instante. Al ser mordido por ASABA, consumirá tus reservas de comida para recuperar salud; si come comida venenosa, se envenenará.")</f>
        <v>Respecto a "ASABA Furioso": mientras salta a izquierda y derecha, puede esquivar todos los ataques. Mientras gira, puede desviar la mayoría de los proyectiles. Buscará una oportunidad para embestir y lanzar un ataque devastador que matará al jugador al instante. Al ser mordido por ASABA, consumirá tus reservas de comida para recuperar salud; si come comida venenosa, se envenenará.</v>
      </c>
      <c r="F98" s="579" t="str">
        <f>IFERROR(__xludf.DUMMYFUNCTION("GOOGLETRANSLATE(A98,""zh-tw"",""KO"")"),"""날뛰는 아사바""에 대해 설명드리자면, 좌우로 점프하면서 모든 공격을 피할 수 있습니다. 회전하면서는 대부분의 투사체를 튕겨낼 수 있습니다. 아사바는 기회를 틈타 돌진하여 강력한 공격을 퍼붓는데, 이 공격에 맞으면 플레이어를 즉사시킬 수 있습니다. 아사바에게 물리면 플레이어의 식량을 섭취하여 체력을 회복하며, 독이 있는 음식을 먹으면 중독됩니다.")</f>
        <v>"날뛰는 아사바"에 대해 설명드리자면, 좌우로 점프하면서 모든 공격을 피할 수 있습니다. 회전하면서는 대부분의 투사체를 튕겨낼 수 있습니다. 아사바는 기회를 틈타 돌진하여 강력한 공격을 퍼붓는데, 이 공격에 맞으면 플레이어를 즉사시킬 수 있습니다. 아사바에게 물리면 플레이어의 식량을 섭취하여 체력을 회복하며, 독이 있는 음식을 먹으면 중독됩니다.</v>
      </c>
      <c r="G98" s="181" t="s">
        <v>13328</v>
      </c>
      <c r="H98" s="585" t="s">
        <v>13329</v>
      </c>
      <c r="I98" s="97" t="s">
        <v>13330</v>
      </c>
      <c r="J98" s="581" t="s">
        <v>13331</v>
      </c>
      <c r="K98" s="100" t="s">
        <v>13332</v>
      </c>
      <c r="L98" s="584" t="s">
        <v>13333</v>
      </c>
      <c r="M98" s="87"/>
      <c r="N98" s="87"/>
      <c r="O98" s="87"/>
      <c r="P98" s="87"/>
      <c r="Q98" s="87"/>
      <c r="R98" s="87"/>
      <c r="S98" s="87"/>
      <c r="T98" s="87"/>
      <c r="U98" s="87"/>
      <c r="V98" s="87"/>
      <c r="W98" s="87"/>
      <c r="X98" s="87"/>
      <c r="Y98" s="87"/>
    </row>
    <row r="99">
      <c r="A99" s="97" t="s">
        <v>13334</v>
      </c>
      <c r="B99" s="578" t="s">
        <v>13335</v>
      </c>
      <c r="C99" s="97" t="s">
        <v>13336</v>
      </c>
      <c r="D99" s="578"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100" t="str">
        <f>IFERROR(__xludf.DUMMYFUNCTION("GOOGLETRANSLATE(A99,""zh-tw"",""es-MX"")"),"Explicación del ""Yunque"":
1. La habilidad Parpadeo se reemplazará. Usar Parpadeo se considerará como sacar el yunque y comenzar a forjar, y el arma principal se desequipará automáticamente y se reemplazará por el ""Martillo de Forja"".
2. El ""Martill"&amp;"o de Forja"" tiene durabilidad infinita, pero se reciclará al cambiar de mapa o al guardar el yunque.
3. Atacar el yunque se considera forjar. Cada golpe aumenta la temperatura del arma. Cuanto mayor sea la temperatura del arma, mayor será la probabilida"&amp;"d y el valor de la bonificación de durabilidad obtenida por golpe.
4. Cuando haya enemigos cerca del yunque, se otorgará una bonificación adicional.
5. Cuando el arma se sobrecalienta, humea. Forjar en este momento no proporciona ningún beneficio; solo "&amp;"puedes esperar a que se enfríe naturalmente.
6. La durabilidad de la forja no excederá la durabilidad inicial original del arma. Limitado a:
7. La forja solo se puede usar en tierra.
8. Durante la forja, el arma se recuperará al morir el protagonista; "&amp;"es necesario regresar al mapa original después de cambiar a otro mapa; no se recuperará inmediatamente al resucitar.
9. Actualmente, no existe un diseño para múltiples Golems de Hierro.
10. Después de que un arma alcance una temperatura alta, recuperarl"&amp;"a y reforjarla inmediatamente ignora el tiempo de enfriamiento de la temperatura roja.
11. El martillo de forja se puede usar junto con bonificaciones de armas como Garra de Gato y Amplificación de Arma para mejorar el efecto de forja.
12. Cuanto mayor "&amp;"sea el poder de ataque del personaje, mayor será el efecto de forja.
13. El Golem de Hierro no se puede invocar cuando el personaje está desarmado.
14. En el futuro, será posible pulir las armas para mejorar sus efectos o añadir otros objetos que no sea"&amp;"n armas. ¡Manténganse al tanto!")</f>
        <v>Explicación del "Yunque":
1. La habilidad Parpadeo se reemplazará. Usar Parpadeo se considerará como sacar el yunque y comenzar a forjar, y el arma principal se desequipará automáticamente y se reemplazará por el "Martillo de Forja".
2. El "Martillo de Forja" tiene durabilidad infinita, pero se reciclará al cambiar de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sobrecalienta, humea. Forjar en este momento no proporciona ningún beneficio; solo puedes esperar a que se enfríe naturalmente.
6. La durabilidad de la forja no excederá la durabilidad inicial original del arma. Limitado a:
7. La forja solo se puede usar en tierra.
8. Durante la forja, el arma se recuperará al morir el protagonista; es necesario regresar al mapa original después de cambiar a otro mapa; no se recuperará inmediatamente al resucitar.
9. Actualmente, no existe un diseño para múltiples Golems de Hierro.
10. Después de que un arma alcance una temperatura alta, recuperarla y reforjarla inmediatamente ignora el tiempo de enfriamiento de la temperatura roja.
11. El martillo de forja se puede usar junto con bonificaciones de armas como Garra de Gato y Amplificación de Arma para mejorar el efecto de forja.
12. Cuanto mayor sea el poder de ataque del personaje, mayor será el efecto de forja.
13. El Golem de Hierro no se puede invocar cuando el personaje está desarmado.
14. En el futuro, será posible pulir las armas para mejorar sus efectos o añadir otros objetos que no sean armas. ¡Manténganse al tanto!</v>
      </c>
      <c r="F99" s="579"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"&amp;"즉시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소환"&amp;"할 수 없습니다.
14. 향후 무기를 연마하여 효과를 강화하거나 무기 외 다른 아이템을 추가할 수 있는 기능이 추가될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소환할 수 없습니다.
14. 향후 무기를 연마하여 효과를 강화하거나 무기 외 다른 아이템을 추가할 수 있는 기능이 추가될 예정입니다. 기대해 주세요!</v>
      </c>
      <c r="G99" s="181" t="s">
        <v>13337</v>
      </c>
      <c r="H99" s="585" t="s">
        <v>13338</v>
      </c>
      <c r="I99" s="100"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Beschwörung mehrerer Eisengolems nicht vo"&amp;"rgesehen.
10. Sobald eine Waffe eine hohe Temperatur erreicht hat, wird die Abklingzeit der roten Temperatur ignoriert, wenn sie geborgen und sofort neu geschmiedet wird.
11. Der Schmiedehammer kann in Kombination mit Waffenboni wie Katzenklaue und Waff"&amp;"enverstärkung verwendet werden, um den Schmiedeeffekt zu erhöhen.
12. Je höher die Angriffskraft des Charakters, desto höher der Schmiedeeffekt.
13. Der Eisengolem kann nicht beschworen werden, wenn der Charakter unbewaffnet ist.
14. Zukünftig wird es "&amp;"möglich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Beschwörung mehrerer Eisengolems nicht vorgesehen.
10. Sobald eine Waffe eine hohe Temperatur erreicht hat, wird die Abklingzeit der roten Temperatur ignoriert, wenn sie geborgen und sofort neu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J99" s="581" t="s">
        <v>13339</v>
      </c>
      <c r="K99" s="100" t="s">
        <v>13340</v>
      </c>
      <c r="L99" s="578" t="s">
        <v>13341</v>
      </c>
      <c r="M99" s="87"/>
      <c r="N99" s="87"/>
      <c r="O99" s="87"/>
      <c r="P99" s="87"/>
      <c r="Q99" s="87"/>
      <c r="R99" s="87"/>
      <c r="S99" s="87"/>
      <c r="T99" s="87"/>
      <c r="U99" s="87"/>
      <c r="V99" s="87"/>
      <c r="W99" s="87"/>
      <c r="X99" s="87"/>
      <c r="Y99" s="87"/>
    </row>
    <row r="100">
      <c r="A100" s="97" t="s">
        <v>13342</v>
      </c>
      <c r="B100" s="578" t="s">
        <v>13343</v>
      </c>
      <c r="C100" s="97" t="s">
        <v>13344</v>
      </c>
      <c r="D100" s="578"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100" t="str">
        <f>IFERROR(__xludf.DUMMYFUNCTION("GOOGLETRANSLATE(A100,""zh-tw"",""es-MX"")"),"Las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0" s="579"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181" t="s">
        <v>13345</v>
      </c>
      <c r="H100" s="585" t="s">
        <v>13346</v>
      </c>
      <c r="I100" s="100"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J100" s="583" t="s">
        <v>13347</v>
      </c>
      <c r="K100" s="100" t="s">
        <v>13348</v>
      </c>
      <c r="L100" s="584" t="s">
        <v>13349</v>
      </c>
      <c r="M100" s="87"/>
      <c r="N100" s="87"/>
      <c r="O100" s="87"/>
      <c r="P100" s="87"/>
      <c r="Q100" s="87"/>
      <c r="R100" s="87"/>
      <c r="S100" s="87"/>
      <c r="T100" s="87"/>
      <c r="U100" s="87"/>
      <c r="V100" s="87"/>
      <c r="W100" s="87"/>
      <c r="X100" s="87"/>
      <c r="Y100" s="87"/>
    </row>
    <row r="101">
      <c r="A101" s="97" t="s">
        <v>13350</v>
      </c>
      <c r="B101" s="578" t="s">
        <v>13351</v>
      </c>
      <c r="C101" s="97" t="s">
        <v>13352</v>
      </c>
      <c r="D101" s="578" t="str">
        <f>IFERROR(__xludf.DUMMYFUNCTION("GOOGLETRANSLATE(A101,""zh-tw"",""zh"")"),"兔子洞只能使用爆炸属性的伤害进行攻击，其他攻击或者从者攻击，皆无效果。")</f>
        <v>兔子洞只能使用爆炸属性的伤害进行攻击，其他攻击或者从者攻击，皆无效果。</v>
      </c>
      <c r="E101" s="100" t="str">
        <f>IFERROR(__xludf.DUMMYFUNCTION("GOOGLETRANSLATE(A101,""zh-tw"",""es-MX"")"),"Rabbit Hole solo puede ser atacado con daño explosivo; otros ataques o ataques de Servants no tienen efecto.")</f>
        <v>Rabbit Hole solo puede ser atacado con daño explosivo; otros ataques o ataques de Servants no tienen efecto.</v>
      </c>
      <c r="F101" s="579"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181" t="s">
        <v>13353</v>
      </c>
      <c r="H101" s="585" t="s">
        <v>13354</v>
      </c>
      <c r="I101" s="97" t="s">
        <v>13355</v>
      </c>
      <c r="J101" s="583" t="s">
        <v>13356</v>
      </c>
      <c r="K101" s="100" t="s">
        <v>13357</v>
      </c>
      <c r="L101" s="584" t="s">
        <v>13358</v>
      </c>
      <c r="M101" s="87"/>
      <c r="N101" s="87"/>
      <c r="O101" s="87"/>
      <c r="P101" s="87"/>
      <c r="Q101" s="87"/>
      <c r="R101" s="87"/>
      <c r="S101" s="87"/>
      <c r="T101" s="87"/>
      <c r="U101" s="87"/>
      <c r="V101" s="87"/>
      <c r="W101" s="87"/>
      <c r="X101" s="87"/>
      <c r="Y101" s="87"/>
    </row>
    <row r="102">
      <c r="A102" s="97" t="s">
        <v>13359</v>
      </c>
      <c r="B102" s="578" t="s">
        <v>13360</v>
      </c>
      <c r="C102" s="97" t="s">
        <v>13361</v>
      </c>
      <c r="D102" s="578"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100" t="str">
        <f>IFERROR(__xludf.DUMMYFUNCTION("GOOGLETRANSLATE(A102,""zh-tw"",""es-MX"")"),"Se pueden librar varias batallas contra jefes simultáneamente, como contra el Señor del Río y la furiosa Asaba, o contra Asaba y la Bestia Roja, etc.
Las demás batallas contra jefes aún no están optimizadas y no se recomienda intentarlas.")</f>
        <v>Se pueden librar varias batallas contra jefes simultáneamente, como contra el Señor del Río y la furiosa Asaba, o contra Asaba y la Bestia Roja, etc.
Las demás batallas contra jefes aún no están optimizadas y no se recomienda intentarlas.</v>
      </c>
      <c r="F102" s="579"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181" t="s">
        <v>13362</v>
      </c>
      <c r="H102" s="585" t="s">
        <v>13363</v>
      </c>
      <c r="I102" s="97" t="s">
        <v>13364</v>
      </c>
      <c r="J102" s="583" t="s">
        <v>13365</v>
      </c>
      <c r="K102" s="100" t="s">
        <v>13366</v>
      </c>
      <c r="L102" s="584" t="s">
        <v>13367</v>
      </c>
      <c r="M102" s="87"/>
      <c r="N102" s="87"/>
      <c r="O102" s="87"/>
      <c r="P102" s="87"/>
      <c r="Q102" s="87"/>
      <c r="R102" s="87"/>
      <c r="S102" s="87"/>
      <c r="T102" s="87"/>
      <c r="U102" s="87"/>
      <c r="V102" s="87"/>
      <c r="W102" s="87"/>
      <c r="X102" s="87"/>
      <c r="Y102" s="87"/>
    </row>
    <row r="103">
      <c r="A103" s="97" t="s">
        <v>13368</v>
      </c>
      <c r="B103" s="578" t="s">
        <v>13369</v>
      </c>
      <c r="C103" s="97" t="s">
        <v>13370</v>
      </c>
      <c r="D103" s="578"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100" t="str">
        <f>IFERROR(__xludf.DUMMYFUNCTION("GOOGLETRANSLATE(A103,""zh-tw"",""es-MX"")"),"El Núcleo Evangelion se puede consumir usando las Unidades 2 a 7. Cada unidad puede mejorar el Núcleo Evangelion un nivel, hasta un máximo de LV7.
(La mejora se realiza en la ranura de habilidades)
Unidad 2: Explora enemigos cercanos y la cantidad de rel"&amp;"iquias (Se puede comprar en la tienda)
Unidad 3: -
Unidad 4: -
Unidad 5: -
Unidad 6: -
Unidad 7: -")</f>
        <v>El Núcleo Evangelion se puede consumir usando las Unidades 2 a 7. Cada unidad puede mejorar el Núcleo Evangelion un nivel, hasta un máximo de LV7.
(La mejora se realiza en la ranura de habilidades)
Unidad 2: Explora enemigos cercanos y la cantidad de reliquias (Se puede comprar en la tienda)
Unidad 3: -
Unidad 4: -
Unidad 5: -
Unidad 6: -
Unidad 7: -</v>
      </c>
      <c r="F103" s="579"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153" t="s">
        <v>13371</v>
      </c>
      <c r="H103" s="582" t="s">
        <v>13372</v>
      </c>
      <c r="I103" s="97" t="s">
        <v>13373</v>
      </c>
      <c r="J103" s="583" t="s">
        <v>13374</v>
      </c>
      <c r="K103" s="97" t="s">
        <v>13375</v>
      </c>
      <c r="L103" s="584" t="s">
        <v>13376</v>
      </c>
      <c r="M103" s="87"/>
      <c r="N103" s="87"/>
      <c r="O103" s="87"/>
      <c r="P103" s="87"/>
      <c r="Q103" s="87"/>
      <c r="R103" s="87"/>
      <c r="S103" s="87"/>
      <c r="T103" s="87"/>
      <c r="U103" s="87"/>
      <c r="V103" s="87"/>
      <c r="W103" s="87"/>
      <c r="X103" s="87"/>
      <c r="Y103" s="87"/>
    </row>
    <row r="104">
      <c r="A104" s="97" t="s">
        <v>13377</v>
      </c>
      <c r="B104" s="578" t="s">
        <v>13378</v>
      </c>
      <c r="C104" s="97" t="s">
        <v>13379</v>
      </c>
      <c r="D104" s="578"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100" t="str">
        <f>IFERROR(__xludf.DUMMYFUNCTION("GOOGLETRANSLATE(A104,""zh-tw"",""es-MX"")"),"Explicación detallada de la pesca acuática (todos los objetos se reinician con la lluvia):
Al lanzar una bomba al agua, solo el 5% de los objetos caerán. La lluvia aumenta esta probabilidad entre un 30% y un 50%.
1. Existe un límite en la cantidad de ob"&amp;"jetos que pueden caer en un río. Cuanto más grande sea el río, más objetos pueden caer, con un límite máximo de 50.
2. Cuando una máquina de gashapon o un enemigo cae al río, se crea un pequeño efecto de ""cebo"" en el punto de impacto, lo que aumenta la"&amp;" probabilidad de caída en un 50% (las máquinas de gashapon rotas no aumentan la probabilidad de caída); también aumenta la cantidad de objetos que pueden caer en esa zona del río y el valor de maldad.
3. La estadística de suerte del hermano mayor aumenta"&amp;" la probabilidad de caída, hasta un máximo de un 75% adicional.
4. Sombras de peces en el río: tocar o atacar directamente una sombra de pez generará peces como botín; no se obtendrán otros objetos.
5. Burbujas: Indican la presencia de algo. Atacarlas c"&amp;"on bombas o bastones de agua las activará y generará objetos. Tienen una mayor probabilidad de generar enemigos o equipo en el agua, y una menor probabilidad de generar peces.
6. Atacar directamente la superficie del río tiene una mayor probabilidad de g"&amp;"enerar objetos solo cuando hay cebo disponible. El conjunto de objetos está relativamente equilibrado.
7. Lanzar criaturas vivas al río las convertirá en nutrientes, aumentando la cantidad de objetos nuevos, incluyendo tortugas Sakaban liberadas.
8. Pro"&amp;"nósticos de TV... Cambiar el conjunto de objetos no afecta necesariamente la tasa de aparición ni el número de intentos.
9. Todas las bonificaciones de cebo mencionadas anteriormente son acumulables, y el rango de superposición de cebos también se acumul"&amp;"a. Si la tasa de activación aumenta a más del 100%, aparecerán nuevas condiciones de aparición, como el Señor del Río u objetos especiales.
10. Si el área de agua es demasiado pequeña, ciertos tipos de monstruos (como los jefes) no aparecerán. Si el área"&amp;" disponible es demasiado pequeña, el jefe huirá inmediatamente.
---------------------- En resumen: Días lluviosos + mucha suerte + múltiples acumulaciones de gotas de agua en la máquina de gashapon + río grande + área suficiente cerca del puente son las "&amp;"condiciones ideales para la pesca especial.")</f>
        <v>Explicación detallada de la pesca acuática (todos los objetos se reinician con la lluvia):
Al lanzar una bomba al agua, solo el 5% de los objetos caerán. La lluvia aumenta esta probabilidad entre un 30% y un 50%.
1. Existe un límite en la cantidad de objetos que pueden caer en un río. Cuanto más grande sea el río, más objetos pueden caer, con un límite máximo de 50.
2. Cuando una máquina de gashapon o un enemigo cae al río, se crea un pequeño efecto de "cebo" en el punto de impacto, lo que aumenta la probabilidad de caída en un 50% (las máquinas de gashapon rotas no aumentan la probabilidad de caída); también aumenta la cantidad de objetos que pueden caer en esa zona del río y el valor de maldad.
3. La estadística de suerte del hermano mayor aumenta la probabilidad de caída, hasta un máximo de un 75% adicional.
4. Sombras de peces en el río: tocar o atacar directamente una sombra de pez generará peces como botín; no se obtendrán otros objetos.
5. Burbujas: Indican la presencia de algo. Atacarlas con bombas o bastones de agua las activará y generará objetos. Tienen una mayor probabilidad de generar enemigos o equipo en el agua, y una menor probabilidad de generar peces.
6. Atacar directamente la superficie del río tiene una mayor probabilidad de generar objetos solo cuando hay cebo disponible. El conjunto de objetos está relativamente equilibrado.
7. Lanzar criaturas vivas al río las convertirá en nutrientes, aumentando la cantidad de objetos nuevos, incluyendo tortugas Sakaban liberadas.
8. Pronósticos de TV... Cambiar el conjunto de objetos no afecta necesariamente la tasa de aparición ni el número de intentos.
9. Todas las bonificaciones de cebo mencionadas anteriormente son acumulables, y el rango de superposición de cebos también se acumula. Si la tasa de activación aumenta a más del 100%, aparecerán nuevas condiciones de aparición, como el Señor del Río u objetos especiales.
10. Si el área de agua es demasiado pequeña, ciertos tipos de monstruos (como los jefes) no aparecerán. Si el área disponible es demasiado pequeña, el jefe huirá inmediatamente.
---------------------- En resumen: Días lluviosos + mucha suerte + múltiples acumulaciones de gotas de agua en la máquina de gashapon + río grande + área suficiente cerca del puente son las condiciones ideales para la pesca especial.</v>
      </c>
      <c r="F104" s="579"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드롭"&amp;"됩니다.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미"&amp;"끼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조"&amp;"건입니다.")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181" t="s">
        <v>13380</v>
      </c>
      <c r="H104" s="585" t="s">
        <v>13381</v>
      </c>
      <c r="I104" s="97" t="s">
        <v>13382</v>
      </c>
      <c r="J104" s="581" t="s">
        <v>13383</v>
      </c>
      <c r="K104" s="100" t="s">
        <v>13384</v>
      </c>
      <c r="L104" s="584" t="s">
        <v>13385</v>
      </c>
      <c r="M104" s="87"/>
      <c r="N104" s="87"/>
      <c r="O104" s="87"/>
      <c r="P104" s="87"/>
      <c r="Q104" s="87"/>
      <c r="R104" s="87"/>
      <c r="S104" s="87"/>
      <c r="T104" s="87"/>
      <c r="U104" s="87"/>
      <c r="V104" s="87"/>
      <c r="W104" s="87"/>
      <c r="X104" s="87"/>
      <c r="Y104" s="87"/>
    </row>
    <row r="105">
      <c r="A105" s="97" t="s">
        <v>13386</v>
      </c>
      <c r="B105" s="578" t="s">
        <v>13387</v>
      </c>
      <c r="C105" s="97" t="s">
        <v>13388</v>
      </c>
      <c r="D105" s="578"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100" t="str">
        <f>IFERROR(__xludf.DUMMYFUNCTION("GOOGLETRANSLATE(A105,""zh-tw"",""es-MX"")"),"Cuando los PV del Rey Tortuga Sakaban caen por debajo del 90%, tiene la posibilidad de dormirse y recuperar PV. Se despertará al ser atacado.
Al ser derrotado, si hay agua en un radio de 8 casillas, se retirará y saltará al agua para escapar. Durante est"&amp;"e proceso, tiene la posibilidad de soltar su corona (Decreto Real). Si es derrotado mientras está dormido y bajo control (paralizado, congelado o aturdido), la probabilidad de que suelte el Decreto Real aumentará.
Si no hay agua cerca, se convertirá en u"&amp;"na Tortuga Sakaban normal debido al agotamiento y la incapacidad de escapar, convirtiéndose en un objeto que suelta un Servant (◉▽◉ (rosa)). Durante este proceso, aún existe la posibilidad de que suelte el Decreto Real.")</f>
        <v>Cuando los PV del Rey Tortuga Sakaban caen por debajo del 90%, tiene la posibilidad de dormirse y recuperar PV. Se despertará al ser atacado.
Al ser derrotado, si hay agua en un radio de 8 casillas, se retirará y saltará al agua para escapar. Durante este proceso, tiene la posibilidad de soltar su corona (Decreto Real). Si es derrotado mientras está dormido y bajo control (paralizado, congelado o aturdido), la probabilidad de que suelte el Decreto Real aumentará.
Si no hay agua cerca, se convertirá en una Tortuga Sakaban normal debido al agotamiento y la incapacidad de escapar, convirtiéndose en un objeto que suelta un Servant (◉▽◉ (rosa)). Durante este proceso, aún existe la posibilidad de que suelte el Decreto Real.</v>
      </c>
      <c r="F105" s="579"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181" t="s">
        <v>13389</v>
      </c>
      <c r="H105" s="585" t="s">
        <v>13390</v>
      </c>
      <c r="I105" s="97" t="s">
        <v>13391</v>
      </c>
      <c r="J105" s="583" t="s">
        <v>13392</v>
      </c>
      <c r="K105" s="100" t="s">
        <v>13393</v>
      </c>
      <c r="L105" s="584" t="s">
        <v>13394</v>
      </c>
      <c r="M105" s="87"/>
      <c r="N105" s="87"/>
      <c r="O105" s="87"/>
      <c r="P105" s="87"/>
      <c r="Q105" s="87"/>
      <c r="R105" s="87"/>
      <c r="S105" s="87"/>
      <c r="T105" s="87"/>
      <c r="U105" s="87"/>
      <c r="V105" s="87"/>
      <c r="W105" s="87"/>
      <c r="X105" s="87"/>
      <c r="Y105" s="87"/>
    </row>
    <row r="106">
      <c r="A106" s="97" t="s">
        <v>13395</v>
      </c>
      <c r="B106" s="578" t="s">
        <v>13396</v>
      </c>
      <c r="C106" s="97" t="s">
        <v>13397</v>
      </c>
      <c r="D106" s="578" t="str">
        <f>IFERROR(__xludf.DUMMYFUNCTION("GOOGLETRANSLATE(A106,""zh-tw"",""zh"")"),"毒雾遇上火属性攻击时，可以产生粉尘爆炸")</f>
        <v>毒雾遇上火属性攻击时，可以产生粉尘爆炸</v>
      </c>
      <c r="E106" s="100" t="str">
        <f>IFERROR(__xludf.DUMMYFUNCTION("GOOGLETRANSLATE(A106,""zh-tw"",""es-MX"")"),"Cuando la niebla venenosa se encuentra con un ataque de atributo fuego, puede provocar una explosión de polvo.")</f>
        <v>Cuando la niebla venenosa se encuentra con un ataque de atributo fuego, puede provocar una explosión de polvo.</v>
      </c>
      <c r="F106" s="579" t="str">
        <f>IFERROR(__xludf.DUMMYFUNCTION("GOOGLETRANSLATE(A106,""zh-tw"",""KO"")"),"독성 안개가 화염 속성 공격을 받으면 분진 폭발을 일으킬 수 있습니다.")</f>
        <v>독성 안개가 화염 속성 공격을 받으면 분진 폭발을 일으킬 수 있습니다.</v>
      </c>
      <c r="G106" s="181" t="s">
        <v>13398</v>
      </c>
      <c r="H106" s="585" t="s">
        <v>13399</v>
      </c>
      <c r="I106" s="97" t="s">
        <v>13400</v>
      </c>
      <c r="J106" s="583" t="s">
        <v>13401</v>
      </c>
      <c r="K106" s="100" t="s">
        <v>13402</v>
      </c>
      <c r="L106" s="584" t="s">
        <v>13403</v>
      </c>
      <c r="M106" s="87"/>
      <c r="N106" s="87"/>
      <c r="O106" s="87"/>
      <c r="P106" s="87"/>
      <c r="Q106" s="87"/>
      <c r="R106" s="87"/>
      <c r="S106" s="87"/>
      <c r="T106" s="87"/>
      <c r="U106" s="87"/>
      <c r="V106" s="87"/>
      <c r="W106" s="87"/>
      <c r="X106" s="87"/>
      <c r="Y106" s="87"/>
    </row>
    <row r="107">
      <c r="A107" s="97" t="s">
        <v>13404</v>
      </c>
      <c r="B107" s="578" t="s">
        <v>13405</v>
      </c>
      <c r="C107" s="97" t="s">
        <v>13406</v>
      </c>
      <c r="D107" s="578"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100" t="str">
        <f>IFERROR(__xludf.DUMMYFUNCTION("GOOGLETRANSLATE(A107,""zh-tw"",""es-MX"")"),"Algunos monstruos glotones se dejan tentar fácilmente por armas con forma de comida, como Asaba y los orcos. En estos casos, es más probable que se les mate por la fuerza.")</f>
        <v>Algunos monstruos glotones se dejan tentar fácilmente por armas con forma de comida, como Asaba y los orcos. En estos casos, es más probable que se les mate por la fuerza.</v>
      </c>
      <c r="F107" s="579"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181" t="s">
        <v>13407</v>
      </c>
      <c r="H107" s="585" t="s">
        <v>13408</v>
      </c>
      <c r="I107" s="97" t="s">
        <v>13409</v>
      </c>
      <c r="J107" s="583" t="s">
        <v>13410</v>
      </c>
      <c r="K107" s="100" t="s">
        <v>13411</v>
      </c>
      <c r="L107" s="584" t="s">
        <v>13412</v>
      </c>
      <c r="M107" s="87"/>
      <c r="N107" s="87"/>
      <c r="O107" s="87"/>
      <c r="P107" s="87"/>
      <c r="Q107" s="87"/>
      <c r="R107" s="87"/>
      <c r="S107" s="87"/>
      <c r="T107" s="87"/>
      <c r="U107" s="87"/>
      <c r="V107" s="87"/>
      <c r="W107" s="87"/>
      <c r="X107" s="87"/>
      <c r="Y107" s="87"/>
    </row>
    <row r="108">
      <c r="A108" s="97" t="s">
        <v>13413</v>
      </c>
      <c r="B108" s="578" t="s">
        <v>13414</v>
      </c>
      <c r="C108" s="97" t="s">
        <v>13415</v>
      </c>
      <c r="D108" s="578"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100" t="str">
        <f>IFERROR(__xludf.DUMMYFUNCTION("GOOGLETRANSLATE(A108,""zh-tw"",""es-MX"")"),"El clima lluvioso proporciona una bonificación del 30-50% a las probabilidades de pesca, pero solo cuando la lluvia es visible en la pantalla (no hay bonificación en interiores/en mazmorras); el clima nublado proporciona una bonificación del 15-25%, pero "&amp;"se aplica a todo el mapa.")</f>
        <v>El clima lluvioso proporciona una bonificación del 30-50% a las probabilidades de pesca, pero solo cuando la lluvia es visible en la pantalla (no hay bonificación en interiores/en mazmorras); el clima nublado proporciona una bonificación del 15-25%, pero se aplica a todo el mapa.</v>
      </c>
      <c r="F108" s="579"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181" t="s">
        <v>13416</v>
      </c>
      <c r="H108" s="585" t="s">
        <v>13417</v>
      </c>
      <c r="I108" s="97" t="s">
        <v>13418</v>
      </c>
      <c r="J108" s="583" t="s">
        <v>13419</v>
      </c>
      <c r="K108" s="100" t="s">
        <v>13420</v>
      </c>
      <c r="L108" s="584" t="s">
        <v>13421</v>
      </c>
      <c r="M108" s="87"/>
      <c r="N108" s="87"/>
      <c r="O108" s="87"/>
      <c r="P108" s="87"/>
      <c r="Q108" s="87"/>
      <c r="R108" s="87"/>
      <c r="S108" s="87"/>
      <c r="T108" s="87"/>
      <c r="U108" s="87"/>
      <c r="V108" s="87"/>
      <c r="W108" s="87"/>
      <c r="X108" s="87"/>
      <c r="Y108" s="87"/>
    </row>
    <row r="109">
      <c r="A109" s="97" t="s">
        <v>13422</v>
      </c>
      <c r="B109" s="578" t="s">
        <v>13423</v>
      </c>
      <c r="C109" s="97" t="s">
        <v>13424</v>
      </c>
      <c r="D109" s="578"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100" t="str">
        <f>IFERROR(__xludf.DUMMYFUNCTION("GOOGLETRANSLATE(A109,""zh-tw"",""es-MX"")"),"Cada fresa del mapa tiene un 10 % de probabilidad de generar ASABA. Cuantas más fresas tenga el hermano mayor, mayor será la probabilidad de que aparezca ASABA. Cada fresa aumenta la probabilidad en un 0,5 %, y se puede usar un máximo de 100 fresas (lo qu"&amp;"e aumenta la probabilidad en un 50 %).")</f>
        <v>Cada fresa del mapa tiene un 10 % de probabilidad de generar ASABA. Cuantas más fresas tenga el hermano mayor, mayor será la probabilidad de que aparezca ASABA. Cada fresa aumenta la probabilidad en un 0,5 %, y se puede usar un máximo de 100 fresas (lo que aumenta la probabilidad en un 50 %).</v>
      </c>
      <c r="F109" s="579"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181" t="s">
        <v>13425</v>
      </c>
      <c r="H109" s="585" t="s">
        <v>13426</v>
      </c>
      <c r="I109" s="100"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J109" s="581" t="s">
        <v>13427</v>
      </c>
      <c r="K109" s="100" t="s">
        <v>13428</v>
      </c>
      <c r="L109" s="584" t="s">
        <v>13429</v>
      </c>
      <c r="M109" s="87"/>
      <c r="N109" s="87"/>
      <c r="O109" s="87"/>
      <c r="P109" s="87"/>
      <c r="Q109" s="87"/>
      <c r="R109" s="87"/>
      <c r="S109" s="87"/>
      <c r="T109" s="87"/>
      <c r="U109" s="87"/>
      <c r="V109" s="87"/>
      <c r="W109" s="87"/>
      <c r="X109" s="87"/>
      <c r="Y109" s="87"/>
    </row>
    <row r="110">
      <c r="A110" s="97" t="s">
        <v>13430</v>
      </c>
      <c r="B110" s="578" t="s">
        <v>13431</v>
      </c>
      <c r="C110" s="97" t="s">
        <v>13432</v>
      </c>
      <c r="D110" s="578" t="s">
        <v>13433</v>
      </c>
      <c r="E110" s="100" t="str">
        <f>IFERROR(__xludf.DUMMYFUNCTION("GOOGLETRANSLATE(A110,""zh-tw"",""es-MX"")"),"Puedes ver la televisión en la sala de estar en horario habitual.
18:00-19:00: Ver Rabbit News
19:00-20:00: Ver el pronóstico del tiempo
20:00-21:00: Ver programas de cocina (algunos días, se emitirá anime de chicas mágicas)
21:00-22:00: No hay progra"&amp;"mación disponible
22:00-23:00: No hay programación disponible (pero se permiten cintas de vídeo).
En el futuro, se prevé que se muestren diferentes contenidos visuales cada día (por ejemplo, noticias, recetas, platos curiosos, sorpresas, etc.).")</f>
        <v>Puedes ver la televisión en la sala de estar en horario habitual.
18:00-19:00: Ver Rabbit News
19:00-20:00: Ver el pronóstico del tiempo
20:00-21:00: Ver programas de cocina (algunos días, se emitirá anime de chicas mágicas)
21:00-22:00: No hay programación disponible
22:00-23:00: No hay programación disponible (pero se permiten cintas de vídeo).
En el futuro, se prevé que se muestren diferentes contenidos visuales cada día (por ejemplo, noticias, recetas, platos curiosos, sorpresas, etc.).</v>
      </c>
      <c r="F110" s="579"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181" t="s">
        <v>13434</v>
      </c>
      <c r="H110" s="585" t="s">
        <v>13435</v>
      </c>
      <c r="I110" s="86" t="s">
        <v>13436</v>
      </c>
      <c r="J110" s="588" t="s">
        <v>13437</v>
      </c>
      <c r="K110" s="100" t="s">
        <v>13438</v>
      </c>
      <c r="L110" s="584" t="s">
        <v>13439</v>
      </c>
      <c r="M110" s="87"/>
      <c r="N110" s="87"/>
      <c r="O110" s="87"/>
      <c r="P110" s="87"/>
      <c r="Q110" s="87"/>
      <c r="R110" s="87"/>
      <c r="S110" s="87"/>
      <c r="T110" s="87"/>
      <c r="U110" s="87"/>
      <c r="V110" s="87"/>
      <c r="W110" s="87"/>
      <c r="X110" s="87"/>
      <c r="Y110" s="87"/>
    </row>
    <row r="111">
      <c r="A111" s="97" t="s">
        <v>13440</v>
      </c>
      <c r="B111" s="578" t="s">
        <v>13441</v>
      </c>
      <c r="C111" s="97" t="s">
        <v>13442</v>
      </c>
      <c r="D111" s="578" t="s">
        <v>13443</v>
      </c>
      <c r="E111" s="97" t="s">
        <v>13444</v>
      </c>
      <c r="F111" s="579"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화"&amp;"나게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153" t="s">
        <v>13445</v>
      </c>
      <c r="H111" s="585" t="s">
        <v>13446</v>
      </c>
      <c r="I111" s="97" t="s">
        <v>13447</v>
      </c>
      <c r="J111" s="588" t="s">
        <v>13448</v>
      </c>
      <c r="K111" s="97" t="s">
        <v>13449</v>
      </c>
      <c r="L111" s="584" t="s">
        <v>13450</v>
      </c>
      <c r="M111" s="277"/>
      <c r="N111" s="87"/>
      <c r="O111" s="87"/>
      <c r="P111" s="87"/>
      <c r="Q111" s="87"/>
      <c r="R111" s="87"/>
      <c r="S111" s="87"/>
      <c r="T111" s="87"/>
      <c r="U111" s="87"/>
      <c r="V111" s="87"/>
      <c r="W111" s="87"/>
      <c r="X111" s="87"/>
      <c r="Y111" s="87"/>
    </row>
    <row r="112">
      <c r="A112" s="100" t="s">
        <v>13451</v>
      </c>
      <c r="B112" s="579" t="s">
        <v>13452</v>
      </c>
      <c r="C112" s="97" t="s">
        <v>13453</v>
      </c>
      <c r="D112" s="579" t="s">
        <v>13454</v>
      </c>
      <c r="E112" s="100" t="str">
        <f>IFERROR(__xludf.DUMMYFUNCTION("GOOGLETRANSLATE(A112,""zh-tw"",""es-MX"")"),"Los boletos no se pueden descartar y se acumulan, aumentando tu saldo de multas.
Las multas se deducen únicamente en el momento de la compra; no se volverán negativas si no tienes suficientes monedas.
Tener varios boletos no genera multas.
Las multas equ"&amp;"ivalen a la mitad del precio normal del artículo (1/4 del precio del carrito).
Por ejemplo: si un artículo cuesta 500 y el carrito se vende por 1000, la multa será de 250.")</f>
        <v>Los boletos no se pueden descartar y se acumulan, aumentando tu saldo de multas.
Las multas se deducen únicamente en el momento de la compra; no se volverán negativas si no tienes suficientes monedas.
Tener varios boletos no genera multas.
Las multas equivalen a la mitad del precio normal del artículo (1/4 del precio del carrito).
Por ejemplo: si un artículo cuesta 500 y el carrito se vende por 1000, la multa será de 250.</v>
      </c>
      <c r="F112" s="579"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181" t="s">
        <v>13455</v>
      </c>
      <c r="H112" s="585" t="s">
        <v>13456</v>
      </c>
      <c r="I112" s="100" t="s">
        <v>13457</v>
      </c>
      <c r="J112" s="589" t="s">
        <v>13458</v>
      </c>
      <c r="K112" s="100" t="s">
        <v>13459</v>
      </c>
      <c r="L112" s="579" t="s">
        <v>13460</v>
      </c>
      <c r="M112" s="87"/>
      <c r="N112" s="87"/>
      <c r="O112" s="87"/>
      <c r="P112" s="87"/>
      <c r="Q112" s="87"/>
      <c r="R112" s="87"/>
      <c r="S112" s="87"/>
      <c r="T112" s="87"/>
      <c r="U112" s="87"/>
      <c r="V112" s="87"/>
      <c r="W112" s="87"/>
      <c r="X112" s="87"/>
      <c r="Y112" s="87"/>
    </row>
    <row r="113">
      <c r="A113" s="97" t="s">
        <v>13461</v>
      </c>
      <c r="B113" s="578" t="s">
        <v>13462</v>
      </c>
      <c r="C113" s="97" t="s">
        <v>13463</v>
      </c>
      <c r="D113" s="578" t="s">
        <v>13464</v>
      </c>
      <c r="E113" s="100" t="str">
        <f>IFERROR(__xludf.DUMMYFUNCTION("GOOGLETRANSLATE(A113,""zh-tw"",""es-MX"")"),"Actualmente, los jugadores no tienen forma de controlar la ""Concentración de Aura Abisal"".
Al derrotar monstruos en la mazmorra, se acumula Aura Abisal, la cual disminuye un porcentaje fijo cada día o desaparece cuando aparece un Pilar Sellado.
Consej"&amp;"o: Aprovechar la aversión de los monstruos a los malos olores puede hacer que el combate sea más efectivo.")</f>
        <v>Actualmente, los jugadores no tienen forma de controlar la "Concentración de Aura Abisal".
Al derrotar monstruos en la mazmorra, se acumula Aura Abisal, la cual disminuye un porcentaje fijo cada día o desaparece cuando aparece un Pilar Sellado.
Consejo: Aprovechar la aversión de los monstruos a los malos olores puede hacer que el combate sea más efectivo.</v>
      </c>
      <c r="F113" s="579"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완전히 사라집니다.
팁: 몬스터가 악취를 싫어한다는 점을 이용하면 전투 효율을 높일 수 있습니다.")</f>
        <v>현재 플레이어는 "심연의 기운 농도"를 확인할 방법이 없습니다.
던전에서 몬스터를 처치하면 심연의 기운이 축적되며, 이는 매일 일정 비율로 감소하거나 봉인된 기둥이 나타나면 완전히 사라집니다.
팁: 몬스터가 악취를 싫어한다는 점을 이용하면 전투 효율을 높일 수 있습니다.</v>
      </c>
      <c r="G113" s="164" t="s">
        <v>13465</v>
      </c>
      <c r="H113" s="585" t="s">
        <v>13466</v>
      </c>
      <c r="I113" s="100" t="s">
        <v>13467</v>
      </c>
      <c r="J113" s="590" t="s">
        <v>13468</v>
      </c>
      <c r="K113" s="100" t="s">
        <v>13469</v>
      </c>
      <c r="L113" s="579" t="s">
        <v>13470</v>
      </c>
      <c r="M113" s="87"/>
      <c r="N113" s="87"/>
      <c r="O113" s="87"/>
      <c r="P113" s="87"/>
      <c r="Q113" s="87"/>
      <c r="R113" s="87"/>
      <c r="S113" s="87"/>
      <c r="T113" s="87"/>
      <c r="U113" s="87"/>
      <c r="V113" s="87"/>
      <c r="W113" s="87"/>
      <c r="X113" s="87"/>
      <c r="Y113" s="87"/>
    </row>
    <row r="114">
      <c r="A114" s="100" t="s">
        <v>13471</v>
      </c>
      <c r="B114" s="579" t="s">
        <v>13472</v>
      </c>
      <c r="C114" s="100" t="s">
        <v>13473</v>
      </c>
      <c r="D114" s="579" t="s">
        <v>13474</v>
      </c>
      <c r="E114" s="100" t="s">
        <v>13475</v>
      </c>
      <c r="F114" s="579" t="s">
        <v>13476</v>
      </c>
      <c r="G114" s="181" t="s">
        <v>13477</v>
      </c>
      <c r="H114" s="585" t="s">
        <v>13478</v>
      </c>
      <c r="I114" s="100" t="s">
        <v>13479</v>
      </c>
      <c r="J114" s="589" t="s">
        <v>13480</v>
      </c>
      <c r="K114" s="100" t="s">
        <v>13481</v>
      </c>
      <c r="L114" s="579" t="s">
        <v>13482</v>
      </c>
      <c r="M114" s="87"/>
      <c r="N114" s="87"/>
      <c r="O114" s="87"/>
      <c r="P114" s="87"/>
      <c r="Q114" s="87"/>
      <c r="R114" s="87"/>
      <c r="S114" s="87"/>
      <c r="T114" s="87"/>
      <c r="U114" s="87"/>
      <c r="V114" s="87"/>
      <c r="W114" s="87"/>
      <c r="X114" s="87"/>
      <c r="Y114" s="87"/>
    </row>
    <row r="115">
      <c r="A115" s="100" t="s">
        <v>13483</v>
      </c>
      <c r="B115" s="579" t="s">
        <v>13484</v>
      </c>
      <c r="C115" s="100" t="s">
        <v>13485</v>
      </c>
      <c r="D115" s="579" t="s">
        <v>13486</v>
      </c>
      <c r="E115" s="100" t="s">
        <v>13487</v>
      </c>
      <c r="F115" s="579" t="s">
        <v>13488</v>
      </c>
      <c r="G115" s="181" t="s">
        <v>13489</v>
      </c>
      <c r="H115" s="585" t="s">
        <v>13490</v>
      </c>
      <c r="I115" s="100" t="s">
        <v>13491</v>
      </c>
      <c r="J115" s="589" t="s">
        <v>13492</v>
      </c>
      <c r="K115" s="100" t="s">
        <v>13493</v>
      </c>
      <c r="L115" s="579" t="s">
        <v>13494</v>
      </c>
      <c r="M115" s="87"/>
      <c r="N115" s="87"/>
      <c r="O115" s="87"/>
      <c r="P115" s="87"/>
      <c r="Q115" s="87"/>
      <c r="R115" s="87"/>
      <c r="S115" s="87"/>
      <c r="T115" s="87"/>
      <c r="U115" s="87"/>
      <c r="V115" s="87"/>
      <c r="W115" s="87"/>
      <c r="X115" s="87"/>
      <c r="Y115" s="87"/>
    </row>
    <row r="116">
      <c r="A116" s="100" t="s">
        <v>13495</v>
      </c>
      <c r="B116" s="579" t="s">
        <v>13496</v>
      </c>
      <c r="C116" s="100" t="s">
        <v>13497</v>
      </c>
      <c r="D116" s="579" t="s">
        <v>13498</v>
      </c>
      <c r="E116" s="100" t="s">
        <v>13499</v>
      </c>
      <c r="F116" s="579" t="s">
        <v>13500</v>
      </c>
      <c r="G116" s="181" t="s">
        <v>13501</v>
      </c>
      <c r="H116" s="585" t="s">
        <v>13502</v>
      </c>
      <c r="I116" s="100" t="s">
        <v>13503</v>
      </c>
      <c r="J116" s="590" t="s">
        <v>13504</v>
      </c>
      <c r="K116" s="100" t="s">
        <v>13505</v>
      </c>
      <c r="L116" s="579" t="s">
        <v>13497</v>
      </c>
      <c r="M116" s="87"/>
      <c r="N116" s="87"/>
      <c r="O116" s="87"/>
      <c r="P116" s="87"/>
      <c r="Q116" s="87"/>
      <c r="R116" s="87"/>
      <c r="S116" s="87"/>
      <c r="T116" s="87"/>
      <c r="U116" s="87"/>
      <c r="V116" s="87"/>
      <c r="W116" s="87"/>
      <c r="X116" s="87"/>
      <c r="Y116" s="87"/>
    </row>
    <row r="117">
      <c r="A117" s="100" t="s">
        <v>13506</v>
      </c>
      <c r="B117" s="579" t="s">
        <v>13507</v>
      </c>
      <c r="C117" s="100" t="s">
        <v>13508</v>
      </c>
      <c r="D117" s="579" t="s">
        <v>13509</v>
      </c>
      <c r="E117" s="100" t="s">
        <v>13510</v>
      </c>
      <c r="F117" s="579" t="s">
        <v>13511</v>
      </c>
      <c r="G117" s="181" t="s">
        <v>13512</v>
      </c>
      <c r="H117" s="585" t="s">
        <v>13513</v>
      </c>
      <c r="I117" s="100" t="s">
        <v>13514</v>
      </c>
      <c r="J117" s="590" t="s">
        <v>13515</v>
      </c>
      <c r="K117" s="100" t="s">
        <v>13516</v>
      </c>
      <c r="L117" s="579" t="s">
        <v>13508</v>
      </c>
      <c r="M117" s="87"/>
      <c r="N117" s="87"/>
      <c r="O117" s="87"/>
      <c r="P117" s="87"/>
      <c r="Q117" s="87"/>
      <c r="R117" s="87"/>
      <c r="S117" s="87"/>
      <c r="T117" s="87"/>
      <c r="U117" s="87"/>
      <c r="V117" s="87"/>
      <c r="W117" s="87"/>
      <c r="X117" s="87"/>
      <c r="Y117" s="87"/>
    </row>
    <row r="118">
      <c r="A118" s="97" t="s">
        <v>13517</v>
      </c>
      <c r="B118" s="578" t="s">
        <v>13518</v>
      </c>
      <c r="C118" s="97" t="s">
        <v>13519</v>
      </c>
      <c r="D118" s="578" t="s">
        <v>13520</v>
      </c>
      <c r="E118" s="100"/>
      <c r="F118" s="579"/>
      <c r="G118" s="153" t="s">
        <v>13521</v>
      </c>
      <c r="H118" s="578" t="s">
        <v>13522</v>
      </c>
      <c r="I118" s="100"/>
      <c r="J118" s="581" t="s">
        <v>13523</v>
      </c>
      <c r="K118" s="97" t="s">
        <v>13524</v>
      </c>
      <c r="L118" s="579"/>
      <c r="M118" s="87"/>
      <c r="N118" s="87"/>
      <c r="O118" s="87"/>
      <c r="P118" s="87"/>
      <c r="Q118" s="87"/>
      <c r="R118" s="87"/>
      <c r="S118" s="87"/>
      <c r="T118" s="87"/>
      <c r="U118" s="87"/>
      <c r="V118" s="87"/>
      <c r="W118" s="87"/>
      <c r="X118" s="87"/>
      <c r="Y118" s="87"/>
    </row>
    <row r="119">
      <c r="A119" s="97" t="s">
        <v>13525</v>
      </c>
      <c r="B119" s="578" t="s">
        <v>13526</v>
      </c>
      <c r="C119" s="97" t="s">
        <v>13527</v>
      </c>
      <c r="D119" s="578" t="s">
        <v>13528</v>
      </c>
      <c r="E119" s="100"/>
      <c r="F119" s="579"/>
      <c r="G119" s="153" t="s">
        <v>13529</v>
      </c>
      <c r="H119" s="578" t="s">
        <v>13530</v>
      </c>
      <c r="I119" s="100"/>
      <c r="J119" s="581" t="s">
        <v>13531</v>
      </c>
      <c r="K119" s="97" t="s">
        <v>13532</v>
      </c>
      <c r="L119" s="579"/>
      <c r="M119" s="87"/>
      <c r="N119" s="87"/>
      <c r="O119" s="87"/>
      <c r="P119" s="87"/>
      <c r="Q119" s="87"/>
      <c r="R119" s="87"/>
      <c r="S119" s="87"/>
      <c r="T119" s="87"/>
      <c r="U119" s="87"/>
      <c r="V119" s="87"/>
      <c r="W119" s="87"/>
      <c r="X119" s="87"/>
      <c r="Y119" s="87"/>
    </row>
    <row r="120">
      <c r="A120" s="97" t="s">
        <v>13533</v>
      </c>
      <c r="B120" s="578" t="s">
        <v>13534</v>
      </c>
      <c r="C120" s="97" t="s">
        <v>13535</v>
      </c>
      <c r="D120" s="578" t="s">
        <v>13536</v>
      </c>
      <c r="E120" s="100"/>
      <c r="F120" s="579"/>
      <c r="G120" s="153" t="s">
        <v>13537</v>
      </c>
      <c r="H120" s="578" t="s">
        <v>13538</v>
      </c>
      <c r="I120" s="100"/>
      <c r="J120" s="581" t="s">
        <v>13539</v>
      </c>
      <c r="K120" s="97" t="s">
        <v>13540</v>
      </c>
      <c r="L120" s="579"/>
      <c r="M120" s="87"/>
      <c r="N120" s="87"/>
      <c r="O120" s="87"/>
      <c r="P120" s="87"/>
      <c r="Q120" s="87"/>
      <c r="R120" s="87"/>
      <c r="S120" s="87"/>
      <c r="T120" s="87"/>
      <c r="U120" s="87"/>
      <c r="V120" s="87"/>
      <c r="W120" s="87"/>
      <c r="X120" s="87"/>
      <c r="Y120" s="87"/>
    </row>
    <row r="121" ht="1170.0" customHeight="1">
      <c r="A121" s="97" t="s">
        <v>13541</v>
      </c>
      <c r="B121" s="578" t="s">
        <v>13542</v>
      </c>
      <c r="C121" s="97" t="s">
        <v>13543</v>
      </c>
      <c r="D121" s="578" t="s">
        <v>13544</v>
      </c>
      <c r="E121" s="100"/>
      <c r="F121" s="579"/>
      <c r="G121" s="591" t="s">
        <v>13545</v>
      </c>
      <c r="H121" s="592" t="s">
        <v>13546</v>
      </c>
      <c r="I121" s="100"/>
      <c r="J121" s="581" t="s">
        <v>13547</v>
      </c>
      <c r="K121" s="533" t="s">
        <v>13548</v>
      </c>
      <c r="L121" s="579"/>
      <c r="M121" s="87"/>
      <c r="N121" s="87"/>
      <c r="O121" s="87"/>
      <c r="P121" s="87"/>
      <c r="Q121" s="87"/>
      <c r="R121" s="87"/>
      <c r="S121" s="87"/>
      <c r="T121" s="87"/>
      <c r="U121" s="87"/>
      <c r="V121" s="87"/>
      <c r="W121" s="87"/>
      <c r="X121" s="87"/>
      <c r="Y121" s="87"/>
    </row>
    <row r="122" ht="1053.0" customHeight="1">
      <c r="A122" s="593" t="s">
        <v>13549</v>
      </c>
      <c r="B122" s="594" t="s">
        <v>13550</v>
      </c>
      <c r="C122" s="593" t="s">
        <v>13551</v>
      </c>
      <c r="D122" s="594" t="s">
        <v>13552</v>
      </c>
      <c r="E122" s="595"/>
      <c r="F122" s="596"/>
      <c r="G122" s="597" t="s">
        <v>13553</v>
      </c>
      <c r="H122" s="598" t="s">
        <v>13554</v>
      </c>
      <c r="I122" s="595"/>
      <c r="J122" s="599" t="s">
        <v>13555</v>
      </c>
      <c r="K122" s="593" t="s">
        <v>13556</v>
      </c>
      <c r="L122" s="596"/>
      <c r="M122" s="600"/>
      <c r="N122" s="600"/>
      <c r="O122" s="600"/>
      <c r="P122" s="600"/>
      <c r="Q122" s="600"/>
      <c r="R122" s="600"/>
      <c r="S122" s="600"/>
      <c r="T122" s="600"/>
      <c r="U122" s="600"/>
      <c r="V122" s="600"/>
      <c r="W122" s="600"/>
      <c r="X122" s="600"/>
      <c r="Y122" s="600"/>
    </row>
    <row r="123" ht="134.25" customHeight="1">
      <c r="A123" s="97" t="s">
        <v>13557</v>
      </c>
      <c r="B123" s="578" t="s">
        <v>13558</v>
      </c>
      <c r="C123" s="97" t="s">
        <v>13559</v>
      </c>
      <c r="D123" s="578" t="s">
        <v>13560</v>
      </c>
      <c r="E123" s="100"/>
      <c r="F123" s="579"/>
      <c r="G123" s="153" t="s">
        <v>13561</v>
      </c>
      <c r="H123" s="582" t="s">
        <v>13562</v>
      </c>
      <c r="I123" s="100"/>
      <c r="J123" s="581" t="s">
        <v>13563</v>
      </c>
      <c r="K123" s="97" t="s">
        <v>13564</v>
      </c>
      <c r="L123" s="579"/>
      <c r="M123" s="87"/>
      <c r="N123" s="87"/>
      <c r="O123" s="87"/>
      <c r="P123" s="87"/>
      <c r="Q123" s="87"/>
      <c r="R123" s="87"/>
      <c r="S123" s="87"/>
      <c r="T123" s="87"/>
      <c r="U123" s="87"/>
      <c r="V123" s="87"/>
      <c r="W123" s="87"/>
      <c r="X123" s="87"/>
      <c r="Y123" s="87"/>
    </row>
    <row r="124">
      <c r="A124" s="97" t="s">
        <v>13565</v>
      </c>
      <c r="B124" s="578" t="s">
        <v>13566</v>
      </c>
      <c r="C124" s="97" t="s">
        <v>13567</v>
      </c>
      <c r="D124" s="579"/>
      <c r="E124" s="100"/>
      <c r="F124" s="579"/>
      <c r="G124" s="100"/>
      <c r="H124" s="601"/>
      <c r="I124" s="100"/>
      <c r="J124" s="583"/>
      <c r="K124" s="100"/>
      <c r="L124" s="579"/>
      <c r="M124" s="87"/>
      <c r="N124" s="87"/>
      <c r="O124" s="87"/>
      <c r="P124" s="87"/>
      <c r="Q124" s="87"/>
      <c r="R124" s="87"/>
      <c r="S124" s="87"/>
      <c r="T124" s="87"/>
      <c r="U124" s="87"/>
      <c r="V124" s="87"/>
      <c r="W124" s="87"/>
      <c r="X124" s="87"/>
      <c r="Y124" s="87"/>
    </row>
    <row r="125">
      <c r="A125" s="100"/>
      <c r="B125" s="579"/>
      <c r="C125" s="100"/>
      <c r="D125" s="579"/>
      <c r="E125" s="100"/>
      <c r="F125" s="579"/>
      <c r="G125" s="100"/>
      <c r="H125" s="601"/>
      <c r="I125" s="100"/>
      <c r="J125" s="583"/>
      <c r="K125" s="100"/>
      <c r="L125" s="579"/>
      <c r="M125" s="87"/>
      <c r="N125" s="87"/>
      <c r="O125" s="87"/>
      <c r="P125" s="87"/>
      <c r="Q125" s="87"/>
      <c r="R125" s="87"/>
      <c r="S125" s="87"/>
      <c r="T125" s="87"/>
      <c r="U125" s="87"/>
      <c r="V125" s="87"/>
      <c r="W125" s="87"/>
      <c r="X125" s="87"/>
      <c r="Y125" s="87"/>
    </row>
    <row r="126">
      <c r="A126" s="100"/>
      <c r="B126" s="579"/>
      <c r="C126" s="100"/>
      <c r="D126" s="579"/>
      <c r="E126" s="100"/>
      <c r="F126" s="579"/>
      <c r="G126" s="100"/>
      <c r="H126" s="601"/>
      <c r="I126" s="100"/>
      <c r="J126" s="583"/>
      <c r="K126" s="100"/>
      <c r="L126" s="579"/>
      <c r="M126" s="87"/>
      <c r="N126" s="87"/>
      <c r="O126" s="87"/>
      <c r="P126" s="87"/>
      <c r="Q126" s="87"/>
      <c r="R126" s="87"/>
      <c r="S126" s="87"/>
      <c r="T126" s="87"/>
      <c r="U126" s="87"/>
      <c r="V126" s="87"/>
      <c r="W126" s="87"/>
      <c r="X126" s="87"/>
      <c r="Y126" s="87"/>
    </row>
    <row r="127">
      <c r="A127" s="100"/>
      <c r="B127" s="579"/>
      <c r="C127" s="100"/>
      <c r="D127" s="579"/>
      <c r="E127" s="100"/>
      <c r="F127" s="579"/>
      <c r="G127" s="100"/>
      <c r="H127" s="601"/>
      <c r="I127" s="100"/>
      <c r="J127" s="583"/>
      <c r="K127" s="100"/>
      <c r="L127" s="579"/>
      <c r="M127" s="87"/>
      <c r="N127" s="87"/>
      <c r="O127" s="87"/>
      <c r="P127" s="87"/>
      <c r="Q127" s="87"/>
      <c r="R127" s="87"/>
      <c r="S127" s="87"/>
      <c r="T127" s="87"/>
      <c r="U127" s="87"/>
      <c r="V127" s="87"/>
      <c r="W127" s="87"/>
      <c r="X127" s="87"/>
      <c r="Y127" s="87"/>
    </row>
    <row r="128">
      <c r="A128" s="100"/>
      <c r="B128" s="579"/>
      <c r="C128" s="100"/>
      <c r="D128" s="579"/>
      <c r="E128" s="100"/>
      <c r="F128" s="579"/>
      <c r="G128" s="100"/>
      <c r="H128" s="601"/>
      <c r="I128" s="100"/>
      <c r="J128" s="583"/>
      <c r="K128" s="100"/>
      <c r="L128" s="579"/>
      <c r="M128" s="87"/>
      <c r="N128" s="87"/>
      <c r="O128" s="87"/>
      <c r="P128" s="87"/>
      <c r="Q128" s="87"/>
      <c r="R128" s="87"/>
      <c r="S128" s="87"/>
      <c r="T128" s="87"/>
      <c r="U128" s="87"/>
      <c r="V128" s="87"/>
      <c r="W128" s="87"/>
      <c r="X128" s="87"/>
      <c r="Y128" s="87"/>
    </row>
    <row r="129">
      <c r="A129" s="100"/>
      <c r="B129" s="579"/>
      <c r="C129" s="100"/>
      <c r="D129" s="579"/>
      <c r="E129" s="100"/>
      <c r="F129" s="579"/>
      <c r="G129" s="100"/>
      <c r="H129" s="601"/>
      <c r="I129" s="100"/>
      <c r="J129" s="583"/>
      <c r="K129" s="100"/>
      <c r="L129" s="579"/>
      <c r="M129" s="87"/>
      <c r="N129" s="87"/>
      <c r="O129" s="87"/>
      <c r="P129" s="87"/>
      <c r="Q129" s="87"/>
      <c r="R129" s="87"/>
      <c r="S129" s="87"/>
      <c r="T129" s="87"/>
      <c r="U129" s="87"/>
      <c r="V129" s="87"/>
      <c r="W129" s="87"/>
      <c r="X129" s="87"/>
      <c r="Y129" s="87"/>
    </row>
    <row r="130">
      <c r="A130" s="100"/>
      <c r="B130" s="579"/>
      <c r="C130" s="100"/>
      <c r="D130" s="579"/>
      <c r="E130" s="100"/>
      <c r="F130" s="579"/>
      <c r="G130" s="100"/>
      <c r="H130" s="601"/>
      <c r="I130" s="100"/>
      <c r="J130" s="583"/>
      <c r="K130" s="100"/>
      <c r="L130" s="579"/>
      <c r="M130" s="87"/>
      <c r="N130" s="87"/>
      <c r="O130" s="87"/>
      <c r="P130" s="87"/>
      <c r="Q130" s="87"/>
      <c r="R130" s="87"/>
      <c r="S130" s="87"/>
      <c r="T130" s="87"/>
      <c r="U130" s="87"/>
      <c r="V130" s="87"/>
      <c r="W130" s="87"/>
      <c r="X130" s="87"/>
      <c r="Y130" s="87"/>
    </row>
    <row r="131">
      <c r="A131" s="100"/>
      <c r="B131" s="579"/>
      <c r="C131" s="100"/>
      <c r="D131" s="579"/>
      <c r="E131" s="100"/>
      <c r="F131" s="579"/>
      <c r="G131" s="100"/>
      <c r="H131" s="601"/>
      <c r="I131" s="100"/>
      <c r="J131" s="583"/>
      <c r="K131" s="100"/>
      <c r="L131" s="579"/>
      <c r="M131" s="87"/>
      <c r="N131" s="87"/>
      <c r="O131" s="87"/>
      <c r="P131" s="87"/>
      <c r="Q131" s="87"/>
      <c r="R131" s="87"/>
      <c r="S131" s="87"/>
      <c r="T131" s="87"/>
      <c r="U131" s="87"/>
      <c r="V131" s="87"/>
      <c r="W131" s="87"/>
      <c r="X131" s="87"/>
      <c r="Y131" s="87"/>
    </row>
    <row r="132">
      <c r="A132" s="100"/>
      <c r="B132" s="579"/>
      <c r="C132" s="100"/>
      <c r="D132" s="579"/>
      <c r="E132" s="100"/>
      <c r="F132" s="579"/>
      <c r="G132" s="100"/>
      <c r="H132" s="601"/>
      <c r="I132" s="100"/>
      <c r="J132" s="583"/>
      <c r="K132" s="100"/>
      <c r="L132" s="579"/>
      <c r="M132" s="87"/>
      <c r="N132" s="87"/>
      <c r="O132" s="87"/>
      <c r="P132" s="87"/>
      <c r="Q132" s="87"/>
      <c r="R132" s="87"/>
      <c r="S132" s="87"/>
      <c r="T132" s="87"/>
      <c r="U132" s="87"/>
      <c r="V132" s="87"/>
      <c r="W132" s="87"/>
      <c r="X132" s="87"/>
      <c r="Y132" s="87"/>
    </row>
    <row r="133">
      <c r="A133" s="100"/>
      <c r="B133" s="579"/>
      <c r="C133" s="100"/>
      <c r="D133" s="579"/>
      <c r="E133" s="100"/>
      <c r="F133" s="579"/>
      <c r="G133" s="100"/>
      <c r="H133" s="601"/>
      <c r="I133" s="100"/>
      <c r="J133" s="583"/>
      <c r="K133" s="100"/>
      <c r="L133" s="579"/>
      <c r="M133" s="87"/>
      <c r="N133" s="87"/>
      <c r="O133" s="87"/>
      <c r="P133" s="87"/>
      <c r="Q133" s="87"/>
      <c r="R133" s="87"/>
      <c r="S133" s="87"/>
      <c r="T133" s="87"/>
      <c r="U133" s="87"/>
      <c r="V133" s="87"/>
      <c r="W133" s="87"/>
      <c r="X133" s="87"/>
      <c r="Y133" s="87"/>
    </row>
    <row r="134">
      <c r="A134" s="100"/>
      <c r="B134" s="579"/>
      <c r="C134" s="100"/>
      <c r="D134" s="579"/>
      <c r="E134" s="100"/>
      <c r="F134" s="579"/>
      <c r="G134" s="100"/>
      <c r="H134" s="601"/>
      <c r="I134" s="100"/>
      <c r="J134" s="583"/>
      <c r="K134" s="100"/>
      <c r="L134" s="579"/>
      <c r="M134" s="87"/>
      <c r="N134" s="87"/>
      <c r="O134" s="87"/>
      <c r="P134" s="87"/>
      <c r="Q134" s="87"/>
      <c r="R134" s="87"/>
      <c r="S134" s="87"/>
      <c r="T134" s="87"/>
      <c r="U134" s="87"/>
      <c r="V134" s="87"/>
      <c r="W134" s="87"/>
      <c r="X134" s="87"/>
      <c r="Y134" s="87"/>
    </row>
    <row r="135">
      <c r="A135" s="100"/>
      <c r="B135" s="579"/>
      <c r="C135" s="100"/>
      <c r="D135" s="579"/>
      <c r="E135" s="100"/>
      <c r="F135" s="579"/>
      <c r="G135" s="100"/>
      <c r="H135" s="601"/>
      <c r="I135" s="100"/>
      <c r="J135" s="583"/>
      <c r="K135" s="100"/>
      <c r="L135" s="579"/>
      <c r="M135" s="87"/>
      <c r="N135" s="87"/>
      <c r="O135" s="87"/>
      <c r="P135" s="87"/>
      <c r="Q135" s="87"/>
      <c r="R135" s="87"/>
      <c r="S135" s="87"/>
      <c r="T135" s="87"/>
      <c r="U135" s="87"/>
      <c r="V135" s="87"/>
      <c r="W135" s="87"/>
      <c r="X135" s="87"/>
      <c r="Y135" s="87"/>
    </row>
    <row r="136">
      <c r="A136" s="100"/>
      <c r="B136" s="579"/>
      <c r="C136" s="100"/>
      <c r="D136" s="579"/>
      <c r="E136" s="100"/>
      <c r="F136" s="579"/>
      <c r="G136" s="100"/>
      <c r="H136" s="601"/>
      <c r="I136" s="100"/>
      <c r="J136" s="583"/>
      <c r="K136" s="100"/>
      <c r="L136" s="579"/>
      <c r="M136" s="87"/>
      <c r="N136" s="87"/>
      <c r="O136" s="87"/>
      <c r="P136" s="87"/>
      <c r="Q136" s="87"/>
      <c r="R136" s="87"/>
      <c r="S136" s="87"/>
      <c r="T136" s="87"/>
      <c r="U136" s="87"/>
      <c r="V136" s="87"/>
      <c r="W136" s="87"/>
      <c r="X136" s="87"/>
      <c r="Y136" s="87"/>
    </row>
    <row r="137">
      <c r="A137" s="100"/>
      <c r="B137" s="579"/>
      <c r="C137" s="100"/>
      <c r="D137" s="579"/>
      <c r="E137" s="100"/>
      <c r="F137" s="579"/>
      <c r="G137" s="100"/>
      <c r="H137" s="601"/>
      <c r="I137" s="100"/>
      <c r="J137" s="583"/>
      <c r="K137" s="100"/>
      <c r="L137" s="579"/>
      <c r="M137" s="87"/>
      <c r="N137" s="87"/>
      <c r="O137" s="87"/>
      <c r="P137" s="87"/>
      <c r="Q137" s="87"/>
      <c r="R137" s="87"/>
      <c r="S137" s="87"/>
      <c r="T137" s="87"/>
      <c r="U137" s="87"/>
      <c r="V137" s="87"/>
      <c r="W137" s="87"/>
      <c r="X137" s="87"/>
      <c r="Y137" s="87"/>
    </row>
    <row r="138">
      <c r="A138" s="100"/>
      <c r="B138" s="579"/>
      <c r="C138" s="100"/>
      <c r="D138" s="579"/>
      <c r="E138" s="100"/>
      <c r="F138" s="579"/>
      <c r="G138" s="100"/>
      <c r="H138" s="601"/>
      <c r="I138" s="100"/>
      <c r="J138" s="583"/>
      <c r="K138" s="100"/>
      <c r="L138" s="579"/>
      <c r="M138" s="87"/>
      <c r="N138" s="87"/>
      <c r="O138" s="87"/>
      <c r="P138" s="87"/>
      <c r="Q138" s="87"/>
      <c r="R138" s="87"/>
      <c r="S138" s="87"/>
      <c r="T138" s="87"/>
      <c r="U138" s="87"/>
      <c r="V138" s="87"/>
      <c r="W138" s="87"/>
      <c r="X138" s="87"/>
      <c r="Y138" s="87"/>
    </row>
    <row r="139">
      <c r="A139" s="100"/>
      <c r="B139" s="579"/>
      <c r="C139" s="100"/>
      <c r="D139" s="579"/>
      <c r="E139" s="100"/>
      <c r="F139" s="579"/>
      <c r="G139" s="100"/>
      <c r="H139" s="601"/>
      <c r="I139" s="100"/>
      <c r="J139" s="583"/>
      <c r="K139" s="100"/>
      <c r="L139" s="579"/>
      <c r="M139" s="87"/>
      <c r="N139" s="87"/>
      <c r="O139" s="87"/>
      <c r="P139" s="87"/>
      <c r="Q139" s="87"/>
      <c r="R139" s="87"/>
      <c r="S139" s="87"/>
      <c r="T139" s="87"/>
      <c r="U139" s="87"/>
      <c r="V139" s="87"/>
      <c r="W139" s="87"/>
      <c r="X139" s="87"/>
      <c r="Y139" s="87"/>
    </row>
    <row r="140">
      <c r="A140" s="100"/>
      <c r="B140" s="579"/>
      <c r="C140" s="100"/>
      <c r="D140" s="579"/>
      <c r="E140" s="100"/>
      <c r="F140" s="579"/>
      <c r="G140" s="100"/>
      <c r="H140" s="601"/>
      <c r="I140" s="100"/>
      <c r="J140" s="583"/>
      <c r="K140" s="100"/>
      <c r="L140" s="579"/>
      <c r="M140" s="87"/>
      <c r="N140" s="87"/>
      <c r="O140" s="87"/>
      <c r="P140" s="87"/>
      <c r="Q140" s="87"/>
      <c r="R140" s="87"/>
      <c r="S140" s="87"/>
      <c r="T140" s="87"/>
      <c r="U140" s="87"/>
      <c r="V140" s="87"/>
      <c r="W140" s="87"/>
      <c r="X140" s="87"/>
      <c r="Y140" s="87"/>
    </row>
    <row r="141">
      <c r="A141" s="100"/>
      <c r="B141" s="579"/>
      <c r="C141" s="100"/>
      <c r="D141" s="579"/>
      <c r="E141" s="100"/>
      <c r="F141" s="579"/>
      <c r="G141" s="100"/>
      <c r="H141" s="601"/>
      <c r="I141" s="100"/>
      <c r="J141" s="583"/>
      <c r="K141" s="100"/>
      <c r="L141" s="579"/>
      <c r="M141" s="87"/>
      <c r="N141" s="87"/>
      <c r="O141" s="87"/>
      <c r="P141" s="87"/>
      <c r="Q141" s="87"/>
      <c r="R141" s="87"/>
      <c r="S141" s="87"/>
      <c r="T141" s="87"/>
      <c r="U141" s="87"/>
      <c r="V141" s="87"/>
      <c r="W141" s="87"/>
      <c r="X141" s="87"/>
      <c r="Y141" s="87"/>
    </row>
    <row r="142">
      <c r="A142" s="100"/>
      <c r="B142" s="579"/>
      <c r="C142" s="100"/>
      <c r="D142" s="579"/>
      <c r="E142" s="100"/>
      <c r="F142" s="579"/>
      <c r="G142" s="100"/>
      <c r="H142" s="601"/>
      <c r="I142" s="100"/>
      <c r="J142" s="583"/>
      <c r="K142" s="100"/>
      <c r="L142" s="579"/>
      <c r="M142" s="87"/>
      <c r="N142" s="87"/>
      <c r="O142" s="87"/>
      <c r="P142" s="87"/>
      <c r="Q142" s="87"/>
      <c r="R142" s="87"/>
      <c r="S142" s="87"/>
      <c r="T142" s="87"/>
      <c r="U142" s="87"/>
      <c r="V142" s="87"/>
      <c r="W142" s="87"/>
      <c r="X142" s="87"/>
      <c r="Y142" s="87"/>
    </row>
    <row r="143">
      <c r="A143" s="100"/>
      <c r="B143" s="579"/>
      <c r="C143" s="100"/>
      <c r="D143" s="579"/>
      <c r="E143" s="100"/>
      <c r="F143" s="579"/>
      <c r="G143" s="100"/>
      <c r="H143" s="601"/>
      <c r="I143" s="100"/>
      <c r="J143" s="583"/>
      <c r="K143" s="100"/>
      <c r="L143" s="579"/>
      <c r="M143" s="87"/>
      <c r="N143" s="87"/>
      <c r="O143" s="87"/>
      <c r="P143" s="87"/>
      <c r="Q143" s="87"/>
      <c r="R143" s="87"/>
      <c r="S143" s="87"/>
      <c r="T143" s="87"/>
      <c r="U143" s="87"/>
      <c r="V143" s="87"/>
      <c r="W143" s="87"/>
      <c r="X143" s="87"/>
      <c r="Y143" s="87"/>
    </row>
    <row r="144">
      <c r="A144" s="100"/>
      <c r="B144" s="579"/>
      <c r="C144" s="100"/>
      <c r="D144" s="579"/>
      <c r="E144" s="100"/>
      <c r="F144" s="579"/>
      <c r="G144" s="100"/>
      <c r="H144" s="601"/>
      <c r="I144" s="100"/>
      <c r="J144" s="583"/>
      <c r="K144" s="100"/>
      <c r="L144" s="579"/>
      <c r="M144" s="87"/>
      <c r="N144" s="87"/>
      <c r="O144" s="87"/>
      <c r="P144" s="87"/>
      <c r="Q144" s="87"/>
      <c r="R144" s="87"/>
      <c r="S144" s="87"/>
      <c r="T144" s="87"/>
      <c r="U144" s="87"/>
      <c r="V144" s="87"/>
      <c r="W144" s="87"/>
      <c r="X144" s="87"/>
      <c r="Y144" s="87"/>
    </row>
    <row r="145">
      <c r="A145" s="100"/>
      <c r="B145" s="579"/>
      <c r="C145" s="100"/>
      <c r="D145" s="579"/>
      <c r="E145" s="100"/>
      <c r="F145" s="579"/>
      <c r="G145" s="100"/>
      <c r="H145" s="601"/>
      <c r="I145" s="100"/>
      <c r="J145" s="583"/>
      <c r="K145" s="100"/>
      <c r="L145" s="579"/>
      <c r="M145" s="87"/>
      <c r="N145" s="87"/>
      <c r="O145" s="87"/>
      <c r="P145" s="87"/>
      <c r="Q145" s="87"/>
      <c r="R145" s="87"/>
      <c r="S145" s="87"/>
      <c r="T145" s="87"/>
      <c r="U145" s="87"/>
      <c r="V145" s="87"/>
      <c r="W145" s="87"/>
      <c r="X145" s="87"/>
      <c r="Y145" s="87"/>
    </row>
    <row r="146">
      <c r="A146" s="100"/>
      <c r="B146" s="579"/>
      <c r="C146" s="100"/>
      <c r="D146" s="579"/>
      <c r="E146" s="100"/>
      <c r="F146" s="579"/>
      <c r="G146" s="100"/>
      <c r="H146" s="601"/>
      <c r="I146" s="100"/>
      <c r="J146" s="583"/>
      <c r="K146" s="100"/>
      <c r="L146" s="579"/>
      <c r="M146" s="87"/>
      <c r="N146" s="87"/>
      <c r="O146" s="87"/>
      <c r="P146" s="87"/>
      <c r="Q146" s="87"/>
      <c r="R146" s="87"/>
      <c r="S146" s="87"/>
      <c r="T146" s="87"/>
      <c r="U146" s="87"/>
      <c r="V146" s="87"/>
      <c r="W146" s="87"/>
      <c r="X146" s="87"/>
      <c r="Y146" s="87"/>
    </row>
    <row r="147">
      <c r="A147" s="100"/>
      <c r="B147" s="579"/>
      <c r="C147" s="100"/>
      <c r="D147" s="579"/>
      <c r="E147" s="100"/>
      <c r="F147" s="579"/>
      <c r="G147" s="100"/>
      <c r="H147" s="601"/>
      <c r="I147" s="100"/>
      <c r="J147" s="583"/>
      <c r="K147" s="100"/>
      <c r="L147" s="579"/>
      <c r="M147" s="87"/>
      <c r="N147" s="87"/>
      <c r="O147" s="87"/>
      <c r="P147" s="87"/>
      <c r="Q147" s="87"/>
      <c r="R147" s="87"/>
      <c r="S147" s="87"/>
      <c r="T147" s="87"/>
      <c r="U147" s="87"/>
      <c r="V147" s="87"/>
      <c r="W147" s="87"/>
      <c r="X147" s="87"/>
      <c r="Y147" s="87"/>
    </row>
    <row r="148">
      <c r="A148" s="100"/>
      <c r="B148" s="579"/>
      <c r="C148" s="100"/>
      <c r="D148" s="579"/>
      <c r="E148" s="100"/>
      <c r="F148" s="579"/>
      <c r="G148" s="100"/>
      <c r="H148" s="601"/>
      <c r="I148" s="100"/>
      <c r="J148" s="583"/>
      <c r="K148" s="100"/>
      <c r="L148" s="579"/>
      <c r="M148" s="87"/>
      <c r="N148" s="87"/>
      <c r="O148" s="87"/>
      <c r="P148" s="87"/>
      <c r="Q148" s="87"/>
      <c r="R148" s="87"/>
      <c r="S148" s="87"/>
      <c r="T148" s="87"/>
      <c r="U148" s="87"/>
      <c r="V148" s="87"/>
      <c r="W148" s="87"/>
      <c r="X148" s="87"/>
      <c r="Y148" s="87"/>
    </row>
    <row r="149">
      <c r="A149" s="100"/>
      <c r="B149" s="579"/>
      <c r="C149" s="100"/>
      <c r="D149" s="579"/>
      <c r="E149" s="100"/>
      <c r="F149" s="579"/>
      <c r="G149" s="100"/>
      <c r="H149" s="601"/>
      <c r="I149" s="100"/>
      <c r="J149" s="583"/>
      <c r="K149" s="100"/>
      <c r="L149" s="579"/>
      <c r="M149" s="87"/>
      <c r="N149" s="87"/>
      <c r="O149" s="87"/>
      <c r="P149" s="87"/>
      <c r="Q149" s="87"/>
      <c r="R149" s="87"/>
      <c r="S149" s="87"/>
      <c r="T149" s="87"/>
      <c r="U149" s="87"/>
      <c r="V149" s="87"/>
      <c r="W149" s="87"/>
      <c r="X149" s="87"/>
      <c r="Y149" s="87"/>
    </row>
    <row r="150">
      <c r="A150" s="100"/>
      <c r="B150" s="579"/>
      <c r="C150" s="100"/>
      <c r="D150" s="579"/>
      <c r="E150" s="100"/>
      <c r="F150" s="579"/>
      <c r="G150" s="100"/>
      <c r="H150" s="601"/>
      <c r="I150" s="100"/>
      <c r="J150" s="583"/>
      <c r="K150" s="100"/>
      <c r="L150" s="579"/>
      <c r="M150" s="87"/>
      <c r="N150" s="87"/>
      <c r="O150" s="87"/>
      <c r="P150" s="87"/>
      <c r="Q150" s="87"/>
      <c r="R150" s="87"/>
      <c r="S150" s="87"/>
      <c r="T150" s="87"/>
      <c r="U150" s="87"/>
      <c r="V150" s="87"/>
      <c r="W150" s="87"/>
      <c r="X150" s="87"/>
      <c r="Y150" s="87"/>
    </row>
    <row r="151">
      <c r="A151" s="100"/>
      <c r="B151" s="579"/>
      <c r="C151" s="100"/>
      <c r="D151" s="579"/>
      <c r="E151" s="100"/>
      <c r="F151" s="579"/>
      <c r="G151" s="100"/>
      <c r="H151" s="601"/>
      <c r="I151" s="100"/>
      <c r="J151" s="583"/>
      <c r="K151" s="100"/>
      <c r="L151" s="579"/>
      <c r="M151" s="87"/>
      <c r="N151" s="87"/>
      <c r="O151" s="87"/>
      <c r="P151" s="87"/>
      <c r="Q151" s="87"/>
      <c r="R151" s="87"/>
      <c r="S151" s="87"/>
      <c r="T151" s="87"/>
      <c r="U151" s="87"/>
      <c r="V151" s="87"/>
      <c r="W151" s="87"/>
      <c r="X151" s="87"/>
      <c r="Y151" s="87"/>
    </row>
    <row r="152">
      <c r="A152" s="100"/>
      <c r="B152" s="579"/>
      <c r="C152" s="100"/>
      <c r="D152" s="579"/>
      <c r="E152" s="100"/>
      <c r="F152" s="579"/>
      <c r="G152" s="100"/>
      <c r="H152" s="601"/>
      <c r="I152" s="100"/>
      <c r="J152" s="583"/>
      <c r="K152" s="100"/>
      <c r="L152" s="579"/>
      <c r="M152" s="87"/>
      <c r="N152" s="87"/>
      <c r="O152" s="87"/>
      <c r="P152" s="87"/>
      <c r="Q152" s="87"/>
      <c r="R152" s="87"/>
      <c r="S152" s="87"/>
      <c r="T152" s="87"/>
      <c r="U152" s="87"/>
      <c r="V152" s="87"/>
      <c r="W152" s="87"/>
      <c r="X152" s="87"/>
      <c r="Y152" s="87"/>
    </row>
    <row r="153">
      <c r="A153" s="100"/>
      <c r="B153" s="579"/>
      <c r="C153" s="100"/>
      <c r="D153" s="579"/>
      <c r="E153" s="100"/>
      <c r="F153" s="579"/>
      <c r="G153" s="100"/>
      <c r="H153" s="601"/>
      <c r="I153" s="100"/>
      <c r="J153" s="583"/>
      <c r="K153" s="100"/>
      <c r="L153" s="579"/>
      <c r="M153" s="87"/>
      <c r="N153" s="87"/>
      <c r="O153" s="87"/>
      <c r="P153" s="87"/>
      <c r="Q153" s="87"/>
      <c r="R153" s="87"/>
      <c r="S153" s="87"/>
      <c r="T153" s="87"/>
      <c r="U153" s="87"/>
      <c r="V153" s="87"/>
      <c r="W153" s="87"/>
      <c r="X153" s="87"/>
      <c r="Y153" s="87"/>
    </row>
    <row r="154">
      <c r="A154" s="100"/>
      <c r="B154" s="579"/>
      <c r="C154" s="100"/>
      <c r="D154" s="579"/>
      <c r="E154" s="100"/>
      <c r="F154" s="579"/>
      <c r="G154" s="100"/>
      <c r="H154" s="601"/>
      <c r="I154" s="100"/>
      <c r="J154" s="583"/>
      <c r="K154" s="100"/>
      <c r="L154" s="579"/>
      <c r="M154" s="87"/>
      <c r="N154" s="87"/>
      <c r="O154" s="87"/>
      <c r="P154" s="87"/>
      <c r="Q154" s="87"/>
      <c r="R154" s="87"/>
      <c r="S154" s="87"/>
      <c r="T154" s="87"/>
      <c r="U154" s="87"/>
      <c r="V154" s="87"/>
      <c r="W154" s="87"/>
      <c r="X154" s="87"/>
      <c r="Y154" s="87"/>
    </row>
    <row r="155">
      <c r="A155" s="100"/>
      <c r="B155" s="579"/>
      <c r="C155" s="100"/>
      <c r="D155" s="579"/>
      <c r="E155" s="100"/>
      <c r="F155" s="579"/>
      <c r="G155" s="100"/>
      <c r="H155" s="601"/>
      <c r="I155" s="100"/>
      <c r="J155" s="583"/>
      <c r="K155" s="100"/>
      <c r="L155" s="579"/>
      <c r="M155" s="87"/>
      <c r="N155" s="87"/>
      <c r="O155" s="87"/>
      <c r="P155" s="87"/>
      <c r="Q155" s="87"/>
      <c r="R155" s="87"/>
      <c r="S155" s="87"/>
      <c r="T155" s="87"/>
      <c r="U155" s="87"/>
      <c r="V155" s="87"/>
      <c r="W155" s="87"/>
      <c r="X155" s="87"/>
      <c r="Y155" s="87"/>
    </row>
    <row r="156">
      <c r="A156" s="100"/>
      <c r="B156" s="579"/>
      <c r="C156" s="100"/>
      <c r="D156" s="579"/>
      <c r="E156" s="100"/>
      <c r="F156" s="579"/>
      <c r="G156" s="100"/>
      <c r="H156" s="601"/>
      <c r="I156" s="100"/>
      <c r="J156" s="583"/>
      <c r="K156" s="100"/>
      <c r="L156" s="579"/>
      <c r="M156" s="87"/>
      <c r="N156" s="87"/>
      <c r="O156" s="87"/>
      <c r="P156" s="87"/>
      <c r="Q156" s="87"/>
      <c r="R156" s="87"/>
      <c r="S156" s="87"/>
      <c r="T156" s="87"/>
      <c r="U156" s="87"/>
      <c r="V156" s="87"/>
      <c r="W156" s="87"/>
      <c r="X156" s="87"/>
      <c r="Y156" s="87"/>
    </row>
    <row r="157">
      <c r="A157" s="100"/>
      <c r="B157" s="579"/>
      <c r="C157" s="100"/>
      <c r="D157" s="579"/>
      <c r="E157" s="100"/>
      <c r="F157" s="579"/>
      <c r="G157" s="100"/>
      <c r="H157" s="601"/>
      <c r="I157" s="100"/>
      <c r="J157" s="583"/>
      <c r="K157" s="100"/>
      <c r="L157" s="579"/>
      <c r="M157" s="87"/>
      <c r="N157" s="87"/>
      <c r="O157" s="87"/>
      <c r="P157" s="87"/>
      <c r="Q157" s="87"/>
      <c r="R157" s="87"/>
      <c r="S157" s="87"/>
      <c r="T157" s="87"/>
      <c r="U157" s="87"/>
      <c r="V157" s="87"/>
      <c r="W157" s="87"/>
      <c r="X157" s="87"/>
      <c r="Y157" s="87"/>
    </row>
    <row r="158">
      <c r="A158" s="100"/>
      <c r="B158" s="579"/>
      <c r="C158" s="100"/>
      <c r="D158" s="579"/>
      <c r="E158" s="100"/>
      <c r="F158" s="579"/>
      <c r="G158" s="100"/>
      <c r="H158" s="601"/>
      <c r="I158" s="100"/>
      <c r="J158" s="583"/>
      <c r="K158" s="100"/>
      <c r="L158" s="579"/>
      <c r="M158" s="87"/>
      <c r="N158" s="87"/>
      <c r="O158" s="87"/>
      <c r="P158" s="87"/>
      <c r="Q158" s="87"/>
      <c r="R158" s="87"/>
      <c r="S158" s="87"/>
      <c r="T158" s="87"/>
      <c r="U158" s="87"/>
      <c r="V158" s="87"/>
      <c r="W158" s="87"/>
      <c r="X158" s="87"/>
      <c r="Y158" s="87"/>
    </row>
    <row r="159">
      <c r="A159" s="100"/>
      <c r="B159" s="579"/>
      <c r="C159" s="100"/>
      <c r="D159" s="579"/>
      <c r="E159" s="100"/>
      <c r="F159" s="579"/>
      <c r="G159" s="100"/>
      <c r="H159" s="601"/>
      <c r="I159" s="100"/>
      <c r="J159" s="583"/>
      <c r="K159" s="100"/>
      <c r="L159" s="579"/>
      <c r="M159" s="87"/>
      <c r="N159" s="87"/>
      <c r="O159" s="87"/>
      <c r="P159" s="87"/>
      <c r="Q159" s="87"/>
      <c r="R159" s="87"/>
      <c r="S159" s="87"/>
      <c r="T159" s="87"/>
      <c r="U159" s="87"/>
      <c r="V159" s="87"/>
      <c r="W159" s="87"/>
      <c r="X159" s="87"/>
      <c r="Y159" s="87"/>
    </row>
    <row r="160">
      <c r="A160" s="100"/>
      <c r="B160" s="579"/>
      <c r="C160" s="100"/>
      <c r="D160" s="579"/>
      <c r="E160" s="100"/>
      <c r="F160" s="579"/>
      <c r="G160" s="100"/>
      <c r="H160" s="601"/>
      <c r="I160" s="100"/>
      <c r="J160" s="583"/>
      <c r="K160" s="100"/>
      <c r="L160" s="579"/>
      <c r="M160" s="87"/>
      <c r="N160" s="87"/>
      <c r="O160" s="87"/>
      <c r="P160" s="87"/>
      <c r="Q160" s="87"/>
      <c r="R160" s="87"/>
      <c r="S160" s="87"/>
      <c r="T160" s="87"/>
      <c r="U160" s="87"/>
      <c r="V160" s="87"/>
      <c r="W160" s="87"/>
      <c r="X160" s="87"/>
      <c r="Y160" s="87"/>
    </row>
    <row r="161">
      <c r="A161" s="100"/>
      <c r="B161" s="579"/>
      <c r="C161" s="100"/>
      <c r="D161" s="579"/>
      <c r="E161" s="100"/>
      <c r="F161" s="579"/>
      <c r="G161" s="100"/>
      <c r="H161" s="601"/>
      <c r="I161" s="100"/>
      <c r="J161" s="583"/>
      <c r="K161" s="100"/>
      <c r="L161" s="579"/>
      <c r="M161" s="87"/>
      <c r="N161" s="87"/>
      <c r="O161" s="87"/>
      <c r="P161" s="87"/>
      <c r="Q161" s="87"/>
      <c r="R161" s="87"/>
      <c r="S161" s="87"/>
      <c r="T161" s="87"/>
      <c r="U161" s="87"/>
      <c r="V161" s="87"/>
      <c r="W161" s="87"/>
      <c r="X161" s="87"/>
      <c r="Y161" s="87"/>
    </row>
    <row r="162">
      <c r="A162" s="100"/>
      <c r="B162" s="579"/>
      <c r="C162" s="100"/>
      <c r="D162" s="579"/>
      <c r="E162" s="100"/>
      <c r="F162" s="579"/>
      <c r="G162" s="100"/>
      <c r="H162" s="601"/>
      <c r="I162" s="100"/>
      <c r="J162" s="583"/>
      <c r="K162" s="100"/>
      <c r="L162" s="579"/>
      <c r="M162" s="87"/>
      <c r="N162" s="87"/>
      <c r="O162" s="87"/>
      <c r="P162" s="87"/>
      <c r="Q162" s="87"/>
      <c r="R162" s="87"/>
      <c r="S162" s="87"/>
      <c r="T162" s="87"/>
      <c r="U162" s="87"/>
      <c r="V162" s="87"/>
      <c r="W162" s="87"/>
      <c r="X162" s="87"/>
      <c r="Y162" s="87"/>
    </row>
    <row r="163">
      <c r="A163" s="100"/>
      <c r="B163" s="579"/>
      <c r="C163" s="100"/>
      <c r="D163" s="579"/>
      <c r="E163" s="100"/>
      <c r="F163" s="579"/>
      <c r="G163" s="100"/>
      <c r="H163" s="601"/>
      <c r="I163" s="100"/>
      <c r="J163" s="583"/>
      <c r="K163" s="100"/>
      <c r="L163" s="579"/>
      <c r="M163" s="87"/>
      <c r="N163" s="87"/>
      <c r="O163" s="87"/>
      <c r="P163" s="87"/>
      <c r="Q163" s="87"/>
      <c r="R163" s="87"/>
      <c r="S163" s="87"/>
      <c r="T163" s="87"/>
      <c r="U163" s="87"/>
      <c r="V163" s="87"/>
      <c r="W163" s="87"/>
      <c r="X163" s="87"/>
      <c r="Y163" s="87"/>
    </row>
    <row r="164">
      <c r="A164" s="100"/>
      <c r="B164" s="579"/>
      <c r="C164" s="100"/>
      <c r="D164" s="579"/>
      <c r="E164" s="100"/>
      <c r="F164" s="579"/>
      <c r="G164" s="100"/>
      <c r="H164" s="601"/>
      <c r="I164" s="100"/>
      <c r="J164" s="583"/>
      <c r="K164" s="100"/>
      <c r="L164" s="579"/>
      <c r="M164" s="87"/>
      <c r="N164" s="87"/>
      <c r="O164" s="87"/>
      <c r="P164" s="87"/>
      <c r="Q164" s="87"/>
      <c r="R164" s="87"/>
      <c r="S164" s="87"/>
      <c r="T164" s="87"/>
      <c r="U164" s="87"/>
      <c r="V164" s="87"/>
      <c r="W164" s="87"/>
      <c r="X164" s="87"/>
      <c r="Y164" s="87"/>
    </row>
    <row r="165">
      <c r="A165" s="100"/>
      <c r="B165" s="579"/>
      <c r="C165" s="100"/>
      <c r="D165" s="579"/>
      <c r="E165" s="100"/>
      <c r="F165" s="579"/>
      <c r="G165" s="100"/>
      <c r="H165" s="601"/>
      <c r="I165" s="100"/>
      <c r="J165" s="583"/>
      <c r="K165" s="100"/>
      <c r="L165" s="579"/>
      <c r="M165" s="87"/>
      <c r="N165" s="87"/>
      <c r="O165" s="87"/>
      <c r="P165" s="87"/>
      <c r="Q165" s="87"/>
      <c r="R165" s="87"/>
      <c r="S165" s="87"/>
      <c r="T165" s="87"/>
      <c r="U165" s="87"/>
      <c r="V165" s="87"/>
      <c r="W165" s="87"/>
      <c r="X165" s="87"/>
      <c r="Y165" s="87"/>
    </row>
    <row r="166">
      <c r="A166" s="100"/>
      <c r="B166" s="579"/>
      <c r="C166" s="100"/>
      <c r="D166" s="579"/>
      <c r="E166" s="100"/>
      <c r="F166" s="579"/>
      <c r="G166" s="100"/>
      <c r="H166" s="601"/>
      <c r="I166" s="100"/>
      <c r="J166" s="583"/>
      <c r="K166" s="100"/>
      <c r="L166" s="579"/>
      <c r="M166" s="87"/>
      <c r="N166" s="87"/>
      <c r="O166" s="87"/>
      <c r="P166" s="87"/>
      <c r="Q166" s="87"/>
      <c r="R166" s="87"/>
      <c r="S166" s="87"/>
      <c r="T166" s="87"/>
      <c r="U166" s="87"/>
      <c r="V166" s="87"/>
      <c r="W166" s="87"/>
      <c r="X166" s="87"/>
      <c r="Y166" s="87"/>
    </row>
    <row r="167">
      <c r="A167" s="100"/>
      <c r="B167" s="579"/>
      <c r="C167" s="100"/>
      <c r="D167" s="579"/>
      <c r="E167" s="100"/>
      <c r="F167" s="579"/>
      <c r="G167" s="100"/>
      <c r="H167" s="601"/>
      <c r="I167" s="100"/>
      <c r="J167" s="583"/>
      <c r="K167" s="100"/>
      <c r="L167" s="579"/>
      <c r="M167" s="87"/>
      <c r="N167" s="87"/>
      <c r="O167" s="87"/>
      <c r="P167" s="87"/>
      <c r="Q167" s="87"/>
      <c r="R167" s="87"/>
      <c r="S167" s="87"/>
      <c r="T167" s="87"/>
      <c r="U167" s="87"/>
      <c r="V167" s="87"/>
      <c r="W167" s="87"/>
      <c r="X167" s="87"/>
      <c r="Y167" s="87"/>
    </row>
    <row r="168">
      <c r="A168" s="100"/>
      <c r="B168" s="579"/>
      <c r="C168" s="100"/>
      <c r="D168" s="579"/>
      <c r="E168" s="100"/>
      <c r="F168" s="579"/>
      <c r="G168" s="100"/>
      <c r="H168" s="601"/>
      <c r="I168" s="100"/>
      <c r="J168" s="583"/>
      <c r="K168" s="100"/>
      <c r="L168" s="579"/>
      <c r="M168" s="87"/>
      <c r="N168" s="87"/>
      <c r="O168" s="87"/>
      <c r="P168" s="87"/>
      <c r="Q168" s="87"/>
      <c r="R168" s="87"/>
      <c r="S168" s="87"/>
      <c r="T168" s="87"/>
      <c r="U168" s="87"/>
      <c r="V168" s="87"/>
      <c r="W168" s="87"/>
      <c r="X168" s="87"/>
      <c r="Y168" s="87"/>
    </row>
    <row r="169">
      <c r="A169" s="100"/>
      <c r="B169" s="579"/>
      <c r="C169" s="100"/>
      <c r="D169" s="579"/>
      <c r="E169" s="100"/>
      <c r="F169" s="579"/>
      <c r="G169" s="100"/>
      <c r="H169" s="601"/>
      <c r="I169" s="100"/>
      <c r="J169" s="583"/>
      <c r="K169" s="100"/>
      <c r="L169" s="579"/>
      <c r="M169" s="87"/>
      <c r="N169" s="87"/>
      <c r="O169" s="87"/>
      <c r="P169" s="87"/>
      <c r="Q169" s="87"/>
      <c r="R169" s="87"/>
      <c r="S169" s="87"/>
      <c r="T169" s="87"/>
      <c r="U169" s="87"/>
      <c r="V169" s="87"/>
      <c r="W169" s="87"/>
      <c r="X169" s="87"/>
      <c r="Y169" s="87"/>
    </row>
    <row r="170">
      <c r="A170" s="100"/>
      <c r="B170" s="579"/>
      <c r="C170" s="100"/>
      <c r="D170" s="579"/>
      <c r="E170" s="100"/>
      <c r="F170" s="579"/>
      <c r="G170" s="100"/>
      <c r="H170" s="601"/>
      <c r="I170" s="100"/>
      <c r="J170" s="583"/>
      <c r="K170" s="100"/>
      <c r="L170" s="579"/>
      <c r="M170" s="87"/>
      <c r="N170" s="87"/>
      <c r="O170" s="87"/>
      <c r="P170" s="87"/>
      <c r="Q170" s="87"/>
      <c r="R170" s="87"/>
      <c r="S170" s="87"/>
      <c r="T170" s="87"/>
      <c r="U170" s="87"/>
      <c r="V170" s="87"/>
      <c r="W170" s="87"/>
      <c r="X170" s="87"/>
      <c r="Y170" s="87"/>
    </row>
    <row r="171">
      <c r="A171" s="100"/>
      <c r="B171" s="579"/>
      <c r="C171" s="100"/>
      <c r="D171" s="579"/>
      <c r="E171" s="100"/>
      <c r="F171" s="579"/>
      <c r="G171" s="100"/>
      <c r="H171" s="601"/>
      <c r="I171" s="100"/>
      <c r="J171" s="583"/>
      <c r="K171" s="100"/>
      <c r="L171" s="579"/>
      <c r="M171" s="87"/>
      <c r="N171" s="87"/>
      <c r="O171" s="87"/>
      <c r="P171" s="87"/>
      <c r="Q171" s="87"/>
      <c r="R171" s="87"/>
      <c r="S171" s="87"/>
      <c r="T171" s="87"/>
      <c r="U171" s="87"/>
      <c r="V171" s="87"/>
      <c r="W171" s="87"/>
      <c r="X171" s="87"/>
      <c r="Y171" s="87"/>
    </row>
    <row r="172">
      <c r="A172" s="100"/>
      <c r="B172" s="579"/>
      <c r="C172" s="100"/>
      <c r="D172" s="579"/>
      <c r="E172" s="100"/>
      <c r="F172" s="579"/>
      <c r="G172" s="100"/>
      <c r="H172" s="601"/>
      <c r="I172" s="100"/>
      <c r="J172" s="583"/>
      <c r="K172" s="100"/>
      <c r="L172" s="579"/>
      <c r="M172" s="87"/>
      <c r="N172" s="87"/>
      <c r="O172" s="87"/>
      <c r="P172" s="87"/>
      <c r="Q172" s="87"/>
      <c r="R172" s="87"/>
      <c r="S172" s="87"/>
      <c r="T172" s="87"/>
      <c r="U172" s="87"/>
      <c r="V172" s="87"/>
      <c r="W172" s="87"/>
      <c r="X172" s="87"/>
      <c r="Y172" s="87"/>
    </row>
    <row r="173">
      <c r="A173" s="100"/>
      <c r="B173" s="579"/>
      <c r="C173" s="100"/>
      <c r="D173" s="579"/>
      <c r="E173" s="100"/>
      <c r="F173" s="579"/>
      <c r="G173" s="100"/>
      <c r="H173" s="601"/>
      <c r="I173" s="100"/>
      <c r="J173" s="583"/>
      <c r="K173" s="100"/>
      <c r="L173" s="579"/>
      <c r="M173" s="87"/>
      <c r="N173" s="87"/>
      <c r="O173" s="87"/>
      <c r="P173" s="87"/>
      <c r="Q173" s="87"/>
      <c r="R173" s="87"/>
      <c r="S173" s="87"/>
      <c r="T173" s="87"/>
      <c r="U173" s="87"/>
      <c r="V173" s="87"/>
      <c r="W173" s="87"/>
      <c r="X173" s="87"/>
      <c r="Y173" s="87"/>
    </row>
    <row r="174">
      <c r="A174" s="100"/>
      <c r="B174" s="579"/>
      <c r="C174" s="100"/>
      <c r="D174" s="579"/>
      <c r="E174" s="100"/>
      <c r="F174" s="579"/>
      <c r="G174" s="100"/>
      <c r="H174" s="601"/>
      <c r="I174" s="100"/>
      <c r="J174" s="583"/>
      <c r="K174" s="100"/>
      <c r="L174" s="579"/>
      <c r="M174" s="87"/>
      <c r="N174" s="87"/>
      <c r="O174" s="87"/>
      <c r="P174" s="87"/>
      <c r="Q174" s="87"/>
      <c r="R174" s="87"/>
      <c r="S174" s="87"/>
      <c r="T174" s="87"/>
      <c r="U174" s="87"/>
      <c r="V174" s="87"/>
      <c r="W174" s="87"/>
      <c r="X174" s="87"/>
      <c r="Y174" s="87"/>
    </row>
    <row r="175">
      <c r="A175" s="100"/>
      <c r="B175" s="579"/>
      <c r="C175" s="100"/>
      <c r="D175" s="579"/>
      <c r="E175" s="100"/>
      <c r="F175" s="579"/>
      <c r="G175" s="100"/>
      <c r="H175" s="601"/>
      <c r="I175" s="100"/>
      <c r="J175" s="583"/>
      <c r="K175" s="100"/>
      <c r="L175" s="579"/>
      <c r="M175" s="87"/>
      <c r="N175" s="87"/>
      <c r="O175" s="87"/>
      <c r="P175" s="87"/>
      <c r="Q175" s="87"/>
      <c r="R175" s="87"/>
      <c r="S175" s="87"/>
      <c r="T175" s="87"/>
      <c r="U175" s="87"/>
      <c r="V175" s="87"/>
      <c r="W175" s="87"/>
      <c r="X175" s="87"/>
      <c r="Y175" s="87"/>
    </row>
    <row r="176">
      <c r="A176" s="100"/>
      <c r="B176" s="579"/>
      <c r="C176" s="100"/>
      <c r="D176" s="579"/>
      <c r="E176" s="100"/>
      <c r="F176" s="579"/>
      <c r="G176" s="100"/>
      <c r="H176" s="601"/>
      <c r="I176" s="100"/>
      <c r="J176" s="583"/>
      <c r="K176" s="100"/>
      <c r="L176" s="579"/>
      <c r="M176" s="87"/>
      <c r="N176" s="87"/>
      <c r="O176" s="87"/>
      <c r="P176" s="87"/>
      <c r="Q176" s="87"/>
      <c r="R176" s="87"/>
      <c r="S176" s="87"/>
      <c r="T176" s="87"/>
      <c r="U176" s="87"/>
      <c r="V176" s="87"/>
      <c r="W176" s="87"/>
      <c r="X176" s="87"/>
      <c r="Y176" s="87"/>
    </row>
    <row r="177">
      <c r="A177" s="100"/>
      <c r="B177" s="579"/>
      <c r="C177" s="100"/>
      <c r="D177" s="579"/>
      <c r="E177" s="100"/>
      <c r="F177" s="579"/>
      <c r="G177" s="100"/>
      <c r="H177" s="601"/>
      <c r="I177" s="100"/>
      <c r="J177" s="583"/>
      <c r="K177" s="100"/>
      <c r="L177" s="579"/>
      <c r="M177" s="87"/>
      <c r="N177" s="87"/>
      <c r="O177" s="87"/>
      <c r="P177" s="87"/>
      <c r="Q177" s="87"/>
      <c r="R177" s="87"/>
      <c r="S177" s="87"/>
      <c r="T177" s="87"/>
      <c r="U177" s="87"/>
      <c r="V177" s="87"/>
      <c r="W177" s="87"/>
      <c r="X177" s="87"/>
      <c r="Y177" s="87"/>
    </row>
    <row r="178">
      <c r="A178" s="100"/>
      <c r="B178" s="579"/>
      <c r="C178" s="100"/>
      <c r="D178" s="579"/>
      <c r="E178" s="100"/>
      <c r="F178" s="579"/>
      <c r="G178" s="100"/>
      <c r="H178" s="601"/>
      <c r="I178" s="100"/>
      <c r="J178" s="583"/>
      <c r="K178" s="100"/>
      <c r="L178" s="579"/>
      <c r="M178" s="87"/>
      <c r="N178" s="87"/>
      <c r="O178" s="87"/>
      <c r="P178" s="87"/>
      <c r="Q178" s="87"/>
      <c r="R178" s="87"/>
      <c r="S178" s="87"/>
      <c r="T178" s="87"/>
      <c r="U178" s="87"/>
      <c r="V178" s="87"/>
      <c r="W178" s="87"/>
      <c r="X178" s="87"/>
      <c r="Y178" s="87"/>
    </row>
    <row r="179">
      <c r="A179" s="100"/>
      <c r="B179" s="579"/>
      <c r="C179" s="100"/>
      <c r="D179" s="579"/>
      <c r="E179" s="100"/>
      <c r="F179" s="579"/>
      <c r="G179" s="100"/>
      <c r="H179" s="601"/>
      <c r="I179" s="100"/>
      <c r="J179" s="583"/>
      <c r="K179" s="100"/>
      <c r="L179" s="579"/>
      <c r="M179" s="87"/>
      <c r="N179" s="87"/>
      <c r="O179" s="87"/>
      <c r="P179" s="87"/>
      <c r="Q179" s="87"/>
      <c r="R179" s="87"/>
      <c r="S179" s="87"/>
      <c r="T179" s="87"/>
      <c r="U179" s="87"/>
      <c r="V179" s="87"/>
      <c r="W179" s="87"/>
      <c r="X179" s="87"/>
      <c r="Y179" s="87"/>
    </row>
    <row r="180">
      <c r="A180" s="100"/>
      <c r="B180" s="579"/>
      <c r="C180" s="100"/>
      <c r="D180" s="579"/>
      <c r="E180" s="100"/>
      <c r="F180" s="579"/>
      <c r="G180" s="100"/>
      <c r="H180" s="601"/>
      <c r="I180" s="100"/>
      <c r="J180" s="583"/>
      <c r="K180" s="100"/>
      <c r="L180" s="579"/>
      <c r="M180" s="87"/>
      <c r="N180" s="87"/>
      <c r="O180" s="87"/>
      <c r="P180" s="87"/>
      <c r="Q180" s="87"/>
      <c r="R180" s="87"/>
      <c r="S180" s="87"/>
      <c r="T180" s="87"/>
      <c r="U180" s="87"/>
      <c r="V180" s="87"/>
      <c r="W180" s="87"/>
      <c r="X180" s="87"/>
      <c r="Y180" s="87"/>
    </row>
    <row r="181">
      <c r="A181" s="100"/>
      <c r="B181" s="579"/>
      <c r="C181" s="100"/>
      <c r="D181" s="579"/>
      <c r="E181" s="100"/>
      <c r="F181" s="579"/>
      <c r="G181" s="100"/>
      <c r="H181" s="601"/>
      <c r="I181" s="100"/>
      <c r="J181" s="583"/>
      <c r="K181" s="100"/>
      <c r="L181" s="579"/>
      <c r="M181" s="87"/>
      <c r="N181" s="87"/>
      <c r="O181" s="87"/>
      <c r="P181" s="87"/>
      <c r="Q181" s="87"/>
      <c r="R181" s="87"/>
      <c r="S181" s="87"/>
      <c r="T181" s="87"/>
      <c r="U181" s="87"/>
      <c r="V181" s="87"/>
      <c r="W181" s="87"/>
      <c r="X181" s="87"/>
      <c r="Y181" s="87"/>
    </row>
    <row r="182">
      <c r="A182" s="100"/>
      <c r="B182" s="579"/>
      <c r="C182" s="100"/>
      <c r="D182" s="579"/>
      <c r="E182" s="100"/>
      <c r="F182" s="579"/>
      <c r="G182" s="100"/>
      <c r="H182" s="601"/>
      <c r="I182" s="100"/>
      <c r="J182" s="583"/>
      <c r="K182" s="100"/>
      <c r="L182" s="579"/>
      <c r="M182" s="87"/>
      <c r="N182" s="87"/>
      <c r="O182" s="87"/>
      <c r="P182" s="87"/>
      <c r="Q182" s="87"/>
      <c r="R182" s="87"/>
      <c r="S182" s="87"/>
      <c r="T182" s="87"/>
      <c r="U182" s="87"/>
      <c r="V182" s="87"/>
      <c r="W182" s="87"/>
      <c r="X182" s="87"/>
      <c r="Y182" s="87"/>
    </row>
    <row r="183">
      <c r="A183" s="100"/>
      <c r="B183" s="579"/>
      <c r="C183" s="100"/>
      <c r="D183" s="579"/>
      <c r="E183" s="100"/>
      <c r="F183" s="579"/>
      <c r="G183" s="100"/>
      <c r="H183" s="601"/>
      <c r="I183" s="100"/>
      <c r="J183" s="583"/>
      <c r="K183" s="100"/>
      <c r="L183" s="579"/>
      <c r="M183" s="87"/>
      <c r="N183" s="87"/>
      <c r="O183" s="87"/>
      <c r="P183" s="87"/>
      <c r="Q183" s="87"/>
      <c r="R183" s="87"/>
      <c r="S183" s="87"/>
      <c r="T183" s="87"/>
      <c r="U183" s="87"/>
      <c r="V183" s="87"/>
      <c r="W183" s="87"/>
      <c r="X183" s="87"/>
      <c r="Y183" s="87"/>
    </row>
    <row r="184">
      <c r="A184" s="100"/>
      <c r="B184" s="579"/>
      <c r="C184" s="100"/>
      <c r="D184" s="579"/>
      <c r="E184" s="100"/>
      <c r="F184" s="579"/>
      <c r="G184" s="100"/>
      <c r="H184" s="601"/>
      <c r="I184" s="100"/>
      <c r="J184" s="583"/>
      <c r="K184" s="100"/>
      <c r="L184" s="579"/>
      <c r="M184" s="87"/>
      <c r="N184" s="87"/>
      <c r="O184" s="87"/>
      <c r="P184" s="87"/>
      <c r="Q184" s="87"/>
      <c r="R184" s="87"/>
      <c r="S184" s="87"/>
      <c r="T184" s="87"/>
      <c r="U184" s="87"/>
      <c r="V184" s="87"/>
      <c r="W184" s="87"/>
      <c r="X184" s="87"/>
      <c r="Y184" s="87"/>
    </row>
    <row r="185">
      <c r="A185" s="100"/>
      <c r="B185" s="579"/>
      <c r="C185" s="100"/>
      <c r="D185" s="579"/>
      <c r="E185" s="100"/>
      <c r="F185" s="579"/>
      <c r="G185" s="100"/>
      <c r="H185" s="601"/>
      <c r="I185" s="100"/>
      <c r="J185" s="583"/>
      <c r="K185" s="100"/>
      <c r="L185" s="579"/>
      <c r="M185" s="87"/>
      <c r="N185" s="87"/>
      <c r="O185" s="87"/>
      <c r="P185" s="87"/>
      <c r="Q185" s="87"/>
      <c r="R185" s="87"/>
      <c r="S185" s="87"/>
      <c r="T185" s="87"/>
      <c r="U185" s="87"/>
      <c r="V185" s="87"/>
      <c r="W185" s="87"/>
      <c r="X185" s="87"/>
      <c r="Y185" s="87"/>
    </row>
    <row r="186">
      <c r="A186" s="100"/>
      <c r="B186" s="579"/>
      <c r="C186" s="100"/>
      <c r="D186" s="579"/>
      <c r="E186" s="100"/>
      <c r="F186" s="579"/>
      <c r="G186" s="100"/>
      <c r="H186" s="601"/>
      <c r="I186" s="100"/>
      <c r="J186" s="583"/>
      <c r="K186" s="100"/>
      <c r="L186" s="579"/>
      <c r="M186" s="87"/>
      <c r="N186" s="87"/>
      <c r="O186" s="87"/>
      <c r="P186" s="87"/>
      <c r="Q186" s="87"/>
      <c r="R186" s="87"/>
      <c r="S186" s="87"/>
      <c r="T186" s="87"/>
      <c r="U186" s="87"/>
      <c r="V186" s="87"/>
      <c r="W186" s="87"/>
      <c r="X186" s="87"/>
      <c r="Y186" s="87"/>
    </row>
    <row r="187">
      <c r="A187" s="100"/>
      <c r="B187" s="579"/>
      <c r="C187" s="100"/>
      <c r="D187" s="579"/>
      <c r="E187" s="100"/>
      <c r="F187" s="579"/>
      <c r="G187" s="100"/>
      <c r="H187" s="601"/>
      <c r="I187" s="100"/>
      <c r="J187" s="583"/>
      <c r="K187" s="100"/>
      <c r="L187" s="579"/>
      <c r="M187" s="87"/>
      <c r="N187" s="87"/>
      <c r="O187" s="87"/>
      <c r="P187" s="87"/>
      <c r="Q187" s="87"/>
      <c r="R187" s="87"/>
      <c r="S187" s="87"/>
      <c r="T187" s="87"/>
      <c r="U187" s="87"/>
      <c r="V187" s="87"/>
      <c r="W187" s="87"/>
      <c r="X187" s="87"/>
      <c r="Y187" s="87"/>
    </row>
    <row r="188">
      <c r="A188" s="100"/>
      <c r="B188" s="579"/>
      <c r="C188" s="100"/>
      <c r="D188" s="579"/>
      <c r="E188" s="100"/>
      <c r="F188" s="579"/>
      <c r="G188" s="100"/>
      <c r="H188" s="601"/>
      <c r="I188" s="100"/>
      <c r="J188" s="583"/>
      <c r="K188" s="100"/>
      <c r="L188" s="579"/>
      <c r="M188" s="87"/>
      <c r="N188" s="87"/>
      <c r="O188" s="87"/>
      <c r="P188" s="87"/>
      <c r="Q188" s="87"/>
      <c r="R188" s="87"/>
      <c r="S188" s="87"/>
      <c r="T188" s="87"/>
      <c r="U188" s="87"/>
      <c r="V188" s="87"/>
      <c r="W188" s="87"/>
      <c r="X188" s="87"/>
      <c r="Y188" s="87"/>
    </row>
    <row r="189">
      <c r="A189" s="100"/>
      <c r="B189" s="579"/>
      <c r="C189" s="100"/>
      <c r="D189" s="579"/>
      <c r="E189" s="100"/>
      <c r="F189" s="579"/>
      <c r="G189" s="100"/>
      <c r="H189" s="601"/>
      <c r="I189" s="100"/>
      <c r="J189" s="583"/>
      <c r="K189" s="100"/>
      <c r="L189" s="579"/>
      <c r="M189" s="87"/>
      <c r="N189" s="87"/>
      <c r="O189" s="87"/>
      <c r="P189" s="87"/>
      <c r="Q189" s="87"/>
      <c r="R189" s="87"/>
      <c r="S189" s="87"/>
      <c r="T189" s="87"/>
      <c r="U189" s="87"/>
      <c r="V189" s="87"/>
      <c r="W189" s="87"/>
      <c r="X189" s="87"/>
      <c r="Y189" s="87"/>
    </row>
    <row r="190">
      <c r="A190" s="100"/>
      <c r="B190" s="579"/>
      <c r="C190" s="100"/>
      <c r="D190" s="579"/>
      <c r="E190" s="100"/>
      <c r="F190" s="579"/>
      <c r="G190" s="100"/>
      <c r="H190" s="601"/>
      <c r="I190" s="100"/>
      <c r="J190" s="583"/>
      <c r="K190" s="100"/>
      <c r="L190" s="579"/>
      <c r="M190" s="87"/>
      <c r="N190" s="87"/>
      <c r="O190" s="87"/>
      <c r="P190" s="87"/>
      <c r="Q190" s="87"/>
      <c r="R190" s="87"/>
      <c r="S190" s="87"/>
      <c r="T190" s="87"/>
      <c r="U190" s="87"/>
      <c r="V190" s="87"/>
      <c r="W190" s="87"/>
      <c r="X190" s="87"/>
      <c r="Y190" s="87"/>
    </row>
    <row r="191">
      <c r="A191" s="100"/>
      <c r="B191" s="579"/>
      <c r="C191" s="100"/>
      <c r="D191" s="579"/>
      <c r="E191" s="100"/>
      <c r="F191" s="579"/>
      <c r="G191" s="100"/>
      <c r="H191" s="601"/>
      <c r="I191" s="100"/>
      <c r="J191" s="583"/>
      <c r="K191" s="100"/>
      <c r="L191" s="579"/>
      <c r="M191" s="87"/>
      <c r="N191" s="87"/>
      <c r="O191" s="87"/>
      <c r="P191" s="87"/>
      <c r="Q191" s="87"/>
      <c r="R191" s="87"/>
      <c r="S191" s="87"/>
      <c r="T191" s="87"/>
      <c r="U191" s="87"/>
      <c r="V191" s="87"/>
      <c r="W191" s="87"/>
      <c r="X191" s="87"/>
      <c r="Y191" s="87"/>
    </row>
    <row r="192">
      <c r="A192" s="100"/>
      <c r="B192" s="579"/>
      <c r="C192" s="100"/>
      <c r="D192" s="579"/>
      <c r="E192" s="100"/>
      <c r="F192" s="579"/>
      <c r="G192" s="100"/>
      <c r="H192" s="601"/>
      <c r="I192" s="100"/>
      <c r="J192" s="583"/>
      <c r="K192" s="100"/>
      <c r="L192" s="579"/>
      <c r="M192" s="87"/>
      <c r="N192" s="87"/>
      <c r="O192" s="87"/>
      <c r="P192" s="87"/>
      <c r="Q192" s="87"/>
      <c r="R192" s="87"/>
      <c r="S192" s="87"/>
      <c r="T192" s="87"/>
      <c r="U192" s="87"/>
      <c r="V192" s="87"/>
      <c r="W192" s="87"/>
      <c r="X192" s="87"/>
      <c r="Y192" s="87"/>
    </row>
    <row r="193">
      <c r="A193" s="100"/>
      <c r="B193" s="579"/>
      <c r="C193" s="100"/>
      <c r="D193" s="579"/>
      <c r="E193" s="100"/>
      <c r="F193" s="579"/>
      <c r="G193" s="100"/>
      <c r="H193" s="601"/>
      <c r="I193" s="100"/>
      <c r="J193" s="583"/>
      <c r="K193" s="100"/>
      <c r="L193" s="579"/>
      <c r="M193" s="87"/>
      <c r="N193" s="87"/>
      <c r="O193" s="87"/>
      <c r="P193" s="87"/>
      <c r="Q193" s="87"/>
      <c r="R193" s="87"/>
      <c r="S193" s="87"/>
      <c r="T193" s="87"/>
      <c r="U193" s="87"/>
      <c r="V193" s="87"/>
      <c r="W193" s="87"/>
      <c r="X193" s="87"/>
      <c r="Y193" s="87"/>
    </row>
    <row r="194">
      <c r="A194" s="100"/>
      <c r="B194" s="579"/>
      <c r="C194" s="100"/>
      <c r="D194" s="579"/>
      <c r="E194" s="100"/>
      <c r="F194" s="579"/>
      <c r="G194" s="100"/>
      <c r="H194" s="601"/>
      <c r="I194" s="100"/>
      <c r="J194" s="583"/>
      <c r="K194" s="100"/>
      <c r="L194" s="579"/>
      <c r="M194" s="87"/>
      <c r="N194" s="87"/>
      <c r="O194" s="87"/>
      <c r="P194" s="87"/>
      <c r="Q194" s="87"/>
      <c r="R194" s="87"/>
      <c r="S194" s="87"/>
      <c r="T194" s="87"/>
      <c r="U194" s="87"/>
      <c r="V194" s="87"/>
      <c r="W194" s="87"/>
      <c r="X194" s="87"/>
      <c r="Y194" s="87"/>
    </row>
    <row r="195">
      <c r="A195" s="100"/>
      <c r="B195" s="579"/>
      <c r="C195" s="100"/>
      <c r="D195" s="579"/>
      <c r="E195" s="100"/>
      <c r="F195" s="579"/>
      <c r="G195" s="100"/>
      <c r="H195" s="601"/>
      <c r="I195" s="100"/>
      <c r="J195" s="583"/>
      <c r="K195" s="100"/>
      <c r="L195" s="579"/>
      <c r="M195" s="87"/>
      <c r="N195" s="87"/>
      <c r="O195" s="87"/>
      <c r="P195" s="87"/>
      <c r="Q195" s="87"/>
      <c r="R195" s="87"/>
      <c r="S195" s="87"/>
      <c r="T195" s="87"/>
      <c r="U195" s="87"/>
      <c r="V195" s="87"/>
      <c r="W195" s="87"/>
      <c r="X195" s="87"/>
      <c r="Y195" s="87"/>
    </row>
    <row r="196">
      <c r="A196" s="100"/>
      <c r="B196" s="579"/>
      <c r="C196" s="100"/>
      <c r="D196" s="579"/>
      <c r="E196" s="100"/>
      <c r="F196" s="579"/>
      <c r="G196" s="100"/>
      <c r="H196" s="601"/>
      <c r="I196" s="100"/>
      <c r="J196" s="583"/>
      <c r="K196" s="100"/>
      <c r="L196" s="579"/>
      <c r="M196" s="87"/>
      <c r="N196" s="87"/>
      <c r="O196" s="87"/>
      <c r="P196" s="87"/>
      <c r="Q196" s="87"/>
      <c r="R196" s="87"/>
      <c r="S196" s="87"/>
      <c r="T196" s="87"/>
      <c r="U196" s="87"/>
      <c r="V196" s="87"/>
      <c r="W196" s="87"/>
      <c r="X196" s="87"/>
      <c r="Y196" s="87"/>
    </row>
    <row r="197">
      <c r="A197" s="100"/>
      <c r="B197" s="579"/>
      <c r="C197" s="100"/>
      <c r="D197" s="579"/>
      <c r="E197" s="100"/>
      <c r="F197" s="579"/>
      <c r="G197" s="100"/>
      <c r="H197" s="601"/>
      <c r="I197" s="100"/>
      <c r="J197" s="583"/>
      <c r="K197" s="100"/>
      <c r="L197" s="579"/>
      <c r="M197" s="87"/>
      <c r="N197" s="87"/>
      <c r="O197" s="87"/>
      <c r="P197" s="87"/>
      <c r="Q197" s="87"/>
      <c r="R197" s="87"/>
      <c r="S197" s="87"/>
      <c r="T197" s="87"/>
      <c r="U197" s="87"/>
      <c r="V197" s="87"/>
      <c r="W197" s="87"/>
      <c r="X197" s="87"/>
      <c r="Y197" s="87"/>
    </row>
    <row r="198">
      <c r="A198" s="100"/>
      <c r="B198" s="579"/>
      <c r="C198" s="100"/>
      <c r="D198" s="579"/>
      <c r="E198" s="100"/>
      <c r="F198" s="579"/>
      <c r="G198" s="100"/>
      <c r="H198" s="601"/>
      <c r="I198" s="100"/>
      <c r="J198" s="583"/>
      <c r="K198" s="100"/>
      <c r="L198" s="579"/>
      <c r="M198" s="87"/>
      <c r="N198" s="87"/>
      <c r="O198" s="87"/>
      <c r="P198" s="87"/>
      <c r="Q198" s="87"/>
      <c r="R198" s="87"/>
      <c r="S198" s="87"/>
      <c r="T198" s="87"/>
      <c r="U198" s="87"/>
      <c r="V198" s="87"/>
      <c r="W198" s="87"/>
      <c r="X198" s="87"/>
      <c r="Y198" s="87"/>
    </row>
    <row r="199">
      <c r="A199" s="100"/>
      <c r="B199" s="579"/>
      <c r="C199" s="100"/>
      <c r="D199" s="579"/>
      <c r="E199" s="100"/>
      <c r="F199" s="579"/>
      <c r="G199" s="100"/>
      <c r="H199" s="601"/>
      <c r="I199" s="100"/>
      <c r="J199" s="583"/>
      <c r="K199" s="100"/>
      <c r="L199" s="579"/>
      <c r="M199" s="87"/>
      <c r="N199" s="87"/>
      <c r="O199" s="87"/>
      <c r="P199" s="87"/>
      <c r="Q199" s="87"/>
      <c r="R199" s="87"/>
      <c r="S199" s="87"/>
      <c r="T199" s="87"/>
      <c r="U199" s="87"/>
      <c r="V199" s="87"/>
      <c r="W199" s="87"/>
      <c r="X199" s="87"/>
      <c r="Y199" s="87"/>
    </row>
    <row r="200">
      <c r="A200" s="100"/>
      <c r="B200" s="579"/>
      <c r="C200" s="100"/>
      <c r="D200" s="579"/>
      <c r="E200" s="100"/>
      <c r="F200" s="579"/>
      <c r="G200" s="100"/>
      <c r="H200" s="601"/>
      <c r="I200" s="100"/>
      <c r="J200" s="583"/>
      <c r="K200" s="100"/>
      <c r="L200" s="579"/>
      <c r="M200" s="87"/>
      <c r="N200" s="87"/>
      <c r="O200" s="87"/>
      <c r="P200" s="87"/>
      <c r="Q200" s="87"/>
      <c r="R200" s="87"/>
      <c r="S200" s="87"/>
      <c r="T200" s="87"/>
      <c r="U200" s="87"/>
      <c r="V200" s="87"/>
      <c r="W200" s="87"/>
      <c r="X200" s="87"/>
      <c r="Y200" s="87"/>
    </row>
    <row r="201">
      <c r="A201" s="100"/>
      <c r="B201" s="579"/>
      <c r="C201" s="100"/>
      <c r="D201" s="579"/>
      <c r="E201" s="100"/>
      <c r="F201" s="579"/>
      <c r="G201" s="100"/>
      <c r="H201" s="601"/>
      <c r="I201" s="100"/>
      <c r="J201" s="583"/>
      <c r="K201" s="100"/>
      <c r="L201" s="579"/>
      <c r="M201" s="87"/>
      <c r="N201" s="87"/>
      <c r="O201" s="87"/>
      <c r="P201" s="87"/>
      <c r="Q201" s="87"/>
      <c r="R201" s="87"/>
      <c r="S201" s="87"/>
      <c r="T201" s="87"/>
      <c r="U201" s="87"/>
      <c r="V201" s="87"/>
      <c r="W201" s="87"/>
      <c r="X201" s="87"/>
      <c r="Y201" s="87"/>
    </row>
    <row r="202">
      <c r="A202" s="100"/>
      <c r="B202" s="579"/>
      <c r="C202" s="100"/>
      <c r="D202" s="579"/>
      <c r="E202" s="100"/>
      <c r="F202" s="579"/>
      <c r="G202" s="100"/>
      <c r="H202" s="601"/>
      <c r="I202" s="100"/>
      <c r="J202" s="583"/>
      <c r="K202" s="100"/>
      <c r="L202" s="579"/>
      <c r="M202" s="87"/>
      <c r="N202" s="87"/>
      <c r="O202" s="87"/>
      <c r="P202" s="87"/>
      <c r="Q202" s="87"/>
      <c r="R202" s="87"/>
      <c r="S202" s="87"/>
      <c r="T202" s="87"/>
      <c r="U202" s="87"/>
      <c r="V202" s="87"/>
      <c r="W202" s="87"/>
      <c r="X202" s="87"/>
      <c r="Y202" s="87"/>
    </row>
    <row r="203">
      <c r="A203" s="100"/>
      <c r="B203" s="579"/>
      <c r="C203" s="100"/>
      <c r="D203" s="579"/>
      <c r="E203" s="100"/>
      <c r="F203" s="579"/>
      <c r="G203" s="100"/>
      <c r="H203" s="601"/>
      <c r="I203" s="100"/>
      <c r="J203" s="583"/>
      <c r="K203" s="100"/>
      <c r="L203" s="579"/>
      <c r="M203" s="87"/>
      <c r="N203" s="87"/>
      <c r="O203" s="87"/>
      <c r="P203" s="87"/>
      <c r="Q203" s="87"/>
      <c r="R203" s="87"/>
      <c r="S203" s="87"/>
      <c r="T203" s="87"/>
      <c r="U203" s="87"/>
      <c r="V203" s="87"/>
      <c r="W203" s="87"/>
      <c r="X203" s="87"/>
      <c r="Y203" s="87"/>
    </row>
    <row r="204">
      <c r="A204" s="100"/>
      <c r="B204" s="579"/>
      <c r="C204" s="100"/>
      <c r="D204" s="579"/>
      <c r="E204" s="100"/>
      <c r="F204" s="579"/>
      <c r="G204" s="100"/>
      <c r="H204" s="601"/>
      <c r="I204" s="100"/>
      <c r="J204" s="583"/>
      <c r="K204" s="100"/>
      <c r="L204" s="579"/>
      <c r="M204" s="87"/>
      <c r="N204" s="87"/>
      <c r="O204" s="87"/>
      <c r="P204" s="87"/>
      <c r="Q204" s="87"/>
      <c r="R204" s="87"/>
      <c r="S204" s="87"/>
      <c r="T204" s="87"/>
      <c r="U204" s="87"/>
      <c r="V204" s="87"/>
      <c r="W204" s="87"/>
      <c r="X204" s="87"/>
      <c r="Y204" s="87"/>
    </row>
    <row r="205">
      <c r="A205" s="100"/>
      <c r="B205" s="579"/>
      <c r="C205" s="100"/>
      <c r="D205" s="579"/>
      <c r="E205" s="100"/>
      <c r="F205" s="579"/>
      <c r="G205" s="100"/>
      <c r="H205" s="601"/>
      <c r="I205" s="100"/>
      <c r="J205" s="583"/>
      <c r="K205" s="100"/>
      <c r="L205" s="579"/>
      <c r="M205" s="87"/>
      <c r="N205" s="87"/>
      <c r="O205" s="87"/>
      <c r="P205" s="87"/>
      <c r="Q205" s="87"/>
      <c r="R205" s="87"/>
      <c r="S205" s="87"/>
      <c r="T205" s="87"/>
      <c r="U205" s="87"/>
      <c r="V205" s="87"/>
      <c r="W205" s="87"/>
      <c r="X205" s="87"/>
      <c r="Y205" s="87"/>
    </row>
    <row r="206">
      <c r="A206" s="100"/>
      <c r="B206" s="579"/>
      <c r="C206" s="100"/>
      <c r="D206" s="579"/>
      <c r="E206" s="100"/>
      <c r="F206" s="579"/>
      <c r="G206" s="100"/>
      <c r="H206" s="601"/>
      <c r="I206" s="100"/>
      <c r="J206" s="583"/>
      <c r="K206" s="100"/>
      <c r="L206" s="579"/>
      <c r="M206" s="87"/>
      <c r="N206" s="87"/>
      <c r="O206" s="87"/>
      <c r="P206" s="87"/>
      <c r="Q206" s="87"/>
      <c r="R206" s="87"/>
      <c r="S206" s="87"/>
      <c r="T206" s="87"/>
      <c r="U206" s="87"/>
      <c r="V206" s="87"/>
      <c r="W206" s="87"/>
      <c r="X206" s="87"/>
      <c r="Y206" s="87"/>
    </row>
    <row r="207">
      <c r="A207" s="100"/>
      <c r="B207" s="579"/>
      <c r="C207" s="100"/>
      <c r="D207" s="579"/>
      <c r="E207" s="100"/>
      <c r="F207" s="579"/>
      <c r="G207" s="100"/>
      <c r="H207" s="601"/>
      <c r="I207" s="100"/>
      <c r="J207" s="583"/>
      <c r="K207" s="100"/>
      <c r="L207" s="579"/>
      <c r="M207" s="87"/>
      <c r="N207" s="87"/>
      <c r="O207" s="87"/>
      <c r="P207" s="87"/>
      <c r="Q207" s="87"/>
      <c r="R207" s="87"/>
      <c r="S207" s="87"/>
      <c r="T207" s="87"/>
      <c r="U207" s="87"/>
      <c r="V207" s="87"/>
      <c r="W207" s="87"/>
      <c r="X207" s="87"/>
      <c r="Y207" s="87"/>
    </row>
    <row r="208">
      <c r="A208" s="100"/>
      <c r="B208" s="579"/>
      <c r="C208" s="100"/>
      <c r="D208" s="579"/>
      <c r="E208" s="100"/>
      <c r="F208" s="579"/>
      <c r="G208" s="100"/>
      <c r="H208" s="601"/>
      <c r="I208" s="100"/>
      <c r="J208" s="583"/>
      <c r="K208" s="100"/>
      <c r="L208" s="579"/>
      <c r="M208" s="87"/>
      <c r="N208" s="87"/>
      <c r="O208" s="87"/>
      <c r="P208" s="87"/>
      <c r="Q208" s="87"/>
      <c r="R208" s="87"/>
      <c r="S208" s="87"/>
      <c r="T208" s="87"/>
      <c r="U208" s="87"/>
      <c r="V208" s="87"/>
      <c r="W208" s="87"/>
      <c r="X208" s="87"/>
      <c r="Y208" s="87"/>
    </row>
    <row r="209">
      <c r="A209" s="100"/>
      <c r="B209" s="579"/>
      <c r="C209" s="100"/>
      <c r="D209" s="579"/>
      <c r="E209" s="100"/>
      <c r="F209" s="579"/>
      <c r="G209" s="100"/>
      <c r="H209" s="601"/>
      <c r="I209" s="100"/>
      <c r="J209" s="583"/>
      <c r="K209" s="100"/>
      <c r="L209" s="579"/>
      <c r="M209" s="87"/>
      <c r="N209" s="87"/>
      <c r="O209" s="87"/>
      <c r="P209" s="87"/>
      <c r="Q209" s="87"/>
      <c r="R209" s="87"/>
      <c r="S209" s="87"/>
      <c r="T209" s="87"/>
      <c r="U209" s="87"/>
      <c r="V209" s="87"/>
      <c r="W209" s="87"/>
      <c r="X209" s="87"/>
      <c r="Y209" s="87"/>
    </row>
    <row r="210">
      <c r="A210" s="100"/>
      <c r="B210" s="579"/>
      <c r="C210" s="100"/>
      <c r="D210" s="579"/>
      <c r="E210" s="100"/>
      <c r="F210" s="579"/>
      <c r="G210" s="100"/>
      <c r="H210" s="601"/>
      <c r="I210" s="100"/>
      <c r="J210" s="583"/>
      <c r="K210" s="100"/>
      <c r="L210" s="579"/>
      <c r="M210" s="87"/>
      <c r="N210" s="87"/>
      <c r="O210" s="87"/>
      <c r="P210" s="87"/>
      <c r="Q210" s="87"/>
      <c r="R210" s="87"/>
      <c r="S210" s="87"/>
      <c r="T210" s="87"/>
      <c r="U210" s="87"/>
      <c r="V210" s="87"/>
      <c r="W210" s="87"/>
      <c r="X210" s="87"/>
      <c r="Y210" s="87"/>
    </row>
    <row r="211">
      <c r="A211" s="100"/>
      <c r="B211" s="579"/>
      <c r="C211" s="100"/>
      <c r="D211" s="579"/>
      <c r="E211" s="100"/>
      <c r="F211" s="579"/>
      <c r="G211" s="100"/>
      <c r="H211" s="601"/>
      <c r="I211" s="100"/>
      <c r="J211" s="583"/>
      <c r="K211" s="100"/>
      <c r="L211" s="579"/>
      <c r="M211" s="87"/>
      <c r="N211" s="87"/>
      <c r="O211" s="87"/>
      <c r="P211" s="87"/>
      <c r="Q211" s="87"/>
      <c r="R211" s="87"/>
      <c r="S211" s="87"/>
      <c r="T211" s="87"/>
      <c r="U211" s="87"/>
      <c r="V211" s="87"/>
      <c r="W211" s="87"/>
      <c r="X211" s="87"/>
      <c r="Y211" s="87"/>
    </row>
    <row r="212">
      <c r="A212" s="100"/>
      <c r="B212" s="579"/>
      <c r="C212" s="100"/>
      <c r="D212" s="579"/>
      <c r="E212" s="100"/>
      <c r="F212" s="579"/>
      <c r="G212" s="100"/>
      <c r="H212" s="601"/>
      <c r="I212" s="100"/>
      <c r="J212" s="583"/>
      <c r="K212" s="100"/>
      <c r="L212" s="579"/>
      <c r="M212" s="87"/>
      <c r="N212" s="87"/>
      <c r="O212" s="87"/>
      <c r="P212" s="87"/>
      <c r="Q212" s="87"/>
      <c r="R212" s="87"/>
      <c r="S212" s="87"/>
      <c r="T212" s="87"/>
      <c r="U212" s="87"/>
      <c r="V212" s="87"/>
      <c r="W212" s="87"/>
      <c r="X212" s="87"/>
      <c r="Y212" s="87"/>
    </row>
    <row r="213">
      <c r="A213" s="100"/>
      <c r="B213" s="579"/>
      <c r="C213" s="100"/>
      <c r="D213" s="579"/>
      <c r="E213" s="100"/>
      <c r="F213" s="579"/>
      <c r="G213" s="100"/>
      <c r="H213" s="601"/>
      <c r="I213" s="100"/>
      <c r="J213" s="583"/>
      <c r="K213" s="100"/>
      <c r="L213" s="579"/>
      <c r="M213" s="87"/>
      <c r="N213" s="87"/>
      <c r="O213" s="87"/>
      <c r="P213" s="87"/>
      <c r="Q213" s="87"/>
      <c r="R213" s="87"/>
      <c r="S213" s="87"/>
      <c r="T213" s="87"/>
      <c r="U213" s="87"/>
      <c r="V213" s="87"/>
      <c r="W213" s="87"/>
      <c r="X213" s="87"/>
      <c r="Y213" s="87"/>
    </row>
    <row r="214">
      <c r="A214" s="100"/>
      <c r="B214" s="579"/>
      <c r="C214" s="100"/>
      <c r="D214" s="579"/>
      <c r="E214" s="100"/>
      <c r="F214" s="579"/>
      <c r="G214" s="100"/>
      <c r="H214" s="601"/>
      <c r="I214" s="100"/>
      <c r="J214" s="583"/>
      <c r="K214" s="100"/>
      <c r="L214" s="579"/>
      <c r="M214" s="87"/>
      <c r="N214" s="87"/>
      <c r="O214" s="87"/>
      <c r="P214" s="87"/>
      <c r="Q214" s="87"/>
      <c r="R214" s="87"/>
      <c r="S214" s="87"/>
      <c r="T214" s="87"/>
      <c r="U214" s="87"/>
      <c r="V214" s="87"/>
      <c r="W214" s="87"/>
      <c r="X214" s="87"/>
      <c r="Y214" s="87"/>
    </row>
    <row r="215">
      <c r="A215" s="100"/>
      <c r="B215" s="579"/>
      <c r="C215" s="100"/>
      <c r="D215" s="579"/>
      <c r="E215" s="100"/>
      <c r="F215" s="579"/>
      <c r="G215" s="100"/>
      <c r="H215" s="601"/>
      <c r="I215" s="100"/>
      <c r="J215" s="583"/>
      <c r="K215" s="100"/>
      <c r="L215" s="579"/>
      <c r="M215" s="87"/>
      <c r="N215" s="87"/>
      <c r="O215" s="87"/>
      <c r="P215" s="87"/>
      <c r="Q215" s="87"/>
      <c r="R215" s="87"/>
      <c r="S215" s="87"/>
      <c r="T215" s="87"/>
      <c r="U215" s="87"/>
      <c r="V215" s="87"/>
      <c r="W215" s="87"/>
      <c r="X215" s="87"/>
      <c r="Y215" s="87"/>
    </row>
    <row r="216">
      <c r="A216" s="100"/>
      <c r="B216" s="579"/>
      <c r="C216" s="100"/>
      <c r="D216" s="579"/>
      <c r="E216" s="100"/>
      <c r="F216" s="579"/>
      <c r="G216" s="100"/>
      <c r="H216" s="601"/>
      <c r="I216" s="100"/>
      <c r="J216" s="583"/>
      <c r="K216" s="100"/>
      <c r="L216" s="579"/>
      <c r="M216" s="87"/>
      <c r="N216" s="87"/>
      <c r="O216" s="87"/>
      <c r="P216" s="87"/>
      <c r="Q216" s="87"/>
      <c r="R216" s="87"/>
      <c r="S216" s="87"/>
      <c r="T216" s="87"/>
      <c r="U216" s="87"/>
      <c r="V216" s="87"/>
      <c r="W216" s="87"/>
      <c r="X216" s="87"/>
      <c r="Y216" s="87"/>
    </row>
    <row r="217">
      <c r="A217" s="100"/>
      <c r="B217" s="579"/>
      <c r="C217" s="100"/>
      <c r="D217" s="579"/>
      <c r="E217" s="100"/>
      <c r="F217" s="579"/>
      <c r="G217" s="100"/>
      <c r="H217" s="601"/>
      <c r="I217" s="100"/>
      <c r="J217" s="583"/>
      <c r="K217" s="100"/>
      <c r="L217" s="579"/>
      <c r="M217" s="87"/>
      <c r="N217" s="87"/>
      <c r="O217" s="87"/>
      <c r="P217" s="87"/>
      <c r="Q217" s="87"/>
      <c r="R217" s="87"/>
      <c r="S217" s="87"/>
      <c r="T217" s="87"/>
      <c r="U217" s="87"/>
      <c r="V217" s="87"/>
      <c r="W217" s="87"/>
      <c r="X217" s="87"/>
      <c r="Y217" s="87"/>
    </row>
    <row r="218">
      <c r="A218" s="100"/>
      <c r="B218" s="579"/>
      <c r="C218" s="100"/>
      <c r="D218" s="579"/>
      <c r="E218" s="100"/>
      <c r="F218" s="579"/>
      <c r="G218" s="100"/>
      <c r="H218" s="601"/>
      <c r="I218" s="100"/>
      <c r="J218" s="583"/>
      <c r="K218" s="100"/>
      <c r="L218" s="579"/>
      <c r="M218" s="87"/>
      <c r="N218" s="87"/>
      <c r="O218" s="87"/>
      <c r="P218" s="87"/>
      <c r="Q218" s="87"/>
      <c r="R218" s="87"/>
      <c r="S218" s="87"/>
      <c r="T218" s="87"/>
      <c r="U218" s="87"/>
      <c r="V218" s="87"/>
      <c r="W218" s="87"/>
      <c r="X218" s="87"/>
      <c r="Y218" s="87"/>
    </row>
    <row r="219">
      <c r="A219" s="100"/>
      <c r="B219" s="579"/>
      <c r="C219" s="100"/>
      <c r="D219" s="579"/>
      <c r="E219" s="100"/>
      <c r="F219" s="579"/>
      <c r="G219" s="100"/>
      <c r="H219" s="601"/>
      <c r="I219" s="100"/>
      <c r="J219" s="583"/>
      <c r="K219" s="100"/>
      <c r="L219" s="579"/>
      <c r="M219" s="87"/>
      <c r="N219" s="87"/>
      <c r="O219" s="87"/>
      <c r="P219" s="87"/>
      <c r="Q219" s="87"/>
      <c r="R219" s="87"/>
      <c r="S219" s="87"/>
      <c r="T219" s="87"/>
      <c r="U219" s="87"/>
      <c r="V219" s="87"/>
      <c r="W219" s="87"/>
      <c r="X219" s="87"/>
      <c r="Y219" s="87"/>
    </row>
    <row r="220">
      <c r="A220" s="100"/>
      <c r="B220" s="579"/>
      <c r="C220" s="100"/>
      <c r="D220" s="579"/>
      <c r="E220" s="100"/>
      <c r="F220" s="579"/>
      <c r="G220" s="100"/>
      <c r="H220" s="601"/>
      <c r="I220" s="100"/>
      <c r="J220" s="583"/>
      <c r="K220" s="100"/>
      <c r="L220" s="579"/>
      <c r="M220" s="87"/>
      <c r="N220" s="87"/>
      <c r="O220" s="87"/>
      <c r="P220" s="87"/>
      <c r="Q220" s="87"/>
      <c r="R220" s="87"/>
      <c r="S220" s="87"/>
      <c r="T220" s="87"/>
      <c r="U220" s="87"/>
      <c r="V220" s="87"/>
      <c r="W220" s="87"/>
      <c r="X220" s="87"/>
      <c r="Y220" s="87"/>
    </row>
    <row r="221">
      <c r="A221" s="100"/>
      <c r="B221" s="579"/>
      <c r="C221" s="100"/>
      <c r="D221" s="579"/>
      <c r="E221" s="100"/>
      <c r="F221" s="579"/>
      <c r="G221" s="100"/>
      <c r="H221" s="601"/>
      <c r="I221" s="100"/>
      <c r="J221" s="583"/>
      <c r="K221" s="100"/>
      <c r="L221" s="579"/>
      <c r="M221" s="87"/>
      <c r="N221" s="87"/>
      <c r="O221" s="87"/>
      <c r="P221" s="87"/>
      <c r="Q221" s="87"/>
      <c r="R221" s="87"/>
      <c r="S221" s="87"/>
      <c r="T221" s="87"/>
      <c r="U221" s="87"/>
      <c r="V221" s="87"/>
      <c r="W221" s="87"/>
      <c r="X221" s="87"/>
      <c r="Y221" s="87"/>
    </row>
    <row r="222">
      <c r="A222" s="100"/>
      <c r="B222" s="579"/>
      <c r="C222" s="100"/>
      <c r="D222" s="579"/>
      <c r="E222" s="100"/>
      <c r="F222" s="579"/>
      <c r="G222" s="100"/>
      <c r="H222" s="601"/>
      <c r="I222" s="100"/>
      <c r="J222" s="583"/>
      <c r="K222" s="100"/>
      <c r="L222" s="579"/>
      <c r="M222" s="87"/>
      <c r="N222" s="87"/>
      <c r="O222" s="87"/>
      <c r="P222" s="87"/>
      <c r="Q222" s="87"/>
      <c r="R222" s="87"/>
      <c r="S222" s="87"/>
      <c r="T222" s="87"/>
      <c r="U222" s="87"/>
      <c r="V222" s="87"/>
      <c r="W222" s="87"/>
      <c r="X222" s="87"/>
      <c r="Y222" s="87"/>
    </row>
    <row r="223">
      <c r="A223" s="100"/>
      <c r="B223" s="579"/>
      <c r="C223" s="100"/>
      <c r="D223" s="579"/>
      <c r="E223" s="100"/>
      <c r="F223" s="579"/>
      <c r="G223" s="100"/>
      <c r="H223" s="601"/>
      <c r="I223" s="100"/>
      <c r="J223" s="583"/>
      <c r="K223" s="100"/>
      <c r="L223" s="579"/>
      <c r="M223" s="87"/>
      <c r="N223" s="87"/>
      <c r="O223" s="87"/>
      <c r="P223" s="87"/>
      <c r="Q223" s="87"/>
      <c r="R223" s="87"/>
      <c r="S223" s="87"/>
      <c r="T223" s="87"/>
      <c r="U223" s="87"/>
      <c r="V223" s="87"/>
      <c r="W223" s="87"/>
      <c r="X223" s="87"/>
      <c r="Y223" s="87"/>
    </row>
    <row r="224">
      <c r="A224" s="100"/>
      <c r="B224" s="579"/>
      <c r="C224" s="100"/>
      <c r="D224" s="579"/>
      <c r="E224" s="100"/>
      <c r="F224" s="579"/>
      <c r="G224" s="100"/>
      <c r="H224" s="601"/>
      <c r="I224" s="100"/>
      <c r="J224" s="583"/>
      <c r="K224" s="100"/>
      <c r="L224" s="579"/>
      <c r="M224" s="87"/>
      <c r="N224" s="87"/>
      <c r="O224" s="87"/>
      <c r="P224" s="87"/>
      <c r="Q224" s="87"/>
      <c r="R224" s="87"/>
      <c r="S224" s="87"/>
      <c r="T224" s="87"/>
      <c r="U224" s="87"/>
      <c r="V224" s="87"/>
      <c r="W224" s="87"/>
      <c r="X224" s="87"/>
      <c r="Y224" s="87"/>
    </row>
    <row r="225">
      <c r="A225" s="100"/>
      <c r="B225" s="579"/>
      <c r="C225" s="100"/>
      <c r="D225" s="579"/>
      <c r="E225" s="100"/>
      <c r="F225" s="579"/>
      <c r="G225" s="100"/>
      <c r="H225" s="601"/>
      <c r="I225" s="100"/>
      <c r="J225" s="583"/>
      <c r="K225" s="100"/>
      <c r="L225" s="579"/>
      <c r="M225" s="87"/>
      <c r="N225" s="87"/>
      <c r="O225" s="87"/>
      <c r="P225" s="87"/>
      <c r="Q225" s="87"/>
      <c r="R225" s="87"/>
      <c r="S225" s="87"/>
      <c r="T225" s="87"/>
      <c r="U225" s="87"/>
      <c r="V225" s="87"/>
      <c r="W225" s="87"/>
      <c r="X225" s="87"/>
      <c r="Y225" s="87"/>
    </row>
    <row r="226">
      <c r="A226" s="100"/>
      <c r="B226" s="579"/>
      <c r="C226" s="100"/>
      <c r="D226" s="579"/>
      <c r="E226" s="100"/>
      <c r="F226" s="579"/>
      <c r="G226" s="100"/>
      <c r="H226" s="601"/>
      <c r="I226" s="100"/>
      <c r="J226" s="583"/>
      <c r="K226" s="100"/>
      <c r="L226" s="579"/>
      <c r="M226" s="87"/>
      <c r="N226" s="87"/>
      <c r="O226" s="87"/>
      <c r="P226" s="87"/>
      <c r="Q226" s="87"/>
      <c r="R226" s="87"/>
      <c r="S226" s="87"/>
      <c r="T226" s="87"/>
      <c r="U226" s="87"/>
      <c r="V226" s="87"/>
      <c r="W226" s="87"/>
      <c r="X226" s="87"/>
      <c r="Y226" s="87"/>
    </row>
    <row r="227">
      <c r="A227" s="100"/>
      <c r="B227" s="579"/>
      <c r="C227" s="100"/>
      <c r="D227" s="579"/>
      <c r="E227" s="100"/>
      <c r="F227" s="579"/>
      <c r="G227" s="100"/>
      <c r="H227" s="601"/>
      <c r="I227" s="100"/>
      <c r="J227" s="583"/>
      <c r="K227" s="100"/>
      <c r="L227" s="579"/>
      <c r="M227" s="87"/>
      <c r="N227" s="87"/>
      <c r="O227" s="87"/>
      <c r="P227" s="87"/>
      <c r="Q227" s="87"/>
      <c r="R227" s="87"/>
      <c r="S227" s="87"/>
      <c r="T227" s="87"/>
      <c r="U227" s="87"/>
      <c r="V227" s="87"/>
      <c r="W227" s="87"/>
      <c r="X227" s="87"/>
      <c r="Y227" s="87"/>
    </row>
    <row r="228">
      <c r="A228" s="100"/>
      <c r="B228" s="579"/>
      <c r="C228" s="100"/>
      <c r="D228" s="579"/>
      <c r="E228" s="100"/>
      <c r="F228" s="579"/>
      <c r="G228" s="100"/>
      <c r="H228" s="601"/>
      <c r="I228" s="100"/>
      <c r="J228" s="583"/>
      <c r="K228" s="100"/>
      <c r="L228" s="579"/>
      <c r="M228" s="87"/>
      <c r="N228" s="87"/>
      <c r="O228" s="87"/>
      <c r="P228" s="87"/>
      <c r="Q228" s="87"/>
      <c r="R228" s="87"/>
      <c r="S228" s="87"/>
      <c r="T228" s="87"/>
      <c r="U228" s="87"/>
      <c r="V228" s="87"/>
      <c r="W228" s="87"/>
      <c r="X228" s="87"/>
      <c r="Y228" s="87"/>
    </row>
    <row r="229">
      <c r="A229" s="100"/>
      <c r="B229" s="579"/>
      <c r="C229" s="100"/>
      <c r="D229" s="579"/>
      <c r="E229" s="100"/>
      <c r="F229" s="579"/>
      <c r="G229" s="100"/>
      <c r="H229" s="601"/>
      <c r="I229" s="100"/>
      <c r="J229" s="583"/>
      <c r="K229" s="100"/>
      <c r="L229" s="579"/>
      <c r="M229" s="87"/>
      <c r="N229" s="87"/>
      <c r="O229" s="87"/>
      <c r="P229" s="87"/>
      <c r="Q229" s="87"/>
      <c r="R229" s="87"/>
      <c r="S229" s="87"/>
      <c r="T229" s="87"/>
      <c r="U229" s="87"/>
      <c r="V229" s="87"/>
      <c r="W229" s="87"/>
      <c r="X229" s="87"/>
      <c r="Y229" s="87"/>
    </row>
    <row r="230">
      <c r="A230" s="100"/>
      <c r="B230" s="579"/>
      <c r="C230" s="100"/>
      <c r="D230" s="579"/>
      <c r="E230" s="100"/>
      <c r="F230" s="579"/>
      <c r="G230" s="100"/>
      <c r="H230" s="601"/>
      <c r="I230" s="100"/>
      <c r="J230" s="583"/>
      <c r="K230" s="100"/>
      <c r="L230" s="579"/>
      <c r="M230" s="87"/>
      <c r="N230" s="87"/>
      <c r="O230" s="87"/>
      <c r="P230" s="87"/>
      <c r="Q230" s="87"/>
      <c r="R230" s="87"/>
      <c r="S230" s="87"/>
      <c r="T230" s="87"/>
      <c r="U230" s="87"/>
      <c r="V230" s="87"/>
      <c r="W230" s="87"/>
      <c r="X230" s="87"/>
      <c r="Y230" s="87"/>
    </row>
    <row r="231">
      <c r="A231" s="100"/>
      <c r="B231" s="579"/>
      <c r="C231" s="100"/>
      <c r="D231" s="579"/>
      <c r="E231" s="100"/>
      <c r="F231" s="579"/>
      <c r="G231" s="100"/>
      <c r="H231" s="601"/>
      <c r="I231" s="100"/>
      <c r="J231" s="583"/>
      <c r="K231" s="100"/>
      <c r="L231" s="579"/>
      <c r="M231" s="87"/>
      <c r="N231" s="87"/>
      <c r="O231" s="87"/>
      <c r="P231" s="87"/>
      <c r="Q231" s="87"/>
      <c r="R231" s="87"/>
      <c r="S231" s="87"/>
      <c r="T231" s="87"/>
      <c r="U231" s="87"/>
      <c r="V231" s="87"/>
      <c r="W231" s="87"/>
      <c r="X231" s="87"/>
      <c r="Y231" s="87"/>
    </row>
    <row r="232">
      <c r="A232" s="100"/>
      <c r="B232" s="579"/>
      <c r="C232" s="100"/>
      <c r="D232" s="579"/>
      <c r="E232" s="100"/>
      <c r="F232" s="579"/>
      <c r="G232" s="100"/>
      <c r="H232" s="601"/>
      <c r="I232" s="100"/>
      <c r="J232" s="583"/>
      <c r="K232" s="100"/>
      <c r="L232" s="579"/>
      <c r="M232" s="87"/>
      <c r="N232" s="87"/>
      <c r="O232" s="87"/>
      <c r="P232" s="87"/>
      <c r="Q232" s="87"/>
      <c r="R232" s="87"/>
      <c r="S232" s="87"/>
      <c r="T232" s="87"/>
      <c r="U232" s="87"/>
      <c r="V232" s="87"/>
      <c r="W232" s="87"/>
      <c r="X232" s="87"/>
      <c r="Y232" s="87"/>
    </row>
    <row r="233">
      <c r="A233" s="100"/>
      <c r="B233" s="579"/>
      <c r="C233" s="100"/>
      <c r="D233" s="579"/>
      <c r="E233" s="100"/>
      <c r="F233" s="579"/>
      <c r="G233" s="100"/>
      <c r="H233" s="601"/>
      <c r="I233" s="100"/>
      <c r="J233" s="583"/>
      <c r="K233" s="100"/>
      <c r="L233" s="579"/>
      <c r="M233" s="87"/>
      <c r="N233" s="87"/>
      <c r="O233" s="87"/>
      <c r="P233" s="87"/>
      <c r="Q233" s="87"/>
      <c r="R233" s="87"/>
      <c r="S233" s="87"/>
      <c r="T233" s="87"/>
      <c r="U233" s="87"/>
      <c r="V233" s="87"/>
      <c r="W233" s="87"/>
      <c r="X233" s="87"/>
      <c r="Y233" s="87"/>
    </row>
    <row r="234">
      <c r="A234" s="100"/>
      <c r="B234" s="579"/>
      <c r="C234" s="100"/>
      <c r="D234" s="579"/>
      <c r="E234" s="100"/>
      <c r="F234" s="579"/>
      <c r="G234" s="100"/>
      <c r="H234" s="601"/>
      <c r="I234" s="100"/>
      <c r="J234" s="583"/>
      <c r="K234" s="100"/>
      <c r="L234" s="579"/>
      <c r="M234" s="87"/>
      <c r="N234" s="87"/>
      <c r="O234" s="87"/>
      <c r="P234" s="87"/>
      <c r="Q234" s="87"/>
      <c r="R234" s="87"/>
      <c r="S234" s="87"/>
      <c r="T234" s="87"/>
      <c r="U234" s="87"/>
      <c r="V234" s="87"/>
      <c r="W234" s="87"/>
      <c r="X234" s="87"/>
      <c r="Y234" s="87"/>
    </row>
    <row r="235">
      <c r="A235" s="100"/>
      <c r="B235" s="579"/>
      <c r="C235" s="100"/>
      <c r="D235" s="579"/>
      <c r="E235" s="100"/>
      <c r="F235" s="579"/>
      <c r="G235" s="100"/>
      <c r="H235" s="601"/>
      <c r="I235" s="100"/>
      <c r="J235" s="583"/>
      <c r="K235" s="100"/>
      <c r="L235" s="579"/>
      <c r="M235" s="87"/>
      <c r="N235" s="87"/>
      <c r="O235" s="87"/>
      <c r="P235" s="87"/>
      <c r="Q235" s="87"/>
      <c r="R235" s="87"/>
      <c r="S235" s="87"/>
      <c r="T235" s="87"/>
      <c r="U235" s="87"/>
      <c r="V235" s="87"/>
      <c r="W235" s="87"/>
      <c r="X235" s="87"/>
      <c r="Y235" s="87"/>
    </row>
    <row r="236">
      <c r="A236" s="100"/>
      <c r="B236" s="579"/>
      <c r="C236" s="100"/>
      <c r="D236" s="579"/>
      <c r="E236" s="100"/>
      <c r="F236" s="579"/>
      <c r="G236" s="100"/>
      <c r="H236" s="601"/>
      <c r="I236" s="100"/>
      <c r="J236" s="583"/>
      <c r="K236" s="100"/>
      <c r="L236" s="579"/>
      <c r="M236" s="87"/>
      <c r="N236" s="87"/>
      <c r="O236" s="87"/>
      <c r="P236" s="87"/>
      <c r="Q236" s="87"/>
      <c r="R236" s="87"/>
      <c r="S236" s="87"/>
      <c r="T236" s="87"/>
      <c r="U236" s="87"/>
      <c r="V236" s="87"/>
      <c r="W236" s="87"/>
      <c r="X236" s="87"/>
      <c r="Y236" s="87"/>
    </row>
    <row r="237">
      <c r="A237" s="100"/>
      <c r="B237" s="579"/>
      <c r="C237" s="100"/>
      <c r="D237" s="579"/>
      <c r="E237" s="100"/>
      <c r="F237" s="579"/>
      <c r="G237" s="100"/>
      <c r="H237" s="601"/>
      <c r="I237" s="100"/>
      <c r="J237" s="583"/>
      <c r="K237" s="100"/>
      <c r="L237" s="579"/>
      <c r="M237" s="87"/>
      <c r="N237" s="87"/>
      <c r="O237" s="87"/>
      <c r="P237" s="87"/>
      <c r="Q237" s="87"/>
      <c r="R237" s="87"/>
      <c r="S237" s="87"/>
      <c r="T237" s="87"/>
      <c r="U237" s="87"/>
      <c r="V237" s="87"/>
      <c r="W237" s="87"/>
      <c r="X237" s="87"/>
      <c r="Y237" s="87"/>
    </row>
    <row r="238">
      <c r="A238" s="100"/>
      <c r="B238" s="579"/>
      <c r="C238" s="100"/>
      <c r="D238" s="579"/>
      <c r="E238" s="100"/>
      <c r="F238" s="579"/>
      <c r="G238" s="100"/>
      <c r="H238" s="601"/>
      <c r="I238" s="100"/>
      <c r="J238" s="583"/>
      <c r="K238" s="100"/>
      <c r="L238" s="579"/>
      <c r="M238" s="87"/>
      <c r="N238" s="87"/>
      <c r="O238" s="87"/>
      <c r="P238" s="87"/>
      <c r="Q238" s="87"/>
      <c r="R238" s="87"/>
      <c r="S238" s="87"/>
      <c r="T238" s="87"/>
      <c r="U238" s="87"/>
      <c r="V238" s="87"/>
      <c r="W238" s="87"/>
      <c r="X238" s="87"/>
      <c r="Y238" s="87"/>
    </row>
    <row r="239">
      <c r="A239" s="100"/>
      <c r="B239" s="579"/>
      <c r="C239" s="100"/>
      <c r="D239" s="579"/>
      <c r="E239" s="100"/>
      <c r="F239" s="579"/>
      <c r="G239" s="100"/>
      <c r="H239" s="601"/>
      <c r="I239" s="100"/>
      <c r="J239" s="583"/>
      <c r="K239" s="100"/>
      <c r="L239" s="579"/>
      <c r="M239" s="87"/>
      <c r="N239" s="87"/>
      <c r="O239" s="87"/>
      <c r="P239" s="87"/>
      <c r="Q239" s="87"/>
      <c r="R239" s="87"/>
      <c r="S239" s="87"/>
      <c r="T239" s="87"/>
      <c r="U239" s="87"/>
      <c r="V239" s="87"/>
      <c r="W239" s="87"/>
      <c r="X239" s="87"/>
      <c r="Y239" s="87"/>
    </row>
    <row r="240">
      <c r="A240" s="100"/>
      <c r="B240" s="579"/>
      <c r="C240" s="100"/>
      <c r="D240" s="579"/>
      <c r="E240" s="100"/>
      <c r="F240" s="579"/>
      <c r="G240" s="100"/>
      <c r="H240" s="601"/>
      <c r="I240" s="100"/>
      <c r="J240" s="583"/>
      <c r="K240" s="100"/>
      <c r="L240" s="579"/>
      <c r="M240" s="87"/>
      <c r="N240" s="87"/>
      <c r="O240" s="87"/>
      <c r="P240" s="87"/>
      <c r="Q240" s="87"/>
      <c r="R240" s="87"/>
      <c r="S240" s="87"/>
      <c r="T240" s="87"/>
      <c r="U240" s="87"/>
      <c r="V240" s="87"/>
      <c r="W240" s="87"/>
      <c r="X240" s="87"/>
      <c r="Y240" s="87"/>
    </row>
    <row r="241">
      <c r="A241" s="100"/>
      <c r="B241" s="579"/>
      <c r="C241" s="100"/>
      <c r="D241" s="579"/>
      <c r="E241" s="100"/>
      <c r="F241" s="579"/>
      <c r="G241" s="100"/>
      <c r="H241" s="601"/>
      <c r="I241" s="100"/>
      <c r="J241" s="583"/>
      <c r="K241" s="100"/>
      <c r="L241" s="579"/>
      <c r="M241" s="87"/>
      <c r="N241" s="87"/>
      <c r="O241" s="87"/>
      <c r="P241" s="87"/>
      <c r="Q241" s="87"/>
      <c r="R241" s="87"/>
      <c r="S241" s="87"/>
      <c r="T241" s="87"/>
      <c r="U241" s="87"/>
      <c r="V241" s="87"/>
      <c r="W241" s="87"/>
      <c r="X241" s="87"/>
      <c r="Y241" s="87"/>
    </row>
    <row r="242">
      <c r="A242" s="100"/>
      <c r="B242" s="579"/>
      <c r="C242" s="100"/>
      <c r="D242" s="579"/>
      <c r="E242" s="100"/>
      <c r="F242" s="579"/>
      <c r="G242" s="100"/>
      <c r="H242" s="601"/>
      <c r="I242" s="100"/>
      <c r="J242" s="583"/>
      <c r="K242" s="100"/>
      <c r="L242" s="579"/>
      <c r="M242" s="87"/>
      <c r="N242" s="87"/>
      <c r="O242" s="87"/>
      <c r="P242" s="87"/>
      <c r="Q242" s="87"/>
      <c r="R242" s="87"/>
      <c r="S242" s="87"/>
      <c r="T242" s="87"/>
      <c r="U242" s="87"/>
      <c r="V242" s="87"/>
      <c r="W242" s="87"/>
      <c r="X242" s="87"/>
      <c r="Y242" s="87"/>
    </row>
    <row r="243">
      <c r="A243" s="100"/>
      <c r="B243" s="579"/>
      <c r="C243" s="100"/>
      <c r="D243" s="579"/>
      <c r="E243" s="100"/>
      <c r="F243" s="579"/>
      <c r="G243" s="100"/>
      <c r="H243" s="601"/>
      <c r="I243" s="100"/>
      <c r="J243" s="583"/>
      <c r="K243" s="100"/>
      <c r="L243" s="579"/>
      <c r="M243" s="87"/>
      <c r="N243" s="87"/>
      <c r="O243" s="87"/>
      <c r="P243" s="87"/>
      <c r="Q243" s="87"/>
      <c r="R243" s="87"/>
      <c r="S243" s="87"/>
      <c r="T243" s="87"/>
      <c r="U243" s="87"/>
      <c r="V243" s="87"/>
      <c r="W243" s="87"/>
      <c r="X243" s="87"/>
      <c r="Y243" s="87"/>
    </row>
    <row r="244">
      <c r="A244" s="100"/>
      <c r="B244" s="579"/>
      <c r="C244" s="100"/>
      <c r="D244" s="579"/>
      <c r="E244" s="100"/>
      <c r="F244" s="579"/>
      <c r="G244" s="100"/>
      <c r="H244" s="601"/>
      <c r="I244" s="100"/>
      <c r="J244" s="583"/>
      <c r="K244" s="100"/>
      <c r="L244" s="579"/>
      <c r="M244" s="87"/>
      <c r="N244" s="87"/>
      <c r="O244" s="87"/>
      <c r="P244" s="87"/>
      <c r="Q244" s="87"/>
      <c r="R244" s="87"/>
      <c r="S244" s="87"/>
      <c r="T244" s="87"/>
      <c r="U244" s="87"/>
      <c r="V244" s="87"/>
      <c r="W244" s="87"/>
      <c r="X244" s="87"/>
      <c r="Y244" s="87"/>
    </row>
    <row r="245">
      <c r="A245" s="100"/>
      <c r="B245" s="579"/>
      <c r="C245" s="100"/>
      <c r="D245" s="579"/>
      <c r="E245" s="100"/>
      <c r="F245" s="579"/>
      <c r="G245" s="100"/>
      <c r="H245" s="601"/>
      <c r="I245" s="100"/>
      <c r="J245" s="583"/>
      <c r="K245" s="100"/>
      <c r="L245" s="579"/>
      <c r="M245" s="87"/>
      <c r="N245" s="87"/>
      <c r="O245" s="87"/>
      <c r="P245" s="87"/>
      <c r="Q245" s="87"/>
      <c r="R245" s="87"/>
      <c r="S245" s="87"/>
      <c r="T245" s="87"/>
      <c r="U245" s="87"/>
      <c r="V245" s="87"/>
      <c r="W245" s="87"/>
      <c r="X245" s="87"/>
      <c r="Y245" s="87"/>
    </row>
    <row r="246">
      <c r="A246" s="100"/>
      <c r="B246" s="579"/>
      <c r="C246" s="100"/>
      <c r="D246" s="579"/>
      <c r="E246" s="100"/>
      <c r="F246" s="579"/>
      <c r="G246" s="100"/>
      <c r="H246" s="601"/>
      <c r="I246" s="100"/>
      <c r="J246" s="583"/>
      <c r="K246" s="100"/>
      <c r="L246" s="579"/>
      <c r="M246" s="87"/>
      <c r="N246" s="87"/>
      <c r="O246" s="87"/>
      <c r="P246" s="87"/>
      <c r="Q246" s="87"/>
      <c r="R246" s="87"/>
      <c r="S246" s="87"/>
      <c r="T246" s="87"/>
      <c r="U246" s="87"/>
      <c r="V246" s="87"/>
      <c r="W246" s="87"/>
      <c r="X246" s="87"/>
      <c r="Y246" s="87"/>
    </row>
    <row r="247">
      <c r="A247" s="100"/>
      <c r="B247" s="579"/>
      <c r="C247" s="100"/>
      <c r="D247" s="579"/>
      <c r="E247" s="100"/>
      <c r="F247" s="579"/>
      <c r="G247" s="100"/>
      <c r="H247" s="601"/>
      <c r="I247" s="100"/>
      <c r="J247" s="583"/>
      <c r="K247" s="100"/>
      <c r="L247" s="579"/>
      <c r="M247" s="87"/>
      <c r="N247" s="87"/>
      <c r="O247" s="87"/>
      <c r="P247" s="87"/>
      <c r="Q247" s="87"/>
      <c r="R247" s="87"/>
      <c r="S247" s="87"/>
      <c r="T247" s="87"/>
      <c r="U247" s="87"/>
      <c r="V247" s="87"/>
      <c r="W247" s="87"/>
      <c r="X247" s="87"/>
      <c r="Y247" s="87"/>
    </row>
    <row r="248">
      <c r="A248" s="100"/>
      <c r="B248" s="579"/>
      <c r="C248" s="100"/>
      <c r="D248" s="579"/>
      <c r="E248" s="100"/>
      <c r="F248" s="579"/>
      <c r="G248" s="100"/>
      <c r="H248" s="601"/>
      <c r="I248" s="100"/>
      <c r="J248" s="583"/>
      <c r="K248" s="100"/>
      <c r="L248" s="579"/>
      <c r="M248" s="87"/>
      <c r="N248" s="87"/>
      <c r="O248" s="87"/>
      <c r="P248" s="87"/>
      <c r="Q248" s="87"/>
      <c r="R248" s="87"/>
      <c r="S248" s="87"/>
      <c r="T248" s="87"/>
      <c r="U248" s="87"/>
      <c r="V248" s="87"/>
      <c r="W248" s="87"/>
      <c r="X248" s="87"/>
      <c r="Y248" s="87"/>
    </row>
    <row r="249">
      <c r="A249" s="100"/>
      <c r="B249" s="579"/>
      <c r="C249" s="100"/>
      <c r="D249" s="579"/>
      <c r="E249" s="100"/>
      <c r="F249" s="579"/>
      <c r="G249" s="100"/>
      <c r="H249" s="601"/>
      <c r="I249" s="100"/>
      <c r="J249" s="583"/>
      <c r="K249" s="100"/>
      <c r="L249" s="579"/>
      <c r="M249" s="87"/>
      <c r="N249" s="87"/>
      <c r="O249" s="87"/>
      <c r="P249" s="87"/>
      <c r="Q249" s="87"/>
      <c r="R249" s="87"/>
      <c r="S249" s="87"/>
      <c r="T249" s="87"/>
      <c r="U249" s="87"/>
      <c r="V249" s="87"/>
      <c r="W249" s="87"/>
      <c r="X249" s="87"/>
      <c r="Y249" s="87"/>
    </row>
    <row r="250">
      <c r="A250" s="100"/>
      <c r="B250" s="579"/>
      <c r="C250" s="100"/>
      <c r="D250" s="579"/>
      <c r="E250" s="100"/>
      <c r="F250" s="579"/>
      <c r="G250" s="100"/>
      <c r="H250" s="601"/>
      <c r="I250" s="100"/>
      <c r="J250" s="583"/>
      <c r="K250" s="100"/>
      <c r="L250" s="579"/>
      <c r="M250" s="87"/>
      <c r="N250" s="87"/>
      <c r="O250" s="87"/>
      <c r="P250" s="87"/>
      <c r="Q250" s="87"/>
      <c r="R250" s="87"/>
      <c r="S250" s="87"/>
      <c r="T250" s="87"/>
      <c r="U250" s="87"/>
      <c r="V250" s="87"/>
      <c r="W250" s="87"/>
      <c r="X250" s="87"/>
      <c r="Y250" s="87"/>
    </row>
    <row r="251">
      <c r="A251" s="100"/>
      <c r="B251" s="579"/>
      <c r="C251" s="100"/>
      <c r="D251" s="579"/>
      <c r="E251" s="100"/>
      <c r="F251" s="579"/>
      <c r="G251" s="100"/>
      <c r="H251" s="601"/>
      <c r="I251" s="100"/>
      <c r="J251" s="583"/>
      <c r="K251" s="100"/>
      <c r="L251" s="579"/>
      <c r="M251" s="87"/>
      <c r="N251" s="87"/>
      <c r="O251" s="87"/>
      <c r="P251" s="87"/>
      <c r="Q251" s="87"/>
      <c r="R251" s="87"/>
      <c r="S251" s="87"/>
      <c r="T251" s="87"/>
      <c r="U251" s="87"/>
      <c r="V251" s="87"/>
      <c r="W251" s="87"/>
      <c r="X251" s="87"/>
      <c r="Y251" s="87"/>
    </row>
    <row r="252">
      <c r="A252" s="100"/>
      <c r="B252" s="579"/>
      <c r="C252" s="100"/>
      <c r="D252" s="579"/>
      <c r="E252" s="100"/>
      <c r="F252" s="579"/>
      <c r="G252" s="100"/>
      <c r="H252" s="601"/>
      <c r="I252" s="100"/>
      <c r="J252" s="583"/>
      <c r="K252" s="100"/>
      <c r="L252" s="579"/>
      <c r="M252" s="87"/>
      <c r="N252" s="87"/>
      <c r="O252" s="87"/>
      <c r="P252" s="87"/>
      <c r="Q252" s="87"/>
      <c r="R252" s="87"/>
      <c r="S252" s="87"/>
      <c r="T252" s="87"/>
      <c r="U252" s="87"/>
      <c r="V252" s="87"/>
      <c r="W252" s="87"/>
      <c r="X252" s="87"/>
      <c r="Y252" s="87"/>
    </row>
    <row r="253">
      <c r="A253" s="100"/>
      <c r="B253" s="579"/>
      <c r="C253" s="100"/>
      <c r="D253" s="579"/>
      <c r="E253" s="100"/>
      <c r="F253" s="579"/>
      <c r="G253" s="100"/>
      <c r="H253" s="601"/>
      <c r="I253" s="100"/>
      <c r="J253" s="583"/>
      <c r="K253" s="100"/>
      <c r="L253" s="579"/>
      <c r="M253" s="87"/>
      <c r="N253" s="87"/>
      <c r="O253" s="87"/>
      <c r="P253" s="87"/>
      <c r="Q253" s="87"/>
      <c r="R253" s="87"/>
      <c r="S253" s="87"/>
      <c r="T253" s="87"/>
      <c r="U253" s="87"/>
      <c r="V253" s="87"/>
      <c r="W253" s="87"/>
      <c r="X253" s="87"/>
      <c r="Y253" s="87"/>
    </row>
    <row r="254">
      <c r="A254" s="100"/>
      <c r="B254" s="579"/>
      <c r="C254" s="100"/>
      <c r="D254" s="579"/>
      <c r="E254" s="100"/>
      <c r="F254" s="579"/>
      <c r="G254" s="100"/>
      <c r="H254" s="601"/>
      <c r="I254" s="100"/>
      <c r="J254" s="583"/>
      <c r="K254" s="100"/>
      <c r="L254" s="579"/>
      <c r="M254" s="87"/>
      <c r="N254" s="87"/>
      <c r="O254" s="87"/>
      <c r="P254" s="87"/>
      <c r="Q254" s="87"/>
      <c r="R254" s="87"/>
      <c r="S254" s="87"/>
      <c r="T254" s="87"/>
      <c r="U254" s="87"/>
      <c r="V254" s="87"/>
      <c r="W254" s="87"/>
      <c r="X254" s="87"/>
      <c r="Y254" s="87"/>
    </row>
    <row r="255">
      <c r="A255" s="100"/>
      <c r="B255" s="579"/>
      <c r="C255" s="100"/>
      <c r="D255" s="579"/>
      <c r="E255" s="100"/>
      <c r="F255" s="579"/>
      <c r="G255" s="100"/>
      <c r="H255" s="601"/>
      <c r="I255" s="100"/>
      <c r="J255" s="583"/>
      <c r="K255" s="100"/>
      <c r="L255" s="579"/>
      <c r="M255" s="87"/>
      <c r="N255" s="87"/>
      <c r="O255" s="87"/>
      <c r="P255" s="87"/>
      <c r="Q255" s="87"/>
      <c r="R255" s="87"/>
      <c r="S255" s="87"/>
      <c r="T255" s="87"/>
      <c r="U255" s="87"/>
      <c r="V255" s="87"/>
      <c r="W255" s="87"/>
      <c r="X255" s="87"/>
      <c r="Y255" s="87"/>
    </row>
    <row r="256">
      <c r="A256" s="100"/>
      <c r="B256" s="579"/>
      <c r="C256" s="100"/>
      <c r="D256" s="579"/>
      <c r="E256" s="100"/>
      <c r="F256" s="579"/>
      <c r="G256" s="100"/>
      <c r="H256" s="601"/>
      <c r="I256" s="100"/>
      <c r="J256" s="583"/>
      <c r="K256" s="100"/>
      <c r="L256" s="579"/>
      <c r="M256" s="87"/>
      <c r="N256" s="87"/>
      <c r="O256" s="87"/>
      <c r="P256" s="87"/>
      <c r="Q256" s="87"/>
      <c r="R256" s="87"/>
      <c r="S256" s="87"/>
      <c r="T256" s="87"/>
      <c r="U256" s="87"/>
      <c r="V256" s="87"/>
      <c r="W256" s="87"/>
      <c r="X256" s="87"/>
      <c r="Y256" s="87"/>
    </row>
    <row r="257">
      <c r="A257" s="100"/>
      <c r="B257" s="579"/>
      <c r="C257" s="100"/>
      <c r="D257" s="579"/>
      <c r="E257" s="100"/>
      <c r="F257" s="579"/>
      <c r="G257" s="100"/>
      <c r="H257" s="601"/>
      <c r="I257" s="100"/>
      <c r="J257" s="583"/>
      <c r="K257" s="100"/>
      <c r="L257" s="579"/>
      <c r="M257" s="87"/>
      <c r="N257" s="87"/>
      <c r="O257" s="87"/>
      <c r="P257" s="87"/>
      <c r="Q257" s="87"/>
      <c r="R257" s="87"/>
      <c r="S257" s="87"/>
      <c r="T257" s="87"/>
      <c r="U257" s="87"/>
      <c r="V257" s="87"/>
      <c r="W257" s="87"/>
      <c r="X257" s="87"/>
      <c r="Y257" s="87"/>
    </row>
    <row r="258">
      <c r="A258" s="100"/>
      <c r="B258" s="579"/>
      <c r="C258" s="100"/>
      <c r="D258" s="579"/>
      <c r="E258" s="100"/>
      <c r="F258" s="579"/>
      <c r="G258" s="100"/>
      <c r="H258" s="601"/>
      <c r="I258" s="100"/>
      <c r="J258" s="583"/>
      <c r="K258" s="100"/>
      <c r="L258" s="579"/>
      <c r="M258" s="87"/>
      <c r="N258" s="87"/>
      <c r="O258" s="87"/>
      <c r="P258" s="87"/>
      <c r="Q258" s="87"/>
      <c r="R258" s="87"/>
      <c r="S258" s="87"/>
      <c r="T258" s="87"/>
      <c r="U258" s="87"/>
      <c r="V258" s="87"/>
      <c r="W258" s="87"/>
      <c r="X258" s="87"/>
      <c r="Y258" s="87"/>
    </row>
    <row r="259">
      <c r="A259" s="100"/>
      <c r="B259" s="579"/>
      <c r="C259" s="100"/>
      <c r="D259" s="579"/>
      <c r="E259" s="100"/>
      <c r="F259" s="579"/>
      <c r="G259" s="100"/>
      <c r="H259" s="601"/>
      <c r="I259" s="100"/>
      <c r="J259" s="583"/>
      <c r="K259" s="100"/>
      <c r="L259" s="579"/>
      <c r="M259" s="87"/>
      <c r="N259" s="87"/>
      <c r="O259" s="87"/>
      <c r="P259" s="87"/>
      <c r="Q259" s="87"/>
      <c r="R259" s="87"/>
      <c r="S259" s="87"/>
      <c r="T259" s="87"/>
      <c r="U259" s="87"/>
      <c r="V259" s="87"/>
      <c r="W259" s="87"/>
      <c r="X259" s="87"/>
      <c r="Y259" s="87"/>
    </row>
    <row r="260">
      <c r="A260" s="100"/>
      <c r="B260" s="579"/>
      <c r="C260" s="100"/>
      <c r="D260" s="579"/>
      <c r="E260" s="100"/>
      <c r="F260" s="579"/>
      <c r="G260" s="100"/>
      <c r="H260" s="601"/>
      <c r="I260" s="100"/>
      <c r="J260" s="583"/>
      <c r="K260" s="100"/>
      <c r="L260" s="579"/>
      <c r="M260" s="87"/>
      <c r="N260" s="87"/>
      <c r="O260" s="87"/>
      <c r="P260" s="87"/>
      <c r="Q260" s="87"/>
      <c r="R260" s="87"/>
      <c r="S260" s="87"/>
      <c r="T260" s="87"/>
      <c r="U260" s="87"/>
      <c r="V260" s="87"/>
      <c r="W260" s="87"/>
      <c r="X260" s="87"/>
      <c r="Y260" s="87"/>
    </row>
    <row r="261">
      <c r="A261" s="100"/>
      <c r="B261" s="579"/>
      <c r="C261" s="100"/>
      <c r="D261" s="579"/>
      <c r="E261" s="100"/>
      <c r="F261" s="579"/>
      <c r="G261" s="100"/>
      <c r="H261" s="601"/>
      <c r="I261" s="100"/>
      <c r="J261" s="583"/>
      <c r="K261" s="100"/>
      <c r="L261" s="579"/>
      <c r="M261" s="87"/>
      <c r="N261" s="87"/>
      <c r="O261" s="87"/>
      <c r="P261" s="87"/>
      <c r="Q261" s="87"/>
      <c r="R261" s="87"/>
      <c r="S261" s="87"/>
      <c r="T261" s="87"/>
      <c r="U261" s="87"/>
      <c r="V261" s="87"/>
      <c r="W261" s="87"/>
      <c r="X261" s="87"/>
      <c r="Y261" s="87"/>
    </row>
    <row r="262">
      <c r="A262" s="100"/>
      <c r="B262" s="579"/>
      <c r="C262" s="100"/>
      <c r="D262" s="579"/>
      <c r="E262" s="100"/>
      <c r="F262" s="579"/>
      <c r="G262" s="100"/>
      <c r="H262" s="601"/>
      <c r="I262" s="100"/>
      <c r="J262" s="583"/>
      <c r="K262" s="100"/>
      <c r="L262" s="579"/>
      <c r="M262" s="87"/>
      <c r="N262" s="87"/>
      <c r="O262" s="87"/>
      <c r="P262" s="87"/>
      <c r="Q262" s="87"/>
      <c r="R262" s="87"/>
      <c r="S262" s="87"/>
      <c r="T262" s="87"/>
      <c r="U262" s="87"/>
      <c r="V262" s="87"/>
      <c r="W262" s="87"/>
      <c r="X262" s="87"/>
      <c r="Y262" s="87"/>
    </row>
    <row r="263">
      <c r="A263" s="100"/>
      <c r="B263" s="579"/>
      <c r="C263" s="100"/>
      <c r="D263" s="579"/>
      <c r="E263" s="100"/>
      <c r="F263" s="579"/>
      <c r="G263" s="100"/>
      <c r="H263" s="601"/>
      <c r="I263" s="100"/>
      <c r="J263" s="583"/>
      <c r="K263" s="100"/>
      <c r="L263" s="579"/>
      <c r="M263" s="87"/>
      <c r="N263" s="87"/>
      <c r="O263" s="87"/>
      <c r="P263" s="87"/>
      <c r="Q263" s="87"/>
      <c r="R263" s="87"/>
      <c r="S263" s="87"/>
      <c r="T263" s="87"/>
      <c r="U263" s="87"/>
      <c r="V263" s="87"/>
      <c r="W263" s="87"/>
      <c r="X263" s="87"/>
      <c r="Y263" s="87"/>
    </row>
    <row r="264">
      <c r="A264" s="100"/>
      <c r="B264" s="579"/>
      <c r="C264" s="100"/>
      <c r="D264" s="579"/>
      <c r="E264" s="100"/>
      <c r="F264" s="579"/>
      <c r="G264" s="100"/>
      <c r="H264" s="601"/>
      <c r="I264" s="100"/>
      <c r="J264" s="583"/>
      <c r="K264" s="100"/>
      <c r="L264" s="579"/>
      <c r="M264" s="87"/>
      <c r="N264" s="87"/>
      <c r="O264" s="87"/>
      <c r="P264" s="87"/>
      <c r="Q264" s="87"/>
      <c r="R264" s="87"/>
      <c r="S264" s="87"/>
      <c r="T264" s="87"/>
      <c r="U264" s="87"/>
      <c r="V264" s="87"/>
      <c r="W264" s="87"/>
      <c r="X264" s="87"/>
      <c r="Y264" s="87"/>
    </row>
    <row r="265">
      <c r="A265" s="100"/>
      <c r="B265" s="579"/>
      <c r="C265" s="100"/>
      <c r="D265" s="579"/>
      <c r="E265" s="100"/>
      <c r="F265" s="579"/>
      <c r="G265" s="100"/>
      <c r="H265" s="601"/>
      <c r="I265" s="100"/>
      <c r="J265" s="583"/>
      <c r="K265" s="100"/>
      <c r="L265" s="579"/>
      <c r="M265" s="87"/>
      <c r="N265" s="87"/>
      <c r="O265" s="87"/>
      <c r="P265" s="87"/>
      <c r="Q265" s="87"/>
      <c r="R265" s="87"/>
      <c r="S265" s="87"/>
      <c r="T265" s="87"/>
      <c r="U265" s="87"/>
      <c r="V265" s="87"/>
      <c r="W265" s="87"/>
      <c r="X265" s="87"/>
      <c r="Y265" s="87"/>
    </row>
    <row r="266">
      <c r="A266" s="100"/>
      <c r="B266" s="579"/>
      <c r="C266" s="100"/>
      <c r="D266" s="579"/>
      <c r="E266" s="100"/>
      <c r="F266" s="579"/>
      <c r="G266" s="100"/>
      <c r="H266" s="601"/>
      <c r="I266" s="100"/>
      <c r="J266" s="583"/>
      <c r="K266" s="100"/>
      <c r="L266" s="579"/>
      <c r="M266" s="87"/>
      <c r="N266" s="87"/>
      <c r="O266" s="87"/>
      <c r="P266" s="87"/>
      <c r="Q266" s="87"/>
      <c r="R266" s="87"/>
      <c r="S266" s="87"/>
      <c r="T266" s="87"/>
      <c r="U266" s="87"/>
      <c r="V266" s="87"/>
      <c r="W266" s="87"/>
      <c r="X266" s="87"/>
      <c r="Y266" s="87"/>
    </row>
    <row r="267">
      <c r="A267" s="100"/>
      <c r="B267" s="579"/>
      <c r="C267" s="100"/>
      <c r="D267" s="579"/>
      <c r="E267" s="100"/>
      <c r="F267" s="579"/>
      <c r="G267" s="100"/>
      <c r="H267" s="601"/>
      <c r="I267" s="100"/>
      <c r="J267" s="583"/>
      <c r="K267" s="100"/>
      <c r="L267" s="579"/>
      <c r="M267" s="87"/>
      <c r="N267" s="87"/>
      <c r="O267" s="87"/>
      <c r="P267" s="87"/>
      <c r="Q267" s="87"/>
      <c r="R267" s="87"/>
      <c r="S267" s="87"/>
      <c r="T267" s="87"/>
      <c r="U267" s="87"/>
      <c r="V267" s="87"/>
      <c r="W267" s="87"/>
      <c r="X267" s="87"/>
      <c r="Y267" s="87"/>
    </row>
    <row r="268">
      <c r="A268" s="100"/>
      <c r="B268" s="579"/>
      <c r="C268" s="100"/>
      <c r="D268" s="579"/>
      <c r="E268" s="100"/>
      <c r="F268" s="579"/>
      <c r="G268" s="100"/>
      <c r="H268" s="601"/>
      <c r="I268" s="100"/>
      <c r="J268" s="583"/>
      <c r="K268" s="100"/>
      <c r="L268" s="579"/>
      <c r="M268" s="87"/>
      <c r="N268" s="87"/>
      <c r="O268" s="87"/>
      <c r="P268" s="87"/>
      <c r="Q268" s="87"/>
      <c r="R268" s="87"/>
      <c r="S268" s="87"/>
      <c r="T268" s="87"/>
      <c r="U268" s="87"/>
      <c r="V268" s="87"/>
      <c r="W268" s="87"/>
      <c r="X268" s="87"/>
      <c r="Y268" s="87"/>
    </row>
    <row r="269">
      <c r="A269" s="100"/>
      <c r="B269" s="579"/>
      <c r="C269" s="100"/>
      <c r="D269" s="579"/>
      <c r="E269" s="100"/>
      <c r="F269" s="579"/>
      <c r="G269" s="100"/>
      <c r="H269" s="601"/>
      <c r="I269" s="100"/>
      <c r="J269" s="583"/>
      <c r="K269" s="100"/>
      <c r="L269" s="579"/>
      <c r="M269" s="87"/>
      <c r="N269" s="87"/>
      <c r="O269" s="87"/>
      <c r="P269" s="87"/>
      <c r="Q269" s="87"/>
      <c r="R269" s="87"/>
      <c r="S269" s="87"/>
      <c r="T269" s="87"/>
      <c r="U269" s="87"/>
      <c r="V269" s="87"/>
      <c r="W269" s="87"/>
      <c r="X269" s="87"/>
      <c r="Y269" s="87"/>
    </row>
    <row r="270">
      <c r="A270" s="100"/>
      <c r="B270" s="579"/>
      <c r="C270" s="100"/>
      <c r="D270" s="579"/>
      <c r="E270" s="100"/>
      <c r="F270" s="579"/>
      <c r="G270" s="100"/>
      <c r="H270" s="601"/>
      <c r="I270" s="100"/>
      <c r="J270" s="583"/>
      <c r="K270" s="100"/>
      <c r="L270" s="579"/>
      <c r="M270" s="87"/>
      <c r="N270" s="87"/>
      <c r="O270" s="87"/>
      <c r="P270" s="87"/>
      <c r="Q270" s="87"/>
      <c r="R270" s="87"/>
      <c r="S270" s="87"/>
      <c r="T270" s="87"/>
      <c r="U270" s="87"/>
      <c r="V270" s="87"/>
      <c r="W270" s="87"/>
      <c r="X270" s="87"/>
      <c r="Y270" s="87"/>
    </row>
    <row r="271">
      <c r="A271" s="100"/>
      <c r="B271" s="579"/>
      <c r="C271" s="100"/>
      <c r="D271" s="579"/>
      <c r="E271" s="100"/>
      <c r="F271" s="579"/>
      <c r="G271" s="100"/>
      <c r="H271" s="601"/>
      <c r="I271" s="100"/>
      <c r="J271" s="583"/>
      <c r="K271" s="100"/>
      <c r="L271" s="579"/>
      <c r="M271" s="87"/>
      <c r="N271" s="87"/>
      <c r="O271" s="87"/>
      <c r="P271" s="87"/>
      <c r="Q271" s="87"/>
      <c r="R271" s="87"/>
      <c r="S271" s="87"/>
      <c r="T271" s="87"/>
      <c r="U271" s="87"/>
      <c r="V271" s="87"/>
      <c r="W271" s="87"/>
      <c r="X271" s="87"/>
      <c r="Y271" s="87"/>
    </row>
    <row r="272">
      <c r="A272" s="100"/>
      <c r="B272" s="579"/>
      <c r="C272" s="100"/>
      <c r="D272" s="579"/>
      <c r="E272" s="100"/>
      <c r="F272" s="579"/>
      <c r="G272" s="100"/>
      <c r="H272" s="601"/>
      <c r="I272" s="100"/>
      <c r="J272" s="583"/>
      <c r="K272" s="100"/>
      <c r="L272" s="579"/>
      <c r="M272" s="87"/>
      <c r="N272" s="87"/>
      <c r="O272" s="87"/>
      <c r="P272" s="87"/>
      <c r="Q272" s="87"/>
      <c r="R272" s="87"/>
      <c r="S272" s="87"/>
      <c r="T272" s="87"/>
      <c r="U272" s="87"/>
      <c r="V272" s="87"/>
      <c r="W272" s="87"/>
      <c r="X272" s="87"/>
      <c r="Y272" s="87"/>
    </row>
    <row r="273">
      <c r="A273" s="100"/>
      <c r="B273" s="579"/>
      <c r="C273" s="100"/>
      <c r="D273" s="579"/>
      <c r="E273" s="100"/>
      <c r="F273" s="579"/>
      <c r="G273" s="100"/>
      <c r="H273" s="601"/>
      <c r="I273" s="100"/>
      <c r="J273" s="583"/>
      <c r="K273" s="100"/>
      <c r="L273" s="579"/>
      <c r="M273" s="87"/>
      <c r="N273" s="87"/>
      <c r="O273" s="87"/>
      <c r="P273" s="87"/>
      <c r="Q273" s="87"/>
      <c r="R273" s="87"/>
      <c r="S273" s="87"/>
      <c r="T273" s="87"/>
      <c r="U273" s="87"/>
      <c r="V273" s="87"/>
      <c r="W273" s="87"/>
      <c r="X273" s="87"/>
      <c r="Y273" s="87"/>
    </row>
    <row r="274">
      <c r="A274" s="100"/>
      <c r="B274" s="579"/>
      <c r="C274" s="100"/>
      <c r="D274" s="579"/>
      <c r="E274" s="100"/>
      <c r="F274" s="579"/>
      <c r="G274" s="100"/>
      <c r="H274" s="601"/>
      <c r="I274" s="100"/>
      <c r="J274" s="583"/>
      <c r="K274" s="100"/>
      <c r="L274" s="579"/>
      <c r="M274" s="87"/>
      <c r="N274" s="87"/>
      <c r="O274" s="87"/>
      <c r="P274" s="87"/>
      <c r="Q274" s="87"/>
      <c r="R274" s="87"/>
      <c r="S274" s="87"/>
      <c r="T274" s="87"/>
      <c r="U274" s="87"/>
      <c r="V274" s="87"/>
      <c r="W274" s="87"/>
      <c r="X274" s="87"/>
      <c r="Y274" s="87"/>
    </row>
    <row r="275">
      <c r="A275" s="100"/>
      <c r="B275" s="579"/>
      <c r="C275" s="100"/>
      <c r="D275" s="579"/>
      <c r="E275" s="100"/>
      <c r="F275" s="579"/>
      <c r="G275" s="100"/>
      <c r="H275" s="601"/>
      <c r="I275" s="100"/>
      <c r="J275" s="583"/>
      <c r="K275" s="100"/>
      <c r="L275" s="579"/>
      <c r="M275" s="87"/>
      <c r="N275" s="87"/>
      <c r="O275" s="87"/>
      <c r="P275" s="87"/>
      <c r="Q275" s="87"/>
      <c r="R275" s="87"/>
      <c r="S275" s="87"/>
      <c r="T275" s="87"/>
      <c r="U275" s="87"/>
      <c r="V275" s="87"/>
      <c r="W275" s="87"/>
      <c r="X275" s="87"/>
      <c r="Y275" s="87"/>
    </row>
    <row r="276">
      <c r="A276" s="100"/>
      <c r="B276" s="579"/>
      <c r="C276" s="100"/>
      <c r="D276" s="579"/>
      <c r="E276" s="100"/>
      <c r="F276" s="579"/>
      <c r="G276" s="100"/>
      <c r="H276" s="601"/>
      <c r="I276" s="100"/>
      <c r="J276" s="583"/>
      <c r="K276" s="100"/>
      <c r="L276" s="579"/>
      <c r="M276" s="87"/>
      <c r="N276" s="87"/>
      <c r="O276" s="87"/>
      <c r="P276" s="87"/>
      <c r="Q276" s="87"/>
      <c r="R276" s="87"/>
      <c r="S276" s="87"/>
      <c r="T276" s="87"/>
      <c r="U276" s="87"/>
      <c r="V276" s="87"/>
      <c r="W276" s="87"/>
      <c r="X276" s="87"/>
      <c r="Y276" s="87"/>
    </row>
    <row r="277">
      <c r="A277" s="100"/>
      <c r="B277" s="579"/>
      <c r="C277" s="100"/>
      <c r="D277" s="579"/>
      <c r="E277" s="100"/>
      <c r="F277" s="579"/>
      <c r="G277" s="100"/>
      <c r="H277" s="601"/>
      <c r="I277" s="100"/>
      <c r="J277" s="583"/>
      <c r="K277" s="100"/>
      <c r="L277" s="579"/>
      <c r="M277" s="87"/>
      <c r="N277" s="87"/>
      <c r="O277" s="87"/>
      <c r="P277" s="87"/>
      <c r="Q277" s="87"/>
      <c r="R277" s="87"/>
      <c r="S277" s="87"/>
      <c r="T277" s="87"/>
      <c r="U277" s="87"/>
      <c r="V277" s="87"/>
      <c r="W277" s="87"/>
      <c r="X277" s="87"/>
      <c r="Y277" s="87"/>
    </row>
    <row r="278">
      <c r="A278" s="100"/>
      <c r="B278" s="579"/>
      <c r="C278" s="100"/>
      <c r="D278" s="579"/>
      <c r="E278" s="100"/>
      <c r="F278" s="579"/>
      <c r="G278" s="100"/>
      <c r="H278" s="601"/>
      <c r="I278" s="100"/>
      <c r="J278" s="583"/>
      <c r="K278" s="100"/>
      <c r="L278" s="579"/>
      <c r="M278" s="87"/>
      <c r="N278" s="87"/>
      <c r="O278" s="87"/>
      <c r="P278" s="87"/>
      <c r="Q278" s="87"/>
      <c r="R278" s="87"/>
      <c r="S278" s="87"/>
      <c r="T278" s="87"/>
      <c r="U278" s="87"/>
      <c r="V278" s="87"/>
      <c r="W278" s="87"/>
      <c r="X278" s="87"/>
      <c r="Y278" s="87"/>
    </row>
    <row r="279">
      <c r="A279" s="100"/>
      <c r="B279" s="579"/>
      <c r="C279" s="100"/>
      <c r="D279" s="579"/>
      <c r="E279" s="100"/>
      <c r="F279" s="579"/>
      <c r="G279" s="100"/>
      <c r="H279" s="601"/>
      <c r="I279" s="100"/>
      <c r="J279" s="583"/>
      <c r="K279" s="100"/>
      <c r="L279" s="579"/>
      <c r="M279" s="87"/>
      <c r="N279" s="87"/>
      <c r="O279" s="87"/>
      <c r="P279" s="87"/>
      <c r="Q279" s="87"/>
      <c r="R279" s="87"/>
      <c r="S279" s="87"/>
      <c r="T279" s="87"/>
      <c r="U279" s="87"/>
      <c r="V279" s="87"/>
      <c r="W279" s="87"/>
      <c r="X279" s="87"/>
      <c r="Y279" s="87"/>
    </row>
    <row r="280">
      <c r="A280" s="100"/>
      <c r="B280" s="579"/>
      <c r="C280" s="100"/>
      <c r="D280" s="579"/>
      <c r="E280" s="100"/>
      <c r="F280" s="579"/>
      <c r="G280" s="100"/>
      <c r="H280" s="601"/>
      <c r="I280" s="100"/>
      <c r="J280" s="583"/>
      <c r="K280" s="100"/>
      <c r="L280" s="579"/>
      <c r="M280" s="87"/>
      <c r="N280" s="87"/>
      <c r="O280" s="87"/>
      <c r="P280" s="87"/>
      <c r="Q280" s="87"/>
      <c r="R280" s="87"/>
      <c r="S280" s="87"/>
      <c r="T280" s="87"/>
      <c r="U280" s="87"/>
      <c r="V280" s="87"/>
      <c r="W280" s="87"/>
      <c r="X280" s="87"/>
      <c r="Y280" s="87"/>
    </row>
    <row r="281">
      <c r="A281" s="100"/>
      <c r="B281" s="579"/>
      <c r="C281" s="100"/>
      <c r="D281" s="579"/>
      <c r="E281" s="100"/>
      <c r="F281" s="579"/>
      <c r="G281" s="100"/>
      <c r="H281" s="601"/>
      <c r="I281" s="100"/>
      <c r="J281" s="583"/>
      <c r="K281" s="100"/>
      <c r="L281" s="579"/>
      <c r="M281" s="87"/>
      <c r="N281" s="87"/>
      <c r="O281" s="87"/>
      <c r="P281" s="87"/>
      <c r="Q281" s="87"/>
      <c r="R281" s="87"/>
      <c r="S281" s="87"/>
      <c r="T281" s="87"/>
      <c r="U281" s="87"/>
      <c r="V281" s="87"/>
      <c r="W281" s="87"/>
      <c r="X281" s="87"/>
      <c r="Y281" s="87"/>
    </row>
    <row r="282">
      <c r="A282" s="100"/>
      <c r="B282" s="579"/>
      <c r="C282" s="100"/>
      <c r="D282" s="579"/>
      <c r="E282" s="100"/>
      <c r="F282" s="579"/>
      <c r="G282" s="100"/>
      <c r="H282" s="601"/>
      <c r="I282" s="100"/>
      <c r="J282" s="583"/>
      <c r="K282" s="100"/>
      <c r="L282" s="579"/>
      <c r="M282" s="87"/>
      <c r="N282" s="87"/>
      <c r="O282" s="87"/>
      <c r="P282" s="87"/>
      <c r="Q282" s="87"/>
      <c r="R282" s="87"/>
      <c r="S282" s="87"/>
      <c r="T282" s="87"/>
      <c r="U282" s="87"/>
      <c r="V282" s="87"/>
      <c r="W282" s="87"/>
      <c r="X282" s="87"/>
      <c r="Y282" s="87"/>
    </row>
    <row r="283">
      <c r="A283" s="100"/>
      <c r="B283" s="579"/>
      <c r="C283" s="100"/>
      <c r="D283" s="579"/>
      <c r="E283" s="100"/>
      <c r="F283" s="579"/>
      <c r="G283" s="100"/>
      <c r="H283" s="601"/>
      <c r="I283" s="100"/>
      <c r="J283" s="583"/>
      <c r="K283" s="100"/>
      <c r="L283" s="579"/>
      <c r="M283" s="87"/>
      <c r="N283" s="87"/>
      <c r="O283" s="87"/>
      <c r="P283" s="87"/>
      <c r="Q283" s="87"/>
      <c r="R283" s="87"/>
      <c r="S283" s="87"/>
      <c r="T283" s="87"/>
      <c r="U283" s="87"/>
      <c r="V283" s="87"/>
      <c r="W283" s="87"/>
      <c r="X283" s="87"/>
      <c r="Y283" s="87"/>
    </row>
    <row r="284">
      <c r="A284" s="100"/>
      <c r="B284" s="579"/>
      <c r="C284" s="100"/>
      <c r="D284" s="579"/>
      <c r="E284" s="100"/>
      <c r="F284" s="579"/>
      <c r="G284" s="100"/>
      <c r="H284" s="601"/>
      <c r="I284" s="100"/>
      <c r="J284" s="583"/>
      <c r="K284" s="100"/>
      <c r="L284" s="579"/>
      <c r="M284" s="87"/>
      <c r="N284" s="87"/>
      <c r="O284" s="87"/>
      <c r="P284" s="87"/>
      <c r="Q284" s="87"/>
      <c r="R284" s="87"/>
      <c r="S284" s="87"/>
      <c r="T284" s="87"/>
      <c r="U284" s="87"/>
      <c r="V284" s="87"/>
      <c r="W284" s="87"/>
      <c r="X284" s="87"/>
      <c r="Y284" s="87"/>
    </row>
    <row r="285">
      <c r="A285" s="100"/>
      <c r="B285" s="579"/>
      <c r="C285" s="100"/>
      <c r="D285" s="579"/>
      <c r="E285" s="100"/>
      <c r="F285" s="579"/>
      <c r="G285" s="100"/>
      <c r="H285" s="601"/>
      <c r="I285" s="100"/>
      <c r="J285" s="583"/>
      <c r="K285" s="100"/>
      <c r="L285" s="579"/>
      <c r="M285" s="87"/>
      <c r="N285" s="87"/>
      <c r="O285" s="87"/>
      <c r="P285" s="87"/>
      <c r="Q285" s="87"/>
      <c r="R285" s="87"/>
      <c r="S285" s="87"/>
      <c r="T285" s="87"/>
      <c r="U285" s="87"/>
      <c r="V285" s="87"/>
      <c r="W285" s="87"/>
      <c r="X285" s="87"/>
      <c r="Y285" s="87"/>
    </row>
    <row r="286">
      <c r="A286" s="100"/>
      <c r="B286" s="579"/>
      <c r="C286" s="100"/>
      <c r="D286" s="579"/>
      <c r="E286" s="100"/>
      <c r="F286" s="579"/>
      <c r="G286" s="100"/>
      <c r="H286" s="601"/>
      <c r="I286" s="100"/>
      <c r="J286" s="583"/>
      <c r="K286" s="100"/>
      <c r="L286" s="579"/>
      <c r="M286" s="87"/>
      <c r="N286" s="87"/>
      <c r="O286" s="87"/>
      <c r="P286" s="87"/>
      <c r="Q286" s="87"/>
      <c r="R286" s="87"/>
      <c r="S286" s="87"/>
      <c r="T286" s="87"/>
      <c r="U286" s="87"/>
      <c r="V286" s="87"/>
      <c r="W286" s="87"/>
      <c r="X286" s="87"/>
      <c r="Y286" s="87"/>
    </row>
    <row r="287">
      <c r="A287" s="100"/>
      <c r="B287" s="579"/>
      <c r="C287" s="100"/>
      <c r="D287" s="579"/>
      <c r="E287" s="100"/>
      <c r="F287" s="579"/>
      <c r="G287" s="100"/>
      <c r="H287" s="601"/>
      <c r="I287" s="100"/>
      <c r="J287" s="583"/>
      <c r="K287" s="100"/>
      <c r="L287" s="579"/>
      <c r="M287" s="87"/>
      <c r="N287" s="87"/>
      <c r="O287" s="87"/>
      <c r="P287" s="87"/>
      <c r="Q287" s="87"/>
      <c r="R287" s="87"/>
      <c r="S287" s="87"/>
      <c r="T287" s="87"/>
      <c r="U287" s="87"/>
      <c r="V287" s="87"/>
      <c r="W287" s="87"/>
      <c r="X287" s="87"/>
      <c r="Y287" s="87"/>
    </row>
    <row r="288">
      <c r="A288" s="100"/>
      <c r="B288" s="579"/>
      <c r="C288" s="100"/>
      <c r="D288" s="579"/>
      <c r="E288" s="100"/>
      <c r="F288" s="579"/>
      <c r="G288" s="100"/>
      <c r="H288" s="601"/>
      <c r="I288" s="100"/>
      <c r="J288" s="583"/>
      <c r="K288" s="100"/>
      <c r="L288" s="579"/>
      <c r="M288" s="87"/>
      <c r="N288" s="87"/>
      <c r="O288" s="87"/>
      <c r="P288" s="87"/>
      <c r="Q288" s="87"/>
      <c r="R288" s="87"/>
      <c r="S288" s="87"/>
      <c r="T288" s="87"/>
      <c r="U288" s="87"/>
      <c r="V288" s="87"/>
      <c r="W288" s="87"/>
      <c r="X288" s="87"/>
      <c r="Y288" s="87"/>
    </row>
    <row r="289">
      <c r="A289" s="100"/>
      <c r="B289" s="579"/>
      <c r="C289" s="100"/>
      <c r="D289" s="579"/>
      <c r="E289" s="100"/>
      <c r="F289" s="579"/>
      <c r="G289" s="100"/>
      <c r="H289" s="601"/>
      <c r="I289" s="100"/>
      <c r="J289" s="583"/>
      <c r="K289" s="100"/>
      <c r="L289" s="579"/>
      <c r="M289" s="87"/>
      <c r="N289" s="87"/>
      <c r="O289" s="87"/>
      <c r="P289" s="87"/>
      <c r="Q289" s="87"/>
      <c r="R289" s="87"/>
      <c r="S289" s="87"/>
      <c r="T289" s="87"/>
      <c r="U289" s="87"/>
      <c r="V289" s="87"/>
      <c r="W289" s="87"/>
      <c r="X289" s="87"/>
      <c r="Y289" s="87"/>
    </row>
    <row r="290">
      <c r="A290" s="100"/>
      <c r="B290" s="579"/>
      <c r="C290" s="100"/>
      <c r="D290" s="579"/>
      <c r="E290" s="100"/>
      <c r="F290" s="579"/>
      <c r="G290" s="100"/>
      <c r="H290" s="601"/>
      <c r="I290" s="100"/>
      <c r="J290" s="583"/>
      <c r="K290" s="100"/>
      <c r="L290" s="579"/>
      <c r="M290" s="87"/>
      <c r="N290" s="87"/>
      <c r="O290" s="87"/>
      <c r="P290" s="87"/>
      <c r="Q290" s="87"/>
      <c r="R290" s="87"/>
      <c r="S290" s="87"/>
      <c r="T290" s="87"/>
      <c r="U290" s="87"/>
      <c r="V290" s="87"/>
      <c r="W290" s="87"/>
      <c r="X290" s="87"/>
      <c r="Y290" s="87"/>
    </row>
    <row r="291">
      <c r="A291" s="100"/>
      <c r="B291" s="579"/>
      <c r="C291" s="100"/>
      <c r="D291" s="579"/>
      <c r="E291" s="100"/>
      <c r="F291" s="579"/>
      <c r="G291" s="100"/>
      <c r="H291" s="601"/>
      <c r="I291" s="100"/>
      <c r="J291" s="583"/>
      <c r="K291" s="100"/>
      <c r="L291" s="579"/>
      <c r="M291" s="87"/>
      <c r="N291" s="87"/>
      <c r="O291" s="87"/>
      <c r="P291" s="87"/>
      <c r="Q291" s="87"/>
      <c r="R291" s="87"/>
      <c r="S291" s="87"/>
      <c r="T291" s="87"/>
      <c r="U291" s="87"/>
      <c r="V291" s="87"/>
      <c r="W291" s="87"/>
      <c r="X291" s="87"/>
      <c r="Y291" s="87"/>
    </row>
    <row r="292">
      <c r="A292" s="100"/>
      <c r="B292" s="579"/>
      <c r="C292" s="100"/>
      <c r="D292" s="579"/>
      <c r="E292" s="100"/>
      <c r="F292" s="579"/>
      <c r="G292" s="100"/>
      <c r="H292" s="601"/>
      <c r="I292" s="100"/>
      <c r="J292" s="583"/>
      <c r="K292" s="100"/>
      <c r="L292" s="579"/>
      <c r="M292" s="87"/>
      <c r="N292" s="87"/>
      <c r="O292" s="87"/>
      <c r="P292" s="87"/>
      <c r="Q292" s="87"/>
      <c r="R292" s="87"/>
      <c r="S292" s="87"/>
      <c r="T292" s="87"/>
      <c r="U292" s="87"/>
      <c r="V292" s="87"/>
      <c r="W292" s="87"/>
      <c r="X292" s="87"/>
      <c r="Y292" s="87"/>
    </row>
    <row r="293">
      <c r="A293" s="100"/>
      <c r="B293" s="579"/>
      <c r="C293" s="100"/>
      <c r="D293" s="579"/>
      <c r="E293" s="100"/>
      <c r="F293" s="579"/>
      <c r="G293" s="100"/>
      <c r="H293" s="601"/>
      <c r="I293" s="100"/>
      <c r="J293" s="583"/>
      <c r="K293" s="100"/>
      <c r="L293" s="579"/>
      <c r="M293" s="87"/>
      <c r="N293" s="87"/>
      <c r="O293" s="87"/>
      <c r="P293" s="87"/>
      <c r="Q293" s="87"/>
      <c r="R293" s="87"/>
      <c r="S293" s="87"/>
      <c r="T293" s="87"/>
      <c r="U293" s="87"/>
      <c r="V293" s="87"/>
      <c r="W293" s="87"/>
      <c r="X293" s="87"/>
      <c r="Y293" s="87"/>
    </row>
    <row r="294">
      <c r="A294" s="100"/>
      <c r="B294" s="579"/>
      <c r="C294" s="100"/>
      <c r="D294" s="579"/>
      <c r="E294" s="100"/>
      <c r="F294" s="579"/>
      <c r="G294" s="100"/>
      <c r="H294" s="601"/>
      <c r="I294" s="100"/>
      <c r="J294" s="583"/>
      <c r="K294" s="100"/>
      <c r="L294" s="579"/>
      <c r="M294" s="87"/>
      <c r="N294" s="87"/>
      <c r="O294" s="87"/>
      <c r="P294" s="87"/>
      <c r="Q294" s="87"/>
      <c r="R294" s="87"/>
      <c r="S294" s="87"/>
      <c r="T294" s="87"/>
      <c r="U294" s="87"/>
      <c r="V294" s="87"/>
      <c r="W294" s="87"/>
      <c r="X294" s="87"/>
      <c r="Y294" s="87"/>
    </row>
    <row r="295">
      <c r="A295" s="100"/>
      <c r="B295" s="579"/>
      <c r="C295" s="100"/>
      <c r="D295" s="579"/>
      <c r="E295" s="100"/>
      <c r="F295" s="579"/>
      <c r="G295" s="100"/>
      <c r="H295" s="601"/>
      <c r="I295" s="100"/>
      <c r="J295" s="583"/>
      <c r="K295" s="100"/>
      <c r="L295" s="579"/>
      <c r="M295" s="87"/>
      <c r="N295" s="87"/>
      <c r="O295" s="87"/>
      <c r="P295" s="87"/>
      <c r="Q295" s="87"/>
      <c r="R295" s="87"/>
      <c r="S295" s="87"/>
      <c r="T295" s="87"/>
      <c r="U295" s="87"/>
      <c r="V295" s="87"/>
      <c r="W295" s="87"/>
      <c r="X295" s="87"/>
      <c r="Y295" s="87"/>
    </row>
    <row r="296">
      <c r="A296" s="100"/>
      <c r="B296" s="579"/>
      <c r="C296" s="100"/>
      <c r="D296" s="579"/>
      <c r="E296" s="100"/>
      <c r="F296" s="579"/>
      <c r="G296" s="100"/>
      <c r="H296" s="601"/>
      <c r="I296" s="100"/>
      <c r="J296" s="583"/>
      <c r="K296" s="100"/>
      <c r="L296" s="579"/>
      <c r="M296" s="87"/>
      <c r="N296" s="87"/>
      <c r="O296" s="87"/>
      <c r="P296" s="87"/>
      <c r="Q296" s="87"/>
      <c r="R296" s="87"/>
      <c r="S296" s="87"/>
      <c r="T296" s="87"/>
      <c r="U296" s="87"/>
      <c r="V296" s="87"/>
      <c r="W296" s="87"/>
      <c r="X296" s="87"/>
      <c r="Y296" s="87"/>
    </row>
    <row r="297">
      <c r="A297" s="100"/>
      <c r="B297" s="579"/>
      <c r="C297" s="100"/>
      <c r="D297" s="579"/>
      <c r="E297" s="100"/>
      <c r="F297" s="579"/>
      <c r="G297" s="100"/>
      <c r="H297" s="601"/>
      <c r="I297" s="100"/>
      <c r="J297" s="583"/>
      <c r="K297" s="100"/>
      <c r="L297" s="579"/>
      <c r="M297" s="87"/>
      <c r="N297" s="87"/>
      <c r="O297" s="87"/>
      <c r="P297" s="87"/>
      <c r="Q297" s="87"/>
      <c r="R297" s="87"/>
      <c r="S297" s="87"/>
      <c r="T297" s="87"/>
      <c r="U297" s="87"/>
      <c r="V297" s="87"/>
      <c r="W297" s="87"/>
      <c r="X297" s="87"/>
      <c r="Y297" s="87"/>
    </row>
    <row r="298">
      <c r="A298" s="100"/>
      <c r="B298" s="579"/>
      <c r="C298" s="100"/>
      <c r="D298" s="579"/>
      <c r="E298" s="100"/>
      <c r="F298" s="579"/>
      <c r="G298" s="100"/>
      <c r="H298" s="601"/>
      <c r="I298" s="100"/>
      <c r="J298" s="583"/>
      <c r="K298" s="100"/>
      <c r="L298" s="579"/>
      <c r="M298" s="87"/>
      <c r="N298" s="87"/>
      <c r="O298" s="87"/>
      <c r="P298" s="87"/>
      <c r="Q298" s="87"/>
      <c r="R298" s="87"/>
      <c r="S298" s="87"/>
      <c r="T298" s="87"/>
      <c r="U298" s="87"/>
      <c r="V298" s="87"/>
      <c r="W298" s="87"/>
      <c r="X298" s="87"/>
      <c r="Y298" s="87"/>
    </row>
    <row r="299">
      <c r="A299" s="100"/>
      <c r="B299" s="579"/>
      <c r="C299" s="100"/>
      <c r="D299" s="579"/>
      <c r="E299" s="100"/>
      <c r="F299" s="579"/>
      <c r="G299" s="100"/>
      <c r="H299" s="601"/>
      <c r="I299" s="100"/>
      <c r="J299" s="583"/>
      <c r="K299" s="100"/>
      <c r="L299" s="579"/>
      <c r="M299" s="87"/>
      <c r="N299" s="87"/>
      <c r="O299" s="87"/>
      <c r="P299" s="87"/>
      <c r="Q299" s="87"/>
      <c r="R299" s="87"/>
      <c r="S299" s="87"/>
      <c r="T299" s="87"/>
      <c r="U299" s="87"/>
      <c r="V299" s="87"/>
      <c r="W299" s="87"/>
      <c r="X299" s="87"/>
      <c r="Y299" s="87"/>
    </row>
    <row r="300">
      <c r="A300" s="100"/>
      <c r="B300" s="579"/>
      <c r="C300" s="100"/>
      <c r="D300" s="579"/>
      <c r="E300" s="100"/>
      <c r="F300" s="579"/>
      <c r="G300" s="100"/>
      <c r="H300" s="601"/>
      <c r="I300" s="100"/>
      <c r="J300" s="583"/>
      <c r="K300" s="100"/>
      <c r="L300" s="579"/>
      <c r="M300" s="87"/>
      <c r="N300" s="87"/>
      <c r="O300" s="87"/>
      <c r="P300" s="87"/>
      <c r="Q300" s="87"/>
      <c r="R300" s="87"/>
      <c r="S300" s="87"/>
      <c r="T300" s="87"/>
      <c r="U300" s="87"/>
      <c r="V300" s="87"/>
      <c r="W300" s="87"/>
      <c r="X300" s="87"/>
      <c r="Y300" s="87"/>
    </row>
    <row r="301">
      <c r="A301" s="100"/>
      <c r="B301" s="579"/>
      <c r="C301" s="100"/>
      <c r="D301" s="579"/>
      <c r="E301" s="100"/>
      <c r="F301" s="579"/>
      <c r="G301" s="100"/>
      <c r="H301" s="601"/>
      <c r="I301" s="100"/>
      <c r="J301" s="583"/>
      <c r="K301" s="100"/>
      <c r="L301" s="579"/>
      <c r="M301" s="87"/>
      <c r="N301" s="87"/>
      <c r="O301" s="87"/>
      <c r="P301" s="87"/>
      <c r="Q301" s="87"/>
      <c r="R301" s="87"/>
      <c r="S301" s="87"/>
      <c r="T301" s="87"/>
      <c r="U301" s="87"/>
      <c r="V301" s="87"/>
      <c r="W301" s="87"/>
      <c r="X301" s="87"/>
      <c r="Y301" s="87"/>
    </row>
    <row r="302">
      <c r="A302" s="100"/>
      <c r="B302" s="579"/>
      <c r="C302" s="100"/>
      <c r="D302" s="579"/>
      <c r="E302" s="100"/>
      <c r="F302" s="579"/>
      <c r="G302" s="100"/>
      <c r="H302" s="601"/>
      <c r="I302" s="100"/>
      <c r="J302" s="583"/>
      <c r="K302" s="100"/>
      <c r="L302" s="579"/>
      <c r="M302" s="87"/>
      <c r="N302" s="87"/>
      <c r="O302" s="87"/>
      <c r="P302" s="87"/>
      <c r="Q302" s="87"/>
      <c r="R302" s="87"/>
      <c r="S302" s="87"/>
      <c r="T302" s="87"/>
      <c r="U302" s="87"/>
      <c r="V302" s="87"/>
      <c r="W302" s="87"/>
      <c r="X302" s="87"/>
      <c r="Y302" s="87"/>
    </row>
    <row r="303">
      <c r="A303" s="100"/>
      <c r="B303" s="579"/>
      <c r="C303" s="100"/>
      <c r="D303" s="579"/>
      <c r="E303" s="100"/>
      <c r="F303" s="579"/>
      <c r="G303" s="100"/>
      <c r="H303" s="601"/>
      <c r="I303" s="100"/>
      <c r="J303" s="583"/>
      <c r="K303" s="100"/>
      <c r="L303" s="579"/>
      <c r="M303" s="87"/>
      <c r="N303" s="87"/>
      <c r="O303" s="87"/>
      <c r="P303" s="87"/>
      <c r="Q303" s="87"/>
      <c r="R303" s="87"/>
      <c r="S303" s="87"/>
      <c r="T303" s="87"/>
      <c r="U303" s="87"/>
      <c r="V303" s="87"/>
      <c r="W303" s="87"/>
      <c r="X303" s="87"/>
      <c r="Y303" s="87"/>
    </row>
    <row r="304">
      <c r="A304" s="100"/>
      <c r="B304" s="579"/>
      <c r="C304" s="100"/>
      <c r="D304" s="579"/>
      <c r="E304" s="100"/>
      <c r="F304" s="579"/>
      <c r="G304" s="100"/>
      <c r="H304" s="601"/>
      <c r="I304" s="100"/>
      <c r="J304" s="583"/>
      <c r="K304" s="100"/>
      <c r="L304" s="579"/>
      <c r="M304" s="87"/>
      <c r="N304" s="87"/>
      <c r="O304" s="87"/>
      <c r="P304" s="87"/>
      <c r="Q304" s="87"/>
      <c r="R304" s="87"/>
      <c r="S304" s="87"/>
      <c r="T304" s="87"/>
      <c r="U304" s="87"/>
      <c r="V304" s="87"/>
      <c r="W304" s="87"/>
      <c r="X304" s="87"/>
      <c r="Y304" s="87"/>
    </row>
    <row r="305">
      <c r="A305" s="100"/>
      <c r="B305" s="579"/>
      <c r="C305" s="100"/>
      <c r="D305" s="579"/>
      <c r="E305" s="100"/>
      <c r="F305" s="579"/>
      <c r="G305" s="100"/>
      <c r="H305" s="601"/>
      <c r="I305" s="100"/>
      <c r="J305" s="583"/>
      <c r="K305" s="100"/>
      <c r="L305" s="579"/>
      <c r="M305" s="87"/>
      <c r="N305" s="87"/>
      <c r="O305" s="87"/>
      <c r="P305" s="87"/>
      <c r="Q305" s="87"/>
      <c r="R305" s="87"/>
      <c r="S305" s="87"/>
      <c r="T305" s="87"/>
      <c r="U305" s="87"/>
      <c r="V305" s="87"/>
      <c r="W305" s="87"/>
      <c r="X305" s="87"/>
      <c r="Y305" s="87"/>
    </row>
    <row r="306">
      <c r="A306" s="100"/>
      <c r="B306" s="579"/>
      <c r="C306" s="100"/>
      <c r="D306" s="579"/>
      <c r="E306" s="100"/>
      <c r="F306" s="579"/>
      <c r="G306" s="100"/>
      <c r="H306" s="601"/>
      <c r="I306" s="100"/>
      <c r="J306" s="583"/>
      <c r="K306" s="100"/>
      <c r="L306" s="579"/>
      <c r="M306" s="87"/>
      <c r="N306" s="87"/>
      <c r="O306" s="87"/>
      <c r="P306" s="87"/>
      <c r="Q306" s="87"/>
      <c r="R306" s="87"/>
      <c r="S306" s="87"/>
      <c r="T306" s="87"/>
      <c r="U306" s="87"/>
      <c r="V306" s="87"/>
      <c r="W306" s="87"/>
      <c r="X306" s="87"/>
      <c r="Y306" s="87"/>
    </row>
    <row r="307">
      <c r="A307" s="100"/>
      <c r="B307" s="579"/>
      <c r="C307" s="100"/>
      <c r="D307" s="579"/>
      <c r="E307" s="100"/>
      <c r="F307" s="579"/>
      <c r="G307" s="100"/>
      <c r="H307" s="601"/>
      <c r="I307" s="100"/>
      <c r="J307" s="583"/>
      <c r="K307" s="100"/>
      <c r="L307" s="579"/>
      <c r="M307" s="87"/>
      <c r="N307" s="87"/>
      <c r="O307" s="87"/>
      <c r="P307" s="87"/>
      <c r="Q307" s="87"/>
      <c r="R307" s="87"/>
      <c r="S307" s="87"/>
      <c r="T307" s="87"/>
      <c r="U307" s="87"/>
      <c r="V307" s="87"/>
      <c r="W307" s="87"/>
      <c r="X307" s="87"/>
      <c r="Y307" s="87"/>
    </row>
    <row r="308">
      <c r="A308" s="100"/>
      <c r="B308" s="579"/>
      <c r="C308" s="100"/>
      <c r="D308" s="579"/>
      <c r="E308" s="100"/>
      <c r="F308" s="579"/>
      <c r="G308" s="100"/>
      <c r="H308" s="601"/>
      <c r="I308" s="100"/>
      <c r="J308" s="583"/>
      <c r="K308" s="100"/>
      <c r="L308" s="579"/>
      <c r="M308" s="87"/>
      <c r="N308" s="87"/>
      <c r="O308" s="87"/>
      <c r="P308" s="87"/>
      <c r="Q308" s="87"/>
      <c r="R308" s="87"/>
      <c r="S308" s="87"/>
      <c r="T308" s="87"/>
      <c r="U308" s="87"/>
      <c r="V308" s="87"/>
      <c r="W308" s="87"/>
      <c r="X308" s="87"/>
      <c r="Y308" s="87"/>
    </row>
    <row r="309">
      <c r="A309" s="100"/>
      <c r="B309" s="579"/>
      <c r="C309" s="100"/>
      <c r="D309" s="579"/>
      <c r="E309" s="100"/>
      <c r="F309" s="579"/>
      <c r="G309" s="100"/>
      <c r="H309" s="601"/>
      <c r="I309" s="100"/>
      <c r="J309" s="583"/>
      <c r="K309" s="100"/>
      <c r="L309" s="579"/>
      <c r="M309" s="87"/>
      <c r="N309" s="87"/>
      <c r="O309" s="87"/>
      <c r="P309" s="87"/>
      <c r="Q309" s="87"/>
      <c r="R309" s="87"/>
      <c r="S309" s="87"/>
      <c r="T309" s="87"/>
      <c r="U309" s="87"/>
      <c r="V309" s="87"/>
      <c r="W309" s="87"/>
      <c r="X309" s="87"/>
      <c r="Y309" s="87"/>
    </row>
    <row r="310">
      <c r="A310" s="100"/>
      <c r="B310" s="579"/>
      <c r="C310" s="100"/>
      <c r="D310" s="579"/>
      <c r="E310" s="100"/>
      <c r="F310" s="579"/>
      <c r="G310" s="100"/>
      <c r="H310" s="601"/>
      <c r="I310" s="100"/>
      <c r="J310" s="583"/>
      <c r="K310" s="100"/>
      <c r="L310" s="579"/>
      <c r="M310" s="87"/>
      <c r="N310" s="87"/>
      <c r="O310" s="87"/>
      <c r="P310" s="87"/>
      <c r="Q310" s="87"/>
      <c r="R310" s="87"/>
      <c r="S310" s="87"/>
      <c r="T310" s="87"/>
      <c r="U310" s="87"/>
      <c r="V310" s="87"/>
      <c r="W310" s="87"/>
      <c r="X310" s="87"/>
      <c r="Y310" s="87"/>
    </row>
    <row r="311">
      <c r="A311" s="100"/>
      <c r="B311" s="579"/>
      <c r="C311" s="100"/>
      <c r="D311" s="579"/>
      <c r="E311" s="100"/>
      <c r="F311" s="579"/>
      <c r="G311" s="100"/>
      <c r="H311" s="601"/>
      <c r="I311" s="100"/>
      <c r="J311" s="583"/>
      <c r="K311" s="100"/>
      <c r="L311" s="579"/>
      <c r="M311" s="87"/>
      <c r="N311" s="87"/>
      <c r="O311" s="87"/>
      <c r="P311" s="87"/>
      <c r="Q311" s="87"/>
      <c r="R311" s="87"/>
      <c r="S311" s="87"/>
      <c r="T311" s="87"/>
      <c r="U311" s="87"/>
      <c r="V311" s="87"/>
      <c r="W311" s="87"/>
      <c r="X311" s="87"/>
      <c r="Y311" s="87"/>
    </row>
    <row r="312">
      <c r="A312" s="100"/>
      <c r="B312" s="579"/>
      <c r="C312" s="100"/>
      <c r="D312" s="579"/>
      <c r="E312" s="100"/>
      <c r="F312" s="579"/>
      <c r="G312" s="100"/>
      <c r="H312" s="601"/>
      <c r="I312" s="100"/>
      <c r="J312" s="583"/>
      <c r="K312" s="100"/>
      <c r="L312" s="579"/>
      <c r="M312" s="87"/>
      <c r="N312" s="87"/>
      <c r="O312" s="87"/>
      <c r="P312" s="87"/>
      <c r="Q312" s="87"/>
      <c r="R312" s="87"/>
      <c r="S312" s="87"/>
      <c r="T312" s="87"/>
      <c r="U312" s="87"/>
      <c r="V312" s="87"/>
      <c r="W312" s="87"/>
      <c r="X312" s="87"/>
      <c r="Y312" s="87"/>
    </row>
    <row r="313">
      <c r="A313" s="100"/>
      <c r="B313" s="579"/>
      <c r="C313" s="100"/>
      <c r="D313" s="579"/>
      <c r="E313" s="100"/>
      <c r="F313" s="579"/>
      <c r="G313" s="100"/>
      <c r="H313" s="601"/>
      <c r="I313" s="100"/>
      <c r="J313" s="583"/>
      <c r="K313" s="100"/>
      <c r="L313" s="579"/>
      <c r="M313" s="87"/>
      <c r="N313" s="87"/>
      <c r="O313" s="87"/>
      <c r="P313" s="87"/>
      <c r="Q313" s="87"/>
      <c r="R313" s="87"/>
      <c r="S313" s="87"/>
      <c r="T313" s="87"/>
      <c r="U313" s="87"/>
      <c r="V313" s="87"/>
      <c r="W313" s="87"/>
      <c r="X313" s="87"/>
      <c r="Y313" s="87"/>
    </row>
    <row r="314">
      <c r="A314" s="100"/>
      <c r="B314" s="579"/>
      <c r="C314" s="100"/>
      <c r="D314" s="579"/>
      <c r="E314" s="100"/>
      <c r="F314" s="579"/>
      <c r="G314" s="100"/>
      <c r="H314" s="601"/>
      <c r="I314" s="100"/>
      <c r="J314" s="583"/>
      <c r="K314" s="100"/>
      <c r="L314" s="579"/>
      <c r="M314" s="87"/>
      <c r="N314" s="87"/>
      <c r="O314" s="87"/>
      <c r="P314" s="87"/>
      <c r="Q314" s="87"/>
      <c r="R314" s="87"/>
      <c r="S314" s="87"/>
      <c r="T314" s="87"/>
      <c r="U314" s="87"/>
      <c r="V314" s="87"/>
      <c r="W314" s="87"/>
      <c r="X314" s="87"/>
      <c r="Y314" s="87"/>
    </row>
    <row r="315">
      <c r="A315" s="100"/>
      <c r="B315" s="579"/>
      <c r="C315" s="100"/>
      <c r="D315" s="579"/>
      <c r="E315" s="100"/>
      <c r="F315" s="579"/>
      <c r="G315" s="100"/>
      <c r="H315" s="601"/>
      <c r="I315" s="100"/>
      <c r="J315" s="583"/>
      <c r="K315" s="100"/>
      <c r="L315" s="579"/>
      <c r="M315" s="87"/>
      <c r="N315" s="87"/>
      <c r="O315" s="87"/>
      <c r="P315" s="87"/>
      <c r="Q315" s="87"/>
      <c r="R315" s="87"/>
      <c r="S315" s="87"/>
      <c r="T315" s="87"/>
      <c r="U315" s="87"/>
      <c r="V315" s="87"/>
      <c r="W315" s="87"/>
      <c r="X315" s="87"/>
      <c r="Y315" s="87"/>
    </row>
    <row r="316">
      <c r="A316" s="100"/>
      <c r="B316" s="579"/>
      <c r="C316" s="100"/>
      <c r="D316" s="579"/>
      <c r="E316" s="100"/>
      <c r="F316" s="579"/>
      <c r="G316" s="100"/>
      <c r="H316" s="601"/>
      <c r="I316" s="100"/>
      <c r="J316" s="583"/>
      <c r="K316" s="100"/>
      <c r="L316" s="579"/>
      <c r="M316" s="87"/>
      <c r="N316" s="87"/>
      <c r="O316" s="87"/>
      <c r="P316" s="87"/>
      <c r="Q316" s="87"/>
      <c r="R316" s="87"/>
      <c r="S316" s="87"/>
      <c r="T316" s="87"/>
      <c r="U316" s="87"/>
      <c r="V316" s="87"/>
      <c r="W316" s="87"/>
      <c r="X316" s="87"/>
      <c r="Y316" s="87"/>
    </row>
    <row r="317">
      <c r="A317" s="100"/>
      <c r="B317" s="579"/>
      <c r="C317" s="100"/>
      <c r="D317" s="579"/>
      <c r="E317" s="100"/>
      <c r="F317" s="579"/>
      <c r="G317" s="100"/>
      <c r="H317" s="601"/>
      <c r="I317" s="100"/>
      <c r="J317" s="583"/>
      <c r="K317" s="100"/>
      <c r="L317" s="579"/>
      <c r="M317" s="87"/>
      <c r="N317" s="87"/>
      <c r="O317" s="87"/>
      <c r="P317" s="87"/>
      <c r="Q317" s="87"/>
      <c r="R317" s="87"/>
      <c r="S317" s="87"/>
      <c r="T317" s="87"/>
      <c r="U317" s="87"/>
      <c r="V317" s="87"/>
      <c r="W317" s="87"/>
      <c r="X317" s="87"/>
      <c r="Y317" s="87"/>
    </row>
    <row r="318">
      <c r="A318" s="100"/>
      <c r="B318" s="579"/>
      <c r="C318" s="100"/>
      <c r="D318" s="579"/>
      <c r="E318" s="100"/>
      <c r="F318" s="579"/>
      <c r="G318" s="100"/>
      <c r="H318" s="601"/>
      <c r="I318" s="100"/>
      <c r="J318" s="583"/>
      <c r="K318" s="100"/>
      <c r="L318" s="579"/>
      <c r="M318" s="87"/>
      <c r="N318" s="87"/>
      <c r="O318" s="87"/>
      <c r="P318" s="87"/>
      <c r="Q318" s="87"/>
      <c r="R318" s="87"/>
      <c r="S318" s="87"/>
      <c r="T318" s="87"/>
      <c r="U318" s="87"/>
      <c r="V318" s="87"/>
      <c r="W318" s="87"/>
      <c r="X318" s="87"/>
      <c r="Y318" s="87"/>
    </row>
    <row r="319">
      <c r="A319" s="100"/>
      <c r="B319" s="579"/>
      <c r="C319" s="100"/>
      <c r="D319" s="579"/>
      <c r="E319" s="100"/>
      <c r="F319" s="579"/>
      <c r="G319" s="100"/>
      <c r="H319" s="601"/>
      <c r="I319" s="100"/>
      <c r="J319" s="583"/>
      <c r="K319" s="100"/>
      <c r="L319" s="579"/>
      <c r="M319" s="87"/>
      <c r="N319" s="87"/>
      <c r="O319" s="87"/>
      <c r="P319" s="87"/>
      <c r="Q319" s="87"/>
      <c r="R319" s="87"/>
      <c r="S319" s="87"/>
      <c r="T319" s="87"/>
      <c r="U319" s="87"/>
      <c r="V319" s="87"/>
      <c r="W319" s="87"/>
      <c r="X319" s="87"/>
      <c r="Y319" s="87"/>
    </row>
    <row r="320">
      <c r="A320" s="100"/>
      <c r="B320" s="579"/>
      <c r="C320" s="100"/>
      <c r="D320" s="579"/>
      <c r="E320" s="100"/>
      <c r="F320" s="579"/>
      <c r="G320" s="100"/>
      <c r="H320" s="601"/>
      <c r="I320" s="100"/>
      <c r="J320" s="583"/>
      <c r="K320" s="100"/>
      <c r="L320" s="579"/>
      <c r="M320" s="87"/>
      <c r="N320" s="87"/>
      <c r="O320" s="87"/>
      <c r="P320" s="87"/>
      <c r="Q320" s="87"/>
      <c r="R320" s="87"/>
      <c r="S320" s="87"/>
      <c r="T320" s="87"/>
      <c r="U320" s="87"/>
      <c r="V320" s="87"/>
      <c r="W320" s="87"/>
      <c r="X320" s="87"/>
      <c r="Y320" s="87"/>
    </row>
    <row r="321">
      <c r="A321" s="100"/>
      <c r="B321" s="579"/>
      <c r="C321" s="100"/>
      <c r="D321" s="579"/>
      <c r="E321" s="100"/>
      <c r="F321" s="579"/>
      <c r="G321" s="100"/>
      <c r="H321" s="601"/>
      <c r="I321" s="100"/>
      <c r="J321" s="583"/>
      <c r="K321" s="100"/>
      <c r="L321" s="579"/>
      <c r="M321" s="87"/>
      <c r="N321" s="87"/>
      <c r="O321" s="87"/>
      <c r="P321" s="87"/>
      <c r="Q321" s="87"/>
      <c r="R321" s="87"/>
      <c r="S321" s="87"/>
      <c r="T321" s="87"/>
      <c r="U321" s="87"/>
      <c r="V321" s="87"/>
      <c r="W321" s="87"/>
      <c r="X321" s="87"/>
      <c r="Y321" s="87"/>
    </row>
    <row r="322">
      <c r="A322" s="100"/>
      <c r="B322" s="579"/>
      <c r="C322" s="100"/>
      <c r="D322" s="579"/>
      <c r="E322" s="100"/>
      <c r="F322" s="579"/>
      <c r="G322" s="100"/>
      <c r="H322" s="601"/>
      <c r="I322" s="100"/>
      <c r="J322" s="583"/>
      <c r="K322" s="100"/>
      <c r="L322" s="579"/>
      <c r="M322" s="87"/>
      <c r="N322" s="87"/>
      <c r="O322" s="87"/>
      <c r="P322" s="87"/>
      <c r="Q322" s="87"/>
      <c r="R322" s="87"/>
      <c r="S322" s="87"/>
      <c r="T322" s="87"/>
      <c r="U322" s="87"/>
      <c r="V322" s="87"/>
      <c r="W322" s="87"/>
      <c r="X322" s="87"/>
      <c r="Y322" s="87"/>
    </row>
    <row r="323">
      <c r="A323" s="100"/>
      <c r="B323" s="579"/>
      <c r="C323" s="100"/>
      <c r="D323" s="579"/>
      <c r="E323" s="100"/>
      <c r="F323" s="579"/>
      <c r="G323" s="100"/>
      <c r="H323" s="601"/>
      <c r="I323" s="100"/>
      <c r="J323" s="583"/>
      <c r="K323" s="100"/>
      <c r="L323" s="579"/>
      <c r="M323" s="87"/>
      <c r="N323" s="87"/>
      <c r="O323" s="87"/>
      <c r="P323" s="87"/>
      <c r="Q323" s="87"/>
      <c r="R323" s="87"/>
      <c r="S323" s="87"/>
      <c r="T323" s="87"/>
      <c r="U323" s="87"/>
      <c r="V323" s="87"/>
      <c r="W323" s="87"/>
      <c r="X323" s="87"/>
      <c r="Y323" s="87"/>
    </row>
    <row r="324">
      <c r="A324" s="100"/>
      <c r="B324" s="579"/>
      <c r="C324" s="100"/>
      <c r="D324" s="579"/>
      <c r="E324" s="100"/>
      <c r="F324" s="579"/>
      <c r="G324" s="100"/>
      <c r="H324" s="601"/>
      <c r="I324" s="100"/>
      <c r="J324" s="583"/>
      <c r="K324" s="100"/>
      <c r="L324" s="579"/>
      <c r="M324" s="87"/>
      <c r="N324" s="87"/>
      <c r="O324" s="87"/>
      <c r="P324" s="87"/>
      <c r="Q324" s="87"/>
      <c r="R324" s="87"/>
      <c r="S324" s="87"/>
      <c r="T324" s="87"/>
      <c r="U324" s="87"/>
      <c r="V324" s="87"/>
      <c r="W324" s="87"/>
      <c r="X324" s="87"/>
      <c r="Y324" s="87"/>
    </row>
    <row r="325">
      <c r="A325" s="100"/>
      <c r="B325" s="579"/>
      <c r="C325" s="100"/>
      <c r="D325" s="579"/>
      <c r="E325" s="100"/>
      <c r="F325" s="579"/>
      <c r="G325" s="100"/>
      <c r="H325" s="601"/>
      <c r="I325" s="100"/>
      <c r="J325" s="583"/>
      <c r="K325" s="100"/>
      <c r="L325" s="579"/>
      <c r="M325" s="87"/>
      <c r="N325" s="87"/>
      <c r="O325" s="87"/>
      <c r="P325" s="87"/>
      <c r="Q325" s="87"/>
      <c r="R325" s="87"/>
      <c r="S325" s="87"/>
      <c r="T325" s="87"/>
      <c r="U325" s="87"/>
      <c r="V325" s="87"/>
      <c r="W325" s="87"/>
      <c r="X325" s="87"/>
      <c r="Y325" s="87"/>
    </row>
    <row r="326">
      <c r="A326" s="100"/>
      <c r="B326" s="579"/>
      <c r="C326" s="100"/>
      <c r="D326" s="579"/>
      <c r="E326" s="100"/>
      <c r="F326" s="579"/>
      <c r="G326" s="100"/>
      <c r="H326" s="601"/>
      <c r="I326" s="100"/>
      <c r="J326" s="583"/>
      <c r="K326" s="100"/>
      <c r="L326" s="579"/>
      <c r="M326" s="87"/>
      <c r="N326" s="87"/>
      <c r="O326" s="87"/>
      <c r="P326" s="87"/>
      <c r="Q326" s="87"/>
      <c r="R326" s="87"/>
      <c r="S326" s="87"/>
      <c r="T326" s="87"/>
      <c r="U326" s="87"/>
      <c r="V326" s="87"/>
      <c r="W326" s="87"/>
      <c r="X326" s="87"/>
      <c r="Y326" s="87"/>
    </row>
    <row r="327">
      <c r="A327" s="100"/>
      <c r="B327" s="579"/>
      <c r="C327" s="100"/>
      <c r="D327" s="579"/>
      <c r="E327" s="100"/>
      <c r="F327" s="579"/>
      <c r="G327" s="100"/>
      <c r="H327" s="601"/>
      <c r="I327" s="100"/>
      <c r="J327" s="583"/>
      <c r="K327" s="100"/>
      <c r="L327" s="579"/>
      <c r="M327" s="87"/>
      <c r="N327" s="87"/>
      <c r="O327" s="87"/>
      <c r="P327" s="87"/>
      <c r="Q327" s="87"/>
      <c r="R327" s="87"/>
      <c r="S327" s="87"/>
      <c r="T327" s="87"/>
      <c r="U327" s="87"/>
      <c r="V327" s="87"/>
      <c r="W327" s="87"/>
      <c r="X327" s="87"/>
      <c r="Y327" s="87"/>
    </row>
    <row r="328">
      <c r="A328" s="100"/>
      <c r="B328" s="579"/>
      <c r="C328" s="100"/>
      <c r="D328" s="579"/>
      <c r="E328" s="100"/>
      <c r="F328" s="579"/>
      <c r="G328" s="100"/>
      <c r="H328" s="601"/>
      <c r="I328" s="100"/>
      <c r="J328" s="583"/>
      <c r="K328" s="100"/>
      <c r="L328" s="579"/>
      <c r="M328" s="87"/>
      <c r="N328" s="87"/>
      <c r="O328" s="87"/>
      <c r="P328" s="87"/>
      <c r="Q328" s="87"/>
      <c r="R328" s="87"/>
      <c r="S328" s="87"/>
      <c r="T328" s="87"/>
      <c r="U328" s="87"/>
      <c r="V328" s="87"/>
      <c r="W328" s="87"/>
      <c r="X328" s="87"/>
      <c r="Y328" s="87"/>
    </row>
    <row r="329">
      <c r="A329" s="100"/>
      <c r="B329" s="579"/>
      <c r="C329" s="100"/>
      <c r="D329" s="579"/>
      <c r="E329" s="100"/>
      <c r="F329" s="579"/>
      <c r="G329" s="100"/>
      <c r="H329" s="601"/>
      <c r="I329" s="100"/>
      <c r="J329" s="583"/>
      <c r="K329" s="100"/>
      <c r="L329" s="579"/>
      <c r="M329" s="87"/>
      <c r="N329" s="87"/>
      <c r="O329" s="87"/>
      <c r="P329" s="87"/>
      <c r="Q329" s="87"/>
      <c r="R329" s="87"/>
      <c r="S329" s="87"/>
      <c r="T329" s="87"/>
      <c r="U329" s="87"/>
      <c r="V329" s="87"/>
      <c r="W329" s="87"/>
      <c r="X329" s="87"/>
      <c r="Y329" s="87"/>
    </row>
    <row r="330">
      <c r="A330" s="100"/>
      <c r="B330" s="579"/>
      <c r="C330" s="100"/>
      <c r="D330" s="579"/>
      <c r="E330" s="100"/>
      <c r="F330" s="579"/>
      <c r="G330" s="100"/>
      <c r="H330" s="601"/>
      <c r="I330" s="100"/>
      <c r="J330" s="583"/>
      <c r="K330" s="100"/>
      <c r="L330" s="579"/>
      <c r="M330" s="87"/>
      <c r="N330" s="87"/>
      <c r="O330" s="87"/>
      <c r="P330" s="87"/>
      <c r="Q330" s="87"/>
      <c r="R330" s="87"/>
      <c r="S330" s="87"/>
      <c r="T330" s="87"/>
      <c r="U330" s="87"/>
      <c r="V330" s="87"/>
      <c r="W330" s="87"/>
      <c r="X330" s="87"/>
      <c r="Y330" s="87"/>
    </row>
    <row r="331">
      <c r="A331" s="100"/>
      <c r="B331" s="579"/>
      <c r="C331" s="100"/>
      <c r="D331" s="579"/>
      <c r="E331" s="100"/>
      <c r="F331" s="579"/>
      <c r="G331" s="100"/>
      <c r="H331" s="601"/>
      <c r="I331" s="100"/>
      <c r="J331" s="583"/>
      <c r="K331" s="100"/>
      <c r="L331" s="579"/>
      <c r="M331" s="87"/>
      <c r="N331" s="87"/>
      <c r="O331" s="87"/>
      <c r="P331" s="87"/>
      <c r="Q331" s="87"/>
      <c r="R331" s="87"/>
      <c r="S331" s="87"/>
      <c r="T331" s="87"/>
      <c r="U331" s="87"/>
      <c r="V331" s="87"/>
      <c r="W331" s="87"/>
      <c r="X331" s="87"/>
      <c r="Y331" s="87"/>
    </row>
    <row r="332">
      <c r="A332" s="100"/>
      <c r="B332" s="579"/>
      <c r="C332" s="100"/>
      <c r="D332" s="579"/>
      <c r="E332" s="100"/>
      <c r="F332" s="579"/>
      <c r="G332" s="100"/>
      <c r="H332" s="601"/>
      <c r="I332" s="100"/>
      <c r="J332" s="583"/>
      <c r="K332" s="100"/>
      <c r="L332" s="579"/>
      <c r="M332" s="87"/>
      <c r="N332" s="87"/>
      <c r="O332" s="87"/>
      <c r="P332" s="87"/>
      <c r="Q332" s="87"/>
      <c r="R332" s="87"/>
      <c r="S332" s="87"/>
      <c r="T332" s="87"/>
      <c r="U332" s="87"/>
      <c r="V332" s="87"/>
      <c r="W332" s="87"/>
      <c r="X332" s="87"/>
      <c r="Y332" s="87"/>
    </row>
    <row r="333">
      <c r="A333" s="100"/>
      <c r="B333" s="579"/>
      <c r="C333" s="100"/>
      <c r="D333" s="579"/>
      <c r="E333" s="100"/>
      <c r="F333" s="579"/>
      <c r="G333" s="100"/>
      <c r="H333" s="601"/>
      <c r="I333" s="100"/>
      <c r="J333" s="583"/>
      <c r="K333" s="100"/>
      <c r="L333" s="579"/>
      <c r="M333" s="87"/>
      <c r="N333" s="87"/>
      <c r="O333" s="87"/>
      <c r="P333" s="87"/>
      <c r="Q333" s="87"/>
      <c r="R333" s="87"/>
      <c r="S333" s="87"/>
      <c r="T333" s="87"/>
      <c r="U333" s="87"/>
      <c r="V333" s="87"/>
      <c r="W333" s="87"/>
      <c r="X333" s="87"/>
      <c r="Y333" s="87"/>
    </row>
    <row r="334">
      <c r="A334" s="100"/>
      <c r="B334" s="579"/>
      <c r="C334" s="100"/>
      <c r="D334" s="579"/>
      <c r="E334" s="100"/>
      <c r="F334" s="579"/>
      <c r="G334" s="100"/>
      <c r="H334" s="601"/>
      <c r="I334" s="100"/>
      <c r="J334" s="583"/>
      <c r="K334" s="100"/>
      <c r="L334" s="579"/>
      <c r="M334" s="87"/>
      <c r="N334" s="87"/>
      <c r="O334" s="87"/>
      <c r="P334" s="87"/>
      <c r="Q334" s="87"/>
      <c r="R334" s="87"/>
      <c r="S334" s="87"/>
      <c r="T334" s="87"/>
      <c r="U334" s="87"/>
      <c r="V334" s="87"/>
      <c r="W334" s="87"/>
      <c r="X334" s="87"/>
      <c r="Y334" s="87"/>
    </row>
    <row r="335">
      <c r="A335" s="100"/>
      <c r="B335" s="579"/>
      <c r="C335" s="100"/>
      <c r="D335" s="579"/>
      <c r="E335" s="100"/>
      <c r="F335" s="579"/>
      <c r="G335" s="100"/>
      <c r="H335" s="601"/>
      <c r="I335" s="100"/>
      <c r="J335" s="583"/>
      <c r="K335" s="100"/>
      <c r="L335" s="579"/>
      <c r="M335" s="87"/>
      <c r="N335" s="87"/>
      <c r="O335" s="87"/>
      <c r="P335" s="87"/>
      <c r="Q335" s="87"/>
      <c r="R335" s="87"/>
      <c r="S335" s="87"/>
      <c r="T335" s="87"/>
      <c r="U335" s="87"/>
      <c r="V335" s="87"/>
      <c r="W335" s="87"/>
      <c r="X335" s="87"/>
      <c r="Y335" s="87"/>
    </row>
    <row r="336">
      <c r="A336" s="100"/>
      <c r="B336" s="579"/>
      <c r="C336" s="100"/>
      <c r="D336" s="579"/>
      <c r="E336" s="100"/>
      <c r="F336" s="579"/>
      <c r="G336" s="100"/>
      <c r="H336" s="601"/>
      <c r="I336" s="100"/>
      <c r="J336" s="583"/>
      <c r="K336" s="100"/>
      <c r="L336" s="579"/>
      <c r="M336" s="87"/>
      <c r="N336" s="87"/>
      <c r="O336" s="87"/>
      <c r="P336" s="87"/>
      <c r="Q336" s="87"/>
      <c r="R336" s="87"/>
      <c r="S336" s="87"/>
      <c r="T336" s="87"/>
      <c r="U336" s="87"/>
      <c r="V336" s="87"/>
      <c r="W336" s="87"/>
      <c r="X336" s="87"/>
      <c r="Y336" s="87"/>
    </row>
    <row r="337">
      <c r="A337" s="100"/>
      <c r="B337" s="579"/>
      <c r="C337" s="100"/>
      <c r="D337" s="579"/>
      <c r="E337" s="100"/>
      <c r="F337" s="579"/>
      <c r="G337" s="100"/>
      <c r="H337" s="601"/>
      <c r="I337" s="100"/>
      <c r="J337" s="583"/>
      <c r="K337" s="100"/>
      <c r="L337" s="579"/>
      <c r="M337" s="87"/>
      <c r="N337" s="87"/>
      <c r="O337" s="87"/>
      <c r="P337" s="87"/>
      <c r="Q337" s="87"/>
      <c r="R337" s="87"/>
      <c r="S337" s="87"/>
      <c r="T337" s="87"/>
      <c r="U337" s="87"/>
      <c r="V337" s="87"/>
      <c r="W337" s="87"/>
      <c r="X337" s="87"/>
      <c r="Y337" s="87"/>
    </row>
    <row r="338">
      <c r="A338" s="100"/>
      <c r="B338" s="579"/>
      <c r="C338" s="100"/>
      <c r="D338" s="579"/>
      <c r="E338" s="100"/>
      <c r="F338" s="579"/>
      <c r="G338" s="100"/>
      <c r="H338" s="601"/>
      <c r="I338" s="100"/>
      <c r="J338" s="583"/>
      <c r="K338" s="100"/>
      <c r="L338" s="579"/>
      <c r="M338" s="87"/>
      <c r="N338" s="87"/>
      <c r="O338" s="87"/>
      <c r="P338" s="87"/>
      <c r="Q338" s="87"/>
      <c r="R338" s="87"/>
      <c r="S338" s="87"/>
      <c r="T338" s="87"/>
      <c r="U338" s="87"/>
      <c r="V338" s="87"/>
      <c r="W338" s="87"/>
      <c r="X338" s="87"/>
      <c r="Y338" s="87"/>
    </row>
    <row r="339">
      <c r="A339" s="100"/>
      <c r="B339" s="579"/>
      <c r="C339" s="100"/>
      <c r="D339" s="579"/>
      <c r="E339" s="100"/>
      <c r="F339" s="579"/>
      <c r="G339" s="100"/>
      <c r="H339" s="601"/>
      <c r="I339" s="100"/>
      <c r="J339" s="583"/>
      <c r="K339" s="100"/>
      <c r="L339" s="579"/>
      <c r="M339" s="87"/>
      <c r="N339" s="87"/>
      <c r="O339" s="87"/>
      <c r="P339" s="87"/>
      <c r="Q339" s="87"/>
      <c r="R339" s="87"/>
      <c r="S339" s="87"/>
      <c r="T339" s="87"/>
      <c r="U339" s="87"/>
      <c r="V339" s="87"/>
      <c r="W339" s="87"/>
      <c r="X339" s="87"/>
      <c r="Y339" s="87"/>
    </row>
    <row r="340">
      <c r="A340" s="100"/>
      <c r="B340" s="579"/>
      <c r="C340" s="100"/>
      <c r="D340" s="579"/>
      <c r="E340" s="100"/>
      <c r="F340" s="579"/>
      <c r="G340" s="100"/>
      <c r="H340" s="601"/>
      <c r="I340" s="100"/>
      <c r="J340" s="583"/>
      <c r="K340" s="100"/>
      <c r="L340" s="579"/>
      <c r="M340" s="87"/>
      <c r="N340" s="87"/>
      <c r="O340" s="87"/>
      <c r="P340" s="87"/>
      <c r="Q340" s="87"/>
      <c r="R340" s="87"/>
      <c r="S340" s="87"/>
      <c r="T340" s="87"/>
      <c r="U340" s="87"/>
      <c r="V340" s="87"/>
      <c r="W340" s="87"/>
      <c r="X340" s="87"/>
      <c r="Y340" s="87"/>
    </row>
    <row r="341">
      <c r="A341" s="100"/>
      <c r="B341" s="579"/>
      <c r="C341" s="100"/>
      <c r="D341" s="579"/>
      <c r="E341" s="100"/>
      <c r="F341" s="579"/>
      <c r="G341" s="100"/>
      <c r="H341" s="601"/>
      <c r="I341" s="100"/>
      <c r="J341" s="583"/>
      <c r="K341" s="100"/>
      <c r="L341" s="579"/>
      <c r="M341" s="87"/>
      <c r="N341" s="87"/>
      <c r="O341" s="87"/>
      <c r="P341" s="87"/>
      <c r="Q341" s="87"/>
      <c r="R341" s="87"/>
      <c r="S341" s="87"/>
      <c r="T341" s="87"/>
      <c r="U341" s="87"/>
      <c r="V341" s="87"/>
      <c r="W341" s="87"/>
      <c r="X341" s="87"/>
      <c r="Y341" s="87"/>
    </row>
    <row r="342">
      <c r="A342" s="100"/>
      <c r="B342" s="579"/>
      <c r="C342" s="100"/>
      <c r="D342" s="579"/>
      <c r="E342" s="100"/>
      <c r="F342" s="579"/>
      <c r="G342" s="100"/>
      <c r="H342" s="601"/>
      <c r="I342" s="100"/>
      <c r="J342" s="583"/>
      <c r="K342" s="100"/>
      <c r="L342" s="579"/>
      <c r="M342" s="87"/>
      <c r="N342" s="87"/>
      <c r="O342" s="87"/>
      <c r="P342" s="87"/>
      <c r="Q342" s="87"/>
      <c r="R342" s="87"/>
      <c r="S342" s="87"/>
      <c r="T342" s="87"/>
      <c r="U342" s="87"/>
      <c r="V342" s="87"/>
      <c r="W342" s="87"/>
      <c r="X342" s="87"/>
      <c r="Y342" s="87"/>
    </row>
    <row r="343">
      <c r="A343" s="100"/>
      <c r="B343" s="579"/>
      <c r="C343" s="100"/>
      <c r="D343" s="579"/>
      <c r="E343" s="100"/>
      <c r="F343" s="579"/>
      <c r="G343" s="100"/>
      <c r="H343" s="601"/>
      <c r="I343" s="100"/>
      <c r="J343" s="583"/>
      <c r="K343" s="100"/>
      <c r="L343" s="579"/>
      <c r="M343" s="87"/>
      <c r="N343" s="87"/>
      <c r="O343" s="87"/>
      <c r="P343" s="87"/>
      <c r="Q343" s="87"/>
      <c r="R343" s="87"/>
      <c r="S343" s="87"/>
      <c r="T343" s="87"/>
      <c r="U343" s="87"/>
      <c r="V343" s="87"/>
      <c r="W343" s="87"/>
      <c r="X343" s="87"/>
      <c r="Y343" s="87"/>
    </row>
    <row r="344">
      <c r="A344" s="100"/>
      <c r="B344" s="579"/>
      <c r="C344" s="100"/>
      <c r="D344" s="579"/>
      <c r="E344" s="100"/>
      <c r="F344" s="579"/>
      <c r="G344" s="100"/>
      <c r="H344" s="601"/>
      <c r="I344" s="100"/>
      <c r="J344" s="583"/>
      <c r="K344" s="100"/>
      <c r="L344" s="579"/>
      <c r="M344" s="87"/>
      <c r="N344" s="87"/>
      <c r="O344" s="87"/>
      <c r="P344" s="87"/>
      <c r="Q344" s="87"/>
      <c r="R344" s="87"/>
      <c r="S344" s="87"/>
      <c r="T344" s="87"/>
      <c r="U344" s="87"/>
      <c r="V344" s="87"/>
      <c r="W344" s="87"/>
      <c r="X344" s="87"/>
      <c r="Y344" s="87"/>
    </row>
    <row r="345">
      <c r="A345" s="100"/>
      <c r="B345" s="579"/>
      <c r="C345" s="100"/>
      <c r="D345" s="579"/>
      <c r="E345" s="100"/>
      <c r="F345" s="579"/>
      <c r="G345" s="100"/>
      <c r="H345" s="601"/>
      <c r="I345" s="100"/>
      <c r="J345" s="583"/>
      <c r="K345" s="100"/>
      <c r="L345" s="579"/>
      <c r="M345" s="87"/>
      <c r="N345" s="87"/>
      <c r="O345" s="87"/>
      <c r="P345" s="87"/>
      <c r="Q345" s="87"/>
      <c r="R345" s="87"/>
      <c r="S345" s="87"/>
      <c r="T345" s="87"/>
      <c r="U345" s="87"/>
      <c r="V345" s="87"/>
      <c r="W345" s="87"/>
      <c r="X345" s="87"/>
      <c r="Y345" s="87"/>
    </row>
    <row r="346">
      <c r="A346" s="100"/>
      <c r="B346" s="579"/>
      <c r="C346" s="100"/>
      <c r="D346" s="579"/>
      <c r="E346" s="100"/>
      <c r="F346" s="579"/>
      <c r="G346" s="100"/>
      <c r="H346" s="601"/>
      <c r="I346" s="100"/>
      <c r="J346" s="583"/>
      <c r="K346" s="100"/>
      <c r="L346" s="579"/>
      <c r="M346" s="87"/>
      <c r="N346" s="87"/>
      <c r="O346" s="87"/>
      <c r="P346" s="87"/>
      <c r="Q346" s="87"/>
      <c r="R346" s="87"/>
      <c r="S346" s="87"/>
      <c r="T346" s="87"/>
      <c r="U346" s="87"/>
      <c r="V346" s="87"/>
      <c r="W346" s="87"/>
      <c r="X346" s="87"/>
      <c r="Y346" s="87"/>
    </row>
    <row r="347">
      <c r="A347" s="100"/>
      <c r="B347" s="579"/>
      <c r="C347" s="100"/>
      <c r="D347" s="579"/>
      <c r="E347" s="100"/>
      <c r="F347" s="579"/>
      <c r="G347" s="100"/>
      <c r="H347" s="601"/>
      <c r="I347" s="100"/>
      <c r="J347" s="583"/>
      <c r="K347" s="100"/>
      <c r="L347" s="579"/>
      <c r="M347" s="87"/>
      <c r="N347" s="87"/>
      <c r="O347" s="87"/>
      <c r="P347" s="87"/>
      <c r="Q347" s="87"/>
      <c r="R347" s="87"/>
      <c r="S347" s="87"/>
      <c r="T347" s="87"/>
      <c r="U347" s="87"/>
      <c r="V347" s="87"/>
      <c r="W347" s="87"/>
      <c r="X347" s="87"/>
      <c r="Y347" s="87"/>
    </row>
    <row r="348">
      <c r="A348" s="100"/>
      <c r="B348" s="579"/>
      <c r="C348" s="100"/>
      <c r="D348" s="579"/>
      <c r="E348" s="100"/>
      <c r="F348" s="579"/>
      <c r="G348" s="100"/>
      <c r="H348" s="601"/>
      <c r="I348" s="100"/>
      <c r="J348" s="583"/>
      <c r="K348" s="100"/>
      <c r="L348" s="579"/>
      <c r="M348" s="87"/>
      <c r="N348" s="87"/>
      <c r="O348" s="87"/>
      <c r="P348" s="87"/>
      <c r="Q348" s="87"/>
      <c r="R348" s="87"/>
      <c r="S348" s="87"/>
      <c r="T348" s="87"/>
      <c r="U348" s="87"/>
      <c r="V348" s="87"/>
      <c r="W348" s="87"/>
      <c r="X348" s="87"/>
      <c r="Y348" s="87"/>
    </row>
    <row r="349">
      <c r="A349" s="100"/>
      <c r="B349" s="579"/>
      <c r="C349" s="100"/>
      <c r="D349" s="579"/>
      <c r="E349" s="100"/>
      <c r="F349" s="579"/>
      <c r="G349" s="100"/>
      <c r="H349" s="601"/>
      <c r="I349" s="100"/>
      <c r="J349" s="583"/>
      <c r="K349" s="100"/>
      <c r="L349" s="579"/>
      <c r="M349" s="87"/>
      <c r="N349" s="87"/>
      <c r="O349" s="87"/>
      <c r="P349" s="87"/>
      <c r="Q349" s="87"/>
      <c r="R349" s="87"/>
      <c r="S349" s="87"/>
      <c r="T349" s="87"/>
      <c r="U349" s="87"/>
      <c r="V349" s="87"/>
      <c r="W349" s="87"/>
      <c r="X349" s="87"/>
      <c r="Y349" s="87"/>
    </row>
    <row r="350">
      <c r="A350" s="100"/>
      <c r="B350" s="579"/>
      <c r="C350" s="100"/>
      <c r="D350" s="579"/>
      <c r="E350" s="100"/>
      <c r="F350" s="579"/>
      <c r="G350" s="100"/>
      <c r="H350" s="601"/>
      <c r="I350" s="100"/>
      <c r="J350" s="583"/>
      <c r="K350" s="100"/>
      <c r="L350" s="579"/>
      <c r="M350" s="87"/>
      <c r="N350" s="87"/>
      <c r="O350" s="87"/>
      <c r="P350" s="87"/>
      <c r="Q350" s="87"/>
      <c r="R350" s="87"/>
      <c r="S350" s="87"/>
      <c r="T350" s="87"/>
      <c r="U350" s="87"/>
      <c r="V350" s="87"/>
      <c r="W350" s="87"/>
      <c r="X350" s="87"/>
      <c r="Y350" s="87"/>
    </row>
    <row r="351">
      <c r="A351" s="100"/>
      <c r="B351" s="579"/>
      <c r="C351" s="100"/>
      <c r="D351" s="579"/>
      <c r="E351" s="100"/>
      <c r="F351" s="579"/>
      <c r="G351" s="100"/>
      <c r="H351" s="601"/>
      <c r="I351" s="100"/>
      <c r="J351" s="583"/>
      <c r="K351" s="100"/>
      <c r="L351" s="579"/>
      <c r="M351" s="87"/>
      <c r="N351" s="87"/>
      <c r="O351" s="87"/>
      <c r="P351" s="87"/>
      <c r="Q351" s="87"/>
      <c r="R351" s="87"/>
      <c r="S351" s="87"/>
      <c r="T351" s="87"/>
      <c r="U351" s="87"/>
      <c r="V351" s="87"/>
      <c r="W351" s="87"/>
      <c r="X351" s="87"/>
      <c r="Y351" s="87"/>
    </row>
    <row r="352">
      <c r="A352" s="100"/>
      <c r="B352" s="579"/>
      <c r="C352" s="100"/>
      <c r="D352" s="579"/>
      <c r="E352" s="100"/>
      <c r="F352" s="579"/>
      <c r="G352" s="100"/>
      <c r="H352" s="601"/>
      <c r="I352" s="100"/>
      <c r="J352" s="583"/>
      <c r="K352" s="100"/>
      <c r="L352" s="579"/>
      <c r="M352" s="87"/>
      <c r="N352" s="87"/>
      <c r="O352" s="87"/>
      <c r="P352" s="87"/>
      <c r="Q352" s="87"/>
      <c r="R352" s="87"/>
      <c r="S352" s="87"/>
      <c r="T352" s="87"/>
      <c r="U352" s="87"/>
      <c r="V352" s="87"/>
      <c r="W352" s="87"/>
      <c r="X352" s="87"/>
      <c r="Y352" s="87"/>
    </row>
    <row r="353">
      <c r="A353" s="100"/>
      <c r="B353" s="579"/>
      <c r="C353" s="100"/>
      <c r="D353" s="579"/>
      <c r="E353" s="100"/>
      <c r="F353" s="579"/>
      <c r="G353" s="100"/>
      <c r="H353" s="601"/>
      <c r="I353" s="100"/>
      <c r="J353" s="583"/>
      <c r="K353" s="100"/>
      <c r="L353" s="579"/>
      <c r="M353" s="87"/>
      <c r="N353" s="87"/>
      <c r="O353" s="87"/>
      <c r="P353" s="87"/>
      <c r="Q353" s="87"/>
      <c r="R353" s="87"/>
      <c r="S353" s="87"/>
      <c r="T353" s="87"/>
      <c r="U353" s="87"/>
      <c r="V353" s="87"/>
      <c r="W353" s="87"/>
      <c r="X353" s="87"/>
      <c r="Y353" s="87"/>
    </row>
    <row r="354">
      <c r="A354" s="100"/>
      <c r="B354" s="579"/>
      <c r="C354" s="100"/>
      <c r="D354" s="579"/>
      <c r="E354" s="100"/>
      <c r="F354" s="579"/>
      <c r="G354" s="100"/>
      <c r="H354" s="601"/>
      <c r="I354" s="100"/>
      <c r="J354" s="583"/>
      <c r="K354" s="100"/>
      <c r="L354" s="579"/>
      <c r="M354" s="87"/>
      <c r="N354" s="87"/>
      <c r="O354" s="87"/>
      <c r="P354" s="87"/>
      <c r="Q354" s="87"/>
      <c r="R354" s="87"/>
      <c r="S354" s="87"/>
      <c r="T354" s="87"/>
      <c r="U354" s="87"/>
      <c r="V354" s="87"/>
      <c r="W354" s="87"/>
      <c r="X354" s="87"/>
      <c r="Y354" s="87"/>
    </row>
    <row r="355">
      <c r="A355" s="100"/>
      <c r="B355" s="579"/>
      <c r="C355" s="100"/>
      <c r="D355" s="579"/>
      <c r="E355" s="100"/>
      <c r="F355" s="579"/>
      <c r="G355" s="100"/>
      <c r="H355" s="601"/>
      <c r="I355" s="100"/>
      <c r="J355" s="583"/>
      <c r="K355" s="100"/>
      <c r="L355" s="579"/>
      <c r="M355" s="87"/>
      <c r="N355" s="87"/>
      <c r="O355" s="87"/>
      <c r="P355" s="87"/>
      <c r="Q355" s="87"/>
      <c r="R355" s="87"/>
      <c r="S355" s="87"/>
      <c r="T355" s="87"/>
      <c r="U355" s="87"/>
      <c r="V355" s="87"/>
      <c r="W355" s="87"/>
      <c r="X355" s="87"/>
      <c r="Y355" s="87"/>
    </row>
    <row r="356">
      <c r="A356" s="100"/>
      <c r="B356" s="579"/>
      <c r="C356" s="100"/>
      <c r="D356" s="579"/>
      <c r="E356" s="100"/>
      <c r="F356" s="579"/>
      <c r="G356" s="100"/>
      <c r="H356" s="601"/>
      <c r="I356" s="100"/>
      <c r="J356" s="583"/>
      <c r="K356" s="100"/>
      <c r="L356" s="579"/>
      <c r="M356" s="87"/>
      <c r="N356" s="87"/>
      <c r="O356" s="87"/>
      <c r="P356" s="87"/>
      <c r="Q356" s="87"/>
      <c r="R356" s="87"/>
      <c r="S356" s="87"/>
      <c r="T356" s="87"/>
      <c r="U356" s="87"/>
      <c r="V356" s="87"/>
      <c r="W356" s="87"/>
      <c r="X356" s="87"/>
      <c r="Y356" s="87"/>
    </row>
    <row r="357">
      <c r="A357" s="100"/>
      <c r="B357" s="579"/>
      <c r="C357" s="100"/>
      <c r="D357" s="579"/>
      <c r="E357" s="100"/>
      <c r="F357" s="579"/>
      <c r="G357" s="100"/>
      <c r="H357" s="601"/>
      <c r="I357" s="100"/>
      <c r="J357" s="583"/>
      <c r="K357" s="100"/>
      <c r="L357" s="579"/>
      <c r="M357" s="87"/>
      <c r="N357" s="87"/>
      <c r="O357" s="87"/>
      <c r="P357" s="87"/>
      <c r="Q357" s="87"/>
      <c r="R357" s="87"/>
      <c r="S357" s="87"/>
      <c r="T357" s="87"/>
      <c r="U357" s="87"/>
      <c r="V357" s="87"/>
      <c r="W357" s="87"/>
      <c r="X357" s="87"/>
      <c r="Y357" s="87"/>
    </row>
    <row r="358">
      <c r="A358" s="100"/>
      <c r="B358" s="579"/>
      <c r="C358" s="100"/>
      <c r="D358" s="579"/>
      <c r="E358" s="100"/>
      <c r="F358" s="579"/>
      <c r="G358" s="100"/>
      <c r="H358" s="601"/>
      <c r="I358" s="100"/>
      <c r="J358" s="583"/>
      <c r="K358" s="100"/>
      <c r="L358" s="579"/>
      <c r="M358" s="87"/>
      <c r="N358" s="87"/>
      <c r="O358" s="87"/>
      <c r="P358" s="87"/>
      <c r="Q358" s="87"/>
      <c r="R358" s="87"/>
      <c r="S358" s="87"/>
      <c r="T358" s="87"/>
      <c r="U358" s="87"/>
      <c r="V358" s="87"/>
      <c r="W358" s="87"/>
      <c r="X358" s="87"/>
      <c r="Y358" s="87"/>
    </row>
    <row r="359">
      <c r="A359" s="100"/>
      <c r="B359" s="579"/>
      <c r="C359" s="100"/>
      <c r="D359" s="579"/>
      <c r="E359" s="100"/>
      <c r="F359" s="579"/>
      <c r="G359" s="100"/>
      <c r="H359" s="601"/>
      <c r="I359" s="100"/>
      <c r="J359" s="583"/>
      <c r="K359" s="100"/>
      <c r="L359" s="579"/>
      <c r="M359" s="87"/>
      <c r="N359" s="87"/>
      <c r="O359" s="87"/>
      <c r="P359" s="87"/>
      <c r="Q359" s="87"/>
      <c r="R359" s="87"/>
      <c r="S359" s="87"/>
      <c r="T359" s="87"/>
      <c r="U359" s="87"/>
      <c r="V359" s="87"/>
      <c r="W359" s="87"/>
      <c r="X359" s="87"/>
      <c r="Y359" s="87"/>
    </row>
    <row r="360">
      <c r="A360" s="100"/>
      <c r="B360" s="579"/>
      <c r="C360" s="100"/>
      <c r="D360" s="579"/>
      <c r="E360" s="100"/>
      <c r="F360" s="579"/>
      <c r="G360" s="100"/>
      <c r="H360" s="601"/>
      <c r="I360" s="100"/>
      <c r="J360" s="583"/>
      <c r="K360" s="100"/>
      <c r="L360" s="579"/>
      <c r="M360" s="87"/>
      <c r="N360" s="87"/>
      <c r="O360" s="87"/>
      <c r="P360" s="87"/>
      <c r="Q360" s="87"/>
      <c r="R360" s="87"/>
      <c r="S360" s="87"/>
      <c r="T360" s="87"/>
      <c r="U360" s="87"/>
      <c r="V360" s="87"/>
      <c r="W360" s="87"/>
      <c r="X360" s="87"/>
      <c r="Y360" s="87"/>
    </row>
    <row r="361">
      <c r="A361" s="100"/>
      <c r="B361" s="579"/>
      <c r="C361" s="100"/>
      <c r="D361" s="579"/>
      <c r="E361" s="100"/>
      <c r="F361" s="579"/>
      <c r="G361" s="100"/>
      <c r="H361" s="601"/>
      <c r="I361" s="100"/>
      <c r="J361" s="583"/>
      <c r="K361" s="100"/>
      <c r="L361" s="579"/>
      <c r="M361" s="87"/>
      <c r="N361" s="87"/>
      <c r="O361" s="87"/>
      <c r="P361" s="87"/>
      <c r="Q361" s="87"/>
      <c r="R361" s="87"/>
      <c r="S361" s="87"/>
      <c r="T361" s="87"/>
      <c r="U361" s="87"/>
      <c r="V361" s="87"/>
      <c r="W361" s="87"/>
      <c r="X361" s="87"/>
      <c r="Y361" s="87"/>
    </row>
    <row r="362">
      <c r="A362" s="100"/>
      <c r="B362" s="579"/>
      <c r="C362" s="100"/>
      <c r="D362" s="579"/>
      <c r="E362" s="100"/>
      <c r="F362" s="579"/>
      <c r="G362" s="100"/>
      <c r="H362" s="601"/>
      <c r="I362" s="100"/>
      <c r="J362" s="583"/>
      <c r="K362" s="100"/>
      <c r="L362" s="579"/>
      <c r="M362" s="87"/>
      <c r="N362" s="87"/>
      <c r="O362" s="87"/>
      <c r="P362" s="87"/>
      <c r="Q362" s="87"/>
      <c r="R362" s="87"/>
      <c r="S362" s="87"/>
      <c r="T362" s="87"/>
      <c r="U362" s="87"/>
      <c r="V362" s="87"/>
      <c r="W362" s="87"/>
      <c r="X362" s="87"/>
      <c r="Y362" s="87"/>
    </row>
    <row r="363">
      <c r="A363" s="100"/>
      <c r="B363" s="579"/>
      <c r="C363" s="100"/>
      <c r="D363" s="579"/>
      <c r="E363" s="100"/>
      <c r="F363" s="579"/>
      <c r="G363" s="100"/>
      <c r="H363" s="601"/>
      <c r="I363" s="100"/>
      <c r="J363" s="583"/>
      <c r="K363" s="100"/>
      <c r="L363" s="579"/>
      <c r="M363" s="87"/>
      <c r="N363" s="87"/>
      <c r="O363" s="87"/>
      <c r="P363" s="87"/>
      <c r="Q363" s="87"/>
      <c r="R363" s="87"/>
      <c r="S363" s="87"/>
      <c r="T363" s="87"/>
      <c r="U363" s="87"/>
      <c r="V363" s="87"/>
      <c r="W363" s="87"/>
      <c r="X363" s="87"/>
      <c r="Y363" s="87"/>
    </row>
    <row r="364">
      <c r="A364" s="100"/>
      <c r="B364" s="579"/>
      <c r="C364" s="100"/>
      <c r="D364" s="579"/>
      <c r="E364" s="100"/>
      <c r="F364" s="579"/>
      <c r="G364" s="100"/>
      <c r="H364" s="601"/>
      <c r="I364" s="100"/>
      <c r="J364" s="583"/>
      <c r="K364" s="100"/>
      <c r="L364" s="579"/>
      <c r="M364" s="87"/>
      <c r="N364" s="87"/>
      <c r="O364" s="87"/>
      <c r="P364" s="87"/>
      <c r="Q364" s="87"/>
      <c r="R364" s="87"/>
      <c r="S364" s="87"/>
      <c r="T364" s="87"/>
      <c r="U364" s="87"/>
      <c r="V364" s="87"/>
      <c r="W364" s="87"/>
      <c r="X364" s="87"/>
      <c r="Y364" s="87"/>
    </row>
    <row r="365">
      <c r="A365" s="100"/>
      <c r="B365" s="579"/>
      <c r="C365" s="100"/>
      <c r="D365" s="579"/>
      <c r="E365" s="100"/>
      <c r="F365" s="579"/>
      <c r="G365" s="100"/>
      <c r="H365" s="601"/>
      <c r="I365" s="100"/>
      <c r="J365" s="583"/>
      <c r="K365" s="100"/>
      <c r="L365" s="579"/>
      <c r="M365" s="87"/>
      <c r="N365" s="87"/>
      <c r="O365" s="87"/>
      <c r="P365" s="87"/>
      <c r="Q365" s="87"/>
      <c r="R365" s="87"/>
      <c r="S365" s="87"/>
      <c r="T365" s="87"/>
      <c r="U365" s="87"/>
      <c r="V365" s="87"/>
      <c r="W365" s="87"/>
      <c r="X365" s="87"/>
      <c r="Y365" s="87"/>
    </row>
    <row r="366">
      <c r="A366" s="100"/>
      <c r="B366" s="579"/>
      <c r="C366" s="100"/>
      <c r="D366" s="579"/>
      <c r="E366" s="100"/>
      <c r="F366" s="579"/>
      <c r="G366" s="100"/>
      <c r="H366" s="601"/>
      <c r="I366" s="100"/>
      <c r="J366" s="583"/>
      <c r="K366" s="100"/>
      <c r="L366" s="579"/>
      <c r="M366" s="87"/>
      <c r="N366" s="87"/>
      <c r="O366" s="87"/>
      <c r="P366" s="87"/>
      <c r="Q366" s="87"/>
      <c r="R366" s="87"/>
      <c r="S366" s="87"/>
      <c r="T366" s="87"/>
      <c r="U366" s="87"/>
      <c r="V366" s="87"/>
      <c r="W366" s="87"/>
      <c r="X366" s="87"/>
      <c r="Y366" s="87"/>
    </row>
    <row r="367">
      <c r="A367" s="100"/>
      <c r="B367" s="579"/>
      <c r="C367" s="100"/>
      <c r="D367" s="579"/>
      <c r="E367" s="100"/>
      <c r="F367" s="579"/>
      <c r="G367" s="100"/>
      <c r="H367" s="601"/>
      <c r="I367" s="100"/>
      <c r="J367" s="583"/>
      <c r="K367" s="100"/>
      <c r="L367" s="579"/>
      <c r="M367" s="87"/>
      <c r="N367" s="87"/>
      <c r="O367" s="87"/>
      <c r="P367" s="87"/>
      <c r="Q367" s="87"/>
      <c r="R367" s="87"/>
      <c r="S367" s="87"/>
      <c r="T367" s="87"/>
      <c r="U367" s="87"/>
      <c r="V367" s="87"/>
      <c r="W367" s="87"/>
      <c r="X367" s="87"/>
      <c r="Y367" s="87"/>
    </row>
    <row r="368">
      <c r="A368" s="100"/>
      <c r="B368" s="579"/>
      <c r="C368" s="100"/>
      <c r="D368" s="579"/>
      <c r="E368" s="100"/>
      <c r="F368" s="579"/>
      <c r="G368" s="100"/>
      <c r="H368" s="601"/>
      <c r="I368" s="100"/>
      <c r="J368" s="583"/>
      <c r="K368" s="100"/>
      <c r="L368" s="579"/>
      <c r="M368" s="87"/>
      <c r="N368" s="87"/>
      <c r="O368" s="87"/>
      <c r="P368" s="87"/>
      <c r="Q368" s="87"/>
      <c r="R368" s="87"/>
      <c r="S368" s="87"/>
      <c r="T368" s="87"/>
      <c r="U368" s="87"/>
      <c r="V368" s="87"/>
      <c r="W368" s="87"/>
      <c r="X368" s="87"/>
      <c r="Y368" s="87"/>
    </row>
    <row r="369">
      <c r="A369" s="100"/>
      <c r="B369" s="579"/>
      <c r="C369" s="100"/>
      <c r="D369" s="579"/>
      <c r="E369" s="100"/>
      <c r="F369" s="579"/>
      <c r="G369" s="100"/>
      <c r="H369" s="601"/>
      <c r="I369" s="100"/>
      <c r="J369" s="583"/>
      <c r="K369" s="100"/>
      <c r="L369" s="579"/>
      <c r="M369" s="87"/>
      <c r="N369" s="87"/>
      <c r="O369" s="87"/>
      <c r="P369" s="87"/>
      <c r="Q369" s="87"/>
      <c r="R369" s="87"/>
      <c r="S369" s="87"/>
      <c r="T369" s="87"/>
      <c r="U369" s="87"/>
      <c r="V369" s="87"/>
      <c r="W369" s="87"/>
      <c r="X369" s="87"/>
      <c r="Y369" s="87"/>
    </row>
    <row r="370">
      <c r="A370" s="100"/>
      <c r="B370" s="579"/>
      <c r="C370" s="100"/>
      <c r="D370" s="579"/>
      <c r="E370" s="100"/>
      <c r="F370" s="579"/>
      <c r="G370" s="100"/>
      <c r="H370" s="601"/>
      <c r="I370" s="100"/>
      <c r="J370" s="583"/>
      <c r="K370" s="100"/>
      <c r="L370" s="579"/>
      <c r="M370" s="87"/>
      <c r="N370" s="87"/>
      <c r="O370" s="87"/>
      <c r="P370" s="87"/>
      <c r="Q370" s="87"/>
      <c r="R370" s="87"/>
      <c r="S370" s="87"/>
      <c r="T370" s="87"/>
      <c r="U370" s="87"/>
      <c r="V370" s="87"/>
      <c r="W370" s="87"/>
      <c r="X370" s="87"/>
      <c r="Y370" s="87"/>
    </row>
    <row r="371">
      <c r="A371" s="100"/>
      <c r="B371" s="579"/>
      <c r="C371" s="100"/>
      <c r="D371" s="579"/>
      <c r="E371" s="100"/>
      <c r="F371" s="579"/>
      <c r="G371" s="100"/>
      <c r="H371" s="601"/>
      <c r="I371" s="100"/>
      <c r="J371" s="583"/>
      <c r="K371" s="100"/>
      <c r="L371" s="579"/>
      <c r="M371" s="87"/>
      <c r="N371" s="87"/>
      <c r="O371" s="87"/>
      <c r="P371" s="87"/>
      <c r="Q371" s="87"/>
      <c r="R371" s="87"/>
      <c r="S371" s="87"/>
      <c r="T371" s="87"/>
      <c r="U371" s="87"/>
      <c r="V371" s="87"/>
      <c r="W371" s="87"/>
      <c r="X371" s="87"/>
      <c r="Y371" s="87"/>
    </row>
    <row r="372">
      <c r="A372" s="100"/>
      <c r="B372" s="579"/>
      <c r="C372" s="100"/>
      <c r="D372" s="579"/>
      <c r="E372" s="100"/>
      <c r="F372" s="579"/>
      <c r="G372" s="100"/>
      <c r="H372" s="601"/>
      <c r="I372" s="100"/>
      <c r="J372" s="583"/>
      <c r="K372" s="100"/>
      <c r="L372" s="579"/>
      <c r="M372" s="87"/>
      <c r="N372" s="87"/>
      <c r="O372" s="87"/>
      <c r="P372" s="87"/>
      <c r="Q372" s="87"/>
      <c r="R372" s="87"/>
      <c r="S372" s="87"/>
      <c r="T372" s="87"/>
      <c r="U372" s="87"/>
      <c r="V372" s="87"/>
      <c r="W372" s="87"/>
      <c r="X372" s="87"/>
      <c r="Y372" s="87"/>
    </row>
    <row r="373">
      <c r="A373" s="100"/>
      <c r="B373" s="579"/>
      <c r="C373" s="100"/>
      <c r="D373" s="579"/>
      <c r="E373" s="100"/>
      <c r="F373" s="579"/>
      <c r="G373" s="100"/>
      <c r="H373" s="601"/>
      <c r="I373" s="100"/>
      <c r="J373" s="583"/>
      <c r="K373" s="100"/>
      <c r="L373" s="579"/>
      <c r="M373" s="87"/>
      <c r="N373" s="87"/>
      <c r="O373" s="87"/>
      <c r="P373" s="87"/>
      <c r="Q373" s="87"/>
      <c r="R373" s="87"/>
      <c r="S373" s="87"/>
      <c r="T373" s="87"/>
      <c r="U373" s="87"/>
      <c r="V373" s="87"/>
      <c r="W373" s="87"/>
      <c r="X373" s="87"/>
      <c r="Y373" s="87"/>
    </row>
    <row r="374">
      <c r="A374" s="100"/>
      <c r="B374" s="579"/>
      <c r="C374" s="100"/>
      <c r="D374" s="579"/>
      <c r="E374" s="100"/>
      <c r="F374" s="579"/>
      <c r="G374" s="100"/>
      <c r="H374" s="601"/>
      <c r="I374" s="100"/>
      <c r="J374" s="583"/>
      <c r="K374" s="100"/>
      <c r="L374" s="579"/>
      <c r="M374" s="87"/>
      <c r="N374" s="87"/>
      <c r="O374" s="87"/>
      <c r="P374" s="87"/>
      <c r="Q374" s="87"/>
      <c r="R374" s="87"/>
      <c r="S374" s="87"/>
      <c r="T374" s="87"/>
      <c r="U374" s="87"/>
      <c r="V374" s="87"/>
      <c r="W374" s="87"/>
      <c r="X374" s="87"/>
      <c r="Y374" s="87"/>
    </row>
    <row r="375">
      <c r="A375" s="100"/>
      <c r="B375" s="579"/>
      <c r="C375" s="100"/>
      <c r="D375" s="579"/>
      <c r="E375" s="100"/>
      <c r="F375" s="579"/>
      <c r="G375" s="100"/>
      <c r="H375" s="601"/>
      <c r="I375" s="100"/>
      <c r="J375" s="583"/>
      <c r="K375" s="100"/>
      <c r="L375" s="579"/>
      <c r="M375" s="87"/>
      <c r="N375" s="87"/>
      <c r="O375" s="87"/>
      <c r="P375" s="87"/>
      <c r="Q375" s="87"/>
      <c r="R375" s="87"/>
      <c r="S375" s="87"/>
      <c r="T375" s="87"/>
      <c r="U375" s="87"/>
      <c r="V375" s="87"/>
      <c r="W375" s="87"/>
      <c r="X375" s="87"/>
      <c r="Y375" s="87"/>
    </row>
    <row r="376">
      <c r="A376" s="100"/>
      <c r="B376" s="579"/>
      <c r="C376" s="100"/>
      <c r="D376" s="579"/>
      <c r="E376" s="100"/>
      <c r="F376" s="579"/>
      <c r="G376" s="100"/>
      <c r="H376" s="601"/>
      <c r="I376" s="100"/>
      <c r="J376" s="583"/>
      <c r="K376" s="100"/>
      <c r="L376" s="579"/>
      <c r="M376" s="87"/>
      <c r="N376" s="87"/>
      <c r="O376" s="87"/>
      <c r="P376" s="87"/>
      <c r="Q376" s="87"/>
      <c r="R376" s="87"/>
      <c r="S376" s="87"/>
      <c r="T376" s="87"/>
      <c r="U376" s="87"/>
      <c r="V376" s="87"/>
      <c r="W376" s="87"/>
      <c r="X376" s="87"/>
      <c r="Y376" s="87"/>
    </row>
    <row r="377">
      <c r="A377" s="100"/>
      <c r="B377" s="579"/>
      <c r="C377" s="100"/>
      <c r="D377" s="579"/>
      <c r="E377" s="100"/>
      <c r="F377" s="579"/>
      <c r="G377" s="100"/>
      <c r="H377" s="601"/>
      <c r="I377" s="100"/>
      <c r="J377" s="583"/>
      <c r="K377" s="100"/>
      <c r="L377" s="579"/>
      <c r="M377" s="87"/>
      <c r="N377" s="87"/>
      <c r="O377" s="87"/>
      <c r="P377" s="87"/>
      <c r="Q377" s="87"/>
      <c r="R377" s="87"/>
      <c r="S377" s="87"/>
      <c r="T377" s="87"/>
      <c r="U377" s="87"/>
      <c r="V377" s="87"/>
      <c r="W377" s="87"/>
      <c r="X377" s="87"/>
      <c r="Y377" s="87"/>
    </row>
    <row r="378">
      <c r="A378" s="100"/>
      <c r="B378" s="579"/>
      <c r="C378" s="100"/>
      <c r="D378" s="579"/>
      <c r="E378" s="100"/>
      <c r="F378" s="579"/>
      <c r="G378" s="100"/>
      <c r="H378" s="601"/>
      <c r="I378" s="100"/>
      <c r="J378" s="583"/>
      <c r="K378" s="100"/>
      <c r="L378" s="579"/>
      <c r="M378" s="87"/>
      <c r="N378" s="87"/>
      <c r="O378" s="87"/>
      <c r="P378" s="87"/>
      <c r="Q378" s="87"/>
      <c r="R378" s="87"/>
      <c r="S378" s="87"/>
      <c r="T378" s="87"/>
      <c r="U378" s="87"/>
      <c r="V378" s="87"/>
      <c r="W378" s="87"/>
      <c r="X378" s="87"/>
      <c r="Y378" s="87"/>
    </row>
    <row r="379">
      <c r="A379" s="100"/>
      <c r="B379" s="579"/>
      <c r="C379" s="100"/>
      <c r="D379" s="579"/>
      <c r="E379" s="100"/>
      <c r="F379" s="579"/>
      <c r="G379" s="100"/>
      <c r="H379" s="601"/>
      <c r="I379" s="100"/>
      <c r="J379" s="583"/>
      <c r="K379" s="100"/>
      <c r="L379" s="579"/>
      <c r="M379" s="87"/>
      <c r="N379" s="87"/>
      <c r="O379" s="87"/>
      <c r="P379" s="87"/>
      <c r="Q379" s="87"/>
      <c r="R379" s="87"/>
      <c r="S379" s="87"/>
      <c r="T379" s="87"/>
      <c r="U379" s="87"/>
      <c r="V379" s="87"/>
      <c r="W379" s="87"/>
      <c r="X379" s="87"/>
      <c r="Y379" s="87"/>
    </row>
    <row r="380">
      <c r="A380" s="100"/>
      <c r="B380" s="579"/>
      <c r="C380" s="100"/>
      <c r="D380" s="579"/>
      <c r="E380" s="100"/>
      <c r="F380" s="579"/>
      <c r="G380" s="100"/>
      <c r="H380" s="601"/>
      <c r="I380" s="100"/>
      <c r="J380" s="583"/>
      <c r="K380" s="100"/>
      <c r="L380" s="579"/>
      <c r="M380" s="87"/>
      <c r="N380" s="87"/>
      <c r="O380" s="87"/>
      <c r="P380" s="87"/>
      <c r="Q380" s="87"/>
      <c r="R380" s="87"/>
      <c r="S380" s="87"/>
      <c r="T380" s="87"/>
      <c r="U380" s="87"/>
      <c r="V380" s="87"/>
      <c r="W380" s="87"/>
      <c r="X380" s="87"/>
      <c r="Y380" s="87"/>
    </row>
    <row r="381">
      <c r="A381" s="100"/>
      <c r="B381" s="579"/>
      <c r="C381" s="100"/>
      <c r="D381" s="579"/>
      <c r="E381" s="100"/>
      <c r="F381" s="579"/>
      <c r="G381" s="100"/>
      <c r="H381" s="601"/>
      <c r="I381" s="100"/>
      <c r="J381" s="583"/>
      <c r="K381" s="100"/>
      <c r="L381" s="579"/>
      <c r="M381" s="87"/>
      <c r="N381" s="87"/>
      <c r="O381" s="87"/>
      <c r="P381" s="87"/>
      <c r="Q381" s="87"/>
      <c r="R381" s="87"/>
      <c r="S381" s="87"/>
      <c r="T381" s="87"/>
      <c r="U381" s="87"/>
      <c r="V381" s="87"/>
      <c r="W381" s="87"/>
      <c r="X381" s="87"/>
      <c r="Y381" s="87"/>
    </row>
    <row r="382">
      <c r="A382" s="100"/>
      <c r="B382" s="579"/>
      <c r="C382" s="100"/>
      <c r="D382" s="579"/>
      <c r="E382" s="100"/>
      <c r="F382" s="579"/>
      <c r="G382" s="100"/>
      <c r="H382" s="601"/>
      <c r="I382" s="100"/>
      <c r="J382" s="583"/>
      <c r="K382" s="100"/>
      <c r="L382" s="579"/>
      <c r="M382" s="87"/>
      <c r="N382" s="87"/>
      <c r="O382" s="87"/>
      <c r="P382" s="87"/>
      <c r="Q382" s="87"/>
      <c r="R382" s="87"/>
      <c r="S382" s="87"/>
      <c r="T382" s="87"/>
      <c r="U382" s="87"/>
      <c r="V382" s="87"/>
      <c r="W382" s="87"/>
      <c r="X382" s="87"/>
      <c r="Y382" s="87"/>
    </row>
    <row r="383">
      <c r="A383" s="100"/>
      <c r="B383" s="579"/>
      <c r="C383" s="100"/>
      <c r="D383" s="579"/>
      <c r="E383" s="100"/>
      <c r="F383" s="579"/>
      <c r="G383" s="100"/>
      <c r="H383" s="601"/>
      <c r="I383" s="100"/>
      <c r="J383" s="583"/>
      <c r="K383" s="100"/>
      <c r="L383" s="579"/>
      <c r="M383" s="87"/>
      <c r="N383" s="87"/>
      <c r="O383" s="87"/>
      <c r="P383" s="87"/>
      <c r="Q383" s="87"/>
      <c r="R383" s="87"/>
      <c r="S383" s="87"/>
      <c r="T383" s="87"/>
      <c r="U383" s="87"/>
      <c r="V383" s="87"/>
      <c r="W383" s="87"/>
      <c r="X383" s="87"/>
      <c r="Y383" s="87"/>
    </row>
    <row r="384">
      <c r="A384" s="100"/>
      <c r="B384" s="579"/>
      <c r="C384" s="100"/>
      <c r="D384" s="579"/>
      <c r="E384" s="100"/>
      <c r="F384" s="579"/>
      <c r="G384" s="100"/>
      <c r="H384" s="601"/>
      <c r="I384" s="100"/>
      <c r="J384" s="583"/>
      <c r="K384" s="100"/>
      <c r="L384" s="579"/>
      <c r="M384" s="87"/>
      <c r="N384" s="87"/>
      <c r="O384" s="87"/>
      <c r="P384" s="87"/>
      <c r="Q384" s="87"/>
      <c r="R384" s="87"/>
      <c r="S384" s="87"/>
      <c r="T384" s="87"/>
      <c r="U384" s="87"/>
      <c r="V384" s="87"/>
      <c r="W384" s="87"/>
      <c r="X384" s="87"/>
      <c r="Y384" s="87"/>
    </row>
    <row r="385">
      <c r="A385" s="100"/>
      <c r="B385" s="579"/>
      <c r="C385" s="100"/>
      <c r="D385" s="579"/>
      <c r="E385" s="100"/>
      <c r="F385" s="579"/>
      <c r="G385" s="100"/>
      <c r="H385" s="601"/>
      <c r="I385" s="100"/>
      <c r="J385" s="583"/>
      <c r="K385" s="100"/>
      <c r="L385" s="579"/>
      <c r="M385" s="87"/>
      <c r="N385" s="87"/>
      <c r="O385" s="87"/>
      <c r="P385" s="87"/>
      <c r="Q385" s="87"/>
      <c r="R385" s="87"/>
      <c r="S385" s="87"/>
      <c r="T385" s="87"/>
      <c r="U385" s="87"/>
      <c r="V385" s="87"/>
      <c r="W385" s="87"/>
      <c r="X385" s="87"/>
      <c r="Y385" s="87"/>
    </row>
    <row r="386">
      <c r="A386" s="100"/>
      <c r="B386" s="579"/>
      <c r="C386" s="100"/>
      <c r="D386" s="579"/>
      <c r="E386" s="100"/>
      <c r="F386" s="579"/>
      <c r="G386" s="100"/>
      <c r="H386" s="601"/>
      <c r="I386" s="100"/>
      <c r="J386" s="583"/>
      <c r="K386" s="100"/>
      <c r="L386" s="579"/>
      <c r="M386" s="87"/>
      <c r="N386" s="87"/>
      <c r="O386" s="87"/>
      <c r="P386" s="87"/>
      <c r="Q386" s="87"/>
      <c r="R386" s="87"/>
      <c r="S386" s="87"/>
      <c r="T386" s="87"/>
      <c r="U386" s="87"/>
      <c r="V386" s="87"/>
      <c r="W386" s="87"/>
      <c r="X386" s="87"/>
      <c r="Y386" s="87"/>
    </row>
    <row r="387">
      <c r="A387" s="100"/>
      <c r="B387" s="579"/>
      <c r="C387" s="100"/>
      <c r="D387" s="579"/>
      <c r="E387" s="100"/>
      <c r="F387" s="579"/>
      <c r="G387" s="100"/>
      <c r="H387" s="601"/>
      <c r="I387" s="100"/>
      <c r="J387" s="583"/>
      <c r="K387" s="100"/>
      <c r="L387" s="579"/>
      <c r="M387" s="87"/>
      <c r="N387" s="87"/>
      <c r="O387" s="87"/>
      <c r="P387" s="87"/>
      <c r="Q387" s="87"/>
      <c r="R387" s="87"/>
      <c r="S387" s="87"/>
      <c r="T387" s="87"/>
      <c r="U387" s="87"/>
      <c r="V387" s="87"/>
      <c r="W387" s="87"/>
      <c r="X387" s="87"/>
      <c r="Y387" s="87"/>
    </row>
    <row r="388">
      <c r="A388" s="100"/>
      <c r="B388" s="579"/>
      <c r="C388" s="100"/>
      <c r="D388" s="579"/>
      <c r="E388" s="100"/>
      <c r="F388" s="579"/>
      <c r="G388" s="100"/>
      <c r="H388" s="601"/>
      <c r="I388" s="100"/>
      <c r="J388" s="583"/>
      <c r="K388" s="100"/>
      <c r="L388" s="579"/>
      <c r="M388" s="87"/>
      <c r="N388" s="87"/>
      <c r="O388" s="87"/>
      <c r="P388" s="87"/>
      <c r="Q388" s="87"/>
      <c r="R388" s="87"/>
      <c r="S388" s="87"/>
      <c r="T388" s="87"/>
      <c r="U388" s="87"/>
      <c r="V388" s="87"/>
      <c r="W388" s="87"/>
      <c r="X388" s="87"/>
      <c r="Y388" s="87"/>
    </row>
    <row r="389">
      <c r="A389" s="100"/>
      <c r="B389" s="579"/>
      <c r="C389" s="100"/>
      <c r="D389" s="579"/>
      <c r="E389" s="100"/>
      <c r="F389" s="579"/>
      <c r="G389" s="100"/>
      <c r="H389" s="601"/>
      <c r="I389" s="100"/>
      <c r="J389" s="583"/>
      <c r="K389" s="100"/>
      <c r="L389" s="579"/>
      <c r="M389" s="87"/>
      <c r="N389" s="87"/>
      <c r="O389" s="87"/>
      <c r="P389" s="87"/>
      <c r="Q389" s="87"/>
      <c r="R389" s="87"/>
      <c r="S389" s="87"/>
      <c r="T389" s="87"/>
      <c r="U389" s="87"/>
      <c r="V389" s="87"/>
      <c r="W389" s="87"/>
      <c r="X389" s="87"/>
      <c r="Y389" s="87"/>
    </row>
    <row r="390">
      <c r="A390" s="100"/>
      <c r="B390" s="579"/>
      <c r="C390" s="100"/>
      <c r="D390" s="579"/>
      <c r="E390" s="100"/>
      <c r="F390" s="579"/>
      <c r="G390" s="100"/>
      <c r="H390" s="601"/>
      <c r="I390" s="100"/>
      <c r="J390" s="583"/>
      <c r="K390" s="100"/>
      <c r="L390" s="579"/>
      <c r="M390" s="87"/>
      <c r="N390" s="87"/>
      <c r="O390" s="87"/>
      <c r="P390" s="87"/>
      <c r="Q390" s="87"/>
      <c r="R390" s="87"/>
      <c r="S390" s="87"/>
      <c r="T390" s="87"/>
      <c r="U390" s="87"/>
      <c r="V390" s="87"/>
      <c r="W390" s="87"/>
      <c r="X390" s="87"/>
      <c r="Y390" s="87"/>
    </row>
    <row r="391">
      <c r="A391" s="100"/>
      <c r="B391" s="579"/>
      <c r="C391" s="100"/>
      <c r="D391" s="579"/>
      <c r="E391" s="100"/>
      <c r="F391" s="579"/>
      <c r="G391" s="100"/>
      <c r="H391" s="601"/>
      <c r="I391" s="100"/>
      <c r="J391" s="583"/>
      <c r="K391" s="100"/>
      <c r="L391" s="579"/>
      <c r="M391" s="87"/>
      <c r="N391" s="87"/>
      <c r="O391" s="87"/>
      <c r="P391" s="87"/>
      <c r="Q391" s="87"/>
      <c r="R391" s="87"/>
      <c r="S391" s="87"/>
      <c r="T391" s="87"/>
      <c r="U391" s="87"/>
      <c r="V391" s="87"/>
      <c r="W391" s="87"/>
      <c r="X391" s="87"/>
      <c r="Y391" s="87"/>
    </row>
    <row r="392">
      <c r="A392" s="100"/>
      <c r="B392" s="579"/>
      <c r="C392" s="100"/>
      <c r="D392" s="579"/>
      <c r="E392" s="100"/>
      <c r="F392" s="579"/>
      <c r="G392" s="100"/>
      <c r="H392" s="601"/>
      <c r="I392" s="100"/>
      <c r="J392" s="583"/>
      <c r="K392" s="100"/>
      <c r="L392" s="579"/>
      <c r="M392" s="87"/>
      <c r="N392" s="87"/>
      <c r="O392" s="87"/>
      <c r="P392" s="87"/>
      <c r="Q392" s="87"/>
      <c r="R392" s="87"/>
      <c r="S392" s="87"/>
      <c r="T392" s="87"/>
      <c r="U392" s="87"/>
      <c r="V392" s="87"/>
      <c r="W392" s="87"/>
      <c r="X392" s="87"/>
      <c r="Y392" s="87"/>
    </row>
    <row r="393">
      <c r="A393" s="100"/>
      <c r="B393" s="579"/>
      <c r="C393" s="100"/>
      <c r="D393" s="579"/>
      <c r="E393" s="100"/>
      <c r="F393" s="579"/>
      <c r="G393" s="100"/>
      <c r="H393" s="601"/>
      <c r="I393" s="100"/>
      <c r="J393" s="583"/>
      <c r="K393" s="100"/>
      <c r="L393" s="579"/>
      <c r="M393" s="87"/>
      <c r="N393" s="87"/>
      <c r="O393" s="87"/>
      <c r="P393" s="87"/>
      <c r="Q393" s="87"/>
      <c r="R393" s="87"/>
      <c r="S393" s="87"/>
      <c r="T393" s="87"/>
      <c r="U393" s="87"/>
      <c r="V393" s="87"/>
      <c r="W393" s="87"/>
      <c r="X393" s="87"/>
      <c r="Y393" s="87"/>
    </row>
    <row r="394">
      <c r="A394" s="100"/>
      <c r="B394" s="579"/>
      <c r="C394" s="100"/>
      <c r="D394" s="579"/>
      <c r="E394" s="100"/>
      <c r="F394" s="579"/>
      <c r="G394" s="100"/>
      <c r="H394" s="601"/>
      <c r="I394" s="100"/>
      <c r="J394" s="583"/>
      <c r="K394" s="100"/>
      <c r="L394" s="579"/>
      <c r="M394" s="87"/>
      <c r="N394" s="87"/>
      <c r="O394" s="87"/>
      <c r="P394" s="87"/>
      <c r="Q394" s="87"/>
      <c r="R394" s="87"/>
      <c r="S394" s="87"/>
      <c r="T394" s="87"/>
      <c r="U394" s="87"/>
      <c r="V394" s="87"/>
      <c r="W394" s="87"/>
      <c r="X394" s="87"/>
      <c r="Y394" s="87"/>
    </row>
    <row r="395">
      <c r="A395" s="100"/>
      <c r="B395" s="579"/>
      <c r="C395" s="100"/>
      <c r="D395" s="579"/>
      <c r="E395" s="100"/>
      <c r="F395" s="579"/>
      <c r="G395" s="100"/>
      <c r="H395" s="601"/>
      <c r="I395" s="100"/>
      <c r="J395" s="583"/>
      <c r="K395" s="100"/>
      <c r="L395" s="579"/>
      <c r="M395" s="87"/>
      <c r="N395" s="87"/>
      <c r="O395" s="87"/>
      <c r="P395" s="87"/>
      <c r="Q395" s="87"/>
      <c r="R395" s="87"/>
      <c r="S395" s="87"/>
      <c r="T395" s="87"/>
      <c r="U395" s="87"/>
      <c r="V395" s="87"/>
      <c r="W395" s="87"/>
      <c r="X395" s="87"/>
      <c r="Y395" s="87"/>
    </row>
    <row r="396">
      <c r="A396" s="100"/>
      <c r="B396" s="579"/>
      <c r="C396" s="100"/>
      <c r="D396" s="579"/>
      <c r="E396" s="100"/>
      <c r="F396" s="579"/>
      <c r="G396" s="100"/>
      <c r="H396" s="601"/>
      <c r="I396" s="100"/>
      <c r="J396" s="583"/>
      <c r="K396" s="100"/>
      <c r="L396" s="579"/>
      <c r="M396" s="87"/>
      <c r="N396" s="87"/>
      <c r="O396" s="87"/>
      <c r="P396" s="87"/>
      <c r="Q396" s="87"/>
      <c r="R396" s="87"/>
      <c r="S396" s="87"/>
      <c r="T396" s="87"/>
      <c r="U396" s="87"/>
      <c r="V396" s="87"/>
      <c r="W396" s="87"/>
      <c r="X396" s="87"/>
      <c r="Y396" s="87"/>
    </row>
    <row r="397">
      <c r="A397" s="100"/>
      <c r="B397" s="579"/>
      <c r="C397" s="100"/>
      <c r="D397" s="579"/>
      <c r="E397" s="100"/>
      <c r="F397" s="579"/>
      <c r="G397" s="100"/>
      <c r="H397" s="601"/>
      <c r="I397" s="100"/>
      <c r="J397" s="583"/>
      <c r="K397" s="100"/>
      <c r="L397" s="579"/>
      <c r="M397" s="87"/>
      <c r="N397" s="87"/>
      <c r="O397" s="87"/>
      <c r="P397" s="87"/>
      <c r="Q397" s="87"/>
      <c r="R397" s="87"/>
      <c r="S397" s="87"/>
      <c r="T397" s="87"/>
      <c r="U397" s="87"/>
      <c r="V397" s="87"/>
      <c r="W397" s="87"/>
      <c r="X397" s="87"/>
      <c r="Y397" s="87"/>
    </row>
    <row r="398">
      <c r="A398" s="100"/>
      <c r="B398" s="579"/>
      <c r="C398" s="100"/>
      <c r="D398" s="579"/>
      <c r="E398" s="100"/>
      <c r="F398" s="579"/>
      <c r="G398" s="100"/>
      <c r="H398" s="601"/>
      <c r="I398" s="100"/>
      <c r="J398" s="583"/>
      <c r="K398" s="100"/>
      <c r="L398" s="579"/>
      <c r="M398" s="87"/>
      <c r="N398" s="87"/>
      <c r="O398" s="87"/>
      <c r="P398" s="87"/>
      <c r="Q398" s="87"/>
      <c r="R398" s="87"/>
      <c r="S398" s="87"/>
      <c r="T398" s="87"/>
      <c r="U398" s="87"/>
      <c r="V398" s="87"/>
      <c r="W398" s="87"/>
      <c r="X398" s="87"/>
      <c r="Y398" s="87"/>
    </row>
    <row r="399">
      <c r="A399" s="100"/>
      <c r="B399" s="579"/>
      <c r="C399" s="100"/>
      <c r="D399" s="579"/>
      <c r="E399" s="100"/>
      <c r="F399" s="579"/>
      <c r="G399" s="100"/>
      <c r="H399" s="601"/>
      <c r="I399" s="100"/>
      <c r="J399" s="583"/>
      <c r="K399" s="100"/>
      <c r="L399" s="579"/>
      <c r="M399" s="87"/>
      <c r="N399" s="87"/>
      <c r="O399" s="87"/>
      <c r="P399" s="87"/>
      <c r="Q399" s="87"/>
      <c r="R399" s="87"/>
      <c r="S399" s="87"/>
      <c r="T399" s="87"/>
      <c r="U399" s="87"/>
      <c r="V399" s="87"/>
      <c r="W399" s="87"/>
      <c r="X399" s="87"/>
      <c r="Y399" s="87"/>
    </row>
    <row r="400">
      <c r="A400" s="100"/>
      <c r="B400" s="579"/>
      <c r="C400" s="100"/>
      <c r="D400" s="579"/>
      <c r="E400" s="100"/>
      <c r="F400" s="579"/>
      <c r="G400" s="100"/>
      <c r="H400" s="601"/>
      <c r="I400" s="100"/>
      <c r="J400" s="583"/>
      <c r="K400" s="100"/>
      <c r="L400" s="579"/>
      <c r="M400" s="87"/>
      <c r="N400" s="87"/>
      <c r="O400" s="87"/>
      <c r="P400" s="87"/>
      <c r="Q400" s="87"/>
      <c r="R400" s="87"/>
      <c r="S400" s="87"/>
      <c r="T400" s="87"/>
      <c r="U400" s="87"/>
      <c r="V400" s="87"/>
      <c r="W400" s="87"/>
      <c r="X400" s="87"/>
      <c r="Y400" s="87"/>
    </row>
    <row r="401">
      <c r="A401" s="100"/>
      <c r="B401" s="579"/>
      <c r="C401" s="100"/>
      <c r="D401" s="579"/>
      <c r="E401" s="100"/>
      <c r="F401" s="579"/>
      <c r="G401" s="100"/>
      <c r="H401" s="601"/>
      <c r="I401" s="100"/>
      <c r="J401" s="583"/>
      <c r="K401" s="100"/>
      <c r="L401" s="579"/>
      <c r="M401" s="87"/>
      <c r="N401" s="87"/>
      <c r="O401" s="87"/>
      <c r="P401" s="87"/>
      <c r="Q401" s="87"/>
      <c r="R401" s="87"/>
      <c r="S401" s="87"/>
      <c r="T401" s="87"/>
      <c r="U401" s="87"/>
      <c r="V401" s="87"/>
      <c r="W401" s="87"/>
      <c r="X401" s="87"/>
      <c r="Y401" s="87"/>
    </row>
    <row r="402">
      <c r="A402" s="100"/>
      <c r="B402" s="579"/>
      <c r="C402" s="100"/>
      <c r="D402" s="579"/>
      <c r="E402" s="100"/>
      <c r="F402" s="579"/>
      <c r="G402" s="100"/>
      <c r="H402" s="601"/>
      <c r="I402" s="100"/>
      <c r="J402" s="583"/>
      <c r="K402" s="100"/>
      <c r="L402" s="579"/>
      <c r="M402" s="87"/>
      <c r="N402" s="87"/>
      <c r="O402" s="87"/>
      <c r="P402" s="87"/>
      <c r="Q402" s="87"/>
      <c r="R402" s="87"/>
      <c r="S402" s="87"/>
      <c r="T402" s="87"/>
      <c r="U402" s="87"/>
      <c r="V402" s="87"/>
      <c r="W402" s="87"/>
      <c r="X402" s="87"/>
      <c r="Y402" s="87"/>
    </row>
    <row r="403">
      <c r="A403" s="100"/>
      <c r="B403" s="579"/>
      <c r="C403" s="100"/>
      <c r="D403" s="579"/>
      <c r="E403" s="100"/>
      <c r="F403" s="579"/>
      <c r="G403" s="100"/>
      <c r="H403" s="601"/>
      <c r="I403" s="100"/>
      <c r="J403" s="583"/>
      <c r="K403" s="100"/>
      <c r="L403" s="579"/>
      <c r="M403" s="87"/>
      <c r="N403" s="87"/>
      <c r="O403" s="87"/>
      <c r="P403" s="87"/>
      <c r="Q403" s="87"/>
      <c r="R403" s="87"/>
      <c r="S403" s="87"/>
      <c r="T403" s="87"/>
      <c r="U403" s="87"/>
      <c r="V403" s="87"/>
      <c r="W403" s="87"/>
      <c r="X403" s="87"/>
      <c r="Y403" s="87"/>
    </row>
    <row r="404">
      <c r="A404" s="100"/>
      <c r="B404" s="579"/>
      <c r="C404" s="100"/>
      <c r="D404" s="579"/>
      <c r="E404" s="100"/>
      <c r="F404" s="579"/>
      <c r="G404" s="100"/>
      <c r="H404" s="601"/>
      <c r="I404" s="100"/>
      <c r="J404" s="583"/>
      <c r="K404" s="100"/>
      <c r="L404" s="579"/>
      <c r="M404" s="87"/>
      <c r="N404" s="87"/>
      <c r="O404" s="87"/>
      <c r="P404" s="87"/>
      <c r="Q404" s="87"/>
      <c r="R404" s="87"/>
      <c r="S404" s="87"/>
      <c r="T404" s="87"/>
      <c r="U404" s="87"/>
      <c r="V404" s="87"/>
      <c r="W404" s="87"/>
      <c r="X404" s="87"/>
      <c r="Y404" s="87"/>
    </row>
    <row r="405">
      <c r="A405" s="100"/>
      <c r="B405" s="579"/>
      <c r="C405" s="100"/>
      <c r="D405" s="579"/>
      <c r="E405" s="100"/>
      <c r="F405" s="579"/>
      <c r="G405" s="100"/>
      <c r="H405" s="601"/>
      <c r="I405" s="100"/>
      <c r="J405" s="583"/>
      <c r="K405" s="100"/>
      <c r="L405" s="579"/>
      <c r="M405" s="87"/>
      <c r="N405" s="87"/>
      <c r="O405" s="87"/>
      <c r="P405" s="87"/>
      <c r="Q405" s="87"/>
      <c r="R405" s="87"/>
      <c r="S405" s="87"/>
      <c r="T405" s="87"/>
      <c r="U405" s="87"/>
      <c r="V405" s="87"/>
      <c r="W405" s="87"/>
      <c r="X405" s="87"/>
      <c r="Y405" s="87"/>
    </row>
    <row r="406">
      <c r="A406" s="100"/>
      <c r="B406" s="579"/>
      <c r="C406" s="100"/>
      <c r="D406" s="579"/>
      <c r="E406" s="100"/>
      <c r="F406" s="579"/>
      <c r="G406" s="100"/>
      <c r="H406" s="601"/>
      <c r="I406" s="100"/>
      <c r="J406" s="583"/>
      <c r="K406" s="100"/>
      <c r="L406" s="579"/>
      <c r="M406" s="87"/>
      <c r="N406" s="87"/>
      <c r="O406" s="87"/>
      <c r="P406" s="87"/>
      <c r="Q406" s="87"/>
      <c r="R406" s="87"/>
      <c r="S406" s="87"/>
      <c r="T406" s="87"/>
      <c r="U406" s="87"/>
      <c r="V406" s="87"/>
      <c r="W406" s="87"/>
      <c r="X406" s="87"/>
      <c r="Y406" s="87"/>
    </row>
    <row r="407">
      <c r="A407" s="100"/>
      <c r="B407" s="579"/>
      <c r="C407" s="100"/>
      <c r="D407" s="579"/>
      <c r="E407" s="100"/>
      <c r="F407" s="579"/>
      <c r="G407" s="100"/>
      <c r="H407" s="601"/>
      <c r="I407" s="100"/>
      <c r="J407" s="583"/>
      <c r="K407" s="100"/>
      <c r="L407" s="579"/>
      <c r="M407" s="87"/>
      <c r="N407" s="87"/>
      <c r="O407" s="87"/>
      <c r="P407" s="87"/>
      <c r="Q407" s="87"/>
      <c r="R407" s="87"/>
      <c r="S407" s="87"/>
      <c r="T407" s="87"/>
      <c r="U407" s="87"/>
      <c r="V407" s="87"/>
      <c r="W407" s="87"/>
      <c r="X407" s="87"/>
      <c r="Y407" s="87"/>
    </row>
    <row r="408">
      <c r="A408" s="100"/>
      <c r="B408" s="579"/>
      <c r="C408" s="100"/>
      <c r="D408" s="579"/>
      <c r="E408" s="100"/>
      <c r="F408" s="579"/>
      <c r="G408" s="100"/>
      <c r="H408" s="601"/>
      <c r="I408" s="100"/>
      <c r="J408" s="583"/>
      <c r="K408" s="100"/>
      <c r="L408" s="579"/>
      <c r="M408" s="87"/>
      <c r="N408" s="87"/>
      <c r="O408" s="87"/>
      <c r="P408" s="87"/>
      <c r="Q408" s="87"/>
      <c r="R408" s="87"/>
      <c r="S408" s="87"/>
      <c r="T408" s="87"/>
      <c r="U408" s="87"/>
      <c r="V408" s="87"/>
      <c r="W408" s="87"/>
      <c r="X408" s="87"/>
      <c r="Y408" s="87"/>
    </row>
    <row r="409">
      <c r="A409" s="100"/>
      <c r="B409" s="579"/>
      <c r="C409" s="100"/>
      <c r="D409" s="579"/>
      <c r="E409" s="100"/>
      <c r="F409" s="579"/>
      <c r="G409" s="100"/>
      <c r="H409" s="601"/>
      <c r="I409" s="100"/>
      <c r="J409" s="583"/>
      <c r="K409" s="100"/>
      <c r="L409" s="579"/>
      <c r="M409" s="87"/>
      <c r="N409" s="87"/>
      <c r="O409" s="87"/>
      <c r="P409" s="87"/>
      <c r="Q409" s="87"/>
      <c r="R409" s="87"/>
      <c r="S409" s="87"/>
      <c r="T409" s="87"/>
      <c r="U409" s="87"/>
      <c r="V409" s="87"/>
      <c r="W409" s="87"/>
      <c r="X409" s="87"/>
      <c r="Y409" s="87"/>
    </row>
    <row r="410">
      <c r="A410" s="100"/>
      <c r="B410" s="579"/>
      <c r="C410" s="100"/>
      <c r="D410" s="579"/>
      <c r="E410" s="100"/>
      <c r="F410" s="579"/>
      <c r="G410" s="100"/>
      <c r="H410" s="601"/>
      <c r="I410" s="100"/>
      <c r="J410" s="583"/>
      <c r="K410" s="100"/>
      <c r="L410" s="579"/>
      <c r="M410" s="87"/>
      <c r="N410" s="87"/>
      <c r="O410" s="87"/>
      <c r="P410" s="87"/>
      <c r="Q410" s="87"/>
      <c r="R410" s="87"/>
      <c r="S410" s="87"/>
      <c r="T410" s="87"/>
      <c r="U410" s="87"/>
      <c r="V410" s="87"/>
      <c r="W410" s="87"/>
      <c r="X410" s="87"/>
      <c r="Y410" s="87"/>
    </row>
    <row r="411">
      <c r="A411" s="100"/>
      <c r="B411" s="579"/>
      <c r="C411" s="100"/>
      <c r="D411" s="579"/>
      <c r="E411" s="100"/>
      <c r="F411" s="579"/>
      <c r="G411" s="100"/>
      <c r="H411" s="601"/>
      <c r="I411" s="100"/>
      <c r="J411" s="583"/>
      <c r="K411" s="100"/>
      <c r="L411" s="579"/>
      <c r="M411" s="87"/>
      <c r="N411" s="87"/>
      <c r="O411" s="87"/>
      <c r="P411" s="87"/>
      <c r="Q411" s="87"/>
      <c r="R411" s="87"/>
      <c r="S411" s="87"/>
      <c r="T411" s="87"/>
      <c r="U411" s="87"/>
      <c r="V411" s="87"/>
      <c r="W411" s="87"/>
      <c r="X411" s="87"/>
      <c r="Y411" s="87"/>
    </row>
    <row r="412">
      <c r="A412" s="100"/>
      <c r="B412" s="579"/>
      <c r="C412" s="100"/>
      <c r="D412" s="579"/>
      <c r="E412" s="100"/>
      <c r="F412" s="579"/>
      <c r="G412" s="100"/>
      <c r="H412" s="601"/>
      <c r="I412" s="100"/>
      <c r="J412" s="583"/>
      <c r="K412" s="100"/>
      <c r="L412" s="579"/>
      <c r="M412" s="87"/>
      <c r="N412" s="87"/>
      <c r="O412" s="87"/>
      <c r="P412" s="87"/>
      <c r="Q412" s="87"/>
      <c r="R412" s="87"/>
      <c r="S412" s="87"/>
      <c r="T412" s="87"/>
      <c r="U412" s="87"/>
      <c r="V412" s="87"/>
      <c r="W412" s="87"/>
      <c r="X412" s="87"/>
      <c r="Y412" s="87"/>
    </row>
    <row r="413">
      <c r="A413" s="100"/>
      <c r="B413" s="579"/>
      <c r="C413" s="100"/>
      <c r="D413" s="579"/>
      <c r="E413" s="100"/>
      <c r="F413" s="579"/>
      <c r="G413" s="100"/>
      <c r="H413" s="601"/>
      <c r="I413" s="100"/>
      <c r="J413" s="583"/>
      <c r="K413" s="100"/>
      <c r="L413" s="579"/>
      <c r="M413" s="87"/>
      <c r="N413" s="87"/>
      <c r="O413" s="87"/>
      <c r="P413" s="87"/>
      <c r="Q413" s="87"/>
      <c r="R413" s="87"/>
      <c r="S413" s="87"/>
      <c r="T413" s="87"/>
      <c r="U413" s="87"/>
      <c r="V413" s="87"/>
      <c r="W413" s="87"/>
      <c r="X413" s="87"/>
      <c r="Y413" s="87"/>
    </row>
    <row r="414">
      <c r="A414" s="100"/>
      <c r="B414" s="579"/>
      <c r="C414" s="100"/>
      <c r="D414" s="579"/>
      <c r="E414" s="100"/>
      <c r="F414" s="579"/>
      <c r="G414" s="100"/>
      <c r="H414" s="601"/>
      <c r="I414" s="100"/>
      <c r="J414" s="583"/>
      <c r="K414" s="100"/>
      <c r="L414" s="579"/>
      <c r="M414" s="87"/>
      <c r="N414" s="87"/>
      <c r="O414" s="87"/>
      <c r="P414" s="87"/>
      <c r="Q414" s="87"/>
      <c r="R414" s="87"/>
      <c r="S414" s="87"/>
      <c r="T414" s="87"/>
      <c r="U414" s="87"/>
      <c r="V414" s="87"/>
      <c r="W414" s="87"/>
      <c r="X414" s="87"/>
      <c r="Y414" s="87"/>
    </row>
    <row r="415">
      <c r="A415" s="100"/>
      <c r="B415" s="579"/>
      <c r="C415" s="100"/>
      <c r="D415" s="579"/>
      <c r="E415" s="100"/>
      <c r="F415" s="579"/>
      <c r="G415" s="100"/>
      <c r="H415" s="601"/>
      <c r="I415" s="100"/>
      <c r="J415" s="583"/>
      <c r="K415" s="100"/>
      <c r="L415" s="579"/>
      <c r="M415" s="87"/>
      <c r="N415" s="87"/>
      <c r="O415" s="87"/>
      <c r="P415" s="87"/>
      <c r="Q415" s="87"/>
      <c r="R415" s="87"/>
      <c r="S415" s="87"/>
      <c r="T415" s="87"/>
      <c r="U415" s="87"/>
      <c r="V415" s="87"/>
      <c r="W415" s="87"/>
      <c r="X415" s="87"/>
      <c r="Y415" s="87"/>
    </row>
    <row r="416">
      <c r="A416" s="100"/>
      <c r="B416" s="579"/>
      <c r="C416" s="100"/>
      <c r="D416" s="579"/>
      <c r="E416" s="100"/>
      <c r="F416" s="579"/>
      <c r="G416" s="100"/>
      <c r="H416" s="601"/>
      <c r="I416" s="100"/>
      <c r="J416" s="583"/>
      <c r="K416" s="100"/>
      <c r="L416" s="579"/>
      <c r="M416" s="87"/>
      <c r="N416" s="87"/>
      <c r="O416" s="87"/>
      <c r="P416" s="87"/>
      <c r="Q416" s="87"/>
      <c r="R416" s="87"/>
      <c r="S416" s="87"/>
      <c r="T416" s="87"/>
      <c r="U416" s="87"/>
      <c r="V416" s="87"/>
      <c r="W416" s="87"/>
      <c r="X416" s="87"/>
      <c r="Y416" s="87"/>
    </row>
    <row r="417">
      <c r="A417" s="100"/>
      <c r="B417" s="579"/>
      <c r="C417" s="100"/>
      <c r="D417" s="579"/>
      <c r="E417" s="100"/>
      <c r="F417" s="579"/>
      <c r="G417" s="100"/>
      <c r="H417" s="601"/>
      <c r="I417" s="100"/>
      <c r="J417" s="583"/>
      <c r="K417" s="100"/>
      <c r="L417" s="579"/>
      <c r="M417" s="87"/>
      <c r="N417" s="87"/>
      <c r="O417" s="87"/>
      <c r="P417" s="87"/>
      <c r="Q417" s="87"/>
      <c r="R417" s="87"/>
      <c r="S417" s="87"/>
      <c r="T417" s="87"/>
      <c r="U417" s="87"/>
      <c r="V417" s="87"/>
      <c r="W417" s="87"/>
      <c r="X417" s="87"/>
      <c r="Y417" s="87"/>
    </row>
    <row r="418">
      <c r="A418" s="100"/>
      <c r="B418" s="579"/>
      <c r="C418" s="100"/>
      <c r="D418" s="579"/>
      <c r="E418" s="100"/>
      <c r="F418" s="579"/>
      <c r="G418" s="100"/>
      <c r="H418" s="601"/>
      <c r="I418" s="100"/>
      <c r="J418" s="583"/>
      <c r="K418" s="100"/>
      <c r="L418" s="579"/>
      <c r="M418" s="87"/>
      <c r="N418" s="87"/>
      <c r="O418" s="87"/>
      <c r="P418" s="87"/>
      <c r="Q418" s="87"/>
      <c r="R418" s="87"/>
      <c r="S418" s="87"/>
      <c r="T418" s="87"/>
      <c r="U418" s="87"/>
      <c r="V418" s="87"/>
      <c r="W418" s="87"/>
      <c r="X418" s="87"/>
      <c r="Y418" s="87"/>
    </row>
    <row r="419">
      <c r="A419" s="100"/>
      <c r="B419" s="579"/>
      <c r="C419" s="100"/>
      <c r="D419" s="579"/>
      <c r="E419" s="100"/>
      <c r="F419" s="579"/>
      <c r="G419" s="100"/>
      <c r="H419" s="601"/>
      <c r="I419" s="100"/>
      <c r="J419" s="583"/>
      <c r="K419" s="100"/>
      <c r="L419" s="579"/>
      <c r="M419" s="87"/>
      <c r="N419" s="87"/>
      <c r="O419" s="87"/>
      <c r="P419" s="87"/>
      <c r="Q419" s="87"/>
      <c r="R419" s="87"/>
      <c r="S419" s="87"/>
      <c r="T419" s="87"/>
      <c r="U419" s="87"/>
      <c r="V419" s="87"/>
      <c r="W419" s="87"/>
      <c r="X419" s="87"/>
      <c r="Y419" s="87"/>
    </row>
    <row r="420">
      <c r="A420" s="100"/>
      <c r="B420" s="579"/>
      <c r="C420" s="100"/>
      <c r="D420" s="579"/>
      <c r="E420" s="100"/>
      <c r="F420" s="579"/>
      <c r="G420" s="100"/>
      <c r="H420" s="601"/>
      <c r="I420" s="100"/>
      <c r="J420" s="583"/>
      <c r="K420" s="100"/>
      <c r="L420" s="579"/>
      <c r="M420" s="87"/>
      <c r="N420" s="87"/>
      <c r="O420" s="87"/>
      <c r="P420" s="87"/>
      <c r="Q420" s="87"/>
      <c r="R420" s="87"/>
      <c r="S420" s="87"/>
      <c r="T420" s="87"/>
      <c r="U420" s="87"/>
      <c r="V420" s="87"/>
      <c r="W420" s="87"/>
      <c r="X420" s="87"/>
      <c r="Y420" s="87"/>
    </row>
    <row r="421">
      <c r="A421" s="100"/>
      <c r="B421" s="579"/>
      <c r="C421" s="100"/>
      <c r="D421" s="579"/>
      <c r="E421" s="100"/>
      <c r="F421" s="579"/>
      <c r="G421" s="100"/>
      <c r="H421" s="601"/>
      <c r="I421" s="100"/>
      <c r="J421" s="583"/>
      <c r="K421" s="100"/>
      <c r="L421" s="579"/>
      <c r="M421" s="87"/>
      <c r="N421" s="87"/>
      <c r="O421" s="87"/>
      <c r="P421" s="87"/>
      <c r="Q421" s="87"/>
      <c r="R421" s="87"/>
      <c r="S421" s="87"/>
      <c r="T421" s="87"/>
      <c r="U421" s="87"/>
      <c r="V421" s="87"/>
      <c r="W421" s="87"/>
      <c r="X421" s="87"/>
      <c r="Y421" s="87"/>
    </row>
    <row r="422">
      <c r="A422" s="100"/>
      <c r="B422" s="579"/>
      <c r="C422" s="100"/>
      <c r="D422" s="579"/>
      <c r="E422" s="100"/>
      <c r="F422" s="579"/>
      <c r="G422" s="100"/>
      <c r="H422" s="601"/>
      <c r="I422" s="100"/>
      <c r="J422" s="583"/>
      <c r="K422" s="100"/>
      <c r="L422" s="579"/>
      <c r="M422" s="87"/>
      <c r="N422" s="87"/>
      <c r="O422" s="87"/>
      <c r="P422" s="87"/>
      <c r="Q422" s="87"/>
      <c r="R422" s="87"/>
      <c r="S422" s="87"/>
      <c r="T422" s="87"/>
      <c r="U422" s="87"/>
      <c r="V422" s="87"/>
      <c r="W422" s="87"/>
      <c r="X422" s="87"/>
      <c r="Y422" s="87"/>
    </row>
    <row r="423">
      <c r="A423" s="100"/>
      <c r="B423" s="579"/>
      <c r="C423" s="100"/>
      <c r="D423" s="579"/>
      <c r="E423" s="100"/>
      <c r="F423" s="579"/>
      <c r="G423" s="100"/>
      <c r="H423" s="601"/>
      <c r="I423" s="100"/>
      <c r="J423" s="583"/>
      <c r="K423" s="100"/>
      <c r="L423" s="579"/>
      <c r="M423" s="87"/>
      <c r="N423" s="87"/>
      <c r="O423" s="87"/>
      <c r="P423" s="87"/>
      <c r="Q423" s="87"/>
      <c r="R423" s="87"/>
      <c r="S423" s="87"/>
      <c r="T423" s="87"/>
      <c r="U423" s="87"/>
      <c r="V423" s="87"/>
      <c r="W423" s="87"/>
      <c r="X423" s="87"/>
      <c r="Y423" s="87"/>
    </row>
    <row r="424">
      <c r="A424" s="100"/>
      <c r="B424" s="579"/>
      <c r="C424" s="100"/>
      <c r="D424" s="579"/>
      <c r="E424" s="100"/>
      <c r="F424" s="579"/>
      <c r="G424" s="100"/>
      <c r="H424" s="601"/>
      <c r="I424" s="100"/>
      <c r="J424" s="583"/>
      <c r="K424" s="100"/>
      <c r="L424" s="579"/>
      <c r="M424" s="87"/>
      <c r="N424" s="87"/>
      <c r="O424" s="87"/>
      <c r="P424" s="87"/>
      <c r="Q424" s="87"/>
      <c r="R424" s="87"/>
      <c r="S424" s="87"/>
      <c r="T424" s="87"/>
      <c r="U424" s="87"/>
      <c r="V424" s="87"/>
      <c r="W424" s="87"/>
      <c r="X424" s="87"/>
      <c r="Y424" s="87"/>
    </row>
    <row r="425">
      <c r="A425" s="100"/>
      <c r="B425" s="579"/>
      <c r="C425" s="100"/>
      <c r="D425" s="579"/>
      <c r="E425" s="100"/>
      <c r="F425" s="579"/>
      <c r="G425" s="100"/>
      <c r="H425" s="601"/>
      <c r="I425" s="100"/>
      <c r="J425" s="583"/>
      <c r="K425" s="100"/>
      <c r="L425" s="579"/>
      <c r="M425" s="87"/>
      <c r="N425" s="87"/>
      <c r="O425" s="87"/>
      <c r="P425" s="87"/>
      <c r="Q425" s="87"/>
      <c r="R425" s="87"/>
      <c r="S425" s="87"/>
      <c r="T425" s="87"/>
      <c r="U425" s="87"/>
      <c r="V425" s="87"/>
      <c r="W425" s="87"/>
      <c r="X425" s="87"/>
      <c r="Y425" s="87"/>
    </row>
    <row r="426">
      <c r="A426" s="100"/>
      <c r="B426" s="579"/>
      <c r="C426" s="100"/>
      <c r="D426" s="579"/>
      <c r="E426" s="100"/>
      <c r="F426" s="579"/>
      <c r="G426" s="100"/>
      <c r="H426" s="601"/>
      <c r="I426" s="100"/>
      <c r="J426" s="583"/>
      <c r="K426" s="100"/>
      <c r="L426" s="579"/>
      <c r="M426" s="87"/>
      <c r="N426" s="87"/>
      <c r="O426" s="87"/>
      <c r="P426" s="87"/>
      <c r="Q426" s="87"/>
      <c r="R426" s="87"/>
      <c r="S426" s="87"/>
      <c r="T426" s="87"/>
      <c r="U426" s="87"/>
      <c r="V426" s="87"/>
      <c r="W426" s="87"/>
      <c r="X426" s="87"/>
      <c r="Y426" s="87"/>
    </row>
    <row r="427">
      <c r="A427" s="100"/>
      <c r="B427" s="579"/>
      <c r="C427" s="100"/>
      <c r="D427" s="579"/>
      <c r="E427" s="100"/>
      <c r="F427" s="579"/>
      <c r="G427" s="100"/>
      <c r="H427" s="601"/>
      <c r="I427" s="100"/>
      <c r="J427" s="583"/>
      <c r="K427" s="100"/>
      <c r="L427" s="579"/>
      <c r="M427" s="87"/>
      <c r="N427" s="87"/>
      <c r="O427" s="87"/>
      <c r="P427" s="87"/>
      <c r="Q427" s="87"/>
      <c r="R427" s="87"/>
      <c r="S427" s="87"/>
      <c r="T427" s="87"/>
      <c r="U427" s="87"/>
      <c r="V427" s="87"/>
      <c r="W427" s="87"/>
      <c r="X427" s="87"/>
      <c r="Y427" s="87"/>
    </row>
    <row r="428">
      <c r="A428" s="100"/>
      <c r="B428" s="579"/>
      <c r="C428" s="100"/>
      <c r="D428" s="579"/>
      <c r="E428" s="100"/>
      <c r="F428" s="579"/>
      <c r="G428" s="100"/>
      <c r="H428" s="601"/>
      <c r="I428" s="100"/>
      <c r="J428" s="583"/>
      <c r="K428" s="100"/>
      <c r="L428" s="579"/>
      <c r="M428" s="87"/>
      <c r="N428" s="87"/>
      <c r="O428" s="87"/>
      <c r="P428" s="87"/>
      <c r="Q428" s="87"/>
      <c r="R428" s="87"/>
      <c r="S428" s="87"/>
      <c r="T428" s="87"/>
      <c r="U428" s="87"/>
      <c r="V428" s="87"/>
      <c r="W428" s="87"/>
      <c r="X428" s="87"/>
      <c r="Y428" s="87"/>
    </row>
    <row r="429">
      <c r="A429" s="100"/>
      <c r="B429" s="579"/>
      <c r="C429" s="100"/>
      <c r="D429" s="579"/>
      <c r="E429" s="100"/>
      <c r="F429" s="579"/>
      <c r="G429" s="100"/>
      <c r="H429" s="601"/>
      <c r="I429" s="100"/>
      <c r="J429" s="583"/>
      <c r="K429" s="100"/>
      <c r="L429" s="579"/>
      <c r="M429" s="87"/>
      <c r="N429" s="87"/>
      <c r="O429" s="87"/>
      <c r="P429" s="87"/>
      <c r="Q429" s="87"/>
      <c r="R429" s="87"/>
      <c r="S429" s="87"/>
      <c r="T429" s="87"/>
      <c r="U429" s="87"/>
      <c r="V429" s="87"/>
      <c r="W429" s="87"/>
      <c r="X429" s="87"/>
      <c r="Y429" s="87"/>
    </row>
    <row r="430">
      <c r="A430" s="100"/>
      <c r="B430" s="579"/>
      <c r="C430" s="100"/>
      <c r="D430" s="579"/>
      <c r="E430" s="100"/>
      <c r="F430" s="579"/>
      <c r="G430" s="100"/>
      <c r="H430" s="601"/>
      <c r="I430" s="100"/>
      <c r="J430" s="583"/>
      <c r="K430" s="100"/>
      <c r="L430" s="579"/>
      <c r="M430" s="87"/>
      <c r="N430" s="87"/>
      <c r="O430" s="87"/>
      <c r="P430" s="87"/>
      <c r="Q430" s="87"/>
      <c r="R430" s="87"/>
      <c r="S430" s="87"/>
      <c r="T430" s="87"/>
      <c r="U430" s="87"/>
      <c r="V430" s="87"/>
      <c r="W430" s="87"/>
      <c r="X430" s="87"/>
      <c r="Y430" s="87"/>
    </row>
    <row r="431">
      <c r="A431" s="100"/>
      <c r="B431" s="579"/>
      <c r="C431" s="100"/>
      <c r="D431" s="579"/>
      <c r="E431" s="100"/>
      <c r="F431" s="579"/>
      <c r="G431" s="100"/>
      <c r="H431" s="601"/>
      <c r="I431" s="100"/>
      <c r="J431" s="583"/>
      <c r="K431" s="100"/>
      <c r="L431" s="579"/>
      <c r="M431" s="87"/>
      <c r="N431" s="87"/>
      <c r="O431" s="87"/>
      <c r="P431" s="87"/>
      <c r="Q431" s="87"/>
      <c r="R431" s="87"/>
      <c r="S431" s="87"/>
      <c r="T431" s="87"/>
      <c r="U431" s="87"/>
      <c r="V431" s="87"/>
      <c r="W431" s="87"/>
      <c r="X431" s="87"/>
      <c r="Y431" s="87"/>
    </row>
    <row r="432">
      <c r="A432" s="100"/>
      <c r="B432" s="579"/>
      <c r="C432" s="100"/>
      <c r="D432" s="579"/>
      <c r="E432" s="100"/>
      <c r="F432" s="579"/>
      <c r="G432" s="100"/>
      <c r="H432" s="601"/>
      <c r="I432" s="100"/>
      <c r="J432" s="583"/>
      <c r="K432" s="100"/>
      <c r="L432" s="579"/>
      <c r="M432" s="87"/>
      <c r="N432" s="87"/>
      <c r="O432" s="87"/>
      <c r="P432" s="87"/>
      <c r="Q432" s="87"/>
      <c r="R432" s="87"/>
      <c r="S432" s="87"/>
      <c r="T432" s="87"/>
      <c r="U432" s="87"/>
      <c r="V432" s="87"/>
      <c r="W432" s="87"/>
      <c r="X432" s="87"/>
      <c r="Y432" s="87"/>
    </row>
    <row r="433">
      <c r="A433" s="100"/>
      <c r="B433" s="579"/>
      <c r="C433" s="100"/>
      <c r="D433" s="579"/>
      <c r="E433" s="100"/>
      <c r="F433" s="579"/>
      <c r="G433" s="100"/>
      <c r="H433" s="601"/>
      <c r="I433" s="100"/>
      <c r="J433" s="583"/>
      <c r="K433" s="100"/>
      <c r="L433" s="579"/>
      <c r="M433" s="87"/>
      <c r="N433" s="87"/>
      <c r="O433" s="87"/>
      <c r="P433" s="87"/>
      <c r="Q433" s="87"/>
      <c r="R433" s="87"/>
      <c r="S433" s="87"/>
      <c r="T433" s="87"/>
      <c r="U433" s="87"/>
      <c r="V433" s="87"/>
      <c r="W433" s="87"/>
      <c r="X433" s="87"/>
      <c r="Y433" s="87"/>
    </row>
    <row r="434">
      <c r="A434" s="100"/>
      <c r="B434" s="579"/>
      <c r="C434" s="100"/>
      <c r="D434" s="579"/>
      <c r="E434" s="100"/>
      <c r="F434" s="579"/>
      <c r="G434" s="100"/>
      <c r="H434" s="601"/>
      <c r="I434" s="100"/>
      <c r="J434" s="583"/>
      <c r="K434" s="100"/>
      <c r="L434" s="579"/>
      <c r="M434" s="87"/>
      <c r="N434" s="87"/>
      <c r="O434" s="87"/>
      <c r="P434" s="87"/>
      <c r="Q434" s="87"/>
      <c r="R434" s="87"/>
      <c r="S434" s="87"/>
      <c r="T434" s="87"/>
      <c r="U434" s="87"/>
      <c r="V434" s="87"/>
      <c r="W434" s="87"/>
      <c r="X434" s="87"/>
      <c r="Y434" s="87"/>
    </row>
    <row r="435">
      <c r="A435" s="100"/>
      <c r="B435" s="579"/>
      <c r="C435" s="100"/>
      <c r="D435" s="579"/>
      <c r="E435" s="100"/>
      <c r="F435" s="579"/>
      <c r="G435" s="100"/>
      <c r="H435" s="601"/>
      <c r="I435" s="100"/>
      <c r="J435" s="583"/>
      <c r="K435" s="100"/>
      <c r="L435" s="579"/>
      <c r="M435" s="87"/>
      <c r="N435" s="87"/>
      <c r="O435" s="87"/>
      <c r="P435" s="87"/>
      <c r="Q435" s="87"/>
      <c r="R435" s="87"/>
      <c r="S435" s="87"/>
      <c r="T435" s="87"/>
      <c r="U435" s="87"/>
      <c r="V435" s="87"/>
      <c r="W435" s="87"/>
      <c r="X435" s="87"/>
      <c r="Y435" s="87"/>
    </row>
    <row r="436">
      <c r="A436" s="100"/>
      <c r="B436" s="579"/>
      <c r="C436" s="100"/>
      <c r="D436" s="579"/>
      <c r="E436" s="100"/>
      <c r="F436" s="579"/>
      <c r="G436" s="100"/>
      <c r="H436" s="601"/>
      <c r="I436" s="100"/>
      <c r="J436" s="583"/>
      <c r="K436" s="100"/>
      <c r="L436" s="579"/>
      <c r="M436" s="87"/>
      <c r="N436" s="87"/>
      <c r="O436" s="87"/>
      <c r="P436" s="87"/>
      <c r="Q436" s="87"/>
      <c r="R436" s="87"/>
      <c r="S436" s="87"/>
      <c r="T436" s="87"/>
      <c r="U436" s="87"/>
      <c r="V436" s="87"/>
      <c r="W436" s="87"/>
      <c r="X436" s="87"/>
      <c r="Y436" s="87"/>
    </row>
    <row r="437">
      <c r="A437" s="100"/>
      <c r="B437" s="579"/>
      <c r="C437" s="100"/>
      <c r="D437" s="579"/>
      <c r="E437" s="100"/>
      <c r="F437" s="579"/>
      <c r="G437" s="100"/>
      <c r="H437" s="601"/>
      <c r="I437" s="100"/>
      <c r="J437" s="583"/>
      <c r="K437" s="100"/>
      <c r="L437" s="579"/>
      <c r="M437" s="87"/>
      <c r="N437" s="87"/>
      <c r="O437" s="87"/>
      <c r="P437" s="87"/>
      <c r="Q437" s="87"/>
      <c r="R437" s="87"/>
      <c r="S437" s="87"/>
      <c r="T437" s="87"/>
      <c r="U437" s="87"/>
      <c r="V437" s="87"/>
      <c r="W437" s="87"/>
      <c r="X437" s="87"/>
      <c r="Y437" s="87"/>
    </row>
    <row r="438">
      <c r="A438" s="100"/>
      <c r="B438" s="579"/>
      <c r="C438" s="100"/>
      <c r="D438" s="579"/>
      <c r="E438" s="100"/>
      <c r="F438" s="579"/>
      <c r="G438" s="100"/>
      <c r="H438" s="601"/>
      <c r="I438" s="100"/>
      <c r="J438" s="583"/>
      <c r="K438" s="100"/>
      <c r="L438" s="579"/>
      <c r="M438" s="87"/>
      <c r="N438" s="87"/>
      <c r="O438" s="87"/>
      <c r="P438" s="87"/>
      <c r="Q438" s="87"/>
      <c r="R438" s="87"/>
      <c r="S438" s="87"/>
      <c r="T438" s="87"/>
      <c r="U438" s="87"/>
      <c r="V438" s="87"/>
      <c r="W438" s="87"/>
      <c r="X438" s="87"/>
      <c r="Y438" s="87"/>
    </row>
    <row r="439">
      <c r="A439" s="100"/>
      <c r="B439" s="579"/>
      <c r="C439" s="100"/>
      <c r="D439" s="579"/>
      <c r="E439" s="100"/>
      <c r="F439" s="579"/>
      <c r="G439" s="100"/>
      <c r="H439" s="601"/>
      <c r="I439" s="100"/>
      <c r="J439" s="583"/>
      <c r="K439" s="100"/>
      <c r="L439" s="579"/>
      <c r="M439" s="87"/>
      <c r="N439" s="87"/>
      <c r="O439" s="87"/>
      <c r="P439" s="87"/>
      <c r="Q439" s="87"/>
      <c r="R439" s="87"/>
      <c r="S439" s="87"/>
      <c r="T439" s="87"/>
      <c r="U439" s="87"/>
      <c r="V439" s="87"/>
      <c r="W439" s="87"/>
      <c r="X439" s="87"/>
      <c r="Y439" s="87"/>
    </row>
    <row r="440">
      <c r="A440" s="100"/>
      <c r="B440" s="579"/>
      <c r="C440" s="100"/>
      <c r="D440" s="579"/>
      <c r="E440" s="100"/>
      <c r="F440" s="579"/>
      <c r="G440" s="100"/>
      <c r="H440" s="601"/>
      <c r="I440" s="100"/>
      <c r="J440" s="583"/>
      <c r="K440" s="100"/>
      <c r="L440" s="579"/>
      <c r="M440" s="87"/>
      <c r="N440" s="87"/>
      <c r="O440" s="87"/>
      <c r="P440" s="87"/>
      <c r="Q440" s="87"/>
      <c r="R440" s="87"/>
      <c r="S440" s="87"/>
      <c r="T440" s="87"/>
      <c r="U440" s="87"/>
      <c r="V440" s="87"/>
      <c r="W440" s="87"/>
      <c r="X440" s="87"/>
      <c r="Y440" s="87"/>
    </row>
    <row r="441">
      <c r="A441" s="100"/>
      <c r="B441" s="579"/>
      <c r="C441" s="100"/>
      <c r="D441" s="579"/>
      <c r="E441" s="100"/>
      <c r="F441" s="579"/>
      <c r="G441" s="100"/>
      <c r="H441" s="601"/>
      <c r="I441" s="100"/>
      <c r="J441" s="583"/>
      <c r="K441" s="100"/>
      <c r="L441" s="579"/>
      <c r="M441" s="87"/>
      <c r="N441" s="87"/>
      <c r="O441" s="87"/>
      <c r="P441" s="87"/>
      <c r="Q441" s="87"/>
      <c r="R441" s="87"/>
      <c r="S441" s="87"/>
      <c r="T441" s="87"/>
      <c r="U441" s="87"/>
      <c r="V441" s="87"/>
      <c r="W441" s="87"/>
      <c r="X441" s="87"/>
      <c r="Y441" s="87"/>
    </row>
    <row r="442">
      <c r="A442" s="100"/>
      <c r="B442" s="579"/>
      <c r="C442" s="100"/>
      <c r="D442" s="579"/>
      <c r="E442" s="100"/>
      <c r="F442" s="579"/>
      <c r="G442" s="100"/>
      <c r="H442" s="601"/>
      <c r="I442" s="100"/>
      <c r="J442" s="583"/>
      <c r="K442" s="100"/>
      <c r="L442" s="579"/>
      <c r="M442" s="87"/>
      <c r="N442" s="87"/>
      <c r="O442" s="87"/>
      <c r="P442" s="87"/>
      <c r="Q442" s="87"/>
      <c r="R442" s="87"/>
      <c r="S442" s="87"/>
      <c r="T442" s="87"/>
      <c r="U442" s="87"/>
      <c r="V442" s="87"/>
      <c r="W442" s="87"/>
      <c r="X442" s="87"/>
      <c r="Y442" s="87"/>
    </row>
    <row r="443">
      <c r="A443" s="100"/>
      <c r="B443" s="579"/>
      <c r="C443" s="100"/>
      <c r="D443" s="579"/>
      <c r="E443" s="100"/>
      <c r="F443" s="579"/>
      <c r="G443" s="100"/>
      <c r="H443" s="601"/>
      <c r="I443" s="100"/>
      <c r="J443" s="583"/>
      <c r="K443" s="100"/>
      <c r="L443" s="579"/>
      <c r="M443" s="87"/>
      <c r="N443" s="87"/>
      <c r="O443" s="87"/>
      <c r="P443" s="87"/>
      <c r="Q443" s="87"/>
      <c r="R443" s="87"/>
      <c r="S443" s="87"/>
      <c r="T443" s="87"/>
      <c r="U443" s="87"/>
      <c r="V443" s="87"/>
      <c r="W443" s="87"/>
      <c r="X443" s="87"/>
      <c r="Y443" s="87"/>
    </row>
    <row r="444">
      <c r="A444" s="100"/>
      <c r="B444" s="579"/>
      <c r="C444" s="100"/>
      <c r="D444" s="579"/>
      <c r="E444" s="100"/>
      <c r="F444" s="579"/>
      <c r="G444" s="100"/>
      <c r="H444" s="601"/>
      <c r="I444" s="100"/>
      <c r="J444" s="583"/>
      <c r="K444" s="100"/>
      <c r="L444" s="579"/>
      <c r="M444" s="87"/>
      <c r="N444" s="87"/>
      <c r="O444" s="87"/>
      <c r="P444" s="87"/>
      <c r="Q444" s="87"/>
      <c r="R444" s="87"/>
      <c r="S444" s="87"/>
      <c r="T444" s="87"/>
      <c r="U444" s="87"/>
      <c r="V444" s="87"/>
      <c r="W444" s="87"/>
      <c r="X444" s="87"/>
      <c r="Y444" s="87"/>
    </row>
    <row r="445">
      <c r="A445" s="100"/>
      <c r="B445" s="579"/>
      <c r="C445" s="100"/>
      <c r="D445" s="579"/>
      <c r="E445" s="100"/>
      <c r="F445" s="579"/>
      <c r="G445" s="100"/>
      <c r="H445" s="601"/>
      <c r="I445" s="100"/>
      <c r="J445" s="583"/>
      <c r="K445" s="100"/>
      <c r="L445" s="579"/>
      <c r="M445" s="87"/>
      <c r="N445" s="87"/>
      <c r="O445" s="87"/>
      <c r="P445" s="87"/>
      <c r="Q445" s="87"/>
      <c r="R445" s="87"/>
      <c r="S445" s="87"/>
      <c r="T445" s="87"/>
      <c r="U445" s="87"/>
      <c r="V445" s="87"/>
      <c r="W445" s="87"/>
      <c r="X445" s="87"/>
      <c r="Y445" s="87"/>
    </row>
    <row r="446">
      <c r="A446" s="100"/>
      <c r="B446" s="579"/>
      <c r="C446" s="100"/>
      <c r="D446" s="579"/>
      <c r="E446" s="100"/>
      <c r="F446" s="579"/>
      <c r="G446" s="100"/>
      <c r="H446" s="601"/>
      <c r="I446" s="100"/>
      <c r="J446" s="583"/>
      <c r="K446" s="100"/>
      <c r="L446" s="579"/>
      <c r="M446" s="87"/>
      <c r="N446" s="87"/>
      <c r="O446" s="87"/>
      <c r="P446" s="87"/>
      <c r="Q446" s="87"/>
      <c r="R446" s="87"/>
      <c r="S446" s="87"/>
      <c r="T446" s="87"/>
      <c r="U446" s="87"/>
      <c r="V446" s="87"/>
      <c r="W446" s="87"/>
      <c r="X446" s="87"/>
      <c r="Y446" s="87"/>
    </row>
    <row r="447">
      <c r="A447" s="100"/>
      <c r="B447" s="579"/>
      <c r="C447" s="100"/>
      <c r="D447" s="579"/>
      <c r="E447" s="100"/>
      <c r="F447" s="579"/>
      <c r="G447" s="100"/>
      <c r="H447" s="601"/>
      <c r="I447" s="100"/>
      <c r="J447" s="583"/>
      <c r="K447" s="100"/>
      <c r="L447" s="579"/>
      <c r="M447" s="87"/>
      <c r="N447" s="87"/>
      <c r="O447" s="87"/>
      <c r="P447" s="87"/>
      <c r="Q447" s="87"/>
      <c r="R447" s="87"/>
      <c r="S447" s="87"/>
      <c r="T447" s="87"/>
      <c r="U447" s="87"/>
      <c r="V447" s="87"/>
      <c r="W447" s="87"/>
      <c r="X447" s="87"/>
      <c r="Y447" s="87"/>
    </row>
    <row r="448">
      <c r="A448" s="100"/>
      <c r="B448" s="579"/>
      <c r="C448" s="100"/>
      <c r="D448" s="579"/>
      <c r="E448" s="100"/>
      <c r="F448" s="579"/>
      <c r="G448" s="100"/>
      <c r="H448" s="601"/>
      <c r="I448" s="100"/>
      <c r="J448" s="583"/>
      <c r="K448" s="100"/>
      <c r="L448" s="579"/>
      <c r="M448" s="87"/>
      <c r="N448" s="87"/>
      <c r="O448" s="87"/>
      <c r="P448" s="87"/>
      <c r="Q448" s="87"/>
      <c r="R448" s="87"/>
      <c r="S448" s="87"/>
      <c r="T448" s="87"/>
      <c r="U448" s="87"/>
      <c r="V448" s="87"/>
      <c r="W448" s="87"/>
      <c r="X448" s="87"/>
      <c r="Y448" s="87"/>
    </row>
    <row r="449">
      <c r="A449" s="100"/>
      <c r="B449" s="579"/>
      <c r="C449" s="100"/>
      <c r="D449" s="579"/>
      <c r="E449" s="100"/>
      <c r="F449" s="579"/>
      <c r="G449" s="100"/>
      <c r="H449" s="601"/>
      <c r="I449" s="100"/>
      <c r="J449" s="583"/>
      <c r="K449" s="100"/>
      <c r="L449" s="579"/>
      <c r="M449" s="87"/>
      <c r="N449" s="87"/>
      <c r="O449" s="87"/>
      <c r="P449" s="87"/>
      <c r="Q449" s="87"/>
      <c r="R449" s="87"/>
      <c r="S449" s="87"/>
      <c r="T449" s="87"/>
      <c r="U449" s="87"/>
      <c r="V449" s="87"/>
      <c r="W449" s="87"/>
      <c r="X449" s="87"/>
      <c r="Y449" s="87"/>
    </row>
    <row r="450">
      <c r="A450" s="100"/>
      <c r="B450" s="579"/>
      <c r="C450" s="100"/>
      <c r="D450" s="579"/>
      <c r="E450" s="100"/>
      <c r="F450" s="579"/>
      <c r="G450" s="100"/>
      <c r="H450" s="601"/>
      <c r="I450" s="100"/>
      <c r="J450" s="583"/>
      <c r="K450" s="100"/>
      <c r="L450" s="579"/>
      <c r="M450" s="87"/>
      <c r="N450" s="87"/>
      <c r="O450" s="87"/>
      <c r="P450" s="87"/>
      <c r="Q450" s="87"/>
      <c r="R450" s="87"/>
      <c r="S450" s="87"/>
      <c r="T450" s="87"/>
      <c r="U450" s="87"/>
      <c r="V450" s="87"/>
      <c r="W450" s="87"/>
      <c r="X450" s="87"/>
      <c r="Y450" s="87"/>
    </row>
    <row r="451">
      <c r="A451" s="100"/>
      <c r="B451" s="579"/>
      <c r="C451" s="100"/>
      <c r="D451" s="579"/>
      <c r="E451" s="100"/>
      <c r="F451" s="579"/>
      <c r="G451" s="100"/>
      <c r="H451" s="601"/>
      <c r="I451" s="100"/>
      <c r="J451" s="583"/>
      <c r="K451" s="100"/>
      <c r="L451" s="579"/>
      <c r="M451" s="87"/>
      <c r="N451" s="87"/>
      <c r="O451" s="87"/>
      <c r="P451" s="87"/>
      <c r="Q451" s="87"/>
      <c r="R451" s="87"/>
      <c r="S451" s="87"/>
      <c r="T451" s="87"/>
      <c r="U451" s="87"/>
      <c r="V451" s="87"/>
      <c r="W451" s="87"/>
      <c r="X451" s="87"/>
      <c r="Y451" s="87"/>
    </row>
    <row r="452">
      <c r="A452" s="100"/>
      <c r="B452" s="579"/>
      <c r="C452" s="100"/>
      <c r="D452" s="579"/>
      <c r="E452" s="100"/>
      <c r="F452" s="579"/>
      <c r="G452" s="100"/>
      <c r="H452" s="601"/>
      <c r="I452" s="100"/>
      <c r="J452" s="583"/>
      <c r="K452" s="100"/>
      <c r="L452" s="579"/>
      <c r="M452" s="87"/>
      <c r="N452" s="87"/>
      <c r="O452" s="87"/>
      <c r="P452" s="87"/>
      <c r="Q452" s="87"/>
      <c r="R452" s="87"/>
      <c r="S452" s="87"/>
      <c r="T452" s="87"/>
      <c r="U452" s="87"/>
      <c r="V452" s="87"/>
      <c r="W452" s="87"/>
      <c r="X452" s="87"/>
      <c r="Y452" s="87"/>
    </row>
    <row r="453">
      <c r="A453" s="100"/>
      <c r="B453" s="579"/>
      <c r="C453" s="100"/>
      <c r="D453" s="579"/>
      <c r="E453" s="100"/>
      <c r="F453" s="579"/>
      <c r="G453" s="100"/>
      <c r="H453" s="601"/>
      <c r="I453" s="100"/>
      <c r="J453" s="583"/>
      <c r="K453" s="100"/>
      <c r="L453" s="579"/>
      <c r="M453" s="87"/>
      <c r="N453" s="87"/>
      <c r="O453" s="87"/>
      <c r="P453" s="87"/>
      <c r="Q453" s="87"/>
      <c r="R453" s="87"/>
      <c r="S453" s="87"/>
      <c r="T453" s="87"/>
      <c r="U453" s="87"/>
      <c r="V453" s="87"/>
      <c r="W453" s="87"/>
      <c r="X453" s="87"/>
      <c r="Y453" s="87"/>
    </row>
    <row r="454">
      <c r="A454" s="100"/>
      <c r="B454" s="579"/>
      <c r="C454" s="100"/>
      <c r="D454" s="579"/>
      <c r="E454" s="100"/>
      <c r="F454" s="579"/>
      <c r="G454" s="100"/>
      <c r="H454" s="601"/>
      <c r="I454" s="100"/>
      <c r="J454" s="583"/>
      <c r="K454" s="100"/>
      <c r="L454" s="579"/>
      <c r="M454" s="87"/>
      <c r="N454" s="87"/>
      <c r="O454" s="87"/>
      <c r="P454" s="87"/>
      <c r="Q454" s="87"/>
      <c r="R454" s="87"/>
      <c r="S454" s="87"/>
      <c r="T454" s="87"/>
      <c r="U454" s="87"/>
      <c r="V454" s="87"/>
      <c r="W454" s="87"/>
      <c r="X454" s="87"/>
      <c r="Y454" s="87"/>
    </row>
    <row r="455">
      <c r="A455" s="100"/>
      <c r="B455" s="579"/>
      <c r="C455" s="100"/>
      <c r="D455" s="579"/>
      <c r="E455" s="100"/>
      <c r="F455" s="579"/>
      <c r="G455" s="100"/>
      <c r="H455" s="601"/>
      <c r="I455" s="100"/>
      <c r="J455" s="583"/>
      <c r="K455" s="100"/>
      <c r="L455" s="579"/>
      <c r="M455" s="87"/>
      <c r="N455" s="87"/>
      <c r="O455" s="87"/>
      <c r="P455" s="87"/>
      <c r="Q455" s="87"/>
      <c r="R455" s="87"/>
      <c r="S455" s="87"/>
      <c r="T455" s="87"/>
      <c r="U455" s="87"/>
      <c r="V455" s="87"/>
      <c r="W455" s="87"/>
      <c r="X455" s="87"/>
      <c r="Y455" s="87"/>
    </row>
    <row r="456">
      <c r="A456" s="100"/>
      <c r="B456" s="579"/>
      <c r="C456" s="100"/>
      <c r="D456" s="579"/>
      <c r="E456" s="100"/>
      <c r="F456" s="579"/>
      <c r="G456" s="100"/>
      <c r="H456" s="601"/>
      <c r="I456" s="100"/>
      <c r="J456" s="583"/>
      <c r="K456" s="100"/>
      <c r="L456" s="579"/>
      <c r="M456" s="87"/>
      <c r="N456" s="87"/>
      <c r="O456" s="87"/>
      <c r="P456" s="87"/>
      <c r="Q456" s="87"/>
      <c r="R456" s="87"/>
      <c r="S456" s="87"/>
      <c r="T456" s="87"/>
      <c r="U456" s="87"/>
      <c r="V456" s="87"/>
      <c r="W456" s="87"/>
      <c r="X456" s="87"/>
      <c r="Y456" s="87"/>
    </row>
    <row r="457">
      <c r="A457" s="100"/>
      <c r="B457" s="579"/>
      <c r="C457" s="100"/>
      <c r="D457" s="579"/>
      <c r="E457" s="100"/>
      <c r="F457" s="579"/>
      <c r="G457" s="100"/>
      <c r="H457" s="601"/>
      <c r="I457" s="100"/>
      <c r="J457" s="583"/>
      <c r="K457" s="100"/>
      <c r="L457" s="579"/>
      <c r="M457" s="87"/>
      <c r="N457" s="87"/>
      <c r="O457" s="87"/>
      <c r="P457" s="87"/>
      <c r="Q457" s="87"/>
      <c r="R457" s="87"/>
      <c r="S457" s="87"/>
      <c r="T457" s="87"/>
      <c r="U457" s="87"/>
      <c r="V457" s="87"/>
      <c r="W457" s="87"/>
      <c r="X457" s="87"/>
      <c r="Y457" s="87"/>
    </row>
    <row r="458">
      <c r="A458" s="100"/>
      <c r="B458" s="579"/>
      <c r="C458" s="100"/>
      <c r="D458" s="579"/>
      <c r="E458" s="100"/>
      <c r="F458" s="579"/>
      <c r="G458" s="100"/>
      <c r="H458" s="601"/>
      <c r="I458" s="100"/>
      <c r="J458" s="583"/>
      <c r="K458" s="100"/>
      <c r="L458" s="579"/>
      <c r="M458" s="87"/>
      <c r="N458" s="87"/>
      <c r="O458" s="87"/>
      <c r="P458" s="87"/>
      <c r="Q458" s="87"/>
      <c r="R458" s="87"/>
      <c r="S458" s="87"/>
      <c r="T458" s="87"/>
      <c r="U458" s="87"/>
      <c r="V458" s="87"/>
      <c r="W458" s="87"/>
      <c r="X458" s="87"/>
      <c r="Y458" s="87"/>
    </row>
    <row r="459">
      <c r="A459" s="100"/>
      <c r="B459" s="579"/>
      <c r="C459" s="100"/>
      <c r="D459" s="579"/>
      <c r="E459" s="100"/>
      <c r="F459" s="579"/>
      <c r="G459" s="100"/>
      <c r="H459" s="601"/>
      <c r="I459" s="100"/>
      <c r="J459" s="583"/>
      <c r="K459" s="100"/>
      <c r="L459" s="579"/>
      <c r="M459" s="87"/>
      <c r="N459" s="87"/>
      <c r="O459" s="87"/>
      <c r="P459" s="87"/>
      <c r="Q459" s="87"/>
      <c r="R459" s="87"/>
      <c r="S459" s="87"/>
      <c r="T459" s="87"/>
      <c r="U459" s="87"/>
      <c r="V459" s="87"/>
      <c r="W459" s="87"/>
      <c r="X459" s="87"/>
      <c r="Y459" s="87"/>
    </row>
    <row r="460">
      <c r="A460" s="100"/>
      <c r="B460" s="579"/>
      <c r="C460" s="100"/>
      <c r="D460" s="579"/>
      <c r="E460" s="100"/>
      <c r="F460" s="579"/>
      <c r="G460" s="100"/>
      <c r="H460" s="601"/>
      <c r="I460" s="100"/>
      <c r="J460" s="583"/>
      <c r="K460" s="100"/>
      <c r="L460" s="579"/>
      <c r="M460" s="87"/>
      <c r="N460" s="87"/>
      <c r="O460" s="87"/>
      <c r="P460" s="87"/>
      <c r="Q460" s="87"/>
      <c r="R460" s="87"/>
      <c r="S460" s="87"/>
      <c r="T460" s="87"/>
      <c r="U460" s="87"/>
      <c r="V460" s="87"/>
      <c r="W460" s="87"/>
      <c r="X460" s="87"/>
      <c r="Y460" s="87"/>
    </row>
    <row r="461">
      <c r="A461" s="100"/>
      <c r="B461" s="579"/>
      <c r="C461" s="100"/>
      <c r="D461" s="579"/>
      <c r="E461" s="100"/>
      <c r="F461" s="579"/>
      <c r="G461" s="100"/>
      <c r="H461" s="601"/>
      <c r="I461" s="100"/>
      <c r="J461" s="583"/>
      <c r="K461" s="100"/>
      <c r="L461" s="579"/>
      <c r="M461" s="87"/>
      <c r="N461" s="87"/>
      <c r="O461" s="87"/>
      <c r="P461" s="87"/>
      <c r="Q461" s="87"/>
      <c r="R461" s="87"/>
      <c r="S461" s="87"/>
      <c r="T461" s="87"/>
      <c r="U461" s="87"/>
      <c r="V461" s="87"/>
      <c r="W461" s="87"/>
      <c r="X461" s="87"/>
      <c r="Y461" s="87"/>
    </row>
    <row r="462">
      <c r="A462" s="100"/>
      <c r="B462" s="579"/>
      <c r="C462" s="100"/>
      <c r="D462" s="579"/>
      <c r="E462" s="100"/>
      <c r="F462" s="579"/>
      <c r="G462" s="100"/>
      <c r="H462" s="601"/>
      <c r="I462" s="100"/>
      <c r="J462" s="583"/>
      <c r="K462" s="100"/>
      <c r="L462" s="579"/>
      <c r="M462" s="87"/>
      <c r="N462" s="87"/>
      <c r="O462" s="87"/>
      <c r="P462" s="87"/>
      <c r="Q462" s="87"/>
      <c r="R462" s="87"/>
      <c r="S462" s="87"/>
      <c r="T462" s="87"/>
      <c r="U462" s="87"/>
      <c r="V462" s="87"/>
      <c r="W462" s="87"/>
      <c r="X462" s="87"/>
      <c r="Y462" s="87"/>
    </row>
    <row r="463">
      <c r="A463" s="100"/>
      <c r="B463" s="579"/>
      <c r="C463" s="100"/>
      <c r="D463" s="579"/>
      <c r="E463" s="100"/>
      <c r="F463" s="579"/>
      <c r="G463" s="100"/>
      <c r="H463" s="601"/>
      <c r="I463" s="100"/>
      <c r="J463" s="583"/>
      <c r="K463" s="100"/>
      <c r="L463" s="579"/>
      <c r="M463" s="87"/>
      <c r="N463" s="87"/>
      <c r="O463" s="87"/>
      <c r="P463" s="87"/>
      <c r="Q463" s="87"/>
      <c r="R463" s="87"/>
      <c r="S463" s="87"/>
      <c r="T463" s="87"/>
      <c r="U463" s="87"/>
      <c r="V463" s="87"/>
      <c r="W463" s="87"/>
      <c r="X463" s="87"/>
      <c r="Y463" s="87"/>
    </row>
    <row r="464">
      <c r="A464" s="100"/>
      <c r="B464" s="579"/>
      <c r="C464" s="100"/>
      <c r="D464" s="579"/>
      <c r="E464" s="100"/>
      <c r="F464" s="579"/>
      <c r="G464" s="100"/>
      <c r="H464" s="601"/>
      <c r="I464" s="100"/>
      <c r="J464" s="583"/>
      <c r="K464" s="100"/>
      <c r="L464" s="579"/>
      <c r="M464" s="87"/>
      <c r="N464" s="87"/>
      <c r="O464" s="87"/>
      <c r="P464" s="87"/>
      <c r="Q464" s="87"/>
      <c r="R464" s="87"/>
      <c r="S464" s="87"/>
      <c r="T464" s="87"/>
      <c r="U464" s="87"/>
      <c r="V464" s="87"/>
      <c r="W464" s="87"/>
      <c r="X464" s="87"/>
      <c r="Y464" s="87"/>
    </row>
    <row r="465">
      <c r="A465" s="100"/>
      <c r="B465" s="579"/>
      <c r="C465" s="100"/>
      <c r="D465" s="579"/>
      <c r="E465" s="100"/>
      <c r="F465" s="579"/>
      <c r="G465" s="100"/>
      <c r="H465" s="601"/>
      <c r="I465" s="100"/>
      <c r="J465" s="583"/>
      <c r="K465" s="100"/>
      <c r="L465" s="579"/>
      <c r="M465" s="87"/>
      <c r="N465" s="87"/>
      <c r="O465" s="87"/>
      <c r="P465" s="87"/>
      <c r="Q465" s="87"/>
      <c r="R465" s="87"/>
      <c r="S465" s="87"/>
      <c r="T465" s="87"/>
      <c r="U465" s="87"/>
      <c r="V465" s="87"/>
      <c r="W465" s="87"/>
      <c r="X465" s="87"/>
      <c r="Y465" s="87"/>
    </row>
    <row r="466">
      <c r="A466" s="100"/>
      <c r="B466" s="579"/>
      <c r="C466" s="100"/>
      <c r="D466" s="579"/>
      <c r="E466" s="100"/>
      <c r="F466" s="579"/>
      <c r="G466" s="100"/>
      <c r="H466" s="601"/>
      <c r="I466" s="100"/>
      <c r="J466" s="583"/>
      <c r="K466" s="100"/>
      <c r="L466" s="579"/>
      <c r="M466" s="87"/>
      <c r="N466" s="87"/>
      <c r="O466" s="87"/>
      <c r="P466" s="87"/>
      <c r="Q466" s="87"/>
      <c r="R466" s="87"/>
      <c r="S466" s="87"/>
      <c r="T466" s="87"/>
      <c r="U466" s="87"/>
      <c r="V466" s="87"/>
      <c r="W466" s="87"/>
      <c r="X466" s="87"/>
      <c r="Y466" s="87"/>
    </row>
    <row r="467">
      <c r="A467" s="100"/>
      <c r="B467" s="579"/>
      <c r="C467" s="100"/>
      <c r="D467" s="579"/>
      <c r="E467" s="100"/>
      <c r="F467" s="579"/>
      <c r="G467" s="100"/>
      <c r="H467" s="601"/>
      <c r="I467" s="100"/>
      <c r="J467" s="583"/>
      <c r="K467" s="100"/>
      <c r="L467" s="579"/>
      <c r="M467" s="87"/>
      <c r="N467" s="87"/>
      <c r="O467" s="87"/>
      <c r="P467" s="87"/>
      <c r="Q467" s="87"/>
      <c r="R467" s="87"/>
      <c r="S467" s="87"/>
      <c r="T467" s="87"/>
      <c r="U467" s="87"/>
      <c r="V467" s="87"/>
      <c r="W467" s="87"/>
      <c r="X467" s="87"/>
      <c r="Y467" s="87"/>
    </row>
    <row r="468">
      <c r="A468" s="100"/>
      <c r="B468" s="579"/>
      <c r="C468" s="100"/>
      <c r="D468" s="579"/>
      <c r="E468" s="100"/>
      <c r="F468" s="579"/>
      <c r="G468" s="100"/>
      <c r="H468" s="601"/>
      <c r="I468" s="100"/>
      <c r="J468" s="583"/>
      <c r="K468" s="100"/>
      <c r="L468" s="579"/>
      <c r="M468" s="87"/>
      <c r="N468" s="87"/>
      <c r="O468" s="87"/>
      <c r="P468" s="87"/>
      <c r="Q468" s="87"/>
      <c r="R468" s="87"/>
      <c r="S468" s="87"/>
      <c r="T468" s="87"/>
      <c r="U468" s="87"/>
      <c r="V468" s="87"/>
      <c r="W468" s="87"/>
      <c r="X468" s="87"/>
      <c r="Y468" s="87"/>
    </row>
    <row r="469">
      <c r="A469" s="100"/>
      <c r="B469" s="579"/>
      <c r="C469" s="100"/>
      <c r="D469" s="579"/>
      <c r="E469" s="100"/>
      <c r="F469" s="579"/>
      <c r="G469" s="100"/>
      <c r="H469" s="601"/>
      <c r="I469" s="100"/>
      <c r="J469" s="583"/>
      <c r="K469" s="100"/>
      <c r="L469" s="579"/>
      <c r="M469" s="87"/>
      <c r="N469" s="87"/>
      <c r="O469" s="87"/>
      <c r="P469" s="87"/>
      <c r="Q469" s="87"/>
      <c r="R469" s="87"/>
      <c r="S469" s="87"/>
      <c r="T469" s="87"/>
      <c r="U469" s="87"/>
      <c r="V469" s="87"/>
      <c r="W469" s="87"/>
      <c r="X469" s="87"/>
      <c r="Y469" s="87"/>
    </row>
    <row r="470">
      <c r="A470" s="100"/>
      <c r="B470" s="579"/>
      <c r="C470" s="100"/>
      <c r="D470" s="579"/>
      <c r="E470" s="100"/>
      <c r="F470" s="579"/>
      <c r="G470" s="100"/>
      <c r="H470" s="601"/>
      <c r="I470" s="100"/>
      <c r="J470" s="583"/>
      <c r="K470" s="100"/>
      <c r="L470" s="579"/>
      <c r="M470" s="87"/>
      <c r="N470" s="87"/>
      <c r="O470" s="87"/>
      <c r="P470" s="87"/>
      <c r="Q470" s="87"/>
      <c r="R470" s="87"/>
      <c r="S470" s="87"/>
      <c r="T470" s="87"/>
      <c r="U470" s="87"/>
      <c r="V470" s="87"/>
      <c r="W470" s="87"/>
      <c r="X470" s="87"/>
      <c r="Y470" s="87"/>
    </row>
    <row r="471">
      <c r="A471" s="100"/>
      <c r="B471" s="579"/>
      <c r="C471" s="100"/>
      <c r="D471" s="579"/>
      <c r="E471" s="100"/>
      <c r="F471" s="579"/>
      <c r="G471" s="100"/>
      <c r="H471" s="601"/>
      <c r="I471" s="100"/>
      <c r="J471" s="583"/>
      <c r="K471" s="100"/>
      <c r="L471" s="579"/>
      <c r="M471" s="87"/>
      <c r="N471" s="87"/>
      <c r="O471" s="87"/>
      <c r="P471" s="87"/>
      <c r="Q471" s="87"/>
      <c r="R471" s="87"/>
      <c r="S471" s="87"/>
      <c r="T471" s="87"/>
      <c r="U471" s="87"/>
      <c r="V471" s="87"/>
      <c r="W471" s="87"/>
      <c r="X471" s="87"/>
      <c r="Y471" s="87"/>
    </row>
    <row r="472">
      <c r="A472" s="100"/>
      <c r="B472" s="579"/>
      <c r="C472" s="100"/>
      <c r="D472" s="579"/>
      <c r="E472" s="100"/>
      <c r="F472" s="579"/>
      <c r="G472" s="100"/>
      <c r="H472" s="601"/>
      <c r="I472" s="100"/>
      <c r="J472" s="583"/>
      <c r="K472" s="100"/>
      <c r="L472" s="579"/>
      <c r="M472" s="87"/>
      <c r="N472" s="87"/>
      <c r="O472" s="87"/>
      <c r="P472" s="87"/>
      <c r="Q472" s="87"/>
      <c r="R472" s="87"/>
      <c r="S472" s="87"/>
      <c r="T472" s="87"/>
      <c r="U472" s="87"/>
      <c r="V472" s="87"/>
      <c r="W472" s="87"/>
      <c r="X472" s="87"/>
      <c r="Y472" s="87"/>
    </row>
    <row r="473">
      <c r="A473" s="100"/>
      <c r="B473" s="579"/>
      <c r="C473" s="100"/>
      <c r="D473" s="579"/>
      <c r="E473" s="100"/>
      <c r="F473" s="579"/>
      <c r="G473" s="100"/>
      <c r="H473" s="601"/>
      <c r="I473" s="100"/>
      <c r="J473" s="583"/>
      <c r="K473" s="100"/>
      <c r="L473" s="579"/>
      <c r="M473" s="87"/>
      <c r="N473" s="87"/>
      <c r="O473" s="87"/>
      <c r="P473" s="87"/>
      <c r="Q473" s="87"/>
      <c r="R473" s="87"/>
      <c r="S473" s="87"/>
      <c r="T473" s="87"/>
      <c r="U473" s="87"/>
      <c r="V473" s="87"/>
      <c r="W473" s="87"/>
      <c r="X473" s="87"/>
      <c r="Y473" s="87"/>
    </row>
    <row r="474">
      <c r="A474" s="100"/>
      <c r="B474" s="579"/>
      <c r="C474" s="100"/>
      <c r="D474" s="579"/>
      <c r="E474" s="100"/>
      <c r="F474" s="579"/>
      <c r="G474" s="100"/>
      <c r="H474" s="601"/>
      <c r="I474" s="100"/>
      <c r="J474" s="583"/>
      <c r="K474" s="100"/>
      <c r="L474" s="579"/>
      <c r="M474" s="87"/>
      <c r="N474" s="87"/>
      <c r="O474" s="87"/>
      <c r="P474" s="87"/>
      <c r="Q474" s="87"/>
      <c r="R474" s="87"/>
      <c r="S474" s="87"/>
      <c r="T474" s="87"/>
      <c r="U474" s="87"/>
      <c r="V474" s="87"/>
      <c r="W474" s="87"/>
      <c r="X474" s="87"/>
      <c r="Y474" s="87"/>
    </row>
    <row r="475">
      <c r="A475" s="100"/>
      <c r="B475" s="579"/>
      <c r="C475" s="100"/>
      <c r="D475" s="579"/>
      <c r="E475" s="100"/>
      <c r="F475" s="579"/>
      <c r="G475" s="100"/>
      <c r="H475" s="601"/>
      <c r="I475" s="100"/>
      <c r="J475" s="583"/>
      <c r="K475" s="100"/>
      <c r="L475" s="579"/>
      <c r="M475" s="87"/>
      <c r="N475" s="87"/>
      <c r="O475" s="87"/>
      <c r="P475" s="87"/>
      <c r="Q475" s="87"/>
      <c r="R475" s="87"/>
      <c r="S475" s="87"/>
      <c r="T475" s="87"/>
      <c r="U475" s="87"/>
      <c r="V475" s="87"/>
      <c r="W475" s="87"/>
      <c r="X475" s="87"/>
      <c r="Y475" s="87"/>
    </row>
    <row r="476">
      <c r="A476" s="100"/>
      <c r="B476" s="579"/>
      <c r="C476" s="100"/>
      <c r="D476" s="579"/>
      <c r="E476" s="100"/>
      <c r="F476" s="579"/>
      <c r="G476" s="100"/>
      <c r="H476" s="601"/>
      <c r="I476" s="100"/>
      <c r="J476" s="583"/>
      <c r="K476" s="100"/>
      <c r="L476" s="579"/>
      <c r="M476" s="87"/>
      <c r="N476" s="87"/>
      <c r="O476" s="87"/>
      <c r="P476" s="87"/>
      <c r="Q476" s="87"/>
      <c r="R476" s="87"/>
      <c r="S476" s="87"/>
      <c r="T476" s="87"/>
      <c r="U476" s="87"/>
      <c r="V476" s="87"/>
      <c r="W476" s="87"/>
      <c r="X476" s="87"/>
      <c r="Y476" s="87"/>
    </row>
    <row r="477">
      <c r="A477" s="100"/>
      <c r="B477" s="579"/>
      <c r="C477" s="100"/>
      <c r="D477" s="579"/>
      <c r="E477" s="100"/>
      <c r="F477" s="579"/>
      <c r="G477" s="100"/>
      <c r="H477" s="601"/>
      <c r="I477" s="100"/>
      <c r="J477" s="583"/>
      <c r="K477" s="100"/>
      <c r="L477" s="579"/>
      <c r="M477" s="87"/>
      <c r="N477" s="87"/>
      <c r="O477" s="87"/>
      <c r="P477" s="87"/>
      <c r="Q477" s="87"/>
      <c r="R477" s="87"/>
      <c r="S477" s="87"/>
      <c r="T477" s="87"/>
      <c r="U477" s="87"/>
      <c r="V477" s="87"/>
      <c r="W477" s="87"/>
      <c r="X477" s="87"/>
      <c r="Y477" s="87"/>
    </row>
    <row r="478">
      <c r="A478" s="100"/>
      <c r="B478" s="579"/>
      <c r="C478" s="100"/>
      <c r="D478" s="579"/>
      <c r="E478" s="100"/>
      <c r="F478" s="579"/>
      <c r="G478" s="100"/>
      <c r="H478" s="601"/>
      <c r="I478" s="100"/>
      <c r="J478" s="583"/>
      <c r="K478" s="100"/>
      <c r="L478" s="579"/>
      <c r="M478" s="87"/>
      <c r="N478" s="87"/>
      <c r="O478" s="87"/>
      <c r="P478" s="87"/>
      <c r="Q478" s="87"/>
      <c r="R478" s="87"/>
      <c r="S478" s="87"/>
      <c r="T478" s="87"/>
      <c r="U478" s="87"/>
      <c r="V478" s="87"/>
      <c r="W478" s="87"/>
      <c r="X478" s="87"/>
      <c r="Y478" s="87"/>
    </row>
    <row r="479">
      <c r="A479" s="100"/>
      <c r="B479" s="579"/>
      <c r="C479" s="100"/>
      <c r="D479" s="579"/>
      <c r="E479" s="100"/>
      <c r="F479" s="579"/>
      <c r="G479" s="100"/>
      <c r="H479" s="601"/>
      <c r="I479" s="100"/>
      <c r="J479" s="583"/>
      <c r="K479" s="100"/>
      <c r="L479" s="579"/>
      <c r="M479" s="87"/>
      <c r="N479" s="87"/>
      <c r="O479" s="87"/>
      <c r="P479" s="87"/>
      <c r="Q479" s="87"/>
      <c r="R479" s="87"/>
      <c r="S479" s="87"/>
      <c r="T479" s="87"/>
      <c r="U479" s="87"/>
      <c r="V479" s="87"/>
      <c r="W479" s="87"/>
      <c r="X479" s="87"/>
      <c r="Y479" s="87"/>
    </row>
    <row r="480">
      <c r="A480" s="100"/>
      <c r="B480" s="579"/>
      <c r="C480" s="100"/>
      <c r="D480" s="579"/>
      <c r="E480" s="100"/>
      <c r="F480" s="579"/>
      <c r="G480" s="100"/>
      <c r="H480" s="601"/>
      <c r="I480" s="100"/>
      <c r="J480" s="583"/>
      <c r="K480" s="100"/>
      <c r="L480" s="579"/>
      <c r="M480" s="87"/>
      <c r="N480" s="87"/>
      <c r="O480" s="87"/>
      <c r="P480" s="87"/>
      <c r="Q480" s="87"/>
      <c r="R480" s="87"/>
      <c r="S480" s="87"/>
      <c r="T480" s="87"/>
      <c r="U480" s="87"/>
      <c r="V480" s="87"/>
      <c r="W480" s="87"/>
      <c r="X480" s="87"/>
      <c r="Y480" s="87"/>
    </row>
    <row r="481">
      <c r="A481" s="100"/>
      <c r="B481" s="579"/>
      <c r="C481" s="100"/>
      <c r="D481" s="579"/>
      <c r="E481" s="100"/>
      <c r="F481" s="579"/>
      <c r="G481" s="100"/>
      <c r="H481" s="601"/>
      <c r="I481" s="100"/>
      <c r="J481" s="583"/>
      <c r="K481" s="100"/>
      <c r="L481" s="579"/>
      <c r="M481" s="87"/>
      <c r="N481" s="87"/>
      <c r="O481" s="87"/>
      <c r="P481" s="87"/>
      <c r="Q481" s="87"/>
      <c r="R481" s="87"/>
      <c r="S481" s="87"/>
      <c r="T481" s="87"/>
      <c r="U481" s="87"/>
      <c r="V481" s="87"/>
      <c r="W481" s="87"/>
      <c r="X481" s="87"/>
      <c r="Y481" s="87"/>
    </row>
    <row r="482">
      <c r="A482" s="100"/>
      <c r="B482" s="579"/>
      <c r="C482" s="100"/>
      <c r="D482" s="579"/>
      <c r="E482" s="100"/>
      <c r="F482" s="579"/>
      <c r="G482" s="100"/>
      <c r="H482" s="601"/>
      <c r="I482" s="100"/>
      <c r="J482" s="583"/>
      <c r="K482" s="100"/>
      <c r="L482" s="579"/>
      <c r="M482" s="87"/>
      <c r="N482" s="87"/>
      <c r="O482" s="87"/>
      <c r="P482" s="87"/>
      <c r="Q482" s="87"/>
      <c r="R482" s="87"/>
      <c r="S482" s="87"/>
      <c r="T482" s="87"/>
      <c r="U482" s="87"/>
      <c r="V482" s="87"/>
      <c r="W482" s="87"/>
      <c r="X482" s="87"/>
      <c r="Y482" s="87"/>
    </row>
    <row r="483">
      <c r="A483" s="100"/>
      <c r="B483" s="579"/>
      <c r="C483" s="100"/>
      <c r="D483" s="579"/>
      <c r="E483" s="100"/>
      <c r="F483" s="579"/>
      <c r="G483" s="100"/>
      <c r="H483" s="601"/>
      <c r="I483" s="100"/>
      <c r="J483" s="583"/>
      <c r="K483" s="100"/>
      <c r="L483" s="579"/>
      <c r="M483" s="87"/>
      <c r="N483" s="87"/>
      <c r="O483" s="87"/>
      <c r="P483" s="87"/>
      <c r="Q483" s="87"/>
      <c r="R483" s="87"/>
      <c r="S483" s="87"/>
      <c r="T483" s="87"/>
      <c r="U483" s="87"/>
      <c r="V483" s="87"/>
      <c r="W483" s="87"/>
      <c r="X483" s="87"/>
      <c r="Y483" s="87"/>
    </row>
    <row r="484">
      <c r="A484" s="100"/>
      <c r="B484" s="579"/>
      <c r="C484" s="100"/>
      <c r="D484" s="579"/>
      <c r="E484" s="100"/>
      <c r="F484" s="579"/>
      <c r="G484" s="100"/>
      <c r="H484" s="601"/>
      <c r="I484" s="100"/>
      <c r="J484" s="583"/>
      <c r="K484" s="100"/>
      <c r="L484" s="579"/>
      <c r="M484" s="87"/>
      <c r="N484" s="87"/>
      <c r="O484" s="87"/>
      <c r="P484" s="87"/>
      <c r="Q484" s="87"/>
      <c r="R484" s="87"/>
      <c r="S484" s="87"/>
      <c r="T484" s="87"/>
      <c r="U484" s="87"/>
      <c r="V484" s="87"/>
      <c r="W484" s="87"/>
      <c r="X484" s="87"/>
      <c r="Y484" s="87"/>
    </row>
    <row r="485">
      <c r="A485" s="100"/>
      <c r="B485" s="579"/>
      <c r="C485" s="100"/>
      <c r="D485" s="579"/>
      <c r="E485" s="100"/>
      <c r="F485" s="579"/>
      <c r="G485" s="100"/>
      <c r="H485" s="601"/>
      <c r="I485" s="100"/>
      <c r="J485" s="583"/>
      <c r="K485" s="100"/>
      <c r="L485" s="579"/>
      <c r="M485" s="87"/>
      <c r="N485" s="87"/>
      <c r="O485" s="87"/>
      <c r="P485" s="87"/>
      <c r="Q485" s="87"/>
      <c r="R485" s="87"/>
      <c r="S485" s="87"/>
      <c r="T485" s="87"/>
      <c r="U485" s="87"/>
      <c r="V485" s="87"/>
      <c r="W485" s="87"/>
      <c r="X485" s="87"/>
      <c r="Y485" s="87"/>
    </row>
    <row r="486">
      <c r="A486" s="100"/>
      <c r="B486" s="579"/>
      <c r="C486" s="100"/>
      <c r="D486" s="579"/>
      <c r="E486" s="100"/>
      <c r="F486" s="579"/>
      <c r="G486" s="100"/>
      <c r="H486" s="601"/>
      <c r="I486" s="100"/>
      <c r="J486" s="583"/>
      <c r="K486" s="100"/>
      <c r="L486" s="579"/>
      <c r="M486" s="87"/>
      <c r="N486" s="87"/>
      <c r="O486" s="87"/>
      <c r="P486" s="87"/>
      <c r="Q486" s="87"/>
      <c r="R486" s="87"/>
      <c r="S486" s="87"/>
      <c r="T486" s="87"/>
      <c r="U486" s="87"/>
      <c r="V486" s="87"/>
      <c r="W486" s="87"/>
      <c r="X486" s="87"/>
      <c r="Y486" s="87"/>
    </row>
    <row r="487">
      <c r="A487" s="100"/>
      <c r="B487" s="579"/>
      <c r="C487" s="100"/>
      <c r="D487" s="579"/>
      <c r="E487" s="100"/>
      <c r="F487" s="579"/>
      <c r="G487" s="100"/>
      <c r="H487" s="601"/>
      <c r="I487" s="100"/>
      <c r="J487" s="583"/>
      <c r="K487" s="100"/>
      <c r="L487" s="579"/>
      <c r="M487" s="87"/>
      <c r="N487" s="87"/>
      <c r="O487" s="87"/>
      <c r="P487" s="87"/>
      <c r="Q487" s="87"/>
      <c r="R487" s="87"/>
      <c r="S487" s="87"/>
      <c r="T487" s="87"/>
      <c r="U487" s="87"/>
      <c r="V487" s="87"/>
      <c r="W487" s="87"/>
      <c r="X487" s="87"/>
      <c r="Y487" s="87"/>
    </row>
    <row r="488">
      <c r="A488" s="100"/>
      <c r="B488" s="579"/>
      <c r="C488" s="100"/>
      <c r="D488" s="579"/>
      <c r="E488" s="100"/>
      <c r="F488" s="579"/>
      <c r="G488" s="100"/>
      <c r="H488" s="601"/>
      <c r="I488" s="100"/>
      <c r="J488" s="583"/>
      <c r="K488" s="100"/>
      <c r="L488" s="579"/>
      <c r="M488" s="87"/>
      <c r="N488" s="87"/>
      <c r="O488" s="87"/>
      <c r="P488" s="87"/>
      <c r="Q488" s="87"/>
      <c r="R488" s="87"/>
      <c r="S488" s="87"/>
      <c r="T488" s="87"/>
      <c r="U488" s="87"/>
      <c r="V488" s="87"/>
      <c r="W488" s="87"/>
      <c r="X488" s="87"/>
      <c r="Y488" s="87"/>
    </row>
    <row r="489">
      <c r="A489" s="100"/>
      <c r="B489" s="579"/>
      <c r="C489" s="100"/>
      <c r="D489" s="579"/>
      <c r="E489" s="100"/>
      <c r="F489" s="579"/>
      <c r="G489" s="100"/>
      <c r="H489" s="601"/>
      <c r="I489" s="100"/>
      <c r="J489" s="583"/>
      <c r="K489" s="100"/>
      <c r="L489" s="579"/>
      <c r="M489" s="87"/>
      <c r="N489" s="87"/>
      <c r="O489" s="87"/>
      <c r="P489" s="87"/>
      <c r="Q489" s="87"/>
      <c r="R489" s="87"/>
      <c r="S489" s="87"/>
      <c r="T489" s="87"/>
      <c r="U489" s="87"/>
      <c r="V489" s="87"/>
      <c r="W489" s="87"/>
      <c r="X489" s="87"/>
      <c r="Y489" s="87"/>
    </row>
    <row r="490">
      <c r="A490" s="100"/>
      <c r="B490" s="579"/>
      <c r="C490" s="100"/>
      <c r="D490" s="579"/>
      <c r="E490" s="100"/>
      <c r="F490" s="579"/>
      <c r="G490" s="100"/>
      <c r="H490" s="601"/>
      <c r="I490" s="100"/>
      <c r="J490" s="583"/>
      <c r="K490" s="100"/>
      <c r="L490" s="579"/>
      <c r="M490" s="87"/>
      <c r="N490" s="87"/>
      <c r="O490" s="87"/>
      <c r="P490" s="87"/>
      <c r="Q490" s="87"/>
      <c r="R490" s="87"/>
      <c r="S490" s="87"/>
      <c r="T490" s="87"/>
      <c r="U490" s="87"/>
      <c r="V490" s="87"/>
      <c r="W490" s="87"/>
      <c r="X490" s="87"/>
      <c r="Y490" s="87"/>
    </row>
    <row r="491">
      <c r="A491" s="100"/>
      <c r="B491" s="579"/>
      <c r="C491" s="100"/>
      <c r="D491" s="579"/>
      <c r="E491" s="100"/>
      <c r="F491" s="579"/>
      <c r="G491" s="100"/>
      <c r="H491" s="601"/>
      <c r="I491" s="100"/>
      <c r="J491" s="583"/>
      <c r="K491" s="100"/>
      <c r="L491" s="579"/>
      <c r="M491" s="87"/>
      <c r="N491" s="87"/>
      <c r="O491" s="87"/>
      <c r="P491" s="87"/>
      <c r="Q491" s="87"/>
      <c r="R491" s="87"/>
      <c r="S491" s="87"/>
      <c r="T491" s="87"/>
      <c r="U491" s="87"/>
      <c r="V491" s="87"/>
      <c r="W491" s="87"/>
      <c r="X491" s="87"/>
      <c r="Y491" s="87"/>
    </row>
    <row r="492">
      <c r="A492" s="100"/>
      <c r="B492" s="579"/>
      <c r="C492" s="100"/>
      <c r="D492" s="579"/>
      <c r="E492" s="100"/>
      <c r="F492" s="579"/>
      <c r="G492" s="100"/>
      <c r="H492" s="601"/>
      <c r="I492" s="100"/>
      <c r="J492" s="583"/>
      <c r="K492" s="100"/>
      <c r="L492" s="579"/>
      <c r="M492" s="87"/>
      <c r="N492" s="87"/>
      <c r="O492" s="87"/>
      <c r="P492" s="87"/>
      <c r="Q492" s="87"/>
      <c r="R492" s="87"/>
      <c r="S492" s="87"/>
      <c r="T492" s="87"/>
      <c r="U492" s="87"/>
      <c r="V492" s="87"/>
      <c r="W492" s="87"/>
      <c r="X492" s="87"/>
      <c r="Y492" s="87"/>
    </row>
    <row r="493">
      <c r="A493" s="100"/>
      <c r="B493" s="579"/>
      <c r="C493" s="100"/>
      <c r="D493" s="579"/>
      <c r="E493" s="100"/>
      <c r="F493" s="579"/>
      <c r="G493" s="100"/>
      <c r="H493" s="601"/>
      <c r="I493" s="100"/>
      <c r="J493" s="583"/>
      <c r="K493" s="100"/>
      <c r="L493" s="579"/>
      <c r="M493" s="87"/>
      <c r="N493" s="87"/>
      <c r="O493" s="87"/>
      <c r="P493" s="87"/>
      <c r="Q493" s="87"/>
      <c r="R493" s="87"/>
      <c r="S493" s="87"/>
      <c r="T493" s="87"/>
      <c r="U493" s="87"/>
      <c r="V493" s="87"/>
      <c r="W493" s="87"/>
      <c r="X493" s="87"/>
      <c r="Y493" s="87"/>
    </row>
    <row r="494">
      <c r="A494" s="100"/>
      <c r="B494" s="579"/>
      <c r="C494" s="100"/>
      <c r="D494" s="579"/>
      <c r="E494" s="100"/>
      <c r="F494" s="579"/>
      <c r="G494" s="100"/>
      <c r="H494" s="601"/>
      <c r="I494" s="100"/>
      <c r="J494" s="583"/>
      <c r="K494" s="100"/>
      <c r="L494" s="579"/>
      <c r="M494" s="87"/>
      <c r="N494" s="87"/>
      <c r="O494" s="87"/>
      <c r="P494" s="87"/>
      <c r="Q494" s="87"/>
      <c r="R494" s="87"/>
      <c r="S494" s="87"/>
      <c r="T494" s="87"/>
      <c r="U494" s="87"/>
      <c r="V494" s="87"/>
      <c r="W494" s="87"/>
      <c r="X494" s="87"/>
      <c r="Y494" s="87"/>
    </row>
    <row r="495">
      <c r="A495" s="100"/>
      <c r="B495" s="579"/>
      <c r="C495" s="100"/>
      <c r="D495" s="579"/>
      <c r="E495" s="100"/>
      <c r="F495" s="579"/>
      <c r="G495" s="100"/>
      <c r="H495" s="601"/>
      <c r="I495" s="100"/>
      <c r="J495" s="583"/>
      <c r="K495" s="100"/>
      <c r="L495" s="579"/>
      <c r="M495" s="87"/>
      <c r="N495" s="87"/>
      <c r="O495" s="87"/>
      <c r="P495" s="87"/>
      <c r="Q495" s="87"/>
      <c r="R495" s="87"/>
      <c r="S495" s="87"/>
      <c r="T495" s="87"/>
      <c r="U495" s="87"/>
      <c r="V495" s="87"/>
      <c r="W495" s="87"/>
      <c r="X495" s="87"/>
      <c r="Y495" s="87"/>
    </row>
    <row r="496">
      <c r="A496" s="100"/>
      <c r="B496" s="579"/>
      <c r="C496" s="100"/>
      <c r="D496" s="579"/>
      <c r="E496" s="100"/>
      <c r="F496" s="579"/>
      <c r="G496" s="100"/>
      <c r="H496" s="601"/>
      <c r="I496" s="100"/>
      <c r="J496" s="583"/>
      <c r="K496" s="100"/>
      <c r="L496" s="579"/>
      <c r="M496" s="87"/>
      <c r="N496" s="87"/>
      <c r="O496" s="87"/>
      <c r="P496" s="87"/>
      <c r="Q496" s="87"/>
      <c r="R496" s="87"/>
      <c r="S496" s="87"/>
      <c r="T496" s="87"/>
      <c r="U496" s="87"/>
      <c r="V496" s="87"/>
      <c r="W496" s="87"/>
      <c r="X496" s="87"/>
      <c r="Y496" s="87"/>
    </row>
    <row r="497">
      <c r="A497" s="100"/>
      <c r="B497" s="579"/>
      <c r="C497" s="100"/>
      <c r="D497" s="579"/>
      <c r="E497" s="100"/>
      <c r="F497" s="579"/>
      <c r="G497" s="100"/>
      <c r="H497" s="601"/>
      <c r="I497" s="100"/>
      <c r="J497" s="583"/>
      <c r="K497" s="100"/>
      <c r="L497" s="579"/>
      <c r="M497" s="87"/>
      <c r="N497" s="87"/>
      <c r="O497" s="87"/>
      <c r="P497" s="87"/>
      <c r="Q497" s="87"/>
      <c r="R497" s="87"/>
      <c r="S497" s="87"/>
      <c r="T497" s="87"/>
      <c r="U497" s="87"/>
      <c r="V497" s="87"/>
      <c r="W497" s="87"/>
      <c r="X497" s="87"/>
      <c r="Y497" s="87"/>
    </row>
    <row r="498">
      <c r="A498" s="100"/>
      <c r="B498" s="579"/>
      <c r="C498" s="100"/>
      <c r="D498" s="579"/>
      <c r="E498" s="100"/>
      <c r="F498" s="579"/>
      <c r="G498" s="100"/>
      <c r="H498" s="601"/>
      <c r="I498" s="100"/>
      <c r="J498" s="583"/>
      <c r="K498" s="100"/>
      <c r="L498" s="579"/>
      <c r="M498" s="87"/>
      <c r="N498" s="87"/>
      <c r="O498" s="87"/>
      <c r="P498" s="87"/>
      <c r="Q498" s="87"/>
      <c r="R498" s="87"/>
      <c r="S498" s="87"/>
      <c r="T498" s="87"/>
      <c r="U498" s="87"/>
      <c r="V498" s="87"/>
      <c r="W498" s="87"/>
      <c r="X498" s="87"/>
      <c r="Y498" s="87"/>
    </row>
    <row r="499">
      <c r="A499" s="100"/>
      <c r="B499" s="579"/>
      <c r="C499" s="100"/>
      <c r="D499" s="579"/>
      <c r="E499" s="100"/>
      <c r="F499" s="579"/>
      <c r="G499" s="100"/>
      <c r="H499" s="601"/>
      <c r="I499" s="100"/>
      <c r="J499" s="583"/>
      <c r="K499" s="100"/>
      <c r="L499" s="579"/>
      <c r="M499" s="87"/>
      <c r="N499" s="87"/>
      <c r="O499" s="87"/>
      <c r="P499" s="87"/>
      <c r="Q499" s="87"/>
      <c r="R499" s="87"/>
      <c r="S499" s="87"/>
      <c r="T499" s="87"/>
      <c r="U499" s="87"/>
      <c r="V499" s="87"/>
      <c r="W499" s="87"/>
      <c r="X499" s="87"/>
      <c r="Y499" s="87"/>
    </row>
    <row r="500">
      <c r="A500" s="100"/>
      <c r="B500" s="579"/>
      <c r="C500" s="100"/>
      <c r="D500" s="579"/>
      <c r="E500" s="100"/>
      <c r="F500" s="579"/>
      <c r="G500" s="100"/>
      <c r="H500" s="601"/>
      <c r="I500" s="100"/>
      <c r="J500" s="583"/>
      <c r="K500" s="100"/>
      <c r="L500" s="579"/>
      <c r="M500" s="87"/>
      <c r="N500" s="87"/>
      <c r="O500" s="87"/>
      <c r="P500" s="87"/>
      <c r="Q500" s="87"/>
      <c r="R500" s="87"/>
      <c r="S500" s="87"/>
      <c r="T500" s="87"/>
      <c r="U500" s="87"/>
      <c r="V500" s="87"/>
      <c r="W500" s="87"/>
      <c r="X500" s="87"/>
      <c r="Y500" s="87"/>
    </row>
    <row r="501">
      <c r="A501" s="100"/>
      <c r="B501" s="579"/>
      <c r="C501" s="100"/>
      <c r="D501" s="579"/>
      <c r="E501" s="100"/>
      <c r="F501" s="579"/>
      <c r="G501" s="100"/>
      <c r="H501" s="601"/>
      <c r="I501" s="100"/>
      <c r="J501" s="583"/>
      <c r="K501" s="100"/>
      <c r="L501" s="579"/>
      <c r="M501" s="87"/>
      <c r="N501" s="87"/>
      <c r="O501" s="87"/>
      <c r="P501" s="87"/>
      <c r="Q501" s="87"/>
      <c r="R501" s="87"/>
      <c r="S501" s="87"/>
      <c r="T501" s="87"/>
      <c r="U501" s="87"/>
      <c r="V501" s="87"/>
      <c r="W501" s="87"/>
      <c r="X501" s="87"/>
      <c r="Y501" s="87"/>
    </row>
    <row r="502">
      <c r="A502" s="100"/>
      <c r="B502" s="579"/>
      <c r="C502" s="100"/>
      <c r="D502" s="579"/>
      <c r="E502" s="100"/>
      <c r="F502" s="579"/>
      <c r="G502" s="100"/>
      <c r="H502" s="601"/>
      <c r="I502" s="100"/>
      <c r="J502" s="583"/>
      <c r="K502" s="100"/>
      <c r="L502" s="579"/>
      <c r="M502" s="87"/>
      <c r="N502" s="87"/>
      <c r="O502" s="87"/>
      <c r="P502" s="87"/>
      <c r="Q502" s="87"/>
      <c r="R502" s="87"/>
      <c r="S502" s="87"/>
      <c r="T502" s="87"/>
      <c r="U502" s="87"/>
      <c r="V502" s="87"/>
      <c r="W502" s="87"/>
      <c r="X502" s="87"/>
      <c r="Y502" s="87"/>
    </row>
    <row r="503">
      <c r="A503" s="100"/>
      <c r="B503" s="579"/>
      <c r="C503" s="100"/>
      <c r="D503" s="579"/>
      <c r="E503" s="100"/>
      <c r="F503" s="579"/>
      <c r="G503" s="100"/>
      <c r="H503" s="601"/>
      <c r="I503" s="100"/>
      <c r="J503" s="583"/>
      <c r="K503" s="100"/>
      <c r="L503" s="579"/>
      <c r="M503" s="87"/>
      <c r="N503" s="87"/>
      <c r="O503" s="87"/>
      <c r="P503" s="87"/>
      <c r="Q503" s="87"/>
      <c r="R503" s="87"/>
      <c r="S503" s="87"/>
      <c r="T503" s="87"/>
      <c r="U503" s="87"/>
      <c r="V503" s="87"/>
      <c r="W503" s="87"/>
      <c r="X503" s="87"/>
      <c r="Y503" s="87"/>
    </row>
    <row r="504">
      <c r="A504" s="100"/>
      <c r="B504" s="579"/>
      <c r="C504" s="100"/>
      <c r="D504" s="579"/>
      <c r="E504" s="100"/>
      <c r="F504" s="579"/>
      <c r="G504" s="100"/>
      <c r="H504" s="601"/>
      <c r="I504" s="100"/>
      <c r="J504" s="583"/>
      <c r="K504" s="100"/>
      <c r="L504" s="579"/>
      <c r="M504" s="87"/>
      <c r="N504" s="87"/>
      <c r="O504" s="87"/>
      <c r="P504" s="87"/>
      <c r="Q504" s="87"/>
      <c r="R504" s="87"/>
      <c r="S504" s="87"/>
      <c r="T504" s="87"/>
      <c r="U504" s="87"/>
      <c r="V504" s="87"/>
      <c r="W504" s="87"/>
      <c r="X504" s="87"/>
      <c r="Y504" s="87"/>
    </row>
    <row r="505">
      <c r="A505" s="100"/>
      <c r="B505" s="579"/>
      <c r="C505" s="100"/>
      <c r="D505" s="579"/>
      <c r="E505" s="100"/>
      <c r="F505" s="579"/>
      <c r="G505" s="100"/>
      <c r="H505" s="601"/>
      <c r="I505" s="100"/>
      <c r="J505" s="583"/>
      <c r="K505" s="100"/>
      <c r="L505" s="579"/>
      <c r="M505" s="87"/>
      <c r="N505" s="87"/>
      <c r="O505" s="87"/>
      <c r="P505" s="87"/>
      <c r="Q505" s="87"/>
      <c r="R505" s="87"/>
      <c r="S505" s="87"/>
      <c r="T505" s="87"/>
      <c r="U505" s="87"/>
      <c r="V505" s="87"/>
      <c r="W505" s="87"/>
      <c r="X505" s="87"/>
      <c r="Y505" s="87"/>
    </row>
    <row r="506">
      <c r="A506" s="100"/>
      <c r="B506" s="579"/>
      <c r="C506" s="100"/>
      <c r="D506" s="579"/>
      <c r="E506" s="100"/>
      <c r="F506" s="579"/>
      <c r="G506" s="100"/>
      <c r="H506" s="601"/>
      <c r="I506" s="100"/>
      <c r="J506" s="583"/>
      <c r="K506" s="100"/>
      <c r="L506" s="579"/>
      <c r="M506" s="87"/>
      <c r="N506" s="87"/>
      <c r="O506" s="87"/>
      <c r="P506" s="87"/>
      <c r="Q506" s="87"/>
      <c r="R506" s="87"/>
      <c r="S506" s="87"/>
      <c r="T506" s="87"/>
      <c r="U506" s="87"/>
      <c r="V506" s="87"/>
      <c r="W506" s="87"/>
      <c r="X506" s="87"/>
      <c r="Y506" s="87"/>
    </row>
    <row r="507">
      <c r="A507" s="100"/>
      <c r="B507" s="579"/>
      <c r="C507" s="100"/>
      <c r="D507" s="579"/>
      <c r="E507" s="100"/>
      <c r="F507" s="579"/>
      <c r="G507" s="100"/>
      <c r="H507" s="601"/>
      <c r="I507" s="100"/>
      <c r="J507" s="583"/>
      <c r="K507" s="100"/>
      <c r="L507" s="579"/>
      <c r="M507" s="87"/>
      <c r="N507" s="87"/>
      <c r="O507" s="87"/>
      <c r="P507" s="87"/>
      <c r="Q507" s="87"/>
      <c r="R507" s="87"/>
      <c r="S507" s="87"/>
      <c r="T507" s="87"/>
      <c r="U507" s="87"/>
      <c r="V507" s="87"/>
      <c r="W507" s="87"/>
      <c r="X507" s="87"/>
      <c r="Y507" s="87"/>
    </row>
    <row r="508">
      <c r="A508" s="100"/>
      <c r="B508" s="579"/>
      <c r="C508" s="100"/>
      <c r="D508" s="579"/>
      <c r="E508" s="100"/>
      <c r="F508" s="579"/>
      <c r="G508" s="100"/>
      <c r="H508" s="601"/>
      <c r="I508" s="100"/>
      <c r="J508" s="583"/>
      <c r="K508" s="100"/>
      <c r="L508" s="579"/>
      <c r="M508" s="87"/>
      <c r="N508" s="87"/>
      <c r="O508" s="87"/>
      <c r="P508" s="87"/>
      <c r="Q508" s="87"/>
      <c r="R508" s="87"/>
      <c r="S508" s="87"/>
      <c r="T508" s="87"/>
      <c r="U508" s="87"/>
      <c r="V508" s="87"/>
      <c r="W508" s="87"/>
      <c r="X508" s="87"/>
      <c r="Y508" s="87"/>
    </row>
    <row r="509">
      <c r="A509" s="100"/>
      <c r="B509" s="579"/>
      <c r="C509" s="100"/>
      <c r="D509" s="579"/>
      <c r="E509" s="100"/>
      <c r="F509" s="579"/>
      <c r="G509" s="100"/>
      <c r="H509" s="601"/>
      <c r="I509" s="100"/>
      <c r="J509" s="583"/>
      <c r="K509" s="100"/>
      <c r="L509" s="579"/>
      <c r="M509" s="87"/>
      <c r="N509" s="87"/>
      <c r="O509" s="87"/>
      <c r="P509" s="87"/>
      <c r="Q509" s="87"/>
      <c r="R509" s="87"/>
      <c r="S509" s="87"/>
      <c r="T509" s="87"/>
      <c r="U509" s="87"/>
      <c r="V509" s="87"/>
      <c r="W509" s="87"/>
      <c r="X509" s="87"/>
      <c r="Y509" s="87"/>
    </row>
    <row r="510">
      <c r="A510" s="100"/>
      <c r="B510" s="579"/>
      <c r="C510" s="100"/>
      <c r="D510" s="579"/>
      <c r="E510" s="100"/>
      <c r="F510" s="579"/>
      <c r="G510" s="100"/>
      <c r="H510" s="601"/>
      <c r="I510" s="100"/>
      <c r="J510" s="583"/>
      <c r="K510" s="100"/>
      <c r="L510" s="579"/>
      <c r="M510" s="87"/>
      <c r="N510" s="87"/>
      <c r="O510" s="87"/>
      <c r="P510" s="87"/>
      <c r="Q510" s="87"/>
      <c r="R510" s="87"/>
      <c r="S510" s="87"/>
      <c r="T510" s="87"/>
      <c r="U510" s="87"/>
      <c r="V510" s="87"/>
      <c r="W510" s="87"/>
      <c r="X510" s="87"/>
      <c r="Y510" s="87"/>
    </row>
    <row r="511">
      <c r="A511" s="100"/>
      <c r="B511" s="579"/>
      <c r="C511" s="100"/>
      <c r="D511" s="579"/>
      <c r="E511" s="100"/>
      <c r="F511" s="579"/>
      <c r="G511" s="100"/>
      <c r="H511" s="601"/>
      <c r="I511" s="100"/>
      <c r="J511" s="583"/>
      <c r="K511" s="100"/>
      <c r="L511" s="579"/>
      <c r="M511" s="87"/>
      <c r="N511" s="87"/>
      <c r="O511" s="87"/>
      <c r="P511" s="87"/>
      <c r="Q511" s="87"/>
      <c r="R511" s="87"/>
      <c r="S511" s="87"/>
      <c r="T511" s="87"/>
      <c r="U511" s="87"/>
      <c r="V511" s="87"/>
      <c r="W511" s="87"/>
      <c r="X511" s="87"/>
      <c r="Y511" s="87"/>
    </row>
    <row r="512">
      <c r="A512" s="100"/>
      <c r="B512" s="579"/>
      <c r="C512" s="100"/>
      <c r="D512" s="579"/>
      <c r="E512" s="100"/>
      <c r="F512" s="579"/>
      <c r="G512" s="100"/>
      <c r="H512" s="601"/>
      <c r="I512" s="100"/>
      <c r="J512" s="583"/>
      <c r="K512" s="100"/>
      <c r="L512" s="579"/>
      <c r="M512" s="87"/>
      <c r="N512" s="87"/>
      <c r="O512" s="87"/>
      <c r="P512" s="87"/>
      <c r="Q512" s="87"/>
      <c r="R512" s="87"/>
      <c r="S512" s="87"/>
      <c r="T512" s="87"/>
      <c r="U512" s="87"/>
      <c r="V512" s="87"/>
      <c r="W512" s="87"/>
      <c r="X512" s="87"/>
      <c r="Y512" s="87"/>
    </row>
    <row r="513">
      <c r="A513" s="100"/>
      <c r="B513" s="579"/>
      <c r="C513" s="100"/>
      <c r="D513" s="579"/>
      <c r="E513" s="100"/>
      <c r="F513" s="579"/>
      <c r="G513" s="100"/>
      <c r="H513" s="601"/>
      <c r="I513" s="100"/>
      <c r="J513" s="583"/>
      <c r="K513" s="100"/>
      <c r="L513" s="579"/>
      <c r="M513" s="87"/>
      <c r="N513" s="87"/>
      <c r="O513" s="87"/>
      <c r="P513" s="87"/>
      <c r="Q513" s="87"/>
      <c r="R513" s="87"/>
      <c r="S513" s="87"/>
      <c r="T513" s="87"/>
      <c r="U513" s="87"/>
      <c r="V513" s="87"/>
      <c r="W513" s="87"/>
      <c r="X513" s="87"/>
      <c r="Y513" s="87"/>
    </row>
    <row r="514">
      <c r="A514" s="100"/>
      <c r="B514" s="579"/>
      <c r="C514" s="100"/>
      <c r="D514" s="579"/>
      <c r="E514" s="100"/>
      <c r="F514" s="579"/>
      <c r="G514" s="100"/>
      <c r="H514" s="601"/>
      <c r="I514" s="100"/>
      <c r="J514" s="583"/>
      <c r="K514" s="100"/>
      <c r="L514" s="579"/>
      <c r="M514" s="87"/>
      <c r="N514" s="87"/>
      <c r="O514" s="87"/>
      <c r="P514" s="87"/>
      <c r="Q514" s="87"/>
      <c r="R514" s="87"/>
      <c r="S514" s="87"/>
      <c r="T514" s="87"/>
      <c r="U514" s="87"/>
      <c r="V514" s="87"/>
      <c r="W514" s="87"/>
      <c r="X514" s="87"/>
      <c r="Y514" s="87"/>
    </row>
    <row r="515">
      <c r="A515" s="100"/>
      <c r="B515" s="579"/>
      <c r="C515" s="100"/>
      <c r="D515" s="579"/>
      <c r="E515" s="100"/>
      <c r="F515" s="579"/>
      <c r="G515" s="100"/>
      <c r="H515" s="601"/>
      <c r="I515" s="100"/>
      <c r="J515" s="583"/>
      <c r="K515" s="100"/>
      <c r="L515" s="579"/>
      <c r="M515" s="87"/>
      <c r="N515" s="87"/>
      <c r="O515" s="87"/>
      <c r="P515" s="87"/>
      <c r="Q515" s="87"/>
      <c r="R515" s="87"/>
      <c r="S515" s="87"/>
      <c r="T515" s="87"/>
      <c r="U515" s="87"/>
      <c r="V515" s="87"/>
      <c r="W515" s="87"/>
      <c r="X515" s="87"/>
      <c r="Y515" s="87"/>
    </row>
    <row r="516">
      <c r="A516" s="100"/>
      <c r="B516" s="579"/>
      <c r="C516" s="100"/>
      <c r="D516" s="579"/>
      <c r="E516" s="100"/>
      <c r="F516" s="579"/>
      <c r="G516" s="100"/>
      <c r="H516" s="601"/>
      <c r="I516" s="100"/>
      <c r="J516" s="583"/>
      <c r="K516" s="100"/>
      <c r="L516" s="579"/>
      <c r="M516" s="87"/>
      <c r="N516" s="87"/>
      <c r="O516" s="87"/>
      <c r="P516" s="87"/>
      <c r="Q516" s="87"/>
      <c r="R516" s="87"/>
      <c r="S516" s="87"/>
      <c r="T516" s="87"/>
      <c r="U516" s="87"/>
      <c r="V516" s="87"/>
      <c r="W516" s="87"/>
      <c r="X516" s="87"/>
      <c r="Y516" s="87"/>
    </row>
    <row r="517">
      <c r="A517" s="100"/>
      <c r="B517" s="579"/>
      <c r="C517" s="100"/>
      <c r="D517" s="579"/>
      <c r="E517" s="100"/>
      <c r="F517" s="579"/>
      <c r="G517" s="100"/>
      <c r="H517" s="601"/>
      <c r="I517" s="100"/>
      <c r="J517" s="583"/>
      <c r="K517" s="100"/>
      <c r="L517" s="579"/>
      <c r="M517" s="87"/>
      <c r="N517" s="87"/>
      <c r="O517" s="87"/>
      <c r="P517" s="87"/>
      <c r="Q517" s="87"/>
      <c r="R517" s="87"/>
      <c r="S517" s="87"/>
      <c r="T517" s="87"/>
      <c r="U517" s="87"/>
      <c r="V517" s="87"/>
      <c r="W517" s="87"/>
      <c r="X517" s="87"/>
      <c r="Y517" s="87"/>
    </row>
    <row r="518">
      <c r="A518" s="100"/>
      <c r="B518" s="579"/>
      <c r="C518" s="100"/>
      <c r="D518" s="579"/>
      <c r="E518" s="100"/>
      <c r="F518" s="579"/>
      <c r="G518" s="100"/>
      <c r="H518" s="601"/>
      <c r="I518" s="100"/>
      <c r="J518" s="583"/>
      <c r="K518" s="100"/>
      <c r="L518" s="579"/>
      <c r="M518" s="87"/>
      <c r="N518" s="87"/>
      <c r="O518" s="87"/>
      <c r="P518" s="87"/>
      <c r="Q518" s="87"/>
      <c r="R518" s="87"/>
      <c r="S518" s="87"/>
      <c r="T518" s="87"/>
      <c r="U518" s="87"/>
      <c r="V518" s="87"/>
      <c r="W518" s="87"/>
      <c r="X518" s="87"/>
      <c r="Y518" s="87"/>
    </row>
    <row r="519">
      <c r="A519" s="100"/>
      <c r="B519" s="579"/>
      <c r="C519" s="100"/>
      <c r="D519" s="579"/>
      <c r="E519" s="100"/>
      <c r="F519" s="579"/>
      <c r="G519" s="100"/>
      <c r="H519" s="601"/>
      <c r="I519" s="100"/>
      <c r="J519" s="583"/>
      <c r="K519" s="100"/>
      <c r="L519" s="579"/>
      <c r="M519" s="87"/>
      <c r="N519" s="87"/>
      <c r="O519" s="87"/>
      <c r="P519" s="87"/>
      <c r="Q519" s="87"/>
      <c r="R519" s="87"/>
      <c r="S519" s="87"/>
      <c r="T519" s="87"/>
      <c r="U519" s="87"/>
      <c r="V519" s="87"/>
      <c r="W519" s="87"/>
      <c r="X519" s="87"/>
      <c r="Y519" s="87"/>
    </row>
    <row r="520">
      <c r="A520" s="100"/>
      <c r="B520" s="579"/>
      <c r="C520" s="100"/>
      <c r="D520" s="579"/>
      <c r="E520" s="100"/>
      <c r="F520" s="579"/>
      <c r="G520" s="100"/>
      <c r="H520" s="601"/>
      <c r="I520" s="100"/>
      <c r="J520" s="583"/>
      <c r="K520" s="100"/>
      <c r="L520" s="579"/>
      <c r="M520" s="87"/>
      <c r="N520" s="87"/>
      <c r="O520" s="87"/>
      <c r="P520" s="87"/>
      <c r="Q520" s="87"/>
      <c r="R520" s="87"/>
      <c r="S520" s="87"/>
      <c r="T520" s="87"/>
      <c r="U520" s="87"/>
      <c r="V520" s="87"/>
      <c r="W520" s="87"/>
      <c r="X520" s="87"/>
      <c r="Y520" s="87"/>
    </row>
    <row r="521">
      <c r="A521" s="100"/>
      <c r="B521" s="579"/>
      <c r="C521" s="100"/>
      <c r="D521" s="579"/>
      <c r="E521" s="100"/>
      <c r="F521" s="579"/>
      <c r="G521" s="100"/>
      <c r="H521" s="601"/>
      <c r="I521" s="100"/>
      <c r="J521" s="583"/>
      <c r="K521" s="100"/>
      <c r="L521" s="579"/>
      <c r="M521" s="87"/>
      <c r="N521" s="87"/>
      <c r="O521" s="87"/>
      <c r="P521" s="87"/>
      <c r="Q521" s="87"/>
      <c r="R521" s="87"/>
      <c r="S521" s="87"/>
      <c r="T521" s="87"/>
      <c r="U521" s="87"/>
      <c r="V521" s="87"/>
      <c r="W521" s="87"/>
      <c r="X521" s="87"/>
      <c r="Y521" s="87"/>
    </row>
    <row r="522">
      <c r="A522" s="100"/>
      <c r="B522" s="579"/>
      <c r="C522" s="100"/>
      <c r="D522" s="579"/>
      <c r="E522" s="100"/>
      <c r="F522" s="579"/>
      <c r="G522" s="100"/>
      <c r="H522" s="601"/>
      <c r="I522" s="100"/>
      <c r="J522" s="583"/>
      <c r="K522" s="100"/>
      <c r="L522" s="579"/>
      <c r="M522" s="87"/>
      <c r="N522" s="87"/>
      <c r="O522" s="87"/>
      <c r="P522" s="87"/>
      <c r="Q522" s="87"/>
      <c r="R522" s="87"/>
      <c r="S522" s="87"/>
      <c r="T522" s="87"/>
      <c r="U522" s="87"/>
      <c r="V522" s="87"/>
      <c r="W522" s="87"/>
      <c r="X522" s="87"/>
      <c r="Y522" s="87"/>
    </row>
    <row r="523">
      <c r="A523" s="100"/>
      <c r="B523" s="579"/>
      <c r="C523" s="100"/>
      <c r="D523" s="579"/>
      <c r="E523" s="100"/>
      <c r="F523" s="579"/>
      <c r="G523" s="100"/>
      <c r="H523" s="601"/>
      <c r="I523" s="100"/>
      <c r="J523" s="583"/>
      <c r="K523" s="100"/>
      <c r="L523" s="579"/>
      <c r="M523" s="87"/>
      <c r="N523" s="87"/>
      <c r="O523" s="87"/>
      <c r="P523" s="87"/>
      <c r="Q523" s="87"/>
      <c r="R523" s="87"/>
      <c r="S523" s="87"/>
      <c r="T523" s="87"/>
      <c r="U523" s="87"/>
      <c r="V523" s="87"/>
      <c r="W523" s="87"/>
      <c r="X523" s="87"/>
      <c r="Y523" s="87"/>
    </row>
    <row r="524">
      <c r="A524" s="100"/>
      <c r="B524" s="579"/>
      <c r="C524" s="100"/>
      <c r="D524" s="579"/>
      <c r="E524" s="100"/>
      <c r="F524" s="579"/>
      <c r="G524" s="100"/>
      <c r="H524" s="601"/>
      <c r="I524" s="100"/>
      <c r="J524" s="583"/>
      <c r="K524" s="100"/>
      <c r="L524" s="579"/>
      <c r="M524" s="87"/>
      <c r="N524" s="87"/>
      <c r="O524" s="87"/>
      <c r="P524" s="87"/>
      <c r="Q524" s="87"/>
      <c r="R524" s="87"/>
      <c r="S524" s="87"/>
      <c r="T524" s="87"/>
      <c r="U524" s="87"/>
      <c r="V524" s="87"/>
      <c r="W524" s="87"/>
      <c r="X524" s="87"/>
      <c r="Y524" s="87"/>
    </row>
    <row r="525">
      <c r="A525" s="100"/>
      <c r="B525" s="579"/>
      <c r="C525" s="100"/>
      <c r="D525" s="579"/>
      <c r="E525" s="100"/>
      <c r="F525" s="579"/>
      <c r="G525" s="100"/>
      <c r="H525" s="601"/>
      <c r="I525" s="100"/>
      <c r="J525" s="583"/>
      <c r="K525" s="100"/>
      <c r="L525" s="579"/>
      <c r="M525" s="87"/>
      <c r="N525" s="87"/>
      <c r="O525" s="87"/>
      <c r="P525" s="87"/>
      <c r="Q525" s="87"/>
      <c r="R525" s="87"/>
      <c r="S525" s="87"/>
      <c r="T525" s="87"/>
      <c r="U525" s="87"/>
      <c r="V525" s="87"/>
      <c r="W525" s="87"/>
      <c r="X525" s="87"/>
      <c r="Y525" s="87"/>
    </row>
    <row r="526">
      <c r="A526" s="100"/>
      <c r="B526" s="579"/>
      <c r="C526" s="100"/>
      <c r="D526" s="579"/>
      <c r="E526" s="100"/>
      <c r="F526" s="579"/>
      <c r="G526" s="100"/>
      <c r="H526" s="601"/>
      <c r="I526" s="100"/>
      <c r="J526" s="583"/>
      <c r="K526" s="100"/>
      <c r="L526" s="579"/>
      <c r="M526" s="87"/>
      <c r="N526" s="87"/>
      <c r="O526" s="87"/>
      <c r="P526" s="87"/>
      <c r="Q526" s="87"/>
      <c r="R526" s="87"/>
      <c r="S526" s="87"/>
      <c r="T526" s="87"/>
      <c r="U526" s="87"/>
      <c r="V526" s="87"/>
      <c r="W526" s="87"/>
      <c r="X526" s="87"/>
      <c r="Y526" s="87"/>
    </row>
    <row r="527">
      <c r="A527" s="100"/>
      <c r="B527" s="579"/>
      <c r="C527" s="100"/>
      <c r="D527" s="579"/>
      <c r="E527" s="100"/>
      <c r="F527" s="579"/>
      <c r="G527" s="100"/>
      <c r="H527" s="601"/>
      <c r="I527" s="100"/>
      <c r="J527" s="583"/>
      <c r="K527" s="100"/>
      <c r="L527" s="579"/>
      <c r="M527" s="87"/>
      <c r="N527" s="87"/>
      <c r="O527" s="87"/>
      <c r="P527" s="87"/>
      <c r="Q527" s="87"/>
      <c r="R527" s="87"/>
      <c r="S527" s="87"/>
      <c r="T527" s="87"/>
      <c r="U527" s="87"/>
      <c r="V527" s="87"/>
      <c r="W527" s="87"/>
      <c r="X527" s="87"/>
      <c r="Y527" s="87"/>
    </row>
    <row r="528">
      <c r="A528" s="100"/>
      <c r="B528" s="579"/>
      <c r="C528" s="100"/>
      <c r="D528" s="579"/>
      <c r="E528" s="100"/>
      <c r="F528" s="579"/>
      <c r="G528" s="100"/>
      <c r="H528" s="601"/>
      <c r="I528" s="100"/>
      <c r="J528" s="583"/>
      <c r="K528" s="100"/>
      <c r="L528" s="579"/>
      <c r="M528" s="87"/>
      <c r="N528" s="87"/>
      <c r="O528" s="87"/>
      <c r="P528" s="87"/>
      <c r="Q528" s="87"/>
      <c r="R528" s="87"/>
      <c r="S528" s="87"/>
      <c r="T528" s="87"/>
      <c r="U528" s="87"/>
      <c r="V528" s="87"/>
      <c r="W528" s="87"/>
      <c r="X528" s="87"/>
      <c r="Y528" s="87"/>
    </row>
    <row r="529">
      <c r="A529" s="100"/>
      <c r="B529" s="579"/>
      <c r="C529" s="100"/>
      <c r="D529" s="579"/>
      <c r="E529" s="100"/>
      <c r="F529" s="579"/>
      <c r="G529" s="100"/>
      <c r="H529" s="601"/>
      <c r="I529" s="100"/>
      <c r="J529" s="583"/>
      <c r="K529" s="100"/>
      <c r="L529" s="579"/>
      <c r="M529" s="87"/>
      <c r="N529" s="87"/>
      <c r="O529" s="87"/>
      <c r="P529" s="87"/>
      <c r="Q529" s="87"/>
      <c r="R529" s="87"/>
      <c r="S529" s="87"/>
      <c r="T529" s="87"/>
      <c r="U529" s="87"/>
      <c r="V529" s="87"/>
      <c r="W529" s="87"/>
      <c r="X529" s="87"/>
      <c r="Y529" s="87"/>
    </row>
    <row r="530">
      <c r="A530" s="100"/>
      <c r="B530" s="579"/>
      <c r="C530" s="100"/>
      <c r="D530" s="579"/>
      <c r="E530" s="100"/>
      <c r="F530" s="579"/>
      <c r="G530" s="100"/>
      <c r="H530" s="601"/>
      <c r="I530" s="100"/>
      <c r="J530" s="583"/>
      <c r="K530" s="100"/>
      <c r="L530" s="579"/>
      <c r="M530" s="87"/>
      <c r="N530" s="87"/>
      <c r="O530" s="87"/>
      <c r="P530" s="87"/>
      <c r="Q530" s="87"/>
      <c r="R530" s="87"/>
      <c r="S530" s="87"/>
      <c r="T530" s="87"/>
      <c r="U530" s="87"/>
      <c r="V530" s="87"/>
      <c r="W530" s="87"/>
      <c r="X530" s="87"/>
      <c r="Y530" s="87"/>
    </row>
    <row r="531">
      <c r="A531" s="100"/>
      <c r="B531" s="579"/>
      <c r="C531" s="100"/>
      <c r="D531" s="579"/>
      <c r="E531" s="100"/>
      <c r="F531" s="579"/>
      <c r="G531" s="100"/>
      <c r="H531" s="601"/>
      <c r="I531" s="100"/>
      <c r="J531" s="583"/>
      <c r="K531" s="100"/>
      <c r="L531" s="579"/>
      <c r="M531" s="87"/>
      <c r="N531" s="87"/>
      <c r="O531" s="87"/>
      <c r="P531" s="87"/>
      <c r="Q531" s="87"/>
      <c r="R531" s="87"/>
      <c r="S531" s="87"/>
      <c r="T531" s="87"/>
      <c r="U531" s="87"/>
      <c r="V531" s="87"/>
      <c r="W531" s="87"/>
      <c r="X531" s="87"/>
      <c r="Y531" s="87"/>
    </row>
    <row r="532">
      <c r="A532" s="100"/>
      <c r="B532" s="579"/>
      <c r="C532" s="100"/>
      <c r="D532" s="579"/>
      <c r="E532" s="100"/>
      <c r="F532" s="579"/>
      <c r="G532" s="100"/>
      <c r="H532" s="601"/>
      <c r="I532" s="100"/>
      <c r="J532" s="583"/>
      <c r="K532" s="100"/>
      <c r="L532" s="579"/>
      <c r="M532" s="87"/>
      <c r="N532" s="87"/>
      <c r="O532" s="87"/>
      <c r="P532" s="87"/>
      <c r="Q532" s="87"/>
      <c r="R532" s="87"/>
      <c r="S532" s="87"/>
      <c r="T532" s="87"/>
      <c r="U532" s="87"/>
      <c r="V532" s="87"/>
      <c r="W532" s="87"/>
      <c r="X532" s="87"/>
      <c r="Y532" s="87"/>
    </row>
    <row r="533">
      <c r="A533" s="100"/>
      <c r="B533" s="579"/>
      <c r="C533" s="100"/>
      <c r="D533" s="579"/>
      <c r="E533" s="100"/>
      <c r="F533" s="579"/>
      <c r="G533" s="100"/>
      <c r="H533" s="601"/>
      <c r="I533" s="100"/>
      <c r="J533" s="583"/>
      <c r="K533" s="100"/>
      <c r="L533" s="579"/>
      <c r="M533" s="87"/>
      <c r="N533" s="87"/>
      <c r="O533" s="87"/>
      <c r="P533" s="87"/>
      <c r="Q533" s="87"/>
      <c r="R533" s="87"/>
      <c r="S533" s="87"/>
      <c r="T533" s="87"/>
      <c r="U533" s="87"/>
      <c r="V533" s="87"/>
      <c r="W533" s="87"/>
      <c r="X533" s="87"/>
      <c r="Y533" s="87"/>
    </row>
    <row r="534">
      <c r="A534" s="100"/>
      <c r="B534" s="579"/>
      <c r="C534" s="100"/>
      <c r="D534" s="579"/>
      <c r="E534" s="100"/>
      <c r="F534" s="579"/>
      <c r="G534" s="100"/>
      <c r="H534" s="601"/>
      <c r="I534" s="100"/>
      <c r="J534" s="583"/>
      <c r="K534" s="100"/>
      <c r="L534" s="579"/>
      <c r="M534" s="87"/>
      <c r="N534" s="87"/>
      <c r="O534" s="87"/>
      <c r="P534" s="87"/>
      <c r="Q534" s="87"/>
      <c r="R534" s="87"/>
      <c r="S534" s="87"/>
      <c r="T534" s="87"/>
      <c r="U534" s="87"/>
      <c r="V534" s="87"/>
      <c r="W534" s="87"/>
      <c r="X534" s="87"/>
      <c r="Y534" s="87"/>
    </row>
    <row r="535">
      <c r="A535" s="100"/>
      <c r="B535" s="579"/>
      <c r="C535" s="100"/>
      <c r="D535" s="579"/>
      <c r="E535" s="100"/>
      <c r="F535" s="579"/>
      <c r="G535" s="100"/>
      <c r="H535" s="601"/>
      <c r="I535" s="100"/>
      <c r="J535" s="583"/>
      <c r="K535" s="100"/>
      <c r="L535" s="579"/>
      <c r="M535" s="87"/>
      <c r="N535" s="87"/>
      <c r="O535" s="87"/>
      <c r="P535" s="87"/>
      <c r="Q535" s="87"/>
      <c r="R535" s="87"/>
      <c r="S535" s="87"/>
      <c r="T535" s="87"/>
      <c r="U535" s="87"/>
      <c r="V535" s="87"/>
      <c r="W535" s="87"/>
      <c r="X535" s="87"/>
      <c r="Y535" s="87"/>
    </row>
    <row r="536">
      <c r="A536" s="100"/>
      <c r="B536" s="579"/>
      <c r="C536" s="100"/>
      <c r="D536" s="579"/>
      <c r="E536" s="100"/>
      <c r="F536" s="579"/>
      <c r="G536" s="100"/>
      <c r="H536" s="601"/>
      <c r="I536" s="100"/>
      <c r="J536" s="583"/>
      <c r="K536" s="100"/>
      <c r="L536" s="579"/>
      <c r="M536" s="87"/>
      <c r="N536" s="87"/>
      <c r="O536" s="87"/>
      <c r="P536" s="87"/>
      <c r="Q536" s="87"/>
      <c r="R536" s="87"/>
      <c r="S536" s="87"/>
      <c r="T536" s="87"/>
      <c r="U536" s="87"/>
      <c r="V536" s="87"/>
      <c r="W536" s="87"/>
      <c r="X536" s="87"/>
      <c r="Y536" s="87"/>
    </row>
    <row r="537">
      <c r="A537" s="100"/>
      <c r="B537" s="579"/>
      <c r="C537" s="100"/>
      <c r="D537" s="579"/>
      <c r="E537" s="100"/>
      <c r="F537" s="579"/>
      <c r="G537" s="100"/>
      <c r="H537" s="601"/>
      <c r="I537" s="100"/>
      <c r="J537" s="583"/>
      <c r="K537" s="100"/>
      <c r="L537" s="579"/>
      <c r="M537" s="87"/>
      <c r="N537" s="87"/>
      <c r="O537" s="87"/>
      <c r="P537" s="87"/>
      <c r="Q537" s="87"/>
      <c r="R537" s="87"/>
      <c r="S537" s="87"/>
      <c r="T537" s="87"/>
      <c r="U537" s="87"/>
      <c r="V537" s="87"/>
      <c r="W537" s="87"/>
      <c r="X537" s="87"/>
      <c r="Y537" s="87"/>
    </row>
    <row r="538">
      <c r="A538" s="100"/>
      <c r="B538" s="579"/>
      <c r="C538" s="100"/>
      <c r="D538" s="579"/>
      <c r="E538" s="100"/>
      <c r="F538" s="579"/>
      <c r="G538" s="100"/>
      <c r="H538" s="601"/>
      <c r="I538" s="100"/>
      <c r="J538" s="583"/>
      <c r="K538" s="100"/>
      <c r="L538" s="579"/>
      <c r="M538" s="87"/>
      <c r="N538" s="87"/>
      <c r="O538" s="87"/>
      <c r="P538" s="87"/>
      <c r="Q538" s="87"/>
      <c r="R538" s="87"/>
      <c r="S538" s="87"/>
      <c r="T538" s="87"/>
      <c r="U538" s="87"/>
      <c r="V538" s="87"/>
      <c r="W538" s="87"/>
      <c r="X538" s="87"/>
      <c r="Y538" s="87"/>
    </row>
    <row r="539">
      <c r="A539" s="100"/>
      <c r="B539" s="579"/>
      <c r="C539" s="100"/>
      <c r="D539" s="579"/>
      <c r="E539" s="100"/>
      <c r="F539" s="579"/>
      <c r="G539" s="100"/>
      <c r="H539" s="601"/>
      <c r="I539" s="100"/>
      <c r="J539" s="583"/>
      <c r="K539" s="100"/>
      <c r="L539" s="579"/>
      <c r="M539" s="87"/>
      <c r="N539" s="87"/>
      <c r="O539" s="87"/>
      <c r="P539" s="87"/>
      <c r="Q539" s="87"/>
      <c r="R539" s="87"/>
      <c r="S539" s="87"/>
      <c r="T539" s="87"/>
      <c r="U539" s="87"/>
      <c r="V539" s="87"/>
      <c r="W539" s="87"/>
      <c r="X539" s="87"/>
      <c r="Y539" s="87"/>
    </row>
    <row r="540">
      <c r="A540" s="100"/>
      <c r="B540" s="579"/>
      <c r="C540" s="100"/>
      <c r="D540" s="579"/>
      <c r="E540" s="100"/>
      <c r="F540" s="579"/>
      <c r="G540" s="100"/>
      <c r="H540" s="601"/>
      <c r="I540" s="100"/>
      <c r="J540" s="583"/>
      <c r="K540" s="100"/>
      <c r="L540" s="579"/>
      <c r="M540" s="87"/>
      <c r="N540" s="87"/>
      <c r="O540" s="87"/>
      <c r="P540" s="87"/>
      <c r="Q540" s="87"/>
      <c r="R540" s="87"/>
      <c r="S540" s="87"/>
      <c r="T540" s="87"/>
      <c r="U540" s="87"/>
      <c r="V540" s="87"/>
      <c r="W540" s="87"/>
      <c r="X540" s="87"/>
      <c r="Y540" s="87"/>
    </row>
    <row r="541">
      <c r="A541" s="100"/>
      <c r="B541" s="579"/>
      <c r="C541" s="100"/>
      <c r="D541" s="579"/>
      <c r="E541" s="100"/>
      <c r="F541" s="579"/>
      <c r="G541" s="100"/>
      <c r="H541" s="601"/>
      <c r="I541" s="100"/>
      <c r="J541" s="583"/>
      <c r="K541" s="100"/>
      <c r="L541" s="579"/>
      <c r="M541" s="87"/>
      <c r="N541" s="87"/>
      <c r="O541" s="87"/>
      <c r="P541" s="87"/>
      <c r="Q541" s="87"/>
      <c r="R541" s="87"/>
      <c r="S541" s="87"/>
      <c r="T541" s="87"/>
      <c r="U541" s="87"/>
      <c r="V541" s="87"/>
      <c r="W541" s="87"/>
      <c r="X541" s="87"/>
      <c r="Y541" s="87"/>
    </row>
    <row r="542">
      <c r="A542" s="100"/>
      <c r="B542" s="579"/>
      <c r="C542" s="100"/>
      <c r="D542" s="579"/>
      <c r="E542" s="100"/>
      <c r="F542" s="579"/>
      <c r="G542" s="100"/>
      <c r="H542" s="601"/>
      <c r="I542" s="100"/>
      <c r="J542" s="583"/>
      <c r="K542" s="100"/>
      <c r="L542" s="579"/>
      <c r="M542" s="87"/>
      <c r="N542" s="87"/>
      <c r="O542" s="87"/>
      <c r="P542" s="87"/>
      <c r="Q542" s="87"/>
      <c r="R542" s="87"/>
      <c r="S542" s="87"/>
      <c r="T542" s="87"/>
      <c r="U542" s="87"/>
      <c r="V542" s="87"/>
      <c r="W542" s="87"/>
      <c r="X542" s="87"/>
      <c r="Y542" s="87"/>
    </row>
    <row r="543">
      <c r="A543" s="100"/>
      <c r="B543" s="579"/>
      <c r="C543" s="100"/>
      <c r="D543" s="579"/>
      <c r="E543" s="100"/>
      <c r="F543" s="579"/>
      <c r="G543" s="100"/>
      <c r="H543" s="601"/>
      <c r="I543" s="100"/>
      <c r="J543" s="583"/>
      <c r="K543" s="100"/>
      <c r="L543" s="579"/>
      <c r="M543" s="87"/>
      <c r="N543" s="87"/>
      <c r="O543" s="87"/>
      <c r="P543" s="87"/>
      <c r="Q543" s="87"/>
      <c r="R543" s="87"/>
      <c r="S543" s="87"/>
      <c r="T543" s="87"/>
      <c r="U543" s="87"/>
      <c r="V543" s="87"/>
      <c r="W543" s="87"/>
      <c r="X543" s="87"/>
      <c r="Y543" s="87"/>
    </row>
    <row r="544">
      <c r="A544" s="100"/>
      <c r="B544" s="579"/>
      <c r="C544" s="100"/>
      <c r="D544" s="579"/>
      <c r="E544" s="100"/>
      <c r="F544" s="579"/>
      <c r="G544" s="100"/>
      <c r="H544" s="601"/>
      <c r="I544" s="100"/>
      <c r="J544" s="583"/>
      <c r="K544" s="100"/>
      <c r="L544" s="579"/>
      <c r="M544" s="87"/>
      <c r="N544" s="87"/>
      <c r="O544" s="87"/>
      <c r="P544" s="87"/>
      <c r="Q544" s="87"/>
      <c r="R544" s="87"/>
      <c r="S544" s="87"/>
      <c r="T544" s="87"/>
      <c r="U544" s="87"/>
      <c r="V544" s="87"/>
      <c r="W544" s="87"/>
      <c r="X544" s="87"/>
      <c r="Y544" s="87"/>
    </row>
    <row r="545">
      <c r="A545" s="100"/>
      <c r="B545" s="579"/>
      <c r="C545" s="100"/>
      <c r="D545" s="579"/>
      <c r="E545" s="100"/>
      <c r="F545" s="579"/>
      <c r="G545" s="100"/>
      <c r="H545" s="601"/>
      <c r="I545" s="100"/>
      <c r="J545" s="583"/>
      <c r="K545" s="100"/>
      <c r="L545" s="579"/>
      <c r="M545" s="87"/>
      <c r="N545" s="87"/>
      <c r="O545" s="87"/>
      <c r="P545" s="87"/>
      <c r="Q545" s="87"/>
      <c r="R545" s="87"/>
      <c r="S545" s="87"/>
      <c r="T545" s="87"/>
      <c r="U545" s="87"/>
      <c r="V545" s="87"/>
      <c r="W545" s="87"/>
      <c r="X545" s="87"/>
      <c r="Y545" s="87"/>
    </row>
    <row r="546">
      <c r="A546" s="100"/>
      <c r="B546" s="579"/>
      <c r="C546" s="100"/>
      <c r="D546" s="579"/>
      <c r="E546" s="100"/>
      <c r="F546" s="579"/>
      <c r="G546" s="100"/>
      <c r="H546" s="601"/>
      <c r="I546" s="100"/>
      <c r="J546" s="583"/>
      <c r="K546" s="100"/>
      <c r="L546" s="579"/>
      <c r="M546" s="87"/>
      <c r="N546" s="87"/>
      <c r="O546" s="87"/>
      <c r="P546" s="87"/>
      <c r="Q546" s="87"/>
      <c r="R546" s="87"/>
      <c r="S546" s="87"/>
      <c r="T546" s="87"/>
      <c r="U546" s="87"/>
      <c r="V546" s="87"/>
      <c r="W546" s="87"/>
      <c r="X546" s="87"/>
      <c r="Y546" s="87"/>
    </row>
    <row r="547">
      <c r="A547" s="100"/>
      <c r="B547" s="579"/>
      <c r="C547" s="100"/>
      <c r="D547" s="579"/>
      <c r="E547" s="100"/>
      <c r="F547" s="579"/>
      <c r="G547" s="100"/>
      <c r="H547" s="601"/>
      <c r="I547" s="100"/>
      <c r="J547" s="583"/>
      <c r="K547" s="100"/>
      <c r="L547" s="579"/>
      <c r="M547" s="87"/>
      <c r="N547" s="87"/>
      <c r="O547" s="87"/>
      <c r="P547" s="87"/>
      <c r="Q547" s="87"/>
      <c r="R547" s="87"/>
      <c r="S547" s="87"/>
      <c r="T547" s="87"/>
      <c r="U547" s="87"/>
      <c r="V547" s="87"/>
      <c r="W547" s="87"/>
      <c r="X547" s="87"/>
      <c r="Y547" s="87"/>
    </row>
    <row r="548">
      <c r="A548" s="100"/>
      <c r="B548" s="579"/>
      <c r="C548" s="100"/>
      <c r="D548" s="579"/>
      <c r="E548" s="100"/>
      <c r="F548" s="579"/>
      <c r="G548" s="100"/>
      <c r="H548" s="601"/>
      <c r="I548" s="100"/>
      <c r="J548" s="583"/>
      <c r="K548" s="100"/>
      <c r="L548" s="579"/>
      <c r="M548" s="87"/>
      <c r="N548" s="87"/>
      <c r="O548" s="87"/>
      <c r="P548" s="87"/>
      <c r="Q548" s="87"/>
      <c r="R548" s="87"/>
      <c r="S548" s="87"/>
      <c r="T548" s="87"/>
      <c r="U548" s="87"/>
      <c r="V548" s="87"/>
      <c r="W548" s="87"/>
      <c r="X548" s="87"/>
      <c r="Y548" s="87"/>
    </row>
    <row r="549">
      <c r="A549" s="100"/>
      <c r="B549" s="579"/>
      <c r="C549" s="100"/>
      <c r="D549" s="579"/>
      <c r="E549" s="100"/>
      <c r="F549" s="579"/>
      <c r="G549" s="100"/>
      <c r="H549" s="601"/>
      <c r="I549" s="100"/>
      <c r="J549" s="583"/>
      <c r="K549" s="100"/>
      <c r="L549" s="579"/>
      <c r="M549" s="87"/>
      <c r="N549" s="87"/>
      <c r="O549" s="87"/>
      <c r="P549" s="87"/>
      <c r="Q549" s="87"/>
      <c r="R549" s="87"/>
      <c r="S549" s="87"/>
      <c r="T549" s="87"/>
      <c r="U549" s="87"/>
      <c r="V549" s="87"/>
      <c r="W549" s="87"/>
      <c r="X549" s="87"/>
      <c r="Y549" s="87"/>
    </row>
    <row r="550">
      <c r="A550" s="100"/>
      <c r="B550" s="579"/>
      <c r="C550" s="100"/>
      <c r="D550" s="579"/>
      <c r="E550" s="100"/>
      <c r="F550" s="579"/>
      <c r="G550" s="100"/>
      <c r="H550" s="601"/>
      <c r="I550" s="100"/>
      <c r="J550" s="583"/>
      <c r="K550" s="100"/>
      <c r="L550" s="579"/>
      <c r="M550" s="87"/>
      <c r="N550" s="87"/>
      <c r="O550" s="87"/>
      <c r="P550" s="87"/>
      <c r="Q550" s="87"/>
      <c r="R550" s="87"/>
      <c r="S550" s="87"/>
      <c r="T550" s="87"/>
      <c r="U550" s="87"/>
      <c r="V550" s="87"/>
      <c r="W550" s="87"/>
      <c r="X550" s="87"/>
      <c r="Y550" s="87"/>
    </row>
    <row r="551">
      <c r="A551" s="100"/>
      <c r="B551" s="579"/>
      <c r="C551" s="100"/>
      <c r="D551" s="579"/>
      <c r="E551" s="100"/>
      <c r="F551" s="579"/>
      <c r="G551" s="100"/>
      <c r="H551" s="601"/>
      <c r="I551" s="100"/>
      <c r="J551" s="583"/>
      <c r="K551" s="100"/>
      <c r="L551" s="579"/>
      <c r="M551" s="87"/>
      <c r="N551" s="87"/>
      <c r="O551" s="87"/>
      <c r="P551" s="87"/>
      <c r="Q551" s="87"/>
      <c r="R551" s="87"/>
      <c r="S551" s="87"/>
      <c r="T551" s="87"/>
      <c r="U551" s="87"/>
      <c r="V551" s="87"/>
      <c r="W551" s="87"/>
      <c r="X551" s="87"/>
      <c r="Y551" s="87"/>
    </row>
    <row r="552">
      <c r="A552" s="100"/>
      <c r="B552" s="579"/>
      <c r="C552" s="100"/>
      <c r="D552" s="579"/>
      <c r="E552" s="100"/>
      <c r="F552" s="579"/>
      <c r="G552" s="100"/>
      <c r="H552" s="601"/>
      <c r="I552" s="100"/>
      <c r="J552" s="583"/>
      <c r="K552" s="100"/>
      <c r="L552" s="579"/>
      <c r="M552" s="87"/>
      <c r="N552" s="87"/>
      <c r="O552" s="87"/>
      <c r="P552" s="87"/>
      <c r="Q552" s="87"/>
      <c r="R552" s="87"/>
      <c r="S552" s="87"/>
      <c r="T552" s="87"/>
      <c r="U552" s="87"/>
      <c r="V552" s="87"/>
      <c r="W552" s="87"/>
      <c r="X552" s="87"/>
      <c r="Y552" s="87"/>
    </row>
    <row r="553">
      <c r="A553" s="100"/>
      <c r="B553" s="579"/>
      <c r="C553" s="100"/>
      <c r="D553" s="579"/>
      <c r="E553" s="100"/>
      <c r="F553" s="579"/>
      <c r="G553" s="100"/>
      <c r="H553" s="601"/>
      <c r="I553" s="100"/>
      <c r="J553" s="583"/>
      <c r="K553" s="100"/>
      <c r="L553" s="579"/>
      <c r="M553" s="87"/>
      <c r="N553" s="87"/>
      <c r="O553" s="87"/>
      <c r="P553" s="87"/>
      <c r="Q553" s="87"/>
      <c r="R553" s="87"/>
      <c r="S553" s="87"/>
      <c r="T553" s="87"/>
      <c r="U553" s="87"/>
      <c r="V553" s="87"/>
      <c r="W553" s="87"/>
      <c r="X553" s="87"/>
      <c r="Y553" s="87"/>
    </row>
    <row r="554">
      <c r="A554" s="100"/>
      <c r="B554" s="579"/>
      <c r="C554" s="100"/>
      <c r="D554" s="579"/>
      <c r="E554" s="100"/>
      <c r="F554" s="579"/>
      <c r="G554" s="100"/>
      <c r="H554" s="601"/>
      <c r="I554" s="100"/>
      <c r="J554" s="583"/>
      <c r="K554" s="100"/>
      <c r="L554" s="579"/>
      <c r="M554" s="87"/>
      <c r="N554" s="87"/>
      <c r="O554" s="87"/>
      <c r="P554" s="87"/>
      <c r="Q554" s="87"/>
      <c r="R554" s="87"/>
      <c r="S554" s="87"/>
      <c r="T554" s="87"/>
      <c r="U554" s="87"/>
      <c r="V554" s="87"/>
      <c r="W554" s="87"/>
      <c r="X554" s="87"/>
      <c r="Y554" s="87"/>
    </row>
    <row r="555">
      <c r="A555" s="100"/>
      <c r="B555" s="579"/>
      <c r="C555" s="100"/>
      <c r="D555" s="579"/>
      <c r="E555" s="100"/>
      <c r="F555" s="579"/>
      <c r="G555" s="100"/>
      <c r="H555" s="601"/>
      <c r="I555" s="100"/>
      <c r="J555" s="583"/>
      <c r="K555" s="100"/>
      <c r="L555" s="579"/>
      <c r="M555" s="87"/>
      <c r="N555" s="87"/>
      <c r="O555" s="87"/>
      <c r="P555" s="87"/>
      <c r="Q555" s="87"/>
      <c r="R555" s="87"/>
      <c r="S555" s="87"/>
      <c r="T555" s="87"/>
      <c r="U555" s="87"/>
      <c r="V555" s="87"/>
      <c r="W555" s="87"/>
      <c r="X555" s="87"/>
      <c r="Y555" s="87"/>
    </row>
    <row r="556">
      <c r="A556" s="100"/>
      <c r="B556" s="579"/>
      <c r="C556" s="100"/>
      <c r="D556" s="579"/>
      <c r="E556" s="100"/>
      <c r="F556" s="579"/>
      <c r="G556" s="100"/>
      <c r="H556" s="601"/>
      <c r="I556" s="100"/>
      <c r="J556" s="583"/>
      <c r="K556" s="100"/>
      <c r="L556" s="579"/>
      <c r="M556" s="87"/>
      <c r="N556" s="87"/>
      <c r="O556" s="87"/>
      <c r="P556" s="87"/>
      <c r="Q556" s="87"/>
      <c r="R556" s="87"/>
      <c r="S556" s="87"/>
      <c r="T556" s="87"/>
      <c r="U556" s="87"/>
      <c r="V556" s="87"/>
      <c r="W556" s="87"/>
      <c r="X556" s="87"/>
      <c r="Y556" s="87"/>
    </row>
    <row r="557">
      <c r="A557" s="100"/>
      <c r="B557" s="579"/>
      <c r="C557" s="100"/>
      <c r="D557" s="579"/>
      <c r="E557" s="100"/>
      <c r="F557" s="579"/>
      <c r="G557" s="100"/>
      <c r="H557" s="601"/>
      <c r="I557" s="100"/>
      <c r="J557" s="583"/>
      <c r="K557" s="100"/>
      <c r="L557" s="579"/>
      <c r="M557" s="87"/>
      <c r="N557" s="87"/>
      <c r="O557" s="87"/>
      <c r="P557" s="87"/>
      <c r="Q557" s="87"/>
      <c r="R557" s="87"/>
      <c r="S557" s="87"/>
      <c r="T557" s="87"/>
      <c r="U557" s="87"/>
      <c r="V557" s="87"/>
      <c r="W557" s="87"/>
      <c r="X557" s="87"/>
      <c r="Y557" s="87"/>
    </row>
    <row r="558">
      <c r="A558" s="100"/>
      <c r="B558" s="579"/>
      <c r="C558" s="100"/>
      <c r="D558" s="579"/>
      <c r="E558" s="100"/>
      <c r="F558" s="579"/>
      <c r="G558" s="100"/>
      <c r="H558" s="601"/>
      <c r="I558" s="100"/>
      <c r="J558" s="583"/>
      <c r="K558" s="100"/>
      <c r="L558" s="579"/>
      <c r="M558" s="87"/>
      <c r="N558" s="87"/>
      <c r="O558" s="87"/>
      <c r="P558" s="87"/>
      <c r="Q558" s="87"/>
      <c r="R558" s="87"/>
      <c r="S558" s="87"/>
      <c r="T558" s="87"/>
      <c r="U558" s="87"/>
      <c r="V558" s="87"/>
      <c r="W558" s="87"/>
      <c r="X558" s="87"/>
      <c r="Y558" s="87"/>
    </row>
    <row r="559">
      <c r="A559" s="100"/>
      <c r="B559" s="579"/>
      <c r="C559" s="100"/>
      <c r="D559" s="579"/>
      <c r="E559" s="100"/>
      <c r="F559" s="579"/>
      <c r="G559" s="100"/>
      <c r="H559" s="601"/>
      <c r="I559" s="100"/>
      <c r="J559" s="583"/>
      <c r="K559" s="100"/>
      <c r="L559" s="579"/>
      <c r="M559" s="87"/>
      <c r="N559" s="87"/>
      <c r="O559" s="87"/>
      <c r="P559" s="87"/>
      <c r="Q559" s="87"/>
      <c r="R559" s="87"/>
      <c r="S559" s="87"/>
      <c r="T559" s="87"/>
      <c r="U559" s="87"/>
      <c r="V559" s="87"/>
      <c r="W559" s="87"/>
      <c r="X559" s="87"/>
      <c r="Y559" s="87"/>
    </row>
    <row r="560">
      <c r="A560" s="100"/>
      <c r="B560" s="579"/>
      <c r="C560" s="100"/>
      <c r="D560" s="579"/>
      <c r="E560" s="100"/>
      <c r="F560" s="579"/>
      <c r="G560" s="100"/>
      <c r="H560" s="601"/>
      <c r="I560" s="100"/>
      <c r="J560" s="583"/>
      <c r="K560" s="100"/>
      <c r="L560" s="579"/>
      <c r="M560" s="87"/>
      <c r="N560" s="87"/>
      <c r="O560" s="87"/>
      <c r="P560" s="87"/>
      <c r="Q560" s="87"/>
      <c r="R560" s="87"/>
      <c r="S560" s="87"/>
      <c r="T560" s="87"/>
      <c r="U560" s="87"/>
      <c r="V560" s="87"/>
      <c r="W560" s="87"/>
      <c r="X560" s="87"/>
      <c r="Y560" s="87"/>
    </row>
    <row r="561">
      <c r="A561" s="100"/>
      <c r="B561" s="579"/>
      <c r="C561" s="100"/>
      <c r="D561" s="579"/>
      <c r="E561" s="100"/>
      <c r="F561" s="579"/>
      <c r="G561" s="100"/>
      <c r="H561" s="601"/>
      <c r="I561" s="100"/>
      <c r="J561" s="583"/>
      <c r="K561" s="100"/>
      <c r="L561" s="579"/>
      <c r="M561" s="87"/>
      <c r="N561" s="87"/>
      <c r="O561" s="87"/>
      <c r="P561" s="87"/>
      <c r="Q561" s="87"/>
      <c r="R561" s="87"/>
      <c r="S561" s="87"/>
      <c r="T561" s="87"/>
      <c r="U561" s="87"/>
      <c r="V561" s="87"/>
      <c r="W561" s="87"/>
      <c r="X561" s="87"/>
      <c r="Y561" s="87"/>
    </row>
    <row r="562">
      <c r="A562" s="100"/>
      <c r="B562" s="579"/>
      <c r="C562" s="100"/>
      <c r="D562" s="579"/>
      <c r="E562" s="100"/>
      <c r="F562" s="579"/>
      <c r="G562" s="100"/>
      <c r="H562" s="601"/>
      <c r="I562" s="100"/>
      <c r="J562" s="583"/>
      <c r="K562" s="100"/>
      <c r="L562" s="579"/>
      <c r="M562" s="87"/>
      <c r="N562" s="87"/>
      <c r="O562" s="87"/>
      <c r="P562" s="87"/>
      <c r="Q562" s="87"/>
      <c r="R562" s="87"/>
      <c r="S562" s="87"/>
      <c r="T562" s="87"/>
      <c r="U562" s="87"/>
      <c r="V562" s="87"/>
      <c r="W562" s="87"/>
      <c r="X562" s="87"/>
      <c r="Y562" s="87"/>
    </row>
    <row r="563">
      <c r="A563" s="100"/>
      <c r="B563" s="579"/>
      <c r="C563" s="100"/>
      <c r="D563" s="579"/>
      <c r="E563" s="100"/>
      <c r="F563" s="579"/>
      <c r="G563" s="100"/>
      <c r="H563" s="601"/>
      <c r="I563" s="100"/>
      <c r="J563" s="583"/>
      <c r="K563" s="100"/>
      <c r="L563" s="579"/>
      <c r="M563" s="87"/>
      <c r="N563" s="87"/>
      <c r="O563" s="87"/>
      <c r="P563" s="87"/>
      <c r="Q563" s="87"/>
      <c r="R563" s="87"/>
      <c r="S563" s="87"/>
      <c r="T563" s="87"/>
      <c r="U563" s="87"/>
      <c r="V563" s="87"/>
      <c r="W563" s="87"/>
      <c r="X563" s="87"/>
      <c r="Y563" s="87"/>
    </row>
    <row r="564">
      <c r="A564" s="100"/>
      <c r="B564" s="579"/>
      <c r="C564" s="100"/>
      <c r="D564" s="579"/>
      <c r="E564" s="100"/>
      <c r="F564" s="579"/>
      <c r="G564" s="100"/>
      <c r="H564" s="601"/>
      <c r="I564" s="100"/>
      <c r="J564" s="583"/>
      <c r="K564" s="100"/>
      <c r="L564" s="579"/>
      <c r="M564" s="87"/>
      <c r="N564" s="87"/>
      <c r="O564" s="87"/>
      <c r="P564" s="87"/>
      <c r="Q564" s="87"/>
      <c r="R564" s="87"/>
      <c r="S564" s="87"/>
      <c r="T564" s="87"/>
      <c r="U564" s="87"/>
      <c r="V564" s="87"/>
      <c r="W564" s="87"/>
      <c r="X564" s="87"/>
      <c r="Y564" s="87"/>
    </row>
    <row r="565">
      <c r="A565" s="100"/>
      <c r="B565" s="579"/>
      <c r="C565" s="100"/>
      <c r="D565" s="579"/>
      <c r="E565" s="100"/>
      <c r="F565" s="579"/>
      <c r="G565" s="100"/>
      <c r="H565" s="601"/>
      <c r="I565" s="100"/>
      <c r="J565" s="583"/>
      <c r="K565" s="100"/>
      <c r="L565" s="579"/>
      <c r="M565" s="87"/>
      <c r="N565" s="87"/>
      <c r="O565" s="87"/>
      <c r="P565" s="87"/>
      <c r="Q565" s="87"/>
      <c r="R565" s="87"/>
      <c r="S565" s="87"/>
      <c r="T565" s="87"/>
      <c r="U565" s="87"/>
      <c r="V565" s="87"/>
      <c r="W565" s="87"/>
      <c r="X565" s="87"/>
      <c r="Y565" s="87"/>
    </row>
    <row r="566">
      <c r="A566" s="100"/>
      <c r="B566" s="579"/>
      <c r="C566" s="100"/>
      <c r="D566" s="579"/>
      <c r="E566" s="100"/>
      <c r="F566" s="579"/>
      <c r="G566" s="100"/>
      <c r="H566" s="601"/>
      <c r="I566" s="100"/>
      <c r="J566" s="583"/>
      <c r="K566" s="100"/>
      <c r="L566" s="579"/>
      <c r="M566" s="87"/>
      <c r="N566" s="87"/>
      <c r="O566" s="87"/>
      <c r="P566" s="87"/>
      <c r="Q566" s="87"/>
      <c r="R566" s="87"/>
      <c r="S566" s="87"/>
      <c r="T566" s="87"/>
      <c r="U566" s="87"/>
      <c r="V566" s="87"/>
      <c r="W566" s="87"/>
      <c r="X566" s="87"/>
      <c r="Y566" s="87"/>
    </row>
    <row r="567">
      <c r="A567" s="100"/>
      <c r="B567" s="579"/>
      <c r="C567" s="100"/>
      <c r="D567" s="579"/>
      <c r="E567" s="100"/>
      <c r="F567" s="579"/>
      <c r="G567" s="100"/>
      <c r="H567" s="601"/>
      <c r="I567" s="100"/>
      <c r="J567" s="583"/>
      <c r="K567" s="100"/>
      <c r="L567" s="579"/>
      <c r="M567" s="87"/>
      <c r="N567" s="87"/>
      <c r="O567" s="87"/>
      <c r="P567" s="87"/>
      <c r="Q567" s="87"/>
      <c r="R567" s="87"/>
      <c r="S567" s="87"/>
      <c r="T567" s="87"/>
      <c r="U567" s="87"/>
      <c r="V567" s="87"/>
      <c r="W567" s="87"/>
      <c r="X567" s="87"/>
      <c r="Y567" s="87"/>
    </row>
    <row r="568">
      <c r="A568" s="100"/>
      <c r="B568" s="579"/>
      <c r="C568" s="100"/>
      <c r="D568" s="579"/>
      <c r="E568" s="100"/>
      <c r="F568" s="579"/>
      <c r="G568" s="100"/>
      <c r="H568" s="601"/>
      <c r="I568" s="100"/>
      <c r="J568" s="583"/>
      <c r="K568" s="100"/>
      <c r="L568" s="579"/>
      <c r="M568" s="87"/>
      <c r="N568" s="87"/>
      <c r="O568" s="87"/>
      <c r="P568" s="87"/>
      <c r="Q568" s="87"/>
      <c r="R568" s="87"/>
      <c r="S568" s="87"/>
      <c r="T568" s="87"/>
      <c r="U568" s="87"/>
      <c r="V568" s="87"/>
      <c r="W568" s="87"/>
      <c r="X568" s="87"/>
      <c r="Y568" s="87"/>
    </row>
    <row r="569">
      <c r="A569" s="100"/>
      <c r="B569" s="579"/>
      <c r="C569" s="100"/>
      <c r="D569" s="579"/>
      <c r="E569" s="100"/>
      <c r="F569" s="579"/>
      <c r="G569" s="100"/>
      <c r="H569" s="601"/>
      <c r="I569" s="100"/>
      <c r="J569" s="583"/>
      <c r="K569" s="100"/>
      <c r="L569" s="579"/>
      <c r="M569" s="87"/>
      <c r="N569" s="87"/>
      <c r="O569" s="87"/>
      <c r="P569" s="87"/>
      <c r="Q569" s="87"/>
      <c r="R569" s="87"/>
      <c r="S569" s="87"/>
      <c r="T569" s="87"/>
      <c r="U569" s="87"/>
      <c r="V569" s="87"/>
      <c r="W569" s="87"/>
      <c r="X569" s="87"/>
      <c r="Y569" s="87"/>
    </row>
    <row r="570">
      <c r="A570" s="100"/>
      <c r="B570" s="579"/>
      <c r="C570" s="100"/>
      <c r="D570" s="579"/>
      <c r="E570" s="100"/>
      <c r="F570" s="579"/>
      <c r="G570" s="100"/>
      <c r="H570" s="601"/>
      <c r="I570" s="100"/>
      <c r="J570" s="583"/>
      <c r="K570" s="100"/>
      <c r="L570" s="579"/>
      <c r="M570" s="87"/>
      <c r="N570" s="87"/>
      <c r="O570" s="87"/>
      <c r="P570" s="87"/>
      <c r="Q570" s="87"/>
      <c r="R570" s="87"/>
      <c r="S570" s="87"/>
      <c r="T570" s="87"/>
      <c r="U570" s="87"/>
      <c r="V570" s="87"/>
      <c r="W570" s="87"/>
      <c r="X570" s="87"/>
      <c r="Y570" s="87"/>
    </row>
    <row r="571">
      <c r="A571" s="100"/>
      <c r="B571" s="579"/>
      <c r="C571" s="100"/>
      <c r="D571" s="579"/>
      <c r="E571" s="100"/>
      <c r="F571" s="579"/>
      <c r="G571" s="100"/>
      <c r="H571" s="601"/>
      <c r="I571" s="100"/>
      <c r="J571" s="583"/>
      <c r="K571" s="100"/>
      <c r="L571" s="579"/>
      <c r="M571" s="87"/>
      <c r="N571" s="87"/>
      <c r="O571" s="87"/>
      <c r="P571" s="87"/>
      <c r="Q571" s="87"/>
      <c r="R571" s="87"/>
      <c r="S571" s="87"/>
      <c r="T571" s="87"/>
      <c r="U571" s="87"/>
      <c r="V571" s="87"/>
      <c r="W571" s="87"/>
      <c r="X571" s="87"/>
      <c r="Y571" s="87"/>
    </row>
    <row r="572">
      <c r="A572" s="100"/>
      <c r="B572" s="579"/>
      <c r="C572" s="100"/>
      <c r="D572" s="579"/>
      <c r="E572" s="100"/>
      <c r="F572" s="579"/>
      <c r="G572" s="100"/>
      <c r="H572" s="601"/>
      <c r="I572" s="100"/>
      <c r="J572" s="583"/>
      <c r="K572" s="100"/>
      <c r="L572" s="579"/>
      <c r="M572" s="87"/>
      <c r="N572" s="87"/>
      <c r="O572" s="87"/>
      <c r="P572" s="87"/>
      <c r="Q572" s="87"/>
      <c r="R572" s="87"/>
      <c r="S572" s="87"/>
      <c r="T572" s="87"/>
      <c r="U572" s="87"/>
      <c r="V572" s="87"/>
      <c r="W572" s="87"/>
      <c r="X572" s="87"/>
      <c r="Y572" s="87"/>
    </row>
    <row r="573">
      <c r="A573" s="100"/>
      <c r="B573" s="579"/>
      <c r="C573" s="100"/>
      <c r="D573" s="579"/>
      <c r="E573" s="100"/>
      <c r="F573" s="579"/>
      <c r="G573" s="100"/>
      <c r="H573" s="601"/>
      <c r="I573" s="100"/>
      <c r="J573" s="583"/>
      <c r="K573" s="100"/>
      <c r="L573" s="579"/>
      <c r="M573" s="87"/>
      <c r="N573" s="87"/>
      <c r="O573" s="87"/>
      <c r="P573" s="87"/>
      <c r="Q573" s="87"/>
      <c r="R573" s="87"/>
      <c r="S573" s="87"/>
      <c r="T573" s="87"/>
      <c r="U573" s="87"/>
      <c r="V573" s="87"/>
      <c r="W573" s="87"/>
      <c r="X573" s="87"/>
      <c r="Y573" s="87"/>
    </row>
    <row r="574">
      <c r="A574" s="100"/>
      <c r="B574" s="579"/>
      <c r="C574" s="100"/>
      <c r="D574" s="579"/>
      <c r="E574" s="100"/>
      <c r="F574" s="579"/>
      <c r="G574" s="100"/>
      <c r="H574" s="601"/>
      <c r="I574" s="100"/>
      <c r="J574" s="583"/>
      <c r="K574" s="100"/>
      <c r="L574" s="579"/>
      <c r="M574" s="87"/>
      <c r="N574" s="87"/>
      <c r="O574" s="87"/>
      <c r="P574" s="87"/>
      <c r="Q574" s="87"/>
      <c r="R574" s="87"/>
      <c r="S574" s="87"/>
      <c r="T574" s="87"/>
      <c r="U574" s="87"/>
      <c r="V574" s="87"/>
      <c r="W574" s="87"/>
      <c r="X574" s="87"/>
      <c r="Y574" s="87"/>
    </row>
    <row r="575">
      <c r="A575" s="100"/>
      <c r="B575" s="579"/>
      <c r="C575" s="100"/>
      <c r="D575" s="579"/>
      <c r="E575" s="100"/>
      <c r="F575" s="579"/>
      <c r="G575" s="100"/>
      <c r="H575" s="601"/>
      <c r="I575" s="100"/>
      <c r="J575" s="583"/>
      <c r="K575" s="100"/>
      <c r="L575" s="579"/>
      <c r="M575" s="87"/>
      <c r="N575" s="87"/>
      <c r="O575" s="87"/>
      <c r="P575" s="87"/>
      <c r="Q575" s="87"/>
      <c r="R575" s="87"/>
      <c r="S575" s="87"/>
      <c r="T575" s="87"/>
      <c r="U575" s="87"/>
      <c r="V575" s="87"/>
      <c r="W575" s="87"/>
      <c r="X575" s="87"/>
      <c r="Y575" s="87"/>
    </row>
    <row r="576">
      <c r="A576" s="100"/>
      <c r="B576" s="579"/>
      <c r="C576" s="100"/>
      <c r="D576" s="579"/>
      <c r="E576" s="100"/>
      <c r="F576" s="579"/>
      <c r="G576" s="100"/>
      <c r="H576" s="601"/>
      <c r="I576" s="100"/>
      <c r="J576" s="583"/>
      <c r="K576" s="100"/>
      <c r="L576" s="579"/>
      <c r="M576" s="87"/>
      <c r="N576" s="87"/>
      <c r="O576" s="87"/>
      <c r="P576" s="87"/>
      <c r="Q576" s="87"/>
      <c r="R576" s="87"/>
      <c r="S576" s="87"/>
      <c r="T576" s="87"/>
      <c r="U576" s="87"/>
      <c r="V576" s="87"/>
      <c r="W576" s="87"/>
      <c r="X576" s="87"/>
      <c r="Y576" s="87"/>
    </row>
    <row r="577">
      <c r="A577" s="100"/>
      <c r="B577" s="579"/>
      <c r="C577" s="100"/>
      <c r="D577" s="579"/>
      <c r="E577" s="100"/>
      <c r="F577" s="579"/>
      <c r="G577" s="100"/>
      <c r="H577" s="601"/>
      <c r="I577" s="100"/>
      <c r="J577" s="583"/>
      <c r="K577" s="100"/>
      <c r="L577" s="579"/>
      <c r="M577" s="87"/>
      <c r="N577" s="87"/>
      <c r="O577" s="87"/>
      <c r="P577" s="87"/>
      <c r="Q577" s="87"/>
      <c r="R577" s="87"/>
      <c r="S577" s="87"/>
      <c r="T577" s="87"/>
      <c r="U577" s="87"/>
      <c r="V577" s="87"/>
      <c r="W577" s="87"/>
      <c r="X577" s="87"/>
      <c r="Y577" s="87"/>
    </row>
    <row r="578">
      <c r="A578" s="100"/>
      <c r="B578" s="579"/>
      <c r="C578" s="100"/>
      <c r="D578" s="579"/>
      <c r="E578" s="100"/>
      <c r="F578" s="579"/>
      <c r="G578" s="100"/>
      <c r="H578" s="601"/>
      <c r="I578" s="100"/>
      <c r="J578" s="583"/>
      <c r="K578" s="100"/>
      <c r="L578" s="579"/>
      <c r="M578" s="87"/>
      <c r="N578" s="87"/>
      <c r="O578" s="87"/>
      <c r="P578" s="87"/>
      <c r="Q578" s="87"/>
      <c r="R578" s="87"/>
      <c r="S578" s="87"/>
      <c r="T578" s="87"/>
      <c r="U578" s="87"/>
      <c r="V578" s="87"/>
      <c r="W578" s="87"/>
      <c r="X578" s="87"/>
      <c r="Y578" s="87"/>
    </row>
    <row r="579">
      <c r="A579" s="100"/>
      <c r="B579" s="579"/>
      <c r="C579" s="100"/>
      <c r="D579" s="579"/>
      <c r="E579" s="100"/>
      <c r="F579" s="579"/>
      <c r="G579" s="100"/>
      <c r="H579" s="601"/>
      <c r="I579" s="100"/>
      <c r="J579" s="583"/>
      <c r="K579" s="100"/>
      <c r="L579" s="579"/>
      <c r="M579" s="87"/>
      <c r="N579" s="87"/>
      <c r="O579" s="87"/>
      <c r="P579" s="87"/>
      <c r="Q579" s="87"/>
      <c r="R579" s="87"/>
      <c r="S579" s="87"/>
      <c r="T579" s="87"/>
      <c r="U579" s="87"/>
      <c r="V579" s="87"/>
      <c r="W579" s="87"/>
      <c r="X579" s="87"/>
      <c r="Y579" s="87"/>
    </row>
    <row r="580">
      <c r="A580" s="100"/>
      <c r="B580" s="579"/>
      <c r="C580" s="100"/>
      <c r="D580" s="579"/>
      <c r="E580" s="100"/>
      <c r="F580" s="579"/>
      <c r="G580" s="100"/>
      <c r="H580" s="601"/>
      <c r="I580" s="100"/>
      <c r="J580" s="583"/>
      <c r="K580" s="100"/>
      <c r="L580" s="579"/>
      <c r="M580" s="87"/>
      <c r="N580" s="87"/>
      <c r="O580" s="87"/>
      <c r="P580" s="87"/>
      <c r="Q580" s="87"/>
      <c r="R580" s="87"/>
      <c r="S580" s="87"/>
      <c r="T580" s="87"/>
      <c r="U580" s="87"/>
      <c r="V580" s="87"/>
      <c r="W580" s="87"/>
      <c r="X580" s="87"/>
      <c r="Y580" s="87"/>
    </row>
    <row r="581">
      <c r="A581" s="100"/>
      <c r="B581" s="579"/>
      <c r="C581" s="100"/>
      <c r="D581" s="579"/>
      <c r="E581" s="100"/>
      <c r="F581" s="579"/>
      <c r="G581" s="100"/>
      <c r="H581" s="601"/>
      <c r="I581" s="100"/>
      <c r="J581" s="583"/>
      <c r="K581" s="100"/>
      <c r="L581" s="579"/>
      <c r="M581" s="87"/>
      <c r="N581" s="87"/>
      <c r="O581" s="87"/>
      <c r="P581" s="87"/>
      <c r="Q581" s="87"/>
      <c r="R581" s="87"/>
      <c r="S581" s="87"/>
      <c r="T581" s="87"/>
      <c r="U581" s="87"/>
      <c r="V581" s="87"/>
      <c r="W581" s="87"/>
      <c r="X581" s="87"/>
      <c r="Y581" s="87"/>
    </row>
    <row r="582">
      <c r="A582" s="100"/>
      <c r="B582" s="579"/>
      <c r="C582" s="100"/>
      <c r="D582" s="579"/>
      <c r="E582" s="100"/>
      <c r="F582" s="579"/>
      <c r="G582" s="100"/>
      <c r="H582" s="601"/>
      <c r="I582" s="100"/>
      <c r="J582" s="583"/>
      <c r="K582" s="100"/>
      <c r="L582" s="579"/>
      <c r="M582" s="87"/>
      <c r="N582" s="87"/>
      <c r="O582" s="87"/>
      <c r="P582" s="87"/>
      <c r="Q582" s="87"/>
      <c r="R582" s="87"/>
      <c r="S582" s="87"/>
      <c r="T582" s="87"/>
      <c r="U582" s="87"/>
      <c r="V582" s="87"/>
      <c r="W582" s="87"/>
      <c r="X582" s="87"/>
      <c r="Y582" s="87"/>
    </row>
    <row r="583">
      <c r="A583" s="100"/>
      <c r="B583" s="579"/>
      <c r="C583" s="100"/>
      <c r="D583" s="579"/>
      <c r="E583" s="100"/>
      <c r="F583" s="579"/>
      <c r="G583" s="100"/>
      <c r="H583" s="601"/>
      <c r="I583" s="100"/>
      <c r="J583" s="583"/>
      <c r="K583" s="100"/>
      <c r="L583" s="579"/>
      <c r="M583" s="87"/>
      <c r="N583" s="87"/>
      <c r="O583" s="87"/>
      <c r="P583" s="87"/>
      <c r="Q583" s="87"/>
      <c r="R583" s="87"/>
      <c r="S583" s="87"/>
      <c r="T583" s="87"/>
      <c r="U583" s="87"/>
      <c r="V583" s="87"/>
      <c r="W583" s="87"/>
      <c r="X583" s="87"/>
      <c r="Y583" s="87"/>
    </row>
    <row r="584">
      <c r="A584" s="100"/>
      <c r="B584" s="579"/>
      <c r="C584" s="100"/>
      <c r="D584" s="579"/>
      <c r="E584" s="100"/>
      <c r="F584" s="579"/>
      <c r="G584" s="100"/>
      <c r="H584" s="601"/>
      <c r="I584" s="100"/>
      <c r="J584" s="583"/>
      <c r="K584" s="100"/>
      <c r="L584" s="579"/>
      <c r="M584" s="87"/>
      <c r="N584" s="87"/>
      <c r="O584" s="87"/>
      <c r="P584" s="87"/>
      <c r="Q584" s="87"/>
      <c r="R584" s="87"/>
      <c r="S584" s="87"/>
      <c r="T584" s="87"/>
      <c r="U584" s="87"/>
      <c r="V584" s="87"/>
      <c r="W584" s="87"/>
      <c r="X584" s="87"/>
      <c r="Y584" s="87"/>
    </row>
    <row r="585">
      <c r="A585" s="100"/>
      <c r="B585" s="579"/>
      <c r="C585" s="100"/>
      <c r="D585" s="579"/>
      <c r="E585" s="100"/>
      <c r="F585" s="579"/>
      <c r="G585" s="100"/>
      <c r="H585" s="601"/>
      <c r="I585" s="100"/>
      <c r="J585" s="583"/>
      <c r="K585" s="100"/>
      <c r="L585" s="579"/>
      <c r="M585" s="87"/>
      <c r="N585" s="87"/>
      <c r="O585" s="87"/>
      <c r="P585" s="87"/>
      <c r="Q585" s="87"/>
      <c r="R585" s="87"/>
      <c r="S585" s="87"/>
      <c r="T585" s="87"/>
      <c r="U585" s="87"/>
      <c r="V585" s="87"/>
      <c r="W585" s="87"/>
      <c r="X585" s="87"/>
      <c r="Y585" s="87"/>
    </row>
    <row r="586">
      <c r="A586" s="100"/>
      <c r="B586" s="579"/>
      <c r="C586" s="100"/>
      <c r="D586" s="579"/>
      <c r="E586" s="100"/>
      <c r="F586" s="579"/>
      <c r="G586" s="100"/>
      <c r="H586" s="601"/>
      <c r="I586" s="100"/>
      <c r="J586" s="583"/>
      <c r="K586" s="100"/>
      <c r="L586" s="579"/>
      <c r="M586" s="87"/>
      <c r="N586" s="87"/>
      <c r="O586" s="87"/>
      <c r="P586" s="87"/>
      <c r="Q586" s="87"/>
      <c r="R586" s="87"/>
      <c r="S586" s="87"/>
      <c r="T586" s="87"/>
      <c r="U586" s="87"/>
      <c r="V586" s="87"/>
      <c r="W586" s="87"/>
      <c r="X586" s="87"/>
      <c r="Y586" s="87"/>
    </row>
    <row r="587">
      <c r="A587" s="100"/>
      <c r="B587" s="579"/>
      <c r="C587" s="100"/>
      <c r="D587" s="579"/>
      <c r="E587" s="100"/>
      <c r="F587" s="579"/>
      <c r="G587" s="100"/>
      <c r="H587" s="601"/>
      <c r="I587" s="100"/>
      <c r="J587" s="583"/>
      <c r="K587" s="100"/>
      <c r="L587" s="579"/>
      <c r="M587" s="87"/>
      <c r="N587" s="87"/>
      <c r="O587" s="87"/>
      <c r="P587" s="87"/>
      <c r="Q587" s="87"/>
      <c r="R587" s="87"/>
      <c r="S587" s="87"/>
      <c r="T587" s="87"/>
      <c r="U587" s="87"/>
      <c r="V587" s="87"/>
      <c r="W587" s="87"/>
      <c r="X587" s="87"/>
      <c r="Y587" s="87"/>
    </row>
    <row r="588">
      <c r="A588" s="100"/>
      <c r="B588" s="579"/>
      <c r="C588" s="100"/>
      <c r="D588" s="579"/>
      <c r="E588" s="100"/>
      <c r="F588" s="579"/>
      <c r="G588" s="100"/>
      <c r="H588" s="601"/>
      <c r="I588" s="100"/>
      <c r="J588" s="583"/>
      <c r="K588" s="100"/>
      <c r="L588" s="579"/>
      <c r="M588" s="87"/>
      <c r="N588" s="87"/>
      <c r="O588" s="87"/>
      <c r="P588" s="87"/>
      <c r="Q588" s="87"/>
      <c r="R588" s="87"/>
      <c r="S588" s="87"/>
      <c r="T588" s="87"/>
      <c r="U588" s="87"/>
      <c r="V588" s="87"/>
      <c r="W588" s="87"/>
      <c r="X588" s="87"/>
      <c r="Y588" s="87"/>
    </row>
    <row r="589">
      <c r="A589" s="100"/>
      <c r="B589" s="579"/>
      <c r="C589" s="100"/>
      <c r="D589" s="579"/>
      <c r="E589" s="100"/>
      <c r="F589" s="579"/>
      <c r="G589" s="100"/>
      <c r="H589" s="601"/>
      <c r="I589" s="100"/>
      <c r="J589" s="583"/>
      <c r="K589" s="100"/>
      <c r="L589" s="579"/>
      <c r="M589" s="87"/>
      <c r="N589" s="87"/>
      <c r="O589" s="87"/>
      <c r="P589" s="87"/>
      <c r="Q589" s="87"/>
      <c r="R589" s="87"/>
      <c r="S589" s="87"/>
      <c r="T589" s="87"/>
      <c r="U589" s="87"/>
      <c r="V589" s="87"/>
      <c r="W589" s="87"/>
      <c r="X589" s="87"/>
      <c r="Y589" s="87"/>
    </row>
    <row r="590">
      <c r="A590" s="100"/>
      <c r="B590" s="579"/>
      <c r="C590" s="100"/>
      <c r="D590" s="579"/>
      <c r="E590" s="100"/>
      <c r="F590" s="579"/>
      <c r="G590" s="100"/>
      <c r="H590" s="601"/>
      <c r="I590" s="100"/>
      <c r="J590" s="583"/>
      <c r="K590" s="100"/>
      <c r="L590" s="579"/>
      <c r="M590" s="87"/>
      <c r="N590" s="87"/>
      <c r="O590" s="87"/>
      <c r="P590" s="87"/>
      <c r="Q590" s="87"/>
      <c r="R590" s="87"/>
      <c r="S590" s="87"/>
      <c r="T590" s="87"/>
      <c r="U590" s="87"/>
      <c r="V590" s="87"/>
      <c r="W590" s="87"/>
      <c r="X590" s="87"/>
      <c r="Y590" s="87"/>
    </row>
    <row r="591">
      <c r="A591" s="100"/>
      <c r="B591" s="579"/>
      <c r="C591" s="100"/>
      <c r="D591" s="579"/>
      <c r="E591" s="100"/>
      <c r="F591" s="579"/>
      <c r="G591" s="100"/>
      <c r="H591" s="601"/>
      <c r="I591" s="100"/>
      <c r="J591" s="583"/>
      <c r="K591" s="100"/>
      <c r="L591" s="579"/>
      <c r="M591" s="87"/>
      <c r="N591" s="87"/>
      <c r="O591" s="87"/>
      <c r="P591" s="87"/>
      <c r="Q591" s="87"/>
      <c r="R591" s="87"/>
      <c r="S591" s="87"/>
      <c r="T591" s="87"/>
      <c r="U591" s="87"/>
      <c r="V591" s="87"/>
      <c r="W591" s="87"/>
      <c r="X591" s="87"/>
      <c r="Y591" s="87"/>
    </row>
    <row r="592">
      <c r="A592" s="100"/>
      <c r="B592" s="579"/>
      <c r="C592" s="100"/>
      <c r="D592" s="579"/>
      <c r="E592" s="100"/>
      <c r="F592" s="579"/>
      <c r="G592" s="100"/>
      <c r="H592" s="601"/>
      <c r="I592" s="100"/>
      <c r="J592" s="583"/>
      <c r="K592" s="100"/>
      <c r="L592" s="579"/>
      <c r="M592" s="87"/>
      <c r="N592" s="87"/>
      <c r="O592" s="87"/>
      <c r="P592" s="87"/>
      <c r="Q592" s="87"/>
      <c r="R592" s="87"/>
      <c r="S592" s="87"/>
      <c r="T592" s="87"/>
      <c r="U592" s="87"/>
      <c r="V592" s="87"/>
      <c r="W592" s="87"/>
      <c r="X592" s="87"/>
      <c r="Y592" s="87"/>
    </row>
    <row r="593">
      <c r="A593" s="100"/>
      <c r="B593" s="579"/>
      <c r="C593" s="100"/>
      <c r="D593" s="579"/>
      <c r="E593" s="100"/>
      <c r="F593" s="579"/>
      <c r="G593" s="100"/>
      <c r="H593" s="601"/>
      <c r="I593" s="100"/>
      <c r="J593" s="583"/>
      <c r="K593" s="100"/>
      <c r="L593" s="579"/>
      <c r="M593" s="87"/>
      <c r="N593" s="87"/>
      <c r="O593" s="87"/>
      <c r="P593" s="87"/>
      <c r="Q593" s="87"/>
      <c r="R593" s="87"/>
      <c r="S593" s="87"/>
      <c r="T593" s="87"/>
      <c r="U593" s="87"/>
      <c r="V593" s="87"/>
      <c r="W593" s="87"/>
      <c r="X593" s="87"/>
      <c r="Y593" s="87"/>
    </row>
    <row r="594">
      <c r="A594" s="100"/>
      <c r="B594" s="579"/>
      <c r="C594" s="100"/>
      <c r="D594" s="579"/>
      <c r="E594" s="100"/>
      <c r="F594" s="579"/>
      <c r="G594" s="100"/>
      <c r="H594" s="601"/>
      <c r="I594" s="100"/>
      <c r="J594" s="583"/>
      <c r="K594" s="100"/>
      <c r="L594" s="579"/>
      <c r="M594" s="87"/>
      <c r="N594" s="87"/>
      <c r="O594" s="87"/>
      <c r="P594" s="87"/>
      <c r="Q594" s="87"/>
      <c r="R594" s="87"/>
      <c r="S594" s="87"/>
      <c r="T594" s="87"/>
      <c r="U594" s="87"/>
      <c r="V594" s="87"/>
      <c r="W594" s="87"/>
      <c r="X594" s="87"/>
      <c r="Y594" s="87"/>
    </row>
    <row r="595">
      <c r="A595" s="100"/>
      <c r="B595" s="579"/>
      <c r="C595" s="100"/>
      <c r="D595" s="579"/>
      <c r="E595" s="100"/>
      <c r="F595" s="579"/>
      <c r="G595" s="100"/>
      <c r="H595" s="601"/>
      <c r="I595" s="100"/>
      <c r="J595" s="583"/>
      <c r="K595" s="100"/>
      <c r="L595" s="579"/>
      <c r="M595" s="87"/>
      <c r="N595" s="87"/>
      <c r="O595" s="87"/>
      <c r="P595" s="87"/>
      <c r="Q595" s="87"/>
      <c r="R595" s="87"/>
      <c r="S595" s="87"/>
      <c r="T595" s="87"/>
      <c r="U595" s="87"/>
      <c r="V595" s="87"/>
      <c r="W595" s="87"/>
      <c r="X595" s="87"/>
      <c r="Y595" s="87"/>
    </row>
    <row r="596">
      <c r="A596" s="100"/>
      <c r="B596" s="579"/>
      <c r="C596" s="100"/>
      <c r="D596" s="579"/>
      <c r="E596" s="100"/>
      <c r="F596" s="579"/>
      <c r="G596" s="100"/>
      <c r="H596" s="601"/>
      <c r="I596" s="100"/>
      <c r="J596" s="583"/>
      <c r="K596" s="100"/>
      <c r="L596" s="579"/>
      <c r="M596" s="87"/>
      <c r="N596" s="87"/>
      <c r="O596" s="87"/>
      <c r="P596" s="87"/>
      <c r="Q596" s="87"/>
      <c r="R596" s="87"/>
      <c r="S596" s="87"/>
      <c r="T596" s="87"/>
      <c r="U596" s="87"/>
      <c r="V596" s="87"/>
      <c r="W596" s="87"/>
      <c r="X596" s="87"/>
      <c r="Y596" s="87"/>
    </row>
    <row r="597">
      <c r="A597" s="100"/>
      <c r="B597" s="579"/>
      <c r="C597" s="100"/>
      <c r="D597" s="579"/>
      <c r="E597" s="100"/>
      <c r="F597" s="579"/>
      <c r="G597" s="100"/>
      <c r="H597" s="601"/>
      <c r="I597" s="100"/>
      <c r="J597" s="583"/>
      <c r="K597" s="100"/>
      <c r="L597" s="579"/>
      <c r="M597" s="87"/>
      <c r="N597" s="87"/>
      <c r="O597" s="87"/>
      <c r="P597" s="87"/>
      <c r="Q597" s="87"/>
      <c r="R597" s="87"/>
      <c r="S597" s="87"/>
      <c r="T597" s="87"/>
      <c r="U597" s="87"/>
      <c r="V597" s="87"/>
      <c r="W597" s="87"/>
      <c r="X597" s="87"/>
      <c r="Y597" s="87"/>
    </row>
    <row r="598">
      <c r="A598" s="100"/>
      <c r="B598" s="579"/>
      <c r="C598" s="100"/>
      <c r="D598" s="579"/>
      <c r="E598" s="100"/>
      <c r="F598" s="579"/>
      <c r="G598" s="100"/>
      <c r="H598" s="601"/>
      <c r="I598" s="100"/>
      <c r="J598" s="583"/>
      <c r="K598" s="100"/>
      <c r="L598" s="579"/>
      <c r="M598" s="87"/>
      <c r="N598" s="87"/>
      <c r="O598" s="87"/>
      <c r="P598" s="87"/>
      <c r="Q598" s="87"/>
      <c r="R598" s="87"/>
      <c r="S598" s="87"/>
      <c r="T598" s="87"/>
      <c r="U598" s="87"/>
      <c r="V598" s="87"/>
      <c r="W598" s="87"/>
      <c r="X598" s="87"/>
      <c r="Y598" s="87"/>
    </row>
    <row r="599">
      <c r="A599" s="100"/>
      <c r="B599" s="579"/>
      <c r="C599" s="100"/>
      <c r="D599" s="579"/>
      <c r="E599" s="100"/>
      <c r="F599" s="579"/>
      <c r="G599" s="100"/>
      <c r="H599" s="601"/>
      <c r="I599" s="100"/>
      <c r="J599" s="583"/>
      <c r="K599" s="100"/>
      <c r="L599" s="579"/>
      <c r="M599" s="87"/>
      <c r="N599" s="87"/>
      <c r="O599" s="87"/>
      <c r="P599" s="87"/>
      <c r="Q599" s="87"/>
      <c r="R599" s="87"/>
      <c r="S599" s="87"/>
      <c r="T599" s="87"/>
      <c r="U599" s="87"/>
      <c r="V599" s="87"/>
      <c r="W599" s="87"/>
      <c r="X599" s="87"/>
      <c r="Y599" s="87"/>
    </row>
    <row r="600">
      <c r="A600" s="100"/>
      <c r="B600" s="579"/>
      <c r="C600" s="100"/>
      <c r="D600" s="579"/>
      <c r="E600" s="100"/>
      <c r="F600" s="579"/>
      <c r="G600" s="100"/>
      <c r="H600" s="601"/>
      <c r="I600" s="100"/>
      <c r="J600" s="583"/>
      <c r="K600" s="100"/>
      <c r="L600" s="579"/>
      <c r="M600" s="87"/>
      <c r="N600" s="87"/>
      <c r="O600" s="87"/>
      <c r="P600" s="87"/>
      <c r="Q600" s="87"/>
      <c r="R600" s="87"/>
      <c r="S600" s="87"/>
      <c r="T600" s="87"/>
      <c r="U600" s="87"/>
      <c r="V600" s="87"/>
      <c r="W600" s="87"/>
      <c r="X600" s="87"/>
      <c r="Y600" s="87"/>
    </row>
    <row r="601">
      <c r="A601" s="100"/>
      <c r="B601" s="579"/>
      <c r="C601" s="100"/>
      <c r="D601" s="579"/>
      <c r="E601" s="100"/>
      <c r="F601" s="579"/>
      <c r="G601" s="100"/>
      <c r="H601" s="601"/>
      <c r="I601" s="100"/>
      <c r="J601" s="583"/>
      <c r="K601" s="100"/>
      <c r="L601" s="579"/>
      <c r="M601" s="87"/>
      <c r="N601" s="87"/>
      <c r="O601" s="87"/>
      <c r="P601" s="87"/>
      <c r="Q601" s="87"/>
      <c r="R601" s="87"/>
      <c r="S601" s="87"/>
      <c r="T601" s="87"/>
      <c r="U601" s="87"/>
      <c r="V601" s="87"/>
      <c r="W601" s="87"/>
      <c r="X601" s="87"/>
      <c r="Y601" s="87"/>
    </row>
    <row r="602">
      <c r="A602" s="100"/>
      <c r="B602" s="579"/>
      <c r="C602" s="100"/>
      <c r="D602" s="579"/>
      <c r="E602" s="100"/>
      <c r="F602" s="579"/>
      <c r="G602" s="100"/>
      <c r="H602" s="601"/>
      <c r="I602" s="100"/>
      <c r="J602" s="583"/>
      <c r="K602" s="100"/>
      <c r="L602" s="579"/>
      <c r="M602" s="87"/>
      <c r="N602" s="87"/>
      <c r="O602" s="87"/>
      <c r="P602" s="87"/>
      <c r="Q602" s="87"/>
      <c r="R602" s="87"/>
      <c r="S602" s="87"/>
      <c r="T602" s="87"/>
      <c r="U602" s="87"/>
      <c r="V602" s="87"/>
      <c r="W602" s="87"/>
      <c r="X602" s="87"/>
      <c r="Y602" s="87"/>
    </row>
    <row r="603">
      <c r="A603" s="100"/>
      <c r="B603" s="579"/>
      <c r="C603" s="100"/>
      <c r="D603" s="579"/>
      <c r="E603" s="100"/>
      <c r="F603" s="579"/>
      <c r="G603" s="100"/>
      <c r="H603" s="601"/>
      <c r="I603" s="100"/>
      <c r="J603" s="583"/>
      <c r="K603" s="100"/>
      <c r="L603" s="579"/>
      <c r="M603" s="87"/>
      <c r="N603" s="87"/>
      <c r="O603" s="87"/>
      <c r="P603" s="87"/>
      <c r="Q603" s="87"/>
      <c r="R603" s="87"/>
      <c r="S603" s="87"/>
      <c r="T603" s="87"/>
      <c r="U603" s="87"/>
      <c r="V603" s="87"/>
      <c r="W603" s="87"/>
      <c r="X603" s="87"/>
      <c r="Y603" s="87"/>
    </row>
    <row r="604">
      <c r="A604" s="100"/>
      <c r="B604" s="579"/>
      <c r="C604" s="100"/>
      <c r="D604" s="579"/>
      <c r="E604" s="100"/>
      <c r="F604" s="579"/>
      <c r="G604" s="100"/>
      <c r="H604" s="601"/>
      <c r="I604" s="100"/>
      <c r="J604" s="583"/>
      <c r="K604" s="100"/>
      <c r="L604" s="579"/>
      <c r="M604" s="87"/>
      <c r="N604" s="87"/>
      <c r="O604" s="87"/>
      <c r="P604" s="87"/>
      <c r="Q604" s="87"/>
      <c r="R604" s="87"/>
      <c r="S604" s="87"/>
      <c r="T604" s="87"/>
      <c r="U604" s="87"/>
      <c r="V604" s="87"/>
      <c r="W604" s="87"/>
      <c r="X604" s="87"/>
      <c r="Y604" s="87"/>
    </row>
    <row r="605">
      <c r="A605" s="100"/>
      <c r="B605" s="579"/>
      <c r="C605" s="100"/>
      <c r="D605" s="579"/>
      <c r="E605" s="100"/>
      <c r="F605" s="579"/>
      <c r="G605" s="100"/>
      <c r="H605" s="601"/>
      <c r="I605" s="100"/>
      <c r="J605" s="583"/>
      <c r="K605" s="100"/>
      <c r="L605" s="579"/>
      <c r="M605" s="87"/>
      <c r="N605" s="87"/>
      <c r="O605" s="87"/>
      <c r="P605" s="87"/>
      <c r="Q605" s="87"/>
      <c r="R605" s="87"/>
      <c r="S605" s="87"/>
      <c r="T605" s="87"/>
      <c r="U605" s="87"/>
      <c r="V605" s="87"/>
      <c r="W605" s="87"/>
      <c r="X605" s="87"/>
      <c r="Y605" s="87"/>
    </row>
    <row r="606">
      <c r="A606" s="100"/>
      <c r="B606" s="579"/>
      <c r="C606" s="100"/>
      <c r="D606" s="579"/>
      <c r="E606" s="100"/>
      <c r="F606" s="579"/>
      <c r="G606" s="100"/>
      <c r="H606" s="601"/>
      <c r="I606" s="100"/>
      <c r="J606" s="583"/>
      <c r="K606" s="100"/>
      <c r="L606" s="579"/>
      <c r="M606" s="87"/>
      <c r="N606" s="87"/>
      <c r="O606" s="87"/>
      <c r="P606" s="87"/>
      <c r="Q606" s="87"/>
      <c r="R606" s="87"/>
      <c r="S606" s="87"/>
      <c r="T606" s="87"/>
      <c r="U606" s="87"/>
      <c r="V606" s="87"/>
      <c r="W606" s="87"/>
      <c r="X606" s="87"/>
      <c r="Y606" s="87"/>
    </row>
    <row r="607">
      <c r="A607" s="100"/>
      <c r="B607" s="579"/>
      <c r="C607" s="100"/>
      <c r="D607" s="579"/>
      <c r="E607" s="100"/>
      <c r="F607" s="579"/>
      <c r="G607" s="100"/>
      <c r="H607" s="601"/>
      <c r="I607" s="100"/>
      <c r="J607" s="583"/>
      <c r="K607" s="100"/>
      <c r="L607" s="579"/>
      <c r="M607" s="87"/>
      <c r="N607" s="87"/>
      <c r="O607" s="87"/>
      <c r="P607" s="87"/>
      <c r="Q607" s="87"/>
      <c r="R607" s="87"/>
      <c r="S607" s="87"/>
      <c r="T607" s="87"/>
      <c r="U607" s="87"/>
      <c r="V607" s="87"/>
      <c r="W607" s="87"/>
      <c r="X607" s="87"/>
      <c r="Y607" s="87"/>
    </row>
    <row r="608">
      <c r="A608" s="100"/>
      <c r="B608" s="579"/>
      <c r="C608" s="100"/>
      <c r="D608" s="579"/>
      <c r="E608" s="100"/>
      <c r="F608" s="579"/>
      <c r="G608" s="100"/>
      <c r="H608" s="601"/>
      <c r="I608" s="100"/>
      <c r="J608" s="583"/>
      <c r="K608" s="100"/>
      <c r="L608" s="579"/>
      <c r="M608" s="87"/>
      <c r="N608" s="87"/>
      <c r="O608" s="87"/>
      <c r="P608" s="87"/>
      <c r="Q608" s="87"/>
      <c r="R608" s="87"/>
      <c r="S608" s="87"/>
      <c r="T608" s="87"/>
      <c r="U608" s="87"/>
      <c r="V608" s="87"/>
      <c r="W608" s="87"/>
      <c r="X608" s="87"/>
      <c r="Y608" s="87"/>
    </row>
    <row r="609">
      <c r="A609" s="100"/>
      <c r="B609" s="579"/>
      <c r="C609" s="100"/>
      <c r="D609" s="579"/>
      <c r="E609" s="100"/>
      <c r="F609" s="579"/>
      <c r="G609" s="100"/>
      <c r="H609" s="601"/>
      <c r="I609" s="100"/>
      <c r="J609" s="583"/>
      <c r="K609" s="100"/>
      <c r="L609" s="579"/>
      <c r="M609" s="87"/>
      <c r="N609" s="87"/>
      <c r="O609" s="87"/>
      <c r="P609" s="87"/>
      <c r="Q609" s="87"/>
      <c r="R609" s="87"/>
      <c r="S609" s="87"/>
      <c r="T609" s="87"/>
      <c r="U609" s="87"/>
      <c r="V609" s="87"/>
      <c r="W609" s="87"/>
      <c r="X609" s="87"/>
      <c r="Y609" s="87"/>
    </row>
    <row r="610">
      <c r="A610" s="100"/>
      <c r="B610" s="579"/>
      <c r="C610" s="100"/>
      <c r="D610" s="579"/>
      <c r="E610" s="100"/>
      <c r="F610" s="579"/>
      <c r="G610" s="100"/>
      <c r="H610" s="601"/>
      <c r="I610" s="100"/>
      <c r="J610" s="583"/>
      <c r="K610" s="100"/>
      <c r="L610" s="579"/>
      <c r="M610" s="87"/>
      <c r="N610" s="87"/>
      <c r="O610" s="87"/>
      <c r="P610" s="87"/>
      <c r="Q610" s="87"/>
      <c r="R610" s="87"/>
      <c r="S610" s="87"/>
      <c r="T610" s="87"/>
      <c r="U610" s="87"/>
      <c r="V610" s="87"/>
      <c r="W610" s="87"/>
      <c r="X610" s="87"/>
      <c r="Y610" s="87"/>
    </row>
    <row r="611">
      <c r="A611" s="100"/>
      <c r="B611" s="579"/>
      <c r="C611" s="100"/>
      <c r="D611" s="579"/>
      <c r="E611" s="100"/>
      <c r="F611" s="579"/>
      <c r="G611" s="100"/>
      <c r="H611" s="601"/>
      <c r="I611" s="100"/>
      <c r="J611" s="583"/>
      <c r="K611" s="100"/>
      <c r="L611" s="579"/>
      <c r="M611" s="87"/>
      <c r="N611" s="87"/>
      <c r="O611" s="87"/>
      <c r="P611" s="87"/>
      <c r="Q611" s="87"/>
      <c r="R611" s="87"/>
      <c r="S611" s="87"/>
      <c r="T611" s="87"/>
      <c r="U611" s="87"/>
      <c r="V611" s="87"/>
      <c r="W611" s="87"/>
      <c r="X611" s="87"/>
      <c r="Y611" s="87"/>
    </row>
    <row r="612">
      <c r="A612" s="100"/>
      <c r="B612" s="579"/>
      <c r="C612" s="100"/>
      <c r="D612" s="579"/>
      <c r="E612" s="100"/>
      <c r="F612" s="579"/>
      <c r="G612" s="100"/>
      <c r="H612" s="601"/>
      <c r="I612" s="100"/>
      <c r="J612" s="583"/>
      <c r="K612" s="100"/>
      <c r="L612" s="579"/>
      <c r="M612" s="87"/>
      <c r="N612" s="87"/>
      <c r="O612" s="87"/>
      <c r="P612" s="87"/>
      <c r="Q612" s="87"/>
      <c r="R612" s="87"/>
      <c r="S612" s="87"/>
      <c r="T612" s="87"/>
      <c r="U612" s="87"/>
      <c r="V612" s="87"/>
      <c r="W612" s="87"/>
      <c r="X612" s="87"/>
      <c r="Y612" s="87"/>
    </row>
    <row r="613">
      <c r="A613" s="100"/>
      <c r="B613" s="579"/>
      <c r="C613" s="100"/>
      <c r="D613" s="579"/>
      <c r="E613" s="100"/>
      <c r="F613" s="579"/>
      <c r="G613" s="100"/>
      <c r="H613" s="601"/>
      <c r="I613" s="100"/>
      <c r="J613" s="583"/>
      <c r="K613" s="100"/>
      <c r="L613" s="579"/>
      <c r="M613" s="87"/>
      <c r="N613" s="87"/>
      <c r="O613" s="87"/>
      <c r="P613" s="87"/>
      <c r="Q613" s="87"/>
      <c r="R613" s="87"/>
      <c r="S613" s="87"/>
      <c r="T613" s="87"/>
      <c r="U613" s="87"/>
      <c r="V613" s="87"/>
      <c r="W613" s="87"/>
      <c r="X613" s="87"/>
      <c r="Y613" s="87"/>
    </row>
    <row r="614">
      <c r="A614" s="100"/>
      <c r="B614" s="579"/>
      <c r="C614" s="100"/>
      <c r="D614" s="579"/>
      <c r="E614" s="100"/>
      <c r="F614" s="579"/>
      <c r="G614" s="100"/>
      <c r="H614" s="601"/>
      <c r="I614" s="100"/>
      <c r="J614" s="583"/>
      <c r="K614" s="100"/>
      <c r="L614" s="579"/>
      <c r="M614" s="87"/>
      <c r="N614" s="87"/>
      <c r="O614" s="87"/>
      <c r="P614" s="87"/>
      <c r="Q614" s="87"/>
      <c r="R614" s="87"/>
      <c r="S614" s="87"/>
      <c r="T614" s="87"/>
      <c r="U614" s="87"/>
      <c r="V614" s="87"/>
      <c r="W614" s="87"/>
      <c r="X614" s="87"/>
      <c r="Y614" s="87"/>
    </row>
    <row r="615">
      <c r="A615" s="100"/>
      <c r="B615" s="579"/>
      <c r="C615" s="100"/>
      <c r="D615" s="579"/>
      <c r="E615" s="100"/>
      <c r="F615" s="579"/>
      <c r="G615" s="100"/>
      <c r="H615" s="601"/>
      <c r="I615" s="100"/>
      <c r="J615" s="583"/>
      <c r="K615" s="100"/>
      <c r="L615" s="579"/>
      <c r="M615" s="87"/>
      <c r="N615" s="87"/>
      <c r="O615" s="87"/>
      <c r="P615" s="87"/>
      <c r="Q615" s="87"/>
      <c r="R615" s="87"/>
      <c r="S615" s="87"/>
      <c r="T615" s="87"/>
      <c r="U615" s="87"/>
      <c r="V615" s="87"/>
      <c r="W615" s="87"/>
      <c r="X615" s="87"/>
      <c r="Y615" s="87"/>
    </row>
    <row r="616">
      <c r="A616" s="100"/>
      <c r="B616" s="579"/>
      <c r="C616" s="100"/>
      <c r="D616" s="579"/>
      <c r="E616" s="100"/>
      <c r="F616" s="579"/>
      <c r="G616" s="100"/>
      <c r="H616" s="601"/>
      <c r="I616" s="100"/>
      <c r="J616" s="583"/>
      <c r="K616" s="100"/>
      <c r="L616" s="579"/>
      <c r="M616" s="87"/>
      <c r="N616" s="87"/>
      <c r="O616" s="87"/>
      <c r="P616" s="87"/>
      <c r="Q616" s="87"/>
      <c r="R616" s="87"/>
      <c r="S616" s="87"/>
      <c r="T616" s="87"/>
      <c r="U616" s="87"/>
      <c r="V616" s="87"/>
      <c r="W616" s="87"/>
      <c r="X616" s="87"/>
      <c r="Y616" s="87"/>
    </row>
    <row r="617">
      <c r="A617" s="100"/>
      <c r="B617" s="579"/>
      <c r="C617" s="100"/>
      <c r="D617" s="579"/>
      <c r="E617" s="100"/>
      <c r="F617" s="579"/>
      <c r="G617" s="100"/>
      <c r="H617" s="601"/>
      <c r="I617" s="100"/>
      <c r="J617" s="583"/>
      <c r="K617" s="100"/>
      <c r="L617" s="579"/>
      <c r="M617" s="87"/>
      <c r="N617" s="87"/>
      <c r="O617" s="87"/>
      <c r="P617" s="87"/>
      <c r="Q617" s="87"/>
      <c r="R617" s="87"/>
      <c r="S617" s="87"/>
      <c r="T617" s="87"/>
      <c r="U617" s="87"/>
      <c r="V617" s="87"/>
      <c r="W617" s="87"/>
      <c r="X617" s="87"/>
      <c r="Y617" s="87"/>
    </row>
    <row r="618">
      <c r="A618" s="100"/>
      <c r="B618" s="579"/>
      <c r="C618" s="100"/>
      <c r="D618" s="579"/>
      <c r="E618" s="100"/>
      <c r="F618" s="579"/>
      <c r="G618" s="100"/>
      <c r="H618" s="601"/>
      <c r="I618" s="100"/>
      <c r="J618" s="583"/>
      <c r="K618" s="100"/>
      <c r="L618" s="579"/>
      <c r="M618" s="87"/>
      <c r="N618" s="87"/>
      <c r="O618" s="87"/>
      <c r="P618" s="87"/>
      <c r="Q618" s="87"/>
      <c r="R618" s="87"/>
      <c r="S618" s="87"/>
      <c r="T618" s="87"/>
      <c r="U618" s="87"/>
      <c r="V618" s="87"/>
      <c r="W618" s="87"/>
      <c r="X618" s="87"/>
      <c r="Y618" s="87"/>
    </row>
    <row r="619">
      <c r="A619" s="100"/>
      <c r="B619" s="579"/>
      <c r="C619" s="100"/>
      <c r="D619" s="579"/>
      <c r="E619" s="100"/>
      <c r="F619" s="579"/>
      <c r="G619" s="100"/>
      <c r="H619" s="601"/>
      <c r="I619" s="100"/>
      <c r="J619" s="583"/>
      <c r="K619" s="100"/>
      <c r="L619" s="579"/>
      <c r="M619" s="87"/>
      <c r="N619" s="87"/>
      <c r="O619" s="87"/>
      <c r="P619" s="87"/>
      <c r="Q619" s="87"/>
      <c r="R619" s="87"/>
      <c r="S619" s="87"/>
      <c r="T619" s="87"/>
      <c r="U619" s="87"/>
      <c r="V619" s="87"/>
      <c r="W619" s="87"/>
      <c r="X619" s="87"/>
      <c r="Y619" s="87"/>
    </row>
    <row r="620">
      <c r="A620" s="100"/>
      <c r="B620" s="579"/>
      <c r="C620" s="100"/>
      <c r="D620" s="579"/>
      <c r="E620" s="100"/>
      <c r="F620" s="579"/>
      <c r="G620" s="100"/>
      <c r="H620" s="601"/>
      <c r="I620" s="100"/>
      <c r="J620" s="583"/>
      <c r="K620" s="100"/>
      <c r="L620" s="579"/>
      <c r="M620" s="87"/>
      <c r="N620" s="87"/>
      <c r="O620" s="87"/>
      <c r="P620" s="87"/>
      <c r="Q620" s="87"/>
      <c r="R620" s="87"/>
      <c r="S620" s="87"/>
      <c r="T620" s="87"/>
      <c r="U620" s="87"/>
      <c r="V620" s="87"/>
      <c r="W620" s="87"/>
      <c r="X620" s="87"/>
      <c r="Y620" s="87"/>
    </row>
    <row r="621">
      <c r="A621" s="100"/>
      <c r="B621" s="579"/>
      <c r="C621" s="100"/>
      <c r="D621" s="579"/>
      <c r="E621" s="100"/>
      <c r="F621" s="579"/>
      <c r="G621" s="100"/>
      <c r="H621" s="601"/>
      <c r="I621" s="100"/>
      <c r="J621" s="583"/>
      <c r="K621" s="100"/>
      <c r="L621" s="579"/>
      <c r="M621" s="87"/>
      <c r="N621" s="87"/>
      <c r="O621" s="87"/>
      <c r="P621" s="87"/>
      <c r="Q621" s="87"/>
      <c r="R621" s="87"/>
      <c r="S621" s="87"/>
      <c r="T621" s="87"/>
      <c r="U621" s="87"/>
      <c r="V621" s="87"/>
      <c r="W621" s="87"/>
      <c r="X621" s="87"/>
      <c r="Y621" s="87"/>
    </row>
    <row r="622">
      <c r="A622" s="100"/>
      <c r="B622" s="579"/>
      <c r="C622" s="100"/>
      <c r="D622" s="579"/>
      <c r="E622" s="100"/>
      <c r="F622" s="579"/>
      <c r="G622" s="100"/>
      <c r="H622" s="601"/>
      <c r="I622" s="100"/>
      <c r="J622" s="583"/>
      <c r="K622" s="100"/>
      <c r="L622" s="579"/>
      <c r="M622" s="87"/>
      <c r="N622" s="87"/>
      <c r="O622" s="87"/>
      <c r="P622" s="87"/>
      <c r="Q622" s="87"/>
      <c r="R622" s="87"/>
      <c r="S622" s="87"/>
      <c r="T622" s="87"/>
      <c r="U622" s="87"/>
      <c r="V622" s="87"/>
      <c r="W622" s="87"/>
      <c r="X622" s="87"/>
      <c r="Y622" s="87"/>
    </row>
    <row r="623">
      <c r="A623" s="100"/>
      <c r="B623" s="579"/>
      <c r="C623" s="100"/>
      <c r="D623" s="579"/>
      <c r="E623" s="100"/>
      <c r="F623" s="579"/>
      <c r="G623" s="100"/>
      <c r="H623" s="601"/>
      <c r="I623" s="100"/>
      <c r="J623" s="583"/>
      <c r="K623" s="100"/>
      <c r="L623" s="579"/>
      <c r="M623" s="87"/>
      <c r="N623" s="87"/>
      <c r="O623" s="87"/>
      <c r="P623" s="87"/>
      <c r="Q623" s="87"/>
      <c r="R623" s="87"/>
      <c r="S623" s="87"/>
      <c r="T623" s="87"/>
      <c r="U623" s="87"/>
      <c r="V623" s="87"/>
      <c r="W623" s="87"/>
      <c r="X623" s="87"/>
      <c r="Y623" s="87"/>
    </row>
    <row r="624">
      <c r="A624" s="100"/>
      <c r="B624" s="579"/>
      <c r="C624" s="100"/>
      <c r="D624" s="579"/>
      <c r="E624" s="100"/>
      <c r="F624" s="579"/>
      <c r="G624" s="100"/>
      <c r="H624" s="601"/>
      <c r="I624" s="100"/>
      <c r="J624" s="583"/>
      <c r="K624" s="100"/>
      <c r="L624" s="579"/>
      <c r="M624" s="87"/>
      <c r="N624" s="87"/>
      <c r="O624" s="87"/>
      <c r="P624" s="87"/>
      <c r="Q624" s="87"/>
      <c r="R624" s="87"/>
      <c r="S624" s="87"/>
      <c r="T624" s="87"/>
      <c r="U624" s="87"/>
      <c r="V624" s="87"/>
      <c r="W624" s="87"/>
      <c r="X624" s="87"/>
      <c r="Y624" s="87"/>
    </row>
    <row r="625">
      <c r="A625" s="100"/>
      <c r="B625" s="579"/>
      <c r="C625" s="100"/>
      <c r="D625" s="579"/>
      <c r="E625" s="100"/>
      <c r="F625" s="579"/>
      <c r="G625" s="100"/>
      <c r="H625" s="601"/>
      <c r="I625" s="100"/>
      <c r="J625" s="583"/>
      <c r="K625" s="100"/>
      <c r="L625" s="579"/>
      <c r="M625" s="87"/>
      <c r="N625" s="87"/>
      <c r="O625" s="87"/>
      <c r="P625" s="87"/>
      <c r="Q625" s="87"/>
      <c r="R625" s="87"/>
      <c r="S625" s="87"/>
      <c r="T625" s="87"/>
      <c r="U625" s="87"/>
      <c r="V625" s="87"/>
      <c r="W625" s="87"/>
      <c r="X625" s="87"/>
      <c r="Y625" s="87"/>
    </row>
    <row r="626">
      <c r="A626" s="100"/>
      <c r="B626" s="579"/>
      <c r="C626" s="100"/>
      <c r="D626" s="579"/>
      <c r="E626" s="100"/>
      <c r="F626" s="579"/>
      <c r="G626" s="100"/>
      <c r="H626" s="601"/>
      <c r="I626" s="100"/>
      <c r="J626" s="583"/>
      <c r="K626" s="100"/>
      <c r="L626" s="579"/>
      <c r="M626" s="87"/>
      <c r="N626" s="87"/>
      <c r="O626" s="87"/>
      <c r="P626" s="87"/>
      <c r="Q626" s="87"/>
      <c r="R626" s="87"/>
      <c r="S626" s="87"/>
      <c r="T626" s="87"/>
      <c r="U626" s="87"/>
      <c r="V626" s="87"/>
      <c r="W626" s="87"/>
      <c r="X626" s="87"/>
      <c r="Y626" s="87"/>
    </row>
    <row r="627">
      <c r="A627" s="100"/>
      <c r="B627" s="579"/>
      <c r="C627" s="100"/>
      <c r="D627" s="579"/>
      <c r="E627" s="100"/>
      <c r="F627" s="579"/>
      <c r="G627" s="100"/>
      <c r="H627" s="601"/>
      <c r="I627" s="100"/>
      <c r="J627" s="583"/>
      <c r="K627" s="100"/>
      <c r="L627" s="579"/>
      <c r="M627" s="87"/>
      <c r="N627" s="87"/>
      <c r="O627" s="87"/>
      <c r="P627" s="87"/>
      <c r="Q627" s="87"/>
      <c r="R627" s="87"/>
      <c r="S627" s="87"/>
      <c r="T627" s="87"/>
      <c r="U627" s="87"/>
      <c r="V627" s="87"/>
      <c r="W627" s="87"/>
      <c r="X627" s="87"/>
      <c r="Y627" s="87"/>
    </row>
    <row r="628">
      <c r="A628" s="100"/>
      <c r="B628" s="579"/>
      <c r="C628" s="100"/>
      <c r="D628" s="579"/>
      <c r="E628" s="100"/>
      <c r="F628" s="579"/>
      <c r="G628" s="100"/>
      <c r="H628" s="601"/>
      <c r="I628" s="100"/>
      <c r="J628" s="583"/>
      <c r="K628" s="100"/>
      <c r="L628" s="579"/>
      <c r="M628" s="87"/>
      <c r="N628" s="87"/>
      <c r="O628" s="87"/>
      <c r="P628" s="87"/>
      <c r="Q628" s="87"/>
      <c r="R628" s="87"/>
      <c r="S628" s="87"/>
      <c r="T628" s="87"/>
      <c r="U628" s="87"/>
      <c r="V628" s="87"/>
      <c r="W628" s="87"/>
      <c r="X628" s="87"/>
      <c r="Y628" s="87"/>
    </row>
    <row r="629">
      <c r="A629" s="100"/>
      <c r="B629" s="579"/>
      <c r="C629" s="100"/>
      <c r="D629" s="579"/>
      <c r="E629" s="100"/>
      <c r="F629" s="579"/>
      <c r="G629" s="100"/>
      <c r="H629" s="601"/>
      <c r="I629" s="100"/>
      <c r="J629" s="583"/>
      <c r="K629" s="100"/>
      <c r="L629" s="579"/>
      <c r="M629" s="87"/>
      <c r="N629" s="87"/>
      <c r="O629" s="87"/>
      <c r="P629" s="87"/>
      <c r="Q629" s="87"/>
      <c r="R629" s="87"/>
      <c r="S629" s="87"/>
      <c r="T629" s="87"/>
      <c r="U629" s="87"/>
      <c r="V629" s="87"/>
      <c r="W629" s="87"/>
      <c r="X629" s="87"/>
      <c r="Y629" s="87"/>
    </row>
    <row r="630">
      <c r="A630" s="100"/>
      <c r="B630" s="579"/>
      <c r="C630" s="100"/>
      <c r="D630" s="579"/>
      <c r="E630" s="100"/>
      <c r="F630" s="579"/>
      <c r="G630" s="100"/>
      <c r="H630" s="601"/>
      <c r="I630" s="100"/>
      <c r="J630" s="583"/>
      <c r="K630" s="100"/>
      <c r="L630" s="579"/>
      <c r="M630" s="87"/>
      <c r="N630" s="87"/>
      <c r="O630" s="87"/>
      <c r="P630" s="87"/>
      <c r="Q630" s="87"/>
      <c r="R630" s="87"/>
      <c r="S630" s="87"/>
      <c r="T630" s="87"/>
      <c r="U630" s="87"/>
      <c r="V630" s="87"/>
      <c r="W630" s="87"/>
      <c r="X630" s="87"/>
      <c r="Y630" s="87"/>
    </row>
    <row r="631">
      <c r="A631" s="100"/>
      <c r="B631" s="579"/>
      <c r="C631" s="100"/>
      <c r="D631" s="579"/>
      <c r="E631" s="100"/>
      <c r="F631" s="579"/>
      <c r="G631" s="100"/>
      <c r="H631" s="601"/>
      <c r="I631" s="100"/>
      <c r="J631" s="583"/>
      <c r="K631" s="100"/>
      <c r="L631" s="579"/>
      <c r="M631" s="87"/>
      <c r="N631" s="87"/>
      <c r="O631" s="87"/>
      <c r="P631" s="87"/>
      <c r="Q631" s="87"/>
      <c r="R631" s="87"/>
      <c r="S631" s="87"/>
      <c r="T631" s="87"/>
      <c r="U631" s="87"/>
      <c r="V631" s="87"/>
      <c r="W631" s="87"/>
      <c r="X631" s="87"/>
      <c r="Y631" s="87"/>
    </row>
    <row r="632">
      <c r="A632" s="100"/>
      <c r="B632" s="579"/>
      <c r="C632" s="100"/>
      <c r="D632" s="579"/>
      <c r="E632" s="100"/>
      <c r="F632" s="579"/>
      <c r="G632" s="100"/>
      <c r="H632" s="601"/>
      <c r="I632" s="100"/>
      <c r="J632" s="583"/>
      <c r="K632" s="100"/>
      <c r="L632" s="579"/>
      <c r="M632" s="87"/>
      <c r="N632" s="87"/>
      <c r="O632" s="87"/>
      <c r="P632" s="87"/>
      <c r="Q632" s="87"/>
      <c r="R632" s="87"/>
      <c r="S632" s="87"/>
      <c r="T632" s="87"/>
      <c r="U632" s="87"/>
      <c r="V632" s="87"/>
      <c r="W632" s="87"/>
      <c r="X632" s="87"/>
      <c r="Y632" s="87"/>
    </row>
    <row r="633">
      <c r="A633" s="100"/>
      <c r="B633" s="579"/>
      <c r="C633" s="100"/>
      <c r="D633" s="579"/>
      <c r="E633" s="100"/>
      <c r="F633" s="579"/>
      <c r="G633" s="100"/>
      <c r="H633" s="601"/>
      <c r="I633" s="100"/>
      <c r="J633" s="583"/>
      <c r="K633" s="100"/>
      <c r="L633" s="579"/>
      <c r="M633" s="87"/>
      <c r="N633" s="87"/>
      <c r="O633" s="87"/>
      <c r="P633" s="87"/>
      <c r="Q633" s="87"/>
      <c r="R633" s="87"/>
      <c r="S633" s="87"/>
      <c r="T633" s="87"/>
      <c r="U633" s="87"/>
      <c r="V633" s="87"/>
      <c r="W633" s="87"/>
      <c r="X633" s="87"/>
      <c r="Y633" s="87"/>
    </row>
    <row r="634">
      <c r="A634" s="100"/>
      <c r="B634" s="579"/>
      <c r="C634" s="100"/>
      <c r="D634" s="579"/>
      <c r="E634" s="100"/>
      <c r="F634" s="579"/>
      <c r="G634" s="100"/>
      <c r="H634" s="601"/>
      <c r="I634" s="100"/>
      <c r="J634" s="583"/>
      <c r="K634" s="100"/>
      <c r="L634" s="579"/>
      <c r="M634" s="87"/>
      <c r="N634" s="87"/>
      <c r="O634" s="87"/>
      <c r="P634" s="87"/>
      <c r="Q634" s="87"/>
      <c r="R634" s="87"/>
      <c r="S634" s="87"/>
      <c r="T634" s="87"/>
      <c r="U634" s="87"/>
      <c r="V634" s="87"/>
      <c r="W634" s="87"/>
      <c r="X634" s="87"/>
      <c r="Y634" s="87"/>
    </row>
    <row r="635">
      <c r="A635" s="100"/>
      <c r="B635" s="579"/>
      <c r="C635" s="100"/>
      <c r="D635" s="579"/>
      <c r="E635" s="100"/>
      <c r="F635" s="579"/>
      <c r="G635" s="100"/>
      <c r="H635" s="601"/>
      <c r="I635" s="100"/>
      <c r="J635" s="583"/>
      <c r="K635" s="100"/>
      <c r="L635" s="579"/>
      <c r="M635" s="87"/>
      <c r="N635" s="87"/>
      <c r="O635" s="87"/>
      <c r="P635" s="87"/>
      <c r="Q635" s="87"/>
      <c r="R635" s="87"/>
      <c r="S635" s="87"/>
      <c r="T635" s="87"/>
      <c r="U635" s="87"/>
      <c r="V635" s="87"/>
      <c r="W635" s="87"/>
      <c r="X635" s="87"/>
      <c r="Y635" s="87"/>
    </row>
    <row r="636">
      <c r="A636" s="100"/>
      <c r="B636" s="579"/>
      <c r="C636" s="100"/>
      <c r="D636" s="579"/>
      <c r="E636" s="100"/>
      <c r="F636" s="579"/>
      <c r="G636" s="100"/>
      <c r="H636" s="601"/>
      <c r="I636" s="100"/>
      <c r="J636" s="583"/>
      <c r="K636" s="100"/>
      <c r="L636" s="579"/>
      <c r="M636" s="87"/>
      <c r="N636" s="87"/>
      <c r="O636" s="87"/>
      <c r="P636" s="87"/>
      <c r="Q636" s="87"/>
      <c r="R636" s="87"/>
      <c r="S636" s="87"/>
      <c r="T636" s="87"/>
      <c r="U636" s="87"/>
      <c r="V636" s="87"/>
      <c r="W636" s="87"/>
      <c r="X636" s="87"/>
      <c r="Y636" s="87"/>
    </row>
    <row r="637">
      <c r="A637" s="100"/>
      <c r="B637" s="579"/>
      <c r="C637" s="100"/>
      <c r="D637" s="579"/>
      <c r="E637" s="100"/>
      <c r="F637" s="579"/>
      <c r="G637" s="100"/>
      <c r="H637" s="601"/>
      <c r="I637" s="100"/>
      <c r="J637" s="583"/>
      <c r="K637" s="100"/>
      <c r="L637" s="579"/>
      <c r="M637" s="87"/>
      <c r="N637" s="87"/>
      <c r="O637" s="87"/>
      <c r="P637" s="87"/>
      <c r="Q637" s="87"/>
      <c r="R637" s="87"/>
      <c r="S637" s="87"/>
      <c r="T637" s="87"/>
      <c r="U637" s="87"/>
      <c r="V637" s="87"/>
      <c r="W637" s="87"/>
      <c r="X637" s="87"/>
      <c r="Y637" s="87"/>
    </row>
    <row r="638">
      <c r="A638" s="100"/>
      <c r="B638" s="579"/>
      <c r="C638" s="100"/>
      <c r="D638" s="579"/>
      <c r="E638" s="100"/>
      <c r="F638" s="579"/>
      <c r="G638" s="100"/>
      <c r="H638" s="601"/>
      <c r="I638" s="100"/>
      <c r="J638" s="583"/>
      <c r="K638" s="100"/>
      <c r="L638" s="579"/>
      <c r="M638" s="87"/>
      <c r="N638" s="87"/>
      <c r="O638" s="87"/>
      <c r="P638" s="87"/>
      <c r="Q638" s="87"/>
      <c r="R638" s="87"/>
      <c r="S638" s="87"/>
      <c r="T638" s="87"/>
      <c r="U638" s="87"/>
      <c r="V638" s="87"/>
      <c r="W638" s="87"/>
      <c r="X638" s="87"/>
      <c r="Y638" s="87"/>
    </row>
    <row r="639">
      <c r="A639" s="100"/>
      <c r="B639" s="579"/>
      <c r="C639" s="100"/>
      <c r="D639" s="579"/>
      <c r="E639" s="100"/>
      <c r="F639" s="579"/>
      <c r="G639" s="100"/>
      <c r="H639" s="601"/>
      <c r="I639" s="100"/>
      <c r="J639" s="583"/>
      <c r="K639" s="100"/>
      <c r="L639" s="579"/>
      <c r="M639" s="87"/>
      <c r="N639" s="87"/>
      <c r="O639" s="87"/>
      <c r="P639" s="87"/>
      <c r="Q639" s="87"/>
      <c r="R639" s="87"/>
      <c r="S639" s="87"/>
      <c r="T639" s="87"/>
      <c r="U639" s="87"/>
      <c r="V639" s="87"/>
      <c r="W639" s="87"/>
      <c r="X639" s="87"/>
      <c r="Y639" s="87"/>
    </row>
    <row r="640">
      <c r="A640" s="100"/>
      <c r="B640" s="579"/>
      <c r="C640" s="100"/>
      <c r="D640" s="579"/>
      <c r="E640" s="100"/>
      <c r="F640" s="579"/>
      <c r="G640" s="100"/>
      <c r="H640" s="601"/>
      <c r="I640" s="100"/>
      <c r="J640" s="583"/>
      <c r="K640" s="100"/>
      <c r="L640" s="579"/>
      <c r="M640" s="87"/>
      <c r="N640" s="87"/>
      <c r="O640" s="87"/>
      <c r="P640" s="87"/>
      <c r="Q640" s="87"/>
      <c r="R640" s="87"/>
      <c r="S640" s="87"/>
      <c r="T640" s="87"/>
      <c r="U640" s="87"/>
      <c r="V640" s="87"/>
      <c r="W640" s="87"/>
      <c r="X640" s="87"/>
      <c r="Y640" s="87"/>
    </row>
    <row r="641">
      <c r="A641" s="100"/>
      <c r="B641" s="579"/>
      <c r="C641" s="100"/>
      <c r="D641" s="579"/>
      <c r="E641" s="100"/>
      <c r="F641" s="579"/>
      <c r="G641" s="100"/>
      <c r="H641" s="601"/>
      <c r="I641" s="100"/>
      <c r="J641" s="583"/>
      <c r="K641" s="100"/>
      <c r="L641" s="579"/>
      <c r="M641" s="87"/>
      <c r="N641" s="87"/>
      <c r="O641" s="87"/>
      <c r="P641" s="87"/>
      <c r="Q641" s="87"/>
      <c r="R641" s="87"/>
      <c r="S641" s="87"/>
      <c r="T641" s="87"/>
      <c r="U641" s="87"/>
      <c r="V641" s="87"/>
      <c r="W641" s="87"/>
      <c r="X641" s="87"/>
      <c r="Y641" s="87"/>
    </row>
    <row r="642">
      <c r="A642" s="100"/>
      <c r="B642" s="579"/>
      <c r="C642" s="100"/>
      <c r="D642" s="579"/>
      <c r="E642" s="100"/>
      <c r="F642" s="579"/>
      <c r="G642" s="100"/>
      <c r="H642" s="601"/>
      <c r="I642" s="100"/>
      <c r="J642" s="583"/>
      <c r="K642" s="100"/>
      <c r="L642" s="579"/>
      <c r="M642" s="87"/>
      <c r="N642" s="87"/>
      <c r="O642" s="87"/>
      <c r="P642" s="87"/>
      <c r="Q642" s="87"/>
      <c r="R642" s="87"/>
      <c r="S642" s="87"/>
      <c r="T642" s="87"/>
      <c r="U642" s="87"/>
      <c r="V642" s="87"/>
      <c r="W642" s="87"/>
      <c r="X642" s="87"/>
      <c r="Y642" s="87"/>
    </row>
    <row r="643">
      <c r="A643" s="100"/>
      <c r="B643" s="579"/>
      <c r="C643" s="100"/>
      <c r="D643" s="579"/>
      <c r="E643" s="100"/>
      <c r="F643" s="579"/>
      <c r="G643" s="100"/>
      <c r="H643" s="601"/>
      <c r="I643" s="100"/>
      <c r="J643" s="583"/>
      <c r="K643" s="100"/>
      <c r="L643" s="579"/>
      <c r="M643" s="87"/>
      <c r="N643" s="87"/>
      <c r="O643" s="87"/>
      <c r="P643" s="87"/>
      <c r="Q643" s="87"/>
      <c r="R643" s="87"/>
      <c r="S643" s="87"/>
      <c r="T643" s="87"/>
      <c r="U643" s="87"/>
      <c r="V643" s="87"/>
      <c r="W643" s="87"/>
      <c r="X643" s="87"/>
      <c r="Y643" s="87"/>
    </row>
    <row r="644">
      <c r="A644" s="100"/>
      <c r="B644" s="579"/>
      <c r="C644" s="100"/>
      <c r="D644" s="579"/>
      <c r="E644" s="100"/>
      <c r="F644" s="579"/>
      <c r="G644" s="100"/>
      <c r="H644" s="601"/>
      <c r="I644" s="100"/>
      <c r="J644" s="583"/>
      <c r="K644" s="100"/>
      <c r="L644" s="579"/>
      <c r="M644" s="87"/>
      <c r="N644" s="87"/>
      <c r="O644" s="87"/>
      <c r="P644" s="87"/>
      <c r="Q644" s="87"/>
      <c r="R644" s="87"/>
      <c r="S644" s="87"/>
      <c r="T644" s="87"/>
      <c r="U644" s="87"/>
      <c r="V644" s="87"/>
      <c r="W644" s="87"/>
      <c r="X644" s="87"/>
      <c r="Y644" s="87"/>
    </row>
    <row r="645">
      <c r="A645" s="100"/>
      <c r="B645" s="579"/>
      <c r="C645" s="100"/>
      <c r="D645" s="579"/>
      <c r="E645" s="100"/>
      <c r="F645" s="579"/>
      <c r="G645" s="100"/>
      <c r="H645" s="601"/>
      <c r="I645" s="100"/>
      <c r="J645" s="583"/>
      <c r="K645" s="100"/>
      <c r="L645" s="579"/>
      <c r="M645" s="87"/>
      <c r="N645" s="87"/>
      <c r="O645" s="87"/>
      <c r="P645" s="87"/>
      <c r="Q645" s="87"/>
      <c r="R645" s="87"/>
      <c r="S645" s="87"/>
      <c r="T645" s="87"/>
      <c r="U645" s="87"/>
      <c r="V645" s="87"/>
      <c r="W645" s="87"/>
      <c r="X645" s="87"/>
      <c r="Y645" s="87"/>
    </row>
    <row r="646">
      <c r="A646" s="100"/>
      <c r="B646" s="579"/>
      <c r="C646" s="100"/>
      <c r="D646" s="579"/>
      <c r="E646" s="100"/>
      <c r="F646" s="579"/>
      <c r="G646" s="100"/>
      <c r="H646" s="601"/>
      <c r="I646" s="100"/>
      <c r="J646" s="583"/>
      <c r="K646" s="100"/>
      <c r="L646" s="579"/>
      <c r="M646" s="87"/>
      <c r="N646" s="87"/>
      <c r="O646" s="87"/>
      <c r="P646" s="87"/>
      <c r="Q646" s="87"/>
      <c r="R646" s="87"/>
      <c r="S646" s="87"/>
      <c r="T646" s="87"/>
      <c r="U646" s="87"/>
      <c r="V646" s="87"/>
      <c r="W646" s="87"/>
      <c r="X646" s="87"/>
      <c r="Y646" s="87"/>
    </row>
    <row r="647">
      <c r="A647" s="100"/>
      <c r="B647" s="579"/>
      <c r="C647" s="100"/>
      <c r="D647" s="579"/>
      <c r="E647" s="100"/>
      <c r="F647" s="579"/>
      <c r="G647" s="100"/>
      <c r="H647" s="601"/>
      <c r="I647" s="100"/>
      <c r="J647" s="583"/>
      <c r="K647" s="100"/>
      <c r="L647" s="579"/>
      <c r="M647" s="87"/>
      <c r="N647" s="87"/>
      <c r="O647" s="87"/>
      <c r="P647" s="87"/>
      <c r="Q647" s="87"/>
      <c r="R647" s="87"/>
      <c r="S647" s="87"/>
      <c r="T647" s="87"/>
      <c r="U647" s="87"/>
      <c r="V647" s="87"/>
      <c r="W647" s="87"/>
      <c r="X647" s="87"/>
      <c r="Y647" s="87"/>
    </row>
    <row r="648">
      <c r="A648" s="100"/>
      <c r="B648" s="579"/>
      <c r="C648" s="100"/>
      <c r="D648" s="579"/>
      <c r="E648" s="100"/>
      <c r="F648" s="579"/>
      <c r="G648" s="100"/>
      <c r="H648" s="601"/>
      <c r="I648" s="100"/>
      <c r="J648" s="583"/>
      <c r="K648" s="100"/>
      <c r="L648" s="579"/>
      <c r="M648" s="87"/>
      <c r="N648" s="87"/>
      <c r="O648" s="87"/>
      <c r="P648" s="87"/>
      <c r="Q648" s="87"/>
      <c r="R648" s="87"/>
      <c r="S648" s="87"/>
      <c r="T648" s="87"/>
      <c r="U648" s="87"/>
      <c r="V648" s="87"/>
      <c r="W648" s="87"/>
      <c r="X648" s="87"/>
      <c r="Y648" s="87"/>
    </row>
    <row r="649">
      <c r="A649" s="100"/>
      <c r="B649" s="579"/>
      <c r="C649" s="100"/>
      <c r="D649" s="579"/>
      <c r="E649" s="100"/>
      <c r="F649" s="579"/>
      <c r="G649" s="100"/>
      <c r="H649" s="601"/>
      <c r="I649" s="100"/>
      <c r="J649" s="583"/>
      <c r="K649" s="100"/>
      <c r="L649" s="579"/>
      <c r="M649" s="87"/>
      <c r="N649" s="87"/>
      <c r="O649" s="87"/>
      <c r="P649" s="87"/>
      <c r="Q649" s="87"/>
      <c r="R649" s="87"/>
      <c r="S649" s="87"/>
      <c r="T649" s="87"/>
      <c r="U649" s="87"/>
      <c r="V649" s="87"/>
      <c r="W649" s="87"/>
      <c r="X649" s="87"/>
      <c r="Y649" s="87"/>
    </row>
    <row r="650">
      <c r="A650" s="100"/>
      <c r="B650" s="579"/>
      <c r="C650" s="100"/>
      <c r="D650" s="579"/>
      <c r="E650" s="100"/>
      <c r="F650" s="579"/>
      <c r="G650" s="100"/>
      <c r="H650" s="601"/>
      <c r="I650" s="100"/>
      <c r="J650" s="583"/>
      <c r="K650" s="100"/>
      <c r="L650" s="579"/>
      <c r="M650" s="87"/>
      <c r="N650" s="87"/>
      <c r="O650" s="87"/>
      <c r="P650" s="87"/>
      <c r="Q650" s="87"/>
      <c r="R650" s="87"/>
      <c r="S650" s="87"/>
      <c r="T650" s="87"/>
      <c r="U650" s="87"/>
      <c r="V650" s="87"/>
      <c r="W650" s="87"/>
      <c r="X650" s="87"/>
      <c r="Y650" s="87"/>
    </row>
    <row r="651">
      <c r="A651" s="100"/>
      <c r="B651" s="579"/>
      <c r="C651" s="100"/>
      <c r="D651" s="579"/>
      <c r="E651" s="100"/>
      <c r="F651" s="579"/>
      <c r="G651" s="100"/>
      <c r="H651" s="601"/>
      <c r="I651" s="100"/>
      <c r="J651" s="583"/>
      <c r="K651" s="100"/>
      <c r="L651" s="579"/>
      <c r="M651" s="87"/>
      <c r="N651" s="87"/>
      <c r="O651" s="87"/>
      <c r="P651" s="87"/>
      <c r="Q651" s="87"/>
      <c r="R651" s="87"/>
      <c r="S651" s="87"/>
      <c r="T651" s="87"/>
      <c r="U651" s="87"/>
      <c r="V651" s="87"/>
      <c r="W651" s="87"/>
      <c r="X651" s="87"/>
      <c r="Y651" s="87"/>
    </row>
    <row r="652">
      <c r="A652" s="100"/>
      <c r="B652" s="579"/>
      <c r="C652" s="100"/>
      <c r="D652" s="579"/>
      <c r="E652" s="100"/>
      <c r="F652" s="579"/>
      <c r="G652" s="100"/>
      <c r="H652" s="601"/>
      <c r="I652" s="100"/>
      <c r="J652" s="583"/>
      <c r="K652" s="100"/>
      <c r="L652" s="579"/>
      <c r="M652" s="87"/>
      <c r="N652" s="87"/>
      <c r="O652" s="87"/>
      <c r="P652" s="87"/>
      <c r="Q652" s="87"/>
      <c r="R652" s="87"/>
      <c r="S652" s="87"/>
      <c r="T652" s="87"/>
      <c r="U652" s="87"/>
      <c r="V652" s="87"/>
      <c r="W652" s="87"/>
      <c r="X652" s="87"/>
      <c r="Y652" s="87"/>
    </row>
    <row r="653">
      <c r="A653" s="100"/>
      <c r="B653" s="579"/>
      <c r="C653" s="100"/>
      <c r="D653" s="579"/>
      <c r="E653" s="100"/>
      <c r="F653" s="579"/>
      <c r="G653" s="100"/>
      <c r="H653" s="601"/>
      <c r="I653" s="100"/>
      <c r="J653" s="583"/>
      <c r="K653" s="100"/>
      <c r="L653" s="579"/>
      <c r="M653" s="87"/>
      <c r="N653" s="87"/>
      <c r="O653" s="87"/>
      <c r="P653" s="87"/>
      <c r="Q653" s="87"/>
      <c r="R653" s="87"/>
      <c r="S653" s="87"/>
      <c r="T653" s="87"/>
      <c r="U653" s="87"/>
      <c r="V653" s="87"/>
      <c r="W653" s="87"/>
      <c r="X653" s="87"/>
      <c r="Y653" s="87"/>
    </row>
    <row r="654">
      <c r="A654" s="100"/>
      <c r="B654" s="579"/>
      <c r="C654" s="100"/>
      <c r="D654" s="579"/>
      <c r="E654" s="100"/>
      <c r="F654" s="579"/>
      <c r="G654" s="100"/>
      <c r="H654" s="601"/>
      <c r="I654" s="100"/>
      <c r="J654" s="583"/>
      <c r="K654" s="100"/>
      <c r="L654" s="579"/>
      <c r="M654" s="87"/>
      <c r="N654" s="87"/>
      <c r="O654" s="87"/>
      <c r="P654" s="87"/>
      <c r="Q654" s="87"/>
      <c r="R654" s="87"/>
      <c r="S654" s="87"/>
      <c r="T654" s="87"/>
      <c r="U654" s="87"/>
      <c r="V654" s="87"/>
      <c r="W654" s="87"/>
      <c r="X654" s="87"/>
      <c r="Y654" s="87"/>
    </row>
    <row r="655">
      <c r="A655" s="100"/>
      <c r="B655" s="579"/>
      <c r="C655" s="100"/>
      <c r="D655" s="579"/>
      <c r="E655" s="100"/>
      <c r="F655" s="579"/>
      <c r="G655" s="100"/>
      <c r="H655" s="601"/>
      <c r="I655" s="100"/>
      <c r="J655" s="583"/>
      <c r="K655" s="100"/>
      <c r="L655" s="579"/>
      <c r="M655" s="87"/>
      <c r="N655" s="87"/>
      <c r="O655" s="87"/>
      <c r="P655" s="87"/>
      <c r="Q655" s="87"/>
      <c r="R655" s="87"/>
      <c r="S655" s="87"/>
      <c r="T655" s="87"/>
      <c r="U655" s="87"/>
      <c r="V655" s="87"/>
      <c r="W655" s="87"/>
      <c r="X655" s="87"/>
      <c r="Y655" s="87"/>
    </row>
    <row r="656">
      <c r="A656" s="100"/>
      <c r="B656" s="579"/>
      <c r="C656" s="100"/>
      <c r="D656" s="579"/>
      <c r="E656" s="100"/>
      <c r="F656" s="579"/>
      <c r="G656" s="100"/>
      <c r="H656" s="601"/>
      <c r="I656" s="100"/>
      <c r="J656" s="583"/>
      <c r="K656" s="100"/>
      <c r="L656" s="579"/>
      <c r="M656" s="87"/>
      <c r="N656" s="87"/>
      <c r="O656" s="87"/>
      <c r="P656" s="87"/>
      <c r="Q656" s="87"/>
      <c r="R656" s="87"/>
      <c r="S656" s="87"/>
      <c r="T656" s="87"/>
      <c r="U656" s="87"/>
      <c r="V656" s="87"/>
      <c r="W656" s="87"/>
      <c r="X656" s="87"/>
      <c r="Y656" s="87"/>
    </row>
    <row r="657">
      <c r="A657" s="100"/>
      <c r="B657" s="579"/>
      <c r="C657" s="100"/>
      <c r="D657" s="579"/>
      <c r="E657" s="100"/>
      <c r="F657" s="579"/>
      <c r="G657" s="100"/>
      <c r="H657" s="601"/>
      <c r="I657" s="100"/>
      <c r="J657" s="583"/>
      <c r="K657" s="100"/>
      <c r="L657" s="579"/>
      <c r="M657" s="87"/>
      <c r="N657" s="87"/>
      <c r="O657" s="87"/>
      <c r="P657" s="87"/>
      <c r="Q657" s="87"/>
      <c r="R657" s="87"/>
      <c r="S657" s="87"/>
      <c r="T657" s="87"/>
      <c r="U657" s="87"/>
      <c r="V657" s="87"/>
      <c r="W657" s="87"/>
      <c r="X657" s="87"/>
      <c r="Y657" s="87"/>
    </row>
    <row r="658">
      <c r="A658" s="100"/>
      <c r="B658" s="579"/>
      <c r="C658" s="100"/>
      <c r="D658" s="579"/>
      <c r="E658" s="100"/>
      <c r="F658" s="579"/>
      <c r="G658" s="100"/>
      <c r="H658" s="601"/>
      <c r="I658" s="100"/>
      <c r="J658" s="583"/>
      <c r="K658" s="100"/>
      <c r="L658" s="579"/>
      <c r="M658" s="87"/>
      <c r="N658" s="87"/>
      <c r="O658" s="87"/>
      <c r="P658" s="87"/>
      <c r="Q658" s="87"/>
      <c r="R658" s="87"/>
      <c r="S658" s="87"/>
      <c r="T658" s="87"/>
      <c r="U658" s="87"/>
      <c r="V658" s="87"/>
      <c r="W658" s="87"/>
      <c r="X658" s="87"/>
      <c r="Y658" s="87"/>
    </row>
    <row r="659">
      <c r="A659" s="100"/>
      <c r="B659" s="579"/>
      <c r="C659" s="100"/>
      <c r="D659" s="579"/>
      <c r="E659" s="100"/>
      <c r="F659" s="579"/>
      <c r="G659" s="100"/>
      <c r="H659" s="601"/>
      <c r="I659" s="100"/>
      <c r="J659" s="583"/>
      <c r="K659" s="100"/>
      <c r="L659" s="579"/>
      <c r="M659" s="87"/>
      <c r="N659" s="87"/>
      <c r="O659" s="87"/>
      <c r="P659" s="87"/>
      <c r="Q659" s="87"/>
      <c r="R659" s="87"/>
      <c r="S659" s="87"/>
      <c r="T659" s="87"/>
      <c r="U659" s="87"/>
      <c r="V659" s="87"/>
      <c r="W659" s="87"/>
      <c r="X659" s="87"/>
      <c r="Y659" s="87"/>
    </row>
    <row r="660">
      <c r="A660" s="100"/>
      <c r="B660" s="579"/>
      <c r="C660" s="100"/>
      <c r="D660" s="579"/>
      <c r="E660" s="100"/>
      <c r="F660" s="579"/>
      <c r="G660" s="100"/>
      <c r="H660" s="601"/>
      <c r="I660" s="100"/>
      <c r="J660" s="583"/>
      <c r="K660" s="100"/>
      <c r="L660" s="579"/>
      <c r="M660" s="87"/>
      <c r="N660" s="87"/>
      <c r="O660" s="87"/>
      <c r="P660" s="87"/>
      <c r="Q660" s="87"/>
      <c r="R660" s="87"/>
      <c r="S660" s="87"/>
      <c r="T660" s="87"/>
      <c r="U660" s="87"/>
      <c r="V660" s="87"/>
      <c r="W660" s="87"/>
      <c r="X660" s="87"/>
      <c r="Y660" s="87"/>
    </row>
    <row r="661">
      <c r="A661" s="100"/>
      <c r="B661" s="579"/>
      <c r="C661" s="100"/>
      <c r="D661" s="579"/>
      <c r="E661" s="100"/>
      <c r="F661" s="579"/>
      <c r="G661" s="100"/>
      <c r="H661" s="601"/>
      <c r="I661" s="100"/>
      <c r="J661" s="583"/>
      <c r="K661" s="100"/>
      <c r="L661" s="579"/>
      <c r="M661" s="87"/>
      <c r="N661" s="87"/>
      <c r="O661" s="87"/>
      <c r="P661" s="87"/>
      <c r="Q661" s="87"/>
      <c r="R661" s="87"/>
      <c r="S661" s="87"/>
      <c r="T661" s="87"/>
      <c r="U661" s="87"/>
      <c r="V661" s="87"/>
      <c r="W661" s="87"/>
      <c r="X661" s="87"/>
      <c r="Y661" s="87"/>
    </row>
    <row r="662">
      <c r="A662" s="100"/>
      <c r="B662" s="579"/>
      <c r="C662" s="100"/>
      <c r="D662" s="579"/>
      <c r="E662" s="100"/>
      <c r="F662" s="579"/>
      <c r="G662" s="100"/>
      <c r="H662" s="601"/>
      <c r="I662" s="100"/>
      <c r="J662" s="583"/>
      <c r="K662" s="100"/>
      <c r="L662" s="579"/>
      <c r="M662" s="87"/>
      <c r="N662" s="87"/>
      <c r="O662" s="87"/>
      <c r="P662" s="87"/>
      <c r="Q662" s="87"/>
      <c r="R662" s="87"/>
      <c r="S662" s="87"/>
      <c r="T662" s="87"/>
      <c r="U662" s="87"/>
      <c r="V662" s="87"/>
      <c r="W662" s="87"/>
      <c r="X662" s="87"/>
      <c r="Y662" s="87"/>
    </row>
    <row r="663">
      <c r="A663" s="100"/>
      <c r="B663" s="579"/>
      <c r="C663" s="100"/>
      <c r="D663" s="579"/>
      <c r="E663" s="100"/>
      <c r="F663" s="579"/>
      <c r="G663" s="100"/>
      <c r="H663" s="601"/>
      <c r="I663" s="100"/>
      <c r="J663" s="583"/>
      <c r="K663" s="100"/>
      <c r="L663" s="579"/>
      <c r="M663" s="87"/>
      <c r="N663" s="87"/>
      <c r="O663" s="87"/>
      <c r="P663" s="87"/>
      <c r="Q663" s="87"/>
      <c r="R663" s="87"/>
      <c r="S663" s="87"/>
      <c r="T663" s="87"/>
      <c r="U663" s="87"/>
      <c r="V663" s="87"/>
      <c r="W663" s="87"/>
      <c r="X663" s="87"/>
      <c r="Y663" s="87"/>
    </row>
    <row r="664">
      <c r="A664" s="100"/>
      <c r="B664" s="579"/>
      <c r="C664" s="100"/>
      <c r="D664" s="579"/>
      <c r="E664" s="100"/>
      <c r="F664" s="579"/>
      <c r="G664" s="100"/>
      <c r="H664" s="601"/>
      <c r="I664" s="100"/>
      <c r="J664" s="583"/>
      <c r="K664" s="100"/>
      <c r="L664" s="579"/>
      <c r="M664" s="87"/>
      <c r="N664" s="87"/>
      <c r="O664" s="87"/>
      <c r="P664" s="87"/>
      <c r="Q664" s="87"/>
      <c r="R664" s="87"/>
      <c r="S664" s="87"/>
      <c r="T664" s="87"/>
      <c r="U664" s="87"/>
      <c r="V664" s="87"/>
      <c r="W664" s="87"/>
      <c r="X664" s="87"/>
      <c r="Y664" s="87"/>
    </row>
    <row r="665">
      <c r="A665" s="100"/>
      <c r="B665" s="579"/>
      <c r="C665" s="100"/>
      <c r="D665" s="579"/>
      <c r="E665" s="100"/>
      <c r="F665" s="579"/>
      <c r="G665" s="100"/>
      <c r="H665" s="601"/>
      <c r="I665" s="100"/>
      <c r="J665" s="583"/>
      <c r="K665" s="100"/>
      <c r="L665" s="579"/>
      <c r="M665" s="87"/>
      <c r="N665" s="87"/>
      <c r="O665" s="87"/>
      <c r="P665" s="87"/>
      <c r="Q665" s="87"/>
      <c r="R665" s="87"/>
      <c r="S665" s="87"/>
      <c r="T665" s="87"/>
      <c r="U665" s="87"/>
      <c r="V665" s="87"/>
      <c r="W665" s="87"/>
      <c r="X665" s="87"/>
      <c r="Y665" s="87"/>
    </row>
    <row r="666">
      <c r="A666" s="100"/>
      <c r="B666" s="579"/>
      <c r="C666" s="100"/>
      <c r="D666" s="579"/>
      <c r="E666" s="100"/>
      <c r="F666" s="579"/>
      <c r="G666" s="100"/>
      <c r="H666" s="601"/>
      <c r="I666" s="100"/>
      <c r="J666" s="583"/>
      <c r="K666" s="100"/>
      <c r="L666" s="579"/>
      <c r="M666" s="87"/>
      <c r="N666" s="87"/>
      <c r="O666" s="87"/>
      <c r="P666" s="87"/>
      <c r="Q666" s="87"/>
      <c r="R666" s="87"/>
      <c r="S666" s="87"/>
      <c r="T666" s="87"/>
      <c r="U666" s="87"/>
      <c r="V666" s="87"/>
      <c r="W666" s="87"/>
      <c r="X666" s="87"/>
      <c r="Y666" s="87"/>
    </row>
    <row r="667">
      <c r="A667" s="100"/>
      <c r="B667" s="579"/>
      <c r="C667" s="100"/>
      <c r="D667" s="579"/>
      <c r="E667" s="100"/>
      <c r="F667" s="579"/>
      <c r="G667" s="100"/>
      <c r="H667" s="601"/>
      <c r="I667" s="100"/>
      <c r="J667" s="583"/>
      <c r="K667" s="100"/>
      <c r="L667" s="579"/>
      <c r="M667" s="87"/>
      <c r="N667" s="87"/>
      <c r="O667" s="87"/>
      <c r="P667" s="87"/>
      <c r="Q667" s="87"/>
      <c r="R667" s="87"/>
      <c r="S667" s="87"/>
      <c r="T667" s="87"/>
      <c r="U667" s="87"/>
      <c r="V667" s="87"/>
      <c r="W667" s="87"/>
      <c r="X667" s="87"/>
      <c r="Y667" s="87"/>
    </row>
    <row r="668">
      <c r="A668" s="100"/>
      <c r="B668" s="579"/>
      <c r="C668" s="100"/>
      <c r="D668" s="579"/>
      <c r="E668" s="100"/>
      <c r="F668" s="579"/>
      <c r="G668" s="100"/>
      <c r="H668" s="601"/>
      <c r="I668" s="100"/>
      <c r="J668" s="583"/>
      <c r="K668" s="100"/>
      <c r="L668" s="579"/>
      <c r="M668" s="87"/>
      <c r="N668" s="87"/>
      <c r="O668" s="87"/>
      <c r="P668" s="87"/>
      <c r="Q668" s="87"/>
      <c r="R668" s="87"/>
      <c r="S668" s="87"/>
      <c r="T668" s="87"/>
      <c r="U668" s="87"/>
      <c r="V668" s="87"/>
      <c r="W668" s="87"/>
      <c r="X668" s="87"/>
      <c r="Y668" s="87"/>
    </row>
    <row r="669">
      <c r="A669" s="100"/>
      <c r="B669" s="579"/>
      <c r="C669" s="100"/>
      <c r="D669" s="579"/>
      <c r="E669" s="100"/>
      <c r="F669" s="579"/>
      <c r="G669" s="100"/>
      <c r="H669" s="601"/>
      <c r="I669" s="100"/>
      <c r="J669" s="583"/>
      <c r="K669" s="100"/>
      <c r="L669" s="579"/>
      <c r="M669" s="87"/>
      <c r="N669" s="87"/>
      <c r="O669" s="87"/>
      <c r="P669" s="87"/>
      <c r="Q669" s="87"/>
      <c r="R669" s="87"/>
      <c r="S669" s="87"/>
      <c r="T669" s="87"/>
      <c r="U669" s="87"/>
      <c r="V669" s="87"/>
      <c r="W669" s="87"/>
      <c r="X669" s="87"/>
      <c r="Y669" s="87"/>
    </row>
    <row r="670">
      <c r="A670" s="100"/>
      <c r="B670" s="579"/>
      <c r="C670" s="100"/>
      <c r="D670" s="579"/>
      <c r="E670" s="100"/>
      <c r="F670" s="579"/>
      <c r="G670" s="100"/>
      <c r="H670" s="601"/>
      <c r="I670" s="100"/>
      <c r="J670" s="583"/>
      <c r="K670" s="100"/>
      <c r="L670" s="579"/>
      <c r="M670" s="87"/>
      <c r="N670" s="87"/>
      <c r="O670" s="87"/>
      <c r="P670" s="87"/>
      <c r="Q670" s="87"/>
      <c r="R670" s="87"/>
      <c r="S670" s="87"/>
      <c r="T670" s="87"/>
      <c r="U670" s="87"/>
      <c r="V670" s="87"/>
      <c r="W670" s="87"/>
      <c r="X670" s="87"/>
      <c r="Y670" s="87"/>
    </row>
    <row r="671">
      <c r="A671" s="100"/>
      <c r="B671" s="579"/>
      <c r="C671" s="100"/>
      <c r="D671" s="579"/>
      <c r="E671" s="100"/>
      <c r="F671" s="579"/>
      <c r="G671" s="100"/>
      <c r="H671" s="601"/>
      <c r="I671" s="100"/>
      <c r="J671" s="583"/>
      <c r="K671" s="100"/>
      <c r="L671" s="579"/>
      <c r="M671" s="87"/>
      <c r="N671" s="87"/>
      <c r="O671" s="87"/>
      <c r="P671" s="87"/>
      <c r="Q671" s="87"/>
      <c r="R671" s="87"/>
      <c r="S671" s="87"/>
      <c r="T671" s="87"/>
      <c r="U671" s="87"/>
      <c r="V671" s="87"/>
      <c r="W671" s="87"/>
      <c r="X671" s="87"/>
      <c r="Y671" s="87"/>
    </row>
    <row r="672">
      <c r="A672" s="100"/>
      <c r="B672" s="579"/>
      <c r="C672" s="100"/>
      <c r="D672" s="579"/>
      <c r="E672" s="100"/>
      <c r="F672" s="579"/>
      <c r="G672" s="100"/>
      <c r="H672" s="601"/>
      <c r="I672" s="100"/>
      <c r="J672" s="583"/>
      <c r="K672" s="100"/>
      <c r="L672" s="579"/>
      <c r="M672" s="87"/>
      <c r="N672" s="87"/>
      <c r="O672" s="87"/>
      <c r="P672" s="87"/>
      <c r="Q672" s="87"/>
      <c r="R672" s="87"/>
      <c r="S672" s="87"/>
      <c r="T672" s="87"/>
      <c r="U672" s="87"/>
      <c r="V672" s="87"/>
      <c r="W672" s="87"/>
      <c r="X672" s="87"/>
      <c r="Y672" s="87"/>
    </row>
    <row r="673">
      <c r="A673" s="100"/>
      <c r="B673" s="579"/>
      <c r="C673" s="100"/>
      <c r="D673" s="579"/>
      <c r="E673" s="100"/>
      <c r="F673" s="579"/>
      <c r="G673" s="100"/>
      <c r="H673" s="601"/>
      <c r="I673" s="100"/>
      <c r="J673" s="583"/>
      <c r="K673" s="100"/>
      <c r="L673" s="579"/>
      <c r="M673" s="87"/>
      <c r="N673" s="87"/>
      <c r="O673" s="87"/>
      <c r="P673" s="87"/>
      <c r="Q673" s="87"/>
      <c r="R673" s="87"/>
      <c r="S673" s="87"/>
      <c r="T673" s="87"/>
      <c r="U673" s="87"/>
      <c r="V673" s="87"/>
      <c r="W673" s="87"/>
      <c r="X673" s="87"/>
      <c r="Y673" s="87"/>
    </row>
    <row r="674">
      <c r="A674" s="100"/>
      <c r="B674" s="579"/>
      <c r="C674" s="100"/>
      <c r="D674" s="579"/>
      <c r="E674" s="100"/>
      <c r="F674" s="579"/>
      <c r="G674" s="100"/>
      <c r="H674" s="601"/>
      <c r="I674" s="100"/>
      <c r="J674" s="583"/>
      <c r="K674" s="100"/>
      <c r="L674" s="579"/>
      <c r="M674" s="87"/>
      <c r="N674" s="87"/>
      <c r="O674" s="87"/>
      <c r="P674" s="87"/>
      <c r="Q674" s="87"/>
      <c r="R674" s="87"/>
      <c r="S674" s="87"/>
      <c r="T674" s="87"/>
      <c r="U674" s="87"/>
      <c r="V674" s="87"/>
      <c r="W674" s="87"/>
      <c r="X674" s="87"/>
      <c r="Y674" s="87"/>
    </row>
    <row r="675">
      <c r="A675" s="100"/>
      <c r="B675" s="579"/>
      <c r="C675" s="100"/>
      <c r="D675" s="579"/>
      <c r="E675" s="100"/>
      <c r="F675" s="579"/>
      <c r="G675" s="100"/>
      <c r="H675" s="601"/>
      <c r="I675" s="100"/>
      <c r="J675" s="583"/>
      <c r="K675" s="100"/>
      <c r="L675" s="579"/>
      <c r="M675" s="87"/>
      <c r="N675" s="87"/>
      <c r="O675" s="87"/>
      <c r="P675" s="87"/>
      <c r="Q675" s="87"/>
      <c r="R675" s="87"/>
      <c r="S675" s="87"/>
      <c r="T675" s="87"/>
      <c r="U675" s="87"/>
      <c r="V675" s="87"/>
      <c r="W675" s="87"/>
      <c r="X675" s="87"/>
      <c r="Y675" s="87"/>
    </row>
    <row r="676">
      <c r="A676" s="100"/>
      <c r="B676" s="579"/>
      <c r="C676" s="100"/>
      <c r="D676" s="579"/>
      <c r="E676" s="100"/>
      <c r="F676" s="579"/>
      <c r="G676" s="100"/>
      <c r="H676" s="601"/>
      <c r="I676" s="100"/>
      <c r="J676" s="583"/>
      <c r="K676" s="100"/>
      <c r="L676" s="579"/>
      <c r="M676" s="87"/>
      <c r="N676" s="87"/>
      <c r="O676" s="87"/>
      <c r="P676" s="87"/>
      <c r="Q676" s="87"/>
      <c r="R676" s="87"/>
      <c r="S676" s="87"/>
      <c r="T676" s="87"/>
      <c r="U676" s="87"/>
      <c r="V676" s="87"/>
      <c r="W676" s="87"/>
      <c r="X676" s="87"/>
      <c r="Y676" s="87"/>
    </row>
    <row r="677">
      <c r="A677" s="100"/>
      <c r="B677" s="579"/>
      <c r="C677" s="100"/>
      <c r="D677" s="579"/>
      <c r="E677" s="100"/>
      <c r="F677" s="579"/>
      <c r="G677" s="100"/>
      <c r="H677" s="601"/>
      <c r="I677" s="100"/>
      <c r="J677" s="583"/>
      <c r="K677" s="100"/>
      <c r="L677" s="579"/>
      <c r="M677" s="87"/>
      <c r="N677" s="87"/>
      <c r="O677" s="87"/>
      <c r="P677" s="87"/>
      <c r="Q677" s="87"/>
      <c r="R677" s="87"/>
      <c r="S677" s="87"/>
      <c r="T677" s="87"/>
      <c r="U677" s="87"/>
      <c r="V677" s="87"/>
      <c r="W677" s="87"/>
      <c r="X677" s="87"/>
      <c r="Y677" s="87"/>
    </row>
    <row r="678">
      <c r="A678" s="100"/>
      <c r="B678" s="579"/>
      <c r="C678" s="100"/>
      <c r="D678" s="579"/>
      <c r="E678" s="100"/>
      <c r="F678" s="579"/>
      <c r="G678" s="100"/>
      <c r="H678" s="601"/>
      <c r="I678" s="100"/>
      <c r="J678" s="583"/>
      <c r="K678" s="100"/>
      <c r="L678" s="579"/>
      <c r="M678" s="87"/>
      <c r="N678" s="87"/>
      <c r="O678" s="87"/>
      <c r="P678" s="87"/>
      <c r="Q678" s="87"/>
      <c r="R678" s="87"/>
      <c r="S678" s="87"/>
      <c r="T678" s="87"/>
      <c r="U678" s="87"/>
      <c r="V678" s="87"/>
      <c r="W678" s="87"/>
      <c r="X678" s="87"/>
      <c r="Y678" s="87"/>
    </row>
    <row r="679">
      <c r="A679" s="100"/>
      <c r="B679" s="579"/>
      <c r="C679" s="100"/>
      <c r="D679" s="579"/>
      <c r="E679" s="100"/>
      <c r="F679" s="579"/>
      <c r="G679" s="100"/>
      <c r="H679" s="601"/>
      <c r="I679" s="100"/>
      <c r="J679" s="583"/>
      <c r="K679" s="100"/>
      <c r="L679" s="579"/>
      <c r="M679" s="87"/>
      <c r="N679" s="87"/>
      <c r="O679" s="87"/>
      <c r="P679" s="87"/>
      <c r="Q679" s="87"/>
      <c r="R679" s="87"/>
      <c r="S679" s="87"/>
      <c r="T679" s="87"/>
      <c r="U679" s="87"/>
      <c r="V679" s="87"/>
      <c r="W679" s="87"/>
      <c r="X679" s="87"/>
      <c r="Y679" s="87"/>
    </row>
    <row r="680">
      <c r="A680" s="100"/>
      <c r="B680" s="579"/>
      <c r="C680" s="100"/>
      <c r="D680" s="579"/>
      <c r="E680" s="100"/>
      <c r="F680" s="579"/>
      <c r="G680" s="100"/>
      <c r="H680" s="601"/>
      <c r="I680" s="100"/>
      <c r="J680" s="583"/>
      <c r="K680" s="100"/>
      <c r="L680" s="579"/>
      <c r="M680" s="87"/>
      <c r="N680" s="87"/>
      <c r="O680" s="87"/>
      <c r="P680" s="87"/>
      <c r="Q680" s="87"/>
      <c r="R680" s="87"/>
      <c r="S680" s="87"/>
      <c r="T680" s="87"/>
      <c r="U680" s="87"/>
      <c r="V680" s="87"/>
      <c r="W680" s="87"/>
      <c r="X680" s="87"/>
      <c r="Y680" s="87"/>
    </row>
    <row r="681">
      <c r="A681" s="100"/>
      <c r="B681" s="579"/>
      <c r="C681" s="100"/>
      <c r="D681" s="579"/>
      <c r="E681" s="100"/>
      <c r="F681" s="579"/>
      <c r="G681" s="100"/>
      <c r="H681" s="601"/>
      <c r="I681" s="100"/>
      <c r="J681" s="583"/>
      <c r="K681" s="100"/>
      <c r="L681" s="579"/>
      <c r="M681" s="87"/>
      <c r="N681" s="87"/>
      <c r="O681" s="87"/>
      <c r="P681" s="87"/>
      <c r="Q681" s="87"/>
      <c r="R681" s="87"/>
      <c r="S681" s="87"/>
      <c r="T681" s="87"/>
      <c r="U681" s="87"/>
      <c r="V681" s="87"/>
      <c r="W681" s="87"/>
      <c r="X681" s="87"/>
      <c r="Y681" s="87"/>
    </row>
    <row r="682">
      <c r="A682" s="100"/>
      <c r="B682" s="579"/>
      <c r="C682" s="100"/>
      <c r="D682" s="579"/>
      <c r="E682" s="100"/>
      <c r="F682" s="579"/>
      <c r="G682" s="100"/>
      <c r="H682" s="601"/>
      <c r="I682" s="100"/>
      <c r="J682" s="583"/>
      <c r="K682" s="100"/>
      <c r="L682" s="579"/>
      <c r="M682" s="87"/>
      <c r="N682" s="87"/>
      <c r="O682" s="87"/>
      <c r="P682" s="87"/>
      <c r="Q682" s="87"/>
      <c r="R682" s="87"/>
      <c r="S682" s="87"/>
      <c r="T682" s="87"/>
      <c r="U682" s="87"/>
      <c r="V682" s="87"/>
      <c r="W682" s="87"/>
      <c r="X682" s="87"/>
      <c r="Y682" s="87"/>
    </row>
    <row r="683">
      <c r="A683" s="100"/>
      <c r="B683" s="579"/>
      <c r="C683" s="100"/>
      <c r="D683" s="579"/>
      <c r="E683" s="100"/>
      <c r="F683" s="579"/>
      <c r="G683" s="100"/>
      <c r="H683" s="601"/>
      <c r="I683" s="100"/>
      <c r="J683" s="583"/>
      <c r="K683" s="100"/>
      <c r="L683" s="579"/>
      <c r="M683" s="87"/>
      <c r="N683" s="87"/>
      <c r="O683" s="87"/>
      <c r="P683" s="87"/>
      <c r="Q683" s="87"/>
      <c r="R683" s="87"/>
      <c r="S683" s="87"/>
      <c r="T683" s="87"/>
      <c r="U683" s="87"/>
      <c r="V683" s="87"/>
      <c r="W683" s="87"/>
      <c r="X683" s="87"/>
      <c r="Y683" s="87"/>
    </row>
    <row r="684">
      <c r="A684" s="100"/>
      <c r="B684" s="579"/>
      <c r="C684" s="100"/>
      <c r="D684" s="579"/>
      <c r="E684" s="100"/>
      <c r="F684" s="579"/>
      <c r="G684" s="100"/>
      <c r="H684" s="601"/>
      <c r="I684" s="100"/>
      <c r="J684" s="583"/>
      <c r="K684" s="100"/>
      <c r="L684" s="579"/>
      <c r="M684" s="87"/>
      <c r="N684" s="87"/>
      <c r="O684" s="87"/>
      <c r="P684" s="87"/>
      <c r="Q684" s="87"/>
      <c r="R684" s="87"/>
      <c r="S684" s="87"/>
      <c r="T684" s="87"/>
      <c r="U684" s="87"/>
      <c r="V684" s="87"/>
      <c r="W684" s="87"/>
      <c r="X684" s="87"/>
      <c r="Y684" s="87"/>
    </row>
    <row r="685">
      <c r="A685" s="100"/>
      <c r="B685" s="579"/>
      <c r="C685" s="100"/>
      <c r="D685" s="579"/>
      <c r="E685" s="100"/>
      <c r="F685" s="579"/>
      <c r="G685" s="100"/>
      <c r="H685" s="601"/>
      <c r="I685" s="100"/>
      <c r="J685" s="583"/>
      <c r="K685" s="100"/>
      <c r="L685" s="579"/>
      <c r="M685" s="87"/>
      <c r="N685" s="87"/>
      <c r="O685" s="87"/>
      <c r="P685" s="87"/>
      <c r="Q685" s="87"/>
      <c r="R685" s="87"/>
      <c r="S685" s="87"/>
      <c r="T685" s="87"/>
      <c r="U685" s="87"/>
      <c r="V685" s="87"/>
      <c r="W685" s="87"/>
      <c r="X685" s="87"/>
      <c r="Y685" s="87"/>
    </row>
    <row r="686">
      <c r="A686" s="100"/>
      <c r="B686" s="579"/>
      <c r="C686" s="100"/>
      <c r="D686" s="579"/>
      <c r="E686" s="100"/>
      <c r="F686" s="579"/>
      <c r="G686" s="100"/>
      <c r="H686" s="601"/>
      <c r="I686" s="100"/>
      <c r="J686" s="583"/>
      <c r="K686" s="100"/>
      <c r="L686" s="579"/>
      <c r="M686" s="87"/>
      <c r="N686" s="87"/>
      <c r="O686" s="87"/>
      <c r="P686" s="87"/>
      <c r="Q686" s="87"/>
      <c r="R686" s="87"/>
      <c r="S686" s="87"/>
      <c r="T686" s="87"/>
      <c r="U686" s="87"/>
      <c r="V686" s="87"/>
      <c r="W686" s="87"/>
      <c r="X686" s="87"/>
      <c r="Y686" s="87"/>
    </row>
    <row r="687">
      <c r="A687" s="100"/>
      <c r="B687" s="579"/>
      <c r="C687" s="100"/>
      <c r="D687" s="579"/>
      <c r="E687" s="100"/>
      <c r="F687" s="579"/>
      <c r="G687" s="100"/>
      <c r="H687" s="601"/>
      <c r="I687" s="100"/>
      <c r="J687" s="583"/>
      <c r="K687" s="100"/>
      <c r="L687" s="579"/>
      <c r="M687" s="87"/>
      <c r="N687" s="87"/>
      <c r="O687" s="87"/>
      <c r="P687" s="87"/>
      <c r="Q687" s="87"/>
      <c r="R687" s="87"/>
      <c r="S687" s="87"/>
      <c r="T687" s="87"/>
      <c r="U687" s="87"/>
      <c r="V687" s="87"/>
      <c r="W687" s="87"/>
      <c r="X687" s="87"/>
      <c r="Y687" s="87"/>
    </row>
    <row r="688">
      <c r="A688" s="100"/>
      <c r="B688" s="579"/>
      <c r="C688" s="100"/>
      <c r="D688" s="579"/>
      <c r="E688" s="100"/>
      <c r="F688" s="579"/>
      <c r="G688" s="100"/>
      <c r="H688" s="601"/>
      <c r="I688" s="100"/>
      <c r="J688" s="583"/>
      <c r="K688" s="100"/>
      <c r="L688" s="579"/>
      <c r="M688" s="87"/>
      <c r="N688" s="87"/>
      <c r="O688" s="87"/>
      <c r="P688" s="87"/>
      <c r="Q688" s="87"/>
      <c r="R688" s="87"/>
      <c r="S688" s="87"/>
      <c r="T688" s="87"/>
      <c r="U688" s="87"/>
      <c r="V688" s="87"/>
      <c r="W688" s="87"/>
      <c r="X688" s="87"/>
      <c r="Y688" s="87"/>
    </row>
    <row r="689">
      <c r="A689" s="100"/>
      <c r="B689" s="579"/>
      <c r="C689" s="100"/>
      <c r="D689" s="579"/>
      <c r="E689" s="100"/>
      <c r="F689" s="579"/>
      <c r="G689" s="100"/>
      <c r="H689" s="601"/>
      <c r="I689" s="100"/>
      <c r="J689" s="583"/>
      <c r="K689" s="100"/>
      <c r="L689" s="579"/>
      <c r="M689" s="87"/>
      <c r="N689" s="87"/>
      <c r="O689" s="87"/>
      <c r="P689" s="87"/>
      <c r="Q689" s="87"/>
      <c r="R689" s="87"/>
      <c r="S689" s="87"/>
      <c r="T689" s="87"/>
      <c r="U689" s="87"/>
      <c r="V689" s="87"/>
      <c r="W689" s="87"/>
      <c r="X689" s="87"/>
      <c r="Y689" s="87"/>
    </row>
    <row r="690">
      <c r="A690" s="100"/>
      <c r="B690" s="579"/>
      <c r="C690" s="100"/>
      <c r="D690" s="579"/>
      <c r="E690" s="100"/>
      <c r="F690" s="579"/>
      <c r="G690" s="100"/>
      <c r="H690" s="601"/>
      <c r="I690" s="100"/>
      <c r="J690" s="583"/>
      <c r="K690" s="100"/>
      <c r="L690" s="579"/>
      <c r="M690" s="87"/>
      <c r="N690" s="87"/>
      <c r="O690" s="87"/>
      <c r="P690" s="87"/>
      <c r="Q690" s="87"/>
      <c r="R690" s="87"/>
      <c r="S690" s="87"/>
      <c r="T690" s="87"/>
      <c r="U690" s="87"/>
      <c r="V690" s="87"/>
      <c r="W690" s="87"/>
      <c r="X690" s="87"/>
      <c r="Y690" s="87"/>
    </row>
    <row r="691">
      <c r="A691" s="100"/>
      <c r="B691" s="579"/>
      <c r="C691" s="100"/>
      <c r="D691" s="579"/>
      <c r="E691" s="100"/>
      <c r="F691" s="579"/>
      <c r="G691" s="100"/>
      <c r="H691" s="601"/>
      <c r="I691" s="100"/>
      <c r="J691" s="583"/>
      <c r="K691" s="100"/>
      <c r="L691" s="579"/>
      <c r="M691" s="87"/>
      <c r="N691" s="87"/>
      <c r="O691" s="87"/>
      <c r="P691" s="87"/>
      <c r="Q691" s="87"/>
      <c r="R691" s="87"/>
      <c r="S691" s="87"/>
      <c r="T691" s="87"/>
      <c r="U691" s="87"/>
      <c r="V691" s="87"/>
      <c r="W691" s="87"/>
      <c r="X691" s="87"/>
      <c r="Y691" s="87"/>
    </row>
    <row r="692">
      <c r="A692" s="100"/>
      <c r="B692" s="579"/>
      <c r="C692" s="100"/>
      <c r="D692" s="579"/>
      <c r="E692" s="100"/>
      <c r="F692" s="579"/>
      <c r="G692" s="100"/>
      <c r="H692" s="601"/>
      <c r="I692" s="100"/>
      <c r="J692" s="583"/>
      <c r="K692" s="100"/>
      <c r="L692" s="579"/>
      <c r="M692" s="87"/>
      <c r="N692" s="87"/>
      <c r="O692" s="87"/>
      <c r="P692" s="87"/>
      <c r="Q692" s="87"/>
      <c r="R692" s="87"/>
      <c r="S692" s="87"/>
      <c r="T692" s="87"/>
      <c r="U692" s="87"/>
      <c r="V692" s="87"/>
      <c r="W692" s="87"/>
      <c r="X692" s="87"/>
      <c r="Y692" s="87"/>
    </row>
    <row r="693">
      <c r="A693" s="100"/>
      <c r="B693" s="579"/>
      <c r="C693" s="100"/>
      <c r="D693" s="579"/>
      <c r="E693" s="100"/>
      <c r="F693" s="579"/>
      <c r="G693" s="100"/>
      <c r="H693" s="601"/>
      <c r="I693" s="100"/>
      <c r="J693" s="583"/>
      <c r="K693" s="100"/>
      <c r="L693" s="579"/>
      <c r="M693" s="87"/>
      <c r="N693" s="87"/>
      <c r="O693" s="87"/>
      <c r="P693" s="87"/>
      <c r="Q693" s="87"/>
      <c r="R693" s="87"/>
      <c r="S693" s="87"/>
      <c r="T693" s="87"/>
      <c r="U693" s="87"/>
      <c r="V693" s="87"/>
      <c r="W693" s="87"/>
      <c r="X693" s="87"/>
      <c r="Y693" s="87"/>
    </row>
    <row r="694">
      <c r="A694" s="100"/>
      <c r="B694" s="579"/>
      <c r="C694" s="100"/>
      <c r="D694" s="579"/>
      <c r="E694" s="100"/>
      <c r="F694" s="579"/>
      <c r="G694" s="100"/>
      <c r="H694" s="601"/>
      <c r="I694" s="100"/>
      <c r="J694" s="583"/>
      <c r="K694" s="100"/>
      <c r="L694" s="579"/>
      <c r="M694" s="87"/>
      <c r="N694" s="87"/>
      <c r="O694" s="87"/>
      <c r="P694" s="87"/>
      <c r="Q694" s="87"/>
      <c r="R694" s="87"/>
      <c r="S694" s="87"/>
      <c r="T694" s="87"/>
      <c r="U694" s="87"/>
      <c r="V694" s="87"/>
      <c r="W694" s="87"/>
      <c r="X694" s="87"/>
      <c r="Y694" s="87"/>
    </row>
    <row r="695">
      <c r="A695" s="100"/>
      <c r="B695" s="579"/>
      <c r="C695" s="100"/>
      <c r="D695" s="579"/>
      <c r="E695" s="100"/>
      <c r="F695" s="579"/>
      <c r="G695" s="100"/>
      <c r="H695" s="601"/>
      <c r="I695" s="100"/>
      <c r="J695" s="583"/>
      <c r="K695" s="100"/>
      <c r="L695" s="579"/>
      <c r="M695" s="87"/>
      <c r="N695" s="87"/>
      <c r="O695" s="87"/>
      <c r="P695" s="87"/>
      <c r="Q695" s="87"/>
      <c r="R695" s="87"/>
      <c r="S695" s="87"/>
      <c r="T695" s="87"/>
      <c r="U695" s="87"/>
      <c r="V695" s="87"/>
      <c r="W695" s="87"/>
      <c r="X695" s="87"/>
      <c r="Y695" s="87"/>
    </row>
    <row r="696">
      <c r="A696" s="100"/>
      <c r="B696" s="579"/>
      <c r="C696" s="100"/>
      <c r="D696" s="579"/>
      <c r="E696" s="100"/>
      <c r="F696" s="579"/>
      <c r="G696" s="100"/>
      <c r="H696" s="601"/>
      <c r="I696" s="100"/>
      <c r="J696" s="583"/>
      <c r="K696" s="100"/>
      <c r="L696" s="579"/>
      <c r="M696" s="87"/>
      <c r="N696" s="87"/>
      <c r="O696" s="87"/>
      <c r="P696" s="87"/>
      <c r="Q696" s="87"/>
      <c r="R696" s="87"/>
      <c r="S696" s="87"/>
      <c r="T696" s="87"/>
      <c r="U696" s="87"/>
      <c r="V696" s="87"/>
      <c r="W696" s="87"/>
      <c r="X696" s="87"/>
      <c r="Y696" s="87"/>
    </row>
    <row r="697">
      <c r="A697" s="100"/>
      <c r="B697" s="579"/>
      <c r="C697" s="100"/>
      <c r="D697" s="579"/>
      <c r="E697" s="100"/>
      <c r="F697" s="579"/>
      <c r="G697" s="100"/>
      <c r="H697" s="601"/>
      <c r="I697" s="100"/>
      <c r="J697" s="583"/>
      <c r="K697" s="100"/>
      <c r="L697" s="579"/>
      <c r="M697" s="87"/>
      <c r="N697" s="87"/>
      <c r="O697" s="87"/>
      <c r="P697" s="87"/>
      <c r="Q697" s="87"/>
      <c r="R697" s="87"/>
      <c r="S697" s="87"/>
      <c r="T697" s="87"/>
      <c r="U697" s="87"/>
      <c r="V697" s="87"/>
      <c r="W697" s="87"/>
      <c r="X697" s="87"/>
      <c r="Y697" s="87"/>
    </row>
    <row r="698">
      <c r="A698" s="100"/>
      <c r="B698" s="579"/>
      <c r="C698" s="100"/>
      <c r="D698" s="579"/>
      <c r="E698" s="100"/>
      <c r="F698" s="579"/>
      <c r="G698" s="100"/>
      <c r="H698" s="601"/>
      <c r="I698" s="100"/>
      <c r="J698" s="583"/>
      <c r="K698" s="100"/>
      <c r="L698" s="579"/>
      <c r="M698" s="87"/>
      <c r="N698" s="87"/>
      <c r="O698" s="87"/>
      <c r="P698" s="87"/>
      <c r="Q698" s="87"/>
      <c r="R698" s="87"/>
      <c r="S698" s="87"/>
      <c r="T698" s="87"/>
      <c r="U698" s="87"/>
      <c r="V698" s="87"/>
      <c r="W698" s="87"/>
      <c r="X698" s="87"/>
      <c r="Y698" s="87"/>
    </row>
    <row r="699">
      <c r="A699" s="100"/>
      <c r="B699" s="579"/>
      <c r="C699" s="100"/>
      <c r="D699" s="579"/>
      <c r="E699" s="100"/>
      <c r="F699" s="579"/>
      <c r="G699" s="100"/>
      <c r="H699" s="601"/>
      <c r="I699" s="100"/>
      <c r="J699" s="583"/>
      <c r="K699" s="100"/>
      <c r="L699" s="579"/>
      <c r="M699" s="87"/>
      <c r="N699" s="87"/>
      <c r="O699" s="87"/>
      <c r="P699" s="87"/>
      <c r="Q699" s="87"/>
      <c r="R699" s="87"/>
      <c r="S699" s="87"/>
      <c r="T699" s="87"/>
      <c r="U699" s="87"/>
      <c r="V699" s="87"/>
      <c r="W699" s="87"/>
      <c r="X699" s="87"/>
      <c r="Y699" s="87"/>
    </row>
    <row r="700">
      <c r="A700" s="100"/>
      <c r="B700" s="579"/>
      <c r="C700" s="100"/>
      <c r="D700" s="579"/>
      <c r="E700" s="100"/>
      <c r="F700" s="579"/>
      <c r="G700" s="100"/>
      <c r="H700" s="601"/>
      <c r="I700" s="100"/>
      <c r="J700" s="583"/>
      <c r="K700" s="100"/>
      <c r="L700" s="579"/>
      <c r="M700" s="87"/>
      <c r="N700" s="87"/>
      <c r="O700" s="87"/>
      <c r="P700" s="87"/>
      <c r="Q700" s="87"/>
      <c r="R700" s="87"/>
      <c r="S700" s="87"/>
      <c r="T700" s="87"/>
      <c r="U700" s="87"/>
      <c r="V700" s="87"/>
      <c r="W700" s="87"/>
      <c r="X700" s="87"/>
      <c r="Y700" s="87"/>
    </row>
    <row r="701">
      <c r="A701" s="100"/>
      <c r="B701" s="579"/>
      <c r="C701" s="100"/>
      <c r="D701" s="579"/>
      <c r="E701" s="100"/>
      <c r="F701" s="579"/>
      <c r="G701" s="100"/>
      <c r="H701" s="601"/>
      <c r="I701" s="100"/>
      <c r="J701" s="583"/>
      <c r="K701" s="100"/>
      <c r="L701" s="579"/>
      <c r="M701" s="87"/>
      <c r="N701" s="87"/>
      <c r="O701" s="87"/>
      <c r="P701" s="87"/>
      <c r="Q701" s="87"/>
      <c r="R701" s="87"/>
      <c r="S701" s="87"/>
      <c r="T701" s="87"/>
      <c r="U701" s="87"/>
      <c r="V701" s="87"/>
      <c r="W701" s="87"/>
      <c r="X701" s="87"/>
      <c r="Y701" s="87"/>
    </row>
    <row r="702">
      <c r="A702" s="100"/>
      <c r="B702" s="579"/>
      <c r="C702" s="100"/>
      <c r="D702" s="579"/>
      <c r="E702" s="100"/>
      <c r="F702" s="579"/>
      <c r="G702" s="100"/>
      <c r="H702" s="601"/>
      <c r="I702" s="100"/>
      <c r="J702" s="583"/>
      <c r="K702" s="100"/>
      <c r="L702" s="579"/>
      <c r="M702" s="87"/>
      <c r="N702" s="87"/>
      <c r="O702" s="87"/>
      <c r="P702" s="87"/>
      <c r="Q702" s="87"/>
      <c r="R702" s="87"/>
      <c r="S702" s="87"/>
      <c r="T702" s="87"/>
      <c r="U702" s="87"/>
      <c r="V702" s="87"/>
      <c r="W702" s="87"/>
      <c r="X702" s="87"/>
      <c r="Y702" s="87"/>
    </row>
    <row r="703">
      <c r="A703" s="100"/>
      <c r="B703" s="579"/>
      <c r="C703" s="100"/>
      <c r="D703" s="579"/>
      <c r="E703" s="100"/>
      <c r="F703" s="579"/>
      <c r="G703" s="100"/>
      <c r="H703" s="601"/>
      <c r="I703" s="100"/>
      <c r="J703" s="583"/>
      <c r="K703" s="100"/>
      <c r="L703" s="579"/>
      <c r="M703" s="87"/>
      <c r="N703" s="87"/>
      <c r="O703" s="87"/>
      <c r="P703" s="87"/>
      <c r="Q703" s="87"/>
      <c r="R703" s="87"/>
      <c r="S703" s="87"/>
      <c r="T703" s="87"/>
      <c r="U703" s="87"/>
      <c r="V703" s="87"/>
      <c r="W703" s="87"/>
      <c r="X703" s="87"/>
      <c r="Y703" s="87"/>
    </row>
    <row r="704">
      <c r="A704" s="100"/>
      <c r="B704" s="579"/>
      <c r="C704" s="100"/>
      <c r="D704" s="579"/>
      <c r="E704" s="100"/>
      <c r="F704" s="579"/>
      <c r="G704" s="100"/>
      <c r="H704" s="601"/>
      <c r="I704" s="100"/>
      <c r="J704" s="583"/>
      <c r="K704" s="100"/>
      <c r="L704" s="579"/>
      <c r="M704" s="87"/>
      <c r="N704" s="87"/>
      <c r="O704" s="87"/>
      <c r="P704" s="87"/>
      <c r="Q704" s="87"/>
      <c r="R704" s="87"/>
      <c r="S704" s="87"/>
      <c r="T704" s="87"/>
      <c r="U704" s="87"/>
      <c r="V704" s="87"/>
      <c r="W704" s="87"/>
      <c r="X704" s="87"/>
      <c r="Y704" s="87"/>
    </row>
    <row r="705">
      <c r="A705" s="100"/>
      <c r="B705" s="579"/>
      <c r="C705" s="100"/>
      <c r="D705" s="579"/>
      <c r="E705" s="100"/>
      <c r="F705" s="579"/>
      <c r="G705" s="100"/>
      <c r="H705" s="601"/>
      <c r="I705" s="100"/>
      <c r="J705" s="583"/>
      <c r="K705" s="100"/>
      <c r="L705" s="579"/>
      <c r="M705" s="87"/>
      <c r="N705" s="87"/>
      <c r="O705" s="87"/>
      <c r="P705" s="87"/>
      <c r="Q705" s="87"/>
      <c r="R705" s="87"/>
      <c r="S705" s="87"/>
      <c r="T705" s="87"/>
      <c r="U705" s="87"/>
      <c r="V705" s="87"/>
      <c r="W705" s="87"/>
      <c r="X705" s="87"/>
      <c r="Y705" s="87"/>
    </row>
    <row r="706">
      <c r="A706" s="100"/>
      <c r="B706" s="579"/>
      <c r="C706" s="100"/>
      <c r="D706" s="579"/>
      <c r="E706" s="100"/>
      <c r="F706" s="579"/>
      <c r="G706" s="100"/>
      <c r="H706" s="601"/>
      <c r="I706" s="100"/>
      <c r="J706" s="583"/>
      <c r="K706" s="100"/>
      <c r="L706" s="579"/>
      <c r="M706" s="87"/>
      <c r="N706" s="87"/>
      <c r="O706" s="87"/>
      <c r="P706" s="87"/>
      <c r="Q706" s="87"/>
      <c r="R706" s="87"/>
      <c r="S706" s="87"/>
      <c r="T706" s="87"/>
      <c r="U706" s="87"/>
      <c r="V706" s="87"/>
      <c r="W706" s="87"/>
      <c r="X706" s="87"/>
      <c r="Y706" s="87"/>
    </row>
    <row r="707">
      <c r="A707" s="100"/>
      <c r="B707" s="579"/>
      <c r="C707" s="100"/>
      <c r="D707" s="579"/>
      <c r="E707" s="100"/>
      <c r="F707" s="579"/>
      <c r="G707" s="100"/>
      <c r="H707" s="601"/>
      <c r="I707" s="100"/>
      <c r="J707" s="583"/>
      <c r="K707" s="100"/>
      <c r="L707" s="579"/>
      <c r="M707" s="87"/>
      <c r="N707" s="87"/>
      <c r="O707" s="87"/>
      <c r="P707" s="87"/>
      <c r="Q707" s="87"/>
      <c r="R707" s="87"/>
      <c r="S707" s="87"/>
      <c r="T707" s="87"/>
      <c r="U707" s="87"/>
      <c r="V707" s="87"/>
      <c r="W707" s="87"/>
      <c r="X707" s="87"/>
      <c r="Y707" s="87"/>
    </row>
    <row r="708">
      <c r="A708" s="100"/>
      <c r="B708" s="579"/>
      <c r="C708" s="100"/>
      <c r="D708" s="579"/>
      <c r="E708" s="100"/>
      <c r="F708" s="579"/>
      <c r="G708" s="100"/>
      <c r="H708" s="601"/>
      <c r="I708" s="100"/>
      <c r="J708" s="583"/>
      <c r="K708" s="100"/>
      <c r="L708" s="579"/>
      <c r="M708" s="87"/>
      <c r="N708" s="87"/>
      <c r="O708" s="87"/>
      <c r="P708" s="87"/>
      <c r="Q708" s="87"/>
      <c r="R708" s="87"/>
      <c r="S708" s="87"/>
      <c r="T708" s="87"/>
      <c r="U708" s="87"/>
      <c r="V708" s="87"/>
      <c r="W708" s="87"/>
      <c r="X708" s="87"/>
      <c r="Y708" s="87"/>
    </row>
    <row r="709">
      <c r="A709" s="100"/>
      <c r="B709" s="579"/>
      <c r="C709" s="100"/>
      <c r="D709" s="579"/>
      <c r="E709" s="100"/>
      <c r="F709" s="579"/>
      <c r="G709" s="100"/>
      <c r="H709" s="601"/>
      <c r="I709" s="100"/>
      <c r="J709" s="583"/>
      <c r="K709" s="100"/>
      <c r="L709" s="579"/>
      <c r="M709" s="87"/>
      <c r="N709" s="87"/>
      <c r="O709" s="87"/>
      <c r="P709" s="87"/>
      <c r="Q709" s="87"/>
      <c r="R709" s="87"/>
      <c r="S709" s="87"/>
      <c r="T709" s="87"/>
      <c r="U709" s="87"/>
      <c r="V709" s="87"/>
      <c r="W709" s="87"/>
      <c r="X709" s="87"/>
      <c r="Y709" s="87"/>
    </row>
    <row r="710">
      <c r="A710" s="100"/>
      <c r="B710" s="579"/>
      <c r="C710" s="100"/>
      <c r="D710" s="579"/>
      <c r="E710" s="100"/>
      <c r="F710" s="579"/>
      <c r="G710" s="100"/>
      <c r="H710" s="601"/>
      <c r="I710" s="100"/>
      <c r="J710" s="583"/>
      <c r="K710" s="100"/>
      <c r="L710" s="579"/>
      <c r="M710" s="87"/>
      <c r="N710" s="87"/>
      <c r="O710" s="87"/>
      <c r="P710" s="87"/>
      <c r="Q710" s="87"/>
      <c r="R710" s="87"/>
      <c r="S710" s="87"/>
      <c r="T710" s="87"/>
      <c r="U710" s="87"/>
      <c r="V710" s="87"/>
      <c r="W710" s="87"/>
      <c r="X710" s="87"/>
      <c r="Y710" s="87"/>
    </row>
    <row r="711">
      <c r="A711" s="100"/>
      <c r="B711" s="579"/>
      <c r="C711" s="100"/>
      <c r="D711" s="579"/>
      <c r="E711" s="100"/>
      <c r="F711" s="579"/>
      <c r="G711" s="100"/>
      <c r="H711" s="601"/>
      <c r="I711" s="100"/>
      <c r="J711" s="583"/>
      <c r="K711" s="100"/>
      <c r="L711" s="579"/>
      <c r="M711" s="87"/>
      <c r="N711" s="87"/>
      <c r="O711" s="87"/>
      <c r="P711" s="87"/>
      <c r="Q711" s="87"/>
      <c r="R711" s="87"/>
      <c r="S711" s="87"/>
      <c r="T711" s="87"/>
      <c r="U711" s="87"/>
      <c r="V711" s="87"/>
      <c r="W711" s="87"/>
      <c r="X711" s="87"/>
      <c r="Y711" s="87"/>
    </row>
    <row r="712">
      <c r="A712" s="100"/>
      <c r="B712" s="579"/>
      <c r="C712" s="100"/>
      <c r="D712" s="579"/>
      <c r="E712" s="100"/>
      <c r="F712" s="579"/>
      <c r="G712" s="100"/>
      <c r="H712" s="601"/>
      <c r="I712" s="100"/>
      <c r="J712" s="583"/>
      <c r="K712" s="100"/>
      <c r="L712" s="579"/>
      <c r="M712" s="87"/>
      <c r="N712" s="87"/>
      <c r="O712" s="87"/>
      <c r="P712" s="87"/>
      <c r="Q712" s="87"/>
      <c r="R712" s="87"/>
      <c r="S712" s="87"/>
      <c r="T712" s="87"/>
      <c r="U712" s="87"/>
      <c r="V712" s="87"/>
      <c r="W712" s="87"/>
      <c r="X712" s="87"/>
      <c r="Y712" s="87"/>
    </row>
    <row r="713">
      <c r="A713" s="100"/>
      <c r="B713" s="579"/>
      <c r="C713" s="100"/>
      <c r="D713" s="579"/>
      <c r="E713" s="100"/>
      <c r="F713" s="579"/>
      <c r="G713" s="100"/>
      <c r="H713" s="601"/>
      <c r="I713" s="100"/>
      <c r="J713" s="583"/>
      <c r="K713" s="100"/>
      <c r="L713" s="579"/>
      <c r="M713" s="87"/>
      <c r="N713" s="87"/>
      <c r="O713" s="87"/>
      <c r="P713" s="87"/>
      <c r="Q713" s="87"/>
      <c r="R713" s="87"/>
      <c r="S713" s="87"/>
      <c r="T713" s="87"/>
      <c r="U713" s="87"/>
      <c r="V713" s="87"/>
      <c r="W713" s="87"/>
      <c r="X713" s="87"/>
      <c r="Y713" s="87"/>
    </row>
    <row r="714">
      <c r="A714" s="100"/>
      <c r="B714" s="579"/>
      <c r="C714" s="100"/>
      <c r="D714" s="579"/>
      <c r="E714" s="100"/>
      <c r="F714" s="579"/>
      <c r="G714" s="100"/>
      <c r="H714" s="601"/>
      <c r="I714" s="100"/>
      <c r="J714" s="583"/>
      <c r="K714" s="100"/>
      <c r="L714" s="579"/>
      <c r="M714" s="87"/>
      <c r="N714" s="87"/>
      <c r="O714" s="87"/>
      <c r="P714" s="87"/>
      <c r="Q714" s="87"/>
      <c r="R714" s="87"/>
      <c r="S714" s="87"/>
      <c r="T714" s="87"/>
      <c r="U714" s="87"/>
      <c r="V714" s="87"/>
      <c r="W714" s="87"/>
      <c r="X714" s="87"/>
      <c r="Y714" s="87"/>
    </row>
    <row r="715">
      <c r="A715" s="100"/>
      <c r="B715" s="579"/>
      <c r="C715" s="100"/>
      <c r="D715" s="579"/>
      <c r="E715" s="100"/>
      <c r="F715" s="579"/>
      <c r="G715" s="100"/>
      <c r="H715" s="601"/>
      <c r="I715" s="100"/>
      <c r="J715" s="583"/>
      <c r="K715" s="100"/>
      <c r="L715" s="579"/>
      <c r="M715" s="87"/>
      <c r="N715" s="87"/>
      <c r="O715" s="87"/>
      <c r="P715" s="87"/>
      <c r="Q715" s="87"/>
      <c r="R715" s="87"/>
      <c r="S715" s="87"/>
      <c r="T715" s="87"/>
      <c r="U715" s="87"/>
      <c r="V715" s="87"/>
      <c r="W715" s="87"/>
      <c r="X715" s="87"/>
      <c r="Y715" s="87"/>
    </row>
    <row r="716">
      <c r="A716" s="100"/>
      <c r="B716" s="579"/>
      <c r="C716" s="100"/>
      <c r="D716" s="579"/>
      <c r="E716" s="100"/>
      <c r="F716" s="579"/>
      <c r="G716" s="100"/>
      <c r="H716" s="601"/>
      <c r="I716" s="100"/>
      <c r="J716" s="583"/>
      <c r="K716" s="100"/>
      <c r="L716" s="579"/>
      <c r="M716" s="87"/>
      <c r="N716" s="87"/>
      <c r="O716" s="87"/>
      <c r="P716" s="87"/>
      <c r="Q716" s="87"/>
      <c r="R716" s="87"/>
      <c r="S716" s="87"/>
      <c r="T716" s="87"/>
      <c r="U716" s="87"/>
      <c r="V716" s="87"/>
      <c r="W716" s="87"/>
      <c r="X716" s="87"/>
      <c r="Y716" s="87"/>
    </row>
    <row r="717">
      <c r="A717" s="100"/>
      <c r="B717" s="579"/>
      <c r="C717" s="100"/>
      <c r="D717" s="579"/>
      <c r="E717" s="100"/>
      <c r="F717" s="579"/>
      <c r="G717" s="100"/>
      <c r="H717" s="601"/>
      <c r="I717" s="100"/>
      <c r="J717" s="583"/>
      <c r="K717" s="100"/>
      <c r="L717" s="579"/>
      <c r="M717" s="87"/>
      <c r="N717" s="87"/>
      <c r="O717" s="87"/>
      <c r="P717" s="87"/>
      <c r="Q717" s="87"/>
      <c r="R717" s="87"/>
      <c r="S717" s="87"/>
      <c r="T717" s="87"/>
      <c r="U717" s="87"/>
      <c r="V717" s="87"/>
      <c r="W717" s="87"/>
      <c r="X717" s="87"/>
      <c r="Y717" s="87"/>
    </row>
    <row r="718">
      <c r="A718" s="100"/>
      <c r="B718" s="579"/>
      <c r="C718" s="100"/>
      <c r="D718" s="579"/>
      <c r="E718" s="100"/>
      <c r="F718" s="579"/>
      <c r="G718" s="100"/>
      <c r="H718" s="601"/>
      <c r="I718" s="100"/>
      <c r="J718" s="583"/>
      <c r="K718" s="100"/>
      <c r="L718" s="579"/>
      <c r="M718" s="87"/>
      <c r="N718" s="87"/>
      <c r="O718" s="87"/>
      <c r="P718" s="87"/>
      <c r="Q718" s="87"/>
      <c r="R718" s="87"/>
      <c r="S718" s="87"/>
      <c r="T718" s="87"/>
      <c r="U718" s="87"/>
      <c r="V718" s="87"/>
      <c r="W718" s="87"/>
      <c r="X718" s="87"/>
      <c r="Y718" s="87"/>
    </row>
    <row r="719">
      <c r="A719" s="100"/>
      <c r="B719" s="579"/>
      <c r="C719" s="100"/>
      <c r="D719" s="579"/>
      <c r="E719" s="100"/>
      <c r="F719" s="579"/>
      <c r="G719" s="100"/>
      <c r="H719" s="601"/>
      <c r="I719" s="100"/>
      <c r="J719" s="583"/>
      <c r="K719" s="100"/>
      <c r="L719" s="579"/>
      <c r="M719" s="87"/>
      <c r="N719" s="87"/>
      <c r="O719" s="87"/>
      <c r="P719" s="87"/>
      <c r="Q719" s="87"/>
      <c r="R719" s="87"/>
      <c r="S719" s="87"/>
      <c r="T719" s="87"/>
      <c r="U719" s="87"/>
      <c r="V719" s="87"/>
      <c r="W719" s="87"/>
      <c r="X719" s="87"/>
      <c r="Y719" s="87"/>
    </row>
    <row r="720">
      <c r="A720" s="100"/>
      <c r="B720" s="579"/>
      <c r="C720" s="100"/>
      <c r="D720" s="579"/>
      <c r="E720" s="100"/>
      <c r="F720" s="579"/>
      <c r="G720" s="100"/>
      <c r="H720" s="601"/>
      <c r="I720" s="100"/>
      <c r="J720" s="583"/>
      <c r="K720" s="100"/>
      <c r="L720" s="579"/>
      <c r="M720" s="87"/>
      <c r="N720" s="87"/>
      <c r="O720" s="87"/>
      <c r="P720" s="87"/>
      <c r="Q720" s="87"/>
      <c r="R720" s="87"/>
      <c r="S720" s="87"/>
      <c r="T720" s="87"/>
      <c r="U720" s="87"/>
      <c r="V720" s="87"/>
      <c r="W720" s="87"/>
      <c r="X720" s="87"/>
      <c r="Y720" s="87"/>
    </row>
    <row r="721">
      <c r="A721" s="100"/>
      <c r="B721" s="579"/>
      <c r="C721" s="100"/>
      <c r="D721" s="579"/>
      <c r="E721" s="100"/>
      <c r="F721" s="579"/>
      <c r="G721" s="100"/>
      <c r="H721" s="601"/>
      <c r="I721" s="100"/>
      <c r="J721" s="583"/>
      <c r="K721" s="100"/>
      <c r="L721" s="579"/>
      <c r="M721" s="87"/>
      <c r="N721" s="87"/>
      <c r="O721" s="87"/>
      <c r="P721" s="87"/>
      <c r="Q721" s="87"/>
      <c r="R721" s="87"/>
      <c r="S721" s="87"/>
      <c r="T721" s="87"/>
      <c r="U721" s="87"/>
      <c r="V721" s="87"/>
      <c r="W721" s="87"/>
      <c r="X721" s="87"/>
      <c r="Y721" s="87"/>
    </row>
    <row r="722">
      <c r="A722" s="100"/>
      <c r="B722" s="579"/>
      <c r="C722" s="100"/>
      <c r="D722" s="579"/>
      <c r="E722" s="100"/>
      <c r="F722" s="579"/>
      <c r="G722" s="100"/>
      <c r="H722" s="601"/>
      <c r="I722" s="100"/>
      <c r="J722" s="583"/>
      <c r="K722" s="100"/>
      <c r="L722" s="579"/>
      <c r="M722" s="87"/>
      <c r="N722" s="87"/>
      <c r="O722" s="87"/>
      <c r="P722" s="87"/>
      <c r="Q722" s="87"/>
      <c r="R722" s="87"/>
      <c r="S722" s="87"/>
      <c r="T722" s="87"/>
      <c r="U722" s="87"/>
      <c r="V722" s="87"/>
      <c r="W722" s="87"/>
      <c r="X722" s="87"/>
      <c r="Y722" s="87"/>
    </row>
    <row r="723">
      <c r="A723" s="100"/>
      <c r="B723" s="579"/>
      <c r="C723" s="100"/>
      <c r="D723" s="579"/>
      <c r="E723" s="100"/>
      <c r="F723" s="579"/>
      <c r="G723" s="100"/>
      <c r="H723" s="601"/>
      <c r="I723" s="100"/>
      <c r="J723" s="583"/>
      <c r="K723" s="100"/>
      <c r="L723" s="579"/>
      <c r="M723" s="87"/>
      <c r="N723" s="87"/>
      <c r="O723" s="87"/>
      <c r="P723" s="87"/>
      <c r="Q723" s="87"/>
      <c r="R723" s="87"/>
      <c r="S723" s="87"/>
      <c r="T723" s="87"/>
      <c r="U723" s="87"/>
      <c r="V723" s="87"/>
      <c r="W723" s="87"/>
      <c r="X723" s="87"/>
      <c r="Y723" s="87"/>
    </row>
    <row r="724">
      <c r="A724" s="100"/>
      <c r="B724" s="579"/>
      <c r="C724" s="100"/>
      <c r="D724" s="579"/>
      <c r="E724" s="100"/>
      <c r="F724" s="579"/>
      <c r="G724" s="100"/>
      <c r="H724" s="601"/>
      <c r="I724" s="100"/>
      <c r="J724" s="583"/>
      <c r="K724" s="100"/>
      <c r="L724" s="579"/>
      <c r="M724" s="87"/>
      <c r="N724" s="87"/>
      <c r="O724" s="87"/>
      <c r="P724" s="87"/>
      <c r="Q724" s="87"/>
      <c r="R724" s="87"/>
      <c r="S724" s="87"/>
      <c r="T724" s="87"/>
      <c r="U724" s="87"/>
      <c r="V724" s="87"/>
      <c r="W724" s="87"/>
      <c r="X724" s="87"/>
      <c r="Y724" s="87"/>
    </row>
    <row r="725">
      <c r="A725" s="100"/>
      <c r="B725" s="579"/>
      <c r="C725" s="100"/>
      <c r="D725" s="579"/>
      <c r="E725" s="100"/>
      <c r="F725" s="579"/>
      <c r="G725" s="100"/>
      <c r="H725" s="601"/>
      <c r="I725" s="100"/>
      <c r="J725" s="583"/>
      <c r="K725" s="100"/>
      <c r="L725" s="579"/>
      <c r="M725" s="87"/>
      <c r="N725" s="87"/>
      <c r="O725" s="87"/>
      <c r="P725" s="87"/>
      <c r="Q725" s="87"/>
      <c r="R725" s="87"/>
      <c r="S725" s="87"/>
      <c r="T725" s="87"/>
      <c r="U725" s="87"/>
      <c r="V725" s="87"/>
      <c r="W725" s="87"/>
      <c r="X725" s="87"/>
      <c r="Y725" s="87"/>
    </row>
    <row r="726">
      <c r="A726" s="100"/>
      <c r="B726" s="579"/>
      <c r="C726" s="100"/>
      <c r="D726" s="579"/>
      <c r="E726" s="100"/>
      <c r="F726" s="579"/>
      <c r="G726" s="100"/>
      <c r="H726" s="601"/>
      <c r="I726" s="100"/>
      <c r="J726" s="583"/>
      <c r="K726" s="100"/>
      <c r="L726" s="579"/>
      <c r="M726" s="87"/>
      <c r="N726" s="87"/>
      <c r="O726" s="87"/>
      <c r="P726" s="87"/>
      <c r="Q726" s="87"/>
      <c r="R726" s="87"/>
      <c r="S726" s="87"/>
      <c r="T726" s="87"/>
      <c r="U726" s="87"/>
      <c r="V726" s="87"/>
      <c r="W726" s="87"/>
      <c r="X726" s="87"/>
      <c r="Y726" s="87"/>
    </row>
    <row r="727">
      <c r="A727" s="100"/>
      <c r="B727" s="579"/>
      <c r="C727" s="100"/>
      <c r="D727" s="579"/>
      <c r="E727" s="100"/>
      <c r="F727" s="579"/>
      <c r="G727" s="100"/>
      <c r="H727" s="601"/>
      <c r="I727" s="100"/>
      <c r="J727" s="583"/>
      <c r="K727" s="100"/>
      <c r="L727" s="579"/>
      <c r="M727" s="87"/>
      <c r="N727" s="87"/>
      <c r="O727" s="87"/>
      <c r="P727" s="87"/>
      <c r="Q727" s="87"/>
      <c r="R727" s="87"/>
      <c r="S727" s="87"/>
      <c r="T727" s="87"/>
      <c r="U727" s="87"/>
      <c r="V727" s="87"/>
      <c r="W727" s="87"/>
      <c r="X727" s="87"/>
      <c r="Y727" s="87"/>
    </row>
    <row r="728">
      <c r="A728" s="100"/>
      <c r="B728" s="579"/>
      <c r="C728" s="100"/>
      <c r="D728" s="579"/>
      <c r="E728" s="100"/>
      <c r="F728" s="579"/>
      <c r="G728" s="100"/>
      <c r="H728" s="601"/>
      <c r="I728" s="100"/>
      <c r="J728" s="583"/>
      <c r="K728" s="100"/>
      <c r="L728" s="579"/>
      <c r="M728" s="87"/>
      <c r="N728" s="87"/>
      <c r="O728" s="87"/>
      <c r="P728" s="87"/>
      <c r="Q728" s="87"/>
      <c r="R728" s="87"/>
      <c r="S728" s="87"/>
      <c r="T728" s="87"/>
      <c r="U728" s="87"/>
      <c r="V728" s="87"/>
      <c r="W728" s="87"/>
      <c r="X728" s="87"/>
      <c r="Y728" s="87"/>
    </row>
    <row r="729">
      <c r="A729" s="100"/>
      <c r="B729" s="579"/>
      <c r="C729" s="100"/>
      <c r="D729" s="579"/>
      <c r="E729" s="100"/>
      <c r="F729" s="579"/>
      <c r="G729" s="100"/>
      <c r="H729" s="601"/>
      <c r="I729" s="100"/>
      <c r="J729" s="583"/>
      <c r="K729" s="100"/>
      <c r="L729" s="579"/>
      <c r="M729" s="87"/>
      <c r="N729" s="87"/>
      <c r="O729" s="87"/>
      <c r="P729" s="87"/>
      <c r="Q729" s="87"/>
      <c r="R729" s="87"/>
      <c r="S729" s="87"/>
      <c r="T729" s="87"/>
      <c r="U729" s="87"/>
      <c r="V729" s="87"/>
      <c r="W729" s="87"/>
      <c r="X729" s="87"/>
      <c r="Y729" s="87"/>
    </row>
    <row r="730">
      <c r="A730" s="100"/>
      <c r="B730" s="579"/>
      <c r="C730" s="100"/>
      <c r="D730" s="579"/>
      <c r="E730" s="100"/>
      <c r="F730" s="579"/>
      <c r="G730" s="100"/>
      <c r="H730" s="601"/>
      <c r="I730" s="100"/>
      <c r="J730" s="583"/>
      <c r="K730" s="100"/>
      <c r="L730" s="579"/>
      <c r="M730" s="87"/>
      <c r="N730" s="87"/>
      <c r="O730" s="87"/>
      <c r="P730" s="87"/>
      <c r="Q730" s="87"/>
      <c r="R730" s="87"/>
      <c r="S730" s="87"/>
      <c r="T730" s="87"/>
      <c r="U730" s="87"/>
      <c r="V730" s="87"/>
      <c r="W730" s="87"/>
      <c r="X730" s="87"/>
      <c r="Y730" s="87"/>
    </row>
    <row r="731">
      <c r="A731" s="100"/>
      <c r="B731" s="579"/>
      <c r="C731" s="100"/>
      <c r="D731" s="579"/>
      <c r="E731" s="100"/>
      <c r="F731" s="579"/>
      <c r="G731" s="100"/>
      <c r="H731" s="601"/>
      <c r="I731" s="100"/>
      <c r="J731" s="583"/>
      <c r="K731" s="100"/>
      <c r="L731" s="579"/>
      <c r="M731" s="87"/>
      <c r="N731" s="87"/>
      <c r="O731" s="87"/>
      <c r="P731" s="87"/>
      <c r="Q731" s="87"/>
      <c r="R731" s="87"/>
      <c r="S731" s="87"/>
      <c r="T731" s="87"/>
      <c r="U731" s="87"/>
      <c r="V731" s="87"/>
      <c r="W731" s="87"/>
      <c r="X731" s="87"/>
      <c r="Y731" s="87"/>
    </row>
    <row r="732">
      <c r="A732" s="100"/>
      <c r="B732" s="579"/>
      <c r="C732" s="100"/>
      <c r="D732" s="579"/>
      <c r="E732" s="100"/>
      <c r="F732" s="579"/>
      <c r="G732" s="100"/>
      <c r="H732" s="601"/>
      <c r="I732" s="100"/>
      <c r="J732" s="583"/>
      <c r="K732" s="100"/>
      <c r="L732" s="579"/>
      <c r="M732" s="87"/>
      <c r="N732" s="87"/>
      <c r="O732" s="87"/>
      <c r="P732" s="87"/>
      <c r="Q732" s="87"/>
      <c r="R732" s="87"/>
      <c r="S732" s="87"/>
      <c r="T732" s="87"/>
      <c r="U732" s="87"/>
      <c r="V732" s="87"/>
      <c r="W732" s="87"/>
      <c r="X732" s="87"/>
      <c r="Y732" s="87"/>
    </row>
    <row r="733">
      <c r="A733" s="100"/>
      <c r="B733" s="579"/>
      <c r="C733" s="100"/>
      <c r="D733" s="579"/>
      <c r="E733" s="100"/>
      <c r="F733" s="579"/>
      <c r="G733" s="100"/>
      <c r="H733" s="601"/>
      <c r="I733" s="100"/>
      <c r="J733" s="583"/>
      <c r="K733" s="100"/>
      <c r="L733" s="579"/>
      <c r="M733" s="87"/>
      <c r="N733" s="87"/>
      <c r="O733" s="87"/>
      <c r="P733" s="87"/>
      <c r="Q733" s="87"/>
      <c r="R733" s="87"/>
      <c r="S733" s="87"/>
      <c r="T733" s="87"/>
      <c r="U733" s="87"/>
      <c r="V733" s="87"/>
      <c r="W733" s="87"/>
      <c r="X733" s="87"/>
      <c r="Y733" s="87"/>
    </row>
    <row r="734">
      <c r="A734" s="100"/>
      <c r="B734" s="579"/>
      <c r="C734" s="100"/>
      <c r="D734" s="579"/>
      <c r="E734" s="100"/>
      <c r="F734" s="579"/>
      <c r="G734" s="100"/>
      <c r="H734" s="601"/>
      <c r="I734" s="100"/>
      <c r="J734" s="583"/>
      <c r="K734" s="100"/>
      <c r="L734" s="579"/>
      <c r="M734" s="87"/>
      <c r="N734" s="87"/>
      <c r="O734" s="87"/>
      <c r="P734" s="87"/>
      <c r="Q734" s="87"/>
      <c r="R734" s="87"/>
      <c r="S734" s="87"/>
      <c r="T734" s="87"/>
      <c r="U734" s="87"/>
      <c r="V734" s="87"/>
      <c r="W734" s="87"/>
      <c r="X734" s="87"/>
      <c r="Y734" s="87"/>
    </row>
    <row r="735">
      <c r="A735" s="100"/>
      <c r="B735" s="579"/>
      <c r="C735" s="100"/>
      <c r="D735" s="579"/>
      <c r="E735" s="100"/>
      <c r="F735" s="579"/>
      <c r="G735" s="100"/>
      <c r="H735" s="601"/>
      <c r="I735" s="100"/>
      <c r="J735" s="583"/>
      <c r="K735" s="100"/>
      <c r="L735" s="579"/>
      <c r="M735" s="87"/>
      <c r="N735" s="87"/>
      <c r="O735" s="87"/>
      <c r="P735" s="87"/>
      <c r="Q735" s="87"/>
      <c r="R735" s="87"/>
      <c r="S735" s="87"/>
      <c r="T735" s="87"/>
      <c r="U735" s="87"/>
      <c r="V735" s="87"/>
      <c r="W735" s="87"/>
      <c r="X735" s="87"/>
      <c r="Y735" s="87"/>
    </row>
    <row r="736">
      <c r="A736" s="100"/>
      <c r="B736" s="579"/>
      <c r="C736" s="100"/>
      <c r="D736" s="579"/>
      <c r="E736" s="100"/>
      <c r="F736" s="579"/>
      <c r="G736" s="100"/>
      <c r="H736" s="601"/>
      <c r="I736" s="100"/>
      <c r="J736" s="583"/>
      <c r="K736" s="100"/>
      <c r="L736" s="579"/>
      <c r="M736" s="87"/>
      <c r="N736" s="87"/>
      <c r="O736" s="87"/>
      <c r="P736" s="87"/>
      <c r="Q736" s="87"/>
      <c r="R736" s="87"/>
      <c r="S736" s="87"/>
      <c r="T736" s="87"/>
      <c r="U736" s="87"/>
      <c r="V736" s="87"/>
      <c r="W736" s="87"/>
      <c r="X736" s="87"/>
      <c r="Y736" s="87"/>
    </row>
    <row r="737">
      <c r="A737" s="100"/>
      <c r="B737" s="579"/>
      <c r="C737" s="100"/>
      <c r="D737" s="579"/>
      <c r="E737" s="100"/>
      <c r="F737" s="579"/>
      <c r="G737" s="100"/>
      <c r="H737" s="601"/>
      <c r="I737" s="100"/>
      <c r="J737" s="583"/>
      <c r="K737" s="100"/>
      <c r="L737" s="579"/>
      <c r="M737" s="87"/>
      <c r="N737" s="87"/>
      <c r="O737" s="87"/>
      <c r="P737" s="87"/>
      <c r="Q737" s="87"/>
      <c r="R737" s="87"/>
      <c r="S737" s="87"/>
      <c r="T737" s="87"/>
      <c r="U737" s="87"/>
      <c r="V737" s="87"/>
      <c r="W737" s="87"/>
      <c r="X737" s="87"/>
      <c r="Y737" s="87"/>
    </row>
    <row r="738">
      <c r="A738" s="100"/>
      <c r="B738" s="579"/>
      <c r="C738" s="100"/>
      <c r="D738" s="579"/>
      <c r="E738" s="100"/>
      <c r="F738" s="579"/>
      <c r="G738" s="100"/>
      <c r="H738" s="601"/>
      <c r="I738" s="100"/>
      <c r="J738" s="583"/>
      <c r="K738" s="100"/>
      <c r="L738" s="579"/>
      <c r="M738" s="87"/>
      <c r="N738" s="87"/>
      <c r="O738" s="87"/>
      <c r="P738" s="87"/>
      <c r="Q738" s="87"/>
      <c r="R738" s="87"/>
      <c r="S738" s="87"/>
      <c r="T738" s="87"/>
      <c r="U738" s="87"/>
      <c r="V738" s="87"/>
      <c r="W738" s="87"/>
      <c r="X738" s="87"/>
      <c r="Y738" s="87"/>
    </row>
    <row r="739">
      <c r="A739" s="100"/>
      <c r="B739" s="579"/>
      <c r="C739" s="100"/>
      <c r="D739" s="579"/>
      <c r="E739" s="100"/>
      <c r="F739" s="579"/>
      <c r="G739" s="100"/>
      <c r="H739" s="601"/>
      <c r="I739" s="100"/>
      <c r="J739" s="583"/>
      <c r="K739" s="100"/>
      <c r="L739" s="579"/>
      <c r="M739" s="87"/>
      <c r="N739" s="87"/>
      <c r="O739" s="87"/>
      <c r="P739" s="87"/>
      <c r="Q739" s="87"/>
      <c r="R739" s="87"/>
      <c r="S739" s="87"/>
      <c r="T739" s="87"/>
      <c r="U739" s="87"/>
      <c r="V739" s="87"/>
      <c r="W739" s="87"/>
      <c r="X739" s="87"/>
      <c r="Y739" s="87"/>
    </row>
    <row r="740">
      <c r="A740" s="100"/>
      <c r="B740" s="579"/>
      <c r="C740" s="100"/>
      <c r="D740" s="579"/>
      <c r="E740" s="100"/>
      <c r="F740" s="579"/>
      <c r="G740" s="100"/>
      <c r="H740" s="601"/>
      <c r="I740" s="100"/>
      <c r="J740" s="583"/>
      <c r="K740" s="100"/>
      <c r="L740" s="579"/>
      <c r="M740" s="87"/>
      <c r="N740" s="87"/>
      <c r="O740" s="87"/>
      <c r="P740" s="87"/>
      <c r="Q740" s="87"/>
      <c r="R740" s="87"/>
      <c r="S740" s="87"/>
      <c r="T740" s="87"/>
      <c r="U740" s="87"/>
      <c r="V740" s="87"/>
      <c r="W740" s="87"/>
      <c r="X740" s="87"/>
      <c r="Y740" s="87"/>
    </row>
    <row r="741">
      <c r="A741" s="100"/>
      <c r="B741" s="579"/>
      <c r="C741" s="100"/>
      <c r="D741" s="579"/>
      <c r="E741" s="100"/>
      <c r="F741" s="579"/>
      <c r="G741" s="100"/>
      <c r="H741" s="601"/>
      <c r="I741" s="100"/>
      <c r="J741" s="583"/>
      <c r="K741" s="100"/>
      <c r="L741" s="579"/>
      <c r="M741" s="87"/>
      <c r="N741" s="87"/>
      <c r="O741" s="87"/>
      <c r="P741" s="87"/>
      <c r="Q741" s="87"/>
      <c r="R741" s="87"/>
      <c r="S741" s="87"/>
      <c r="T741" s="87"/>
      <c r="U741" s="87"/>
      <c r="V741" s="87"/>
      <c r="W741" s="87"/>
      <c r="X741" s="87"/>
      <c r="Y741" s="87"/>
    </row>
    <row r="742">
      <c r="A742" s="100"/>
      <c r="B742" s="579"/>
      <c r="C742" s="100"/>
      <c r="D742" s="579"/>
      <c r="E742" s="100"/>
      <c r="F742" s="579"/>
      <c r="G742" s="100"/>
      <c r="H742" s="601"/>
      <c r="I742" s="100"/>
      <c r="J742" s="583"/>
      <c r="K742" s="100"/>
      <c r="L742" s="579"/>
      <c r="M742" s="87"/>
      <c r="N742" s="87"/>
      <c r="O742" s="87"/>
      <c r="P742" s="87"/>
      <c r="Q742" s="87"/>
      <c r="R742" s="87"/>
      <c r="S742" s="87"/>
      <c r="T742" s="87"/>
      <c r="U742" s="87"/>
      <c r="V742" s="87"/>
      <c r="W742" s="87"/>
      <c r="X742" s="87"/>
      <c r="Y742" s="87"/>
    </row>
    <row r="743">
      <c r="A743" s="100"/>
      <c r="B743" s="579"/>
      <c r="C743" s="100"/>
      <c r="D743" s="579"/>
      <c r="E743" s="100"/>
      <c r="F743" s="579"/>
      <c r="G743" s="100"/>
      <c r="H743" s="601"/>
      <c r="I743" s="100"/>
      <c r="J743" s="583"/>
      <c r="K743" s="100"/>
      <c r="L743" s="579"/>
      <c r="M743" s="87"/>
      <c r="N743" s="87"/>
      <c r="O743" s="87"/>
      <c r="P743" s="87"/>
      <c r="Q743" s="87"/>
      <c r="R743" s="87"/>
      <c r="S743" s="87"/>
      <c r="T743" s="87"/>
      <c r="U743" s="87"/>
      <c r="V743" s="87"/>
      <c r="W743" s="87"/>
      <c r="X743" s="87"/>
      <c r="Y743" s="87"/>
    </row>
    <row r="744">
      <c r="A744" s="100"/>
      <c r="B744" s="579"/>
      <c r="C744" s="100"/>
      <c r="D744" s="579"/>
      <c r="E744" s="100"/>
      <c r="F744" s="579"/>
      <c r="G744" s="100"/>
      <c r="H744" s="601"/>
      <c r="I744" s="100"/>
      <c r="J744" s="583"/>
      <c r="K744" s="100"/>
      <c r="L744" s="579"/>
      <c r="M744" s="87"/>
      <c r="N744" s="87"/>
      <c r="O744" s="87"/>
      <c r="P744" s="87"/>
      <c r="Q744" s="87"/>
      <c r="R744" s="87"/>
      <c r="S744" s="87"/>
      <c r="T744" s="87"/>
      <c r="U744" s="87"/>
      <c r="V744" s="87"/>
      <c r="W744" s="87"/>
      <c r="X744" s="87"/>
      <c r="Y744" s="87"/>
    </row>
    <row r="745">
      <c r="A745" s="100"/>
      <c r="B745" s="579"/>
      <c r="C745" s="100"/>
      <c r="D745" s="579"/>
      <c r="E745" s="100"/>
      <c r="F745" s="579"/>
      <c r="G745" s="100"/>
      <c r="H745" s="601"/>
      <c r="I745" s="100"/>
      <c r="J745" s="583"/>
      <c r="K745" s="100"/>
      <c r="L745" s="579"/>
      <c r="M745" s="87"/>
      <c r="N745" s="87"/>
      <c r="O745" s="87"/>
      <c r="P745" s="87"/>
      <c r="Q745" s="87"/>
      <c r="R745" s="87"/>
      <c r="S745" s="87"/>
      <c r="T745" s="87"/>
      <c r="U745" s="87"/>
      <c r="V745" s="87"/>
      <c r="W745" s="87"/>
      <c r="X745" s="87"/>
      <c r="Y745" s="87"/>
    </row>
    <row r="746">
      <c r="A746" s="100"/>
      <c r="B746" s="579"/>
      <c r="C746" s="100"/>
      <c r="D746" s="579"/>
      <c r="E746" s="100"/>
      <c r="F746" s="579"/>
      <c r="G746" s="100"/>
      <c r="H746" s="601"/>
      <c r="I746" s="100"/>
      <c r="J746" s="583"/>
      <c r="K746" s="100"/>
      <c r="L746" s="579"/>
      <c r="M746" s="87"/>
      <c r="N746" s="87"/>
      <c r="O746" s="87"/>
      <c r="P746" s="87"/>
      <c r="Q746" s="87"/>
      <c r="R746" s="87"/>
      <c r="S746" s="87"/>
      <c r="T746" s="87"/>
      <c r="U746" s="87"/>
      <c r="V746" s="87"/>
      <c r="W746" s="87"/>
      <c r="X746" s="87"/>
      <c r="Y746" s="87"/>
    </row>
    <row r="747">
      <c r="A747" s="100"/>
      <c r="B747" s="579"/>
      <c r="C747" s="100"/>
      <c r="D747" s="579"/>
      <c r="E747" s="100"/>
      <c r="F747" s="579"/>
      <c r="G747" s="100"/>
      <c r="H747" s="601"/>
      <c r="I747" s="100"/>
      <c r="J747" s="583"/>
      <c r="K747" s="100"/>
      <c r="L747" s="579"/>
      <c r="M747" s="87"/>
      <c r="N747" s="87"/>
      <c r="O747" s="87"/>
      <c r="P747" s="87"/>
      <c r="Q747" s="87"/>
      <c r="R747" s="87"/>
      <c r="S747" s="87"/>
      <c r="T747" s="87"/>
      <c r="U747" s="87"/>
      <c r="V747" s="87"/>
      <c r="W747" s="87"/>
      <c r="X747" s="87"/>
      <c r="Y747" s="87"/>
    </row>
    <row r="748">
      <c r="A748" s="100"/>
      <c r="B748" s="579"/>
      <c r="C748" s="100"/>
      <c r="D748" s="579"/>
      <c r="E748" s="100"/>
      <c r="F748" s="579"/>
      <c r="G748" s="100"/>
      <c r="H748" s="601"/>
      <c r="I748" s="100"/>
      <c r="J748" s="583"/>
      <c r="K748" s="100"/>
      <c r="L748" s="579"/>
      <c r="M748" s="87"/>
      <c r="N748" s="87"/>
      <c r="O748" s="87"/>
      <c r="P748" s="87"/>
      <c r="Q748" s="87"/>
      <c r="R748" s="87"/>
      <c r="S748" s="87"/>
      <c r="T748" s="87"/>
      <c r="U748" s="87"/>
      <c r="V748" s="87"/>
      <c r="W748" s="87"/>
      <c r="X748" s="87"/>
      <c r="Y748" s="87"/>
    </row>
    <row r="749">
      <c r="A749" s="100"/>
      <c r="B749" s="579"/>
      <c r="C749" s="100"/>
      <c r="D749" s="579"/>
      <c r="E749" s="100"/>
      <c r="F749" s="579"/>
      <c r="G749" s="100"/>
      <c r="H749" s="601"/>
      <c r="I749" s="100"/>
      <c r="J749" s="583"/>
      <c r="K749" s="100"/>
      <c r="L749" s="579"/>
      <c r="M749" s="87"/>
      <c r="N749" s="87"/>
      <c r="O749" s="87"/>
      <c r="P749" s="87"/>
      <c r="Q749" s="87"/>
      <c r="R749" s="87"/>
      <c r="S749" s="87"/>
      <c r="T749" s="87"/>
      <c r="U749" s="87"/>
      <c r="V749" s="87"/>
      <c r="W749" s="87"/>
      <c r="X749" s="87"/>
      <c r="Y749" s="87"/>
    </row>
    <row r="750">
      <c r="A750" s="100"/>
      <c r="B750" s="579"/>
      <c r="C750" s="100"/>
      <c r="D750" s="579"/>
      <c r="E750" s="100"/>
      <c r="F750" s="579"/>
      <c r="G750" s="100"/>
      <c r="H750" s="601"/>
      <c r="I750" s="100"/>
      <c r="J750" s="583"/>
      <c r="K750" s="100"/>
      <c r="L750" s="579"/>
      <c r="M750" s="87"/>
      <c r="N750" s="87"/>
      <c r="O750" s="87"/>
      <c r="P750" s="87"/>
      <c r="Q750" s="87"/>
      <c r="R750" s="87"/>
      <c r="S750" s="87"/>
      <c r="T750" s="87"/>
      <c r="U750" s="87"/>
      <c r="V750" s="87"/>
      <c r="W750" s="87"/>
      <c r="X750" s="87"/>
      <c r="Y750" s="87"/>
    </row>
    <row r="751">
      <c r="A751" s="100"/>
      <c r="B751" s="579"/>
      <c r="C751" s="100"/>
      <c r="D751" s="579"/>
      <c r="E751" s="100"/>
      <c r="F751" s="579"/>
      <c r="G751" s="100"/>
      <c r="H751" s="601"/>
      <c r="I751" s="100"/>
      <c r="J751" s="583"/>
      <c r="K751" s="100"/>
      <c r="L751" s="579"/>
      <c r="M751" s="87"/>
      <c r="N751" s="87"/>
      <c r="O751" s="87"/>
      <c r="P751" s="87"/>
      <c r="Q751" s="87"/>
      <c r="R751" s="87"/>
      <c r="S751" s="87"/>
      <c r="T751" s="87"/>
      <c r="U751" s="87"/>
      <c r="V751" s="87"/>
      <c r="W751" s="87"/>
      <c r="X751" s="87"/>
      <c r="Y751" s="87"/>
    </row>
    <row r="752">
      <c r="A752" s="100"/>
      <c r="B752" s="579"/>
      <c r="C752" s="100"/>
      <c r="D752" s="579"/>
      <c r="E752" s="100"/>
      <c r="F752" s="579"/>
      <c r="G752" s="100"/>
      <c r="H752" s="601"/>
      <c r="I752" s="100"/>
      <c r="J752" s="583"/>
      <c r="K752" s="100"/>
      <c r="L752" s="579"/>
      <c r="M752" s="87"/>
      <c r="N752" s="87"/>
      <c r="O752" s="87"/>
      <c r="P752" s="87"/>
      <c r="Q752" s="87"/>
      <c r="R752" s="87"/>
      <c r="S752" s="87"/>
      <c r="T752" s="87"/>
      <c r="U752" s="87"/>
      <c r="V752" s="87"/>
      <c r="W752" s="87"/>
      <c r="X752" s="87"/>
      <c r="Y752" s="87"/>
    </row>
    <row r="753">
      <c r="A753" s="100"/>
      <c r="B753" s="579"/>
      <c r="C753" s="100"/>
      <c r="D753" s="579"/>
      <c r="E753" s="100"/>
      <c r="F753" s="579"/>
      <c r="G753" s="100"/>
      <c r="H753" s="601"/>
      <c r="I753" s="100"/>
      <c r="J753" s="583"/>
      <c r="K753" s="100"/>
      <c r="L753" s="579"/>
      <c r="M753" s="87"/>
      <c r="N753" s="87"/>
      <c r="O753" s="87"/>
      <c r="P753" s="87"/>
      <c r="Q753" s="87"/>
      <c r="R753" s="87"/>
      <c r="S753" s="87"/>
      <c r="T753" s="87"/>
      <c r="U753" s="87"/>
      <c r="V753" s="87"/>
      <c r="W753" s="87"/>
      <c r="X753" s="87"/>
      <c r="Y753" s="87"/>
    </row>
    <row r="754">
      <c r="A754" s="100"/>
      <c r="B754" s="579"/>
      <c r="C754" s="100"/>
      <c r="D754" s="579"/>
      <c r="E754" s="100"/>
      <c r="F754" s="579"/>
      <c r="G754" s="100"/>
      <c r="H754" s="601"/>
      <c r="I754" s="100"/>
      <c r="J754" s="583"/>
      <c r="K754" s="100"/>
      <c r="L754" s="579"/>
      <c r="M754" s="87"/>
      <c r="N754" s="87"/>
      <c r="O754" s="87"/>
      <c r="P754" s="87"/>
      <c r="Q754" s="87"/>
      <c r="R754" s="87"/>
      <c r="S754" s="87"/>
      <c r="T754" s="87"/>
      <c r="U754" s="87"/>
      <c r="V754" s="87"/>
      <c r="W754" s="87"/>
      <c r="X754" s="87"/>
      <c r="Y754" s="87"/>
    </row>
    <row r="755">
      <c r="A755" s="100"/>
      <c r="B755" s="579"/>
      <c r="C755" s="100"/>
      <c r="D755" s="579"/>
      <c r="E755" s="100"/>
      <c r="F755" s="579"/>
      <c r="G755" s="100"/>
      <c r="H755" s="601"/>
      <c r="I755" s="100"/>
      <c r="J755" s="583"/>
      <c r="K755" s="100"/>
      <c r="L755" s="579"/>
      <c r="M755" s="87"/>
      <c r="N755" s="87"/>
      <c r="O755" s="87"/>
      <c r="P755" s="87"/>
      <c r="Q755" s="87"/>
      <c r="R755" s="87"/>
      <c r="S755" s="87"/>
      <c r="T755" s="87"/>
      <c r="U755" s="87"/>
      <c r="V755" s="87"/>
      <c r="W755" s="87"/>
      <c r="X755" s="87"/>
      <c r="Y755" s="87"/>
    </row>
    <row r="756">
      <c r="A756" s="100"/>
      <c r="B756" s="579"/>
      <c r="C756" s="100"/>
      <c r="D756" s="579"/>
      <c r="E756" s="100"/>
      <c r="F756" s="579"/>
      <c r="G756" s="100"/>
      <c r="H756" s="601"/>
      <c r="I756" s="100"/>
      <c r="J756" s="583"/>
      <c r="K756" s="100"/>
      <c r="L756" s="579"/>
      <c r="M756" s="87"/>
      <c r="N756" s="87"/>
      <c r="O756" s="87"/>
      <c r="P756" s="87"/>
      <c r="Q756" s="87"/>
      <c r="R756" s="87"/>
      <c r="S756" s="87"/>
      <c r="T756" s="87"/>
      <c r="U756" s="87"/>
      <c r="V756" s="87"/>
      <c r="W756" s="87"/>
      <c r="X756" s="87"/>
      <c r="Y756" s="87"/>
    </row>
    <row r="757">
      <c r="A757" s="100"/>
      <c r="B757" s="579"/>
      <c r="C757" s="100"/>
      <c r="D757" s="579"/>
      <c r="E757" s="100"/>
      <c r="F757" s="579"/>
      <c r="G757" s="100"/>
      <c r="H757" s="601"/>
      <c r="I757" s="100"/>
      <c r="J757" s="583"/>
      <c r="K757" s="100"/>
      <c r="L757" s="579"/>
      <c r="M757" s="87"/>
      <c r="N757" s="87"/>
      <c r="O757" s="87"/>
      <c r="P757" s="87"/>
      <c r="Q757" s="87"/>
      <c r="R757" s="87"/>
      <c r="S757" s="87"/>
      <c r="T757" s="87"/>
      <c r="U757" s="87"/>
      <c r="V757" s="87"/>
      <c r="W757" s="87"/>
      <c r="X757" s="87"/>
      <c r="Y757" s="87"/>
    </row>
    <row r="758">
      <c r="A758" s="100"/>
      <c r="B758" s="579"/>
      <c r="C758" s="100"/>
      <c r="D758" s="579"/>
      <c r="E758" s="100"/>
      <c r="F758" s="579"/>
      <c r="G758" s="100"/>
      <c r="H758" s="601"/>
      <c r="I758" s="100"/>
      <c r="J758" s="583"/>
      <c r="K758" s="100"/>
      <c r="L758" s="579"/>
      <c r="M758" s="87"/>
      <c r="N758" s="87"/>
      <c r="O758" s="87"/>
      <c r="P758" s="87"/>
      <c r="Q758" s="87"/>
      <c r="R758" s="87"/>
      <c r="S758" s="87"/>
      <c r="T758" s="87"/>
      <c r="U758" s="87"/>
      <c r="V758" s="87"/>
      <c r="W758" s="87"/>
      <c r="X758" s="87"/>
      <c r="Y758" s="87"/>
    </row>
    <row r="759">
      <c r="A759" s="100"/>
      <c r="B759" s="579"/>
      <c r="C759" s="100"/>
      <c r="D759" s="579"/>
      <c r="E759" s="100"/>
      <c r="F759" s="579"/>
      <c r="G759" s="100"/>
      <c r="H759" s="601"/>
      <c r="I759" s="100"/>
      <c r="J759" s="583"/>
      <c r="K759" s="100"/>
      <c r="L759" s="579"/>
      <c r="M759" s="87"/>
      <c r="N759" s="87"/>
      <c r="O759" s="87"/>
      <c r="P759" s="87"/>
      <c r="Q759" s="87"/>
      <c r="R759" s="87"/>
      <c r="S759" s="87"/>
      <c r="T759" s="87"/>
      <c r="U759" s="87"/>
      <c r="V759" s="87"/>
      <c r="W759" s="87"/>
      <c r="X759" s="87"/>
      <c r="Y759" s="87"/>
    </row>
    <row r="760">
      <c r="A760" s="100"/>
      <c r="B760" s="579"/>
      <c r="C760" s="100"/>
      <c r="D760" s="579"/>
      <c r="E760" s="100"/>
      <c r="F760" s="579"/>
      <c r="G760" s="100"/>
      <c r="H760" s="601"/>
      <c r="I760" s="100"/>
      <c r="J760" s="583"/>
      <c r="K760" s="100"/>
      <c r="L760" s="579"/>
      <c r="M760" s="87"/>
      <c r="N760" s="87"/>
      <c r="O760" s="87"/>
      <c r="P760" s="87"/>
      <c r="Q760" s="87"/>
      <c r="R760" s="87"/>
      <c r="S760" s="87"/>
      <c r="T760" s="87"/>
      <c r="U760" s="87"/>
      <c r="V760" s="87"/>
      <c r="W760" s="87"/>
      <c r="X760" s="87"/>
      <c r="Y760" s="87"/>
    </row>
    <row r="761">
      <c r="A761" s="100"/>
      <c r="B761" s="579"/>
      <c r="C761" s="100"/>
      <c r="D761" s="579"/>
      <c r="E761" s="100"/>
      <c r="F761" s="579"/>
      <c r="G761" s="100"/>
      <c r="H761" s="601"/>
      <c r="I761" s="100"/>
      <c r="J761" s="583"/>
      <c r="K761" s="100"/>
      <c r="L761" s="579"/>
      <c r="M761" s="87"/>
      <c r="N761" s="87"/>
      <c r="O761" s="87"/>
      <c r="P761" s="87"/>
      <c r="Q761" s="87"/>
      <c r="R761" s="87"/>
      <c r="S761" s="87"/>
      <c r="T761" s="87"/>
      <c r="U761" s="87"/>
      <c r="V761" s="87"/>
      <c r="W761" s="87"/>
      <c r="X761" s="87"/>
      <c r="Y761" s="87"/>
    </row>
    <row r="762">
      <c r="A762" s="100"/>
      <c r="B762" s="579"/>
      <c r="C762" s="100"/>
      <c r="D762" s="579"/>
      <c r="E762" s="100"/>
      <c r="F762" s="579"/>
      <c r="G762" s="100"/>
      <c r="H762" s="601"/>
      <c r="I762" s="100"/>
      <c r="J762" s="583"/>
      <c r="K762" s="100"/>
      <c r="L762" s="579"/>
      <c r="M762" s="87"/>
      <c r="N762" s="87"/>
      <c r="O762" s="87"/>
      <c r="P762" s="87"/>
      <c r="Q762" s="87"/>
      <c r="R762" s="87"/>
      <c r="S762" s="87"/>
      <c r="T762" s="87"/>
      <c r="U762" s="87"/>
      <c r="V762" s="87"/>
      <c r="W762" s="87"/>
      <c r="X762" s="87"/>
      <c r="Y762" s="87"/>
    </row>
    <row r="763">
      <c r="A763" s="100"/>
      <c r="B763" s="579"/>
      <c r="C763" s="100"/>
      <c r="D763" s="579"/>
      <c r="E763" s="100"/>
      <c r="F763" s="579"/>
      <c r="G763" s="100"/>
      <c r="H763" s="601"/>
      <c r="I763" s="100"/>
      <c r="J763" s="583"/>
      <c r="K763" s="100"/>
      <c r="L763" s="579"/>
      <c r="M763" s="87"/>
      <c r="N763" s="87"/>
      <c r="O763" s="87"/>
      <c r="P763" s="87"/>
      <c r="Q763" s="87"/>
      <c r="R763" s="87"/>
      <c r="S763" s="87"/>
      <c r="T763" s="87"/>
      <c r="U763" s="87"/>
      <c r="V763" s="87"/>
      <c r="W763" s="87"/>
      <c r="X763" s="87"/>
      <c r="Y763" s="87"/>
    </row>
    <row r="764">
      <c r="A764" s="100"/>
      <c r="B764" s="579"/>
      <c r="C764" s="100"/>
      <c r="D764" s="579"/>
      <c r="E764" s="100"/>
      <c r="F764" s="579"/>
      <c r="G764" s="100"/>
      <c r="H764" s="601"/>
      <c r="I764" s="100"/>
      <c r="J764" s="583"/>
      <c r="K764" s="100"/>
      <c r="L764" s="579"/>
      <c r="M764" s="87"/>
      <c r="N764" s="87"/>
      <c r="O764" s="87"/>
      <c r="P764" s="87"/>
      <c r="Q764" s="87"/>
      <c r="R764" s="87"/>
      <c r="S764" s="87"/>
      <c r="T764" s="87"/>
      <c r="U764" s="87"/>
      <c r="V764" s="87"/>
      <c r="W764" s="87"/>
      <c r="X764" s="87"/>
      <c r="Y764" s="87"/>
    </row>
    <row r="765">
      <c r="A765" s="100"/>
      <c r="B765" s="579"/>
      <c r="C765" s="100"/>
      <c r="D765" s="579"/>
      <c r="E765" s="100"/>
      <c r="F765" s="579"/>
      <c r="G765" s="100"/>
      <c r="H765" s="601"/>
      <c r="I765" s="100"/>
      <c r="J765" s="583"/>
      <c r="K765" s="100"/>
      <c r="L765" s="579"/>
      <c r="M765" s="87"/>
      <c r="N765" s="87"/>
      <c r="O765" s="87"/>
      <c r="P765" s="87"/>
      <c r="Q765" s="87"/>
      <c r="R765" s="87"/>
      <c r="S765" s="87"/>
      <c r="T765" s="87"/>
      <c r="U765" s="87"/>
      <c r="V765" s="87"/>
      <c r="W765" s="87"/>
      <c r="X765" s="87"/>
      <c r="Y765" s="87"/>
    </row>
    <row r="766">
      <c r="A766" s="100"/>
      <c r="B766" s="579"/>
      <c r="C766" s="100"/>
      <c r="D766" s="579"/>
      <c r="E766" s="100"/>
      <c r="F766" s="579"/>
      <c r="G766" s="100"/>
      <c r="H766" s="601"/>
      <c r="I766" s="100"/>
      <c r="J766" s="583"/>
      <c r="K766" s="100"/>
      <c r="L766" s="579"/>
      <c r="M766" s="87"/>
      <c r="N766" s="87"/>
      <c r="O766" s="87"/>
      <c r="P766" s="87"/>
      <c r="Q766" s="87"/>
      <c r="R766" s="87"/>
      <c r="S766" s="87"/>
      <c r="T766" s="87"/>
      <c r="U766" s="87"/>
      <c r="V766" s="87"/>
      <c r="W766" s="87"/>
      <c r="X766" s="87"/>
      <c r="Y766" s="87"/>
    </row>
    <row r="767">
      <c r="A767" s="100"/>
      <c r="B767" s="579"/>
      <c r="C767" s="100"/>
      <c r="D767" s="579"/>
      <c r="E767" s="100"/>
      <c r="F767" s="579"/>
      <c r="G767" s="100"/>
      <c r="H767" s="601"/>
      <c r="I767" s="100"/>
      <c r="J767" s="583"/>
      <c r="K767" s="100"/>
      <c r="L767" s="579"/>
      <c r="M767" s="87"/>
      <c r="N767" s="87"/>
      <c r="O767" s="87"/>
      <c r="P767" s="87"/>
      <c r="Q767" s="87"/>
      <c r="R767" s="87"/>
      <c r="S767" s="87"/>
      <c r="T767" s="87"/>
      <c r="U767" s="87"/>
      <c r="V767" s="87"/>
      <c r="W767" s="87"/>
      <c r="X767" s="87"/>
      <c r="Y767" s="87"/>
    </row>
    <row r="768">
      <c r="A768" s="100"/>
      <c r="B768" s="579"/>
      <c r="C768" s="100"/>
      <c r="D768" s="579"/>
      <c r="E768" s="100"/>
      <c r="F768" s="579"/>
      <c r="G768" s="100"/>
      <c r="H768" s="601"/>
      <c r="I768" s="100"/>
      <c r="J768" s="583"/>
      <c r="K768" s="100"/>
      <c r="L768" s="579"/>
      <c r="M768" s="87"/>
      <c r="N768" s="87"/>
      <c r="O768" s="87"/>
      <c r="P768" s="87"/>
      <c r="Q768" s="87"/>
      <c r="R768" s="87"/>
      <c r="S768" s="87"/>
      <c r="T768" s="87"/>
      <c r="U768" s="87"/>
      <c r="V768" s="87"/>
      <c r="W768" s="87"/>
      <c r="X768" s="87"/>
      <c r="Y768" s="87"/>
    </row>
    <row r="769">
      <c r="A769" s="100"/>
      <c r="B769" s="579"/>
      <c r="C769" s="100"/>
      <c r="D769" s="579"/>
      <c r="E769" s="100"/>
      <c r="F769" s="579"/>
      <c r="G769" s="100"/>
      <c r="H769" s="601"/>
      <c r="I769" s="100"/>
      <c r="J769" s="583"/>
      <c r="K769" s="100"/>
      <c r="L769" s="579"/>
      <c r="M769" s="87"/>
      <c r="N769" s="87"/>
      <c r="O769" s="87"/>
      <c r="P769" s="87"/>
      <c r="Q769" s="87"/>
      <c r="R769" s="87"/>
      <c r="S769" s="87"/>
      <c r="T769" s="87"/>
      <c r="U769" s="87"/>
      <c r="V769" s="87"/>
      <c r="W769" s="87"/>
      <c r="X769" s="87"/>
      <c r="Y769" s="87"/>
    </row>
    <row r="770">
      <c r="A770" s="100"/>
      <c r="B770" s="579"/>
      <c r="C770" s="100"/>
      <c r="D770" s="579"/>
      <c r="E770" s="100"/>
      <c r="F770" s="579"/>
      <c r="G770" s="100"/>
      <c r="H770" s="601"/>
      <c r="I770" s="100"/>
      <c r="J770" s="583"/>
      <c r="K770" s="100"/>
      <c r="L770" s="579"/>
      <c r="M770" s="87"/>
      <c r="N770" s="87"/>
      <c r="O770" s="87"/>
      <c r="P770" s="87"/>
      <c r="Q770" s="87"/>
      <c r="R770" s="87"/>
      <c r="S770" s="87"/>
      <c r="T770" s="87"/>
      <c r="U770" s="87"/>
      <c r="V770" s="87"/>
      <c r="W770" s="87"/>
      <c r="X770" s="87"/>
      <c r="Y770" s="87"/>
    </row>
    <row r="771">
      <c r="A771" s="100"/>
      <c r="B771" s="579"/>
      <c r="C771" s="100"/>
      <c r="D771" s="579"/>
      <c r="E771" s="100"/>
      <c r="F771" s="579"/>
      <c r="G771" s="100"/>
      <c r="H771" s="601"/>
      <c r="I771" s="100"/>
      <c r="J771" s="583"/>
      <c r="K771" s="100"/>
      <c r="L771" s="579"/>
      <c r="M771" s="87"/>
      <c r="N771" s="87"/>
      <c r="O771" s="87"/>
      <c r="P771" s="87"/>
      <c r="Q771" s="87"/>
      <c r="R771" s="87"/>
      <c r="S771" s="87"/>
      <c r="T771" s="87"/>
      <c r="U771" s="87"/>
      <c r="V771" s="87"/>
      <c r="W771" s="87"/>
      <c r="X771" s="87"/>
      <c r="Y771" s="87"/>
    </row>
    <row r="772">
      <c r="A772" s="100"/>
      <c r="B772" s="579"/>
      <c r="C772" s="100"/>
      <c r="D772" s="579"/>
      <c r="E772" s="100"/>
      <c r="F772" s="579"/>
      <c r="G772" s="100"/>
      <c r="H772" s="601"/>
      <c r="I772" s="100"/>
      <c r="J772" s="583"/>
      <c r="K772" s="100"/>
      <c r="L772" s="579"/>
      <c r="M772" s="87"/>
      <c r="N772" s="87"/>
      <c r="O772" s="87"/>
      <c r="P772" s="87"/>
      <c r="Q772" s="87"/>
      <c r="R772" s="87"/>
      <c r="S772" s="87"/>
      <c r="T772" s="87"/>
      <c r="U772" s="87"/>
      <c r="V772" s="87"/>
      <c r="W772" s="87"/>
      <c r="X772" s="87"/>
      <c r="Y772" s="87"/>
    </row>
    <row r="773">
      <c r="A773" s="100"/>
      <c r="B773" s="579"/>
      <c r="C773" s="100"/>
      <c r="D773" s="579"/>
      <c r="E773" s="100"/>
      <c r="F773" s="579"/>
      <c r="G773" s="100"/>
      <c r="H773" s="601"/>
      <c r="I773" s="100"/>
      <c r="J773" s="583"/>
      <c r="K773" s="100"/>
      <c r="L773" s="579"/>
      <c r="M773" s="87"/>
      <c r="N773" s="87"/>
      <c r="O773" s="87"/>
      <c r="P773" s="87"/>
      <c r="Q773" s="87"/>
      <c r="R773" s="87"/>
      <c r="S773" s="87"/>
      <c r="T773" s="87"/>
      <c r="U773" s="87"/>
      <c r="V773" s="87"/>
      <c r="W773" s="87"/>
      <c r="X773" s="87"/>
      <c r="Y773" s="87"/>
    </row>
    <row r="774">
      <c r="A774" s="100"/>
      <c r="B774" s="579"/>
      <c r="C774" s="100"/>
      <c r="D774" s="579"/>
      <c r="E774" s="100"/>
      <c r="F774" s="579"/>
      <c r="G774" s="100"/>
      <c r="H774" s="601"/>
      <c r="I774" s="100"/>
      <c r="J774" s="583"/>
      <c r="K774" s="100"/>
      <c r="L774" s="579"/>
      <c r="M774" s="87"/>
      <c r="N774" s="87"/>
      <c r="O774" s="87"/>
      <c r="P774" s="87"/>
      <c r="Q774" s="87"/>
      <c r="R774" s="87"/>
      <c r="S774" s="87"/>
      <c r="T774" s="87"/>
      <c r="U774" s="87"/>
      <c r="V774" s="87"/>
      <c r="W774" s="87"/>
      <c r="X774" s="87"/>
      <c r="Y774" s="87"/>
    </row>
    <row r="775">
      <c r="A775" s="100"/>
      <c r="B775" s="579"/>
      <c r="C775" s="100"/>
      <c r="D775" s="579"/>
      <c r="E775" s="100"/>
      <c r="F775" s="579"/>
      <c r="G775" s="100"/>
      <c r="H775" s="601"/>
      <c r="I775" s="100"/>
      <c r="J775" s="583"/>
      <c r="K775" s="100"/>
      <c r="L775" s="579"/>
      <c r="M775" s="87"/>
      <c r="N775" s="87"/>
      <c r="O775" s="87"/>
      <c r="P775" s="87"/>
      <c r="Q775" s="87"/>
      <c r="R775" s="87"/>
      <c r="S775" s="87"/>
      <c r="T775" s="87"/>
      <c r="U775" s="87"/>
      <c r="V775" s="87"/>
      <c r="W775" s="87"/>
      <c r="X775" s="87"/>
      <c r="Y775" s="87"/>
    </row>
    <row r="776">
      <c r="A776" s="100"/>
      <c r="B776" s="579"/>
      <c r="C776" s="100"/>
      <c r="D776" s="579"/>
      <c r="E776" s="100"/>
      <c r="F776" s="579"/>
      <c r="G776" s="100"/>
      <c r="H776" s="601"/>
      <c r="I776" s="100"/>
      <c r="J776" s="583"/>
      <c r="K776" s="100"/>
      <c r="L776" s="579"/>
      <c r="M776" s="87"/>
      <c r="N776" s="87"/>
      <c r="O776" s="87"/>
      <c r="P776" s="87"/>
      <c r="Q776" s="87"/>
      <c r="R776" s="87"/>
      <c r="S776" s="87"/>
      <c r="T776" s="87"/>
      <c r="U776" s="87"/>
      <c r="V776" s="87"/>
      <c r="W776" s="87"/>
      <c r="X776" s="87"/>
      <c r="Y776" s="87"/>
    </row>
    <row r="777">
      <c r="A777" s="100"/>
      <c r="B777" s="579"/>
      <c r="C777" s="100"/>
      <c r="D777" s="579"/>
      <c r="E777" s="100"/>
      <c r="F777" s="579"/>
      <c r="G777" s="100"/>
      <c r="H777" s="601"/>
      <c r="I777" s="100"/>
      <c r="J777" s="583"/>
      <c r="K777" s="100"/>
      <c r="L777" s="579"/>
      <c r="M777" s="87"/>
      <c r="N777" s="87"/>
      <c r="O777" s="87"/>
      <c r="P777" s="87"/>
      <c r="Q777" s="87"/>
      <c r="R777" s="87"/>
      <c r="S777" s="87"/>
      <c r="T777" s="87"/>
      <c r="U777" s="87"/>
      <c r="V777" s="87"/>
      <c r="W777" s="87"/>
      <c r="X777" s="87"/>
      <c r="Y777" s="87"/>
    </row>
    <row r="778">
      <c r="A778" s="100"/>
      <c r="B778" s="579"/>
      <c r="C778" s="100"/>
      <c r="D778" s="579"/>
      <c r="E778" s="100"/>
      <c r="F778" s="579"/>
      <c r="G778" s="100"/>
      <c r="H778" s="601"/>
      <c r="I778" s="100"/>
      <c r="J778" s="583"/>
      <c r="K778" s="100"/>
      <c r="L778" s="579"/>
      <c r="M778" s="87"/>
      <c r="N778" s="87"/>
      <c r="O778" s="87"/>
      <c r="P778" s="87"/>
      <c r="Q778" s="87"/>
      <c r="R778" s="87"/>
      <c r="S778" s="87"/>
      <c r="T778" s="87"/>
      <c r="U778" s="87"/>
      <c r="V778" s="87"/>
      <c r="W778" s="87"/>
      <c r="X778" s="87"/>
      <c r="Y778" s="87"/>
    </row>
    <row r="779">
      <c r="A779" s="100"/>
      <c r="B779" s="579"/>
      <c r="C779" s="100"/>
      <c r="D779" s="579"/>
      <c r="E779" s="100"/>
      <c r="F779" s="579"/>
      <c r="G779" s="100"/>
      <c r="H779" s="601"/>
      <c r="I779" s="100"/>
      <c r="J779" s="583"/>
      <c r="K779" s="100"/>
      <c r="L779" s="579"/>
      <c r="M779" s="87"/>
      <c r="N779" s="87"/>
      <c r="O779" s="87"/>
      <c r="P779" s="87"/>
      <c r="Q779" s="87"/>
      <c r="R779" s="87"/>
      <c r="S779" s="87"/>
      <c r="T779" s="87"/>
      <c r="U779" s="87"/>
      <c r="V779" s="87"/>
      <c r="W779" s="87"/>
      <c r="X779" s="87"/>
      <c r="Y779" s="87"/>
    </row>
    <row r="780">
      <c r="A780" s="100"/>
      <c r="B780" s="579"/>
      <c r="C780" s="100"/>
      <c r="D780" s="579"/>
      <c r="E780" s="100"/>
      <c r="F780" s="579"/>
      <c r="G780" s="100"/>
      <c r="H780" s="601"/>
      <c r="I780" s="100"/>
      <c r="J780" s="583"/>
      <c r="K780" s="100"/>
      <c r="L780" s="579"/>
      <c r="M780" s="87"/>
      <c r="N780" s="87"/>
      <c r="O780" s="87"/>
      <c r="P780" s="87"/>
      <c r="Q780" s="87"/>
      <c r="R780" s="87"/>
      <c r="S780" s="87"/>
      <c r="T780" s="87"/>
      <c r="U780" s="87"/>
      <c r="V780" s="87"/>
      <c r="W780" s="87"/>
      <c r="X780" s="87"/>
      <c r="Y780" s="87"/>
    </row>
    <row r="781">
      <c r="A781" s="100"/>
      <c r="B781" s="579"/>
      <c r="C781" s="100"/>
      <c r="D781" s="579"/>
      <c r="E781" s="100"/>
      <c r="F781" s="579"/>
      <c r="G781" s="100"/>
      <c r="H781" s="601"/>
      <c r="I781" s="100"/>
      <c r="J781" s="583"/>
      <c r="K781" s="100"/>
      <c r="L781" s="579"/>
      <c r="M781" s="87"/>
      <c r="N781" s="87"/>
      <c r="O781" s="87"/>
      <c r="P781" s="87"/>
      <c r="Q781" s="87"/>
      <c r="R781" s="87"/>
      <c r="S781" s="87"/>
      <c r="T781" s="87"/>
      <c r="U781" s="87"/>
      <c r="V781" s="87"/>
      <c r="W781" s="87"/>
      <c r="X781" s="87"/>
      <c r="Y781" s="87"/>
    </row>
    <row r="782">
      <c r="A782" s="100"/>
      <c r="B782" s="579"/>
      <c r="C782" s="100"/>
      <c r="D782" s="579"/>
      <c r="E782" s="100"/>
      <c r="F782" s="579"/>
      <c r="G782" s="100"/>
      <c r="H782" s="601"/>
      <c r="I782" s="100"/>
      <c r="J782" s="583"/>
      <c r="K782" s="100"/>
      <c r="L782" s="579"/>
      <c r="M782" s="87"/>
      <c r="N782" s="87"/>
      <c r="O782" s="87"/>
      <c r="P782" s="87"/>
      <c r="Q782" s="87"/>
      <c r="R782" s="87"/>
      <c r="S782" s="87"/>
      <c r="T782" s="87"/>
      <c r="U782" s="87"/>
      <c r="V782" s="87"/>
      <c r="W782" s="87"/>
      <c r="X782" s="87"/>
      <c r="Y782" s="87"/>
    </row>
    <row r="783">
      <c r="A783" s="100"/>
      <c r="B783" s="579"/>
      <c r="C783" s="100"/>
      <c r="D783" s="579"/>
      <c r="E783" s="100"/>
      <c r="F783" s="579"/>
      <c r="G783" s="100"/>
      <c r="H783" s="601"/>
      <c r="I783" s="100"/>
      <c r="J783" s="583"/>
      <c r="K783" s="100"/>
      <c r="L783" s="579"/>
      <c r="M783" s="87"/>
      <c r="N783" s="87"/>
      <c r="O783" s="87"/>
      <c r="P783" s="87"/>
      <c r="Q783" s="87"/>
      <c r="R783" s="87"/>
      <c r="S783" s="87"/>
      <c r="T783" s="87"/>
      <c r="U783" s="87"/>
      <c r="V783" s="87"/>
      <c r="W783" s="87"/>
      <c r="X783" s="87"/>
      <c r="Y783" s="87"/>
    </row>
    <row r="784">
      <c r="A784" s="100"/>
      <c r="B784" s="579"/>
      <c r="C784" s="100"/>
      <c r="D784" s="579"/>
      <c r="E784" s="100"/>
      <c r="F784" s="579"/>
      <c r="G784" s="100"/>
      <c r="H784" s="601"/>
      <c r="I784" s="100"/>
      <c r="J784" s="583"/>
      <c r="K784" s="100"/>
      <c r="L784" s="579"/>
      <c r="M784" s="87"/>
      <c r="N784" s="87"/>
      <c r="O784" s="87"/>
      <c r="P784" s="87"/>
      <c r="Q784" s="87"/>
      <c r="R784" s="87"/>
      <c r="S784" s="87"/>
      <c r="T784" s="87"/>
      <c r="U784" s="87"/>
      <c r="V784" s="87"/>
      <c r="W784" s="87"/>
      <c r="X784" s="87"/>
      <c r="Y784" s="87"/>
    </row>
    <row r="785">
      <c r="A785" s="100"/>
      <c r="B785" s="579"/>
      <c r="C785" s="100"/>
      <c r="D785" s="579"/>
      <c r="E785" s="100"/>
      <c r="F785" s="579"/>
      <c r="G785" s="100"/>
      <c r="H785" s="601"/>
      <c r="I785" s="100"/>
      <c r="J785" s="583"/>
      <c r="K785" s="100"/>
      <c r="L785" s="579"/>
      <c r="M785" s="87"/>
      <c r="N785" s="87"/>
      <c r="O785" s="87"/>
      <c r="P785" s="87"/>
      <c r="Q785" s="87"/>
      <c r="R785" s="87"/>
      <c r="S785" s="87"/>
      <c r="T785" s="87"/>
      <c r="U785" s="87"/>
      <c r="V785" s="87"/>
      <c r="W785" s="87"/>
      <c r="X785" s="87"/>
      <c r="Y785" s="87"/>
    </row>
    <row r="786">
      <c r="A786" s="100"/>
      <c r="B786" s="579"/>
      <c r="C786" s="100"/>
      <c r="D786" s="579"/>
      <c r="E786" s="100"/>
      <c r="F786" s="579"/>
      <c r="G786" s="100"/>
      <c r="H786" s="601"/>
      <c r="I786" s="100"/>
      <c r="J786" s="583"/>
      <c r="K786" s="100"/>
      <c r="L786" s="579"/>
      <c r="M786" s="87"/>
      <c r="N786" s="87"/>
      <c r="O786" s="87"/>
      <c r="P786" s="87"/>
      <c r="Q786" s="87"/>
      <c r="R786" s="87"/>
      <c r="S786" s="87"/>
      <c r="T786" s="87"/>
      <c r="U786" s="87"/>
      <c r="V786" s="87"/>
      <c r="W786" s="87"/>
      <c r="X786" s="87"/>
      <c r="Y786" s="87"/>
    </row>
    <row r="787">
      <c r="A787" s="100"/>
      <c r="B787" s="579"/>
      <c r="C787" s="100"/>
      <c r="D787" s="579"/>
      <c r="E787" s="100"/>
      <c r="F787" s="579"/>
      <c r="G787" s="100"/>
      <c r="H787" s="601"/>
      <c r="I787" s="100"/>
      <c r="J787" s="583"/>
      <c r="K787" s="100"/>
      <c r="L787" s="579"/>
      <c r="M787" s="87"/>
      <c r="N787" s="87"/>
      <c r="O787" s="87"/>
      <c r="P787" s="87"/>
      <c r="Q787" s="87"/>
      <c r="R787" s="87"/>
      <c r="S787" s="87"/>
      <c r="T787" s="87"/>
      <c r="U787" s="87"/>
      <c r="V787" s="87"/>
      <c r="W787" s="87"/>
      <c r="X787" s="87"/>
      <c r="Y787" s="87"/>
    </row>
    <row r="788">
      <c r="A788" s="100"/>
      <c r="B788" s="579"/>
      <c r="C788" s="100"/>
      <c r="D788" s="579"/>
      <c r="E788" s="100"/>
      <c r="F788" s="579"/>
      <c r="G788" s="100"/>
      <c r="H788" s="601"/>
      <c r="I788" s="100"/>
      <c r="J788" s="583"/>
      <c r="K788" s="100"/>
      <c r="L788" s="579"/>
      <c r="M788" s="87"/>
      <c r="N788" s="87"/>
      <c r="O788" s="87"/>
      <c r="P788" s="87"/>
      <c r="Q788" s="87"/>
      <c r="R788" s="87"/>
      <c r="S788" s="87"/>
      <c r="T788" s="87"/>
      <c r="U788" s="87"/>
      <c r="V788" s="87"/>
      <c r="W788" s="87"/>
      <c r="X788" s="87"/>
      <c r="Y788" s="87"/>
    </row>
    <row r="789">
      <c r="A789" s="100"/>
      <c r="B789" s="579"/>
      <c r="C789" s="100"/>
      <c r="D789" s="579"/>
      <c r="E789" s="100"/>
      <c r="F789" s="579"/>
      <c r="G789" s="100"/>
      <c r="H789" s="601"/>
      <c r="I789" s="100"/>
      <c r="J789" s="583"/>
      <c r="K789" s="100"/>
      <c r="L789" s="579"/>
      <c r="M789" s="87"/>
      <c r="N789" s="87"/>
      <c r="O789" s="87"/>
      <c r="P789" s="87"/>
      <c r="Q789" s="87"/>
      <c r="R789" s="87"/>
      <c r="S789" s="87"/>
      <c r="T789" s="87"/>
      <c r="U789" s="87"/>
      <c r="V789" s="87"/>
      <c r="W789" s="87"/>
      <c r="X789" s="87"/>
      <c r="Y789" s="87"/>
    </row>
    <row r="790">
      <c r="A790" s="100"/>
      <c r="B790" s="579"/>
      <c r="C790" s="100"/>
      <c r="D790" s="579"/>
      <c r="E790" s="100"/>
      <c r="F790" s="579"/>
      <c r="G790" s="100"/>
      <c r="H790" s="601"/>
      <c r="I790" s="100"/>
      <c r="J790" s="583"/>
      <c r="K790" s="100"/>
      <c r="L790" s="579"/>
      <c r="M790" s="87"/>
      <c r="N790" s="87"/>
      <c r="O790" s="87"/>
      <c r="P790" s="87"/>
      <c r="Q790" s="87"/>
      <c r="R790" s="87"/>
      <c r="S790" s="87"/>
      <c r="T790" s="87"/>
      <c r="U790" s="87"/>
      <c r="V790" s="87"/>
      <c r="W790" s="87"/>
      <c r="X790" s="87"/>
      <c r="Y790" s="87"/>
    </row>
    <row r="791">
      <c r="A791" s="100"/>
      <c r="B791" s="579"/>
      <c r="C791" s="100"/>
      <c r="D791" s="579"/>
      <c r="E791" s="100"/>
      <c r="F791" s="579"/>
      <c r="G791" s="100"/>
      <c r="H791" s="601"/>
      <c r="I791" s="100"/>
      <c r="J791" s="583"/>
      <c r="K791" s="100"/>
      <c r="L791" s="579"/>
      <c r="M791" s="87"/>
      <c r="N791" s="87"/>
      <c r="O791" s="87"/>
      <c r="P791" s="87"/>
      <c r="Q791" s="87"/>
      <c r="R791" s="87"/>
      <c r="S791" s="87"/>
      <c r="T791" s="87"/>
      <c r="U791" s="87"/>
      <c r="V791" s="87"/>
      <c r="W791" s="87"/>
      <c r="X791" s="87"/>
      <c r="Y791" s="87"/>
    </row>
    <row r="792">
      <c r="A792" s="100"/>
      <c r="B792" s="579"/>
      <c r="C792" s="100"/>
      <c r="D792" s="579"/>
      <c r="E792" s="100"/>
      <c r="F792" s="579"/>
      <c r="G792" s="100"/>
      <c r="H792" s="601"/>
      <c r="I792" s="100"/>
      <c r="J792" s="583"/>
      <c r="K792" s="100"/>
      <c r="L792" s="579"/>
      <c r="M792" s="87"/>
      <c r="N792" s="87"/>
      <c r="O792" s="87"/>
      <c r="P792" s="87"/>
      <c r="Q792" s="87"/>
      <c r="R792" s="87"/>
      <c r="S792" s="87"/>
      <c r="T792" s="87"/>
      <c r="U792" s="87"/>
      <c r="V792" s="87"/>
      <c r="W792" s="87"/>
      <c r="X792" s="87"/>
      <c r="Y792" s="87"/>
    </row>
    <row r="793">
      <c r="A793" s="100"/>
      <c r="B793" s="579"/>
      <c r="C793" s="100"/>
      <c r="D793" s="579"/>
      <c r="E793" s="100"/>
      <c r="F793" s="579"/>
      <c r="G793" s="100"/>
      <c r="H793" s="601"/>
      <c r="I793" s="100"/>
      <c r="J793" s="583"/>
      <c r="K793" s="100"/>
      <c r="L793" s="579"/>
      <c r="M793" s="87"/>
      <c r="N793" s="87"/>
      <c r="O793" s="87"/>
      <c r="P793" s="87"/>
      <c r="Q793" s="87"/>
      <c r="R793" s="87"/>
      <c r="S793" s="87"/>
      <c r="T793" s="87"/>
      <c r="U793" s="87"/>
      <c r="V793" s="87"/>
      <c r="W793" s="87"/>
      <c r="X793" s="87"/>
      <c r="Y793" s="87"/>
    </row>
    <row r="794">
      <c r="A794" s="100"/>
      <c r="B794" s="579"/>
      <c r="C794" s="100"/>
      <c r="D794" s="579"/>
      <c r="E794" s="100"/>
      <c r="F794" s="579"/>
      <c r="G794" s="100"/>
      <c r="H794" s="601"/>
      <c r="I794" s="100"/>
      <c r="J794" s="583"/>
      <c r="K794" s="100"/>
      <c r="L794" s="579"/>
      <c r="M794" s="87"/>
      <c r="N794" s="87"/>
      <c r="O794" s="87"/>
      <c r="P794" s="87"/>
      <c r="Q794" s="87"/>
      <c r="R794" s="87"/>
      <c r="S794" s="87"/>
      <c r="T794" s="87"/>
      <c r="U794" s="87"/>
      <c r="V794" s="87"/>
      <c r="W794" s="87"/>
      <c r="X794" s="87"/>
      <c r="Y794" s="87"/>
    </row>
    <row r="795">
      <c r="A795" s="100"/>
      <c r="B795" s="579"/>
      <c r="C795" s="100"/>
      <c r="D795" s="579"/>
      <c r="E795" s="100"/>
      <c r="F795" s="579"/>
      <c r="G795" s="100"/>
      <c r="H795" s="601"/>
      <c r="I795" s="100"/>
      <c r="J795" s="583"/>
      <c r="K795" s="100"/>
      <c r="L795" s="579"/>
      <c r="M795" s="87"/>
      <c r="N795" s="87"/>
      <c r="O795" s="87"/>
      <c r="P795" s="87"/>
      <c r="Q795" s="87"/>
      <c r="R795" s="87"/>
      <c r="S795" s="87"/>
      <c r="T795" s="87"/>
      <c r="U795" s="87"/>
      <c r="V795" s="87"/>
      <c r="W795" s="87"/>
      <c r="X795" s="87"/>
      <c r="Y795" s="87"/>
    </row>
    <row r="796">
      <c r="A796" s="100"/>
      <c r="B796" s="579"/>
      <c r="C796" s="100"/>
      <c r="D796" s="579"/>
      <c r="E796" s="100"/>
      <c r="F796" s="579"/>
      <c r="G796" s="100"/>
      <c r="H796" s="601"/>
      <c r="I796" s="100"/>
      <c r="J796" s="583"/>
      <c r="K796" s="100"/>
      <c r="L796" s="579"/>
      <c r="M796" s="87"/>
      <c r="N796" s="87"/>
      <c r="O796" s="87"/>
      <c r="P796" s="87"/>
      <c r="Q796" s="87"/>
      <c r="R796" s="87"/>
      <c r="S796" s="87"/>
      <c r="T796" s="87"/>
      <c r="U796" s="87"/>
      <c r="V796" s="87"/>
      <c r="W796" s="87"/>
      <c r="X796" s="87"/>
      <c r="Y796" s="87"/>
    </row>
    <row r="797">
      <c r="A797" s="100"/>
      <c r="B797" s="579"/>
      <c r="C797" s="100"/>
      <c r="D797" s="579"/>
      <c r="E797" s="100"/>
      <c r="F797" s="579"/>
      <c r="G797" s="100"/>
      <c r="H797" s="601"/>
      <c r="I797" s="100"/>
      <c r="J797" s="583"/>
      <c r="K797" s="100"/>
      <c r="L797" s="579"/>
      <c r="M797" s="87"/>
      <c r="N797" s="87"/>
      <c r="O797" s="87"/>
      <c r="P797" s="87"/>
      <c r="Q797" s="87"/>
      <c r="R797" s="87"/>
      <c r="S797" s="87"/>
      <c r="T797" s="87"/>
      <c r="U797" s="87"/>
      <c r="V797" s="87"/>
      <c r="W797" s="87"/>
      <c r="X797" s="87"/>
      <c r="Y797" s="87"/>
    </row>
    <row r="798">
      <c r="A798" s="100"/>
      <c r="B798" s="579"/>
      <c r="C798" s="100"/>
      <c r="D798" s="579"/>
      <c r="E798" s="100"/>
      <c r="F798" s="579"/>
      <c r="G798" s="100"/>
      <c r="H798" s="601"/>
      <c r="I798" s="100"/>
      <c r="J798" s="583"/>
      <c r="K798" s="100"/>
      <c r="L798" s="579"/>
      <c r="M798" s="87"/>
      <c r="N798" s="87"/>
      <c r="O798" s="87"/>
      <c r="P798" s="87"/>
      <c r="Q798" s="87"/>
      <c r="R798" s="87"/>
      <c r="S798" s="87"/>
      <c r="T798" s="87"/>
      <c r="U798" s="87"/>
      <c r="V798" s="87"/>
      <c r="W798" s="87"/>
      <c r="X798" s="87"/>
      <c r="Y798" s="87"/>
    </row>
    <row r="799">
      <c r="A799" s="100"/>
      <c r="B799" s="579"/>
      <c r="C799" s="100"/>
      <c r="D799" s="579"/>
      <c r="E799" s="100"/>
      <c r="F799" s="579"/>
      <c r="G799" s="100"/>
      <c r="H799" s="601"/>
      <c r="I799" s="100"/>
      <c r="J799" s="583"/>
      <c r="K799" s="100"/>
      <c r="L799" s="579"/>
      <c r="M799" s="87"/>
      <c r="N799" s="87"/>
      <c r="O799" s="87"/>
      <c r="P799" s="87"/>
      <c r="Q799" s="87"/>
      <c r="R799" s="87"/>
      <c r="S799" s="87"/>
      <c r="T799" s="87"/>
      <c r="U799" s="87"/>
      <c r="V799" s="87"/>
      <c r="W799" s="87"/>
      <c r="X799" s="87"/>
      <c r="Y799" s="87"/>
    </row>
    <row r="800">
      <c r="A800" s="100"/>
      <c r="B800" s="579"/>
      <c r="C800" s="100"/>
      <c r="D800" s="579"/>
      <c r="E800" s="100"/>
      <c r="F800" s="579"/>
      <c r="G800" s="100"/>
      <c r="H800" s="601"/>
      <c r="I800" s="100"/>
      <c r="J800" s="583"/>
      <c r="K800" s="100"/>
      <c r="L800" s="579"/>
      <c r="M800" s="87"/>
      <c r="N800" s="87"/>
      <c r="O800" s="87"/>
      <c r="P800" s="87"/>
      <c r="Q800" s="87"/>
      <c r="R800" s="87"/>
      <c r="S800" s="87"/>
      <c r="T800" s="87"/>
      <c r="U800" s="87"/>
      <c r="V800" s="87"/>
      <c r="W800" s="87"/>
      <c r="X800" s="87"/>
      <c r="Y800" s="87"/>
    </row>
    <row r="801">
      <c r="A801" s="100"/>
      <c r="B801" s="579"/>
      <c r="C801" s="100"/>
      <c r="D801" s="579"/>
      <c r="E801" s="100"/>
      <c r="F801" s="579"/>
      <c r="G801" s="100"/>
      <c r="H801" s="601"/>
      <c r="I801" s="100"/>
      <c r="J801" s="583"/>
      <c r="K801" s="100"/>
      <c r="L801" s="579"/>
      <c r="M801" s="87"/>
      <c r="N801" s="87"/>
      <c r="O801" s="87"/>
      <c r="P801" s="87"/>
      <c r="Q801" s="87"/>
      <c r="R801" s="87"/>
      <c r="S801" s="87"/>
      <c r="T801" s="87"/>
      <c r="U801" s="87"/>
      <c r="V801" s="87"/>
      <c r="W801" s="87"/>
      <c r="X801" s="87"/>
      <c r="Y801" s="87"/>
    </row>
    <row r="802">
      <c r="A802" s="100"/>
      <c r="B802" s="579"/>
      <c r="C802" s="100"/>
      <c r="D802" s="579"/>
      <c r="E802" s="100"/>
      <c r="F802" s="579"/>
      <c r="G802" s="100"/>
      <c r="H802" s="601"/>
      <c r="I802" s="100"/>
      <c r="J802" s="583"/>
      <c r="K802" s="100"/>
      <c r="L802" s="579"/>
      <c r="M802" s="87"/>
      <c r="N802" s="87"/>
      <c r="O802" s="87"/>
      <c r="P802" s="87"/>
      <c r="Q802" s="87"/>
      <c r="R802" s="87"/>
      <c r="S802" s="87"/>
      <c r="T802" s="87"/>
      <c r="U802" s="87"/>
      <c r="V802" s="87"/>
      <c r="W802" s="87"/>
      <c r="X802" s="87"/>
      <c r="Y802" s="87"/>
    </row>
    <row r="803">
      <c r="A803" s="100"/>
      <c r="B803" s="579"/>
      <c r="C803" s="100"/>
      <c r="D803" s="579"/>
      <c r="E803" s="100"/>
      <c r="F803" s="579"/>
      <c r="G803" s="100"/>
      <c r="H803" s="601"/>
      <c r="I803" s="100"/>
      <c r="J803" s="583"/>
      <c r="K803" s="100"/>
      <c r="L803" s="579"/>
      <c r="M803" s="87"/>
      <c r="N803" s="87"/>
      <c r="O803" s="87"/>
      <c r="P803" s="87"/>
      <c r="Q803" s="87"/>
      <c r="R803" s="87"/>
      <c r="S803" s="87"/>
      <c r="T803" s="87"/>
      <c r="U803" s="87"/>
      <c r="V803" s="87"/>
      <c r="W803" s="87"/>
      <c r="X803" s="87"/>
      <c r="Y803" s="87"/>
    </row>
    <row r="804">
      <c r="A804" s="100"/>
      <c r="B804" s="579"/>
      <c r="C804" s="100"/>
      <c r="D804" s="579"/>
      <c r="E804" s="100"/>
      <c r="F804" s="579"/>
      <c r="G804" s="100"/>
      <c r="H804" s="601"/>
      <c r="I804" s="100"/>
      <c r="J804" s="583"/>
      <c r="K804" s="100"/>
      <c r="L804" s="579"/>
      <c r="M804" s="87"/>
      <c r="N804" s="87"/>
      <c r="O804" s="87"/>
      <c r="P804" s="87"/>
      <c r="Q804" s="87"/>
      <c r="R804" s="87"/>
      <c r="S804" s="87"/>
      <c r="T804" s="87"/>
      <c r="U804" s="87"/>
      <c r="V804" s="87"/>
      <c r="W804" s="87"/>
      <c r="X804" s="87"/>
      <c r="Y804" s="87"/>
    </row>
    <row r="805">
      <c r="A805" s="100"/>
      <c r="B805" s="579"/>
      <c r="C805" s="100"/>
      <c r="D805" s="579"/>
      <c r="E805" s="100"/>
      <c r="F805" s="579"/>
      <c r="G805" s="100"/>
      <c r="H805" s="601"/>
      <c r="I805" s="100"/>
      <c r="J805" s="583"/>
      <c r="K805" s="100"/>
      <c r="L805" s="579"/>
      <c r="M805" s="87"/>
      <c r="N805" s="87"/>
      <c r="O805" s="87"/>
      <c r="P805" s="87"/>
      <c r="Q805" s="87"/>
      <c r="R805" s="87"/>
      <c r="S805" s="87"/>
      <c r="T805" s="87"/>
      <c r="U805" s="87"/>
      <c r="V805" s="87"/>
      <c r="W805" s="87"/>
      <c r="X805" s="87"/>
      <c r="Y805" s="87"/>
    </row>
    <row r="806">
      <c r="A806" s="100"/>
      <c r="B806" s="579"/>
      <c r="C806" s="100"/>
      <c r="D806" s="579"/>
      <c r="E806" s="100"/>
      <c r="F806" s="579"/>
      <c r="G806" s="100"/>
      <c r="H806" s="601"/>
      <c r="I806" s="100"/>
      <c r="J806" s="583"/>
      <c r="K806" s="100"/>
      <c r="L806" s="579"/>
      <c r="M806" s="87"/>
      <c r="N806" s="87"/>
      <c r="O806" s="87"/>
      <c r="P806" s="87"/>
      <c r="Q806" s="87"/>
      <c r="R806" s="87"/>
      <c r="S806" s="87"/>
      <c r="T806" s="87"/>
      <c r="U806" s="87"/>
      <c r="V806" s="87"/>
      <c r="W806" s="87"/>
      <c r="X806" s="87"/>
      <c r="Y806" s="87"/>
    </row>
    <row r="807">
      <c r="A807" s="100"/>
      <c r="B807" s="579"/>
      <c r="C807" s="100"/>
      <c r="D807" s="579"/>
      <c r="E807" s="100"/>
      <c r="F807" s="579"/>
      <c r="G807" s="100"/>
      <c r="H807" s="601"/>
      <c r="I807" s="100"/>
      <c r="J807" s="583"/>
      <c r="K807" s="100"/>
      <c r="L807" s="579"/>
      <c r="M807" s="87"/>
      <c r="N807" s="87"/>
      <c r="O807" s="87"/>
      <c r="P807" s="87"/>
      <c r="Q807" s="87"/>
      <c r="R807" s="87"/>
      <c r="S807" s="87"/>
      <c r="T807" s="87"/>
      <c r="U807" s="87"/>
      <c r="V807" s="87"/>
      <c r="W807" s="87"/>
      <c r="X807" s="87"/>
      <c r="Y807" s="87"/>
    </row>
    <row r="808">
      <c r="A808" s="100"/>
      <c r="B808" s="579"/>
      <c r="C808" s="100"/>
      <c r="D808" s="579"/>
      <c r="E808" s="100"/>
      <c r="F808" s="579"/>
      <c r="G808" s="100"/>
      <c r="H808" s="601"/>
      <c r="I808" s="100"/>
      <c r="J808" s="583"/>
      <c r="K808" s="100"/>
      <c r="L808" s="579"/>
      <c r="M808" s="87"/>
      <c r="N808" s="87"/>
      <c r="O808" s="87"/>
      <c r="P808" s="87"/>
      <c r="Q808" s="87"/>
      <c r="R808" s="87"/>
      <c r="S808" s="87"/>
      <c r="T808" s="87"/>
      <c r="U808" s="87"/>
      <c r="V808" s="87"/>
      <c r="W808" s="87"/>
      <c r="X808" s="87"/>
      <c r="Y808" s="87"/>
    </row>
    <row r="809">
      <c r="A809" s="100"/>
      <c r="B809" s="579"/>
      <c r="C809" s="100"/>
      <c r="D809" s="579"/>
      <c r="E809" s="100"/>
      <c r="F809" s="579"/>
      <c r="G809" s="100"/>
      <c r="H809" s="601"/>
      <c r="I809" s="100"/>
      <c r="J809" s="583"/>
      <c r="K809" s="100"/>
      <c r="L809" s="579"/>
      <c r="M809" s="87"/>
      <c r="N809" s="87"/>
      <c r="O809" s="87"/>
      <c r="P809" s="87"/>
      <c r="Q809" s="87"/>
      <c r="R809" s="87"/>
      <c r="S809" s="87"/>
      <c r="T809" s="87"/>
      <c r="U809" s="87"/>
      <c r="V809" s="87"/>
      <c r="W809" s="87"/>
      <c r="X809" s="87"/>
      <c r="Y809" s="87"/>
    </row>
    <row r="810">
      <c r="A810" s="100"/>
      <c r="B810" s="579"/>
      <c r="C810" s="100"/>
      <c r="D810" s="579"/>
      <c r="E810" s="100"/>
      <c r="F810" s="579"/>
      <c r="G810" s="100"/>
      <c r="H810" s="601"/>
      <c r="I810" s="100"/>
      <c r="J810" s="583"/>
      <c r="K810" s="100"/>
      <c r="L810" s="579"/>
      <c r="M810" s="87"/>
      <c r="N810" s="87"/>
      <c r="O810" s="87"/>
      <c r="P810" s="87"/>
      <c r="Q810" s="87"/>
      <c r="R810" s="87"/>
      <c r="S810" s="87"/>
      <c r="T810" s="87"/>
      <c r="U810" s="87"/>
      <c r="V810" s="87"/>
      <c r="W810" s="87"/>
      <c r="X810" s="87"/>
      <c r="Y810" s="87"/>
    </row>
    <row r="811">
      <c r="A811" s="100"/>
      <c r="B811" s="579"/>
      <c r="C811" s="100"/>
      <c r="D811" s="579"/>
      <c r="E811" s="100"/>
      <c r="F811" s="579"/>
      <c r="G811" s="100"/>
      <c r="H811" s="601"/>
      <c r="I811" s="100"/>
      <c r="J811" s="583"/>
      <c r="K811" s="100"/>
      <c r="L811" s="579"/>
      <c r="M811" s="87"/>
      <c r="N811" s="87"/>
      <c r="O811" s="87"/>
      <c r="P811" s="87"/>
      <c r="Q811" s="87"/>
      <c r="R811" s="87"/>
      <c r="S811" s="87"/>
      <c r="T811" s="87"/>
      <c r="U811" s="87"/>
      <c r="V811" s="87"/>
      <c r="W811" s="87"/>
      <c r="X811" s="87"/>
      <c r="Y811" s="87"/>
    </row>
    <row r="812">
      <c r="A812" s="100"/>
      <c r="B812" s="579"/>
      <c r="C812" s="100"/>
      <c r="D812" s="579"/>
      <c r="E812" s="100"/>
      <c r="F812" s="579"/>
      <c r="G812" s="100"/>
      <c r="H812" s="601"/>
      <c r="I812" s="100"/>
      <c r="J812" s="583"/>
      <c r="K812" s="100"/>
      <c r="L812" s="579"/>
      <c r="M812" s="87"/>
      <c r="N812" s="87"/>
      <c r="O812" s="87"/>
      <c r="P812" s="87"/>
      <c r="Q812" s="87"/>
      <c r="R812" s="87"/>
      <c r="S812" s="87"/>
      <c r="T812" s="87"/>
      <c r="U812" s="87"/>
      <c r="V812" s="87"/>
      <c r="W812" s="87"/>
      <c r="X812" s="87"/>
      <c r="Y812" s="87"/>
    </row>
    <row r="813">
      <c r="A813" s="100"/>
      <c r="B813" s="579"/>
      <c r="C813" s="100"/>
      <c r="D813" s="579"/>
      <c r="E813" s="100"/>
      <c r="F813" s="579"/>
      <c r="G813" s="100"/>
      <c r="H813" s="601"/>
      <c r="I813" s="100"/>
      <c r="J813" s="583"/>
      <c r="K813" s="100"/>
      <c r="L813" s="579"/>
      <c r="M813" s="87"/>
      <c r="N813" s="87"/>
      <c r="O813" s="87"/>
      <c r="P813" s="87"/>
      <c r="Q813" s="87"/>
      <c r="R813" s="87"/>
      <c r="S813" s="87"/>
      <c r="T813" s="87"/>
      <c r="U813" s="87"/>
      <c r="V813" s="87"/>
      <c r="W813" s="87"/>
      <c r="X813" s="87"/>
      <c r="Y813" s="87"/>
    </row>
    <row r="814">
      <c r="A814" s="100"/>
      <c r="B814" s="579"/>
      <c r="C814" s="100"/>
      <c r="D814" s="579"/>
      <c r="E814" s="100"/>
      <c r="F814" s="579"/>
      <c r="G814" s="100"/>
      <c r="H814" s="601"/>
      <c r="I814" s="100"/>
      <c r="J814" s="583"/>
      <c r="K814" s="100"/>
      <c r="L814" s="579"/>
      <c r="M814" s="87"/>
      <c r="N814" s="87"/>
      <c r="O814" s="87"/>
      <c r="P814" s="87"/>
      <c r="Q814" s="87"/>
      <c r="R814" s="87"/>
      <c r="S814" s="87"/>
      <c r="T814" s="87"/>
      <c r="U814" s="87"/>
      <c r="V814" s="87"/>
      <c r="W814" s="87"/>
      <c r="X814" s="87"/>
      <c r="Y814" s="87"/>
    </row>
    <row r="815">
      <c r="A815" s="100"/>
      <c r="B815" s="579"/>
      <c r="C815" s="100"/>
      <c r="D815" s="579"/>
      <c r="E815" s="100"/>
      <c r="F815" s="579"/>
      <c r="G815" s="100"/>
      <c r="H815" s="601"/>
      <c r="I815" s="100"/>
      <c r="J815" s="583"/>
      <c r="K815" s="100"/>
      <c r="L815" s="579"/>
      <c r="M815" s="87"/>
      <c r="N815" s="87"/>
      <c r="O815" s="87"/>
      <c r="P815" s="87"/>
      <c r="Q815" s="87"/>
      <c r="R815" s="87"/>
      <c r="S815" s="87"/>
      <c r="T815" s="87"/>
      <c r="U815" s="87"/>
      <c r="V815" s="87"/>
      <c r="W815" s="87"/>
      <c r="X815" s="87"/>
      <c r="Y815" s="87"/>
    </row>
    <row r="816">
      <c r="A816" s="100"/>
      <c r="B816" s="579"/>
      <c r="C816" s="100"/>
      <c r="D816" s="579"/>
      <c r="E816" s="100"/>
      <c r="F816" s="579"/>
      <c r="G816" s="100"/>
      <c r="H816" s="601"/>
      <c r="I816" s="100"/>
      <c r="J816" s="583"/>
      <c r="K816" s="100"/>
      <c r="L816" s="579"/>
      <c r="M816" s="87"/>
      <c r="N816" s="87"/>
      <c r="O816" s="87"/>
      <c r="P816" s="87"/>
      <c r="Q816" s="87"/>
      <c r="R816" s="87"/>
      <c r="S816" s="87"/>
      <c r="T816" s="87"/>
      <c r="U816" s="87"/>
      <c r="V816" s="87"/>
      <c r="W816" s="87"/>
      <c r="X816" s="87"/>
      <c r="Y816" s="87"/>
    </row>
    <row r="817">
      <c r="A817" s="100"/>
      <c r="B817" s="579"/>
      <c r="C817" s="100"/>
      <c r="D817" s="579"/>
      <c r="E817" s="100"/>
      <c r="F817" s="579"/>
      <c r="G817" s="100"/>
      <c r="H817" s="601"/>
      <c r="I817" s="100"/>
      <c r="J817" s="583"/>
      <c r="K817" s="100"/>
      <c r="L817" s="579"/>
      <c r="M817" s="87"/>
      <c r="N817" s="87"/>
      <c r="O817" s="87"/>
      <c r="P817" s="87"/>
      <c r="Q817" s="87"/>
      <c r="R817" s="87"/>
      <c r="S817" s="87"/>
      <c r="T817" s="87"/>
      <c r="U817" s="87"/>
      <c r="V817" s="87"/>
      <c r="W817" s="87"/>
      <c r="X817" s="87"/>
      <c r="Y817" s="87"/>
    </row>
    <row r="818">
      <c r="A818" s="100"/>
      <c r="B818" s="579"/>
      <c r="C818" s="100"/>
      <c r="D818" s="579"/>
      <c r="E818" s="100"/>
      <c r="F818" s="579"/>
      <c r="G818" s="100"/>
      <c r="H818" s="601"/>
      <c r="I818" s="100"/>
      <c r="J818" s="583"/>
      <c r="K818" s="100"/>
      <c r="L818" s="579"/>
      <c r="M818" s="87"/>
      <c r="N818" s="87"/>
      <c r="O818" s="87"/>
      <c r="P818" s="87"/>
      <c r="Q818" s="87"/>
      <c r="R818" s="87"/>
      <c r="S818" s="87"/>
      <c r="T818" s="87"/>
      <c r="U818" s="87"/>
      <c r="V818" s="87"/>
      <c r="W818" s="87"/>
      <c r="X818" s="87"/>
      <c r="Y818" s="87"/>
    </row>
    <row r="819">
      <c r="A819" s="100"/>
      <c r="B819" s="579"/>
      <c r="C819" s="100"/>
      <c r="D819" s="579"/>
      <c r="E819" s="100"/>
      <c r="F819" s="579"/>
      <c r="G819" s="100"/>
      <c r="H819" s="601"/>
      <c r="I819" s="100"/>
      <c r="J819" s="583"/>
      <c r="K819" s="100"/>
      <c r="L819" s="579"/>
      <c r="M819" s="87"/>
      <c r="N819" s="87"/>
      <c r="O819" s="87"/>
      <c r="P819" s="87"/>
      <c r="Q819" s="87"/>
      <c r="R819" s="87"/>
      <c r="S819" s="87"/>
      <c r="T819" s="87"/>
      <c r="U819" s="87"/>
      <c r="V819" s="87"/>
      <c r="W819" s="87"/>
      <c r="X819" s="87"/>
      <c r="Y819" s="87"/>
    </row>
    <row r="820">
      <c r="A820" s="100"/>
      <c r="B820" s="579"/>
      <c r="C820" s="100"/>
      <c r="D820" s="579"/>
      <c r="E820" s="100"/>
      <c r="F820" s="579"/>
      <c r="G820" s="100"/>
      <c r="H820" s="601"/>
      <c r="I820" s="100"/>
      <c r="J820" s="583"/>
      <c r="K820" s="100"/>
      <c r="L820" s="579"/>
      <c r="M820" s="87"/>
      <c r="N820" s="87"/>
      <c r="O820" s="87"/>
      <c r="P820" s="87"/>
      <c r="Q820" s="87"/>
      <c r="R820" s="87"/>
      <c r="S820" s="87"/>
      <c r="T820" s="87"/>
      <c r="U820" s="87"/>
      <c r="V820" s="87"/>
      <c r="W820" s="87"/>
      <c r="X820" s="87"/>
      <c r="Y820" s="87"/>
    </row>
    <row r="821">
      <c r="A821" s="100"/>
      <c r="B821" s="579"/>
      <c r="C821" s="100"/>
      <c r="D821" s="579"/>
      <c r="E821" s="100"/>
      <c r="F821" s="579"/>
      <c r="G821" s="100"/>
      <c r="H821" s="601"/>
      <c r="I821" s="100"/>
      <c r="J821" s="583"/>
      <c r="K821" s="100"/>
      <c r="L821" s="579"/>
      <c r="M821" s="87"/>
      <c r="N821" s="87"/>
      <c r="O821" s="87"/>
      <c r="P821" s="87"/>
      <c r="Q821" s="87"/>
      <c r="R821" s="87"/>
      <c r="S821" s="87"/>
      <c r="T821" s="87"/>
      <c r="U821" s="87"/>
      <c r="V821" s="87"/>
      <c r="W821" s="87"/>
      <c r="X821" s="87"/>
      <c r="Y821" s="87"/>
    </row>
    <row r="822">
      <c r="A822" s="100"/>
      <c r="B822" s="579"/>
      <c r="C822" s="100"/>
      <c r="D822" s="579"/>
      <c r="E822" s="100"/>
      <c r="F822" s="579"/>
      <c r="G822" s="100"/>
      <c r="H822" s="601"/>
      <c r="I822" s="100"/>
      <c r="J822" s="583"/>
      <c r="K822" s="100"/>
      <c r="L822" s="579"/>
      <c r="M822" s="87"/>
      <c r="N822" s="87"/>
      <c r="O822" s="87"/>
      <c r="P822" s="87"/>
      <c r="Q822" s="87"/>
      <c r="R822" s="87"/>
      <c r="S822" s="87"/>
      <c r="T822" s="87"/>
      <c r="U822" s="87"/>
      <c r="V822" s="87"/>
      <c r="W822" s="87"/>
      <c r="X822" s="87"/>
      <c r="Y822" s="87"/>
    </row>
    <row r="823">
      <c r="A823" s="100"/>
      <c r="B823" s="579"/>
      <c r="C823" s="100"/>
      <c r="D823" s="579"/>
      <c r="E823" s="100"/>
      <c r="F823" s="579"/>
      <c r="G823" s="100"/>
      <c r="H823" s="601"/>
      <c r="I823" s="100"/>
      <c r="J823" s="583"/>
      <c r="K823" s="100"/>
      <c r="L823" s="579"/>
      <c r="M823" s="87"/>
      <c r="N823" s="87"/>
      <c r="O823" s="87"/>
      <c r="P823" s="87"/>
      <c r="Q823" s="87"/>
      <c r="R823" s="87"/>
      <c r="S823" s="87"/>
      <c r="T823" s="87"/>
      <c r="U823" s="87"/>
      <c r="V823" s="87"/>
      <c r="W823" s="87"/>
      <c r="X823" s="87"/>
      <c r="Y823" s="87"/>
    </row>
    <row r="824">
      <c r="A824" s="100"/>
      <c r="B824" s="579"/>
      <c r="C824" s="100"/>
      <c r="D824" s="579"/>
      <c r="E824" s="100"/>
      <c r="F824" s="579"/>
      <c r="G824" s="100"/>
      <c r="H824" s="601"/>
      <c r="I824" s="100"/>
      <c r="J824" s="583"/>
      <c r="K824" s="100"/>
      <c r="L824" s="579"/>
      <c r="M824" s="87"/>
      <c r="N824" s="87"/>
      <c r="O824" s="87"/>
      <c r="P824" s="87"/>
      <c r="Q824" s="87"/>
      <c r="R824" s="87"/>
      <c r="S824" s="87"/>
      <c r="T824" s="87"/>
      <c r="U824" s="87"/>
      <c r="V824" s="87"/>
      <c r="W824" s="87"/>
      <c r="X824" s="87"/>
      <c r="Y824" s="87"/>
    </row>
    <row r="825">
      <c r="A825" s="100"/>
      <c r="B825" s="579"/>
      <c r="C825" s="100"/>
      <c r="D825" s="579"/>
      <c r="E825" s="100"/>
      <c r="F825" s="579"/>
      <c r="G825" s="100"/>
      <c r="H825" s="601"/>
      <c r="I825" s="100"/>
      <c r="J825" s="583"/>
      <c r="K825" s="100"/>
      <c r="L825" s="579"/>
      <c r="M825" s="87"/>
      <c r="N825" s="87"/>
      <c r="O825" s="87"/>
      <c r="P825" s="87"/>
      <c r="Q825" s="87"/>
      <c r="R825" s="87"/>
      <c r="S825" s="87"/>
      <c r="T825" s="87"/>
      <c r="U825" s="87"/>
      <c r="V825" s="87"/>
      <c r="W825" s="87"/>
      <c r="X825" s="87"/>
      <c r="Y825" s="87"/>
    </row>
    <row r="826">
      <c r="A826" s="100"/>
      <c r="B826" s="579"/>
      <c r="C826" s="100"/>
      <c r="D826" s="579"/>
      <c r="E826" s="100"/>
      <c r="F826" s="579"/>
      <c r="G826" s="100"/>
      <c r="H826" s="601"/>
      <c r="I826" s="100"/>
      <c r="J826" s="583"/>
      <c r="K826" s="100"/>
      <c r="L826" s="579"/>
      <c r="M826" s="87"/>
      <c r="N826" s="87"/>
      <c r="O826" s="87"/>
      <c r="P826" s="87"/>
      <c r="Q826" s="87"/>
      <c r="R826" s="87"/>
      <c r="S826" s="87"/>
      <c r="T826" s="87"/>
      <c r="U826" s="87"/>
      <c r="V826" s="87"/>
      <c r="W826" s="87"/>
      <c r="X826" s="87"/>
      <c r="Y826" s="87"/>
    </row>
    <row r="827">
      <c r="A827" s="100"/>
      <c r="B827" s="579"/>
      <c r="C827" s="100"/>
      <c r="D827" s="579"/>
      <c r="E827" s="100"/>
      <c r="F827" s="579"/>
      <c r="G827" s="100"/>
      <c r="H827" s="601"/>
      <c r="I827" s="100"/>
      <c r="J827" s="583"/>
      <c r="K827" s="100"/>
      <c r="L827" s="579"/>
      <c r="M827" s="87"/>
      <c r="N827" s="87"/>
      <c r="O827" s="87"/>
      <c r="P827" s="87"/>
      <c r="Q827" s="87"/>
      <c r="R827" s="87"/>
      <c r="S827" s="87"/>
      <c r="T827" s="87"/>
      <c r="U827" s="87"/>
      <c r="V827" s="87"/>
      <c r="W827" s="87"/>
      <c r="X827" s="87"/>
      <c r="Y827" s="87"/>
    </row>
    <row r="828">
      <c r="A828" s="100"/>
      <c r="B828" s="579"/>
      <c r="C828" s="100"/>
      <c r="D828" s="579"/>
      <c r="E828" s="100"/>
      <c r="F828" s="579"/>
      <c r="G828" s="100"/>
      <c r="H828" s="601"/>
      <c r="I828" s="100"/>
      <c r="J828" s="583"/>
      <c r="K828" s="100"/>
      <c r="L828" s="579"/>
      <c r="M828" s="87"/>
      <c r="N828" s="87"/>
      <c r="O828" s="87"/>
      <c r="P828" s="87"/>
      <c r="Q828" s="87"/>
      <c r="R828" s="87"/>
      <c r="S828" s="87"/>
      <c r="T828" s="87"/>
      <c r="U828" s="87"/>
      <c r="V828" s="87"/>
      <c r="W828" s="87"/>
      <c r="X828" s="87"/>
      <c r="Y828" s="87"/>
    </row>
    <row r="829">
      <c r="A829" s="100"/>
      <c r="B829" s="579"/>
      <c r="C829" s="100"/>
      <c r="D829" s="579"/>
      <c r="E829" s="100"/>
      <c r="F829" s="579"/>
      <c r="G829" s="100"/>
      <c r="H829" s="601"/>
      <c r="I829" s="100"/>
      <c r="J829" s="583"/>
      <c r="K829" s="100"/>
      <c r="L829" s="579"/>
      <c r="M829" s="87"/>
      <c r="N829" s="87"/>
      <c r="O829" s="87"/>
      <c r="P829" s="87"/>
      <c r="Q829" s="87"/>
      <c r="R829" s="87"/>
      <c r="S829" s="87"/>
      <c r="T829" s="87"/>
      <c r="U829" s="87"/>
      <c r="V829" s="87"/>
      <c r="W829" s="87"/>
      <c r="X829" s="87"/>
      <c r="Y829" s="87"/>
    </row>
    <row r="830">
      <c r="A830" s="100"/>
      <c r="B830" s="579"/>
      <c r="C830" s="100"/>
      <c r="D830" s="579"/>
      <c r="E830" s="100"/>
      <c r="F830" s="579"/>
      <c r="G830" s="100"/>
      <c r="H830" s="601"/>
      <c r="I830" s="100"/>
      <c r="J830" s="583"/>
      <c r="K830" s="100"/>
      <c r="L830" s="579"/>
      <c r="M830" s="87"/>
      <c r="N830" s="87"/>
      <c r="O830" s="87"/>
      <c r="P830" s="87"/>
      <c r="Q830" s="87"/>
      <c r="R830" s="87"/>
      <c r="S830" s="87"/>
      <c r="T830" s="87"/>
      <c r="U830" s="87"/>
      <c r="V830" s="87"/>
      <c r="W830" s="87"/>
      <c r="X830" s="87"/>
      <c r="Y830" s="87"/>
    </row>
    <row r="831">
      <c r="A831" s="100"/>
      <c r="B831" s="579"/>
      <c r="C831" s="100"/>
      <c r="D831" s="579"/>
      <c r="E831" s="100"/>
      <c r="F831" s="579"/>
      <c r="G831" s="100"/>
      <c r="H831" s="601"/>
      <c r="I831" s="100"/>
      <c r="J831" s="583"/>
      <c r="K831" s="100"/>
      <c r="L831" s="579"/>
      <c r="M831" s="87"/>
      <c r="N831" s="87"/>
      <c r="O831" s="87"/>
      <c r="P831" s="87"/>
      <c r="Q831" s="87"/>
      <c r="R831" s="87"/>
      <c r="S831" s="87"/>
      <c r="T831" s="87"/>
      <c r="U831" s="87"/>
      <c r="V831" s="87"/>
      <c r="W831" s="87"/>
      <c r="X831" s="87"/>
      <c r="Y831" s="87"/>
    </row>
    <row r="832">
      <c r="A832" s="100"/>
      <c r="B832" s="579"/>
      <c r="C832" s="100"/>
      <c r="D832" s="579"/>
      <c r="E832" s="100"/>
      <c r="F832" s="579"/>
      <c r="G832" s="100"/>
      <c r="H832" s="601"/>
      <c r="I832" s="100"/>
      <c r="J832" s="583"/>
      <c r="K832" s="100"/>
      <c r="L832" s="579"/>
      <c r="M832" s="87"/>
      <c r="N832" s="87"/>
      <c r="O832" s="87"/>
      <c r="P832" s="87"/>
      <c r="Q832" s="87"/>
      <c r="R832" s="87"/>
      <c r="S832" s="87"/>
      <c r="T832" s="87"/>
      <c r="U832" s="87"/>
      <c r="V832" s="87"/>
      <c r="W832" s="87"/>
      <c r="X832" s="87"/>
      <c r="Y832" s="87"/>
    </row>
    <row r="833">
      <c r="A833" s="100"/>
      <c r="B833" s="579"/>
      <c r="C833" s="100"/>
      <c r="D833" s="579"/>
      <c r="E833" s="100"/>
      <c r="F833" s="579"/>
      <c r="G833" s="100"/>
      <c r="H833" s="601"/>
      <c r="I833" s="100"/>
      <c r="J833" s="583"/>
      <c r="K833" s="100"/>
      <c r="L833" s="579"/>
      <c r="M833" s="87"/>
      <c r="N833" s="87"/>
      <c r="O833" s="87"/>
      <c r="P833" s="87"/>
      <c r="Q833" s="87"/>
      <c r="R833" s="87"/>
      <c r="S833" s="87"/>
      <c r="T833" s="87"/>
      <c r="U833" s="87"/>
      <c r="V833" s="87"/>
      <c r="W833" s="87"/>
      <c r="X833" s="87"/>
      <c r="Y833" s="87"/>
    </row>
    <row r="834">
      <c r="A834" s="100"/>
      <c r="B834" s="579"/>
      <c r="C834" s="100"/>
      <c r="D834" s="579"/>
      <c r="E834" s="100"/>
      <c r="F834" s="579"/>
      <c r="G834" s="100"/>
      <c r="H834" s="601"/>
      <c r="I834" s="100"/>
      <c r="J834" s="583"/>
      <c r="K834" s="100"/>
      <c r="L834" s="579"/>
      <c r="M834" s="87"/>
      <c r="N834" s="87"/>
      <c r="O834" s="87"/>
      <c r="P834" s="87"/>
      <c r="Q834" s="87"/>
      <c r="R834" s="87"/>
      <c r="S834" s="87"/>
      <c r="T834" s="87"/>
      <c r="U834" s="87"/>
      <c r="V834" s="87"/>
      <c r="W834" s="87"/>
      <c r="X834" s="87"/>
      <c r="Y834" s="87"/>
    </row>
    <row r="835">
      <c r="A835" s="100"/>
      <c r="B835" s="579"/>
      <c r="C835" s="100"/>
      <c r="D835" s="579"/>
      <c r="E835" s="100"/>
      <c r="F835" s="579"/>
      <c r="G835" s="100"/>
      <c r="H835" s="601"/>
      <c r="I835" s="100"/>
      <c r="J835" s="583"/>
      <c r="K835" s="100"/>
      <c r="L835" s="579"/>
      <c r="M835" s="87"/>
      <c r="N835" s="87"/>
      <c r="O835" s="87"/>
      <c r="P835" s="87"/>
      <c r="Q835" s="87"/>
      <c r="R835" s="87"/>
      <c r="S835" s="87"/>
      <c r="T835" s="87"/>
      <c r="U835" s="87"/>
      <c r="V835" s="87"/>
      <c r="W835" s="87"/>
      <c r="X835" s="87"/>
      <c r="Y835" s="87"/>
    </row>
    <row r="836">
      <c r="A836" s="100"/>
      <c r="B836" s="579"/>
      <c r="C836" s="100"/>
      <c r="D836" s="579"/>
      <c r="E836" s="100"/>
      <c r="F836" s="579"/>
      <c r="G836" s="100"/>
      <c r="H836" s="601"/>
      <c r="I836" s="100"/>
      <c r="J836" s="583"/>
      <c r="K836" s="100"/>
      <c r="L836" s="579"/>
      <c r="M836" s="87"/>
      <c r="N836" s="87"/>
      <c r="O836" s="87"/>
      <c r="P836" s="87"/>
      <c r="Q836" s="87"/>
      <c r="R836" s="87"/>
      <c r="S836" s="87"/>
      <c r="T836" s="87"/>
      <c r="U836" s="87"/>
      <c r="V836" s="87"/>
      <c r="W836" s="87"/>
      <c r="X836" s="87"/>
      <c r="Y836" s="87"/>
    </row>
    <row r="837">
      <c r="A837" s="100"/>
      <c r="B837" s="579"/>
      <c r="C837" s="100"/>
      <c r="D837" s="579"/>
      <c r="E837" s="100"/>
      <c r="F837" s="579"/>
      <c r="G837" s="100"/>
      <c r="H837" s="601"/>
      <c r="I837" s="100"/>
      <c r="J837" s="583"/>
      <c r="K837" s="100"/>
      <c r="L837" s="579"/>
      <c r="M837" s="87"/>
      <c r="N837" s="87"/>
      <c r="O837" s="87"/>
      <c r="P837" s="87"/>
      <c r="Q837" s="87"/>
      <c r="R837" s="87"/>
      <c r="S837" s="87"/>
      <c r="T837" s="87"/>
      <c r="U837" s="87"/>
      <c r="V837" s="87"/>
      <c r="W837" s="87"/>
      <c r="X837" s="87"/>
      <c r="Y837" s="87"/>
    </row>
    <row r="838">
      <c r="A838" s="100"/>
      <c r="B838" s="579"/>
      <c r="C838" s="100"/>
      <c r="D838" s="579"/>
      <c r="E838" s="100"/>
      <c r="F838" s="579"/>
      <c r="G838" s="100"/>
      <c r="H838" s="601"/>
      <c r="I838" s="100"/>
      <c r="J838" s="583"/>
      <c r="K838" s="100"/>
      <c r="L838" s="579"/>
      <c r="M838" s="87"/>
      <c r="N838" s="87"/>
      <c r="O838" s="87"/>
      <c r="P838" s="87"/>
      <c r="Q838" s="87"/>
      <c r="R838" s="87"/>
      <c r="S838" s="87"/>
      <c r="T838" s="87"/>
      <c r="U838" s="87"/>
      <c r="V838" s="87"/>
      <c r="W838" s="87"/>
      <c r="X838" s="87"/>
      <c r="Y838" s="87"/>
    </row>
    <row r="839">
      <c r="A839" s="100"/>
      <c r="B839" s="579"/>
      <c r="C839" s="100"/>
      <c r="D839" s="579"/>
      <c r="E839" s="100"/>
      <c r="F839" s="579"/>
      <c r="G839" s="100"/>
      <c r="H839" s="601"/>
      <c r="I839" s="100"/>
      <c r="J839" s="583"/>
      <c r="K839" s="100"/>
      <c r="L839" s="579"/>
      <c r="M839" s="87"/>
      <c r="N839" s="87"/>
      <c r="O839" s="87"/>
      <c r="P839" s="87"/>
      <c r="Q839" s="87"/>
      <c r="R839" s="87"/>
      <c r="S839" s="87"/>
      <c r="T839" s="87"/>
      <c r="U839" s="87"/>
      <c r="V839" s="87"/>
      <c r="W839" s="87"/>
      <c r="X839" s="87"/>
      <c r="Y839" s="87"/>
    </row>
    <row r="840">
      <c r="A840" s="100"/>
      <c r="B840" s="579"/>
      <c r="C840" s="100"/>
      <c r="D840" s="579"/>
      <c r="E840" s="100"/>
      <c r="F840" s="579"/>
      <c r="G840" s="100"/>
      <c r="H840" s="601"/>
      <c r="I840" s="100"/>
      <c r="J840" s="583"/>
      <c r="K840" s="100"/>
      <c r="L840" s="579"/>
      <c r="M840" s="87"/>
      <c r="N840" s="87"/>
      <c r="O840" s="87"/>
      <c r="P840" s="87"/>
      <c r="Q840" s="87"/>
      <c r="R840" s="87"/>
      <c r="S840" s="87"/>
      <c r="T840" s="87"/>
      <c r="U840" s="87"/>
      <c r="V840" s="87"/>
      <c r="W840" s="87"/>
      <c r="X840" s="87"/>
      <c r="Y840" s="87"/>
    </row>
    <row r="841">
      <c r="A841" s="100"/>
      <c r="B841" s="579"/>
      <c r="C841" s="100"/>
      <c r="D841" s="579"/>
      <c r="E841" s="100"/>
      <c r="F841" s="579"/>
      <c r="G841" s="100"/>
      <c r="H841" s="601"/>
      <c r="I841" s="100"/>
      <c r="J841" s="583"/>
      <c r="K841" s="100"/>
      <c r="L841" s="579"/>
      <c r="M841" s="87"/>
      <c r="N841" s="87"/>
      <c r="O841" s="87"/>
      <c r="P841" s="87"/>
      <c r="Q841" s="87"/>
      <c r="R841" s="87"/>
      <c r="S841" s="87"/>
      <c r="T841" s="87"/>
      <c r="U841" s="87"/>
      <c r="V841" s="87"/>
      <c r="W841" s="87"/>
      <c r="X841" s="87"/>
      <c r="Y841" s="87"/>
    </row>
    <row r="842">
      <c r="A842" s="100"/>
      <c r="B842" s="579"/>
      <c r="C842" s="100"/>
      <c r="D842" s="579"/>
      <c r="E842" s="100"/>
      <c r="F842" s="579"/>
      <c r="G842" s="100"/>
      <c r="H842" s="601"/>
      <c r="I842" s="100"/>
      <c r="J842" s="583"/>
      <c r="K842" s="100"/>
      <c r="L842" s="579"/>
      <c r="M842" s="87"/>
      <c r="N842" s="87"/>
      <c r="O842" s="87"/>
      <c r="P842" s="87"/>
      <c r="Q842" s="87"/>
      <c r="R842" s="87"/>
      <c r="S842" s="87"/>
      <c r="T842" s="87"/>
      <c r="U842" s="87"/>
      <c r="V842" s="87"/>
      <c r="W842" s="87"/>
      <c r="X842" s="87"/>
      <c r="Y842" s="87"/>
    </row>
    <row r="843">
      <c r="A843" s="100"/>
      <c r="B843" s="579"/>
      <c r="C843" s="100"/>
      <c r="D843" s="579"/>
      <c r="E843" s="100"/>
      <c r="F843" s="579"/>
      <c r="G843" s="100"/>
      <c r="H843" s="601"/>
      <c r="I843" s="100"/>
      <c r="J843" s="583"/>
      <c r="K843" s="100"/>
      <c r="L843" s="579"/>
      <c r="M843" s="87"/>
      <c r="N843" s="87"/>
      <c r="O843" s="87"/>
      <c r="P843" s="87"/>
      <c r="Q843" s="87"/>
      <c r="R843" s="87"/>
      <c r="S843" s="87"/>
      <c r="T843" s="87"/>
      <c r="U843" s="87"/>
      <c r="V843" s="87"/>
      <c r="W843" s="87"/>
      <c r="X843" s="87"/>
      <c r="Y843" s="87"/>
    </row>
    <row r="844">
      <c r="A844" s="100"/>
      <c r="B844" s="579"/>
      <c r="C844" s="100"/>
      <c r="D844" s="579"/>
      <c r="E844" s="100"/>
      <c r="F844" s="579"/>
      <c r="G844" s="100"/>
      <c r="H844" s="601"/>
      <c r="I844" s="100"/>
      <c r="J844" s="583"/>
      <c r="K844" s="100"/>
      <c r="L844" s="579"/>
      <c r="M844" s="87"/>
      <c r="N844" s="87"/>
      <c r="O844" s="87"/>
      <c r="P844" s="87"/>
      <c r="Q844" s="87"/>
      <c r="R844" s="87"/>
      <c r="S844" s="87"/>
      <c r="T844" s="87"/>
      <c r="U844" s="87"/>
      <c r="V844" s="87"/>
      <c r="W844" s="87"/>
      <c r="X844" s="87"/>
      <c r="Y844" s="87"/>
    </row>
    <row r="845">
      <c r="A845" s="100"/>
      <c r="B845" s="579"/>
      <c r="C845" s="100"/>
      <c r="D845" s="579"/>
      <c r="E845" s="100"/>
      <c r="F845" s="579"/>
      <c r="G845" s="100"/>
      <c r="H845" s="601"/>
      <c r="I845" s="100"/>
      <c r="J845" s="583"/>
      <c r="K845" s="100"/>
      <c r="L845" s="579"/>
      <c r="M845" s="87"/>
      <c r="N845" s="87"/>
      <c r="O845" s="87"/>
      <c r="P845" s="87"/>
      <c r="Q845" s="87"/>
      <c r="R845" s="87"/>
      <c r="S845" s="87"/>
      <c r="T845" s="87"/>
      <c r="U845" s="87"/>
      <c r="V845" s="87"/>
      <c r="W845" s="87"/>
      <c r="X845" s="87"/>
      <c r="Y845" s="87"/>
    </row>
    <row r="846">
      <c r="A846" s="100"/>
      <c r="B846" s="579"/>
      <c r="C846" s="100"/>
      <c r="D846" s="579"/>
      <c r="E846" s="100"/>
      <c r="F846" s="579"/>
      <c r="G846" s="100"/>
      <c r="H846" s="601"/>
      <c r="I846" s="100"/>
      <c r="J846" s="583"/>
      <c r="K846" s="100"/>
      <c r="L846" s="579"/>
      <c r="M846" s="87"/>
      <c r="N846" s="87"/>
      <c r="O846" s="87"/>
      <c r="P846" s="87"/>
      <c r="Q846" s="87"/>
      <c r="R846" s="87"/>
      <c r="S846" s="87"/>
      <c r="T846" s="87"/>
      <c r="U846" s="87"/>
      <c r="V846" s="87"/>
      <c r="W846" s="87"/>
      <c r="X846" s="87"/>
      <c r="Y846" s="87"/>
    </row>
    <row r="847">
      <c r="A847" s="100"/>
      <c r="B847" s="579"/>
      <c r="C847" s="100"/>
      <c r="D847" s="579"/>
      <c r="E847" s="100"/>
      <c r="F847" s="579"/>
      <c r="G847" s="100"/>
      <c r="H847" s="601"/>
      <c r="I847" s="100"/>
      <c r="J847" s="583"/>
      <c r="K847" s="100"/>
      <c r="L847" s="579"/>
      <c r="M847" s="87"/>
      <c r="N847" s="87"/>
      <c r="O847" s="87"/>
      <c r="P847" s="87"/>
      <c r="Q847" s="87"/>
      <c r="R847" s="87"/>
      <c r="S847" s="87"/>
      <c r="T847" s="87"/>
      <c r="U847" s="87"/>
      <c r="V847" s="87"/>
      <c r="W847" s="87"/>
      <c r="X847" s="87"/>
      <c r="Y847" s="87"/>
    </row>
    <row r="848">
      <c r="A848" s="100"/>
      <c r="B848" s="579"/>
      <c r="C848" s="100"/>
      <c r="D848" s="579"/>
      <c r="E848" s="100"/>
      <c r="F848" s="579"/>
      <c r="G848" s="100"/>
      <c r="H848" s="601"/>
      <c r="I848" s="100"/>
      <c r="J848" s="583"/>
      <c r="K848" s="100"/>
      <c r="L848" s="579"/>
      <c r="M848" s="87"/>
      <c r="N848" s="87"/>
      <c r="O848" s="87"/>
      <c r="P848" s="87"/>
      <c r="Q848" s="87"/>
      <c r="R848" s="87"/>
      <c r="S848" s="87"/>
      <c r="T848" s="87"/>
      <c r="U848" s="87"/>
      <c r="V848" s="87"/>
      <c r="W848" s="87"/>
      <c r="X848" s="87"/>
      <c r="Y848" s="87"/>
    </row>
    <row r="849">
      <c r="A849" s="100"/>
      <c r="B849" s="579"/>
      <c r="C849" s="100"/>
      <c r="D849" s="579"/>
      <c r="E849" s="100"/>
      <c r="F849" s="579"/>
      <c r="G849" s="100"/>
      <c r="H849" s="601"/>
      <c r="I849" s="100"/>
      <c r="J849" s="583"/>
      <c r="K849" s="100"/>
      <c r="L849" s="579"/>
      <c r="M849" s="87"/>
      <c r="N849" s="87"/>
      <c r="O849" s="87"/>
      <c r="P849" s="87"/>
      <c r="Q849" s="87"/>
      <c r="R849" s="87"/>
      <c r="S849" s="87"/>
      <c r="T849" s="87"/>
      <c r="U849" s="87"/>
      <c r="V849" s="87"/>
      <c r="W849" s="87"/>
      <c r="X849" s="87"/>
      <c r="Y849" s="87"/>
    </row>
    <row r="850">
      <c r="A850" s="100"/>
      <c r="B850" s="579"/>
      <c r="C850" s="100"/>
      <c r="D850" s="579"/>
      <c r="E850" s="100"/>
      <c r="F850" s="579"/>
      <c r="G850" s="100"/>
      <c r="H850" s="601"/>
      <c r="I850" s="100"/>
      <c r="J850" s="583"/>
      <c r="K850" s="100"/>
      <c r="L850" s="579"/>
      <c r="M850" s="87"/>
      <c r="N850" s="87"/>
      <c r="O850" s="87"/>
      <c r="P850" s="87"/>
      <c r="Q850" s="87"/>
      <c r="R850" s="87"/>
      <c r="S850" s="87"/>
      <c r="T850" s="87"/>
      <c r="U850" s="87"/>
      <c r="V850" s="87"/>
      <c r="W850" s="87"/>
      <c r="X850" s="87"/>
      <c r="Y850" s="87"/>
    </row>
    <row r="851">
      <c r="A851" s="100"/>
      <c r="B851" s="579"/>
      <c r="C851" s="100"/>
      <c r="D851" s="579"/>
      <c r="E851" s="100"/>
      <c r="F851" s="579"/>
      <c r="G851" s="100"/>
      <c r="H851" s="601"/>
      <c r="I851" s="100"/>
      <c r="J851" s="583"/>
      <c r="K851" s="100"/>
      <c r="L851" s="579"/>
      <c r="M851" s="87"/>
      <c r="N851" s="87"/>
      <c r="O851" s="87"/>
      <c r="P851" s="87"/>
      <c r="Q851" s="87"/>
      <c r="R851" s="87"/>
      <c r="S851" s="87"/>
      <c r="T851" s="87"/>
      <c r="U851" s="87"/>
      <c r="V851" s="87"/>
      <c r="W851" s="87"/>
      <c r="X851" s="87"/>
      <c r="Y851" s="87"/>
    </row>
    <row r="852">
      <c r="A852" s="100"/>
      <c r="B852" s="579"/>
      <c r="C852" s="100"/>
      <c r="D852" s="579"/>
      <c r="E852" s="100"/>
      <c r="F852" s="579"/>
      <c r="G852" s="100"/>
      <c r="H852" s="601"/>
      <c r="I852" s="100"/>
      <c r="J852" s="583"/>
      <c r="K852" s="100"/>
      <c r="L852" s="579"/>
      <c r="M852" s="87"/>
      <c r="N852" s="87"/>
      <c r="O852" s="87"/>
      <c r="P852" s="87"/>
      <c r="Q852" s="87"/>
      <c r="R852" s="87"/>
      <c r="S852" s="87"/>
      <c r="T852" s="87"/>
      <c r="U852" s="87"/>
      <c r="V852" s="87"/>
      <c r="W852" s="87"/>
      <c r="X852" s="87"/>
      <c r="Y852" s="87"/>
    </row>
    <row r="853">
      <c r="A853" s="100"/>
      <c r="B853" s="579"/>
      <c r="C853" s="100"/>
      <c r="D853" s="579"/>
      <c r="E853" s="100"/>
      <c r="F853" s="579"/>
      <c r="G853" s="100"/>
      <c r="H853" s="601"/>
      <c r="I853" s="100"/>
      <c r="J853" s="583"/>
      <c r="K853" s="100"/>
      <c r="L853" s="579"/>
      <c r="M853" s="87"/>
      <c r="N853" s="87"/>
      <c r="O853" s="87"/>
      <c r="P853" s="87"/>
      <c r="Q853" s="87"/>
      <c r="R853" s="87"/>
      <c r="S853" s="87"/>
      <c r="T853" s="87"/>
      <c r="U853" s="87"/>
      <c r="V853" s="87"/>
      <c r="W853" s="87"/>
      <c r="X853" s="87"/>
      <c r="Y853" s="87"/>
    </row>
    <row r="854">
      <c r="A854" s="100"/>
      <c r="B854" s="579"/>
      <c r="C854" s="100"/>
      <c r="D854" s="579"/>
      <c r="E854" s="100"/>
      <c r="F854" s="579"/>
      <c r="G854" s="100"/>
      <c r="H854" s="601"/>
      <c r="I854" s="100"/>
      <c r="J854" s="583"/>
      <c r="K854" s="100"/>
      <c r="L854" s="579"/>
      <c r="M854" s="87"/>
      <c r="N854" s="87"/>
      <c r="O854" s="87"/>
      <c r="P854" s="87"/>
      <c r="Q854" s="87"/>
      <c r="R854" s="87"/>
      <c r="S854" s="87"/>
      <c r="T854" s="87"/>
      <c r="U854" s="87"/>
      <c r="V854" s="87"/>
      <c r="W854" s="87"/>
      <c r="X854" s="87"/>
      <c r="Y854" s="87"/>
    </row>
    <row r="855">
      <c r="A855" s="100"/>
      <c r="B855" s="579"/>
      <c r="C855" s="100"/>
      <c r="D855" s="579"/>
      <c r="E855" s="100"/>
      <c r="F855" s="579"/>
      <c r="G855" s="100"/>
      <c r="H855" s="601"/>
      <c r="I855" s="100"/>
      <c r="J855" s="583"/>
      <c r="K855" s="100"/>
      <c r="L855" s="579"/>
      <c r="M855" s="87"/>
      <c r="N855" s="87"/>
      <c r="O855" s="87"/>
      <c r="P855" s="87"/>
      <c r="Q855" s="87"/>
      <c r="R855" s="87"/>
      <c r="S855" s="87"/>
      <c r="T855" s="87"/>
      <c r="U855" s="87"/>
      <c r="V855" s="87"/>
      <c r="W855" s="87"/>
      <c r="X855" s="87"/>
      <c r="Y855" s="87"/>
    </row>
    <row r="856">
      <c r="A856" s="100"/>
      <c r="B856" s="579"/>
      <c r="C856" s="100"/>
      <c r="D856" s="579"/>
      <c r="E856" s="100"/>
      <c r="F856" s="579"/>
      <c r="G856" s="100"/>
      <c r="H856" s="601"/>
      <c r="I856" s="100"/>
      <c r="J856" s="583"/>
      <c r="K856" s="100"/>
      <c r="L856" s="579"/>
      <c r="M856" s="87"/>
      <c r="N856" s="87"/>
      <c r="O856" s="87"/>
      <c r="P856" s="87"/>
      <c r="Q856" s="87"/>
      <c r="R856" s="87"/>
      <c r="S856" s="87"/>
      <c r="T856" s="87"/>
      <c r="U856" s="87"/>
      <c r="V856" s="87"/>
      <c r="W856" s="87"/>
      <c r="X856" s="87"/>
      <c r="Y856" s="87"/>
    </row>
    <row r="857">
      <c r="A857" s="100"/>
      <c r="B857" s="579"/>
      <c r="C857" s="100"/>
      <c r="D857" s="579"/>
      <c r="E857" s="100"/>
      <c r="F857" s="579"/>
      <c r="G857" s="100"/>
      <c r="H857" s="601"/>
      <c r="I857" s="100"/>
      <c r="J857" s="583"/>
      <c r="K857" s="100"/>
      <c r="L857" s="579"/>
      <c r="M857" s="87"/>
      <c r="N857" s="87"/>
      <c r="O857" s="87"/>
      <c r="P857" s="87"/>
      <c r="Q857" s="87"/>
      <c r="R857" s="87"/>
      <c r="S857" s="87"/>
      <c r="T857" s="87"/>
      <c r="U857" s="87"/>
      <c r="V857" s="87"/>
      <c r="W857" s="87"/>
      <c r="X857" s="87"/>
      <c r="Y857" s="87"/>
    </row>
    <row r="858">
      <c r="A858" s="100"/>
      <c r="B858" s="579"/>
      <c r="C858" s="100"/>
      <c r="D858" s="579"/>
      <c r="E858" s="100"/>
      <c r="F858" s="579"/>
      <c r="G858" s="100"/>
      <c r="H858" s="601"/>
      <c r="I858" s="100"/>
      <c r="J858" s="583"/>
      <c r="K858" s="100"/>
      <c r="L858" s="579"/>
      <c r="M858" s="87"/>
      <c r="N858" s="87"/>
      <c r="O858" s="87"/>
      <c r="P858" s="87"/>
      <c r="Q858" s="87"/>
      <c r="R858" s="87"/>
      <c r="S858" s="87"/>
      <c r="T858" s="87"/>
      <c r="U858" s="87"/>
      <c r="V858" s="87"/>
      <c r="W858" s="87"/>
      <c r="X858" s="87"/>
      <c r="Y858" s="87"/>
    </row>
    <row r="859">
      <c r="A859" s="100"/>
      <c r="B859" s="579"/>
      <c r="C859" s="100"/>
      <c r="D859" s="579"/>
      <c r="E859" s="100"/>
      <c r="F859" s="579"/>
      <c r="G859" s="100"/>
      <c r="H859" s="601"/>
      <c r="I859" s="100"/>
      <c r="J859" s="583"/>
      <c r="K859" s="100"/>
      <c r="L859" s="579"/>
      <c r="M859" s="87"/>
      <c r="N859" s="87"/>
      <c r="O859" s="87"/>
      <c r="P859" s="87"/>
      <c r="Q859" s="87"/>
      <c r="R859" s="87"/>
      <c r="S859" s="87"/>
      <c r="T859" s="87"/>
      <c r="U859" s="87"/>
      <c r="V859" s="87"/>
      <c r="W859" s="87"/>
      <c r="X859" s="87"/>
      <c r="Y859" s="87"/>
    </row>
    <row r="860">
      <c r="A860" s="100"/>
      <c r="B860" s="579"/>
      <c r="C860" s="100"/>
      <c r="D860" s="579"/>
      <c r="E860" s="100"/>
      <c r="F860" s="579"/>
      <c r="G860" s="100"/>
      <c r="H860" s="601"/>
      <c r="I860" s="100"/>
      <c r="J860" s="583"/>
      <c r="K860" s="100"/>
      <c r="L860" s="579"/>
      <c r="M860" s="87"/>
      <c r="N860" s="87"/>
      <c r="O860" s="87"/>
      <c r="P860" s="87"/>
      <c r="Q860" s="87"/>
      <c r="R860" s="87"/>
      <c r="S860" s="87"/>
      <c r="T860" s="87"/>
      <c r="U860" s="87"/>
      <c r="V860" s="87"/>
      <c r="W860" s="87"/>
      <c r="X860" s="87"/>
      <c r="Y860" s="87"/>
    </row>
    <row r="861">
      <c r="A861" s="100"/>
      <c r="B861" s="579"/>
      <c r="C861" s="100"/>
      <c r="D861" s="579"/>
      <c r="E861" s="100"/>
      <c r="F861" s="579"/>
      <c r="G861" s="100"/>
      <c r="H861" s="601"/>
      <c r="I861" s="100"/>
      <c r="J861" s="583"/>
      <c r="K861" s="100"/>
      <c r="L861" s="579"/>
      <c r="M861" s="87"/>
      <c r="N861" s="87"/>
      <c r="O861" s="87"/>
      <c r="P861" s="87"/>
      <c r="Q861" s="87"/>
      <c r="R861" s="87"/>
      <c r="S861" s="87"/>
      <c r="T861" s="87"/>
      <c r="U861" s="87"/>
      <c r="V861" s="87"/>
      <c r="W861" s="87"/>
      <c r="X861" s="87"/>
      <c r="Y861" s="87"/>
    </row>
    <row r="862">
      <c r="A862" s="100"/>
      <c r="B862" s="579"/>
      <c r="C862" s="100"/>
      <c r="D862" s="579"/>
      <c r="E862" s="100"/>
      <c r="F862" s="579"/>
      <c r="G862" s="100"/>
      <c r="H862" s="601"/>
      <c r="I862" s="100"/>
      <c r="J862" s="583"/>
      <c r="K862" s="100"/>
      <c r="L862" s="579"/>
      <c r="M862" s="87"/>
      <c r="N862" s="87"/>
      <c r="O862" s="87"/>
      <c r="P862" s="87"/>
      <c r="Q862" s="87"/>
      <c r="R862" s="87"/>
      <c r="S862" s="87"/>
      <c r="T862" s="87"/>
      <c r="U862" s="87"/>
      <c r="V862" s="87"/>
      <c r="W862" s="87"/>
      <c r="X862" s="87"/>
      <c r="Y862" s="87"/>
    </row>
    <row r="863">
      <c r="A863" s="100"/>
      <c r="B863" s="579"/>
      <c r="C863" s="100"/>
      <c r="D863" s="579"/>
      <c r="E863" s="100"/>
      <c r="F863" s="579"/>
      <c r="G863" s="100"/>
      <c r="H863" s="601"/>
      <c r="I863" s="100"/>
      <c r="J863" s="583"/>
      <c r="K863" s="100"/>
      <c r="L863" s="579"/>
      <c r="M863" s="87"/>
      <c r="N863" s="87"/>
      <c r="O863" s="87"/>
      <c r="P863" s="87"/>
      <c r="Q863" s="87"/>
      <c r="R863" s="87"/>
      <c r="S863" s="87"/>
      <c r="T863" s="87"/>
      <c r="U863" s="87"/>
      <c r="V863" s="87"/>
      <c r="W863" s="87"/>
      <c r="X863" s="87"/>
      <c r="Y863" s="87"/>
    </row>
    <row r="864">
      <c r="A864" s="100"/>
      <c r="B864" s="579"/>
      <c r="C864" s="100"/>
      <c r="D864" s="579"/>
      <c r="E864" s="100"/>
      <c r="F864" s="579"/>
      <c r="G864" s="100"/>
      <c r="H864" s="601"/>
      <c r="I864" s="100"/>
      <c r="J864" s="583"/>
      <c r="K864" s="100"/>
      <c r="L864" s="579"/>
      <c r="M864" s="87"/>
      <c r="N864" s="87"/>
      <c r="O864" s="87"/>
      <c r="P864" s="87"/>
      <c r="Q864" s="87"/>
      <c r="R864" s="87"/>
      <c r="S864" s="87"/>
      <c r="T864" s="87"/>
      <c r="U864" s="87"/>
      <c r="V864" s="87"/>
      <c r="W864" s="87"/>
      <c r="X864" s="87"/>
      <c r="Y864" s="87"/>
    </row>
    <row r="865">
      <c r="A865" s="100"/>
      <c r="B865" s="579"/>
      <c r="C865" s="100"/>
      <c r="D865" s="579"/>
      <c r="E865" s="100"/>
      <c r="F865" s="579"/>
      <c r="G865" s="100"/>
      <c r="H865" s="601"/>
      <c r="I865" s="100"/>
      <c r="J865" s="583"/>
      <c r="K865" s="100"/>
      <c r="L865" s="579"/>
      <c r="M865" s="87"/>
      <c r="N865" s="87"/>
      <c r="O865" s="87"/>
      <c r="P865" s="87"/>
      <c r="Q865" s="87"/>
      <c r="R865" s="87"/>
      <c r="S865" s="87"/>
      <c r="T865" s="87"/>
      <c r="U865" s="87"/>
      <c r="V865" s="87"/>
      <c r="W865" s="87"/>
      <c r="X865" s="87"/>
      <c r="Y865" s="87"/>
    </row>
    <row r="866">
      <c r="A866" s="100"/>
      <c r="B866" s="579"/>
      <c r="C866" s="100"/>
      <c r="D866" s="579"/>
      <c r="E866" s="100"/>
      <c r="F866" s="579"/>
      <c r="G866" s="100"/>
      <c r="H866" s="601"/>
      <c r="I866" s="100"/>
      <c r="J866" s="583"/>
      <c r="K866" s="100"/>
      <c r="L866" s="579"/>
      <c r="M866" s="87"/>
      <c r="N866" s="87"/>
      <c r="O866" s="87"/>
      <c r="P866" s="87"/>
      <c r="Q866" s="87"/>
      <c r="R866" s="87"/>
      <c r="S866" s="87"/>
      <c r="T866" s="87"/>
      <c r="U866" s="87"/>
      <c r="V866" s="87"/>
      <c r="W866" s="87"/>
      <c r="X866" s="87"/>
      <c r="Y866" s="87"/>
    </row>
    <row r="867">
      <c r="A867" s="100"/>
      <c r="B867" s="579"/>
      <c r="C867" s="100"/>
      <c r="D867" s="579"/>
      <c r="E867" s="100"/>
      <c r="F867" s="579"/>
      <c r="G867" s="100"/>
      <c r="H867" s="601"/>
      <c r="I867" s="100"/>
      <c r="J867" s="583"/>
      <c r="K867" s="100"/>
      <c r="L867" s="579"/>
      <c r="M867" s="87"/>
      <c r="N867" s="87"/>
      <c r="O867" s="87"/>
      <c r="P867" s="87"/>
      <c r="Q867" s="87"/>
      <c r="R867" s="87"/>
      <c r="S867" s="87"/>
      <c r="T867" s="87"/>
      <c r="U867" s="87"/>
      <c r="V867" s="87"/>
      <c r="W867" s="87"/>
      <c r="X867" s="87"/>
      <c r="Y867" s="87"/>
    </row>
    <row r="868">
      <c r="A868" s="100"/>
      <c r="B868" s="579"/>
      <c r="C868" s="100"/>
      <c r="D868" s="579"/>
      <c r="E868" s="100"/>
      <c r="F868" s="579"/>
      <c r="G868" s="100"/>
      <c r="H868" s="601"/>
      <c r="I868" s="100"/>
      <c r="J868" s="583"/>
      <c r="K868" s="100"/>
      <c r="L868" s="579"/>
      <c r="M868" s="87"/>
      <c r="N868" s="87"/>
      <c r="O868" s="87"/>
      <c r="P868" s="87"/>
      <c r="Q868" s="87"/>
      <c r="R868" s="87"/>
      <c r="S868" s="87"/>
      <c r="T868" s="87"/>
      <c r="U868" s="87"/>
      <c r="V868" s="87"/>
      <c r="W868" s="87"/>
      <c r="X868" s="87"/>
      <c r="Y868" s="87"/>
    </row>
    <row r="869">
      <c r="A869" s="100"/>
      <c r="B869" s="579"/>
      <c r="C869" s="100"/>
      <c r="D869" s="579"/>
      <c r="E869" s="100"/>
      <c r="F869" s="579"/>
      <c r="G869" s="100"/>
      <c r="H869" s="601"/>
      <c r="I869" s="100"/>
      <c r="J869" s="583"/>
      <c r="K869" s="100"/>
      <c r="L869" s="579"/>
      <c r="M869" s="87"/>
      <c r="N869" s="87"/>
      <c r="O869" s="87"/>
      <c r="P869" s="87"/>
      <c r="Q869" s="87"/>
      <c r="R869" s="87"/>
      <c r="S869" s="87"/>
      <c r="T869" s="87"/>
      <c r="U869" s="87"/>
      <c r="V869" s="87"/>
      <c r="W869" s="87"/>
      <c r="X869" s="87"/>
      <c r="Y869" s="87"/>
    </row>
    <row r="870">
      <c r="A870" s="100"/>
      <c r="B870" s="579"/>
      <c r="C870" s="100"/>
      <c r="D870" s="579"/>
      <c r="E870" s="100"/>
      <c r="F870" s="579"/>
      <c r="G870" s="100"/>
      <c r="H870" s="601"/>
      <c r="I870" s="100"/>
      <c r="J870" s="583"/>
      <c r="K870" s="100"/>
      <c r="L870" s="579"/>
      <c r="M870" s="87"/>
      <c r="N870" s="87"/>
      <c r="O870" s="87"/>
      <c r="P870" s="87"/>
      <c r="Q870" s="87"/>
      <c r="R870" s="87"/>
      <c r="S870" s="87"/>
      <c r="T870" s="87"/>
      <c r="U870" s="87"/>
      <c r="V870" s="87"/>
      <c r="W870" s="87"/>
      <c r="X870" s="87"/>
      <c r="Y870" s="87"/>
    </row>
    <row r="871">
      <c r="A871" s="100"/>
      <c r="B871" s="579"/>
      <c r="C871" s="100"/>
      <c r="D871" s="579"/>
      <c r="E871" s="100"/>
      <c r="F871" s="579"/>
      <c r="G871" s="100"/>
      <c r="H871" s="601"/>
      <c r="I871" s="100"/>
      <c r="J871" s="583"/>
      <c r="K871" s="100"/>
      <c r="L871" s="579"/>
      <c r="M871" s="87"/>
      <c r="N871" s="87"/>
      <c r="O871" s="87"/>
      <c r="P871" s="87"/>
      <c r="Q871" s="87"/>
      <c r="R871" s="87"/>
      <c r="S871" s="87"/>
      <c r="T871" s="87"/>
      <c r="U871" s="87"/>
      <c r="V871" s="87"/>
      <c r="W871" s="87"/>
      <c r="X871" s="87"/>
      <c r="Y871" s="87"/>
    </row>
    <row r="872">
      <c r="A872" s="100"/>
      <c r="B872" s="579"/>
      <c r="C872" s="100"/>
      <c r="D872" s="579"/>
      <c r="E872" s="100"/>
      <c r="F872" s="579"/>
      <c r="G872" s="100"/>
      <c r="H872" s="601"/>
      <c r="I872" s="100"/>
      <c r="J872" s="583"/>
      <c r="K872" s="100"/>
      <c r="L872" s="579"/>
      <c r="M872" s="87"/>
      <c r="N872" s="87"/>
      <c r="O872" s="87"/>
      <c r="P872" s="87"/>
      <c r="Q872" s="87"/>
      <c r="R872" s="87"/>
      <c r="S872" s="87"/>
      <c r="T872" s="87"/>
      <c r="U872" s="87"/>
      <c r="V872" s="87"/>
      <c r="W872" s="87"/>
      <c r="X872" s="87"/>
      <c r="Y872" s="87"/>
    </row>
    <row r="873">
      <c r="A873" s="100"/>
      <c r="B873" s="579"/>
      <c r="C873" s="100"/>
      <c r="D873" s="579"/>
      <c r="E873" s="100"/>
      <c r="F873" s="579"/>
      <c r="G873" s="100"/>
      <c r="H873" s="601"/>
      <c r="I873" s="100"/>
      <c r="J873" s="583"/>
      <c r="K873" s="100"/>
      <c r="L873" s="579"/>
      <c r="M873" s="87"/>
      <c r="N873" s="87"/>
      <c r="O873" s="87"/>
      <c r="P873" s="87"/>
      <c r="Q873" s="87"/>
      <c r="R873" s="87"/>
      <c r="S873" s="87"/>
      <c r="T873" s="87"/>
      <c r="U873" s="87"/>
      <c r="V873" s="87"/>
      <c r="W873" s="87"/>
      <c r="X873" s="87"/>
      <c r="Y873" s="87"/>
    </row>
    <row r="874">
      <c r="A874" s="100"/>
      <c r="B874" s="579"/>
      <c r="C874" s="100"/>
      <c r="D874" s="579"/>
      <c r="E874" s="100"/>
      <c r="F874" s="579"/>
      <c r="G874" s="100"/>
      <c r="H874" s="601"/>
      <c r="I874" s="100"/>
      <c r="J874" s="583"/>
      <c r="K874" s="100"/>
      <c r="L874" s="579"/>
      <c r="M874" s="87"/>
      <c r="N874" s="87"/>
      <c r="O874" s="87"/>
      <c r="P874" s="87"/>
      <c r="Q874" s="87"/>
      <c r="R874" s="87"/>
      <c r="S874" s="87"/>
      <c r="T874" s="87"/>
      <c r="U874" s="87"/>
      <c r="V874" s="87"/>
      <c r="W874" s="87"/>
      <c r="X874" s="87"/>
      <c r="Y874" s="87"/>
    </row>
    <row r="875">
      <c r="A875" s="100"/>
      <c r="B875" s="579"/>
      <c r="C875" s="100"/>
      <c r="D875" s="579"/>
      <c r="E875" s="100"/>
      <c r="F875" s="579"/>
      <c r="G875" s="100"/>
      <c r="H875" s="601"/>
      <c r="I875" s="100"/>
      <c r="J875" s="583"/>
      <c r="K875" s="100"/>
      <c r="L875" s="579"/>
      <c r="M875" s="87"/>
      <c r="N875" s="87"/>
      <c r="O875" s="87"/>
      <c r="P875" s="87"/>
      <c r="Q875" s="87"/>
      <c r="R875" s="87"/>
      <c r="S875" s="87"/>
      <c r="T875" s="87"/>
      <c r="U875" s="87"/>
      <c r="V875" s="87"/>
      <c r="W875" s="87"/>
      <c r="X875" s="87"/>
      <c r="Y875" s="87"/>
    </row>
    <row r="876">
      <c r="A876" s="100"/>
      <c r="B876" s="579"/>
      <c r="C876" s="100"/>
      <c r="D876" s="579"/>
      <c r="E876" s="100"/>
      <c r="F876" s="579"/>
      <c r="G876" s="100"/>
      <c r="H876" s="601"/>
      <c r="I876" s="100"/>
      <c r="J876" s="583"/>
      <c r="K876" s="100"/>
      <c r="L876" s="579"/>
      <c r="M876" s="87"/>
      <c r="N876" s="87"/>
      <c r="O876" s="87"/>
      <c r="P876" s="87"/>
      <c r="Q876" s="87"/>
      <c r="R876" s="87"/>
      <c r="S876" s="87"/>
      <c r="T876" s="87"/>
      <c r="U876" s="87"/>
      <c r="V876" s="87"/>
      <c r="W876" s="87"/>
      <c r="X876" s="87"/>
      <c r="Y876" s="87"/>
    </row>
    <row r="877">
      <c r="A877" s="100"/>
      <c r="B877" s="579"/>
      <c r="C877" s="100"/>
      <c r="D877" s="579"/>
      <c r="E877" s="100"/>
      <c r="F877" s="579"/>
      <c r="G877" s="100"/>
      <c r="H877" s="601"/>
      <c r="I877" s="100"/>
      <c r="J877" s="583"/>
      <c r="K877" s="100"/>
      <c r="L877" s="579"/>
      <c r="M877" s="87"/>
      <c r="N877" s="87"/>
      <c r="O877" s="87"/>
      <c r="P877" s="87"/>
      <c r="Q877" s="87"/>
      <c r="R877" s="87"/>
      <c r="S877" s="87"/>
      <c r="T877" s="87"/>
      <c r="U877" s="87"/>
      <c r="V877" s="87"/>
      <c r="W877" s="87"/>
      <c r="X877" s="87"/>
      <c r="Y877" s="87"/>
    </row>
    <row r="878">
      <c r="A878" s="100"/>
      <c r="B878" s="579"/>
      <c r="C878" s="100"/>
      <c r="D878" s="579"/>
      <c r="E878" s="100"/>
      <c r="F878" s="579"/>
      <c r="G878" s="100"/>
      <c r="H878" s="601"/>
      <c r="I878" s="100"/>
      <c r="J878" s="583"/>
      <c r="K878" s="100"/>
      <c r="L878" s="579"/>
      <c r="M878" s="87"/>
      <c r="N878" s="87"/>
      <c r="O878" s="87"/>
      <c r="P878" s="87"/>
      <c r="Q878" s="87"/>
      <c r="R878" s="87"/>
      <c r="S878" s="87"/>
      <c r="T878" s="87"/>
      <c r="U878" s="87"/>
      <c r="V878" s="87"/>
      <c r="W878" s="87"/>
      <c r="X878" s="87"/>
      <c r="Y878" s="87"/>
    </row>
    <row r="879">
      <c r="A879" s="100"/>
      <c r="B879" s="579"/>
      <c r="C879" s="100"/>
      <c r="D879" s="579"/>
      <c r="E879" s="100"/>
      <c r="F879" s="579"/>
      <c r="G879" s="100"/>
      <c r="H879" s="601"/>
      <c r="I879" s="100"/>
      <c r="J879" s="583"/>
      <c r="K879" s="100"/>
      <c r="L879" s="579"/>
      <c r="M879" s="87"/>
      <c r="N879" s="87"/>
      <c r="O879" s="87"/>
      <c r="P879" s="87"/>
      <c r="Q879" s="87"/>
      <c r="R879" s="87"/>
      <c r="S879" s="87"/>
      <c r="T879" s="87"/>
      <c r="U879" s="87"/>
      <c r="V879" s="87"/>
      <c r="W879" s="87"/>
      <c r="X879" s="87"/>
      <c r="Y879" s="87"/>
    </row>
    <row r="880">
      <c r="A880" s="100"/>
      <c r="B880" s="579"/>
      <c r="C880" s="100"/>
      <c r="D880" s="579"/>
      <c r="E880" s="100"/>
      <c r="F880" s="579"/>
      <c r="G880" s="100"/>
      <c r="H880" s="601"/>
      <c r="I880" s="100"/>
      <c r="J880" s="583"/>
      <c r="K880" s="100"/>
      <c r="L880" s="579"/>
      <c r="M880" s="87"/>
      <c r="N880" s="87"/>
      <c r="O880" s="87"/>
      <c r="P880" s="87"/>
      <c r="Q880" s="87"/>
      <c r="R880" s="87"/>
      <c r="S880" s="87"/>
      <c r="T880" s="87"/>
      <c r="U880" s="87"/>
      <c r="V880" s="87"/>
      <c r="W880" s="87"/>
      <c r="X880" s="87"/>
      <c r="Y880" s="87"/>
    </row>
    <row r="881">
      <c r="A881" s="100"/>
      <c r="B881" s="579"/>
      <c r="C881" s="100"/>
      <c r="D881" s="579"/>
      <c r="E881" s="100"/>
      <c r="F881" s="579"/>
      <c r="G881" s="100"/>
      <c r="H881" s="601"/>
      <c r="I881" s="100"/>
      <c r="J881" s="583"/>
      <c r="K881" s="100"/>
      <c r="L881" s="579"/>
      <c r="M881" s="87"/>
      <c r="N881" s="87"/>
      <c r="O881" s="87"/>
      <c r="P881" s="87"/>
      <c r="Q881" s="87"/>
      <c r="R881" s="87"/>
      <c r="S881" s="87"/>
      <c r="T881" s="87"/>
      <c r="U881" s="87"/>
      <c r="V881" s="87"/>
      <c r="W881" s="87"/>
      <c r="X881" s="87"/>
      <c r="Y881" s="87"/>
    </row>
    <row r="882">
      <c r="A882" s="100"/>
      <c r="B882" s="579"/>
      <c r="C882" s="100"/>
      <c r="D882" s="579"/>
      <c r="E882" s="100"/>
      <c r="F882" s="579"/>
      <c r="G882" s="100"/>
      <c r="H882" s="601"/>
      <c r="I882" s="100"/>
      <c r="J882" s="583"/>
      <c r="K882" s="100"/>
      <c r="L882" s="579"/>
      <c r="M882" s="87"/>
      <c r="N882" s="87"/>
      <c r="O882" s="87"/>
      <c r="P882" s="87"/>
      <c r="Q882" s="87"/>
      <c r="R882" s="87"/>
      <c r="S882" s="87"/>
      <c r="T882" s="87"/>
      <c r="U882" s="87"/>
      <c r="V882" s="87"/>
      <c r="W882" s="87"/>
      <c r="X882" s="87"/>
      <c r="Y882" s="87"/>
    </row>
    <row r="883">
      <c r="A883" s="100"/>
      <c r="B883" s="579"/>
      <c r="C883" s="100"/>
      <c r="D883" s="579"/>
      <c r="E883" s="100"/>
      <c r="F883" s="579"/>
      <c r="G883" s="100"/>
      <c r="H883" s="601"/>
      <c r="I883" s="100"/>
      <c r="J883" s="583"/>
      <c r="K883" s="100"/>
      <c r="L883" s="579"/>
      <c r="M883" s="87"/>
      <c r="N883" s="87"/>
      <c r="O883" s="87"/>
      <c r="P883" s="87"/>
      <c r="Q883" s="87"/>
      <c r="R883" s="87"/>
      <c r="S883" s="87"/>
      <c r="T883" s="87"/>
      <c r="U883" s="87"/>
      <c r="V883" s="87"/>
      <c r="W883" s="87"/>
      <c r="X883" s="87"/>
      <c r="Y883" s="87"/>
    </row>
    <row r="884">
      <c r="A884" s="100"/>
      <c r="B884" s="579"/>
      <c r="C884" s="100"/>
      <c r="D884" s="579"/>
      <c r="E884" s="100"/>
      <c r="F884" s="579"/>
      <c r="G884" s="100"/>
      <c r="H884" s="601"/>
      <c r="I884" s="100"/>
      <c r="J884" s="583"/>
      <c r="K884" s="100"/>
      <c r="L884" s="579"/>
      <c r="M884" s="87"/>
      <c r="N884" s="87"/>
      <c r="O884" s="87"/>
      <c r="P884" s="87"/>
      <c r="Q884" s="87"/>
      <c r="R884" s="87"/>
      <c r="S884" s="87"/>
      <c r="T884" s="87"/>
      <c r="U884" s="87"/>
      <c r="V884" s="87"/>
      <c r="W884" s="87"/>
      <c r="X884" s="87"/>
      <c r="Y884" s="87"/>
    </row>
    <row r="885">
      <c r="A885" s="100"/>
      <c r="B885" s="579"/>
      <c r="C885" s="100"/>
      <c r="D885" s="579"/>
      <c r="E885" s="100"/>
      <c r="F885" s="579"/>
      <c r="G885" s="100"/>
      <c r="H885" s="601"/>
      <c r="I885" s="100"/>
      <c r="J885" s="583"/>
      <c r="K885" s="100"/>
      <c r="L885" s="579"/>
      <c r="M885" s="87"/>
      <c r="N885" s="87"/>
      <c r="O885" s="87"/>
      <c r="P885" s="87"/>
      <c r="Q885" s="87"/>
      <c r="R885" s="87"/>
      <c r="S885" s="87"/>
      <c r="T885" s="87"/>
      <c r="U885" s="87"/>
      <c r="V885" s="87"/>
      <c r="W885" s="87"/>
      <c r="X885" s="87"/>
      <c r="Y885" s="87"/>
    </row>
    <row r="886">
      <c r="A886" s="100"/>
      <c r="B886" s="579"/>
      <c r="C886" s="100"/>
      <c r="D886" s="579"/>
      <c r="E886" s="100"/>
      <c r="F886" s="579"/>
      <c r="G886" s="100"/>
      <c r="H886" s="601"/>
      <c r="I886" s="100"/>
      <c r="J886" s="583"/>
      <c r="K886" s="100"/>
      <c r="L886" s="579"/>
      <c r="M886" s="87"/>
      <c r="N886" s="87"/>
      <c r="O886" s="87"/>
      <c r="P886" s="87"/>
      <c r="Q886" s="87"/>
      <c r="R886" s="87"/>
      <c r="S886" s="87"/>
      <c r="T886" s="87"/>
      <c r="U886" s="87"/>
      <c r="V886" s="87"/>
      <c r="W886" s="87"/>
      <c r="X886" s="87"/>
      <c r="Y886" s="87"/>
    </row>
    <row r="887">
      <c r="A887" s="100"/>
      <c r="B887" s="579"/>
      <c r="C887" s="100"/>
      <c r="D887" s="579"/>
      <c r="E887" s="100"/>
      <c r="F887" s="579"/>
      <c r="G887" s="100"/>
      <c r="H887" s="601"/>
      <c r="I887" s="100"/>
      <c r="J887" s="583"/>
      <c r="K887" s="100"/>
      <c r="L887" s="579"/>
      <c r="M887" s="87"/>
      <c r="N887" s="87"/>
      <c r="O887" s="87"/>
      <c r="P887" s="87"/>
      <c r="Q887" s="87"/>
      <c r="R887" s="87"/>
      <c r="S887" s="87"/>
      <c r="T887" s="87"/>
      <c r="U887" s="87"/>
      <c r="V887" s="87"/>
      <c r="W887" s="87"/>
      <c r="X887" s="87"/>
      <c r="Y887" s="87"/>
    </row>
    <row r="888">
      <c r="A888" s="100"/>
      <c r="B888" s="579"/>
      <c r="C888" s="100"/>
      <c r="D888" s="579"/>
      <c r="E888" s="100"/>
      <c r="F888" s="579"/>
      <c r="G888" s="100"/>
      <c r="H888" s="601"/>
      <c r="I888" s="100"/>
      <c r="J888" s="583"/>
      <c r="K888" s="100"/>
      <c r="L888" s="579"/>
      <c r="M888" s="87"/>
      <c r="N888" s="87"/>
      <c r="O888" s="87"/>
      <c r="P888" s="87"/>
      <c r="Q888" s="87"/>
      <c r="R888" s="87"/>
      <c r="S888" s="87"/>
      <c r="T888" s="87"/>
      <c r="U888" s="87"/>
      <c r="V888" s="87"/>
      <c r="W888" s="87"/>
      <c r="X888" s="87"/>
      <c r="Y888" s="87"/>
    </row>
    <row r="889">
      <c r="A889" s="100"/>
      <c r="B889" s="579"/>
      <c r="C889" s="100"/>
      <c r="D889" s="579"/>
      <c r="E889" s="100"/>
      <c r="F889" s="579"/>
      <c r="G889" s="100"/>
      <c r="H889" s="601"/>
      <c r="I889" s="100"/>
      <c r="J889" s="583"/>
      <c r="K889" s="100"/>
      <c r="L889" s="579"/>
      <c r="M889" s="87"/>
      <c r="N889" s="87"/>
      <c r="O889" s="87"/>
      <c r="P889" s="87"/>
      <c r="Q889" s="87"/>
      <c r="R889" s="87"/>
      <c r="S889" s="87"/>
      <c r="T889" s="87"/>
      <c r="U889" s="87"/>
      <c r="V889" s="87"/>
      <c r="W889" s="87"/>
      <c r="X889" s="87"/>
      <c r="Y889" s="87"/>
    </row>
    <row r="890">
      <c r="A890" s="100"/>
      <c r="B890" s="579"/>
      <c r="C890" s="100"/>
      <c r="D890" s="579"/>
      <c r="E890" s="100"/>
      <c r="F890" s="579"/>
      <c r="G890" s="100"/>
      <c r="H890" s="601"/>
      <c r="I890" s="100"/>
      <c r="J890" s="583"/>
      <c r="K890" s="100"/>
      <c r="L890" s="579"/>
      <c r="M890" s="87"/>
      <c r="N890" s="87"/>
      <c r="O890" s="87"/>
      <c r="P890" s="87"/>
      <c r="Q890" s="87"/>
      <c r="R890" s="87"/>
      <c r="S890" s="87"/>
      <c r="T890" s="87"/>
      <c r="U890" s="87"/>
      <c r="V890" s="87"/>
      <c r="W890" s="87"/>
      <c r="X890" s="87"/>
      <c r="Y890" s="87"/>
    </row>
    <row r="891">
      <c r="A891" s="100"/>
      <c r="B891" s="579"/>
      <c r="C891" s="100"/>
      <c r="D891" s="579"/>
      <c r="E891" s="100"/>
      <c r="F891" s="579"/>
      <c r="G891" s="100"/>
      <c r="H891" s="601"/>
      <c r="I891" s="100"/>
      <c r="J891" s="583"/>
      <c r="K891" s="100"/>
      <c r="L891" s="579"/>
      <c r="M891" s="87"/>
      <c r="N891" s="87"/>
      <c r="O891" s="87"/>
      <c r="P891" s="87"/>
      <c r="Q891" s="87"/>
      <c r="R891" s="87"/>
      <c r="S891" s="87"/>
      <c r="T891" s="87"/>
      <c r="U891" s="87"/>
      <c r="V891" s="87"/>
      <c r="W891" s="87"/>
      <c r="X891" s="87"/>
      <c r="Y891" s="87"/>
    </row>
    <row r="892">
      <c r="A892" s="100"/>
      <c r="B892" s="579"/>
      <c r="C892" s="100"/>
      <c r="D892" s="579"/>
      <c r="E892" s="100"/>
      <c r="F892" s="579"/>
      <c r="G892" s="100"/>
      <c r="H892" s="601"/>
      <c r="I892" s="100"/>
      <c r="J892" s="583"/>
      <c r="K892" s="100"/>
      <c r="L892" s="579"/>
      <c r="M892" s="87"/>
      <c r="N892" s="87"/>
      <c r="O892" s="87"/>
      <c r="P892" s="87"/>
      <c r="Q892" s="87"/>
      <c r="R892" s="87"/>
      <c r="S892" s="87"/>
      <c r="T892" s="87"/>
      <c r="U892" s="87"/>
      <c r="V892" s="87"/>
      <c r="W892" s="87"/>
      <c r="X892" s="87"/>
      <c r="Y892" s="87"/>
    </row>
    <row r="893">
      <c r="A893" s="100"/>
      <c r="B893" s="579"/>
      <c r="C893" s="100"/>
      <c r="D893" s="579"/>
      <c r="E893" s="100"/>
      <c r="F893" s="579"/>
      <c r="G893" s="100"/>
      <c r="H893" s="601"/>
      <c r="I893" s="100"/>
      <c r="J893" s="583"/>
      <c r="K893" s="100"/>
      <c r="L893" s="579"/>
      <c r="M893" s="87"/>
      <c r="N893" s="87"/>
      <c r="O893" s="87"/>
      <c r="P893" s="87"/>
      <c r="Q893" s="87"/>
      <c r="R893" s="87"/>
      <c r="S893" s="87"/>
      <c r="T893" s="87"/>
      <c r="U893" s="87"/>
      <c r="V893" s="87"/>
      <c r="W893" s="87"/>
      <c r="X893" s="87"/>
      <c r="Y893" s="87"/>
    </row>
    <row r="894">
      <c r="A894" s="100"/>
      <c r="B894" s="579"/>
      <c r="C894" s="100"/>
      <c r="D894" s="579"/>
      <c r="E894" s="100"/>
      <c r="F894" s="579"/>
      <c r="G894" s="100"/>
      <c r="H894" s="601"/>
      <c r="I894" s="100"/>
      <c r="J894" s="583"/>
      <c r="K894" s="100"/>
      <c r="L894" s="579"/>
      <c r="M894" s="87"/>
      <c r="N894" s="87"/>
      <c r="O894" s="87"/>
      <c r="P894" s="87"/>
      <c r="Q894" s="87"/>
      <c r="R894" s="87"/>
      <c r="S894" s="87"/>
      <c r="T894" s="87"/>
      <c r="U894" s="87"/>
      <c r="V894" s="87"/>
      <c r="W894" s="87"/>
      <c r="X894" s="87"/>
      <c r="Y894" s="87"/>
    </row>
    <row r="895">
      <c r="A895" s="100"/>
      <c r="B895" s="579"/>
      <c r="C895" s="100"/>
      <c r="D895" s="579"/>
      <c r="E895" s="100"/>
      <c r="F895" s="579"/>
      <c r="G895" s="100"/>
      <c r="H895" s="601"/>
      <c r="I895" s="100"/>
      <c r="J895" s="583"/>
      <c r="K895" s="100"/>
      <c r="L895" s="579"/>
      <c r="M895" s="87"/>
      <c r="N895" s="87"/>
      <c r="O895" s="87"/>
      <c r="P895" s="87"/>
      <c r="Q895" s="87"/>
      <c r="R895" s="87"/>
      <c r="S895" s="87"/>
      <c r="T895" s="87"/>
      <c r="U895" s="87"/>
      <c r="V895" s="87"/>
      <c r="W895" s="87"/>
      <c r="X895" s="87"/>
      <c r="Y895" s="87"/>
    </row>
    <row r="896">
      <c r="A896" s="100"/>
      <c r="B896" s="579"/>
      <c r="C896" s="100"/>
      <c r="D896" s="579"/>
      <c r="E896" s="100"/>
      <c r="F896" s="579"/>
      <c r="G896" s="100"/>
      <c r="H896" s="601"/>
      <c r="I896" s="100"/>
      <c r="J896" s="583"/>
      <c r="K896" s="100"/>
      <c r="L896" s="579"/>
      <c r="M896" s="87"/>
      <c r="N896" s="87"/>
      <c r="O896" s="87"/>
      <c r="P896" s="87"/>
      <c r="Q896" s="87"/>
      <c r="R896" s="87"/>
      <c r="S896" s="87"/>
      <c r="T896" s="87"/>
      <c r="U896" s="87"/>
      <c r="V896" s="87"/>
      <c r="W896" s="87"/>
      <c r="X896" s="87"/>
      <c r="Y896" s="87"/>
    </row>
    <row r="897">
      <c r="A897" s="100"/>
      <c r="B897" s="579"/>
      <c r="C897" s="100"/>
      <c r="D897" s="579"/>
      <c r="E897" s="100"/>
      <c r="F897" s="579"/>
      <c r="G897" s="100"/>
      <c r="H897" s="601"/>
      <c r="I897" s="100"/>
      <c r="J897" s="583"/>
      <c r="K897" s="100"/>
      <c r="L897" s="579"/>
      <c r="M897" s="87"/>
      <c r="N897" s="87"/>
      <c r="O897" s="87"/>
      <c r="P897" s="87"/>
      <c r="Q897" s="87"/>
      <c r="R897" s="87"/>
      <c r="S897" s="87"/>
      <c r="T897" s="87"/>
      <c r="U897" s="87"/>
      <c r="V897" s="87"/>
      <c r="W897" s="87"/>
      <c r="X897" s="87"/>
      <c r="Y897" s="87"/>
    </row>
    <row r="898">
      <c r="A898" s="100"/>
      <c r="B898" s="579"/>
      <c r="C898" s="100"/>
      <c r="D898" s="579"/>
      <c r="E898" s="100"/>
      <c r="F898" s="579"/>
      <c r="G898" s="100"/>
      <c r="H898" s="601"/>
      <c r="I898" s="100"/>
      <c r="J898" s="583"/>
      <c r="K898" s="100"/>
      <c r="L898" s="579"/>
      <c r="M898" s="87"/>
      <c r="N898" s="87"/>
      <c r="O898" s="87"/>
      <c r="P898" s="87"/>
      <c r="Q898" s="87"/>
      <c r="R898" s="87"/>
      <c r="S898" s="87"/>
      <c r="T898" s="87"/>
      <c r="U898" s="87"/>
      <c r="V898" s="87"/>
      <c r="W898" s="87"/>
      <c r="X898" s="87"/>
      <c r="Y898" s="87"/>
    </row>
    <row r="899">
      <c r="A899" s="100"/>
      <c r="B899" s="579"/>
      <c r="C899" s="100"/>
      <c r="D899" s="579"/>
      <c r="E899" s="100"/>
      <c r="F899" s="579"/>
      <c r="G899" s="100"/>
      <c r="H899" s="601"/>
      <c r="I899" s="100"/>
      <c r="J899" s="583"/>
      <c r="K899" s="100"/>
      <c r="L899" s="579"/>
      <c r="M899" s="87"/>
      <c r="N899" s="87"/>
      <c r="O899" s="87"/>
      <c r="P899" s="87"/>
      <c r="Q899" s="87"/>
      <c r="R899" s="87"/>
      <c r="S899" s="87"/>
      <c r="T899" s="87"/>
      <c r="U899" s="87"/>
      <c r="V899" s="87"/>
      <c r="W899" s="87"/>
      <c r="X899" s="87"/>
      <c r="Y899" s="87"/>
    </row>
    <row r="900">
      <c r="A900" s="100"/>
      <c r="B900" s="579"/>
      <c r="C900" s="100"/>
      <c r="D900" s="579"/>
      <c r="E900" s="100"/>
      <c r="F900" s="579"/>
      <c r="G900" s="100"/>
      <c r="H900" s="601"/>
      <c r="I900" s="100"/>
      <c r="J900" s="583"/>
      <c r="K900" s="100"/>
      <c r="L900" s="579"/>
      <c r="M900" s="87"/>
      <c r="N900" s="87"/>
      <c r="O900" s="87"/>
      <c r="P900" s="87"/>
      <c r="Q900" s="87"/>
      <c r="R900" s="87"/>
      <c r="S900" s="87"/>
      <c r="T900" s="87"/>
      <c r="U900" s="87"/>
      <c r="V900" s="87"/>
      <c r="W900" s="87"/>
      <c r="X900" s="87"/>
      <c r="Y900" s="87"/>
    </row>
    <row r="901">
      <c r="A901" s="100"/>
      <c r="B901" s="579"/>
      <c r="C901" s="100"/>
      <c r="D901" s="579"/>
      <c r="E901" s="100"/>
      <c r="F901" s="579"/>
      <c r="G901" s="100"/>
      <c r="H901" s="601"/>
      <c r="I901" s="100"/>
      <c r="J901" s="583"/>
      <c r="K901" s="100"/>
      <c r="L901" s="579"/>
      <c r="M901" s="87"/>
      <c r="N901" s="87"/>
      <c r="O901" s="87"/>
      <c r="P901" s="87"/>
      <c r="Q901" s="87"/>
      <c r="R901" s="87"/>
      <c r="S901" s="87"/>
      <c r="T901" s="87"/>
      <c r="U901" s="87"/>
      <c r="V901" s="87"/>
      <c r="W901" s="87"/>
      <c r="X901" s="87"/>
      <c r="Y901" s="87"/>
    </row>
    <row r="902">
      <c r="A902" s="100"/>
      <c r="B902" s="579"/>
      <c r="C902" s="100"/>
      <c r="D902" s="579"/>
      <c r="E902" s="100"/>
      <c r="F902" s="579"/>
      <c r="G902" s="100"/>
      <c r="H902" s="601"/>
      <c r="I902" s="100"/>
      <c r="J902" s="583"/>
      <c r="K902" s="100"/>
      <c r="L902" s="579"/>
      <c r="M902" s="87"/>
      <c r="N902" s="87"/>
      <c r="O902" s="87"/>
      <c r="P902" s="87"/>
      <c r="Q902" s="87"/>
      <c r="R902" s="87"/>
      <c r="S902" s="87"/>
      <c r="T902" s="87"/>
      <c r="U902" s="87"/>
      <c r="V902" s="87"/>
      <c r="W902" s="87"/>
      <c r="X902" s="87"/>
      <c r="Y902" s="87"/>
    </row>
    <row r="903">
      <c r="A903" s="100"/>
      <c r="B903" s="579"/>
      <c r="C903" s="100"/>
      <c r="D903" s="579"/>
      <c r="E903" s="100"/>
      <c r="F903" s="579"/>
      <c r="G903" s="100"/>
      <c r="H903" s="601"/>
      <c r="I903" s="100"/>
      <c r="J903" s="583"/>
      <c r="K903" s="100"/>
      <c r="L903" s="579"/>
      <c r="M903" s="87"/>
      <c r="N903" s="87"/>
      <c r="O903" s="87"/>
      <c r="P903" s="87"/>
      <c r="Q903" s="87"/>
      <c r="R903" s="87"/>
      <c r="S903" s="87"/>
      <c r="T903" s="87"/>
      <c r="U903" s="87"/>
      <c r="V903" s="87"/>
      <c r="W903" s="87"/>
      <c r="X903" s="87"/>
      <c r="Y903" s="87"/>
    </row>
    <row r="904">
      <c r="A904" s="100"/>
      <c r="B904" s="579"/>
      <c r="C904" s="100"/>
      <c r="D904" s="579"/>
      <c r="E904" s="100"/>
      <c r="F904" s="579"/>
      <c r="G904" s="100"/>
      <c r="H904" s="601"/>
      <c r="I904" s="100"/>
      <c r="J904" s="583"/>
      <c r="K904" s="100"/>
      <c r="L904" s="579"/>
      <c r="M904" s="87"/>
      <c r="N904" s="87"/>
      <c r="O904" s="87"/>
      <c r="P904" s="87"/>
      <c r="Q904" s="87"/>
      <c r="R904" s="87"/>
      <c r="S904" s="87"/>
      <c r="T904" s="87"/>
      <c r="U904" s="87"/>
      <c r="V904" s="87"/>
      <c r="W904" s="87"/>
      <c r="X904" s="87"/>
      <c r="Y904" s="87"/>
    </row>
    <row r="905">
      <c r="A905" s="100"/>
      <c r="B905" s="579"/>
      <c r="C905" s="100"/>
      <c r="D905" s="579"/>
      <c r="E905" s="100"/>
      <c r="F905" s="579"/>
      <c r="G905" s="100"/>
      <c r="H905" s="601"/>
      <c r="I905" s="100"/>
      <c r="J905" s="583"/>
      <c r="K905" s="100"/>
      <c r="L905" s="579"/>
      <c r="M905" s="87"/>
      <c r="N905" s="87"/>
      <c r="O905" s="87"/>
      <c r="P905" s="87"/>
      <c r="Q905" s="87"/>
      <c r="R905" s="87"/>
      <c r="S905" s="87"/>
      <c r="T905" s="87"/>
      <c r="U905" s="87"/>
      <c r="V905" s="87"/>
      <c r="W905" s="87"/>
      <c r="X905" s="87"/>
      <c r="Y905" s="87"/>
    </row>
    <row r="906">
      <c r="A906" s="100"/>
      <c r="B906" s="579"/>
      <c r="C906" s="100"/>
      <c r="D906" s="579"/>
      <c r="E906" s="100"/>
      <c r="F906" s="579"/>
      <c r="G906" s="100"/>
      <c r="H906" s="601"/>
      <c r="I906" s="100"/>
      <c r="J906" s="583"/>
      <c r="K906" s="100"/>
      <c r="L906" s="579"/>
      <c r="M906" s="87"/>
      <c r="N906" s="87"/>
      <c r="O906" s="87"/>
      <c r="P906" s="87"/>
      <c r="Q906" s="87"/>
      <c r="R906" s="87"/>
      <c r="S906" s="87"/>
      <c r="T906" s="87"/>
      <c r="U906" s="87"/>
      <c r="V906" s="87"/>
      <c r="W906" s="87"/>
      <c r="X906" s="87"/>
      <c r="Y906" s="87"/>
    </row>
    <row r="907">
      <c r="A907" s="100"/>
      <c r="B907" s="579"/>
      <c r="C907" s="100"/>
      <c r="D907" s="579"/>
      <c r="E907" s="100"/>
      <c r="F907" s="579"/>
      <c r="G907" s="100"/>
      <c r="H907" s="601"/>
      <c r="I907" s="100"/>
      <c r="J907" s="583"/>
      <c r="K907" s="100"/>
      <c r="L907" s="579"/>
      <c r="M907" s="87"/>
      <c r="N907" s="87"/>
      <c r="O907" s="87"/>
      <c r="P907" s="87"/>
      <c r="Q907" s="87"/>
      <c r="R907" s="87"/>
      <c r="S907" s="87"/>
      <c r="T907" s="87"/>
      <c r="U907" s="87"/>
      <c r="V907" s="87"/>
      <c r="W907" s="87"/>
      <c r="X907" s="87"/>
      <c r="Y907" s="87"/>
    </row>
    <row r="908">
      <c r="A908" s="100"/>
      <c r="B908" s="579"/>
      <c r="C908" s="100"/>
      <c r="D908" s="579"/>
      <c r="E908" s="100"/>
      <c r="F908" s="579"/>
      <c r="G908" s="100"/>
      <c r="H908" s="601"/>
      <c r="I908" s="100"/>
      <c r="J908" s="583"/>
      <c r="K908" s="100"/>
      <c r="L908" s="579"/>
      <c r="M908" s="87"/>
      <c r="N908" s="87"/>
      <c r="O908" s="87"/>
      <c r="P908" s="87"/>
      <c r="Q908" s="87"/>
      <c r="R908" s="87"/>
      <c r="S908" s="87"/>
      <c r="T908" s="87"/>
      <c r="U908" s="87"/>
      <c r="V908" s="87"/>
      <c r="W908" s="87"/>
      <c r="X908" s="87"/>
      <c r="Y908" s="87"/>
    </row>
    <row r="909">
      <c r="A909" s="100"/>
      <c r="B909" s="579"/>
      <c r="C909" s="100"/>
      <c r="D909" s="579"/>
      <c r="E909" s="100"/>
      <c r="F909" s="579"/>
      <c r="G909" s="100"/>
      <c r="H909" s="601"/>
      <c r="I909" s="100"/>
      <c r="J909" s="583"/>
      <c r="K909" s="100"/>
      <c r="L909" s="579"/>
      <c r="M909" s="87"/>
      <c r="N909" s="87"/>
      <c r="O909" s="87"/>
      <c r="P909" s="87"/>
      <c r="Q909" s="87"/>
      <c r="R909" s="87"/>
      <c r="S909" s="87"/>
      <c r="T909" s="87"/>
      <c r="U909" s="87"/>
      <c r="V909" s="87"/>
      <c r="W909" s="87"/>
      <c r="X909" s="87"/>
      <c r="Y909" s="87"/>
    </row>
    <row r="910">
      <c r="A910" s="100"/>
      <c r="B910" s="579"/>
      <c r="C910" s="100"/>
      <c r="D910" s="579"/>
      <c r="E910" s="100"/>
      <c r="F910" s="579"/>
      <c r="G910" s="100"/>
      <c r="H910" s="601"/>
      <c r="I910" s="100"/>
      <c r="J910" s="583"/>
      <c r="K910" s="100"/>
      <c r="L910" s="579"/>
      <c r="M910" s="87"/>
      <c r="N910" s="87"/>
      <c r="O910" s="87"/>
      <c r="P910" s="87"/>
      <c r="Q910" s="87"/>
      <c r="R910" s="87"/>
      <c r="S910" s="87"/>
      <c r="T910" s="87"/>
      <c r="U910" s="87"/>
      <c r="V910" s="87"/>
      <c r="W910" s="87"/>
      <c r="X910" s="87"/>
      <c r="Y910" s="87"/>
    </row>
    <row r="911">
      <c r="A911" s="100"/>
      <c r="B911" s="579"/>
      <c r="C911" s="100"/>
      <c r="D911" s="579"/>
      <c r="E911" s="100"/>
      <c r="F911" s="579"/>
      <c r="G911" s="100"/>
      <c r="H911" s="601"/>
      <c r="I911" s="100"/>
      <c r="J911" s="583"/>
      <c r="K911" s="100"/>
      <c r="L911" s="579"/>
      <c r="M911" s="87"/>
      <c r="N911" s="87"/>
      <c r="O911" s="87"/>
      <c r="P911" s="87"/>
      <c r="Q911" s="87"/>
      <c r="R911" s="87"/>
      <c r="S911" s="87"/>
      <c r="T911" s="87"/>
      <c r="U911" s="87"/>
      <c r="V911" s="87"/>
      <c r="W911" s="87"/>
      <c r="X911" s="87"/>
      <c r="Y911" s="87"/>
    </row>
    <row r="912">
      <c r="A912" s="100"/>
      <c r="B912" s="579"/>
      <c r="C912" s="100"/>
      <c r="D912" s="579"/>
      <c r="E912" s="100"/>
      <c r="F912" s="579"/>
      <c r="G912" s="100"/>
      <c r="H912" s="601"/>
      <c r="I912" s="100"/>
      <c r="J912" s="583"/>
      <c r="K912" s="100"/>
      <c r="L912" s="579"/>
      <c r="M912" s="87"/>
      <c r="N912" s="87"/>
      <c r="O912" s="87"/>
      <c r="P912" s="87"/>
      <c r="Q912" s="87"/>
      <c r="R912" s="87"/>
      <c r="S912" s="87"/>
      <c r="T912" s="87"/>
      <c r="U912" s="87"/>
      <c r="V912" s="87"/>
      <c r="W912" s="87"/>
      <c r="X912" s="87"/>
      <c r="Y912" s="87"/>
    </row>
    <row r="913">
      <c r="A913" s="100"/>
      <c r="B913" s="579"/>
      <c r="C913" s="100"/>
      <c r="D913" s="579"/>
      <c r="E913" s="100"/>
      <c r="F913" s="579"/>
      <c r="G913" s="100"/>
      <c r="H913" s="601"/>
      <c r="I913" s="100"/>
      <c r="J913" s="583"/>
      <c r="K913" s="100"/>
      <c r="L913" s="579"/>
      <c r="M913" s="87"/>
      <c r="N913" s="87"/>
      <c r="O913" s="87"/>
      <c r="P913" s="87"/>
      <c r="Q913" s="87"/>
      <c r="R913" s="87"/>
      <c r="S913" s="87"/>
      <c r="T913" s="87"/>
      <c r="U913" s="87"/>
      <c r="V913" s="87"/>
      <c r="W913" s="87"/>
      <c r="X913" s="87"/>
      <c r="Y913" s="87"/>
    </row>
    <row r="914">
      <c r="A914" s="100"/>
      <c r="B914" s="579"/>
      <c r="C914" s="100"/>
      <c r="D914" s="579"/>
      <c r="E914" s="100"/>
      <c r="F914" s="579"/>
      <c r="G914" s="100"/>
      <c r="H914" s="601"/>
      <c r="I914" s="100"/>
      <c r="J914" s="583"/>
      <c r="K914" s="100"/>
      <c r="L914" s="579"/>
      <c r="M914" s="87"/>
      <c r="N914" s="87"/>
      <c r="O914" s="87"/>
      <c r="P914" s="87"/>
      <c r="Q914" s="87"/>
      <c r="R914" s="87"/>
      <c r="S914" s="87"/>
      <c r="T914" s="87"/>
      <c r="U914" s="87"/>
      <c r="V914" s="87"/>
      <c r="W914" s="87"/>
      <c r="X914" s="87"/>
      <c r="Y914" s="87"/>
    </row>
    <row r="915">
      <c r="A915" s="100"/>
      <c r="B915" s="579"/>
      <c r="C915" s="100"/>
      <c r="D915" s="579"/>
      <c r="E915" s="100"/>
      <c r="F915" s="579"/>
      <c r="G915" s="100"/>
      <c r="H915" s="601"/>
      <c r="I915" s="100"/>
      <c r="J915" s="583"/>
      <c r="K915" s="100"/>
      <c r="L915" s="579"/>
      <c r="M915" s="87"/>
      <c r="N915" s="87"/>
      <c r="O915" s="87"/>
      <c r="P915" s="87"/>
      <c r="Q915" s="87"/>
      <c r="R915" s="87"/>
      <c r="S915" s="87"/>
      <c r="T915" s="87"/>
      <c r="U915" s="87"/>
      <c r="V915" s="87"/>
      <c r="W915" s="87"/>
      <c r="X915" s="87"/>
      <c r="Y915" s="87"/>
    </row>
    <row r="916">
      <c r="A916" s="100"/>
      <c r="B916" s="579"/>
      <c r="C916" s="100"/>
      <c r="D916" s="579"/>
      <c r="E916" s="100"/>
      <c r="F916" s="579"/>
      <c r="G916" s="100"/>
      <c r="H916" s="601"/>
      <c r="I916" s="100"/>
      <c r="J916" s="583"/>
      <c r="K916" s="100"/>
      <c r="L916" s="579"/>
      <c r="M916" s="87"/>
      <c r="N916" s="87"/>
      <c r="O916" s="87"/>
      <c r="P916" s="87"/>
      <c r="Q916" s="87"/>
      <c r="R916" s="87"/>
      <c r="S916" s="87"/>
      <c r="T916" s="87"/>
      <c r="U916" s="87"/>
      <c r="V916" s="87"/>
      <c r="W916" s="87"/>
      <c r="X916" s="87"/>
      <c r="Y916" s="87"/>
    </row>
    <row r="917">
      <c r="A917" s="100"/>
      <c r="B917" s="579"/>
      <c r="C917" s="100"/>
      <c r="D917" s="579"/>
      <c r="E917" s="100"/>
      <c r="F917" s="579"/>
      <c r="G917" s="100"/>
      <c r="H917" s="601"/>
      <c r="I917" s="100"/>
      <c r="J917" s="583"/>
      <c r="K917" s="100"/>
      <c r="L917" s="579"/>
      <c r="M917" s="87"/>
      <c r="N917" s="87"/>
      <c r="O917" s="87"/>
      <c r="P917" s="87"/>
      <c r="Q917" s="87"/>
      <c r="R917" s="87"/>
      <c r="S917" s="87"/>
      <c r="T917" s="87"/>
      <c r="U917" s="87"/>
      <c r="V917" s="87"/>
      <c r="W917" s="87"/>
      <c r="X917" s="87"/>
      <c r="Y917" s="87"/>
    </row>
    <row r="918">
      <c r="A918" s="100"/>
      <c r="B918" s="579"/>
      <c r="C918" s="100"/>
      <c r="D918" s="579"/>
      <c r="E918" s="100"/>
      <c r="F918" s="579"/>
      <c r="G918" s="100"/>
      <c r="H918" s="601"/>
      <c r="I918" s="100"/>
      <c r="J918" s="583"/>
      <c r="K918" s="100"/>
      <c r="L918" s="579"/>
      <c r="M918" s="87"/>
      <c r="N918" s="87"/>
      <c r="O918" s="87"/>
      <c r="P918" s="87"/>
      <c r="Q918" s="87"/>
      <c r="R918" s="87"/>
      <c r="S918" s="87"/>
      <c r="T918" s="87"/>
      <c r="U918" s="87"/>
      <c r="V918" s="87"/>
      <c r="W918" s="87"/>
      <c r="X918" s="87"/>
      <c r="Y918" s="87"/>
    </row>
    <row r="919">
      <c r="A919" s="100"/>
      <c r="B919" s="579"/>
      <c r="C919" s="100"/>
      <c r="D919" s="579"/>
      <c r="E919" s="100"/>
      <c r="F919" s="579"/>
      <c r="G919" s="100"/>
      <c r="H919" s="601"/>
      <c r="I919" s="100"/>
      <c r="J919" s="583"/>
      <c r="K919" s="100"/>
      <c r="L919" s="579"/>
      <c r="M919" s="87"/>
      <c r="N919" s="87"/>
      <c r="O919" s="87"/>
      <c r="P919" s="87"/>
      <c r="Q919" s="87"/>
      <c r="R919" s="87"/>
      <c r="S919" s="87"/>
      <c r="T919" s="87"/>
      <c r="U919" s="87"/>
      <c r="V919" s="87"/>
      <c r="W919" s="87"/>
      <c r="X919" s="87"/>
      <c r="Y919" s="87"/>
    </row>
    <row r="920">
      <c r="A920" s="100"/>
      <c r="B920" s="579"/>
      <c r="C920" s="100"/>
      <c r="D920" s="579"/>
      <c r="E920" s="100"/>
      <c r="F920" s="579"/>
      <c r="G920" s="100"/>
      <c r="H920" s="601"/>
      <c r="I920" s="100"/>
      <c r="J920" s="583"/>
      <c r="K920" s="100"/>
      <c r="L920" s="579"/>
      <c r="M920" s="87"/>
      <c r="N920" s="87"/>
      <c r="O920" s="87"/>
      <c r="P920" s="87"/>
      <c r="Q920" s="87"/>
      <c r="R920" s="87"/>
      <c r="S920" s="87"/>
      <c r="T920" s="87"/>
      <c r="U920" s="87"/>
      <c r="V920" s="87"/>
      <c r="W920" s="87"/>
      <c r="X920" s="87"/>
      <c r="Y920" s="87"/>
    </row>
    <row r="921">
      <c r="A921" s="100"/>
      <c r="B921" s="579"/>
      <c r="C921" s="100"/>
      <c r="D921" s="579"/>
      <c r="E921" s="100"/>
      <c r="F921" s="579"/>
      <c r="G921" s="100"/>
      <c r="H921" s="601"/>
      <c r="I921" s="100"/>
      <c r="J921" s="583"/>
      <c r="K921" s="100"/>
      <c r="L921" s="579"/>
      <c r="M921" s="87"/>
      <c r="N921" s="87"/>
      <c r="O921" s="87"/>
      <c r="P921" s="87"/>
      <c r="Q921" s="87"/>
      <c r="R921" s="87"/>
      <c r="S921" s="87"/>
      <c r="T921" s="87"/>
      <c r="U921" s="87"/>
      <c r="V921" s="87"/>
      <c r="W921" s="87"/>
      <c r="X921" s="87"/>
      <c r="Y921" s="87"/>
    </row>
    <row r="922">
      <c r="A922" s="100"/>
      <c r="B922" s="579"/>
      <c r="C922" s="100"/>
      <c r="D922" s="579"/>
      <c r="E922" s="100"/>
      <c r="F922" s="579"/>
      <c r="G922" s="100"/>
      <c r="H922" s="601"/>
      <c r="I922" s="100"/>
      <c r="J922" s="583"/>
      <c r="K922" s="100"/>
      <c r="L922" s="579"/>
      <c r="M922" s="87"/>
      <c r="N922" s="87"/>
      <c r="O922" s="87"/>
      <c r="P922" s="87"/>
      <c r="Q922" s="87"/>
      <c r="R922" s="87"/>
      <c r="S922" s="87"/>
      <c r="T922" s="87"/>
      <c r="U922" s="87"/>
      <c r="V922" s="87"/>
      <c r="W922" s="87"/>
      <c r="X922" s="87"/>
      <c r="Y922" s="87"/>
    </row>
    <row r="923">
      <c r="A923" s="100"/>
      <c r="B923" s="579"/>
      <c r="C923" s="100"/>
      <c r="D923" s="579"/>
      <c r="E923" s="100"/>
      <c r="F923" s="579"/>
      <c r="G923" s="100"/>
      <c r="H923" s="601"/>
      <c r="I923" s="100"/>
      <c r="J923" s="583"/>
      <c r="K923" s="100"/>
      <c r="L923" s="579"/>
      <c r="M923" s="87"/>
      <c r="N923" s="87"/>
      <c r="O923" s="87"/>
      <c r="P923" s="87"/>
      <c r="Q923" s="87"/>
      <c r="R923" s="87"/>
      <c r="S923" s="87"/>
      <c r="T923" s="87"/>
      <c r="U923" s="87"/>
      <c r="V923" s="87"/>
      <c r="W923" s="87"/>
      <c r="X923" s="87"/>
      <c r="Y923" s="87"/>
    </row>
    <row r="924">
      <c r="A924" s="100"/>
      <c r="B924" s="579"/>
      <c r="C924" s="100"/>
      <c r="D924" s="579"/>
      <c r="E924" s="100"/>
      <c r="F924" s="579"/>
      <c r="G924" s="100"/>
      <c r="H924" s="601"/>
      <c r="I924" s="100"/>
      <c r="J924" s="583"/>
      <c r="K924" s="100"/>
      <c r="L924" s="579"/>
      <c r="M924" s="87"/>
      <c r="N924" s="87"/>
      <c r="O924" s="87"/>
      <c r="P924" s="87"/>
      <c r="Q924" s="87"/>
      <c r="R924" s="87"/>
      <c r="S924" s="87"/>
      <c r="T924" s="87"/>
      <c r="U924" s="87"/>
      <c r="V924" s="87"/>
      <c r="W924" s="87"/>
      <c r="X924" s="87"/>
      <c r="Y924" s="87"/>
    </row>
    <row r="925">
      <c r="A925" s="100"/>
      <c r="B925" s="579"/>
      <c r="C925" s="100"/>
      <c r="D925" s="579"/>
      <c r="E925" s="100"/>
      <c r="F925" s="579"/>
      <c r="G925" s="100"/>
      <c r="H925" s="601"/>
      <c r="I925" s="100"/>
      <c r="J925" s="583"/>
      <c r="K925" s="100"/>
      <c r="L925" s="579"/>
      <c r="M925" s="87"/>
      <c r="N925" s="87"/>
      <c r="O925" s="87"/>
      <c r="P925" s="87"/>
      <c r="Q925" s="87"/>
      <c r="R925" s="87"/>
      <c r="S925" s="87"/>
      <c r="T925" s="87"/>
      <c r="U925" s="87"/>
      <c r="V925" s="87"/>
      <c r="W925" s="87"/>
      <c r="X925" s="87"/>
      <c r="Y925" s="87"/>
    </row>
    <row r="926">
      <c r="A926" s="100"/>
      <c r="B926" s="579"/>
      <c r="C926" s="100"/>
      <c r="D926" s="579"/>
      <c r="E926" s="100"/>
      <c r="F926" s="579"/>
      <c r="G926" s="100"/>
      <c r="H926" s="601"/>
      <c r="I926" s="100"/>
      <c r="J926" s="583"/>
      <c r="K926" s="100"/>
      <c r="L926" s="579"/>
      <c r="M926" s="87"/>
      <c r="N926" s="87"/>
      <c r="O926" s="87"/>
      <c r="P926" s="87"/>
      <c r="Q926" s="87"/>
      <c r="R926" s="87"/>
      <c r="S926" s="87"/>
      <c r="T926" s="87"/>
      <c r="U926" s="87"/>
      <c r="V926" s="87"/>
      <c r="W926" s="87"/>
      <c r="X926" s="87"/>
      <c r="Y926" s="87"/>
    </row>
    <row r="927">
      <c r="A927" s="100"/>
      <c r="B927" s="579"/>
      <c r="C927" s="100"/>
      <c r="D927" s="579"/>
      <c r="E927" s="100"/>
      <c r="F927" s="579"/>
      <c r="G927" s="100"/>
      <c r="H927" s="601"/>
      <c r="I927" s="100"/>
      <c r="J927" s="583"/>
      <c r="K927" s="100"/>
      <c r="L927" s="579"/>
      <c r="M927" s="87"/>
      <c r="N927" s="87"/>
      <c r="O927" s="87"/>
      <c r="P927" s="87"/>
      <c r="Q927" s="87"/>
      <c r="R927" s="87"/>
      <c r="S927" s="87"/>
      <c r="T927" s="87"/>
      <c r="U927" s="87"/>
      <c r="V927" s="87"/>
      <c r="W927" s="87"/>
      <c r="X927" s="87"/>
      <c r="Y927" s="87"/>
    </row>
    <row r="928">
      <c r="A928" s="100"/>
      <c r="B928" s="579"/>
      <c r="C928" s="100"/>
      <c r="D928" s="579"/>
      <c r="E928" s="100"/>
      <c r="F928" s="579"/>
      <c r="G928" s="100"/>
      <c r="H928" s="601"/>
      <c r="I928" s="100"/>
      <c r="J928" s="583"/>
      <c r="K928" s="100"/>
      <c r="L928" s="579"/>
      <c r="M928" s="87"/>
      <c r="N928" s="87"/>
      <c r="O928" s="87"/>
      <c r="P928" s="87"/>
      <c r="Q928" s="87"/>
      <c r="R928" s="87"/>
      <c r="S928" s="87"/>
      <c r="T928" s="87"/>
      <c r="U928" s="87"/>
      <c r="V928" s="87"/>
      <c r="W928" s="87"/>
      <c r="X928" s="87"/>
      <c r="Y928" s="87"/>
    </row>
    <row r="929">
      <c r="A929" s="100"/>
      <c r="B929" s="579"/>
      <c r="C929" s="100"/>
      <c r="D929" s="579"/>
      <c r="E929" s="100"/>
      <c r="F929" s="579"/>
      <c r="G929" s="100"/>
      <c r="H929" s="601"/>
      <c r="I929" s="100"/>
      <c r="J929" s="583"/>
      <c r="K929" s="100"/>
      <c r="L929" s="579"/>
      <c r="M929" s="87"/>
      <c r="N929" s="87"/>
      <c r="O929" s="87"/>
      <c r="P929" s="87"/>
      <c r="Q929" s="87"/>
      <c r="R929" s="87"/>
      <c r="S929" s="87"/>
      <c r="T929" s="87"/>
      <c r="U929" s="87"/>
      <c r="V929" s="87"/>
      <c r="W929" s="87"/>
      <c r="X929" s="87"/>
      <c r="Y929" s="87"/>
    </row>
    <row r="930">
      <c r="A930" s="100"/>
      <c r="B930" s="579"/>
      <c r="C930" s="100"/>
      <c r="D930" s="579"/>
      <c r="E930" s="100"/>
      <c r="F930" s="579"/>
      <c r="G930" s="100"/>
      <c r="H930" s="601"/>
      <c r="I930" s="100"/>
      <c r="J930" s="583"/>
      <c r="K930" s="100"/>
      <c r="L930" s="579"/>
      <c r="M930" s="87"/>
      <c r="N930" s="87"/>
      <c r="O930" s="87"/>
      <c r="P930" s="87"/>
      <c r="Q930" s="87"/>
      <c r="R930" s="87"/>
      <c r="S930" s="87"/>
      <c r="T930" s="87"/>
      <c r="U930" s="87"/>
      <c r="V930" s="87"/>
      <c r="W930" s="87"/>
      <c r="X930" s="87"/>
      <c r="Y930" s="87"/>
    </row>
    <row r="931">
      <c r="A931" s="100"/>
      <c r="B931" s="579"/>
      <c r="C931" s="100"/>
      <c r="D931" s="579"/>
      <c r="E931" s="100"/>
      <c r="F931" s="579"/>
      <c r="G931" s="100"/>
      <c r="H931" s="601"/>
      <c r="I931" s="100"/>
      <c r="J931" s="583"/>
      <c r="K931" s="100"/>
      <c r="L931" s="579"/>
      <c r="M931" s="87"/>
      <c r="N931" s="87"/>
      <c r="O931" s="87"/>
      <c r="P931" s="87"/>
      <c r="Q931" s="87"/>
      <c r="R931" s="87"/>
      <c r="S931" s="87"/>
      <c r="T931" s="87"/>
      <c r="U931" s="87"/>
      <c r="V931" s="87"/>
      <c r="W931" s="87"/>
      <c r="X931" s="87"/>
      <c r="Y931" s="87"/>
    </row>
    <row r="932">
      <c r="A932" s="100"/>
      <c r="B932" s="579"/>
      <c r="C932" s="100"/>
      <c r="D932" s="579"/>
      <c r="E932" s="100"/>
      <c r="F932" s="579"/>
      <c r="G932" s="100"/>
      <c r="H932" s="601"/>
      <c r="I932" s="100"/>
      <c r="J932" s="583"/>
      <c r="K932" s="100"/>
      <c r="L932" s="579"/>
      <c r="M932" s="87"/>
      <c r="N932" s="87"/>
      <c r="O932" s="87"/>
      <c r="P932" s="87"/>
      <c r="Q932" s="87"/>
      <c r="R932" s="87"/>
      <c r="S932" s="87"/>
      <c r="T932" s="87"/>
      <c r="U932" s="87"/>
      <c r="V932" s="87"/>
      <c r="W932" s="87"/>
      <c r="X932" s="87"/>
      <c r="Y932" s="87"/>
    </row>
    <row r="933">
      <c r="A933" s="100"/>
      <c r="B933" s="579"/>
      <c r="C933" s="100"/>
      <c r="D933" s="579"/>
      <c r="E933" s="100"/>
      <c r="F933" s="579"/>
      <c r="G933" s="100"/>
      <c r="H933" s="601"/>
      <c r="I933" s="100"/>
      <c r="J933" s="583"/>
      <c r="K933" s="100"/>
      <c r="L933" s="579"/>
      <c r="M933" s="87"/>
      <c r="N933" s="87"/>
      <c r="O933" s="87"/>
      <c r="P933" s="87"/>
      <c r="Q933" s="87"/>
      <c r="R933" s="87"/>
      <c r="S933" s="87"/>
      <c r="T933" s="87"/>
      <c r="U933" s="87"/>
      <c r="V933" s="87"/>
      <c r="W933" s="87"/>
      <c r="X933" s="87"/>
      <c r="Y933" s="87"/>
    </row>
    <row r="934">
      <c r="A934" s="100"/>
      <c r="B934" s="579"/>
      <c r="C934" s="100"/>
      <c r="D934" s="579"/>
      <c r="E934" s="100"/>
      <c r="F934" s="579"/>
      <c r="G934" s="100"/>
      <c r="H934" s="601"/>
      <c r="I934" s="100"/>
      <c r="J934" s="583"/>
      <c r="K934" s="100"/>
      <c r="L934" s="579"/>
      <c r="M934" s="87"/>
      <c r="N934" s="87"/>
      <c r="O934" s="87"/>
      <c r="P934" s="87"/>
      <c r="Q934" s="87"/>
      <c r="R934" s="87"/>
      <c r="S934" s="87"/>
      <c r="T934" s="87"/>
      <c r="U934" s="87"/>
      <c r="V934" s="87"/>
      <c r="W934" s="87"/>
      <c r="X934" s="87"/>
      <c r="Y934" s="87"/>
    </row>
    <row r="935">
      <c r="A935" s="100"/>
      <c r="B935" s="579"/>
      <c r="C935" s="100"/>
      <c r="D935" s="579"/>
      <c r="E935" s="100"/>
      <c r="F935" s="579"/>
      <c r="G935" s="100"/>
      <c r="H935" s="601"/>
      <c r="I935" s="100"/>
      <c r="J935" s="583"/>
      <c r="K935" s="100"/>
      <c r="L935" s="579"/>
      <c r="M935" s="87"/>
      <c r="N935" s="87"/>
      <c r="O935" s="87"/>
      <c r="P935" s="87"/>
      <c r="Q935" s="87"/>
      <c r="R935" s="87"/>
      <c r="S935" s="87"/>
      <c r="T935" s="87"/>
      <c r="U935" s="87"/>
      <c r="V935" s="87"/>
      <c r="W935" s="87"/>
      <c r="X935" s="87"/>
      <c r="Y935" s="87"/>
    </row>
    <row r="936">
      <c r="A936" s="100"/>
      <c r="B936" s="579"/>
      <c r="C936" s="100"/>
      <c r="D936" s="579"/>
      <c r="E936" s="100"/>
      <c r="F936" s="579"/>
      <c r="G936" s="100"/>
      <c r="H936" s="601"/>
      <c r="I936" s="100"/>
      <c r="J936" s="583"/>
      <c r="K936" s="100"/>
      <c r="L936" s="579"/>
      <c r="M936" s="87"/>
      <c r="N936" s="87"/>
      <c r="O936" s="87"/>
      <c r="P936" s="87"/>
      <c r="Q936" s="87"/>
      <c r="R936" s="87"/>
      <c r="S936" s="87"/>
      <c r="T936" s="87"/>
      <c r="U936" s="87"/>
      <c r="V936" s="87"/>
      <c r="W936" s="87"/>
      <c r="X936" s="87"/>
      <c r="Y936" s="87"/>
    </row>
    <row r="937">
      <c r="A937" s="100"/>
      <c r="B937" s="579"/>
      <c r="C937" s="100"/>
      <c r="D937" s="579"/>
      <c r="E937" s="100"/>
      <c r="F937" s="579"/>
      <c r="G937" s="100"/>
      <c r="H937" s="601"/>
      <c r="I937" s="100"/>
      <c r="J937" s="583"/>
      <c r="K937" s="100"/>
      <c r="L937" s="579"/>
      <c r="M937" s="87"/>
      <c r="N937" s="87"/>
      <c r="O937" s="87"/>
      <c r="P937" s="87"/>
      <c r="Q937" s="87"/>
      <c r="R937" s="87"/>
      <c r="S937" s="87"/>
      <c r="T937" s="87"/>
      <c r="U937" s="87"/>
      <c r="V937" s="87"/>
      <c r="W937" s="87"/>
      <c r="X937" s="87"/>
      <c r="Y937" s="87"/>
    </row>
    <row r="938">
      <c r="A938" s="100"/>
      <c r="B938" s="579"/>
      <c r="C938" s="100"/>
      <c r="D938" s="579"/>
      <c r="E938" s="100"/>
      <c r="F938" s="579"/>
      <c r="G938" s="100"/>
      <c r="H938" s="601"/>
      <c r="I938" s="100"/>
      <c r="J938" s="583"/>
      <c r="K938" s="100"/>
      <c r="L938" s="579"/>
      <c r="M938" s="87"/>
      <c r="N938" s="87"/>
      <c r="O938" s="87"/>
      <c r="P938" s="87"/>
      <c r="Q938" s="87"/>
      <c r="R938" s="87"/>
      <c r="S938" s="87"/>
      <c r="T938" s="87"/>
      <c r="U938" s="87"/>
      <c r="V938" s="87"/>
      <c r="W938" s="87"/>
      <c r="X938" s="87"/>
      <c r="Y938" s="87"/>
    </row>
    <row r="939">
      <c r="A939" s="100"/>
      <c r="B939" s="579"/>
      <c r="C939" s="100"/>
      <c r="D939" s="579"/>
      <c r="E939" s="100"/>
      <c r="F939" s="579"/>
      <c r="G939" s="100"/>
      <c r="H939" s="601"/>
      <c r="I939" s="100"/>
      <c r="J939" s="583"/>
      <c r="K939" s="100"/>
      <c r="L939" s="579"/>
      <c r="M939" s="87"/>
      <c r="N939" s="87"/>
      <c r="O939" s="87"/>
      <c r="P939" s="87"/>
      <c r="Q939" s="87"/>
      <c r="R939" s="87"/>
      <c r="S939" s="87"/>
      <c r="T939" s="87"/>
      <c r="U939" s="87"/>
      <c r="V939" s="87"/>
      <c r="W939" s="87"/>
      <c r="X939" s="87"/>
      <c r="Y939" s="87"/>
    </row>
    <row r="940">
      <c r="A940" s="100"/>
      <c r="B940" s="579"/>
      <c r="C940" s="100"/>
      <c r="D940" s="579"/>
      <c r="E940" s="100"/>
      <c r="F940" s="579"/>
      <c r="G940" s="100"/>
      <c r="H940" s="601"/>
      <c r="I940" s="100"/>
      <c r="J940" s="583"/>
      <c r="K940" s="100"/>
      <c r="L940" s="579"/>
      <c r="M940" s="87"/>
      <c r="N940" s="87"/>
      <c r="O940" s="87"/>
      <c r="P940" s="87"/>
      <c r="Q940" s="87"/>
      <c r="R940" s="87"/>
      <c r="S940" s="87"/>
      <c r="T940" s="87"/>
      <c r="U940" s="87"/>
      <c r="V940" s="87"/>
      <c r="W940" s="87"/>
      <c r="X940" s="87"/>
      <c r="Y940" s="87"/>
    </row>
    <row r="941">
      <c r="A941" s="100"/>
      <c r="B941" s="579"/>
      <c r="C941" s="100"/>
      <c r="D941" s="579"/>
      <c r="E941" s="100"/>
      <c r="F941" s="579"/>
      <c r="G941" s="100"/>
      <c r="H941" s="601"/>
      <c r="I941" s="100"/>
      <c r="J941" s="583"/>
      <c r="K941" s="100"/>
      <c r="L941" s="579"/>
      <c r="M941" s="87"/>
      <c r="N941" s="87"/>
      <c r="O941" s="87"/>
      <c r="P941" s="87"/>
      <c r="Q941" s="87"/>
      <c r="R941" s="87"/>
      <c r="S941" s="87"/>
      <c r="T941" s="87"/>
      <c r="U941" s="87"/>
      <c r="V941" s="87"/>
      <c r="W941" s="87"/>
      <c r="X941" s="87"/>
      <c r="Y941" s="87"/>
    </row>
    <row r="942">
      <c r="A942" s="100"/>
      <c r="B942" s="579"/>
      <c r="C942" s="100"/>
      <c r="D942" s="579"/>
      <c r="E942" s="100"/>
      <c r="F942" s="579"/>
      <c r="G942" s="100"/>
      <c r="H942" s="601"/>
      <c r="I942" s="100"/>
      <c r="J942" s="583"/>
      <c r="K942" s="100"/>
      <c r="L942" s="579"/>
      <c r="M942" s="87"/>
      <c r="N942" s="87"/>
      <c r="O942" s="87"/>
      <c r="P942" s="87"/>
      <c r="Q942" s="87"/>
      <c r="R942" s="87"/>
      <c r="S942" s="87"/>
      <c r="T942" s="87"/>
      <c r="U942" s="87"/>
      <c r="V942" s="87"/>
      <c r="W942" s="87"/>
      <c r="X942" s="87"/>
      <c r="Y942" s="87"/>
    </row>
    <row r="943">
      <c r="A943" s="100"/>
      <c r="B943" s="579"/>
      <c r="C943" s="100"/>
      <c r="D943" s="579"/>
      <c r="E943" s="100"/>
      <c r="F943" s="579"/>
      <c r="G943" s="100"/>
      <c r="H943" s="601"/>
      <c r="I943" s="100"/>
      <c r="J943" s="583"/>
      <c r="K943" s="100"/>
      <c r="L943" s="579"/>
      <c r="M943" s="87"/>
      <c r="N943" s="87"/>
      <c r="O943" s="87"/>
      <c r="P943" s="87"/>
      <c r="Q943" s="87"/>
      <c r="R943" s="87"/>
      <c r="S943" s="87"/>
      <c r="T943" s="87"/>
      <c r="U943" s="87"/>
      <c r="V943" s="87"/>
      <c r="W943" s="87"/>
      <c r="X943" s="87"/>
      <c r="Y943" s="87"/>
    </row>
    <row r="944">
      <c r="A944" s="100"/>
      <c r="B944" s="579"/>
      <c r="C944" s="100"/>
      <c r="D944" s="579"/>
      <c r="E944" s="100"/>
      <c r="F944" s="579"/>
      <c r="G944" s="100"/>
      <c r="H944" s="601"/>
      <c r="I944" s="100"/>
      <c r="J944" s="583"/>
      <c r="K944" s="100"/>
      <c r="L944" s="579"/>
      <c r="M944" s="87"/>
      <c r="N944" s="87"/>
      <c r="O944" s="87"/>
      <c r="P944" s="87"/>
      <c r="Q944" s="87"/>
      <c r="R944" s="87"/>
      <c r="S944" s="87"/>
      <c r="T944" s="87"/>
      <c r="U944" s="87"/>
      <c r="V944" s="87"/>
      <c r="W944" s="87"/>
      <c r="X944" s="87"/>
      <c r="Y944" s="87"/>
    </row>
    <row r="945">
      <c r="A945" s="100"/>
      <c r="B945" s="579"/>
      <c r="C945" s="100"/>
      <c r="D945" s="579"/>
      <c r="E945" s="100"/>
      <c r="F945" s="579"/>
      <c r="G945" s="100"/>
      <c r="H945" s="601"/>
      <c r="I945" s="100"/>
      <c r="J945" s="583"/>
      <c r="K945" s="100"/>
      <c r="L945" s="579"/>
      <c r="M945" s="87"/>
      <c r="N945" s="87"/>
      <c r="O945" s="87"/>
      <c r="P945" s="87"/>
      <c r="Q945" s="87"/>
      <c r="R945" s="87"/>
      <c r="S945" s="87"/>
      <c r="T945" s="87"/>
      <c r="U945" s="87"/>
      <c r="V945" s="87"/>
      <c r="W945" s="87"/>
      <c r="X945" s="87"/>
      <c r="Y945" s="87"/>
    </row>
    <row r="946">
      <c r="A946" s="100"/>
      <c r="B946" s="579"/>
      <c r="C946" s="100"/>
      <c r="D946" s="579"/>
      <c r="E946" s="100"/>
      <c r="F946" s="579"/>
      <c r="G946" s="100"/>
      <c r="H946" s="601"/>
      <c r="I946" s="100"/>
      <c r="J946" s="583"/>
      <c r="K946" s="100"/>
      <c r="L946" s="579"/>
      <c r="M946" s="87"/>
      <c r="N946" s="87"/>
      <c r="O946" s="87"/>
      <c r="P946" s="87"/>
      <c r="Q946" s="87"/>
      <c r="R946" s="87"/>
      <c r="S946" s="87"/>
      <c r="T946" s="87"/>
      <c r="U946" s="87"/>
      <c r="V946" s="87"/>
      <c r="W946" s="87"/>
      <c r="X946" s="87"/>
      <c r="Y946" s="87"/>
    </row>
    <row r="947">
      <c r="A947" s="100"/>
      <c r="B947" s="579"/>
      <c r="C947" s="100"/>
      <c r="D947" s="579"/>
      <c r="E947" s="100"/>
      <c r="F947" s="579"/>
      <c r="G947" s="100"/>
      <c r="H947" s="601"/>
      <c r="I947" s="100"/>
      <c r="J947" s="583"/>
      <c r="K947" s="100"/>
      <c r="L947" s="579"/>
      <c r="M947" s="87"/>
      <c r="N947" s="87"/>
      <c r="O947" s="87"/>
      <c r="P947" s="87"/>
      <c r="Q947" s="87"/>
      <c r="R947" s="87"/>
      <c r="S947" s="87"/>
      <c r="T947" s="87"/>
      <c r="U947" s="87"/>
      <c r="V947" s="87"/>
      <c r="W947" s="87"/>
      <c r="X947" s="87"/>
      <c r="Y947" s="87"/>
    </row>
    <row r="948">
      <c r="A948" s="100"/>
      <c r="B948" s="579"/>
      <c r="C948" s="100"/>
      <c r="D948" s="579"/>
      <c r="E948" s="100"/>
      <c r="F948" s="579"/>
      <c r="G948" s="100"/>
      <c r="H948" s="601"/>
      <c r="I948" s="100"/>
      <c r="J948" s="583"/>
      <c r="K948" s="100"/>
      <c r="L948" s="579"/>
      <c r="M948" s="87"/>
      <c r="N948" s="87"/>
      <c r="O948" s="87"/>
      <c r="P948" s="87"/>
      <c r="Q948" s="87"/>
      <c r="R948" s="87"/>
      <c r="S948" s="87"/>
      <c r="T948" s="87"/>
      <c r="U948" s="87"/>
      <c r="V948" s="87"/>
      <c r="W948" s="87"/>
      <c r="X948" s="87"/>
      <c r="Y948" s="87"/>
    </row>
    <row r="949">
      <c r="A949" s="100"/>
      <c r="B949" s="579"/>
      <c r="C949" s="100"/>
      <c r="D949" s="579"/>
      <c r="E949" s="100"/>
      <c r="F949" s="579"/>
      <c r="G949" s="100"/>
      <c r="H949" s="601"/>
      <c r="I949" s="100"/>
      <c r="J949" s="583"/>
      <c r="K949" s="100"/>
      <c r="L949" s="579"/>
      <c r="M949" s="87"/>
      <c r="N949" s="87"/>
      <c r="O949" s="87"/>
      <c r="P949" s="87"/>
      <c r="Q949" s="87"/>
      <c r="R949" s="87"/>
      <c r="S949" s="87"/>
      <c r="T949" s="87"/>
      <c r="U949" s="87"/>
      <c r="V949" s="87"/>
      <c r="W949" s="87"/>
      <c r="X949" s="87"/>
      <c r="Y949" s="87"/>
    </row>
    <row r="950">
      <c r="A950" s="100"/>
      <c r="B950" s="579"/>
      <c r="C950" s="100"/>
      <c r="D950" s="579"/>
      <c r="E950" s="100"/>
      <c r="F950" s="579"/>
      <c r="G950" s="100"/>
      <c r="H950" s="601"/>
      <c r="I950" s="100"/>
      <c r="J950" s="583"/>
      <c r="K950" s="100"/>
      <c r="L950" s="579"/>
      <c r="M950" s="87"/>
      <c r="N950" s="87"/>
      <c r="O950" s="87"/>
      <c r="P950" s="87"/>
      <c r="Q950" s="87"/>
      <c r="R950" s="87"/>
      <c r="S950" s="87"/>
      <c r="T950" s="87"/>
      <c r="U950" s="87"/>
      <c r="V950" s="87"/>
      <c r="W950" s="87"/>
      <c r="X950" s="87"/>
      <c r="Y950" s="87"/>
    </row>
    <row r="951">
      <c r="A951" s="100"/>
      <c r="B951" s="579"/>
      <c r="C951" s="100"/>
      <c r="D951" s="579"/>
      <c r="E951" s="100"/>
      <c r="F951" s="579"/>
      <c r="G951" s="100"/>
      <c r="H951" s="601"/>
      <c r="I951" s="100"/>
      <c r="J951" s="583"/>
      <c r="K951" s="100"/>
      <c r="L951" s="579"/>
      <c r="M951" s="87"/>
      <c r="N951" s="87"/>
      <c r="O951" s="87"/>
      <c r="P951" s="87"/>
      <c r="Q951" s="87"/>
      <c r="R951" s="87"/>
      <c r="S951" s="87"/>
      <c r="T951" s="87"/>
      <c r="U951" s="87"/>
      <c r="V951" s="87"/>
      <c r="W951" s="87"/>
      <c r="X951" s="87"/>
      <c r="Y951" s="87"/>
    </row>
    <row r="952">
      <c r="A952" s="100"/>
      <c r="B952" s="579"/>
      <c r="C952" s="100"/>
      <c r="D952" s="579"/>
      <c r="E952" s="100"/>
      <c r="F952" s="579"/>
      <c r="G952" s="100"/>
      <c r="H952" s="601"/>
      <c r="I952" s="100"/>
      <c r="J952" s="583"/>
      <c r="K952" s="100"/>
      <c r="L952" s="579"/>
      <c r="M952" s="87"/>
      <c r="N952" s="87"/>
      <c r="O952" s="87"/>
      <c r="P952" s="87"/>
      <c r="Q952" s="87"/>
      <c r="R952" s="87"/>
      <c r="S952" s="87"/>
      <c r="T952" s="87"/>
      <c r="U952" s="87"/>
      <c r="V952" s="87"/>
      <c r="W952" s="87"/>
      <c r="X952" s="87"/>
      <c r="Y952" s="87"/>
    </row>
    <row r="953">
      <c r="A953" s="100"/>
      <c r="B953" s="579"/>
      <c r="C953" s="100"/>
      <c r="D953" s="579"/>
      <c r="E953" s="100"/>
      <c r="F953" s="579"/>
      <c r="G953" s="100"/>
      <c r="H953" s="601"/>
      <c r="I953" s="100"/>
      <c r="J953" s="583"/>
      <c r="K953" s="100"/>
      <c r="L953" s="579"/>
      <c r="M953" s="87"/>
      <c r="N953" s="87"/>
      <c r="O953" s="87"/>
      <c r="P953" s="87"/>
      <c r="Q953" s="87"/>
      <c r="R953" s="87"/>
      <c r="S953" s="87"/>
      <c r="T953" s="87"/>
      <c r="U953" s="87"/>
      <c r="V953" s="87"/>
      <c r="W953" s="87"/>
      <c r="X953" s="87"/>
      <c r="Y953" s="87"/>
    </row>
    <row r="954">
      <c r="A954" s="100"/>
      <c r="B954" s="579"/>
      <c r="C954" s="100"/>
      <c r="D954" s="579"/>
      <c r="E954" s="100"/>
      <c r="F954" s="579"/>
      <c r="G954" s="100"/>
      <c r="H954" s="601"/>
      <c r="I954" s="100"/>
      <c r="J954" s="583"/>
      <c r="K954" s="100"/>
      <c r="L954" s="579"/>
      <c r="M954" s="87"/>
      <c r="N954" s="87"/>
      <c r="O954" s="87"/>
      <c r="P954" s="87"/>
      <c r="Q954" s="87"/>
      <c r="R954" s="87"/>
      <c r="S954" s="87"/>
      <c r="T954" s="87"/>
      <c r="U954" s="87"/>
      <c r="V954" s="87"/>
      <c r="W954" s="87"/>
      <c r="X954" s="87"/>
      <c r="Y954" s="87"/>
    </row>
    <row r="955">
      <c r="A955" s="100"/>
      <c r="B955" s="579"/>
      <c r="C955" s="100"/>
      <c r="D955" s="579"/>
      <c r="E955" s="100"/>
      <c r="F955" s="579"/>
      <c r="G955" s="100"/>
      <c r="H955" s="601"/>
      <c r="I955" s="100"/>
      <c r="J955" s="583"/>
      <c r="K955" s="100"/>
      <c r="L955" s="579"/>
      <c r="M955" s="87"/>
      <c r="N955" s="87"/>
      <c r="O955" s="87"/>
      <c r="P955" s="87"/>
      <c r="Q955" s="87"/>
      <c r="R955" s="87"/>
      <c r="S955" s="87"/>
      <c r="T955" s="87"/>
      <c r="U955" s="87"/>
      <c r="V955" s="87"/>
      <c r="W955" s="87"/>
      <c r="X955" s="87"/>
      <c r="Y955" s="87"/>
    </row>
    <row r="956">
      <c r="A956" s="100"/>
      <c r="B956" s="579"/>
      <c r="C956" s="100"/>
      <c r="D956" s="579"/>
      <c r="E956" s="100"/>
      <c r="F956" s="579"/>
      <c r="G956" s="100"/>
      <c r="H956" s="601"/>
      <c r="I956" s="100"/>
      <c r="J956" s="583"/>
      <c r="K956" s="100"/>
      <c r="L956" s="579"/>
      <c r="M956" s="87"/>
      <c r="N956" s="87"/>
      <c r="O956" s="87"/>
      <c r="P956" s="87"/>
      <c r="Q956" s="87"/>
      <c r="R956" s="87"/>
      <c r="S956" s="87"/>
      <c r="T956" s="87"/>
      <c r="U956" s="87"/>
      <c r="V956" s="87"/>
      <c r="W956" s="87"/>
      <c r="X956" s="87"/>
      <c r="Y956" s="87"/>
    </row>
    <row r="957">
      <c r="A957" s="100"/>
      <c r="B957" s="579"/>
      <c r="C957" s="100"/>
      <c r="D957" s="579"/>
      <c r="E957" s="100"/>
      <c r="F957" s="579"/>
      <c r="G957" s="100"/>
      <c r="H957" s="601"/>
      <c r="I957" s="100"/>
      <c r="J957" s="583"/>
      <c r="K957" s="100"/>
      <c r="L957" s="579"/>
      <c r="M957" s="87"/>
      <c r="N957" s="87"/>
      <c r="O957" s="87"/>
      <c r="P957" s="87"/>
      <c r="Q957" s="87"/>
      <c r="R957" s="87"/>
      <c r="S957" s="87"/>
      <c r="T957" s="87"/>
      <c r="U957" s="87"/>
      <c r="V957" s="87"/>
      <c r="W957" s="87"/>
      <c r="X957" s="87"/>
      <c r="Y957" s="87"/>
    </row>
    <row r="958">
      <c r="A958" s="100"/>
      <c r="B958" s="579"/>
      <c r="C958" s="100"/>
      <c r="D958" s="579"/>
      <c r="E958" s="100"/>
      <c r="F958" s="579"/>
      <c r="G958" s="100"/>
      <c r="H958" s="601"/>
      <c r="I958" s="100"/>
      <c r="J958" s="583"/>
      <c r="K958" s="100"/>
      <c r="L958" s="579"/>
      <c r="M958" s="87"/>
      <c r="N958" s="87"/>
      <c r="O958" s="87"/>
      <c r="P958" s="87"/>
      <c r="Q958" s="87"/>
      <c r="R958" s="87"/>
      <c r="S958" s="87"/>
      <c r="T958" s="87"/>
      <c r="U958" s="87"/>
      <c r="V958" s="87"/>
      <c r="W958" s="87"/>
      <c r="X958" s="87"/>
      <c r="Y958" s="87"/>
    </row>
    <row r="959">
      <c r="A959" s="100"/>
      <c r="B959" s="579"/>
      <c r="C959" s="100"/>
      <c r="D959" s="579"/>
      <c r="E959" s="100"/>
      <c r="F959" s="579"/>
      <c r="G959" s="100"/>
      <c r="H959" s="601"/>
      <c r="I959" s="100"/>
      <c r="J959" s="583"/>
      <c r="K959" s="100"/>
      <c r="L959" s="579"/>
      <c r="M959" s="87"/>
      <c r="N959" s="87"/>
      <c r="O959" s="87"/>
      <c r="P959" s="87"/>
      <c r="Q959" s="87"/>
      <c r="R959" s="87"/>
      <c r="S959" s="87"/>
      <c r="T959" s="87"/>
      <c r="U959" s="87"/>
      <c r="V959" s="87"/>
      <c r="W959" s="87"/>
      <c r="X959" s="87"/>
      <c r="Y959" s="87"/>
    </row>
    <row r="960">
      <c r="A960" s="100"/>
      <c r="B960" s="579"/>
      <c r="C960" s="100"/>
      <c r="D960" s="579"/>
      <c r="E960" s="100"/>
      <c r="F960" s="579"/>
      <c r="G960" s="100"/>
      <c r="H960" s="601"/>
      <c r="I960" s="100"/>
      <c r="J960" s="583"/>
      <c r="K960" s="100"/>
      <c r="L960" s="579"/>
      <c r="M960" s="87"/>
      <c r="N960" s="87"/>
      <c r="O960" s="87"/>
      <c r="P960" s="87"/>
      <c r="Q960" s="87"/>
      <c r="R960" s="87"/>
      <c r="S960" s="87"/>
      <c r="T960" s="87"/>
      <c r="U960" s="87"/>
      <c r="V960" s="87"/>
      <c r="W960" s="87"/>
      <c r="X960" s="87"/>
      <c r="Y960" s="87"/>
    </row>
    <row r="961">
      <c r="A961" s="100"/>
      <c r="B961" s="579"/>
      <c r="C961" s="100"/>
      <c r="D961" s="579"/>
      <c r="E961" s="100"/>
      <c r="F961" s="579"/>
      <c r="G961" s="100"/>
      <c r="H961" s="601"/>
      <c r="I961" s="100"/>
      <c r="J961" s="583"/>
      <c r="K961" s="100"/>
      <c r="L961" s="579"/>
      <c r="M961" s="87"/>
      <c r="N961" s="87"/>
      <c r="O961" s="87"/>
      <c r="P961" s="87"/>
      <c r="Q961" s="87"/>
      <c r="R961" s="87"/>
      <c r="S961" s="87"/>
      <c r="T961" s="87"/>
      <c r="U961" s="87"/>
      <c r="V961" s="87"/>
      <c r="W961" s="87"/>
      <c r="X961" s="87"/>
      <c r="Y961" s="87"/>
    </row>
    <row r="962">
      <c r="A962" s="100"/>
      <c r="B962" s="579"/>
      <c r="C962" s="100"/>
      <c r="D962" s="579"/>
      <c r="E962" s="100"/>
      <c r="F962" s="579"/>
      <c r="G962" s="100"/>
      <c r="H962" s="601"/>
      <c r="I962" s="100"/>
      <c r="J962" s="583"/>
      <c r="K962" s="100"/>
      <c r="L962" s="579"/>
      <c r="M962" s="87"/>
      <c r="N962" s="87"/>
      <c r="O962" s="87"/>
      <c r="P962" s="87"/>
      <c r="Q962" s="87"/>
      <c r="R962" s="87"/>
      <c r="S962" s="87"/>
      <c r="T962" s="87"/>
      <c r="U962" s="87"/>
      <c r="V962" s="87"/>
      <c r="W962" s="87"/>
      <c r="X962" s="87"/>
      <c r="Y962" s="87"/>
    </row>
    <row r="963">
      <c r="A963" s="100"/>
      <c r="B963" s="579"/>
      <c r="C963" s="100"/>
      <c r="D963" s="579"/>
      <c r="E963" s="100"/>
      <c r="F963" s="579"/>
      <c r="G963" s="100"/>
      <c r="H963" s="601"/>
      <c r="I963" s="100"/>
      <c r="J963" s="583"/>
      <c r="K963" s="100"/>
      <c r="L963" s="579"/>
      <c r="M963" s="87"/>
      <c r="N963" s="87"/>
      <c r="O963" s="87"/>
      <c r="P963" s="87"/>
      <c r="Q963" s="87"/>
      <c r="R963" s="87"/>
      <c r="S963" s="87"/>
      <c r="T963" s="87"/>
      <c r="U963" s="87"/>
      <c r="V963" s="87"/>
      <c r="W963" s="87"/>
      <c r="X963" s="87"/>
      <c r="Y963" s="87"/>
    </row>
    <row r="964">
      <c r="A964" s="100"/>
      <c r="B964" s="579"/>
      <c r="C964" s="100"/>
      <c r="D964" s="579"/>
      <c r="E964" s="100"/>
      <c r="F964" s="579"/>
      <c r="G964" s="100"/>
      <c r="H964" s="601"/>
      <c r="I964" s="100"/>
      <c r="J964" s="583"/>
      <c r="K964" s="100"/>
      <c r="L964" s="579"/>
      <c r="M964" s="87"/>
      <c r="N964" s="87"/>
      <c r="O964" s="87"/>
      <c r="P964" s="87"/>
      <c r="Q964" s="87"/>
      <c r="R964" s="87"/>
      <c r="S964" s="87"/>
      <c r="T964" s="87"/>
      <c r="U964" s="87"/>
      <c r="V964" s="87"/>
      <c r="W964" s="87"/>
      <c r="X964" s="87"/>
      <c r="Y964" s="87"/>
    </row>
    <row r="965">
      <c r="A965" s="100"/>
      <c r="B965" s="579"/>
      <c r="C965" s="100"/>
      <c r="D965" s="579"/>
      <c r="E965" s="100"/>
      <c r="F965" s="579"/>
      <c r="G965" s="100"/>
      <c r="H965" s="601"/>
      <c r="I965" s="100"/>
      <c r="J965" s="583"/>
      <c r="K965" s="100"/>
      <c r="L965" s="579"/>
      <c r="M965" s="87"/>
      <c r="N965" s="87"/>
      <c r="O965" s="87"/>
      <c r="P965" s="87"/>
      <c r="Q965" s="87"/>
      <c r="R965" s="87"/>
      <c r="S965" s="87"/>
      <c r="T965" s="87"/>
      <c r="U965" s="87"/>
      <c r="V965" s="87"/>
      <c r="W965" s="87"/>
      <c r="X965" s="87"/>
      <c r="Y965" s="87"/>
    </row>
    <row r="966">
      <c r="A966" s="100"/>
      <c r="B966" s="579"/>
      <c r="C966" s="100"/>
      <c r="D966" s="579"/>
      <c r="E966" s="100"/>
      <c r="F966" s="579"/>
      <c r="G966" s="100"/>
      <c r="H966" s="601"/>
      <c r="I966" s="100"/>
      <c r="J966" s="583"/>
      <c r="K966" s="100"/>
      <c r="L966" s="579"/>
      <c r="M966" s="87"/>
      <c r="N966" s="87"/>
      <c r="O966" s="87"/>
      <c r="P966" s="87"/>
      <c r="Q966" s="87"/>
      <c r="R966" s="87"/>
      <c r="S966" s="87"/>
      <c r="T966" s="87"/>
      <c r="U966" s="87"/>
      <c r="V966" s="87"/>
      <c r="W966" s="87"/>
      <c r="X966" s="87"/>
      <c r="Y966" s="87"/>
    </row>
    <row r="967">
      <c r="A967" s="100"/>
      <c r="B967" s="579"/>
      <c r="C967" s="100"/>
      <c r="D967" s="579"/>
      <c r="E967" s="100"/>
      <c r="F967" s="579"/>
      <c r="G967" s="100"/>
      <c r="H967" s="601"/>
      <c r="I967" s="100"/>
      <c r="J967" s="583"/>
      <c r="K967" s="100"/>
      <c r="L967" s="579"/>
      <c r="M967" s="87"/>
      <c r="N967" s="87"/>
      <c r="O967" s="87"/>
      <c r="P967" s="87"/>
      <c r="Q967" s="87"/>
      <c r="R967" s="87"/>
      <c r="S967" s="87"/>
      <c r="T967" s="87"/>
      <c r="U967" s="87"/>
      <c r="V967" s="87"/>
      <c r="W967" s="87"/>
      <c r="X967" s="87"/>
      <c r="Y967" s="87"/>
    </row>
    <row r="968">
      <c r="A968" s="100"/>
      <c r="B968" s="579"/>
      <c r="C968" s="100"/>
      <c r="D968" s="579"/>
      <c r="E968" s="100"/>
      <c r="F968" s="579"/>
      <c r="G968" s="100"/>
      <c r="H968" s="601"/>
      <c r="I968" s="100"/>
      <c r="J968" s="583"/>
      <c r="K968" s="100"/>
      <c r="L968" s="579"/>
      <c r="M968" s="87"/>
      <c r="N968" s="87"/>
      <c r="O968" s="87"/>
      <c r="P968" s="87"/>
      <c r="Q968" s="87"/>
      <c r="R968" s="87"/>
      <c r="S968" s="87"/>
      <c r="T968" s="87"/>
      <c r="U968" s="87"/>
      <c r="V968" s="87"/>
      <c r="W968" s="87"/>
      <c r="X968" s="87"/>
      <c r="Y968" s="87"/>
    </row>
    <row r="969">
      <c r="A969" s="100"/>
      <c r="B969" s="579"/>
      <c r="C969" s="100"/>
      <c r="D969" s="579"/>
      <c r="E969" s="100"/>
      <c r="F969" s="579"/>
      <c r="G969" s="100"/>
      <c r="H969" s="601"/>
      <c r="I969" s="100"/>
      <c r="J969" s="583"/>
      <c r="K969" s="100"/>
      <c r="L969" s="579"/>
      <c r="M969" s="87"/>
      <c r="N969" s="87"/>
      <c r="O969" s="87"/>
      <c r="P969" s="87"/>
      <c r="Q969" s="87"/>
      <c r="R969" s="87"/>
      <c r="S969" s="87"/>
      <c r="T969" s="87"/>
      <c r="U969" s="87"/>
      <c r="V969" s="87"/>
      <c r="W969" s="87"/>
      <c r="X969" s="87"/>
      <c r="Y969" s="87"/>
    </row>
    <row r="970">
      <c r="A970" s="100"/>
      <c r="B970" s="579"/>
      <c r="C970" s="100"/>
      <c r="D970" s="579"/>
      <c r="E970" s="100"/>
      <c r="F970" s="579"/>
      <c r="G970" s="100"/>
      <c r="H970" s="601"/>
      <c r="I970" s="100"/>
      <c r="J970" s="583"/>
      <c r="K970" s="100"/>
      <c r="L970" s="579"/>
      <c r="M970" s="87"/>
      <c r="N970" s="87"/>
      <c r="O970" s="87"/>
      <c r="P970" s="87"/>
      <c r="Q970" s="87"/>
      <c r="R970" s="87"/>
      <c r="S970" s="87"/>
      <c r="T970" s="87"/>
      <c r="U970" s="87"/>
      <c r="V970" s="87"/>
      <c r="W970" s="87"/>
      <c r="X970" s="87"/>
      <c r="Y970" s="87"/>
    </row>
    <row r="971">
      <c r="A971" s="100"/>
      <c r="B971" s="579"/>
      <c r="C971" s="100"/>
      <c r="D971" s="579"/>
      <c r="E971" s="100"/>
      <c r="F971" s="579"/>
      <c r="G971" s="100"/>
      <c r="H971" s="601"/>
      <c r="I971" s="100"/>
      <c r="J971" s="583"/>
      <c r="K971" s="100"/>
      <c r="L971" s="579"/>
      <c r="M971" s="87"/>
      <c r="N971" s="87"/>
      <c r="O971" s="87"/>
      <c r="P971" s="87"/>
      <c r="Q971" s="87"/>
      <c r="R971" s="87"/>
      <c r="S971" s="87"/>
      <c r="T971" s="87"/>
      <c r="U971" s="87"/>
      <c r="V971" s="87"/>
      <c r="W971" s="87"/>
      <c r="X971" s="87"/>
      <c r="Y971" s="87"/>
    </row>
    <row r="972">
      <c r="A972" s="100"/>
      <c r="B972" s="579"/>
      <c r="C972" s="100"/>
      <c r="D972" s="579"/>
      <c r="E972" s="100"/>
      <c r="F972" s="579"/>
      <c r="G972" s="100"/>
      <c r="H972" s="601"/>
      <c r="I972" s="100"/>
      <c r="J972" s="583"/>
      <c r="K972" s="100"/>
      <c r="L972" s="579"/>
      <c r="M972" s="87"/>
      <c r="N972" s="87"/>
      <c r="O972" s="87"/>
      <c r="P972" s="87"/>
      <c r="Q972" s="87"/>
      <c r="R972" s="87"/>
      <c r="S972" s="87"/>
      <c r="T972" s="87"/>
      <c r="U972" s="87"/>
      <c r="V972" s="87"/>
      <c r="W972" s="87"/>
      <c r="X972" s="87"/>
      <c r="Y972" s="87"/>
    </row>
    <row r="973">
      <c r="A973" s="100"/>
      <c r="B973" s="579"/>
      <c r="C973" s="100"/>
      <c r="D973" s="579"/>
      <c r="E973" s="100"/>
      <c r="F973" s="579"/>
      <c r="G973" s="100"/>
      <c r="H973" s="601"/>
      <c r="I973" s="100"/>
      <c r="J973" s="583"/>
      <c r="K973" s="100"/>
      <c r="L973" s="579"/>
      <c r="M973" s="87"/>
      <c r="N973" s="87"/>
      <c r="O973" s="87"/>
      <c r="P973" s="87"/>
      <c r="Q973" s="87"/>
      <c r="R973" s="87"/>
      <c r="S973" s="87"/>
      <c r="T973" s="87"/>
      <c r="U973" s="87"/>
      <c r="V973" s="87"/>
      <c r="W973" s="87"/>
      <c r="X973" s="87"/>
      <c r="Y973" s="87"/>
    </row>
    <row r="974">
      <c r="A974" s="100"/>
      <c r="B974" s="579"/>
      <c r="C974" s="100"/>
      <c r="D974" s="579"/>
      <c r="E974" s="100"/>
      <c r="F974" s="579"/>
      <c r="G974" s="100"/>
      <c r="H974" s="601"/>
      <c r="I974" s="100"/>
      <c r="J974" s="583"/>
      <c r="K974" s="100"/>
      <c r="L974" s="579"/>
      <c r="M974" s="87"/>
      <c r="N974" s="87"/>
      <c r="O974" s="87"/>
      <c r="P974" s="87"/>
      <c r="Q974" s="87"/>
      <c r="R974" s="87"/>
      <c r="S974" s="87"/>
      <c r="T974" s="87"/>
      <c r="U974" s="87"/>
      <c r="V974" s="87"/>
      <c r="W974" s="87"/>
      <c r="X974" s="87"/>
      <c r="Y974" s="87"/>
    </row>
    <row r="975">
      <c r="A975" s="100"/>
      <c r="B975" s="579"/>
      <c r="C975" s="100"/>
      <c r="D975" s="579"/>
      <c r="E975" s="100"/>
      <c r="F975" s="579"/>
      <c r="G975" s="100"/>
      <c r="H975" s="601"/>
      <c r="I975" s="100"/>
      <c r="J975" s="583"/>
      <c r="K975" s="100"/>
      <c r="L975" s="579"/>
      <c r="M975" s="87"/>
      <c r="N975" s="87"/>
      <c r="O975" s="87"/>
      <c r="P975" s="87"/>
      <c r="Q975" s="87"/>
      <c r="R975" s="87"/>
      <c r="S975" s="87"/>
      <c r="T975" s="87"/>
      <c r="U975" s="87"/>
      <c r="V975" s="87"/>
      <c r="W975" s="87"/>
      <c r="X975" s="87"/>
      <c r="Y975" s="87"/>
    </row>
    <row r="976">
      <c r="A976" s="100"/>
      <c r="B976" s="579"/>
      <c r="C976" s="100"/>
      <c r="D976" s="579"/>
      <c r="E976" s="100"/>
      <c r="F976" s="579"/>
      <c r="G976" s="100"/>
      <c r="H976" s="601"/>
      <c r="I976" s="100"/>
      <c r="J976" s="583"/>
      <c r="K976" s="100"/>
      <c r="L976" s="579"/>
      <c r="M976" s="87"/>
      <c r="N976" s="87"/>
      <c r="O976" s="87"/>
      <c r="P976" s="87"/>
      <c r="Q976" s="87"/>
      <c r="R976" s="87"/>
      <c r="S976" s="87"/>
      <c r="T976" s="87"/>
      <c r="U976" s="87"/>
      <c r="V976" s="87"/>
      <c r="W976" s="87"/>
      <c r="X976" s="87"/>
      <c r="Y976" s="87"/>
    </row>
    <row r="977">
      <c r="A977" s="100"/>
      <c r="B977" s="579"/>
      <c r="C977" s="100"/>
      <c r="D977" s="579"/>
      <c r="E977" s="100"/>
      <c r="F977" s="579"/>
      <c r="G977" s="100"/>
      <c r="H977" s="601"/>
      <c r="I977" s="100"/>
      <c r="J977" s="583"/>
      <c r="K977" s="100"/>
      <c r="L977" s="579"/>
      <c r="M977" s="87"/>
      <c r="N977" s="87"/>
      <c r="O977" s="87"/>
      <c r="P977" s="87"/>
      <c r="Q977" s="87"/>
      <c r="R977" s="87"/>
      <c r="S977" s="87"/>
      <c r="T977" s="87"/>
      <c r="U977" s="87"/>
      <c r="V977" s="87"/>
      <c r="W977" s="87"/>
      <c r="X977" s="87"/>
      <c r="Y977" s="87"/>
    </row>
    <row r="978">
      <c r="A978" s="100"/>
      <c r="B978" s="579"/>
      <c r="C978" s="100"/>
      <c r="D978" s="579"/>
      <c r="E978" s="100"/>
      <c r="F978" s="579"/>
      <c r="G978" s="100"/>
      <c r="H978" s="601"/>
      <c r="I978" s="100"/>
      <c r="J978" s="583"/>
      <c r="K978" s="100"/>
      <c r="L978" s="579"/>
      <c r="M978" s="87"/>
      <c r="N978" s="87"/>
      <c r="O978" s="87"/>
      <c r="P978" s="87"/>
      <c r="Q978" s="87"/>
      <c r="R978" s="87"/>
      <c r="S978" s="87"/>
      <c r="T978" s="87"/>
      <c r="U978" s="87"/>
      <c r="V978" s="87"/>
      <c r="W978" s="87"/>
      <c r="X978" s="87"/>
      <c r="Y978" s="87"/>
    </row>
    <row r="979">
      <c r="A979" s="100"/>
      <c r="B979" s="579"/>
      <c r="C979" s="100"/>
      <c r="D979" s="579"/>
      <c r="E979" s="100"/>
      <c r="F979" s="579"/>
      <c r="G979" s="100"/>
      <c r="H979" s="601"/>
      <c r="I979" s="100"/>
      <c r="J979" s="583"/>
      <c r="K979" s="100"/>
      <c r="L979" s="579"/>
      <c r="M979" s="87"/>
      <c r="N979" s="87"/>
      <c r="O979" s="87"/>
      <c r="P979" s="87"/>
      <c r="Q979" s="87"/>
      <c r="R979" s="87"/>
      <c r="S979" s="87"/>
      <c r="T979" s="87"/>
      <c r="U979" s="87"/>
      <c r="V979" s="87"/>
      <c r="W979" s="87"/>
      <c r="X979" s="87"/>
      <c r="Y979" s="87"/>
    </row>
    <row r="980">
      <c r="A980" s="100"/>
      <c r="B980" s="579"/>
      <c r="C980" s="100"/>
      <c r="D980" s="579"/>
      <c r="E980" s="100"/>
      <c r="F980" s="579"/>
      <c r="G980" s="100"/>
      <c r="H980" s="601"/>
      <c r="I980" s="100"/>
      <c r="J980" s="583"/>
      <c r="K980" s="100"/>
      <c r="L980" s="579"/>
      <c r="M980" s="87"/>
      <c r="N980" s="87"/>
      <c r="O980" s="87"/>
      <c r="P980" s="87"/>
      <c r="Q980" s="87"/>
      <c r="R980" s="87"/>
      <c r="S980" s="87"/>
      <c r="T980" s="87"/>
      <c r="U980" s="87"/>
      <c r="V980" s="87"/>
      <c r="W980" s="87"/>
      <c r="X980" s="87"/>
      <c r="Y980" s="87"/>
    </row>
    <row r="981">
      <c r="A981" s="100"/>
      <c r="B981" s="579"/>
      <c r="C981" s="100"/>
      <c r="D981" s="579"/>
      <c r="E981" s="100"/>
      <c r="F981" s="579"/>
      <c r="G981" s="100"/>
      <c r="H981" s="601"/>
      <c r="I981" s="100"/>
      <c r="J981" s="583"/>
      <c r="K981" s="100"/>
      <c r="L981" s="579"/>
      <c r="M981" s="87"/>
      <c r="N981" s="87"/>
      <c r="O981" s="87"/>
      <c r="P981" s="87"/>
      <c r="Q981" s="87"/>
      <c r="R981" s="87"/>
      <c r="S981" s="87"/>
      <c r="T981" s="87"/>
      <c r="U981" s="87"/>
      <c r="V981" s="87"/>
      <c r="W981" s="87"/>
      <c r="X981" s="87"/>
      <c r="Y981" s="87"/>
    </row>
    <row r="982">
      <c r="A982" s="100"/>
      <c r="B982" s="579"/>
      <c r="C982" s="100"/>
      <c r="D982" s="579"/>
      <c r="E982" s="100"/>
      <c r="F982" s="579"/>
      <c r="G982" s="100"/>
      <c r="H982" s="601"/>
      <c r="I982" s="100"/>
      <c r="J982" s="583"/>
      <c r="K982" s="100"/>
      <c r="L982" s="579"/>
      <c r="M982" s="87"/>
      <c r="N982" s="87"/>
      <c r="O982" s="87"/>
      <c r="P982" s="87"/>
      <c r="Q982" s="87"/>
      <c r="R982" s="87"/>
      <c r="S982" s="87"/>
      <c r="T982" s="87"/>
      <c r="U982" s="87"/>
      <c r="V982" s="87"/>
      <c r="W982" s="87"/>
      <c r="X982" s="87"/>
      <c r="Y982" s="87"/>
    </row>
    <row r="983">
      <c r="A983" s="100"/>
      <c r="B983" s="579"/>
      <c r="C983" s="100"/>
      <c r="D983" s="579"/>
      <c r="E983" s="100"/>
      <c r="F983" s="579"/>
      <c r="G983" s="100"/>
      <c r="H983" s="601"/>
      <c r="I983" s="100"/>
      <c r="J983" s="583"/>
      <c r="K983" s="100"/>
      <c r="L983" s="579"/>
      <c r="M983" s="87"/>
      <c r="N983" s="87"/>
      <c r="O983" s="87"/>
      <c r="P983" s="87"/>
      <c r="Q983" s="87"/>
      <c r="R983" s="87"/>
      <c r="S983" s="87"/>
      <c r="T983" s="87"/>
      <c r="U983" s="87"/>
      <c r="V983" s="87"/>
      <c r="W983" s="87"/>
      <c r="X983" s="87"/>
      <c r="Y983" s="87"/>
    </row>
    <row r="984">
      <c r="A984" s="100"/>
      <c r="B984" s="579"/>
      <c r="C984" s="100"/>
      <c r="D984" s="579"/>
      <c r="E984" s="100"/>
      <c r="F984" s="579"/>
      <c r="G984" s="100"/>
      <c r="H984" s="601"/>
      <c r="I984" s="100"/>
      <c r="J984" s="583"/>
      <c r="K984" s="100"/>
      <c r="L984" s="579"/>
      <c r="M984" s="87"/>
      <c r="N984" s="87"/>
      <c r="O984" s="87"/>
      <c r="P984" s="87"/>
      <c r="Q984" s="87"/>
      <c r="R984" s="87"/>
      <c r="S984" s="87"/>
      <c r="T984" s="87"/>
      <c r="U984" s="87"/>
      <c r="V984" s="87"/>
      <c r="W984" s="87"/>
      <c r="X984" s="87"/>
      <c r="Y984" s="87"/>
    </row>
    <row r="985">
      <c r="A985" s="100"/>
      <c r="B985" s="579"/>
      <c r="C985" s="100"/>
      <c r="D985" s="579"/>
      <c r="E985" s="100"/>
      <c r="F985" s="579"/>
      <c r="G985" s="100"/>
      <c r="H985" s="601"/>
      <c r="I985" s="100"/>
      <c r="J985" s="583"/>
      <c r="K985" s="100"/>
      <c r="L985" s="579"/>
      <c r="M985" s="87"/>
      <c r="N985" s="87"/>
      <c r="O985" s="87"/>
      <c r="P985" s="87"/>
      <c r="Q985" s="87"/>
      <c r="R985" s="87"/>
      <c r="S985" s="87"/>
      <c r="T985" s="87"/>
      <c r="U985" s="87"/>
      <c r="V985" s="87"/>
      <c r="W985" s="87"/>
      <c r="X985" s="87"/>
      <c r="Y985" s="87"/>
    </row>
    <row r="986">
      <c r="A986" s="100"/>
      <c r="B986" s="579"/>
      <c r="C986" s="100"/>
      <c r="D986" s="579"/>
      <c r="E986" s="100"/>
      <c r="F986" s="579"/>
      <c r="G986" s="100"/>
      <c r="H986" s="601"/>
      <c r="I986" s="100"/>
      <c r="J986" s="583"/>
      <c r="K986" s="100"/>
      <c r="L986" s="579"/>
      <c r="M986" s="87"/>
      <c r="N986" s="87"/>
      <c r="O986" s="87"/>
      <c r="P986" s="87"/>
      <c r="Q986" s="87"/>
      <c r="R986" s="87"/>
      <c r="S986" s="87"/>
      <c r="T986" s="87"/>
      <c r="U986" s="87"/>
      <c r="V986" s="87"/>
      <c r="W986" s="87"/>
      <c r="X986" s="87"/>
      <c r="Y986" s="87"/>
    </row>
    <row r="987">
      <c r="A987" s="100"/>
      <c r="B987" s="579"/>
      <c r="C987" s="100"/>
      <c r="D987" s="579"/>
      <c r="E987" s="100"/>
      <c r="F987" s="579"/>
      <c r="G987" s="100"/>
      <c r="H987" s="601"/>
      <c r="I987" s="100"/>
      <c r="J987" s="583"/>
      <c r="K987" s="100"/>
      <c r="L987" s="579"/>
      <c r="M987" s="87"/>
      <c r="N987" s="87"/>
      <c r="O987" s="87"/>
      <c r="P987" s="87"/>
      <c r="Q987" s="87"/>
      <c r="R987" s="87"/>
      <c r="S987" s="87"/>
      <c r="T987" s="87"/>
      <c r="U987" s="87"/>
      <c r="V987" s="87"/>
      <c r="W987" s="87"/>
      <c r="X987" s="87"/>
      <c r="Y987" s="87"/>
    </row>
    <row r="988">
      <c r="A988" s="100"/>
      <c r="B988" s="579"/>
      <c r="C988" s="100"/>
      <c r="D988" s="579"/>
      <c r="E988" s="100"/>
      <c r="F988" s="579"/>
      <c r="G988" s="100"/>
      <c r="H988" s="601"/>
      <c r="I988" s="100"/>
      <c r="J988" s="583"/>
      <c r="K988" s="100"/>
      <c r="L988" s="579"/>
      <c r="M988" s="87"/>
      <c r="N988" s="87"/>
      <c r="O988" s="87"/>
      <c r="P988" s="87"/>
      <c r="Q988" s="87"/>
      <c r="R988" s="87"/>
      <c r="S988" s="87"/>
      <c r="T988" s="87"/>
      <c r="U988" s="87"/>
      <c r="V988" s="87"/>
      <c r="W988" s="87"/>
      <c r="X988" s="87"/>
      <c r="Y988" s="87"/>
    </row>
    <row r="989">
      <c r="A989" s="100"/>
      <c r="B989" s="579"/>
      <c r="C989" s="100"/>
      <c r="D989" s="579"/>
      <c r="E989" s="100"/>
      <c r="F989" s="579"/>
      <c r="G989" s="100"/>
      <c r="H989" s="601"/>
      <c r="I989" s="100"/>
      <c r="J989" s="583"/>
      <c r="K989" s="100"/>
      <c r="L989" s="579"/>
      <c r="M989" s="87"/>
      <c r="N989" s="87"/>
      <c r="O989" s="87"/>
      <c r="P989" s="87"/>
      <c r="Q989" s="87"/>
      <c r="R989" s="87"/>
      <c r="S989" s="87"/>
      <c r="T989" s="87"/>
      <c r="U989" s="87"/>
      <c r="V989" s="87"/>
      <c r="W989" s="87"/>
      <c r="X989" s="87"/>
      <c r="Y989" s="87"/>
    </row>
    <row r="990">
      <c r="A990" s="100"/>
      <c r="B990" s="579"/>
      <c r="C990" s="100"/>
      <c r="D990" s="579"/>
      <c r="E990" s="100"/>
      <c r="F990" s="579"/>
      <c r="G990" s="100"/>
      <c r="H990" s="601"/>
      <c r="I990" s="100"/>
      <c r="J990" s="583"/>
      <c r="K990" s="100"/>
      <c r="L990" s="579"/>
      <c r="M990" s="87"/>
      <c r="N990" s="87"/>
      <c r="O990" s="87"/>
      <c r="P990" s="87"/>
      <c r="Q990" s="87"/>
      <c r="R990" s="87"/>
      <c r="S990" s="87"/>
      <c r="T990" s="87"/>
      <c r="U990" s="87"/>
      <c r="V990" s="87"/>
      <c r="W990" s="87"/>
      <c r="X990" s="87"/>
      <c r="Y990" s="87"/>
    </row>
    <row r="991">
      <c r="A991" s="100"/>
      <c r="B991" s="579"/>
      <c r="C991" s="100"/>
      <c r="D991" s="579"/>
      <c r="E991" s="100"/>
      <c r="F991" s="579"/>
      <c r="G991" s="100"/>
      <c r="H991" s="601"/>
      <c r="I991" s="100"/>
      <c r="J991" s="583"/>
      <c r="K991" s="100"/>
      <c r="L991" s="579"/>
      <c r="M991" s="87"/>
      <c r="N991" s="87"/>
      <c r="O991" s="87"/>
      <c r="P991" s="87"/>
      <c r="Q991" s="87"/>
      <c r="R991" s="87"/>
      <c r="S991" s="87"/>
      <c r="T991" s="87"/>
      <c r="U991" s="87"/>
      <c r="V991" s="87"/>
      <c r="W991" s="87"/>
      <c r="X991" s="87"/>
      <c r="Y991" s="87"/>
    </row>
    <row r="992">
      <c r="A992" s="100"/>
      <c r="B992" s="579"/>
      <c r="C992" s="100"/>
      <c r="D992" s="579"/>
      <c r="E992" s="100"/>
      <c r="F992" s="579"/>
      <c r="G992" s="100"/>
      <c r="H992" s="601"/>
      <c r="I992" s="100"/>
      <c r="J992" s="583"/>
      <c r="K992" s="100"/>
      <c r="L992" s="579"/>
      <c r="M992" s="87"/>
      <c r="N992" s="87"/>
      <c r="O992" s="87"/>
      <c r="P992" s="87"/>
      <c r="Q992" s="87"/>
      <c r="R992" s="87"/>
      <c r="S992" s="87"/>
      <c r="T992" s="87"/>
      <c r="U992" s="87"/>
      <c r="V992" s="87"/>
      <c r="W992" s="87"/>
      <c r="X992" s="87"/>
      <c r="Y992" s="87"/>
    </row>
    <row r="993">
      <c r="A993" s="100"/>
      <c r="B993" s="579"/>
      <c r="C993" s="100"/>
      <c r="D993" s="579"/>
      <c r="E993" s="100"/>
      <c r="F993" s="579"/>
      <c r="G993" s="100"/>
      <c r="H993" s="601"/>
      <c r="I993" s="100"/>
      <c r="J993" s="583"/>
      <c r="K993" s="100"/>
      <c r="L993" s="579"/>
      <c r="M993" s="87"/>
      <c r="N993" s="87"/>
      <c r="O993" s="87"/>
      <c r="P993" s="87"/>
      <c r="Q993" s="87"/>
      <c r="R993" s="87"/>
      <c r="S993" s="87"/>
      <c r="T993" s="87"/>
      <c r="U993" s="87"/>
      <c r="V993" s="87"/>
      <c r="W993" s="87"/>
      <c r="X993" s="87"/>
      <c r="Y993" s="87"/>
    </row>
    <row r="994">
      <c r="A994" s="100"/>
      <c r="B994" s="579"/>
      <c r="C994" s="100"/>
      <c r="D994" s="579"/>
      <c r="E994" s="100"/>
      <c r="F994" s="579"/>
      <c r="G994" s="100"/>
      <c r="H994" s="601"/>
      <c r="I994" s="100"/>
      <c r="J994" s="583"/>
      <c r="K994" s="100"/>
      <c r="L994" s="579"/>
      <c r="M994" s="87"/>
      <c r="N994" s="87"/>
      <c r="O994" s="87"/>
      <c r="P994" s="87"/>
      <c r="Q994" s="87"/>
      <c r="R994" s="87"/>
      <c r="S994" s="87"/>
      <c r="T994" s="87"/>
      <c r="U994" s="87"/>
      <c r="V994" s="87"/>
      <c r="W994" s="87"/>
      <c r="X994" s="87"/>
      <c r="Y994" s="87"/>
    </row>
    <row r="995">
      <c r="A995" s="100"/>
      <c r="B995" s="579"/>
      <c r="C995" s="100"/>
      <c r="D995" s="579"/>
      <c r="E995" s="100"/>
      <c r="F995" s="579"/>
      <c r="G995" s="100"/>
      <c r="H995" s="601"/>
      <c r="I995" s="100"/>
      <c r="J995" s="583"/>
      <c r="K995" s="100"/>
      <c r="L995" s="579"/>
      <c r="M995" s="87"/>
      <c r="N995" s="87"/>
      <c r="O995" s="87"/>
      <c r="P995" s="87"/>
      <c r="Q995" s="87"/>
      <c r="R995" s="87"/>
      <c r="S995" s="87"/>
      <c r="T995" s="87"/>
      <c r="U995" s="87"/>
      <c r="V995" s="87"/>
      <c r="W995" s="87"/>
      <c r="X995" s="87"/>
      <c r="Y995" s="87"/>
    </row>
    <row r="996">
      <c r="A996" s="100"/>
      <c r="B996" s="579"/>
      <c r="C996" s="100"/>
      <c r="D996" s="579"/>
      <c r="E996" s="100"/>
      <c r="F996" s="579"/>
      <c r="G996" s="100"/>
      <c r="H996" s="601"/>
      <c r="I996" s="100"/>
      <c r="J996" s="583"/>
      <c r="K996" s="100"/>
      <c r="L996" s="579"/>
      <c r="M996" s="87"/>
      <c r="N996" s="87"/>
      <c r="O996" s="87"/>
      <c r="P996" s="87"/>
      <c r="Q996" s="87"/>
      <c r="R996" s="87"/>
      <c r="S996" s="87"/>
      <c r="T996" s="87"/>
      <c r="U996" s="87"/>
      <c r="V996" s="87"/>
      <c r="W996" s="87"/>
      <c r="X996" s="87"/>
      <c r="Y996" s="87"/>
    </row>
    <row r="997">
      <c r="A997" s="100"/>
      <c r="B997" s="579"/>
      <c r="C997" s="100"/>
      <c r="D997" s="579"/>
      <c r="E997" s="100"/>
      <c r="F997" s="579"/>
      <c r="G997" s="100"/>
      <c r="H997" s="601"/>
      <c r="I997" s="100"/>
      <c r="J997" s="583"/>
      <c r="K997" s="100"/>
      <c r="L997" s="579"/>
      <c r="M997" s="87"/>
      <c r="N997" s="87"/>
      <c r="O997" s="87"/>
      <c r="P997" s="87"/>
      <c r="Q997" s="87"/>
      <c r="R997" s="87"/>
      <c r="S997" s="87"/>
      <c r="T997" s="87"/>
      <c r="U997" s="87"/>
      <c r="V997" s="87"/>
      <c r="W997" s="87"/>
      <c r="X997" s="87"/>
      <c r="Y997" s="87"/>
    </row>
    <row r="998">
      <c r="A998" s="100"/>
      <c r="B998" s="579"/>
      <c r="C998" s="100"/>
      <c r="D998" s="579"/>
      <c r="E998" s="100"/>
      <c r="F998" s="579"/>
      <c r="G998" s="100"/>
      <c r="H998" s="601"/>
      <c r="I998" s="100"/>
      <c r="J998" s="583"/>
      <c r="K998" s="100"/>
      <c r="L998" s="579"/>
      <c r="M998" s="87"/>
      <c r="N998" s="87"/>
      <c r="O998" s="87"/>
      <c r="P998" s="87"/>
      <c r="Q998" s="87"/>
      <c r="R998" s="87"/>
      <c r="S998" s="87"/>
      <c r="T998" s="87"/>
      <c r="U998" s="87"/>
      <c r="V998" s="87"/>
      <c r="W998" s="87"/>
      <c r="X998" s="87"/>
      <c r="Y998" s="87"/>
    </row>
    <row r="999">
      <c r="A999" s="100"/>
      <c r="B999" s="579"/>
      <c r="C999" s="100"/>
      <c r="D999" s="579"/>
      <c r="E999" s="100"/>
      <c r="F999" s="579"/>
      <c r="G999" s="100"/>
      <c r="H999" s="601"/>
      <c r="I999" s="100"/>
      <c r="J999" s="583"/>
      <c r="K999" s="100"/>
      <c r="L999" s="579"/>
      <c r="M999" s="87"/>
      <c r="N999" s="87"/>
      <c r="O999" s="87"/>
      <c r="P999" s="87"/>
      <c r="Q999" s="87"/>
      <c r="R999" s="87"/>
      <c r="S999" s="87"/>
      <c r="T999" s="87"/>
      <c r="U999" s="87"/>
      <c r="V999" s="87"/>
      <c r="W999" s="87"/>
      <c r="X999" s="87"/>
      <c r="Y999" s="87"/>
    </row>
    <row r="1000">
      <c r="A1000" s="100"/>
      <c r="B1000" s="579"/>
      <c r="C1000" s="100"/>
      <c r="D1000" s="579"/>
      <c r="E1000" s="100"/>
      <c r="F1000" s="579"/>
      <c r="G1000" s="100"/>
      <c r="H1000" s="601"/>
      <c r="I1000" s="100"/>
      <c r="J1000" s="583"/>
      <c r="K1000" s="100"/>
      <c r="L1000" s="579"/>
      <c r="M1000" s="87"/>
      <c r="N1000" s="87"/>
      <c r="O1000" s="87"/>
      <c r="P1000" s="87"/>
      <c r="Q1000" s="87"/>
      <c r="R1000" s="87"/>
      <c r="S1000" s="87"/>
      <c r="T1000" s="87"/>
      <c r="U1000" s="87"/>
      <c r="V1000" s="87"/>
      <c r="W1000" s="87"/>
      <c r="X1000" s="87"/>
      <c r="Y1000" s="87"/>
    </row>
    <row r="1001">
      <c r="A1001" s="100"/>
      <c r="B1001" s="579"/>
      <c r="C1001" s="100"/>
      <c r="D1001" s="579"/>
      <c r="E1001" s="100"/>
      <c r="F1001" s="579"/>
      <c r="G1001" s="100"/>
      <c r="H1001" s="601"/>
      <c r="I1001" s="100"/>
      <c r="J1001" s="583"/>
      <c r="K1001" s="100"/>
      <c r="L1001" s="579"/>
      <c r="M1001" s="87"/>
      <c r="N1001" s="87"/>
      <c r="O1001" s="87"/>
      <c r="P1001" s="87"/>
      <c r="Q1001" s="87"/>
      <c r="R1001" s="87"/>
      <c r="S1001" s="87"/>
      <c r="T1001" s="87"/>
      <c r="U1001" s="87"/>
      <c r="V1001" s="87"/>
      <c r="W1001" s="87"/>
      <c r="X1001" s="87"/>
      <c r="Y1001" s="87"/>
    </row>
    <row r="1002">
      <c r="A1002" s="100"/>
      <c r="B1002" s="579"/>
      <c r="C1002" s="100"/>
      <c r="D1002" s="579"/>
      <c r="E1002" s="100"/>
      <c r="F1002" s="579"/>
      <c r="G1002" s="100"/>
      <c r="H1002" s="601"/>
      <c r="I1002" s="100"/>
      <c r="J1002" s="583"/>
      <c r="K1002" s="100"/>
      <c r="L1002" s="579"/>
      <c r="M1002" s="87"/>
      <c r="N1002" s="87"/>
      <c r="O1002" s="87"/>
      <c r="P1002" s="87"/>
      <c r="Q1002" s="87"/>
      <c r="R1002" s="87"/>
      <c r="S1002" s="87"/>
      <c r="T1002" s="87"/>
      <c r="U1002" s="87"/>
      <c r="V1002" s="87"/>
      <c r="W1002" s="87"/>
      <c r="X1002" s="87"/>
      <c r="Y1002" s="87"/>
    </row>
    <row r="1003">
      <c r="A1003" s="100"/>
      <c r="B1003" s="579"/>
      <c r="C1003" s="100"/>
      <c r="D1003" s="579"/>
      <c r="E1003" s="100"/>
      <c r="F1003" s="579"/>
      <c r="G1003" s="100"/>
      <c r="H1003" s="601"/>
      <c r="I1003" s="100"/>
      <c r="J1003" s="583"/>
      <c r="K1003" s="100"/>
      <c r="L1003" s="579"/>
      <c r="M1003" s="87"/>
      <c r="N1003" s="87"/>
      <c r="O1003" s="87"/>
      <c r="P1003" s="87"/>
      <c r="Q1003" s="87"/>
      <c r="R1003" s="87"/>
      <c r="S1003" s="87"/>
      <c r="T1003" s="87"/>
      <c r="U1003" s="87"/>
      <c r="V1003" s="87"/>
      <c r="W1003" s="87"/>
      <c r="X1003" s="87"/>
      <c r="Y1003" s="87"/>
    </row>
    <row r="1004">
      <c r="A1004" s="100"/>
      <c r="B1004" s="579"/>
      <c r="C1004" s="100"/>
      <c r="D1004" s="579"/>
      <c r="E1004" s="100"/>
      <c r="F1004" s="579"/>
      <c r="G1004" s="100"/>
      <c r="H1004" s="601"/>
      <c r="I1004" s="100"/>
      <c r="J1004" s="583"/>
      <c r="K1004" s="100"/>
      <c r="L1004" s="579"/>
      <c r="M1004" s="87"/>
      <c r="N1004" s="87"/>
      <c r="O1004" s="87"/>
      <c r="P1004" s="87"/>
      <c r="Q1004" s="87"/>
      <c r="R1004" s="87"/>
      <c r="S1004" s="87"/>
      <c r="T1004" s="87"/>
      <c r="U1004" s="87"/>
      <c r="V1004" s="87"/>
      <c r="W1004" s="87"/>
      <c r="X1004" s="87"/>
      <c r="Y1004" s="87"/>
    </row>
    <row r="1005">
      <c r="A1005" s="100"/>
      <c r="B1005" s="579"/>
      <c r="C1005" s="100"/>
      <c r="D1005" s="579"/>
      <c r="E1005" s="100"/>
      <c r="F1005" s="579"/>
      <c r="G1005" s="100"/>
      <c r="H1005" s="601"/>
      <c r="I1005" s="100"/>
      <c r="J1005" s="583"/>
      <c r="K1005" s="100"/>
      <c r="L1005" s="579"/>
      <c r="M1005" s="87"/>
      <c r="N1005" s="87"/>
      <c r="O1005" s="87"/>
      <c r="P1005" s="87"/>
      <c r="Q1005" s="87"/>
      <c r="R1005" s="87"/>
      <c r="S1005" s="87"/>
      <c r="T1005" s="87"/>
      <c r="U1005" s="87"/>
      <c r="V1005" s="87"/>
      <c r="W1005" s="87"/>
      <c r="X1005" s="87"/>
      <c r="Y1005" s="87"/>
    </row>
    <row r="1006">
      <c r="A1006" s="100"/>
      <c r="B1006" s="579"/>
      <c r="C1006" s="100"/>
      <c r="D1006" s="579"/>
      <c r="E1006" s="100"/>
      <c r="F1006" s="579"/>
      <c r="G1006" s="100"/>
      <c r="H1006" s="601"/>
      <c r="I1006" s="100"/>
      <c r="J1006" s="583"/>
      <c r="K1006" s="100"/>
      <c r="L1006" s="579"/>
      <c r="M1006" s="87"/>
      <c r="N1006" s="87"/>
      <c r="O1006" s="87"/>
      <c r="P1006" s="87"/>
      <c r="Q1006" s="87"/>
      <c r="R1006" s="87"/>
      <c r="S1006" s="87"/>
      <c r="T1006" s="87"/>
      <c r="U1006" s="87"/>
      <c r="V1006" s="87"/>
      <c r="W1006" s="87"/>
      <c r="X1006" s="87"/>
      <c r="Y1006" s="87"/>
    </row>
    <row r="1007">
      <c r="A1007" s="100"/>
      <c r="B1007" s="579"/>
      <c r="C1007" s="100"/>
      <c r="D1007" s="579"/>
      <c r="E1007" s="100"/>
      <c r="F1007" s="579"/>
      <c r="G1007" s="100"/>
      <c r="H1007" s="601"/>
      <c r="I1007" s="100"/>
      <c r="J1007" s="583"/>
      <c r="K1007" s="100"/>
      <c r="L1007" s="579"/>
      <c r="M1007" s="87"/>
      <c r="N1007" s="87"/>
      <c r="O1007" s="87"/>
      <c r="P1007" s="87"/>
      <c r="Q1007" s="87"/>
      <c r="R1007" s="87"/>
      <c r="S1007" s="87"/>
      <c r="T1007" s="87"/>
      <c r="U1007" s="87"/>
      <c r="V1007" s="87"/>
      <c r="W1007" s="87"/>
      <c r="X1007" s="87"/>
      <c r="Y1007" s="87"/>
    </row>
    <row r="1008">
      <c r="A1008" s="100"/>
      <c r="B1008" s="579"/>
      <c r="C1008" s="100"/>
      <c r="D1008" s="579"/>
      <c r="E1008" s="100"/>
      <c r="F1008" s="579"/>
      <c r="G1008" s="100"/>
      <c r="H1008" s="601"/>
      <c r="I1008" s="100"/>
      <c r="J1008" s="583"/>
      <c r="K1008" s="100"/>
      <c r="L1008" s="579"/>
      <c r="M1008" s="87"/>
      <c r="N1008" s="87"/>
      <c r="O1008" s="87"/>
      <c r="P1008" s="87"/>
      <c r="Q1008" s="87"/>
      <c r="R1008" s="87"/>
      <c r="S1008" s="87"/>
      <c r="T1008" s="87"/>
      <c r="U1008" s="87"/>
      <c r="V1008" s="87"/>
      <c r="W1008" s="87"/>
      <c r="X1008" s="87"/>
      <c r="Y1008" s="87"/>
    </row>
    <row r="1009">
      <c r="A1009" s="100"/>
      <c r="B1009" s="579"/>
      <c r="C1009" s="100"/>
      <c r="D1009" s="579"/>
      <c r="E1009" s="100"/>
      <c r="F1009" s="579"/>
      <c r="G1009" s="100"/>
      <c r="H1009" s="601"/>
      <c r="I1009" s="100"/>
      <c r="J1009" s="583"/>
      <c r="K1009" s="100"/>
      <c r="L1009" s="579"/>
      <c r="M1009" s="87"/>
      <c r="N1009" s="87"/>
      <c r="O1009" s="87"/>
      <c r="P1009" s="87"/>
      <c r="Q1009" s="87"/>
      <c r="R1009" s="87"/>
      <c r="S1009" s="87"/>
      <c r="T1009" s="87"/>
      <c r="U1009" s="87"/>
      <c r="V1009" s="87"/>
      <c r="W1009" s="87"/>
      <c r="X1009" s="87"/>
      <c r="Y1009" s="87"/>
    </row>
    <row r="1010">
      <c r="A1010" s="100"/>
      <c r="B1010" s="579"/>
      <c r="C1010" s="100"/>
      <c r="D1010" s="579"/>
      <c r="E1010" s="100"/>
      <c r="F1010" s="579"/>
      <c r="G1010" s="100"/>
      <c r="H1010" s="601"/>
      <c r="I1010" s="100"/>
      <c r="J1010" s="583"/>
      <c r="K1010" s="100"/>
      <c r="L1010" s="579"/>
      <c r="M1010" s="87"/>
      <c r="N1010" s="87"/>
      <c r="O1010" s="87"/>
      <c r="P1010" s="87"/>
      <c r="Q1010" s="87"/>
      <c r="R1010" s="87"/>
      <c r="S1010" s="87"/>
      <c r="T1010" s="87"/>
      <c r="U1010" s="87"/>
      <c r="V1010" s="87"/>
      <c r="W1010" s="87"/>
      <c r="X1010" s="87"/>
      <c r="Y1010" s="87"/>
    </row>
    <row r="1011">
      <c r="A1011" s="100"/>
      <c r="B1011" s="579"/>
      <c r="C1011" s="100"/>
      <c r="D1011" s="579"/>
      <c r="E1011" s="100"/>
      <c r="F1011" s="579"/>
      <c r="G1011" s="100"/>
      <c r="H1011" s="601"/>
      <c r="I1011" s="100"/>
      <c r="J1011" s="583"/>
      <c r="K1011" s="100"/>
      <c r="L1011" s="579"/>
      <c r="M1011" s="87"/>
      <c r="N1011" s="87"/>
      <c r="O1011" s="87"/>
      <c r="P1011" s="87"/>
      <c r="Q1011" s="87"/>
      <c r="R1011" s="87"/>
      <c r="S1011" s="87"/>
      <c r="T1011" s="87"/>
      <c r="U1011" s="87"/>
      <c r="V1011" s="87"/>
      <c r="W1011" s="87"/>
      <c r="X1011" s="87"/>
      <c r="Y1011" s="87"/>
    </row>
    <row r="1012">
      <c r="A1012" s="100"/>
      <c r="B1012" s="579"/>
      <c r="C1012" s="100"/>
      <c r="D1012" s="579"/>
      <c r="E1012" s="100"/>
      <c r="F1012" s="579"/>
      <c r="G1012" s="100"/>
      <c r="H1012" s="601"/>
      <c r="I1012" s="100"/>
      <c r="J1012" s="583"/>
      <c r="K1012" s="100"/>
      <c r="L1012" s="579"/>
      <c r="M1012" s="87"/>
      <c r="N1012" s="87"/>
      <c r="O1012" s="87"/>
      <c r="P1012" s="87"/>
      <c r="Q1012" s="87"/>
      <c r="R1012" s="87"/>
      <c r="S1012" s="87"/>
      <c r="T1012" s="87"/>
      <c r="U1012" s="87"/>
      <c r="V1012" s="87"/>
      <c r="W1012" s="87"/>
      <c r="X1012" s="87"/>
      <c r="Y1012" s="87"/>
    </row>
    <row r="1013">
      <c r="A1013" s="100"/>
      <c r="B1013" s="579"/>
      <c r="C1013" s="100"/>
      <c r="D1013" s="579"/>
      <c r="E1013" s="100"/>
      <c r="F1013" s="579"/>
      <c r="G1013" s="100"/>
      <c r="H1013" s="601"/>
      <c r="I1013" s="100"/>
      <c r="J1013" s="583"/>
      <c r="K1013" s="100"/>
      <c r="L1013" s="579"/>
      <c r="M1013" s="87"/>
      <c r="N1013" s="87"/>
      <c r="O1013" s="87"/>
      <c r="P1013" s="87"/>
      <c r="Q1013" s="87"/>
      <c r="R1013" s="87"/>
      <c r="S1013" s="87"/>
      <c r="T1013" s="87"/>
      <c r="U1013" s="87"/>
      <c r="V1013" s="87"/>
      <c r="W1013" s="87"/>
      <c r="X1013" s="87"/>
      <c r="Y1013" s="87"/>
    </row>
    <row r="1014">
      <c r="A1014" s="100"/>
      <c r="B1014" s="579"/>
      <c r="C1014" s="100"/>
      <c r="D1014" s="579"/>
      <c r="E1014" s="100"/>
      <c r="F1014" s="579"/>
      <c r="G1014" s="100"/>
      <c r="H1014" s="601"/>
      <c r="I1014" s="100"/>
      <c r="J1014" s="583"/>
      <c r="K1014" s="100"/>
      <c r="L1014" s="579"/>
      <c r="M1014" s="87"/>
      <c r="N1014" s="87"/>
      <c r="O1014" s="87"/>
      <c r="P1014" s="87"/>
      <c r="Q1014" s="87"/>
      <c r="R1014" s="87"/>
      <c r="S1014" s="87"/>
      <c r="T1014" s="87"/>
      <c r="U1014" s="87"/>
      <c r="V1014" s="87"/>
      <c r="W1014" s="87"/>
      <c r="X1014" s="87"/>
      <c r="Y1014" s="87"/>
    </row>
    <row r="1015">
      <c r="A1015" s="100"/>
      <c r="B1015" s="579"/>
      <c r="C1015" s="100"/>
      <c r="D1015" s="579"/>
      <c r="E1015" s="100"/>
      <c r="F1015" s="579"/>
      <c r="G1015" s="100"/>
      <c r="H1015" s="601"/>
      <c r="I1015" s="100"/>
      <c r="J1015" s="583"/>
      <c r="K1015" s="100"/>
      <c r="L1015" s="579"/>
      <c r="M1015" s="87"/>
      <c r="N1015" s="87"/>
      <c r="O1015" s="87"/>
      <c r="P1015" s="87"/>
      <c r="Q1015" s="87"/>
      <c r="R1015" s="87"/>
      <c r="S1015" s="87"/>
      <c r="T1015" s="87"/>
      <c r="U1015" s="87"/>
      <c r="V1015" s="87"/>
      <c r="W1015" s="87"/>
      <c r="X1015" s="87"/>
      <c r="Y1015" s="87"/>
    </row>
    <row r="1016">
      <c r="A1016" s="100"/>
      <c r="B1016" s="579"/>
      <c r="C1016" s="100"/>
      <c r="D1016" s="579"/>
      <c r="E1016" s="100"/>
      <c r="F1016" s="579"/>
      <c r="G1016" s="100"/>
      <c r="H1016" s="601"/>
      <c r="I1016" s="100"/>
      <c r="J1016" s="583"/>
      <c r="K1016" s="100"/>
      <c r="L1016" s="579"/>
      <c r="M1016" s="87"/>
      <c r="N1016" s="87"/>
      <c r="O1016" s="87"/>
      <c r="P1016" s="87"/>
      <c r="Q1016" s="87"/>
      <c r="R1016" s="87"/>
      <c r="S1016" s="87"/>
      <c r="T1016" s="87"/>
      <c r="U1016" s="87"/>
      <c r="V1016" s="87"/>
      <c r="W1016" s="87"/>
      <c r="X1016" s="87"/>
      <c r="Y1016" s="87"/>
    </row>
    <row r="1017">
      <c r="A1017" s="100"/>
      <c r="B1017" s="579"/>
      <c r="C1017" s="100"/>
      <c r="D1017" s="579"/>
      <c r="E1017" s="100"/>
      <c r="F1017" s="579"/>
      <c r="G1017" s="100"/>
      <c r="H1017" s="601"/>
      <c r="I1017" s="100"/>
      <c r="J1017" s="583"/>
      <c r="K1017" s="100"/>
      <c r="L1017" s="579"/>
      <c r="M1017" s="87"/>
      <c r="N1017" s="87"/>
      <c r="O1017" s="87"/>
      <c r="P1017" s="87"/>
      <c r="Q1017" s="87"/>
      <c r="R1017" s="87"/>
      <c r="S1017" s="87"/>
      <c r="T1017" s="87"/>
      <c r="U1017" s="87"/>
      <c r="V1017" s="87"/>
      <c r="W1017" s="87"/>
      <c r="X1017" s="87"/>
      <c r="Y1017" s="87"/>
    </row>
    <row r="1018">
      <c r="A1018" s="100"/>
      <c r="B1018" s="579"/>
      <c r="C1018" s="100"/>
      <c r="D1018" s="579"/>
      <c r="E1018" s="100"/>
      <c r="F1018" s="579"/>
      <c r="G1018" s="100"/>
      <c r="H1018" s="601"/>
      <c r="I1018" s="100"/>
      <c r="J1018" s="583"/>
      <c r="K1018" s="100"/>
      <c r="L1018" s="579"/>
      <c r="M1018" s="87"/>
      <c r="N1018" s="87"/>
      <c r="O1018" s="87"/>
      <c r="P1018" s="87"/>
      <c r="Q1018" s="87"/>
      <c r="R1018" s="87"/>
      <c r="S1018" s="87"/>
      <c r="T1018" s="87"/>
      <c r="U1018" s="87"/>
      <c r="V1018" s="87"/>
      <c r="W1018" s="87"/>
      <c r="X1018" s="87"/>
      <c r="Y1018" s="87"/>
    </row>
    <row r="1019">
      <c r="A1019" s="100"/>
      <c r="B1019" s="579"/>
      <c r="C1019" s="100"/>
      <c r="D1019" s="579"/>
      <c r="E1019" s="100"/>
      <c r="F1019" s="579"/>
      <c r="G1019" s="100"/>
      <c r="H1019" s="601"/>
      <c r="I1019" s="100"/>
      <c r="J1019" s="583"/>
      <c r="K1019" s="100"/>
      <c r="L1019" s="579"/>
      <c r="M1019" s="87"/>
      <c r="N1019" s="87"/>
      <c r="O1019" s="87"/>
      <c r="P1019" s="87"/>
      <c r="Q1019" s="87"/>
      <c r="R1019" s="87"/>
      <c r="S1019" s="87"/>
      <c r="T1019" s="87"/>
      <c r="U1019" s="87"/>
      <c r="V1019" s="87"/>
      <c r="W1019" s="87"/>
      <c r="X1019" s="87"/>
      <c r="Y1019" s="87"/>
    </row>
    <row r="1020">
      <c r="A1020" s="100"/>
      <c r="B1020" s="579"/>
      <c r="C1020" s="100"/>
      <c r="D1020" s="579"/>
      <c r="E1020" s="100"/>
      <c r="F1020" s="579"/>
      <c r="G1020" s="100"/>
      <c r="H1020" s="601"/>
      <c r="I1020" s="100"/>
      <c r="J1020" s="583"/>
      <c r="K1020" s="100"/>
      <c r="L1020" s="579"/>
      <c r="M1020" s="87"/>
      <c r="N1020" s="87"/>
      <c r="O1020" s="87"/>
      <c r="P1020" s="87"/>
      <c r="Q1020" s="87"/>
      <c r="R1020" s="87"/>
      <c r="S1020" s="87"/>
      <c r="T1020" s="87"/>
      <c r="U1020" s="87"/>
      <c r="V1020" s="87"/>
      <c r="W1020" s="87"/>
      <c r="X1020" s="87"/>
      <c r="Y1020" s="87"/>
    </row>
    <row r="1021">
      <c r="A1021" s="100"/>
      <c r="B1021" s="579"/>
      <c r="C1021" s="100"/>
      <c r="D1021" s="579"/>
      <c r="E1021" s="100"/>
      <c r="F1021" s="579"/>
      <c r="G1021" s="100"/>
      <c r="H1021" s="601"/>
      <c r="I1021" s="100"/>
      <c r="J1021" s="583"/>
      <c r="K1021" s="100"/>
      <c r="L1021" s="579"/>
      <c r="M1021" s="87"/>
      <c r="N1021" s="87"/>
      <c r="O1021" s="87"/>
      <c r="P1021" s="87"/>
      <c r="Q1021" s="87"/>
      <c r="R1021" s="87"/>
      <c r="S1021" s="87"/>
      <c r="T1021" s="87"/>
      <c r="U1021" s="87"/>
      <c r="V1021" s="87"/>
      <c r="W1021" s="87"/>
      <c r="X1021" s="87"/>
      <c r="Y1021" s="87"/>
    </row>
    <row r="1022">
      <c r="A1022" s="100"/>
      <c r="B1022" s="579"/>
      <c r="C1022" s="100"/>
      <c r="D1022" s="579"/>
      <c r="E1022" s="100"/>
      <c r="F1022" s="579"/>
      <c r="G1022" s="100"/>
      <c r="H1022" s="601"/>
      <c r="I1022" s="100"/>
      <c r="J1022" s="583"/>
      <c r="K1022" s="100"/>
      <c r="L1022" s="579"/>
      <c r="M1022" s="87"/>
      <c r="N1022" s="87"/>
      <c r="O1022" s="87"/>
      <c r="P1022" s="87"/>
      <c r="Q1022" s="87"/>
      <c r="R1022" s="87"/>
      <c r="S1022" s="87"/>
      <c r="T1022" s="87"/>
      <c r="U1022" s="87"/>
      <c r="V1022" s="87"/>
      <c r="W1022" s="87"/>
      <c r="X1022" s="87"/>
      <c r="Y1022" s="87"/>
    </row>
    <row r="1023">
      <c r="A1023" s="100"/>
      <c r="B1023" s="579"/>
      <c r="C1023" s="100"/>
      <c r="D1023" s="579"/>
      <c r="E1023" s="100"/>
      <c r="F1023" s="579"/>
      <c r="G1023" s="100"/>
      <c r="H1023" s="601"/>
      <c r="I1023" s="100"/>
      <c r="J1023" s="583"/>
      <c r="K1023" s="100"/>
      <c r="L1023" s="579"/>
      <c r="M1023" s="87"/>
      <c r="N1023" s="87"/>
      <c r="O1023" s="87"/>
      <c r="P1023" s="87"/>
      <c r="Q1023" s="87"/>
      <c r="R1023" s="87"/>
      <c r="S1023" s="87"/>
      <c r="T1023" s="87"/>
      <c r="U1023" s="87"/>
      <c r="V1023" s="87"/>
      <c r="W1023" s="87"/>
      <c r="X1023" s="87"/>
      <c r="Y1023" s="87"/>
    </row>
    <row r="1024">
      <c r="A1024" s="100"/>
      <c r="B1024" s="579"/>
      <c r="C1024" s="100"/>
      <c r="D1024" s="579"/>
      <c r="E1024" s="100"/>
      <c r="F1024" s="579"/>
      <c r="G1024" s="100"/>
      <c r="H1024" s="601"/>
      <c r="I1024" s="100"/>
      <c r="J1024" s="583"/>
      <c r="K1024" s="100"/>
      <c r="L1024" s="579"/>
      <c r="M1024" s="87"/>
      <c r="N1024" s="87"/>
      <c r="O1024" s="87"/>
      <c r="P1024" s="87"/>
      <c r="Q1024" s="87"/>
      <c r="R1024" s="87"/>
      <c r="S1024" s="87"/>
      <c r="T1024" s="87"/>
      <c r="U1024" s="87"/>
      <c r="V1024" s="87"/>
      <c r="W1024" s="87"/>
      <c r="X1024" s="87"/>
      <c r="Y1024" s="87"/>
    </row>
    <row r="1025">
      <c r="A1025" s="100"/>
      <c r="B1025" s="579"/>
      <c r="C1025" s="100"/>
      <c r="D1025" s="579"/>
      <c r="E1025" s="100"/>
      <c r="F1025" s="579"/>
      <c r="G1025" s="100"/>
      <c r="H1025" s="601"/>
      <c r="I1025" s="100"/>
      <c r="J1025" s="583"/>
      <c r="K1025" s="100"/>
      <c r="L1025" s="579"/>
      <c r="M1025" s="87"/>
      <c r="N1025" s="87"/>
      <c r="O1025" s="87"/>
      <c r="P1025" s="87"/>
      <c r="Q1025" s="87"/>
      <c r="R1025" s="87"/>
      <c r="S1025" s="87"/>
      <c r="T1025" s="87"/>
      <c r="U1025" s="87"/>
      <c r="V1025" s="87"/>
      <c r="W1025" s="87"/>
      <c r="X1025" s="87"/>
      <c r="Y1025" s="87"/>
    </row>
    <row r="1026">
      <c r="A1026" s="100"/>
      <c r="B1026" s="579"/>
      <c r="C1026" s="100"/>
      <c r="D1026" s="579"/>
      <c r="E1026" s="100"/>
      <c r="F1026" s="579"/>
      <c r="G1026" s="100"/>
      <c r="H1026" s="601"/>
      <c r="I1026" s="100"/>
      <c r="J1026" s="583"/>
      <c r="K1026" s="100"/>
      <c r="L1026" s="579"/>
      <c r="M1026" s="87"/>
      <c r="N1026" s="87"/>
      <c r="O1026" s="87"/>
      <c r="P1026" s="87"/>
      <c r="Q1026" s="87"/>
      <c r="R1026" s="87"/>
      <c r="S1026" s="87"/>
      <c r="T1026" s="87"/>
      <c r="U1026" s="87"/>
      <c r="V1026" s="87"/>
      <c r="W1026" s="87"/>
      <c r="X1026" s="87"/>
      <c r="Y1026" s="87"/>
    </row>
    <row r="1027">
      <c r="A1027" s="100"/>
      <c r="B1027" s="579"/>
      <c r="C1027" s="100"/>
      <c r="D1027" s="579"/>
      <c r="E1027" s="100"/>
      <c r="F1027" s="579"/>
      <c r="G1027" s="100"/>
      <c r="H1027" s="601"/>
      <c r="I1027" s="100"/>
      <c r="J1027" s="583"/>
      <c r="K1027" s="100"/>
      <c r="L1027" s="579"/>
      <c r="M1027" s="87"/>
      <c r="N1027" s="87"/>
      <c r="O1027" s="87"/>
      <c r="P1027" s="87"/>
      <c r="Q1027" s="87"/>
      <c r="R1027" s="87"/>
      <c r="S1027" s="87"/>
      <c r="T1027" s="87"/>
      <c r="U1027" s="87"/>
      <c r="V1027" s="87"/>
      <c r="W1027" s="87"/>
      <c r="X1027" s="87"/>
      <c r="Y1027" s="87"/>
    </row>
    <row r="1028">
      <c r="A1028" s="100"/>
      <c r="B1028" s="579"/>
      <c r="C1028" s="100"/>
      <c r="D1028" s="579"/>
      <c r="E1028" s="100"/>
      <c r="F1028" s="579"/>
      <c r="G1028" s="100"/>
      <c r="H1028" s="601"/>
      <c r="I1028" s="100"/>
      <c r="J1028" s="583"/>
      <c r="K1028" s="100"/>
      <c r="L1028" s="579"/>
      <c r="M1028" s="87"/>
      <c r="N1028" s="87"/>
      <c r="O1028" s="87"/>
      <c r="P1028" s="87"/>
      <c r="Q1028" s="87"/>
      <c r="R1028" s="87"/>
      <c r="S1028" s="87"/>
      <c r="T1028" s="87"/>
      <c r="U1028" s="87"/>
      <c r="V1028" s="87"/>
      <c r="W1028" s="87"/>
      <c r="X1028" s="87"/>
      <c r="Y1028" s="87"/>
    </row>
    <row r="1029">
      <c r="A1029" s="100"/>
      <c r="B1029" s="579"/>
      <c r="C1029" s="100"/>
      <c r="D1029" s="579"/>
      <c r="E1029" s="100"/>
      <c r="F1029" s="579"/>
      <c r="G1029" s="100"/>
      <c r="H1029" s="601"/>
      <c r="I1029" s="100"/>
      <c r="J1029" s="583"/>
      <c r="K1029" s="100"/>
      <c r="L1029" s="579"/>
      <c r="M1029" s="87"/>
      <c r="N1029" s="87"/>
      <c r="O1029" s="87"/>
      <c r="P1029" s="87"/>
      <c r="Q1029" s="87"/>
      <c r="R1029" s="87"/>
      <c r="S1029" s="87"/>
      <c r="T1029" s="87"/>
      <c r="U1029" s="87"/>
      <c r="V1029" s="87"/>
      <c r="W1029" s="87"/>
      <c r="X1029" s="87"/>
      <c r="Y1029" s="87"/>
    </row>
    <row r="1030">
      <c r="A1030" s="100"/>
      <c r="B1030" s="579"/>
      <c r="C1030" s="100"/>
      <c r="D1030" s="579"/>
      <c r="E1030" s="87"/>
      <c r="F1030" s="87"/>
      <c r="G1030" s="100"/>
      <c r="H1030" s="601"/>
      <c r="I1030" s="100"/>
      <c r="J1030" s="583"/>
      <c r="K1030" s="100"/>
      <c r="L1030" s="579"/>
      <c r="M1030" s="87"/>
      <c r="N1030" s="87"/>
      <c r="O1030" s="87"/>
      <c r="P1030" s="87"/>
      <c r="Q1030" s="87"/>
      <c r="R1030" s="87"/>
      <c r="S1030" s="87"/>
      <c r="T1030" s="87"/>
      <c r="U1030" s="87"/>
      <c r="V1030" s="87"/>
      <c r="W1030" s="87"/>
      <c r="X1030" s="87"/>
      <c r="Y1030" s="87"/>
    </row>
    <row r="1031">
      <c r="A1031" s="100"/>
      <c r="B1031" s="579"/>
      <c r="C1031" s="100"/>
      <c r="D1031" s="579"/>
      <c r="E1031" s="87"/>
      <c r="F1031" s="87"/>
      <c r="G1031" s="100"/>
      <c r="H1031" s="601"/>
      <c r="I1031" s="100"/>
      <c r="J1031" s="583"/>
      <c r="K1031" s="100"/>
      <c r="L1031" s="579"/>
      <c r="M1031" s="87"/>
      <c r="N1031" s="87"/>
      <c r="O1031" s="87"/>
      <c r="P1031" s="87"/>
      <c r="Q1031" s="87"/>
      <c r="R1031" s="87"/>
      <c r="S1031" s="87"/>
      <c r="T1031" s="87"/>
      <c r="U1031" s="87"/>
      <c r="V1031" s="87"/>
      <c r="W1031" s="87"/>
      <c r="X1031" s="87"/>
      <c r="Y1031" s="87"/>
    </row>
    <row r="1032">
      <c r="A1032" s="100"/>
      <c r="B1032" s="579"/>
      <c r="C1032" s="100"/>
      <c r="D1032" s="579"/>
      <c r="E1032" s="87"/>
      <c r="F1032" s="87"/>
      <c r="G1032" s="100"/>
      <c r="H1032" s="601"/>
      <c r="I1032" s="100"/>
      <c r="J1032" s="583"/>
      <c r="K1032" s="100"/>
      <c r="L1032" s="579"/>
      <c r="M1032" s="87"/>
      <c r="N1032" s="87"/>
      <c r="O1032" s="87"/>
      <c r="P1032" s="87"/>
      <c r="Q1032" s="87"/>
      <c r="R1032" s="87"/>
      <c r="S1032" s="87"/>
      <c r="T1032" s="87"/>
      <c r="U1032" s="87"/>
      <c r="V1032" s="87"/>
      <c r="W1032" s="87"/>
      <c r="X1032" s="87"/>
      <c r="Y1032" s="87"/>
    </row>
    <row r="1033">
      <c r="A1033" s="100"/>
      <c r="B1033" s="579"/>
      <c r="C1033" s="100"/>
      <c r="D1033" s="579"/>
      <c r="E1033" s="87"/>
      <c r="F1033" s="87"/>
      <c r="G1033" s="238"/>
      <c r="H1033" s="601"/>
      <c r="I1033" s="100"/>
      <c r="J1033" s="583"/>
      <c r="K1033" s="238"/>
      <c r="L1033" s="583"/>
      <c r="M1033" s="87"/>
      <c r="N1033" s="87"/>
      <c r="O1033" s="87"/>
      <c r="P1033" s="87"/>
      <c r="Q1033" s="87"/>
      <c r="R1033" s="87"/>
      <c r="S1033" s="87"/>
      <c r="T1033" s="87"/>
      <c r="U1033" s="87"/>
      <c r="V1033" s="87"/>
      <c r="W1033" s="87"/>
      <c r="X1033" s="87"/>
      <c r="Y1033" s="8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6" max="26" width="34.5"/>
    <col customWidth="1" min="27" max="27" width="19.5"/>
    <col customWidth="1" min="28" max="28" width="16.75"/>
    <col customWidth="1" min="29" max="29" width="17.0"/>
    <col customWidth="1" min="30" max="30" width="34.75"/>
    <col customWidth="1" min="31" max="31" width="19.75"/>
    <col customWidth="1" min="32" max="32" width="19.88"/>
    <col customWidth="1" min="33" max="33" width="17.0"/>
    <col customWidth="1" min="34" max="34" width="34.75"/>
    <col customWidth="1" min="35" max="35" width="19.75"/>
    <col customWidth="1" min="36" max="36" width="19.88"/>
    <col customWidth="1" min="37" max="37" width="19.75"/>
    <col customWidth="1" min="38" max="38" width="41.5"/>
    <col customWidth="1" min="39" max="39" width="21.75"/>
    <col customWidth="1" min="40" max="40" width="17.25"/>
    <col customWidth="1" min="41" max="41" width="17.13"/>
    <col customWidth="1" min="42" max="42" width="40.5"/>
    <col customWidth="1" min="43" max="43" width="19.75"/>
    <col customWidth="1" min="44" max="44" width="17.75"/>
    <col customWidth="1" min="45" max="46" width="16.75"/>
  </cols>
  <sheetData>
    <row r="1" ht="55.5" customHeight="1">
      <c r="A1" s="602" t="s">
        <v>13568</v>
      </c>
      <c r="B1" s="44" t="s">
        <v>13569</v>
      </c>
      <c r="C1" s="603" t="s">
        <v>13570</v>
      </c>
      <c r="D1" s="290" t="s">
        <v>13571</v>
      </c>
      <c r="E1" s="604" t="str">
        <f>IFERROR(__xludf.DUMMYFUNCTION("GOOGLETRANSLATE(A1,""zh-tw"",""ja"")"),"ステータス図")</f>
        <v>ステータス図</v>
      </c>
      <c r="F1" s="71" t="str">
        <f>IFERROR(__xludf.DUMMYFUNCTION("GOOGLETRANSLATE(B1,""zh-tw"",""ja"")"),"名前")</f>
        <v>名前</v>
      </c>
      <c r="G1" s="605" t="str">
        <f>IFERROR(__xludf.DUMMYFUNCTION("GOOGLETRANSLATE(C1,""zh-tw"",""ja"")"),"物語")</f>
        <v>物語</v>
      </c>
      <c r="H1" s="606" t="str">
        <f>IFERROR(__xludf.DUMMYFUNCTION("GOOGLETRANSLATE(D1,""zh-tw"",""ja"")"),"例えば")</f>
        <v>例えば</v>
      </c>
      <c r="I1" s="602" t="s">
        <v>13572</v>
      </c>
      <c r="J1" s="44" t="s">
        <v>13573</v>
      </c>
      <c r="K1" s="603" t="s">
        <v>13574</v>
      </c>
      <c r="L1" s="290" t="s">
        <v>13575</v>
      </c>
      <c r="M1" s="604" t="str">
        <f>IFERROR(__xludf.DUMMYFUNCTION("GOOGLETRANSLATE(A1,""zh-tw"",""zh"")"),"状态图示")</f>
        <v>状态图示</v>
      </c>
      <c r="N1" s="71" t="str">
        <f>IFERROR(__xludf.DUMMYFUNCTION("GOOGLETRANSLATE(B1,""zh-tw"",""zh"")"),"名称")</f>
        <v>名称</v>
      </c>
      <c r="O1" s="605" t="str">
        <f>IFERROR(__xludf.DUMMYFUNCTION("GOOGLETRANSLATE(C1,""zh-tw"",""zh"")"),"叙述")</f>
        <v>叙述</v>
      </c>
      <c r="P1" s="606" t="str">
        <f>IFERROR(__xludf.DUMMYFUNCTION("GOOGLETRANSLATE(D1,""zh-tw"",""zh"")"),"举例")</f>
        <v>举例</v>
      </c>
      <c r="Q1" s="604" t="str">
        <f>IFERROR(__xludf.DUMMYFUNCTION("GOOGLETRANSLATE(A1,""zh-tw"",""es-MX"")"),"Diagrama de estado")</f>
        <v>Diagrama de estado</v>
      </c>
      <c r="R1" s="71" t="str">
        <f>IFERROR(__xludf.DUMMYFUNCTION("GOOGLETRANSLATE(B1,""zh-tw"",""es-MX"")"),"nombre")</f>
        <v>nombre</v>
      </c>
      <c r="S1" s="605" t="str">
        <f>IFERROR(__xludf.DUMMYFUNCTION("GOOGLETRANSLATE(C1,""zh-tw"",""es-MX"")"),"Narrativo")</f>
        <v>Narrativo</v>
      </c>
      <c r="T1" s="606" t="str">
        <f>IFERROR(__xludf.DUMMYFUNCTION("GOOGLETRANSLATE(D1,""zh-tw"",""es-MX"")"),"Por ejemplo")</f>
        <v>Por ejemplo</v>
      </c>
      <c r="U1" s="604" t="str">
        <f>IFERROR(__xludf.DUMMYFUNCTION("GOOGLETRANSLATE(A1,""zh-tw"",""KO"")"),"상태도")</f>
        <v>상태도</v>
      </c>
      <c r="V1" s="71" t="str">
        <f>IFERROR(__xludf.DUMMYFUNCTION("GOOGLETRANSLATE(B1,""zh-tw"",""KO"")"),"이름")</f>
        <v>이름</v>
      </c>
      <c r="W1" s="605" t="str">
        <f>IFERROR(__xludf.DUMMYFUNCTION("GOOGLETRANSLATE(C1,""zh-tw"",""KO"")"),"이야기")</f>
        <v>이야기</v>
      </c>
      <c r="X1" s="606" t="str">
        <f>IFERROR(__xludf.DUMMYFUNCTION("GOOGLETRANSLATE(D1,""zh-tw"",""KO"")"),"예를 들어")</f>
        <v>예를 들어</v>
      </c>
      <c r="Y1" s="104" t="s">
        <v>13576</v>
      </c>
      <c r="Z1" s="106" t="s">
        <v>13577</v>
      </c>
      <c r="AA1" s="445" t="s">
        <v>13578</v>
      </c>
      <c r="AB1" s="105" t="s">
        <v>13579</v>
      </c>
      <c r="AC1" s="111" t="s">
        <v>13580</v>
      </c>
      <c r="AD1" s="113" t="s">
        <v>13581</v>
      </c>
      <c r="AE1" s="444" t="s">
        <v>4133</v>
      </c>
      <c r="AF1" s="112" t="s">
        <v>13582</v>
      </c>
      <c r="AG1" s="604" t="str">
        <f>IFERROR(__xludf.DUMMYFUNCTION("GOOGLETRANSLATE(A1,""zh-tw"",""DE"")"),"Statusdiagramm")</f>
        <v>Statusdiagramm</v>
      </c>
      <c r="AH1" s="71" t="str">
        <f>IFERROR(__xludf.DUMMYFUNCTION("GOOGLETRANSLATE(B1,""zh-tw"",""DE"")"),"Name")</f>
        <v>Name</v>
      </c>
      <c r="AI1" s="605" t="str">
        <f>IFERROR(__xludf.DUMMYFUNCTION("GOOGLETRANSLATE(C1,""zh-tw"",""DE"")"),"Erzählung")</f>
        <v>Erzählung</v>
      </c>
      <c r="AJ1" s="606" t="str">
        <f>IFERROR(__xludf.DUMMYFUNCTION("GOOGLETRANSLATE(D1,""zh-tw"",""DE"")"),"Zum Beispiel")</f>
        <v>Zum Beispiel</v>
      </c>
      <c r="AK1" s="607" t="s">
        <v>13583</v>
      </c>
      <c r="AL1" s="608" t="s">
        <v>13584</v>
      </c>
      <c r="AM1" s="609" t="s">
        <v>13585</v>
      </c>
      <c r="AN1" s="610" t="s">
        <v>7042</v>
      </c>
      <c r="AO1" s="611" t="s">
        <v>13586</v>
      </c>
      <c r="AP1" s="449" t="s">
        <v>13587</v>
      </c>
      <c r="AQ1" s="612" t="s">
        <v>13588</v>
      </c>
      <c r="AR1" s="613" t="s">
        <v>7046</v>
      </c>
      <c r="AS1" s="614"/>
      <c r="AT1" s="614"/>
    </row>
    <row r="2" ht="26.25" customHeight="1">
      <c r="A2" s="481" t="s">
        <v>13589</v>
      </c>
      <c r="B2" s="260" t="s">
        <v>13590</v>
      </c>
      <c r="C2" s="472" t="s">
        <v>1485</v>
      </c>
      <c r="D2" s="615" t="s">
        <v>13591</v>
      </c>
      <c r="E2" s="481" t="s">
        <v>13592</v>
      </c>
      <c r="F2" s="504" t="str">
        <f>IFERROR(__xludf.DUMMYFUNCTION("GOOGLETRANSLATE(B2,""zh-tw"",""ja"")"),"少し落ち着かない気分です")</f>
        <v>少し落ち着かない気分です</v>
      </c>
      <c r="G2" s="468" t="str">
        <f>IFERROR(__xludf.DUMMYFUNCTION("GOOGLETRANSLATE(C2,""zh-tw"",""ja"")"),"-")</f>
        <v>-</v>
      </c>
      <c r="H2" s="615" t="s">
        <v>13593</v>
      </c>
      <c r="I2" s="481" t="s">
        <v>13594</v>
      </c>
      <c r="J2" s="260" t="s">
        <v>13595</v>
      </c>
      <c r="K2" s="468" t="str">
        <f>IFERROR(__xludf.DUMMYFUNCTION("GOOGLETRANSLATE(C2,""zh-tw"",""en"")"),"-")</f>
        <v>-</v>
      </c>
      <c r="L2" s="615" t="s">
        <v>13596</v>
      </c>
      <c r="M2" s="467" t="str">
        <f>IFERROR(__xludf.DUMMYFUNCTION("GOOGLETRANSLATE(A2,""zh-tw"",""zh"")"),"兴奋")</f>
        <v>兴奋</v>
      </c>
      <c r="N2" s="504" t="str">
        <f>IFERROR(__xludf.DUMMYFUNCTION("GOOGLETRANSLATE(B2,""zh-tw"",""zh"")"),"感觉有些躁动")</f>
        <v>感觉有些躁动</v>
      </c>
      <c r="O2" s="468" t="str">
        <f>IFERROR(__xludf.DUMMYFUNCTION("GOOGLETRANSLATE(C2,""zh-tw"",""zh"")"),"-")</f>
        <v>-</v>
      </c>
      <c r="P2" s="616" t="str">
        <f>IFERROR(__xludf.DUMMYFUNCTION("GOOGLETRANSLATE(D2,""zh-tw"",""zh"")"),"哥哥有些性欲")</f>
        <v>哥哥有些性欲</v>
      </c>
      <c r="Q2" s="253" t="str">
        <f>IFERROR(__xludf.DUMMYFUNCTION("GOOGLETRANSLATE(A2,""zh-tw"",""es-MX"")"),"entusiasmado")</f>
        <v>entusiasmado</v>
      </c>
      <c r="R2" s="254" t="str">
        <f>IFERROR(__xludf.DUMMYFUNCTION("GOOGLETRANSLATE(B2,""zh-tw"",""es-MX"")"),"Me siento un poco inquieto")</f>
        <v>Me siento un poco inquieto</v>
      </c>
      <c r="S2" s="463" t="str">
        <f>IFERROR(__xludf.DUMMYFUNCTION("GOOGLETRANSLATE(C2,""zh-tw"",""es-MX"")"),"-")</f>
        <v>-</v>
      </c>
      <c r="T2" s="252" t="str">
        <f>IFERROR(__xludf.DUMMYFUNCTION("GOOGLETRANSLATE(D2,""zh-tw"",""es-MX"")"),"Mi hermano tiene cierto deseo sexual.")</f>
        <v>Mi hermano tiene cierto deseo sexual.</v>
      </c>
      <c r="U2" s="617" t="s">
        <v>13597</v>
      </c>
      <c r="V2" s="205" t="s">
        <v>13598</v>
      </c>
      <c r="W2" s="463" t="str">
        <f>IFERROR(__xludf.DUMMYFUNCTION("GOOGLETRANSLATE(C2,""zh-tw"",""KO"")"),"-")</f>
        <v>-</v>
      </c>
      <c r="X2" s="200" t="s">
        <v>13599</v>
      </c>
      <c r="Y2" s="192" t="s">
        <v>13600</v>
      </c>
      <c r="Z2" s="194" t="s">
        <v>13601</v>
      </c>
      <c r="AA2" s="464" t="str">
        <f>IFERROR(__xludf.DUMMYFUNCTION("GOOGLETRANSLATE(AM2,""zh-tw"",""en"")"),"-")</f>
        <v>-</v>
      </c>
      <c r="AB2" s="193" t="s">
        <v>13602</v>
      </c>
      <c r="AC2" s="253" t="s">
        <v>13603</v>
      </c>
      <c r="AD2" s="254" t="s">
        <v>13604</v>
      </c>
      <c r="AE2" s="463" t="s">
        <v>1485</v>
      </c>
      <c r="AF2" s="252" t="s">
        <v>13605</v>
      </c>
      <c r="AG2" s="467" t="str">
        <f>IFERROR(__xludf.DUMMYFUNCTION("GOOGLETRANSLATE(A2,""zh-tw"",""DE"")"),"aufgeregt")</f>
        <v>aufgeregt</v>
      </c>
      <c r="AH2" s="504" t="str">
        <f>IFERROR(__xludf.DUMMYFUNCTION("GOOGLETRANSLATE(B2,""zh-tw"",""DE"")"),"Ich fühle mich etwas unruhig")</f>
        <v>Ich fühle mich etwas unruhig</v>
      </c>
      <c r="AI2" s="468" t="str">
        <f>IFERROR(__xludf.DUMMYFUNCTION("GOOGLETRANSLATE(C2,""zh-tw"",""DE"")"),"-")</f>
        <v>-</v>
      </c>
      <c r="AJ2" s="616" t="str">
        <f>IFERROR(__xludf.DUMMYFUNCTION("GOOGLETRANSLATE(D2,""zh-tw"",""DE"")"),"Mein Bruder hat sexuelle Bedürfnisse.")</f>
        <v>Mein Bruder hat sexuelle Bedürfnisse.</v>
      </c>
      <c r="AK2" s="157" t="s">
        <v>13606</v>
      </c>
      <c r="AL2" s="521" t="s">
        <v>13607</v>
      </c>
      <c r="AM2" s="618" t="s">
        <v>1485</v>
      </c>
      <c r="AN2" s="619" t="s">
        <v>13608</v>
      </c>
      <c r="AO2" s="192" t="s">
        <v>13609</v>
      </c>
      <c r="AP2" s="194" t="s">
        <v>13610</v>
      </c>
      <c r="AQ2" s="464" t="s">
        <v>1485</v>
      </c>
      <c r="AR2" s="193" t="s">
        <v>13611</v>
      </c>
      <c r="AS2" s="620"/>
      <c r="AT2" s="620"/>
    </row>
    <row r="3" ht="26.25" customHeight="1">
      <c r="A3" s="481" t="s">
        <v>13589</v>
      </c>
      <c r="B3" s="260" t="s">
        <v>13612</v>
      </c>
      <c r="C3" s="472" t="s">
        <v>1485</v>
      </c>
      <c r="D3" s="615" t="s">
        <v>13613</v>
      </c>
      <c r="E3" s="481" t="s">
        <v>13592</v>
      </c>
      <c r="F3" s="504" t="str">
        <f>IFERROR(__xludf.DUMMYFUNCTION("GOOGLETRANSLATE(B3,""zh-tw"",""ja"")"),"私の体全体が何らかの刺激を求めている。")</f>
        <v>私の体全体が何らかの刺激を求めている。</v>
      </c>
      <c r="G3" s="472" t="s">
        <v>1485</v>
      </c>
      <c r="H3" s="615" t="s">
        <v>13614</v>
      </c>
      <c r="I3" s="481" t="s">
        <v>13594</v>
      </c>
      <c r="J3" s="260" t="s">
        <v>13615</v>
      </c>
      <c r="K3" s="472" t="s">
        <v>1485</v>
      </c>
      <c r="L3" s="615" t="s">
        <v>13616</v>
      </c>
      <c r="M3" s="467" t="str">
        <f>IFERROR(__xludf.DUMMYFUNCTION("GOOGLETRANSLATE(A3,""zh-tw"",""zh"")"),"兴奋")</f>
        <v>兴奋</v>
      </c>
      <c r="N3" s="504" t="str">
        <f>IFERROR(__xludf.DUMMYFUNCTION("GOOGLETRANSLATE(B3,""zh-tw"",""zh"")"),"全身都在渴望着某种刺激")</f>
        <v>全身都在渴望着某种刺激</v>
      </c>
      <c r="O3" s="468" t="str">
        <f>IFERROR(__xludf.DUMMYFUNCTION("GOOGLETRANSLATE(C3,""zh-tw"",""zh"")"),"-")</f>
        <v>-</v>
      </c>
      <c r="P3" s="616" t="str">
        <f>IFERROR(__xludf.DUMMYFUNCTION("GOOGLETRANSLATE(D3,""zh-tw"",""zh"")"),"哥哥有许多性欲")</f>
        <v>哥哥有许多性欲</v>
      </c>
      <c r="Q3" s="253" t="str">
        <f>IFERROR(__xludf.DUMMYFUNCTION("GOOGLETRANSLATE(A3,""zh-tw"",""es-MX"")"),"entusiasmado")</f>
        <v>entusiasmado</v>
      </c>
      <c r="R3" s="254" t="str">
        <f>IFERROR(__xludf.DUMMYFUNCTION("GOOGLETRANSLATE(B3,""zh-tw"",""es-MX"")"),"Todo mi cuerpo anhela algún tipo de estimulación.")</f>
        <v>Todo mi cuerpo anhela algún tipo de estimulación.</v>
      </c>
      <c r="S3" s="463" t="str">
        <f>IFERROR(__xludf.DUMMYFUNCTION("GOOGLETRANSLATE(C3,""zh-tw"",""es-MX"")"),"-")</f>
        <v>-</v>
      </c>
      <c r="T3" s="252" t="str">
        <f>IFERROR(__xludf.DUMMYFUNCTION("GOOGLETRANSLATE(D3,""zh-tw"",""es-MX"")"),"Mi hermano tiene un alto deseo sexual.")</f>
        <v>Mi hermano tiene un alto deseo sexual.</v>
      </c>
      <c r="U3" s="617" t="s">
        <v>13597</v>
      </c>
      <c r="V3" s="205" t="s">
        <v>13617</v>
      </c>
      <c r="W3" s="463" t="str">
        <f>IFERROR(__xludf.DUMMYFUNCTION("GOOGLETRANSLATE(C3,""zh-tw"",""KO"")"),"-")</f>
        <v>-</v>
      </c>
      <c r="X3" s="200" t="s">
        <v>13618</v>
      </c>
      <c r="Y3" s="192" t="s">
        <v>13600</v>
      </c>
      <c r="Z3" s="194" t="s">
        <v>13619</v>
      </c>
      <c r="AA3" s="464" t="str">
        <f>IFERROR(__xludf.DUMMYFUNCTION("GOOGLETRANSLATE(AM3,""zh-tw"",""en"")"),"-")</f>
        <v>-</v>
      </c>
      <c r="AB3" s="193" t="s">
        <v>13620</v>
      </c>
      <c r="AC3" s="253" t="s">
        <v>13603</v>
      </c>
      <c r="AD3" s="254" t="s">
        <v>13621</v>
      </c>
      <c r="AE3" s="463" t="s">
        <v>1485</v>
      </c>
      <c r="AF3" s="252" t="s">
        <v>13622</v>
      </c>
      <c r="AG3" s="467" t="str">
        <f>IFERROR(__xludf.DUMMYFUNCTION("GOOGLETRANSLATE(A3,""zh-tw"",""DE"")"),"aufgeregt")</f>
        <v>aufgeregt</v>
      </c>
      <c r="AH3" s="504" t="str">
        <f>IFERROR(__xludf.DUMMYFUNCTION("GOOGLETRANSLATE(B3,""zh-tw"",""DE"")"),"Mein ganzer Körper verlangt nach irgendeiner Art von Stimulation.")</f>
        <v>Mein ganzer Körper verlangt nach irgendeiner Art von Stimulation.</v>
      </c>
      <c r="AI3" s="468" t="str">
        <f>IFERROR(__xludf.DUMMYFUNCTION("GOOGLETRANSLATE(C3,""zh-tw"",""DE"")"),"-")</f>
        <v>-</v>
      </c>
      <c r="AJ3" s="616" t="str">
        <f>IFERROR(__xludf.DUMMYFUNCTION("GOOGLETRANSLATE(D3,""zh-tw"",""DE"")"),"Mein Bruder hat einen starken Sexualtrieb.")</f>
        <v>Mein Bruder hat einen starken Sexualtrieb.</v>
      </c>
      <c r="AK3" s="157" t="s">
        <v>13606</v>
      </c>
      <c r="AL3" s="521" t="s">
        <v>13623</v>
      </c>
      <c r="AM3" s="618" t="s">
        <v>1485</v>
      </c>
      <c r="AN3" s="619" t="s">
        <v>13624</v>
      </c>
      <c r="AO3" s="192" t="s">
        <v>13609</v>
      </c>
      <c r="AP3" s="194" t="s">
        <v>13625</v>
      </c>
      <c r="AQ3" s="464" t="s">
        <v>1485</v>
      </c>
      <c r="AR3" s="193" t="s">
        <v>13626</v>
      </c>
      <c r="AS3" s="620"/>
      <c r="AT3" s="620"/>
    </row>
    <row r="4" ht="26.25" customHeight="1">
      <c r="A4" s="481" t="s">
        <v>13589</v>
      </c>
      <c r="B4" s="260" t="s">
        <v>13627</v>
      </c>
      <c r="C4" s="472" t="s">
        <v>1485</v>
      </c>
      <c r="D4" s="615" t="s">
        <v>13628</v>
      </c>
      <c r="E4" s="481" t="s">
        <v>13592</v>
      </c>
      <c r="F4" s="504" t="str">
        <f>IFERROR(__xludf.DUMMYFUNCTION("GOOGLETRANSLATE(B4,""zh-tw"",""ja"")"),"もう自分をコントロールできない。")</f>
        <v>もう自分をコントロールできない。</v>
      </c>
      <c r="G4" s="472" t="s">
        <v>1485</v>
      </c>
      <c r="H4" s="615" t="s">
        <v>13629</v>
      </c>
      <c r="I4" s="481" t="s">
        <v>13594</v>
      </c>
      <c r="J4" s="260" t="s">
        <v>13630</v>
      </c>
      <c r="K4" s="472" t="s">
        <v>1485</v>
      </c>
      <c r="L4" s="615" t="s">
        <v>13631</v>
      </c>
      <c r="M4" s="467" t="str">
        <f>IFERROR(__xludf.DUMMYFUNCTION("GOOGLETRANSLATE(A4,""zh-tw"",""zh"")"),"兴奋")</f>
        <v>兴奋</v>
      </c>
      <c r="N4" s="504" t="str">
        <f>IFERROR(__xludf.DUMMYFUNCTION("GOOGLETRANSLATE(B4,""zh-tw"",""zh"")"),"要控制不住自己了")</f>
        <v>要控制不住自己了</v>
      </c>
      <c r="O4" s="468" t="str">
        <f>IFERROR(__xludf.DUMMYFUNCTION("GOOGLETRANSLATE(C4,""zh-tw"",""zh"")"),"-")</f>
        <v>-</v>
      </c>
      <c r="P4" s="616" t="str">
        <f>IFERROR(__xludf.DUMMYFUNCTION("GOOGLETRANSLATE(D4,""zh-tw"",""zh"")"),"哥哥更多性欲")</f>
        <v>哥哥更多性欲</v>
      </c>
      <c r="Q4" s="253" t="str">
        <f>IFERROR(__xludf.DUMMYFUNCTION("GOOGLETRANSLATE(A4,""zh-tw"",""es-MX"")"),"entusiasmado")</f>
        <v>entusiasmado</v>
      </c>
      <c r="R4" s="254" t="str">
        <f>IFERROR(__xludf.DUMMYFUNCTION("GOOGLETRANSLATE(B4,""zh-tw"",""es-MX"")"),"Ya no puedo controlarme.")</f>
        <v>Ya no puedo controlarme.</v>
      </c>
      <c r="S4" s="463" t="str">
        <f>IFERROR(__xludf.DUMMYFUNCTION("GOOGLETRANSLATE(C4,""zh-tw"",""es-MX"")"),"-")</f>
        <v>-</v>
      </c>
      <c r="T4" s="252" t="str">
        <f>IFERROR(__xludf.DUMMYFUNCTION("GOOGLETRANSLATE(D4,""zh-tw"",""es-MX"")"),"El hermano mayor tiene un mayor deseo sexual.")</f>
        <v>El hermano mayor tiene un mayor deseo sexual.</v>
      </c>
      <c r="U4" s="617" t="s">
        <v>13597</v>
      </c>
      <c r="V4" s="205" t="s">
        <v>13632</v>
      </c>
      <c r="W4" s="463" t="str">
        <f>IFERROR(__xludf.DUMMYFUNCTION("GOOGLETRANSLATE(C4,""zh-tw"",""KO"")"),"-")</f>
        <v>-</v>
      </c>
      <c r="X4" s="200" t="s">
        <v>13633</v>
      </c>
      <c r="Y4" s="192" t="s">
        <v>13600</v>
      </c>
      <c r="Z4" s="194" t="s">
        <v>13634</v>
      </c>
      <c r="AA4" s="464" t="str">
        <f>IFERROR(__xludf.DUMMYFUNCTION("GOOGLETRANSLATE(AM4,""zh-tw"",""en"")"),"-")</f>
        <v>-</v>
      </c>
      <c r="AB4" s="193" t="s">
        <v>13635</v>
      </c>
      <c r="AC4" s="253" t="s">
        <v>13603</v>
      </c>
      <c r="AD4" s="254" t="s">
        <v>13636</v>
      </c>
      <c r="AE4" s="463" t="s">
        <v>1485</v>
      </c>
      <c r="AF4" s="252" t="s">
        <v>13637</v>
      </c>
      <c r="AG4" s="467" t="str">
        <f>IFERROR(__xludf.DUMMYFUNCTION("GOOGLETRANSLATE(A4,""zh-tw"",""DE"")"),"aufgeregt")</f>
        <v>aufgeregt</v>
      </c>
      <c r="AH4" s="504" t="str">
        <f>IFERROR(__xludf.DUMMYFUNCTION("GOOGLETRANSLATE(B4,""zh-tw"",""DE"")"),"Ich kann mich nicht mehr beherrschen.")</f>
        <v>Ich kann mich nicht mehr beherrschen.</v>
      </c>
      <c r="AI4" s="468" t="str">
        <f>IFERROR(__xludf.DUMMYFUNCTION("GOOGLETRANSLATE(C4,""zh-tw"",""DE"")"),"-")</f>
        <v>-</v>
      </c>
      <c r="AJ4" s="616" t="str">
        <f>IFERROR(__xludf.DUMMYFUNCTION("GOOGLETRANSLATE(D4,""zh-tw"",""DE"")"),"Der ältere Bruder hat einen stärkeren Sexualtrieb.")</f>
        <v>Der ältere Bruder hat einen stärkeren Sexualtrieb.</v>
      </c>
      <c r="AK4" s="157" t="s">
        <v>13606</v>
      </c>
      <c r="AL4" s="521" t="s">
        <v>13638</v>
      </c>
      <c r="AM4" s="618" t="s">
        <v>1485</v>
      </c>
      <c r="AN4" s="619" t="s">
        <v>13639</v>
      </c>
      <c r="AO4" s="192" t="s">
        <v>13609</v>
      </c>
      <c r="AP4" s="194" t="s">
        <v>13640</v>
      </c>
      <c r="AQ4" s="464" t="s">
        <v>1485</v>
      </c>
      <c r="AR4" s="193" t="s">
        <v>13641</v>
      </c>
      <c r="AS4" s="620"/>
      <c r="AT4" s="620"/>
    </row>
    <row r="5">
      <c r="A5" s="481" t="s">
        <v>13642</v>
      </c>
      <c r="B5" s="260" t="s">
        <v>13643</v>
      </c>
      <c r="C5" s="472" t="s">
        <v>13644</v>
      </c>
      <c r="D5" s="615" t="s">
        <v>13645</v>
      </c>
      <c r="E5" s="481" t="s">
        <v>13646</v>
      </c>
      <c r="F5" s="504" t="str">
        <f>IFERROR(__xludf.DUMMYFUNCTION("GOOGLETRANSLATE(B5,""zh-tw"",""ja"")"),"うわぁ…")</f>
        <v>うわぁ…</v>
      </c>
      <c r="G5" s="472" t="s">
        <v>13647</v>
      </c>
      <c r="H5" s="615" t="s">
        <v>13648</v>
      </c>
      <c r="I5" s="481" t="s">
        <v>13649</v>
      </c>
      <c r="J5" s="260" t="s">
        <v>13650</v>
      </c>
      <c r="K5" s="472" t="s">
        <v>13651</v>
      </c>
      <c r="L5" s="615" t="s">
        <v>13652</v>
      </c>
      <c r="M5" s="467" t="str">
        <f>IFERROR(__xludf.DUMMYFUNCTION("GOOGLETRANSLATE(A5,""zh-tw"",""zh"")"),"兽人")</f>
        <v>兽人</v>
      </c>
      <c r="N5" s="504" t="str">
        <f>IFERROR(__xludf.DUMMYFUNCTION("GOOGLETRANSLATE(B5,""zh-tw"",""zh"")"),"唔噢噢噢噢.......!")</f>
        <v>唔噢噢噢噢.......!</v>
      </c>
      <c r="O5" s="468" t="str">
        <f>IFERROR(__xludf.DUMMYFUNCTION("GOOGLETRANSLATE(C5,""zh-tw"",""zh"")"),"扭曲为了满脑子都是欲望的Beast！")</f>
        <v>扭曲为了满脑子都是欲望的Beast！</v>
      </c>
      <c r="P5" s="616" t="str">
        <f>IFERROR(__xludf.DUMMYFUNCTION("GOOGLETRANSLATE(D5,""zh-tw"",""zh"")"),"哥哥性欲极高")</f>
        <v>哥哥性欲极高</v>
      </c>
      <c r="Q5" s="253" t="str">
        <f>IFERROR(__xludf.DUMMYFUNCTION("GOOGLETRANSLATE(A5,""zh-tw"",""es-MX"")"),"orcos")</f>
        <v>orcos</v>
      </c>
      <c r="R5" s="254" t="str">
        <f>IFERROR(__xludf.DUMMYFUNCTION("GOOGLETRANSLATE(B5,""zh-tw"",""es-MX"")"),"Ughh...")</f>
        <v>Ughh...</v>
      </c>
      <c r="S5" s="463" t="str">
        <f>IFERROR(__xludf.DUMMYFUNCTION("GOOGLETRANSLATE(C5,""zh-tw"",""es-MX"")"),"¡Se ha transformado en una bestia cuya mente está llena de deseo!")</f>
        <v>¡Se ha transformado en una bestia cuya mente está llena de deseo!</v>
      </c>
      <c r="T5" s="252" t="str">
        <f>IFERROR(__xludf.DUMMYFUNCTION("GOOGLETRANSLATE(D5,""zh-tw"",""es-MX"")"),"Mi hermano tiene un deseo sexual extremadamente alto.")</f>
        <v>Mi hermano tiene un deseo sexual extremadamente alto.</v>
      </c>
      <c r="U5" s="204" t="s">
        <v>13653</v>
      </c>
      <c r="V5" s="205" t="s">
        <v>13654</v>
      </c>
      <c r="W5" s="469" t="s">
        <v>13655</v>
      </c>
      <c r="X5" s="200" t="s">
        <v>13656</v>
      </c>
      <c r="Y5" s="192" t="s">
        <v>13657</v>
      </c>
      <c r="Z5" s="194" t="s">
        <v>13658</v>
      </c>
      <c r="AA5" s="464" t="s">
        <v>13659</v>
      </c>
      <c r="AB5" s="193" t="s">
        <v>13660</v>
      </c>
      <c r="AC5" s="253" t="s">
        <v>13657</v>
      </c>
      <c r="AD5" s="254" t="s">
        <v>13658</v>
      </c>
      <c r="AE5" s="463" t="s">
        <v>13661</v>
      </c>
      <c r="AF5" s="252" t="s">
        <v>13662</v>
      </c>
      <c r="AG5" s="467" t="str">
        <f>IFERROR(__xludf.DUMMYFUNCTION("GOOGLETRANSLATE(A5,""zh-tw"",""DE"")"),"Orks")</f>
        <v>Orks</v>
      </c>
      <c r="AH5" s="504" t="str">
        <f>IFERROR(__xludf.DUMMYFUNCTION("GOOGLETRANSLATE(B5,""zh-tw"",""DE"")"),"Ugh ...")</f>
        <v>Ugh ...</v>
      </c>
      <c r="AI5" s="468" t="str">
        <f>IFERROR(__xludf.DUMMYFUNCTION("GOOGLETRANSLATE(C5,""zh-tw"",""DE"")"),"Es wurde zu einem Ungeheuer verdreht, dessen Geist von Begierde erfüllt ist!")</f>
        <v>Es wurde zu einem Ungeheuer verdreht, dessen Geist von Begierde erfüllt ist!</v>
      </c>
      <c r="AJ5" s="616" t="str">
        <f>IFERROR(__xludf.DUMMYFUNCTION("GOOGLETRANSLATE(D5,""zh-tw"",""DE"")"),"Mein Bruder hat einen extrem hohen Sexualtrieb.")</f>
        <v>Mein Bruder hat einen extrem hohen Sexualtrieb.</v>
      </c>
      <c r="AK5" s="157" t="s">
        <v>13649</v>
      </c>
      <c r="AL5" s="268" t="s">
        <v>13663</v>
      </c>
      <c r="AM5" s="618" t="s">
        <v>13664</v>
      </c>
      <c r="AN5" s="619" t="s">
        <v>13665</v>
      </c>
      <c r="AO5" s="192" t="s">
        <v>13649</v>
      </c>
      <c r="AP5" s="194" t="s">
        <v>13650</v>
      </c>
      <c r="AQ5" s="469" t="s">
        <v>13666</v>
      </c>
      <c r="AR5" s="193" t="s">
        <v>13667</v>
      </c>
      <c r="AS5" s="620"/>
      <c r="AT5" s="620"/>
    </row>
    <row r="6">
      <c r="A6" s="481" t="s">
        <v>13668</v>
      </c>
      <c r="B6" s="260" t="s">
        <v>13669</v>
      </c>
      <c r="C6" s="472" t="s">
        <v>13670</v>
      </c>
      <c r="D6" s="615" t="s">
        <v>13671</v>
      </c>
      <c r="E6" s="481" t="s">
        <v>13672</v>
      </c>
      <c r="F6" s="260" t="s">
        <v>13673</v>
      </c>
      <c r="G6" s="468" t="str">
        <f>IFERROR(__xludf.DUMMYFUNCTION("GOOGLETRANSLATE(C6,""zh-tw"",""ja"")"),"賢者モードに入ると、全ての能力値が上昇する。")</f>
        <v>賢者モードに入ると、全ての能力値が上昇する。</v>
      </c>
      <c r="H6" s="615" t="s">
        <v>13674</v>
      </c>
      <c r="I6" s="481" t="s">
        <v>13675</v>
      </c>
      <c r="J6" s="260" t="s">
        <v>13676</v>
      </c>
      <c r="K6" s="472" t="s">
        <v>13677</v>
      </c>
      <c r="L6" s="615" t="s">
        <v>13678</v>
      </c>
      <c r="M6" s="467" t="str">
        <f>IFERROR(__xludf.DUMMYFUNCTION("GOOGLETRANSLATE(A6,""zh-tw"",""zh"")"),"贤者")</f>
        <v>贤者</v>
      </c>
      <c r="N6" s="504" t="str">
        <f>IFERROR(__xludf.DUMMYFUNCTION("GOOGLETRANSLATE(B6,""zh-tw"",""zh"")"),"现在我感觉自己无所不能。")</f>
        <v>现在我感觉自己无所不能。</v>
      </c>
      <c r="O6" s="468" t="str">
        <f>IFERROR(__xludf.DUMMYFUNCTION("GOOGLETRANSLATE(C6,""zh-tw"",""zh"")"),"进入了贤者模式，全属性上升")</f>
        <v>进入了贤者模式，全属性上升</v>
      </c>
      <c r="P6" s="616" t="str">
        <f>IFERROR(__xludf.DUMMYFUNCTION("GOOGLETRANSLATE(D6,""zh-tw"",""zh"")"),"哥哥毫无性欲")</f>
        <v>哥哥毫无性欲</v>
      </c>
      <c r="Q6" s="253" t="str">
        <f>IFERROR(__xludf.DUMMYFUNCTION("GOOGLETRANSLATE(A6,""zh-tw"",""es-MX"")"),"Sabio")</f>
        <v>Sabio</v>
      </c>
      <c r="R6" s="254" t="str">
        <f>IFERROR(__xludf.DUMMYFUNCTION("GOOGLETRANSLATE(B6,""zh-tw"",""es-MX"")"),"Siento que puedo hacer cualquier cosa ahora mismo.")</f>
        <v>Siento que puedo hacer cualquier cosa ahora mismo.</v>
      </c>
      <c r="S6" s="463" t="str">
        <f>IFERROR(__xludf.DUMMYFUNCTION("GOOGLETRANSLATE(C6,""zh-tw"",""es-MX"")"),"Al entrar en el Modo Sabio, todos los atributos aumentan.")</f>
        <v>Al entrar en el Modo Sabio, todos los atributos aumentan.</v>
      </c>
      <c r="T6" s="252" t="str">
        <f>IFERROR(__xludf.DUMMYFUNCTION("GOOGLETRANSLATE(D6,""zh-tw"",""es-MX"")"),"Mi hermano no tiene deseo sexual.")</f>
        <v>Mi hermano no tiene deseo sexual.</v>
      </c>
      <c r="U6" s="617" t="s">
        <v>13679</v>
      </c>
      <c r="V6" s="205" t="s">
        <v>13680</v>
      </c>
      <c r="W6" s="469" t="s">
        <v>13681</v>
      </c>
      <c r="X6" s="200" t="s">
        <v>13682</v>
      </c>
      <c r="Y6" s="192" t="s">
        <v>13683</v>
      </c>
      <c r="Z6" s="194" t="s">
        <v>13684</v>
      </c>
      <c r="AA6" s="464" t="s">
        <v>13685</v>
      </c>
      <c r="AB6" s="193" t="s">
        <v>13686</v>
      </c>
      <c r="AC6" s="253" t="s">
        <v>13687</v>
      </c>
      <c r="AD6" s="254" t="s">
        <v>13688</v>
      </c>
      <c r="AE6" s="463" t="s">
        <v>13689</v>
      </c>
      <c r="AF6" s="252" t="s">
        <v>13690</v>
      </c>
      <c r="AG6" s="467" t="str">
        <f>IFERROR(__xludf.DUMMYFUNCTION("GOOGLETRANSLATE(A6,""zh-tw"",""DE"")"),"Salbei")</f>
        <v>Salbei</v>
      </c>
      <c r="AH6" s="504" t="str">
        <f>IFERROR(__xludf.DUMMYFUNCTION("GOOGLETRANSLATE(B6,""zh-tw"",""DE"")"),"Ich habe das Gefühl, ich kann im Moment alles schaffen.")</f>
        <v>Ich habe das Gefühl, ich kann im Moment alles schaffen.</v>
      </c>
      <c r="AI6" s="468" t="str">
        <f>IFERROR(__xludf.DUMMYFUNCTION("GOOGLETRANSLATE(C6,""zh-tw"",""DE"")"),"Beim Aktivieren des Sage-Modus erhöhen sich alle Attribute.")</f>
        <v>Beim Aktivieren des Sage-Modus erhöhen sich alle Attribute.</v>
      </c>
      <c r="AJ6" s="616" t="str">
        <f>IFERROR(__xludf.DUMMYFUNCTION("GOOGLETRANSLATE(D6,""zh-tw"",""DE"")"),"Mein Bruder hat kein sexuelles Verlangen.")</f>
        <v>Mein Bruder hat kein sexuelles Verlangen.</v>
      </c>
      <c r="AK6" s="157" t="s">
        <v>13691</v>
      </c>
      <c r="AL6" s="268" t="s">
        <v>13692</v>
      </c>
      <c r="AM6" s="621" t="s">
        <v>13693</v>
      </c>
      <c r="AN6" s="619" t="s">
        <v>13694</v>
      </c>
      <c r="AO6" s="192" t="s">
        <v>13695</v>
      </c>
      <c r="AP6" s="194" t="s">
        <v>13696</v>
      </c>
      <c r="AQ6" s="464" t="s">
        <v>13697</v>
      </c>
      <c r="AR6" s="193" t="s">
        <v>13698</v>
      </c>
      <c r="AS6" s="620"/>
      <c r="AT6" s="620"/>
    </row>
    <row r="7">
      <c r="A7" s="481" t="s">
        <v>13699</v>
      </c>
      <c r="B7" s="260" t="s">
        <v>1485</v>
      </c>
      <c r="C7" s="472" t="s">
        <v>13700</v>
      </c>
      <c r="D7" s="615" t="s">
        <v>13701</v>
      </c>
      <c r="E7" s="467" t="str">
        <f>IFERROR(__xludf.DUMMYFUNCTION("GOOGLETRANSLATE(A7,""zh-tw"",""ja"")"),"集中")</f>
        <v>集中</v>
      </c>
      <c r="F7" s="504" t="str">
        <f>IFERROR(__xludf.DUMMYFUNCTION("GOOGLETRANSLATE(B7,""zh-tw"",""ja"")"),"-")</f>
        <v>-</v>
      </c>
      <c r="G7" s="472" t="s">
        <v>13702</v>
      </c>
      <c r="H7" s="615" t="s">
        <v>13703</v>
      </c>
      <c r="I7" s="481" t="s">
        <v>13704</v>
      </c>
      <c r="J7" s="504" t="str">
        <f>IFERROR(__xludf.DUMMYFUNCTION("GOOGLETRANSLATE(B7,""zh-tw"",""en"")"),"-")</f>
        <v>-</v>
      </c>
      <c r="K7" s="472" t="s">
        <v>13705</v>
      </c>
      <c r="L7" s="615" t="s">
        <v>13706</v>
      </c>
      <c r="M7" s="467" t="str">
        <f>IFERROR(__xludf.DUMMYFUNCTION("GOOGLETRANSLATE(A7,""zh-tw"",""zh"")"),"专注")</f>
        <v>专注</v>
      </c>
      <c r="N7" s="504" t="str">
        <f>IFERROR(__xludf.DUMMYFUNCTION("GOOGLETRANSLATE(B7,""zh-tw"",""zh"")"),"-")</f>
        <v>-</v>
      </c>
      <c r="O7" s="468" t="str">
        <f>IFERROR(__xludf.DUMMYFUNCTION("GOOGLETRANSLATE(C7,""zh-tw"",""zh"")"),"集中精力为下一击做准被，移动速度下降")</f>
        <v>集中精力为下一击做准被，移动速度下降</v>
      </c>
      <c r="P7" s="616" t="str">
        <f>IFERROR(__xludf.DUMMYFUNCTION("GOOGLETRANSLATE(D7,""zh-tw"",""zh"")"),"近战武器滑鼠右键")</f>
        <v>近战武器滑鼠右键</v>
      </c>
      <c r="Q7" s="253" t="str">
        <f>IFERROR(__xludf.DUMMYFUNCTION("GOOGLETRANSLATE(A7,""zh-tw"",""es-MX"")"),"Enfocar")</f>
        <v>Enfocar</v>
      </c>
      <c r="R7" s="254" t="str">
        <f>IFERROR(__xludf.DUMMYFUNCTION("GOOGLETRANSLATE(B7,""zh-tw"",""es-MX"")"),"-")</f>
        <v>-</v>
      </c>
      <c r="S7" s="463" t="str">
        <f>IFERROR(__xludf.DUMMYFUNCTION("GOOGLETRANSLATE(C7,""zh-tw"",""es-MX"")"),"Concentrarse en prepararse para el siguiente ataque reduce la velocidad de movimiento.")</f>
        <v>Concentrarse en prepararse para el siguiente ataque reduce la velocidad de movimiento.</v>
      </c>
      <c r="T7" s="252" t="str">
        <f>IFERROR(__xludf.DUMMYFUNCTION("GOOGLETRANSLATE(D7,""zh-tw"",""es-MX"")"),"Botón derecho del ratón para arma cuerpo a cuerpo")</f>
        <v>Botón derecho del ratón para arma cuerpo a cuerpo</v>
      </c>
      <c r="U7" s="204" t="s">
        <v>13707</v>
      </c>
      <c r="V7" s="254"/>
      <c r="W7" s="469" t="s">
        <v>13708</v>
      </c>
      <c r="X7" s="200" t="s">
        <v>13709</v>
      </c>
      <c r="Y7" s="192" t="s">
        <v>13710</v>
      </c>
      <c r="Z7" s="194" t="s">
        <v>1485</v>
      </c>
      <c r="AA7" s="464" t="s">
        <v>13711</v>
      </c>
      <c r="AB7" s="193" t="s">
        <v>13712</v>
      </c>
      <c r="AC7" s="253" t="s">
        <v>13713</v>
      </c>
      <c r="AD7" s="254" t="s">
        <v>1485</v>
      </c>
      <c r="AE7" s="463" t="s">
        <v>13714</v>
      </c>
      <c r="AF7" s="252" t="s">
        <v>13715</v>
      </c>
      <c r="AG7" s="467" t="str">
        <f>IFERROR(__xludf.DUMMYFUNCTION("GOOGLETRANSLATE(A7,""zh-tw"",""DE"")"),"Fokus")</f>
        <v>Fokus</v>
      </c>
      <c r="AH7" s="504" t="str">
        <f>IFERROR(__xludf.DUMMYFUNCTION("GOOGLETRANSLATE(B7,""zh-tw"",""DE"")"),"-")</f>
        <v>-</v>
      </c>
      <c r="AI7" s="468" t="str">
        <f>IFERROR(__xludf.DUMMYFUNCTION("GOOGLETRANSLATE(C7,""zh-tw"",""DE"")"),"Die Konzentration auf die Vorbereitung des nächsten Angriffs verringert die Bewegungsgeschwindigkeit.")</f>
        <v>Die Konzentration auf die Vorbereitung des nächsten Angriffs verringert die Bewegungsgeschwindigkeit.</v>
      </c>
      <c r="AJ7" s="616" t="str">
        <f>IFERROR(__xludf.DUMMYFUNCTION("GOOGLETRANSLATE(D7,""zh-tw"",""DE"")"),"rechte Maustaste für Nahkampfwaffen")</f>
        <v>rechte Maustaste für Nahkampfwaffen</v>
      </c>
      <c r="AK7" s="157" t="s">
        <v>13716</v>
      </c>
      <c r="AL7" s="521" t="s">
        <v>1485</v>
      </c>
      <c r="AM7" s="621" t="s">
        <v>13717</v>
      </c>
      <c r="AN7" s="619" t="s">
        <v>13718</v>
      </c>
      <c r="AO7" s="192" t="s">
        <v>13704</v>
      </c>
      <c r="AP7" s="194" t="s">
        <v>1485</v>
      </c>
      <c r="AQ7" s="464" t="s">
        <v>13719</v>
      </c>
      <c r="AR7" s="193" t="s">
        <v>13720</v>
      </c>
      <c r="AS7" s="620"/>
      <c r="AT7" s="620"/>
    </row>
    <row r="8">
      <c r="A8" s="481" t="s">
        <v>13721</v>
      </c>
      <c r="B8" s="260" t="s">
        <v>13722</v>
      </c>
      <c r="C8" s="472" t="s">
        <v>1485</v>
      </c>
      <c r="D8" s="615" t="s">
        <v>13723</v>
      </c>
      <c r="E8" s="481" t="s">
        <v>13724</v>
      </c>
      <c r="F8" s="260" t="s">
        <v>13725</v>
      </c>
      <c r="G8" s="468" t="str">
        <f>IFERROR(__xludf.DUMMYFUNCTION("GOOGLETRANSLATE(C8,""zh-tw"",""ja"")"),"-")</f>
        <v>-</v>
      </c>
      <c r="H8" s="615" t="s">
        <v>13726</v>
      </c>
      <c r="I8" s="481" t="s">
        <v>13727</v>
      </c>
      <c r="J8" s="260" t="s">
        <v>13728</v>
      </c>
      <c r="K8" s="468" t="str">
        <f>IFERROR(__xludf.DUMMYFUNCTION("GOOGLETRANSLATE(C8,""zh-tw"",""en"")"),"-")</f>
        <v>-</v>
      </c>
      <c r="L8" s="615" t="s">
        <v>13729</v>
      </c>
      <c r="M8" s="467" t="str">
        <f>IFERROR(__xludf.DUMMYFUNCTION("GOOGLETRANSLATE(A8,""zh-tw"",""zh"")"),"闪步")</f>
        <v>闪步</v>
      </c>
      <c r="N8" s="504" t="str">
        <f>IFERROR(__xludf.DUMMYFUNCTION("GOOGLETRANSLATE(B8,""zh-tw"",""zh"")"),"真红的三倍速")</f>
        <v>真红的三倍速</v>
      </c>
      <c r="O8" s="468" t="str">
        <f>IFERROR(__xludf.DUMMYFUNCTION("GOOGLETRANSLATE(C8,""zh-tw"",""zh"")"),"-")</f>
        <v>-</v>
      </c>
      <c r="P8" s="616" t="str">
        <f>IFERROR(__xludf.DUMMYFUNCTION("GOOGLETRANSLATE(D8,""zh-tw"",""zh"")"),"闪步过程中或过图时永久BUG")</f>
        <v>闪步过程中或过图时永久BUG</v>
      </c>
      <c r="Q8" s="253" t="str">
        <f>IFERROR(__xludf.DUMMYFUNCTION("GOOGLETRANSLATE(A8,""zh-tw"",""es-MX"")"),"Paso relámpago")</f>
        <v>Paso relámpago</v>
      </c>
      <c r="R8" s="254" t="str">
        <f>IFERROR(__xludf.DUMMYFUNCTION("GOOGLETRANSLATE(B8,""zh-tw"",""es-MX"")"),"Triple velocidad carmesí")</f>
        <v>Triple velocidad carmesí</v>
      </c>
      <c r="S8" s="463" t="str">
        <f>IFERROR(__xludf.DUMMYFUNCTION("GOOGLETRANSLATE(C8,""zh-tw"",""es-MX"")"),"-")</f>
        <v>-</v>
      </c>
      <c r="T8" s="252" t="str">
        <f>IFERROR(__xludf.DUMMYFUNCTION("GOOGLETRANSLATE(D8,""zh-tw"",""es-MX"")"),"Error permanente durante el paso de flash o la transición del mapa.")</f>
        <v>Error permanente durante el paso de flash o la transición del mapa.</v>
      </c>
      <c r="U8" s="204" t="s">
        <v>13730</v>
      </c>
      <c r="V8" s="205" t="s">
        <v>13731</v>
      </c>
      <c r="W8" s="463" t="str">
        <f>IFERROR(__xludf.DUMMYFUNCTION("GOOGLETRANSLATE(C8,""zh-tw"",""KO"")"),"-")</f>
        <v>-</v>
      </c>
      <c r="X8" s="200" t="s">
        <v>13732</v>
      </c>
      <c r="Y8" s="192" t="s">
        <v>13733</v>
      </c>
      <c r="Z8" s="194" t="s">
        <v>13734</v>
      </c>
      <c r="AA8" s="464" t="s">
        <v>1485</v>
      </c>
      <c r="AB8" s="193" t="s">
        <v>13735</v>
      </c>
      <c r="AC8" s="253" t="s">
        <v>13736</v>
      </c>
      <c r="AD8" s="254" t="s">
        <v>13737</v>
      </c>
      <c r="AE8" s="463" t="s">
        <v>1485</v>
      </c>
      <c r="AF8" s="252" t="s">
        <v>13738</v>
      </c>
      <c r="AG8" s="467" t="str">
        <f>IFERROR(__xludf.DUMMYFUNCTION("GOOGLETRANSLATE(A8,""zh-tw"",""DE"")"),"Blitzschritt")</f>
        <v>Blitzschritt</v>
      </c>
      <c r="AH8" s="504" t="str">
        <f>IFERROR(__xludf.DUMMYFUNCTION("GOOGLETRANSLATE(B8,""zh-tw"",""DE"")"),"Crimson Triple Speed")</f>
        <v>Crimson Triple Speed</v>
      </c>
      <c r="AI8" s="468" t="str">
        <f>IFERROR(__xludf.DUMMYFUNCTION("GOOGLETRANSLATE(C8,""zh-tw"",""DE"")"),"-")</f>
        <v>-</v>
      </c>
      <c r="AJ8" s="616" t="str">
        <f>IFERROR(__xludf.DUMMYFUNCTION("GOOGLETRANSLATE(D8,""zh-tw"",""DE"")"),"Permanenter Fehler während des Flash-Schritts oder Kartenübergangs")</f>
        <v>Permanenter Fehler während des Flash-Schritts oder Kartenübergangs</v>
      </c>
      <c r="AK8" s="157" t="s">
        <v>13727</v>
      </c>
      <c r="AL8" s="268" t="s">
        <v>13739</v>
      </c>
      <c r="AM8" s="618" t="s">
        <v>1485</v>
      </c>
      <c r="AN8" s="619" t="s">
        <v>13740</v>
      </c>
      <c r="AO8" s="192" t="s">
        <v>13727</v>
      </c>
      <c r="AP8" s="194" t="s">
        <v>13741</v>
      </c>
      <c r="AQ8" s="464" t="s">
        <v>1485</v>
      </c>
      <c r="AR8" s="193" t="s">
        <v>13742</v>
      </c>
      <c r="AS8" s="620"/>
      <c r="AT8" s="620"/>
    </row>
    <row r="9">
      <c r="A9" s="481" t="s">
        <v>13743</v>
      </c>
      <c r="B9" s="260" t="s">
        <v>1485</v>
      </c>
      <c r="C9" s="472" t="s">
        <v>13744</v>
      </c>
      <c r="D9" s="615" t="s">
        <v>13745</v>
      </c>
      <c r="E9" s="481" t="s">
        <v>13746</v>
      </c>
      <c r="F9" s="504" t="str">
        <f>IFERROR(__xludf.DUMMYFUNCTION("GOOGLETRANSLATE(B9,""zh-tw"",""ja"")"),"-")</f>
        <v>-</v>
      </c>
      <c r="G9" s="472" t="s">
        <v>13747</v>
      </c>
      <c r="H9" s="615" t="s">
        <v>13748</v>
      </c>
      <c r="I9" s="481" t="s">
        <v>13749</v>
      </c>
      <c r="J9" s="504" t="str">
        <f>IFERROR(__xludf.DUMMYFUNCTION("GOOGLETRANSLATE(B9,""zh-tw"",""en"")"),"-")</f>
        <v>-</v>
      </c>
      <c r="K9" s="472" t="s">
        <v>13750</v>
      </c>
      <c r="L9" s="615" t="s">
        <v>13751</v>
      </c>
      <c r="M9" s="467" t="str">
        <f>IFERROR(__xludf.DUMMYFUNCTION("GOOGLETRANSLATE(A9,""zh-tw"",""zh"")"),"闪步禁止")</f>
        <v>闪步禁止</v>
      </c>
      <c r="N9" s="504" t="str">
        <f>IFERROR(__xludf.DUMMYFUNCTION("GOOGLETRANSLATE(B9,""zh-tw"",""zh"")"),"-")</f>
        <v>-</v>
      </c>
      <c r="O9" s="468" t="str">
        <f>IFERROR(__xludf.DUMMYFUNCTION("GOOGLETRANSLATE(C9,""zh-tw"",""zh"")"),"禁止发动闪步")</f>
        <v>禁止发动闪步</v>
      </c>
      <c r="P9" s="616" t="str">
        <f>IFERROR(__xludf.DUMMYFUNCTION("GOOGLETRANSLATE(D9,""zh-tw"",""zh"")"),"闪步cd期间")</f>
        <v>闪步cd期间</v>
      </c>
      <c r="Q9" s="253" t="str">
        <f>IFERROR(__xludf.DUMMYFUNCTION("GOOGLETRANSLATE(A9,""zh-tw"",""es-MX"")"),"Paso rápido prohibido")</f>
        <v>Paso rápido prohibido</v>
      </c>
      <c r="R9" s="254" t="str">
        <f>IFERROR(__xludf.DUMMYFUNCTION("GOOGLETRANSLATE(B9,""zh-tw"",""es-MX"")"),"-")</f>
        <v>-</v>
      </c>
      <c r="S9" s="463" t="str">
        <f>IFERROR(__xludf.DUMMYFUNCTION("GOOGLETRANSLATE(C9,""zh-tw"",""es-MX"")"),"No utilice Flash Step")</f>
        <v>No utilice Flash Step</v>
      </c>
      <c r="T9" s="252" t="str">
        <f>IFERROR(__xludf.DUMMYFUNCTION("GOOGLETRANSLATE(D9,""zh-tw"",""es-MX"")"),"Enfriamiento de Flash Step")</f>
        <v>Enfriamiento de Flash Step</v>
      </c>
      <c r="U9" s="204" t="s">
        <v>13730</v>
      </c>
      <c r="V9" s="254" t="str">
        <f>IFERROR(__xludf.DUMMYFUNCTION("GOOGLETRANSLATE(B9,""zh-tw"",""KO"")"),"-")</f>
        <v>-</v>
      </c>
      <c r="W9" s="469" t="s">
        <v>13752</v>
      </c>
      <c r="X9" s="200" t="s">
        <v>13753</v>
      </c>
      <c r="Y9" s="622" t="s">
        <v>13754</v>
      </c>
      <c r="Z9" s="194" t="s">
        <v>1485</v>
      </c>
      <c r="AA9" s="464" t="s">
        <v>13755</v>
      </c>
      <c r="AB9" s="193" t="s">
        <v>13754</v>
      </c>
      <c r="AC9" s="253" t="s">
        <v>13756</v>
      </c>
      <c r="AD9" s="254" t="s">
        <v>1485</v>
      </c>
      <c r="AE9" s="463" t="s">
        <v>13757</v>
      </c>
      <c r="AF9" s="252" t="s">
        <v>13756</v>
      </c>
      <c r="AG9" s="467" t="str">
        <f>IFERROR(__xludf.DUMMYFUNCTION("GOOGLETRANSLATE(A9,""zh-tw"",""DE"")"),"Blitzschritt verboten")</f>
        <v>Blitzschritt verboten</v>
      </c>
      <c r="AH9" s="504" t="str">
        <f>IFERROR(__xludf.DUMMYFUNCTION("GOOGLETRANSLATE(B9,""zh-tw"",""DE"")"),"-")</f>
        <v>-</v>
      </c>
      <c r="AI9" s="468" t="str">
        <f>IFERROR(__xludf.DUMMYFUNCTION("GOOGLETRANSLATE(C9,""zh-tw"",""DE"")"),"Flash Step nicht verwenden")</f>
        <v>Flash Step nicht verwenden</v>
      </c>
      <c r="AJ9" s="616" t="str">
        <f>IFERROR(__xludf.DUMMYFUNCTION("GOOGLETRANSLATE(D9,""zh-tw"",""DE"")"),"Flash Step-Abklingzeit")</f>
        <v>Flash Step-Abklingzeit</v>
      </c>
      <c r="AK9" s="167" t="s">
        <v>13758</v>
      </c>
      <c r="AL9" s="521" t="s">
        <v>1485</v>
      </c>
      <c r="AM9" s="621" t="s">
        <v>13759</v>
      </c>
      <c r="AN9" s="619" t="s">
        <v>13760</v>
      </c>
      <c r="AO9" s="192" t="s">
        <v>13761</v>
      </c>
      <c r="AP9" s="194" t="s">
        <v>1485</v>
      </c>
      <c r="AQ9" s="464" t="s">
        <v>13761</v>
      </c>
      <c r="AR9" s="193" t="s">
        <v>13762</v>
      </c>
      <c r="AS9" s="620"/>
      <c r="AT9" s="620"/>
    </row>
    <row r="10">
      <c r="A10" s="481" t="s">
        <v>13763</v>
      </c>
      <c r="B10" s="260" t="s">
        <v>1485</v>
      </c>
      <c r="C10" s="472" t="s">
        <v>13764</v>
      </c>
      <c r="D10" s="615" t="s">
        <v>13765</v>
      </c>
      <c r="E10" s="481" t="s">
        <v>13766</v>
      </c>
      <c r="F10" s="504" t="str">
        <f>IFERROR(__xludf.DUMMYFUNCTION("GOOGLETRANSLATE(B10,""zh-tw"",""ja"")"),"-")</f>
        <v>-</v>
      </c>
      <c r="G10" s="472" t="s">
        <v>13767</v>
      </c>
      <c r="H10" s="615" t="s">
        <v>13768</v>
      </c>
      <c r="I10" s="481" t="s">
        <v>13769</v>
      </c>
      <c r="J10" s="504" t="str">
        <f>IFERROR(__xludf.DUMMYFUNCTION("GOOGLETRANSLATE(B10,""zh-tw"",""en"")"),"-")</f>
        <v>-</v>
      </c>
      <c r="K10" s="472" t="s">
        <v>13770</v>
      </c>
      <c r="L10" s="615" t="s">
        <v>13771</v>
      </c>
      <c r="M10" s="467" t="str">
        <f>IFERROR(__xludf.DUMMYFUNCTION("GOOGLETRANSLATE(A10,""zh-tw"",""zh"")"),"眩晕")</f>
        <v>眩晕</v>
      </c>
      <c r="N10" s="504" t="str">
        <f>IFERROR(__xludf.DUMMYFUNCTION("GOOGLETRANSLATE(B10,""zh-tw"",""zh"")"),"-")</f>
        <v>-</v>
      </c>
      <c r="O10" s="468" t="str">
        <f>IFERROR(__xludf.DUMMYFUNCTION("GOOGLETRANSLATE(C10,""zh-tw"",""zh"")"),"转的头晕了。")</f>
        <v>转的头晕了。</v>
      </c>
      <c r="P10" s="616" t="str">
        <f>IFERROR(__xludf.DUMMYFUNCTION("GOOGLETRANSLATE(D10,""zh-tw"",""zh"")"),"近战武器滑鼠右键结束后")</f>
        <v>近战武器滑鼠右键结束后</v>
      </c>
      <c r="Q10" s="253" t="str">
        <f>IFERROR(__xludf.DUMMYFUNCTION("GOOGLETRANSLATE(A10,""zh-tw"",""es-MX"")"),"mareo")</f>
        <v>mareo</v>
      </c>
      <c r="R10" s="254" t="str">
        <f>IFERROR(__xludf.DUMMYFUNCTION("GOOGLETRANSLATE(B10,""zh-tw"",""es-MX"")"),"-")</f>
        <v>-</v>
      </c>
      <c r="S10" s="463" t="str">
        <f>IFERROR(__xludf.DUMMYFUNCTION("GOOGLETRANSLATE(C10,""zh-tw"",""es-MX"")"),"Estoy mareada de tanto dar vueltas.")</f>
        <v>Estoy mareada de tanto dar vueltas.</v>
      </c>
      <c r="T10" s="252" t="str">
        <f>IFERROR(__xludf.DUMMYFUNCTION("GOOGLETRANSLATE(D10,""zh-tw"",""es-MX"")"),"Después de hacer clic derecho en el arma cuerpo a cuerpo...")</f>
        <v>Después de hacer clic derecho en el arma cuerpo a cuerpo...</v>
      </c>
      <c r="U10" s="617" t="s">
        <v>13772</v>
      </c>
      <c r="V10" s="254" t="str">
        <f>IFERROR(__xludf.DUMMYFUNCTION("GOOGLETRANSLATE(B10,""zh-tw"",""KO"")"),"-")</f>
        <v>-</v>
      </c>
      <c r="W10" s="469" t="s">
        <v>13773</v>
      </c>
      <c r="X10" s="200" t="s">
        <v>13774</v>
      </c>
      <c r="Y10" s="192" t="s">
        <v>13775</v>
      </c>
      <c r="Z10" s="194" t="s">
        <v>13776</v>
      </c>
      <c r="AA10" s="464" t="s">
        <v>13777</v>
      </c>
      <c r="AB10" s="193" t="s">
        <v>13778</v>
      </c>
      <c r="AC10" s="253" t="s">
        <v>13779</v>
      </c>
      <c r="AD10" s="254" t="s">
        <v>13780</v>
      </c>
      <c r="AE10" s="463" t="s">
        <v>13781</v>
      </c>
      <c r="AF10" s="252" t="s">
        <v>13782</v>
      </c>
      <c r="AG10" s="467" t="str">
        <f>IFERROR(__xludf.DUMMYFUNCTION("GOOGLETRANSLATE(A10,""zh-tw"",""DE"")"),"Schwindel")</f>
        <v>Schwindel</v>
      </c>
      <c r="AH10" s="504" t="str">
        <f>IFERROR(__xludf.DUMMYFUNCTION("GOOGLETRANSLATE(B10,""zh-tw"",""DE"")"),"-")</f>
        <v>-</v>
      </c>
      <c r="AI10" s="468" t="str">
        <f>IFERROR(__xludf.DUMMYFUNCTION("GOOGLETRANSLATE(C10,""zh-tw"",""DE"")"),"Mir ist schwindlig vom vielen Drehen.")</f>
        <v>Mir ist schwindlig vom vielen Drehen.</v>
      </c>
      <c r="AJ10" s="616" t="str">
        <f>IFERROR(__xludf.DUMMYFUNCTION("GOOGLETRANSLATE(D10,""zh-tw"",""DE"")"),"Nach einem Rechtsklick auf die Nahkampfwaffe...")</f>
        <v>Nach einem Rechtsklick auf die Nahkampfwaffe...</v>
      </c>
      <c r="AK10" s="157" t="s">
        <v>13783</v>
      </c>
      <c r="AL10" s="521" t="s">
        <v>1485</v>
      </c>
      <c r="AM10" s="618" t="s">
        <v>13784</v>
      </c>
      <c r="AN10" s="619" t="s">
        <v>13785</v>
      </c>
      <c r="AO10" s="192" t="s">
        <v>13786</v>
      </c>
      <c r="AP10" s="194" t="s">
        <v>1485</v>
      </c>
      <c r="AQ10" s="464" t="s">
        <v>13787</v>
      </c>
      <c r="AR10" s="193" t="s">
        <v>13788</v>
      </c>
      <c r="AS10" s="620"/>
      <c r="AT10" s="620"/>
    </row>
    <row r="11">
      <c r="A11" s="481" t="s">
        <v>13789</v>
      </c>
      <c r="B11" s="260" t="s">
        <v>1485</v>
      </c>
      <c r="C11" s="472" t="s">
        <v>13790</v>
      </c>
      <c r="D11" s="615" t="s">
        <v>13791</v>
      </c>
      <c r="E11" s="467" t="str">
        <f>IFERROR(__xludf.DUMMYFUNCTION("GOOGLETRANSLATE(A11,""zh-tw"",""ja"")"),"呪文詠唱")</f>
        <v>呪文詠唱</v>
      </c>
      <c r="F11" s="504" t="str">
        <f>IFERROR(__xludf.DUMMYFUNCTION("GOOGLETRANSLATE(B11,""zh-tw"",""ja"")"),"-")</f>
        <v>-</v>
      </c>
      <c r="G11" s="468" t="str">
        <f>IFERROR(__xludf.DUMMYFUNCTION("GOOGLETRANSLATE(C11,""zh-tw"",""ja"")"),"魔法の呪文を唱えている間")</f>
        <v>魔法の呪文を唱えている間</v>
      </c>
      <c r="H11" s="616" t="str">
        <f>IFERROR(__xludf.DUMMYFUNCTION("GOOGLETRANSLATE(D11,""zh-tw"",""ja"")"),"杖型の武器を右クリックします。")</f>
        <v>杖型の武器を右クリックします。</v>
      </c>
      <c r="I11" s="481" t="s">
        <v>13792</v>
      </c>
      <c r="J11" s="504" t="str">
        <f>IFERROR(__xludf.DUMMYFUNCTION("GOOGLETRANSLATE(B11,""zh-tw"",""en"")"),"-")</f>
        <v>-</v>
      </c>
      <c r="K11" s="472" t="s">
        <v>13793</v>
      </c>
      <c r="L11" s="615" t="s">
        <v>13794</v>
      </c>
      <c r="M11" s="467" t="str">
        <f>IFERROR(__xludf.DUMMYFUNCTION("GOOGLETRANSLATE(A11,""zh-tw"",""zh"")"),"施法")</f>
        <v>施法</v>
      </c>
      <c r="N11" s="504" t="str">
        <f>IFERROR(__xludf.DUMMYFUNCTION("GOOGLETRANSLATE(B11,""zh-tw"",""zh"")"),"-")</f>
        <v>-</v>
      </c>
      <c r="O11" s="468" t="str">
        <f>IFERROR(__xludf.DUMMYFUNCTION("GOOGLETRANSLATE(C11,""zh-tw"",""zh"")"),"魔法吟唱中")</f>
        <v>魔法吟唱中</v>
      </c>
      <c r="P11" s="616" t="str">
        <f>IFERROR(__xludf.DUMMYFUNCTION("GOOGLETRANSLATE(D11,""zh-tw"",""zh"")"),"法杖武器滑鼠右键")</f>
        <v>法杖武器滑鼠右键</v>
      </c>
      <c r="Q11" s="253" t="str">
        <f>IFERROR(__xludf.DUMMYFUNCTION("GOOGLETRANSLATE(A11,""zh-tw"",""es-MX"")"),"Lanzamiento de hechizos")</f>
        <v>Lanzamiento de hechizos</v>
      </c>
      <c r="R11" s="254" t="str">
        <f>IFERROR(__xludf.DUMMYFUNCTION("GOOGLETRANSLATE(B11,""zh-tw"",""es-MX"")"),"-")</f>
        <v>-</v>
      </c>
      <c r="S11" s="463" t="str">
        <f>IFERROR(__xludf.DUMMYFUNCTION("GOOGLETRANSLATE(C11,""zh-tw"",""es-MX"")"),"Durante el canto mágico")</f>
        <v>Durante el canto mágico</v>
      </c>
      <c r="T11" s="252" t="str">
        <f>IFERROR(__xludf.DUMMYFUNCTION("GOOGLETRANSLATE(D11,""zh-tw"",""es-MX"")"),"Haz clic derecho en el arma de bastón.")</f>
        <v>Haz clic derecho en el arma de bastón.</v>
      </c>
      <c r="U11" s="204" t="s">
        <v>13795</v>
      </c>
      <c r="V11" s="254" t="str">
        <f>IFERROR(__xludf.DUMMYFUNCTION("GOOGLETRANSLATE(B11,""zh-tw"",""KO"")"),"-")</f>
        <v>-</v>
      </c>
      <c r="W11" s="469" t="s">
        <v>13796</v>
      </c>
      <c r="X11" s="200" t="s">
        <v>13797</v>
      </c>
      <c r="Y11" s="192" t="s">
        <v>13798</v>
      </c>
      <c r="Z11" s="194" t="s">
        <v>1485</v>
      </c>
      <c r="AA11" s="464" t="s">
        <v>13799</v>
      </c>
      <c r="AB11" s="193" t="s">
        <v>13800</v>
      </c>
      <c r="AC11" s="253" t="s">
        <v>13801</v>
      </c>
      <c r="AD11" s="254" t="s">
        <v>1485</v>
      </c>
      <c r="AE11" s="463" t="s">
        <v>13802</v>
      </c>
      <c r="AF11" s="252" t="s">
        <v>13803</v>
      </c>
      <c r="AG11" s="467" t="str">
        <f>IFERROR(__xludf.DUMMYFUNCTION("GOOGLETRANSLATE(A11,""zh-tw"",""DE"")"),"Zauberwirken")</f>
        <v>Zauberwirken</v>
      </c>
      <c r="AH11" s="504" t="str">
        <f>IFERROR(__xludf.DUMMYFUNCTION("GOOGLETRANSLATE(B11,""zh-tw"",""DE"")"),"-")</f>
        <v>-</v>
      </c>
      <c r="AI11" s="468" t="str">
        <f>IFERROR(__xludf.DUMMYFUNCTION("GOOGLETRANSLATE(C11,""zh-tw"",""DE"")"),"Während des Zaubergesangs")</f>
        <v>Während des Zaubergesangs</v>
      </c>
      <c r="AJ11" s="616" t="str">
        <f>IFERROR(__xludf.DUMMYFUNCTION("GOOGLETRANSLATE(D11,""zh-tw"",""DE"")"),"Rechtsklicken Sie auf die Stabwaffe.")</f>
        <v>Rechtsklicken Sie auf die Stabwaffe.</v>
      </c>
      <c r="AK11" s="167" t="s">
        <v>13804</v>
      </c>
      <c r="AL11" s="521" t="s">
        <v>1485</v>
      </c>
      <c r="AM11" s="621" t="s">
        <v>13805</v>
      </c>
      <c r="AN11" s="619" t="s">
        <v>13806</v>
      </c>
      <c r="AO11" s="192" t="s">
        <v>13807</v>
      </c>
      <c r="AP11" s="194" t="s">
        <v>1485</v>
      </c>
      <c r="AQ11" s="464" t="s">
        <v>13808</v>
      </c>
      <c r="AR11" s="193" t="s">
        <v>13809</v>
      </c>
      <c r="AS11" s="620"/>
      <c r="AT11" s="620"/>
    </row>
    <row r="12">
      <c r="A12" s="481" t="s">
        <v>13810</v>
      </c>
      <c r="B12" s="260" t="s">
        <v>13811</v>
      </c>
      <c r="C12" s="472" t="s">
        <v>13812</v>
      </c>
      <c r="D12" s="615" t="s">
        <v>13813</v>
      </c>
      <c r="E12" s="481" t="s">
        <v>13810</v>
      </c>
      <c r="F12" s="260" t="s">
        <v>13814</v>
      </c>
      <c r="G12" s="472" t="s">
        <v>13815</v>
      </c>
      <c r="H12" s="615" t="s">
        <v>13816</v>
      </c>
      <c r="I12" s="481" t="s">
        <v>13817</v>
      </c>
      <c r="J12" s="260" t="s">
        <v>13818</v>
      </c>
      <c r="K12" s="472" t="s">
        <v>13819</v>
      </c>
      <c r="L12" s="615" t="s">
        <v>13820</v>
      </c>
      <c r="M12" s="467" t="str">
        <f>IFERROR(__xludf.DUMMYFUNCTION("GOOGLETRANSLATE(A12,""zh-tw"",""zh"")"),"中毒")</f>
        <v>中毒</v>
      </c>
      <c r="N12" s="504" t="str">
        <f>IFERROR(__xludf.DUMMYFUNCTION("GOOGLETRANSLATE(B12,""zh-tw"",""zh"")"),"体内感染了毒素")</f>
        <v>体内感染了毒素</v>
      </c>
      <c r="O12" s="468" t="str">
        <f>IFERROR(__xludf.DUMMYFUNCTION("GOOGLETRANSLATE(C12,""zh-tw"",""zh"")"),"随时间经过受到更多伤害")</f>
        <v>随时间经过受到更多伤害</v>
      </c>
      <c r="P12" s="616" t="str">
        <f>IFERROR(__xludf.DUMMYFUNCTION("GOOGLETRANSLATE(D12,""zh-tw"",""zh"")"),"被丧尸攻击")</f>
        <v>被丧尸攻击</v>
      </c>
      <c r="Q12" s="253" t="str">
        <f>IFERROR(__xludf.DUMMYFUNCTION("GOOGLETRANSLATE(A12,""zh-tw"",""es-MX"")"),"Envenenamiento")</f>
        <v>Envenenamiento</v>
      </c>
      <c r="R12" s="254" t="str">
        <f>IFERROR(__xludf.DUMMYFUNCTION("GOOGLETRANSLATE(B12,""zh-tw"",""es-MX"")"),"Infección por toxinas")</f>
        <v>Infección por toxinas</v>
      </c>
      <c r="S12" s="463" t="str">
        <f>IFERROR(__xludf.DUMMYFUNCTION("GOOGLETRANSLATE(C12,""zh-tw"",""es-MX"")"),"Más daños con el tiempo")</f>
        <v>Más daños con el tiempo</v>
      </c>
      <c r="T12" s="252" t="str">
        <f>IFERROR(__xludf.DUMMYFUNCTION("GOOGLETRANSLATE(D12,""zh-tw"",""es-MX"")"),"Atacado por zombis")</f>
        <v>Atacado por zombis</v>
      </c>
      <c r="U12" s="617" t="s">
        <v>13821</v>
      </c>
      <c r="V12" s="205" t="s">
        <v>13822</v>
      </c>
      <c r="W12" s="469" t="s">
        <v>13823</v>
      </c>
      <c r="X12" s="200" t="s">
        <v>13824</v>
      </c>
      <c r="Y12" s="192" t="s">
        <v>13825</v>
      </c>
      <c r="Z12" s="194" t="s">
        <v>13826</v>
      </c>
      <c r="AA12" s="464" t="s">
        <v>13827</v>
      </c>
      <c r="AB12" s="193" t="s">
        <v>13828</v>
      </c>
      <c r="AC12" s="253" t="s">
        <v>13829</v>
      </c>
      <c r="AD12" s="254" t="s">
        <v>13830</v>
      </c>
      <c r="AE12" s="463" t="s">
        <v>13831</v>
      </c>
      <c r="AF12" s="252" t="s">
        <v>13832</v>
      </c>
      <c r="AG12" s="467" t="str">
        <f>IFERROR(__xludf.DUMMYFUNCTION("GOOGLETRANSLATE(A12,""zh-tw"",""DE"")"),"Vergiftung")</f>
        <v>Vergiftung</v>
      </c>
      <c r="AH12" s="504" t="str">
        <f>IFERROR(__xludf.DUMMYFUNCTION("GOOGLETRANSLATE(B12,""zh-tw"",""DE"")"),"Infektion mit Toxinen")</f>
        <v>Infektion mit Toxinen</v>
      </c>
      <c r="AI12" s="468" t="str">
        <f>IFERROR(__xludf.DUMMYFUNCTION("GOOGLETRANSLATE(C12,""zh-tw"",""DE"")"),"Mehr Schaden im Laufe der Zeit")</f>
        <v>Mehr Schaden im Laufe der Zeit</v>
      </c>
      <c r="AJ12" s="616" t="str">
        <f>IFERROR(__xludf.DUMMYFUNCTION("GOOGLETRANSLATE(D12,""zh-tw"",""DE"")"),"Von Zombies angegriffen")</f>
        <v>Von Zombies angegriffen</v>
      </c>
      <c r="AK12" s="157" t="s">
        <v>13833</v>
      </c>
      <c r="AL12" s="268" t="s">
        <v>13834</v>
      </c>
      <c r="AM12" s="621" t="s">
        <v>13835</v>
      </c>
      <c r="AN12" s="619" t="s">
        <v>13836</v>
      </c>
      <c r="AO12" s="192" t="s">
        <v>13837</v>
      </c>
      <c r="AP12" s="194" t="s">
        <v>13838</v>
      </c>
      <c r="AQ12" s="464" t="s">
        <v>13839</v>
      </c>
      <c r="AR12" s="193" t="s">
        <v>13840</v>
      </c>
      <c r="AS12" s="620"/>
      <c r="AT12" s="620"/>
    </row>
    <row r="13">
      <c r="A13" s="481" t="s">
        <v>13841</v>
      </c>
      <c r="B13" s="260" t="s">
        <v>13842</v>
      </c>
      <c r="C13" s="472" t="s">
        <v>13843</v>
      </c>
      <c r="D13" s="615" t="s">
        <v>13844</v>
      </c>
      <c r="E13" s="467" t="str">
        <f>IFERROR(__xludf.DUMMYFUNCTION("GOOGLETRANSLATE(A13,""zh-tw"",""ja"")"),"出血")</f>
        <v>出血</v>
      </c>
      <c r="F13" s="260" t="s">
        <v>13845</v>
      </c>
      <c r="G13" s="468" t="str">
        <f>IFERROR(__xludf.DUMMYFUNCTION("GOOGLETRANSLATE(C13,""zh-tw"",""ja"")"),"受けるダメージは最大スタミナに基づいて計算されます。")</f>
        <v>受けるダメージは最大スタミナに基づいて計算されます。</v>
      </c>
      <c r="H13" s="615" t="s">
        <v>13846</v>
      </c>
      <c r="I13" s="467" t="str">
        <f>IFERROR(__xludf.DUMMYFUNCTION("GOOGLETRANSLATE(A13,""zh-tw"",""en"")"),"Bleeding")</f>
        <v>Bleeding</v>
      </c>
      <c r="J13" s="260" t="s">
        <v>13847</v>
      </c>
      <c r="K13" s="472" t="s">
        <v>13848</v>
      </c>
      <c r="L13" s="615" t="s">
        <v>13849</v>
      </c>
      <c r="M13" s="467" t="str">
        <f>IFERROR(__xludf.DUMMYFUNCTION("GOOGLETRANSLATE(A13,""zh-tw"",""zh"")"),"出血")</f>
        <v>出血</v>
      </c>
      <c r="N13" s="504" t="str">
        <f>IFERROR(__xludf.DUMMYFUNCTION("GOOGLETRANSLATE(B13,""zh-tw"",""zh"")"),"血流不止。")</f>
        <v>血流不止。</v>
      </c>
      <c r="O13" s="468" t="str">
        <f>IFERROR(__xludf.DUMMYFUNCTION("GOOGLETRANSLATE(C13,""zh-tw"",""zh"")"),"根据体力上限受到伤害")</f>
        <v>根据体力上限受到伤害</v>
      </c>
      <c r="P13" s="616" t="str">
        <f>IFERROR(__xludf.DUMMYFUNCTION("GOOGLETRANSLATE(D13,""zh-tw"",""zh"")"),"被小红兽攻击")</f>
        <v>被小红兽攻击</v>
      </c>
      <c r="Q13" s="253" t="str">
        <f>IFERROR(__xludf.DUMMYFUNCTION("GOOGLETRANSLATE(A13,""zh-tw"",""es-MX"")"),"Sangría")</f>
        <v>Sangría</v>
      </c>
      <c r="R13" s="254" t="str">
        <f>IFERROR(__xludf.DUMMYFUNCTION("GOOGLETRANSLATE(B13,""zh-tw"",""es-MX"")"),"El sangrado no cesaba.")</f>
        <v>El sangrado no cesaba.</v>
      </c>
      <c r="S13" s="463" t="str">
        <f>IFERROR(__xludf.DUMMYFUNCTION("GOOGLETRANSLATE(C13,""zh-tw"",""es-MX"")"),"El daño recibido se basa en la resistencia máxima.")</f>
        <v>El daño recibido se basa en la resistencia máxima.</v>
      </c>
      <c r="T13" s="252" t="str">
        <f>IFERROR(__xludf.DUMMYFUNCTION("GOOGLETRANSLATE(D13,""zh-tw"",""es-MX"")"),"Atacado por la pequeña bestia roja")</f>
        <v>Atacado por la pequeña bestia roja</v>
      </c>
      <c r="U13" s="617" t="s">
        <v>13850</v>
      </c>
      <c r="V13" s="254" t="str">
        <f>IFERROR(__xludf.DUMMYFUNCTION("GOOGLETRANSLATE(B13,""zh-tw"",""KO"")"),"출혈이 멈추지 않았다.")</f>
        <v>출혈이 멈추지 않았다.</v>
      </c>
      <c r="W13" s="469" t="s">
        <v>13851</v>
      </c>
      <c r="X13" s="252" t="str">
        <f>IFERROR(__xludf.DUMMYFUNCTION("GOOGLETRANSLATE(D13,""zh-tw"",""KO"")"),"작은 붉은 짐승에게 공격받았습니다")</f>
        <v>작은 붉은 짐승에게 공격받았습니다</v>
      </c>
      <c r="Y13" s="192" t="s">
        <v>13852</v>
      </c>
      <c r="Z13" s="194" t="s">
        <v>13853</v>
      </c>
      <c r="AA13" s="464" t="s">
        <v>13854</v>
      </c>
      <c r="AB13" s="193" t="s">
        <v>13855</v>
      </c>
      <c r="AC13" s="253" t="s">
        <v>13856</v>
      </c>
      <c r="AD13" s="254" t="s">
        <v>13857</v>
      </c>
      <c r="AE13" s="463" t="s">
        <v>13858</v>
      </c>
      <c r="AF13" s="252" t="s">
        <v>13859</v>
      </c>
      <c r="AG13" s="467" t="str">
        <f>IFERROR(__xludf.DUMMYFUNCTION("GOOGLETRANSLATE(A13,""zh-tw"",""DE"")"),"Blutung")</f>
        <v>Blutung</v>
      </c>
      <c r="AH13" s="504" t="str">
        <f>IFERROR(__xludf.DUMMYFUNCTION("GOOGLETRANSLATE(B13,""zh-tw"",""DE"")"),"Die Blutung hörte nicht auf.")</f>
        <v>Die Blutung hörte nicht auf.</v>
      </c>
      <c r="AI13" s="468" t="str">
        <f>IFERROR(__xludf.DUMMYFUNCTION("GOOGLETRANSLATE(C13,""zh-tw"",""DE"")"),"Der erlittene Schaden basiert auf der maximalen Ausdauer.")</f>
        <v>Der erlittene Schaden basiert auf der maximalen Ausdauer.</v>
      </c>
      <c r="AJ13" s="616" t="str">
        <f>IFERROR(__xludf.DUMMYFUNCTION("GOOGLETRANSLATE(D13,""zh-tw"",""DE"")"),"Angegriffen von dem kleinen roten Biest")</f>
        <v>Angegriffen von dem kleinen roten Biest</v>
      </c>
      <c r="AK13" s="157" t="s">
        <v>13860</v>
      </c>
      <c r="AL13" s="268" t="s">
        <v>13861</v>
      </c>
      <c r="AM13" s="621" t="s">
        <v>13862</v>
      </c>
      <c r="AN13" s="619" t="s">
        <v>13863</v>
      </c>
      <c r="AO13" s="192" t="s">
        <v>13864</v>
      </c>
      <c r="AP13" s="194" t="s">
        <v>13865</v>
      </c>
      <c r="AQ13" s="464" t="s">
        <v>13866</v>
      </c>
      <c r="AR13" s="193" t="s">
        <v>13867</v>
      </c>
      <c r="AS13" s="620"/>
      <c r="AT13" s="620"/>
    </row>
    <row r="14">
      <c r="A14" s="481" t="s">
        <v>13868</v>
      </c>
      <c r="B14" s="260" t="s">
        <v>13869</v>
      </c>
      <c r="C14" s="472" t="s">
        <v>13870</v>
      </c>
      <c r="D14" s="615" t="s">
        <v>13871</v>
      </c>
      <c r="E14" s="481" t="s">
        <v>13872</v>
      </c>
      <c r="F14" s="504" t="str">
        <f>IFERROR(__xludf.DUMMYFUNCTION("GOOGLETRANSLATE(B14,""zh-tw"",""ja"")"),"見て、この男は雷に打たれたんだ！")</f>
        <v>見て、この男は雷に打たれたんだ！</v>
      </c>
      <c r="G14" s="472" t="s">
        <v>13873</v>
      </c>
      <c r="H14" s="615" t="s">
        <v>13874</v>
      </c>
      <c r="I14" s="481" t="s">
        <v>13875</v>
      </c>
      <c r="J14" s="260" t="s">
        <v>13876</v>
      </c>
      <c r="K14" s="472" t="s">
        <v>13877</v>
      </c>
      <c r="L14" s="615" t="s">
        <v>13878</v>
      </c>
      <c r="M14" s="467" t="str">
        <f>IFERROR(__xludf.DUMMYFUNCTION("GOOGLETRANSLATE(A14,""zh-tw"",""zh"")"),"打雷")</f>
        <v>打雷</v>
      </c>
      <c r="N14" s="504" t="str">
        <f>IFERROR(__xludf.DUMMYFUNCTION("GOOGLETRANSLATE(B14,""zh-tw"",""zh"")"),"看啊，这家伙被雷劈了！")</f>
        <v>看啊，这家伙被雷劈了！</v>
      </c>
      <c r="O14" s="468" t="str">
        <f>IFERROR(__xludf.DUMMYFUNCTION("GOOGLETRANSLATE(C14,""zh-tw"",""zh"")"),"全身麻痹无法动弹！")</f>
        <v>全身麻痹无法动弹！</v>
      </c>
      <c r="P14" s="616" t="str">
        <f>IFERROR(__xludf.DUMMYFUNCTION("GOOGLETRANSLATE(D14,""zh-tw"",""zh"")"),"会漏电的的不良品、哔哩哔哩史莱姆")</f>
        <v>会漏电的的不良品、哔哩哔哩史莱姆</v>
      </c>
      <c r="Q14" s="253" t="str">
        <f>IFERROR(__xludf.DUMMYFUNCTION("GOOGLETRANSLATE(A14,""zh-tw"",""es-MX"")"),"trueno")</f>
        <v>trueno</v>
      </c>
      <c r="R14" s="254" t="str">
        <f>IFERROR(__xludf.DUMMYFUNCTION("GOOGLETRANSLATE(B14,""zh-tw"",""es-MX"")"),"¡Mira, a este tipo le cayó un rayo!")</f>
        <v>¡Mira, a este tipo le cayó un rayo!</v>
      </c>
      <c r="S14" s="463" t="str">
        <f>IFERROR(__xludf.DUMMYFUNCTION("GOOGLETRANSLATE(C14,""zh-tw"",""es-MX"")"),"¡Parálisis total, incapacidad para moverse!")</f>
        <v>¡Parálisis total, incapacidad para moverse!</v>
      </c>
      <c r="T14" s="252" t="str">
        <f>IFERROR(__xludf.DUMMYFUNCTION("GOOGLETRANSLATE(D14,""zh-tw"",""es-MX"")"),"Productos defectuosos que gotean electricidad; limo de Bilibili")</f>
        <v>Productos defectuosos que gotean electricidad; limo de Bilibili</v>
      </c>
      <c r="U14" s="253" t="str">
        <f>IFERROR(__xludf.DUMMYFUNCTION("GOOGLETRANSLATE(A14,""zh-tw"",""KO"")"),"우뢰")</f>
        <v>우뢰</v>
      </c>
      <c r="V14" s="254" t="str">
        <f>IFERROR(__xludf.DUMMYFUNCTION("GOOGLETRANSLATE(B14,""zh-tw"",""KO"")"),"저 사람 번개 맞았잖아!")</f>
        <v>저 사람 번개 맞았잖아!</v>
      </c>
      <c r="W14" s="463" t="str">
        <f>IFERROR(__xludf.DUMMYFUNCTION("GOOGLETRANSLATE(C14,""zh-tw"",""KO"")"),"완전 마비, 움직일 수 없어요!")</f>
        <v>완전 마비, 움직일 수 없어요!</v>
      </c>
      <c r="X14" s="252" t="str">
        <f>IFERROR(__xludf.DUMMYFUNCTION("GOOGLETRANSLATE(D14,""zh-tw"",""KO"")"),"전기가 새는 불량품; 빌리빌리 슬라임")</f>
        <v>전기가 새는 불량품; 빌리빌리 슬라임</v>
      </c>
      <c r="Y14" s="192" t="s">
        <v>13879</v>
      </c>
      <c r="Z14" s="194" t="s">
        <v>13880</v>
      </c>
      <c r="AA14" s="464" t="s">
        <v>13881</v>
      </c>
      <c r="AB14" s="193" t="s">
        <v>13882</v>
      </c>
      <c r="AC14" s="253" t="s">
        <v>13883</v>
      </c>
      <c r="AD14" s="254" t="s">
        <v>13884</v>
      </c>
      <c r="AE14" s="463" t="s">
        <v>13885</v>
      </c>
      <c r="AF14" s="252" t="s">
        <v>13886</v>
      </c>
      <c r="AG14" s="467" t="str">
        <f>IFERROR(__xludf.DUMMYFUNCTION("GOOGLETRANSLATE(A14,""zh-tw"",""DE"")"),"Donner")</f>
        <v>Donner</v>
      </c>
      <c r="AH14" s="504" t="str">
        <f>IFERROR(__xludf.DUMMYFUNCTION("GOOGLETRANSLATE(B14,""zh-tw"",""DE"")"),"Schau mal, dieser Typ wurde vom Blitz getroffen!")</f>
        <v>Schau mal, dieser Typ wurde vom Blitz getroffen!</v>
      </c>
      <c r="AI14" s="468" t="str">
        <f>IFERROR(__xludf.DUMMYFUNCTION("GOOGLETRANSLATE(C14,""zh-tw"",""DE"")"),"Völlige Lähmung, unfähig sich zu bewegen!")</f>
        <v>Völlige Lähmung, unfähig sich zu bewegen!</v>
      </c>
      <c r="AJ14" s="616" t="str">
        <f>IFERROR(__xludf.DUMMYFUNCTION("GOOGLETRANSLATE(D14,""zh-tw"",""DE"")"),"Defekte Produkte, die Strom verlieren; Bilibili-Schleim")</f>
        <v>Defekte Produkte, die Strom verlieren; Bilibili-Schleim</v>
      </c>
      <c r="AK14" s="157" t="s">
        <v>13887</v>
      </c>
      <c r="AL14" s="268" t="s">
        <v>13888</v>
      </c>
      <c r="AM14" s="621" t="s">
        <v>13889</v>
      </c>
      <c r="AN14" s="619" t="s">
        <v>13890</v>
      </c>
      <c r="AO14" s="192" t="s">
        <v>13891</v>
      </c>
      <c r="AP14" s="194" t="s">
        <v>13892</v>
      </c>
      <c r="AQ14" s="464" t="s">
        <v>13893</v>
      </c>
      <c r="AR14" s="193" t="s">
        <v>13894</v>
      </c>
      <c r="AS14" s="620"/>
      <c r="AT14" s="620"/>
    </row>
    <row r="15">
      <c r="A15" s="481" t="s">
        <v>13895</v>
      </c>
      <c r="B15" s="260" t="s">
        <v>13896</v>
      </c>
      <c r="C15" s="472" t="s">
        <v>13897</v>
      </c>
      <c r="D15" s="615" t="s">
        <v>13898</v>
      </c>
      <c r="E15" s="481" t="s">
        <v>13895</v>
      </c>
      <c r="F15" s="504" t="str">
        <f>IFERROR(__xludf.DUMMYFUNCTION("GOOGLETRANSLATE(B15,""zh-tw"",""ja"")"),"暑い！暑い！暑い！")</f>
        <v>暑い！暑い！暑い！</v>
      </c>
      <c r="G15" s="472" t="s">
        <v>13899</v>
      </c>
      <c r="H15" s="615" t="s">
        <v>13900</v>
      </c>
      <c r="I15" s="481" t="s">
        <v>13901</v>
      </c>
      <c r="J15" s="260" t="s">
        <v>13902</v>
      </c>
      <c r="K15" s="472" t="s">
        <v>13903</v>
      </c>
      <c r="L15" s="615" t="s">
        <v>13904</v>
      </c>
      <c r="M15" s="467" t="str">
        <f>IFERROR(__xludf.DUMMYFUNCTION("GOOGLETRANSLATE(A15,""zh-tw"",""zh"")"),"炎上")</f>
        <v>炎上</v>
      </c>
      <c r="N15" s="504" t="str">
        <f>IFERROR(__xludf.DUMMYFUNCTION("GOOGLETRANSLATE(B15,""zh-tw"",""zh"")"),"好烫好烫好烫——！")</f>
        <v>好烫好烫好烫——！</v>
      </c>
      <c r="O15" s="468" t="str">
        <f>IFERROR(__xludf.DUMMYFUNCTION("GOOGLETRANSLATE(C15,""zh-tw"",""zh"")"),"对自身范围内所有单位持续的灼烧")</f>
        <v>对自身范围内所有单位持续的灼烧</v>
      </c>
      <c r="P15" s="616" t="str">
        <f>IFERROR(__xludf.DUMMYFUNCTION("GOOGLETRANSLATE(D15,""zh-tw"",""zh"")"),"被火焰属性攻击")</f>
        <v>被火焰属性攻击</v>
      </c>
      <c r="Q15" s="253" t="str">
        <f>IFERROR(__xludf.DUMMYFUNCTION("GOOGLETRANSLATE(A15,""zh-tw"",""es-MX"")"),"Yan Shang")</f>
        <v>Yan Shang</v>
      </c>
      <c r="R15" s="254" t="str">
        <f>IFERROR(__xludf.DUMMYFUNCTION("GOOGLETRANSLATE(B15,""zh-tw"",""es-MX"")"),"¡Hace muchísimo calor! ¡Hace muchísimo calor! ¡Hace muchísimo calor!")</f>
        <v>¡Hace muchísimo calor! ¡Hace muchísimo calor! ¡Hace muchísimo calor!</v>
      </c>
      <c r="S15" s="463" t="str">
        <f>IFERROR(__xludf.DUMMYFUNCTION("GOOGLETRANSLATE(C15,""zh-tw"",""es-MX"")"),"Quema continua de todas las unidades dentro de su alcance.")</f>
        <v>Quema continua de todas las unidades dentro de su alcance.</v>
      </c>
      <c r="T15" s="252" t="str">
        <f>IFERROR(__xludf.DUMMYFUNCTION("GOOGLETRANSLATE(D15,""zh-tw"",""es-MX"")"),"Atacado por el fuego")</f>
        <v>Atacado por el fuego</v>
      </c>
      <c r="U15" s="253" t="str">
        <f>IFERROR(__xludf.DUMMYFUNCTION("GOOGLETRANSLATE(A15,""zh-tw"",""KO"")"),"옌샹")</f>
        <v>옌샹</v>
      </c>
      <c r="V15" s="254" t="str">
        <f>IFERROR(__xludf.DUMMYFUNCTION("GOOGLETRANSLATE(B15,""zh-tw"",""KO"")"),"너무 더워! 너무 더워! 너무 더워!")</f>
        <v>너무 더워! 너무 더워! 너무 더워!</v>
      </c>
      <c r="W15" s="463" t="str">
        <f>IFERROR(__xludf.DUMMYFUNCTION("GOOGLETRANSLATE(C15,""zh-tw"",""KO"")"),"범위 내 모든 장치의 지속적인 연소.")</f>
        <v>범위 내 모든 장치의 지속적인 연소.</v>
      </c>
      <c r="X15" s="252" t="str">
        <f>IFERROR(__xludf.DUMMYFUNCTION("GOOGLETRANSLATE(D15,""zh-tw"",""KO"")"),"화재로 공격받다")</f>
        <v>화재로 공격받다</v>
      </c>
      <c r="Y15" s="192" t="s">
        <v>13905</v>
      </c>
      <c r="Z15" s="194" t="s">
        <v>13906</v>
      </c>
      <c r="AA15" s="464" t="s">
        <v>13907</v>
      </c>
      <c r="AB15" s="193" t="s">
        <v>13908</v>
      </c>
      <c r="AC15" s="253" t="str">
        <f>IFERROR(__xludf.DUMMYFUNCTION("GOOGLETRANSLATE(A15,""zh-tw"",""RU"")"),"Ян Шан")</f>
        <v>Ян Шан</v>
      </c>
      <c r="AD15" s="254" t="s">
        <v>13906</v>
      </c>
      <c r="AE15" s="463" t="s">
        <v>13909</v>
      </c>
      <c r="AF15" s="252" t="s">
        <v>13910</v>
      </c>
      <c r="AG15" s="467" t="str">
        <f>IFERROR(__xludf.DUMMYFUNCTION("GOOGLETRANSLATE(A15,""zh-tw"",""DE"")"),"Yan Shang")</f>
        <v>Yan Shang</v>
      </c>
      <c r="AH15" s="504" t="str">
        <f>IFERROR(__xludf.DUMMYFUNCTION("GOOGLETRANSLATE(B15,""zh-tw"",""DE"")"),"Es ist so heiß! Es ist so heiß! Es ist so heiß!")</f>
        <v>Es ist so heiß! Es ist so heiß! Es ist so heiß!</v>
      </c>
      <c r="AI15" s="468" t="str">
        <f>IFERROR(__xludf.DUMMYFUNCTION("GOOGLETRANSLATE(C15,""zh-tw"",""DE"")"),"Kontinuierliches Abbrennen aller Einheiten innerhalb seiner Reichweite.")</f>
        <v>Kontinuierliches Abbrennen aller Einheiten innerhalb seiner Reichweite.</v>
      </c>
      <c r="AJ15" s="616" t="str">
        <f>IFERROR(__xludf.DUMMYFUNCTION("GOOGLETRANSLATE(D15,""zh-tw"",""DE"")"),"Von Feuer angegriffen")</f>
        <v>Von Feuer angegriffen</v>
      </c>
      <c r="AK15" s="157" t="s">
        <v>13911</v>
      </c>
      <c r="AL15" s="521" t="s">
        <v>13912</v>
      </c>
      <c r="AM15" s="621" t="s">
        <v>13913</v>
      </c>
      <c r="AN15" s="273" t="s">
        <v>13914</v>
      </c>
      <c r="AO15" s="192" t="s">
        <v>13915</v>
      </c>
      <c r="AP15" s="194" t="s">
        <v>13916</v>
      </c>
      <c r="AQ15" s="464" t="s">
        <v>13917</v>
      </c>
      <c r="AR15" s="193" t="s">
        <v>13918</v>
      </c>
      <c r="AS15" s="620"/>
      <c r="AT15" s="620"/>
    </row>
    <row r="16">
      <c r="A16" s="481" t="s">
        <v>13919</v>
      </c>
      <c r="B16" s="260" t="s">
        <v>13920</v>
      </c>
      <c r="C16" s="472" t="s">
        <v>13921</v>
      </c>
      <c r="D16" s="615" t="s">
        <v>7140</v>
      </c>
      <c r="E16" s="481" t="s">
        <v>13922</v>
      </c>
      <c r="F16" s="504" t="str">
        <f>IFERROR(__xludf.DUMMYFUNCTION("GOOGLETRANSLATE(B16,""zh-tw"",""ja"")"),"アイスキャンディーにしよう！")</f>
        <v>アイスキャンディーにしよう！</v>
      </c>
      <c r="G16" s="472" t="s">
        <v>13923</v>
      </c>
      <c r="H16" s="615" t="s">
        <v>13924</v>
      </c>
      <c r="I16" s="481" t="s">
        <v>13925</v>
      </c>
      <c r="J16" s="260" t="s">
        <v>13926</v>
      </c>
      <c r="K16" s="472" t="s">
        <v>13927</v>
      </c>
      <c r="L16" s="615" t="s">
        <v>7146</v>
      </c>
      <c r="M16" s="467" t="str">
        <f>IFERROR(__xludf.DUMMYFUNCTION("GOOGLETRANSLATE(A16,""zh-tw"",""zh"")"),"冰结")</f>
        <v>冰结</v>
      </c>
      <c r="N16" s="504" t="str">
        <f>IFERROR(__xludf.DUMMYFUNCTION("GOOGLETRANSLATE(B16,""zh-tw"",""zh"")"),"变成冰棍吧！")</f>
        <v>变成冰棍吧！</v>
      </c>
      <c r="O16" s="468" t="str">
        <f>IFERROR(__xludf.DUMMYFUNCTION("GOOGLETRANSLATE(C16,""zh-tw"",""zh"")"),"被冻住了！")</f>
        <v>被冻住了！</v>
      </c>
      <c r="P16" s="616" t="str">
        <f>IFERROR(__xludf.DUMMYFUNCTION("GOOGLETRANSLATE(D16,""zh-tw"",""zh"")"),"急冻史莱姆")</f>
        <v>急冻史莱姆</v>
      </c>
      <c r="Q16" s="253" t="str">
        <f>IFERROR(__xludf.DUMMYFUNCTION("GOOGLETRANSLATE(A16,""zh-tw"",""es-MX"")"),"Hielo")</f>
        <v>Hielo</v>
      </c>
      <c r="R16" s="254" t="str">
        <f>IFERROR(__xludf.DUMMYFUNCTION("GOOGLETRANSLATE(B16,""zh-tw"",""es-MX"")"),"¡Conviértelo en un helado de paleta!")</f>
        <v>¡Conviértelo en un helado de paleta!</v>
      </c>
      <c r="S16" s="463" t="str">
        <f>IFERROR(__xludf.DUMMYFUNCTION("GOOGLETRANSLATE(C16,""zh-tw"",""es-MX"")"),"¡Está completamente congelado!")</f>
        <v>¡Está completamente congelado!</v>
      </c>
      <c r="T16" s="252" t="str">
        <f>IFERROR(__xludf.DUMMYFUNCTION("GOOGLETRANSLATE(D16,""zh-tw"",""es-MX"")"),"Limo congelado")</f>
        <v>Limo congelado</v>
      </c>
      <c r="U16" s="253" t="str">
        <f>IFERROR(__xludf.DUMMYFUNCTION("GOOGLETRANSLATE(A16,""zh-tw"",""KO"")"),"얼음")</f>
        <v>얼음</v>
      </c>
      <c r="V16" s="254" t="str">
        <f>IFERROR(__xludf.DUMMYFUNCTION("GOOGLETRANSLATE(B16,""zh-tw"",""KO"")"),"아이스크림으로 만들어 보세요!")</f>
        <v>아이스크림으로 만들어 보세요!</v>
      </c>
      <c r="W16" s="463" t="str">
        <f>IFERROR(__xludf.DUMMYFUNCTION("GOOGLETRANSLATE(C16,""zh-tw"",""KO"")"),"완전히 꽁꽁 얼었어요!")</f>
        <v>완전히 꽁꽁 얼었어요!</v>
      </c>
      <c r="X16" s="252" t="str">
        <f>IFERROR(__xludf.DUMMYFUNCTION("GOOGLETRANSLATE(D16,""zh-tw"",""KO"")"),"냉동 슬라임")</f>
        <v>냉동 슬라임</v>
      </c>
      <c r="Y16" s="192" t="s">
        <v>13928</v>
      </c>
      <c r="Z16" s="194" t="s">
        <v>13929</v>
      </c>
      <c r="AA16" s="464" t="s">
        <v>13930</v>
      </c>
      <c r="AB16" s="193" t="s">
        <v>13931</v>
      </c>
      <c r="AC16" s="253" t="s">
        <v>13932</v>
      </c>
      <c r="AD16" s="254" t="s">
        <v>13933</v>
      </c>
      <c r="AE16" s="463" t="s">
        <v>13934</v>
      </c>
      <c r="AF16" s="252" t="s">
        <v>13935</v>
      </c>
      <c r="AG16" s="467" t="str">
        <f>IFERROR(__xludf.DUMMYFUNCTION("GOOGLETRANSLATE(A16,""zh-tw"",""DE"")"),"Eis")</f>
        <v>Eis</v>
      </c>
      <c r="AH16" s="504" t="str">
        <f>IFERROR(__xludf.DUMMYFUNCTION("GOOGLETRANSLATE(B16,""zh-tw"",""DE"")"),"Verwandle es in ein Eis am Stiel!")</f>
        <v>Verwandle es in ein Eis am Stiel!</v>
      </c>
      <c r="AI16" s="468" t="str">
        <f>IFERROR(__xludf.DUMMYFUNCTION("GOOGLETRANSLATE(C16,""zh-tw"",""DE"")"),"Es ist komplett durchgefroren!")</f>
        <v>Es ist komplett durchgefroren!</v>
      </c>
      <c r="AJ16" s="616" t="str">
        <f>IFERROR(__xludf.DUMMYFUNCTION("GOOGLETRANSLATE(D16,""zh-tw"",""DE"")"),"Gefrorener Schleim")</f>
        <v>Gefrorener Schleim</v>
      </c>
      <c r="AK16" s="157" t="s">
        <v>13936</v>
      </c>
      <c r="AL16" s="268" t="s">
        <v>13937</v>
      </c>
      <c r="AM16" s="621" t="s">
        <v>13938</v>
      </c>
      <c r="AN16" s="619" t="s">
        <v>7159</v>
      </c>
      <c r="AO16" s="192" t="s">
        <v>13939</v>
      </c>
      <c r="AP16" s="194" t="s">
        <v>13940</v>
      </c>
      <c r="AQ16" s="464" t="s">
        <v>13941</v>
      </c>
      <c r="AR16" s="193" t="s">
        <v>7162</v>
      </c>
      <c r="AS16" s="620"/>
      <c r="AT16" s="620"/>
    </row>
    <row r="17">
      <c r="A17" s="481" t="s">
        <v>13942</v>
      </c>
      <c r="B17" s="260" t="s">
        <v>13943</v>
      </c>
      <c r="C17" s="472" t="s">
        <v>13944</v>
      </c>
      <c r="D17" s="615" t="s">
        <v>13945</v>
      </c>
      <c r="E17" s="481" t="s">
        <v>13946</v>
      </c>
      <c r="F17" s="504" t="str">
        <f>IFERROR(__xludf.DUMMYFUNCTION("GOOGLETRANSLATE(B17,""zh-tw"",""ja"")"),"ふふ、これが私に反抗するとこうなるんだよ～♡")</f>
        <v>ふふ、これが私に反抗するとこうなるんだよ～♡</v>
      </c>
      <c r="G17" s="472" t="s">
        <v>13947</v>
      </c>
      <c r="H17" s="616" t="str">
        <f>IFERROR(__xludf.DUMMYFUNCTION("GOOGLETRANSLATE(D17,""zh-tw"",""ja"")"),"ミステリーショップでは魚はもらえません。")</f>
        <v>ミステリーショップでは魚はもらえません。</v>
      </c>
      <c r="I17" s="481" t="s">
        <v>13948</v>
      </c>
      <c r="J17" s="260" t="s">
        <v>13949</v>
      </c>
      <c r="K17" s="472" t="s">
        <v>13950</v>
      </c>
      <c r="L17" s="615" t="s">
        <v>13951</v>
      </c>
      <c r="M17" s="467" t="str">
        <f>IFERROR(__xludf.DUMMYFUNCTION("GOOGLETRANSLATE(A17,""zh-tw"",""zh"")"),"恶魔诅咒")</f>
        <v>恶魔诅咒</v>
      </c>
      <c r="N17" s="504" t="str">
        <f>IFERROR(__xludf.DUMMYFUNCTION("GOOGLETRANSLATE(B17,""zh-tw"",""zh"")"),"呋呋，这就是反抗我的下场噢~♡")</f>
        <v>呋呋，这就是反抗我的下场噢~♡</v>
      </c>
      <c r="O17" s="468" t="str">
        <f>IFERROR(__xludf.DUMMYFUNCTION("GOOGLETRANSLATE(C17,""zh-tw"",""zh"")"),"被奇怪的小鬼店长诅咒了")</f>
        <v>被奇怪的小鬼店长诅咒了</v>
      </c>
      <c r="P17" s="616" t="str">
        <f>IFERROR(__xludf.DUMMYFUNCTION("GOOGLETRANSLATE(D17,""zh-tw"",""zh"")"),"神秘商店不给鱼")</f>
        <v>神秘商店不给鱼</v>
      </c>
      <c r="Q17" s="253" t="str">
        <f>IFERROR(__xludf.DUMMYFUNCTION("GOOGLETRANSLATE(A17,""zh-tw"",""es-MX"")"),"Maldición demoníaca")</f>
        <v>Maldición demoníaca</v>
      </c>
      <c r="R17" s="254" t="str">
        <f>IFERROR(__xludf.DUMMYFUNCTION("GOOGLETRANSLATE(B17,""zh-tw"",""es-MX"")"),"Fufu, esto es lo que pasa cuando te rebelas contra mí~♡")</f>
        <v>Fufu, esto es lo que pasa cuando te rebelas contra mí~♡</v>
      </c>
      <c r="S17" s="463" t="str">
        <f>IFERROR(__xludf.DUMMYFUNCTION("GOOGLETRANSLATE(C17,""zh-tw"",""es-MX"")"),"Maldecido por el extraño y diabólico tendero.")</f>
        <v>Maldecido por el extraño y diabólico tendero.</v>
      </c>
      <c r="T17" s="252" t="str">
        <f>IFERROR(__xludf.DUMMYFUNCTION("GOOGLETRANSLATE(D17,""zh-tw"",""es-MX"")"),"La tienda misteriosa no te da pescado.")</f>
        <v>La tienda misteriosa no te da pescado.</v>
      </c>
      <c r="U17" s="253" t="str">
        <f>IFERROR(__xludf.DUMMYFUNCTION("GOOGLETRANSLATE(A17,""zh-tw"",""KO"")"),"악마의 저주")</f>
        <v>악마의 저주</v>
      </c>
      <c r="V17" s="254" t="str">
        <f>IFERROR(__xludf.DUMMYFUNCTION("GOOGLETRANSLATE(B17,""zh-tw"",""KO"")"),"후후, 나한테 반항하면 이렇게 되는 거야~♡")</f>
        <v>후후, 나한테 반항하면 이렇게 되는 거야~♡</v>
      </c>
      <c r="W17" s="463" t="str">
        <f>IFERROR(__xludf.DUMMYFUNCTION("GOOGLETRANSLATE(C17,""zh-tw"",""KO"")"),"기묘한 작은 악마 가게 주인의 저주를 받았다")</f>
        <v>기묘한 작은 악마 가게 주인의 저주를 받았다</v>
      </c>
      <c r="X17" s="252" t="str">
        <f>IFERROR(__xludf.DUMMYFUNCTION("GOOGLETRANSLATE(D17,""zh-tw"",""KO"")"),"미스터리 상점에서는 물고기를 주지 않습니다.")</f>
        <v>미스터리 상점에서는 물고기를 주지 않습니다.</v>
      </c>
      <c r="Y17" s="192" t="s">
        <v>13952</v>
      </c>
      <c r="Z17" s="194" t="s">
        <v>13953</v>
      </c>
      <c r="AA17" s="464" t="s">
        <v>13954</v>
      </c>
      <c r="AB17" s="193" t="s">
        <v>13955</v>
      </c>
      <c r="AC17" s="253" t="s">
        <v>13956</v>
      </c>
      <c r="AD17" s="254" t="s">
        <v>13957</v>
      </c>
      <c r="AE17" s="463" t="s">
        <v>13958</v>
      </c>
      <c r="AF17" s="252" t="s">
        <v>13959</v>
      </c>
      <c r="AG17" s="467" t="str">
        <f>IFERROR(__xludf.DUMMYFUNCTION("GOOGLETRANSLATE(A17,""zh-tw"",""DE"")"),"Dämonenfluch")</f>
        <v>Dämonenfluch</v>
      </c>
      <c r="AH17" s="504" t="str">
        <f>IFERROR(__xludf.DUMMYFUNCTION("GOOGLETRANSLATE(B17,""zh-tw"",""DE"")"),"Fufu, das passiert, wenn man gegen mich rebelliert~♡")</f>
        <v>Fufu, das passiert, wenn man gegen mich rebelliert~♡</v>
      </c>
      <c r="AI17" s="468" t="str">
        <f>IFERROR(__xludf.DUMMYFUNCTION("GOOGLETRANSLATE(C17,""zh-tw"",""DE"")"),"Verflucht von dem seltsamen kleinen Teufelsladenbesitzer")</f>
        <v>Verflucht von dem seltsamen kleinen Teufelsladenbesitzer</v>
      </c>
      <c r="AJ17" s="616" t="str">
        <f>IFERROR(__xludf.DUMMYFUNCTION("GOOGLETRANSLATE(D17,""zh-tw"",""DE"")"),"Der Mystery Shop schenkt Ihnen keinen Fisch.")</f>
        <v>Der Mystery Shop schenkt Ihnen keinen Fisch.</v>
      </c>
      <c r="AK17" s="157" t="s">
        <v>13960</v>
      </c>
      <c r="AL17" s="268" t="s">
        <v>13961</v>
      </c>
      <c r="AM17" s="618" t="s">
        <v>13962</v>
      </c>
      <c r="AN17" s="273" t="s">
        <v>13963</v>
      </c>
      <c r="AO17" s="192" t="s">
        <v>13964</v>
      </c>
      <c r="AP17" s="194" t="s">
        <v>13965</v>
      </c>
      <c r="AQ17" s="464" t="s">
        <v>13966</v>
      </c>
      <c r="AR17" s="193" t="s">
        <v>13967</v>
      </c>
      <c r="AS17" s="620"/>
      <c r="AT17" s="620"/>
    </row>
    <row r="18">
      <c r="A18" s="481" t="s">
        <v>13968</v>
      </c>
      <c r="B18" s="260" t="s">
        <v>13969</v>
      </c>
      <c r="C18" s="472" t="s">
        <v>13970</v>
      </c>
      <c r="D18" s="615" t="s">
        <v>13971</v>
      </c>
      <c r="E18" s="481" t="s">
        <v>13972</v>
      </c>
      <c r="F18" s="504" t="str">
        <f>IFERROR(__xludf.DUMMYFUNCTION("GOOGLETRANSLATE(B18,""zh-tw"",""ja"")"),"ここは私の縄張りよ、ここで悪いことは何もできないわ！♡")</f>
        <v>ここは私の縄張りよ、ここで悪いことは何もできないわ！♡</v>
      </c>
      <c r="G18" s="468" t="str">
        <f>IFERROR(__xludf.DUMMYFUNCTION("GOOGLETRANSLATE(C18,""zh-tw"",""ja"")"),"攻撃行為は禁止されています")</f>
        <v>攻撃行為は禁止されています</v>
      </c>
      <c r="H18" s="616" t="str">
        <f>IFERROR(__xludf.DUMMYFUNCTION("GOOGLETRANSLATE(D18,""zh-tw"",""ja"")"),"ミステリーショップの近く")</f>
        <v>ミステリーショップの近く</v>
      </c>
      <c r="I18" s="481" t="s">
        <v>13973</v>
      </c>
      <c r="J18" s="260" t="s">
        <v>13974</v>
      </c>
      <c r="K18" s="472" t="s">
        <v>13975</v>
      </c>
      <c r="L18" s="615" t="s">
        <v>13976</v>
      </c>
      <c r="M18" s="467" t="str">
        <f>IFERROR(__xludf.DUMMYFUNCTION("GOOGLETRANSLATE(A18,""zh-tw"",""zh"")"),"禁止攻击")</f>
        <v>禁止攻击</v>
      </c>
      <c r="N18" s="504" t="str">
        <f>IFERROR(__xludf.DUMMYFUNCTION("GOOGLETRANSLATE(B18,""zh-tw"",""zh"")"),"这里可是我的领域噢，可不能做坏事呢♡！")</f>
        <v>这里可是我的领域噢，可不能做坏事呢♡！</v>
      </c>
      <c r="O18" s="468" t="str">
        <f>IFERROR(__xludf.DUMMYFUNCTION("GOOGLETRANSLATE(C18,""zh-tw"",""zh"")"),"攻击行为禁止")</f>
        <v>攻击行为禁止</v>
      </c>
      <c r="P18" s="616" t="str">
        <f>IFERROR(__xludf.DUMMYFUNCTION("GOOGLETRANSLATE(D18,""zh-tw"",""zh"")"),"神秘商店附近")</f>
        <v>神秘商店附近</v>
      </c>
      <c r="Q18" s="253" t="str">
        <f>IFERROR(__xludf.DUMMYFUNCTION("GOOGLETRANSLATE(A18,""zh-tw"",""es-MX"")"),"No atacar")</f>
        <v>No atacar</v>
      </c>
      <c r="R18" s="254" t="str">
        <f>IFERROR(__xludf.DUMMYFUNCTION("GOOGLETRANSLATE(B18,""zh-tw"",""es-MX"")"),"¡Este es mi territorio, aquí no puedes hacer nada malo! ♡")</f>
        <v>¡Este es mi territorio, aquí no puedes hacer nada malo! ♡</v>
      </c>
      <c r="S18" s="463" t="str">
        <f>IFERROR(__xludf.DUMMYFUNCTION("GOOGLETRANSLATE(C18,""zh-tw"",""es-MX"")"),"Se prohíbe el comportamiento agresivo.")</f>
        <v>Se prohíbe el comportamiento agresivo.</v>
      </c>
      <c r="T18" s="252" t="str">
        <f>IFERROR(__xludf.DUMMYFUNCTION("GOOGLETRANSLATE(D18,""zh-tw"",""es-MX"")"),"Cerca de la tienda misteriosa")</f>
        <v>Cerca de la tienda misteriosa</v>
      </c>
      <c r="U18" s="253" t="str">
        <f>IFERROR(__xludf.DUMMYFUNCTION("GOOGLETRANSLATE(A18,""zh-tw"",""KO"")"),"공격하지 마세요")</f>
        <v>공격하지 마세요</v>
      </c>
      <c r="V18" s="254" t="str">
        <f>IFERROR(__xludf.DUMMYFUNCTION("GOOGLETRANSLATE(B18,""zh-tw"",""KO"")"),"여기는 내 영역이야, 여기서 나쁜 짓은 절대 못 해!♡")</f>
        <v>여기는 내 영역이야, 여기서 나쁜 짓은 절대 못 해!♡</v>
      </c>
      <c r="W18" s="463" t="str">
        <f>IFERROR(__xludf.DUMMYFUNCTION("GOOGLETRANSLATE(C18,""zh-tw"",""KO"")"),"공격 행위 금지")</f>
        <v>공격 행위 금지</v>
      </c>
      <c r="X18" s="252" t="str">
        <f>IFERROR(__xludf.DUMMYFUNCTION("GOOGLETRANSLATE(D18,""zh-tw"",""KO"")"),"미스터리 숍 근처")</f>
        <v>미스터리 숍 근처</v>
      </c>
      <c r="Y18" s="192" t="s">
        <v>13977</v>
      </c>
      <c r="Z18" s="194" t="s">
        <v>13978</v>
      </c>
      <c r="AA18" s="464" t="s">
        <v>13979</v>
      </c>
      <c r="AB18" s="193" t="s">
        <v>13980</v>
      </c>
      <c r="AC18" s="253" t="s">
        <v>13981</v>
      </c>
      <c r="AD18" s="254" t="s">
        <v>13982</v>
      </c>
      <c r="AE18" s="463" t="s">
        <v>13983</v>
      </c>
      <c r="AF18" s="252" t="s">
        <v>13984</v>
      </c>
      <c r="AG18" s="467" t="str">
        <f>IFERROR(__xludf.DUMMYFUNCTION("GOOGLETRANSLATE(A18,""zh-tw"",""DE"")"),"Nicht angreifen")</f>
        <v>Nicht angreifen</v>
      </c>
      <c r="AH18" s="504" t="str">
        <f>IFERROR(__xludf.DUMMYFUNCTION("GOOGLETRANSLATE(B18,""zh-tw"",""DE"")"),"Das ist mein Revier, hier kannst du nichts Schlimmes anstellen! ♡")</f>
        <v>Das ist mein Revier, hier kannst du nichts Schlimmes anstellen! ♡</v>
      </c>
      <c r="AI18" s="468" t="str">
        <f>IFERROR(__xludf.DUMMYFUNCTION("GOOGLETRANSLATE(C18,""zh-tw"",""DE"")"),"Angriffsverhalten verboten")</f>
        <v>Angriffsverhalten verboten</v>
      </c>
      <c r="AJ18" s="616" t="str">
        <f>IFERROR(__xludf.DUMMYFUNCTION("GOOGLETRANSLATE(D18,""zh-tw"",""DE"")"),"In der Nähe des Mystery Shops")</f>
        <v>In der Nähe des Mystery Shops</v>
      </c>
      <c r="AK18" s="157" t="s">
        <v>13985</v>
      </c>
      <c r="AL18" s="268" t="s">
        <v>13986</v>
      </c>
      <c r="AM18" s="621" t="s">
        <v>13987</v>
      </c>
      <c r="AN18" s="619" t="s">
        <v>13988</v>
      </c>
      <c r="AO18" s="192" t="s">
        <v>13989</v>
      </c>
      <c r="AP18" s="194" t="s">
        <v>13990</v>
      </c>
      <c r="AQ18" s="464" t="s">
        <v>13991</v>
      </c>
      <c r="AR18" s="193" t="s">
        <v>13992</v>
      </c>
      <c r="AS18" s="620"/>
      <c r="AT18" s="620"/>
    </row>
    <row r="19">
      <c r="A19" s="481" t="s">
        <v>13993</v>
      </c>
      <c r="B19" s="260" t="s">
        <v>13994</v>
      </c>
      <c r="C19" s="472" t="s">
        <v>13995</v>
      </c>
      <c r="D19" s="615" t="s">
        <v>13996</v>
      </c>
      <c r="E19" s="481" t="s">
        <v>13997</v>
      </c>
      <c r="F19" s="260" t="s">
        <v>13998</v>
      </c>
      <c r="G19" s="472" t="s">
        <v>13999</v>
      </c>
      <c r="H19" s="616" t="str">
        <f>IFERROR(__xludf.DUMMYFUNCTION("GOOGLETRANSLATE(D19,""zh-tw"",""ja"")"),"妹にいたずらを仕掛けて怒る")</f>
        <v>妹にいたずらを仕掛けて怒る</v>
      </c>
      <c r="I19" s="481" t="s">
        <v>14000</v>
      </c>
      <c r="J19" s="260" t="s">
        <v>14001</v>
      </c>
      <c r="K19" s="472" t="s">
        <v>14002</v>
      </c>
      <c r="L19" s="615" t="s">
        <v>14003</v>
      </c>
      <c r="M19" s="467" t="str">
        <f>IFERROR(__xludf.DUMMYFUNCTION("GOOGLETRANSLATE(A19,""zh-tw"",""zh"")"),"不要受伤")</f>
        <v>不要受伤</v>
      </c>
      <c r="N19" s="504" t="str">
        <f>IFERROR(__xludf.DUMMYFUNCTION("GOOGLETRANSLATE(B19,""zh-tw"",""zh"")"),"和妹妹重要的约定，必须要遵守呢")</f>
        <v>和妹妹重要的约定，必须要遵守呢</v>
      </c>
      <c r="O19" s="468" t="str">
        <f>IFERROR(__xludf.DUMMYFUNCTION("GOOGLETRANSLATE(C19,""zh-tw"",""zh"")"),"不要重伤回家")</f>
        <v>不要重伤回家</v>
      </c>
      <c r="P19" s="616" t="str">
        <f>IFERROR(__xludf.DUMMYFUNCTION("GOOGLETRANSLATE(D19,""zh-tw"",""zh"")"),"对妹妹恶作剧时生气")</f>
        <v>对妹妹恶作剧时生气</v>
      </c>
      <c r="Q19" s="253" t="str">
        <f>IFERROR(__xludf.DUMMYFUNCTION("GOOGLETRANSLATE(A19,""zh-tw"",""es-MX"")"),"No te hagas daño.")</f>
        <v>No te hagas daño.</v>
      </c>
      <c r="R19" s="254" t="str">
        <f>IFERROR(__xludf.DUMMYFUNCTION("GOOGLETRANSLATE(B19,""zh-tw"",""es-MX"")"),"Debo cumplir la importante promesa que le hice a mi hermana.")</f>
        <v>Debo cumplir la importante promesa que le hice a mi hermana.</v>
      </c>
      <c r="S19" s="463" t="str">
        <f>IFERROR(__xludf.DUMMYFUNCTION("GOOGLETRANSLATE(C19,""zh-tw"",""es-MX"")"),"No regrese a casa con lesiones graves.")</f>
        <v>No regrese a casa con lesiones graves.</v>
      </c>
      <c r="T19" s="252" t="str">
        <f>IFERROR(__xludf.DUMMYFUNCTION("GOOGLETRANSLATE(D19,""zh-tw"",""es-MX"")"),"Me enfado cuando le hago bromas a mi hermana pequeña.")</f>
        <v>Me enfado cuando le hago bromas a mi hermana pequeña.</v>
      </c>
      <c r="U19" s="253" t="str">
        <f>IFERROR(__xludf.DUMMYFUNCTION("GOOGLETRANSLATE(A19,""zh-tw"",""KO"")"),"다치지 마세요.")</f>
        <v>다치지 마세요.</v>
      </c>
      <c r="V19" s="254" t="str">
        <f>IFERROR(__xludf.DUMMYFUNCTION("GOOGLETRANSLATE(B19,""zh-tw"",""KO"")"),"나는 여동생과의 중요한 약속을 지켜야 해.")</f>
        <v>나는 여동생과의 중요한 약속을 지켜야 해.</v>
      </c>
      <c r="W19" s="463" t="str">
        <f>IFERROR(__xludf.DUMMYFUNCTION("GOOGLETRANSLATE(C19,""zh-tw"",""KO"")"),"심각한 부상을 입은 채로 집으로 돌아가지 마십시오.")</f>
        <v>심각한 부상을 입은 채로 집으로 돌아가지 마십시오.</v>
      </c>
      <c r="X19" s="252" t="str">
        <f>IFERROR(__xludf.DUMMYFUNCTION("GOOGLETRANSLATE(D19,""zh-tw"",""KO"")"),"여동생에게 장난치다가 화가 나는 경우")</f>
        <v>여동생에게 장난치다가 화가 나는 경우</v>
      </c>
      <c r="Y19" s="192" t="s">
        <v>14004</v>
      </c>
      <c r="Z19" s="194" t="s">
        <v>14005</v>
      </c>
      <c r="AA19" s="464" t="s">
        <v>14006</v>
      </c>
      <c r="AB19" s="193" t="s">
        <v>14007</v>
      </c>
      <c r="AC19" s="253" t="s">
        <v>14008</v>
      </c>
      <c r="AD19" s="254" t="s">
        <v>14009</v>
      </c>
      <c r="AE19" s="463" t="s">
        <v>14010</v>
      </c>
      <c r="AF19" s="252" t="s">
        <v>14011</v>
      </c>
      <c r="AG19" s="467" t="str">
        <f>IFERROR(__xludf.DUMMYFUNCTION("GOOGLETRANSLATE(A19,""zh-tw"",""DE"")"),"Verletz dich nicht.")</f>
        <v>Verletz dich nicht.</v>
      </c>
      <c r="AH19" s="504" t="str">
        <f>IFERROR(__xludf.DUMMYFUNCTION("GOOGLETRANSLATE(B19,""zh-tw"",""DE"")"),"Ich muss mein wichtiges Versprechen an meine Schwester halten.")</f>
        <v>Ich muss mein wichtiges Versprechen an meine Schwester halten.</v>
      </c>
      <c r="AI19" s="468" t="str">
        <f>IFERROR(__xludf.DUMMYFUNCTION("GOOGLETRANSLATE(C19,""zh-tw"",""DE"")"),"Kehren Sie nicht mit schweren Verletzungen nach Hause zurück.")</f>
        <v>Kehren Sie nicht mit schweren Verletzungen nach Hause zurück.</v>
      </c>
      <c r="AJ19" s="616" t="str">
        <f>IFERROR(__xludf.DUMMYFUNCTION("GOOGLETRANSLATE(D19,""zh-tw"",""DE"")"),"Ich werde wütend, wenn ich meiner jüngeren Schwester Streiche spiele")</f>
        <v>Ich werde wütend, wenn ich meiner jüngeren Schwester Streiche spiele</v>
      </c>
      <c r="AK19" s="157" t="s">
        <v>14012</v>
      </c>
      <c r="AL19" s="268" t="s">
        <v>14013</v>
      </c>
      <c r="AM19" s="621" t="s">
        <v>14014</v>
      </c>
      <c r="AN19" s="273" t="s">
        <v>14015</v>
      </c>
      <c r="AO19" s="192" t="s">
        <v>14016</v>
      </c>
      <c r="AP19" s="194" t="s">
        <v>14017</v>
      </c>
      <c r="AQ19" s="464" t="s">
        <v>14018</v>
      </c>
      <c r="AR19" s="193" t="s">
        <v>14019</v>
      </c>
      <c r="AS19" s="620"/>
      <c r="AT19" s="620"/>
    </row>
    <row r="20">
      <c r="A20" s="481" t="s">
        <v>14020</v>
      </c>
      <c r="B20" s="260" t="s">
        <v>13994</v>
      </c>
      <c r="C20" s="472" t="s">
        <v>14021</v>
      </c>
      <c r="D20" s="615" t="s">
        <v>13996</v>
      </c>
      <c r="E20" s="481" t="s">
        <v>14022</v>
      </c>
      <c r="F20" s="260" t="s">
        <v>13998</v>
      </c>
      <c r="G20" s="468" t="str">
        <f>IFERROR(__xludf.DUMMYFUNCTION("GOOGLETRANSLATE(C20,""zh-tw"",""ja"")"),"肉料理を作る")</f>
        <v>肉料理を作る</v>
      </c>
      <c r="H20" s="616" t="str">
        <f>IFERROR(__xludf.DUMMYFUNCTION("GOOGLETRANSLATE(D20,""zh-tw"",""ja"")"),"妹にいたずらを仕掛けて怒る")</f>
        <v>妹にいたずらを仕掛けて怒る</v>
      </c>
      <c r="I20" s="481" t="s">
        <v>14023</v>
      </c>
      <c r="J20" s="260" t="s">
        <v>14001</v>
      </c>
      <c r="K20" s="468" t="str">
        <f>IFERROR(__xludf.DUMMYFUNCTION("GOOGLETRANSLATE(C20,""zh-tw"",""en"")"),"Making meat dishes")</f>
        <v>Making meat dishes</v>
      </c>
      <c r="L20" s="615" t="s">
        <v>14003</v>
      </c>
      <c r="M20" s="467" t="str">
        <f>IFERROR(__xludf.DUMMYFUNCTION("GOOGLETRANSLATE(A20,""zh-tw"",""zh"")"),"肉料理")</f>
        <v>肉料理</v>
      </c>
      <c r="N20" s="504" t="str">
        <f>IFERROR(__xludf.DUMMYFUNCTION("GOOGLETRANSLATE(B20,""zh-tw"",""zh"")"),"和妹妹重要的约定，必须要遵守呢")</f>
        <v>和妹妹重要的约定，必须要遵守呢</v>
      </c>
      <c r="O20" s="468" t="str">
        <f>IFERROR(__xludf.DUMMYFUNCTION("GOOGLETRANSLATE(C20,""zh-tw"",""zh"")"),"做肉料理")</f>
        <v>做肉料理</v>
      </c>
      <c r="P20" s="616" t="str">
        <f>IFERROR(__xludf.DUMMYFUNCTION("GOOGLETRANSLATE(D20,""zh-tw"",""zh"")"),"对妹妹恶作剧时生气")</f>
        <v>对妹妹恶作剧时生气</v>
      </c>
      <c r="Q20" s="253" t="str">
        <f>IFERROR(__xludf.DUMMYFUNCTION("GOOGLETRANSLATE(A20,""zh-tw"",""es-MX"")"),"Platos de carne")</f>
        <v>Platos de carne</v>
      </c>
      <c r="R20" s="254" t="str">
        <f>IFERROR(__xludf.DUMMYFUNCTION("GOOGLETRANSLATE(B20,""zh-tw"",""es-MX"")"),"Debo cumplir la importante promesa que le hice a mi hermana.")</f>
        <v>Debo cumplir la importante promesa que le hice a mi hermana.</v>
      </c>
      <c r="S20" s="463" t="str">
        <f>IFERROR(__xludf.DUMMYFUNCTION("GOOGLETRANSLATE(C20,""zh-tw"",""es-MX"")"),"Preparación de platos de carne")</f>
        <v>Preparación de platos de carne</v>
      </c>
      <c r="T20" s="252" t="str">
        <f>IFERROR(__xludf.DUMMYFUNCTION("GOOGLETRANSLATE(D20,""zh-tw"",""es-MX"")"),"Me enfado cuando le hago bromas a mi hermana pequeña.")</f>
        <v>Me enfado cuando le hago bromas a mi hermana pequeña.</v>
      </c>
      <c r="U20" s="253" t="str">
        <f>IFERROR(__xludf.DUMMYFUNCTION("GOOGLETRANSLATE(A20,""zh-tw"",""KO"")"),"고기 요리")</f>
        <v>고기 요리</v>
      </c>
      <c r="V20" s="254" t="str">
        <f>IFERROR(__xludf.DUMMYFUNCTION("GOOGLETRANSLATE(B20,""zh-tw"",""KO"")"),"나는 여동생과의 중요한 약속을 지켜야 해.")</f>
        <v>나는 여동생과의 중요한 약속을 지켜야 해.</v>
      </c>
      <c r="W20" s="463" t="str">
        <f>IFERROR(__xludf.DUMMYFUNCTION("GOOGLETRANSLATE(C20,""zh-tw"",""KO"")"),"고기 요리 만들기")</f>
        <v>고기 요리 만들기</v>
      </c>
      <c r="X20" s="252" t="str">
        <f>IFERROR(__xludf.DUMMYFUNCTION("GOOGLETRANSLATE(D20,""zh-tw"",""KO"")"),"여동생에게 장난치다가 화가 나는 경우")</f>
        <v>여동생에게 장난치다가 화가 나는 경우</v>
      </c>
      <c r="Y20" s="192" t="s">
        <v>14024</v>
      </c>
      <c r="Z20" s="194" t="s">
        <v>14005</v>
      </c>
      <c r="AA20" s="464" t="s">
        <v>914</v>
      </c>
      <c r="AB20" s="193" t="s">
        <v>14007</v>
      </c>
      <c r="AC20" s="253" t="s">
        <v>14025</v>
      </c>
      <c r="AD20" s="254" t="s">
        <v>14009</v>
      </c>
      <c r="AE20" s="463" t="s">
        <v>917</v>
      </c>
      <c r="AF20" s="252" t="s">
        <v>14011</v>
      </c>
      <c r="AG20" s="467" t="str">
        <f>IFERROR(__xludf.DUMMYFUNCTION("GOOGLETRANSLATE(A20,""zh-tw"",""DE"")"),"Fleischgerichte")</f>
        <v>Fleischgerichte</v>
      </c>
      <c r="AH20" s="504" t="str">
        <f>IFERROR(__xludf.DUMMYFUNCTION("GOOGLETRANSLATE(B20,""zh-tw"",""DE"")"),"Ich muss mein wichtiges Versprechen an meine Schwester halten.")</f>
        <v>Ich muss mein wichtiges Versprechen an meine Schwester halten.</v>
      </c>
      <c r="AI20" s="468" t="str">
        <f>IFERROR(__xludf.DUMMYFUNCTION("GOOGLETRANSLATE(C20,""zh-tw"",""DE"")"),"Fleischgerichte zubereiten")</f>
        <v>Fleischgerichte zubereiten</v>
      </c>
      <c r="AJ20" s="616" t="str">
        <f>IFERROR(__xludf.DUMMYFUNCTION("GOOGLETRANSLATE(D20,""zh-tw"",""DE"")"),"Ich werde wütend, wenn ich meiner jüngeren Schwester Streiche spiele")</f>
        <v>Ich werde wütend, wenn ich meiner jüngeren Schwester Streiche spiele</v>
      </c>
      <c r="AK20" s="157" t="s">
        <v>14026</v>
      </c>
      <c r="AL20" s="268" t="s">
        <v>14013</v>
      </c>
      <c r="AM20" s="618" t="s">
        <v>14027</v>
      </c>
      <c r="AN20" s="619" t="s">
        <v>14028</v>
      </c>
      <c r="AO20" s="192" t="s">
        <v>14029</v>
      </c>
      <c r="AP20" s="194" t="s">
        <v>14017</v>
      </c>
      <c r="AQ20" s="469" t="s">
        <v>14030</v>
      </c>
      <c r="AR20" s="193" t="s">
        <v>14019</v>
      </c>
      <c r="AS20" s="620"/>
      <c r="AT20" s="620"/>
    </row>
    <row r="21">
      <c r="A21" s="481" t="s">
        <v>14031</v>
      </c>
      <c r="B21" s="260" t="s">
        <v>14032</v>
      </c>
      <c r="C21" s="472" t="s">
        <v>14033</v>
      </c>
      <c r="D21" s="615" t="s">
        <v>772</v>
      </c>
      <c r="E21" s="481" t="s">
        <v>853</v>
      </c>
      <c r="F21" s="504" t="str">
        <f>IFERROR(__xludf.DUMMYFUNCTION("GOOGLETRANSLATE(B21,""zh-tw"",""ja"")"),"...")</f>
        <v>...</v>
      </c>
      <c r="G21" s="472" t="s">
        <v>14034</v>
      </c>
      <c r="H21" s="615" t="s">
        <v>775</v>
      </c>
      <c r="I21" s="481" t="s">
        <v>14035</v>
      </c>
      <c r="J21" s="504" t="str">
        <f>IFERROR(__xludf.DUMMYFUNCTION("GOOGLETRANSLATE(B21,""zh-tw"",""en"")"),"...")</f>
        <v>...</v>
      </c>
      <c r="K21" s="472" t="s">
        <v>14036</v>
      </c>
      <c r="L21" s="615" t="s">
        <v>778</v>
      </c>
      <c r="M21" s="467" t="str">
        <f>IFERROR(__xludf.DUMMYFUNCTION("GOOGLETRANSLATE(A21,""zh-tw"",""zh"")"),"到底忘记了什么")</f>
        <v>到底忘记了什么</v>
      </c>
      <c r="N21" s="504" t="str">
        <f>IFERROR(__xludf.DUMMYFUNCTION("GOOGLETRANSLATE(B21,""zh-tw"",""zh"")"),".....")</f>
        <v>.....</v>
      </c>
      <c r="O21" s="468" t="str">
        <f>IFERROR(__xludf.DUMMYFUNCTION("GOOGLETRANSLATE(C21,""zh-tw"",""zh"")"),"感觉忘记了什么重要的事情，总有一天会想起来吧？")</f>
        <v>感觉忘记了什么重要的事情，总有一天会想起来吧？</v>
      </c>
      <c r="P21" s="616" t="str">
        <f>IFERROR(__xludf.DUMMYFUNCTION("GOOGLETRANSLATE(D21,""zh-tw"",""zh"")"),"开局选项")</f>
        <v>开局选项</v>
      </c>
      <c r="Q21" s="253" t="str">
        <f>IFERROR(__xludf.DUMMYFUNCTION("GOOGLETRANSLATE(A21,""zh-tw"",""es-MX"")"),"¿Qué es exactamente lo que has olvidado?")</f>
        <v>¿Qué es exactamente lo que has olvidado?</v>
      </c>
      <c r="R21" s="254" t="str">
        <f>IFERROR(__xludf.DUMMYFUNCTION("GOOGLETRANSLATE(B21,""zh-tw"",""es-MX"")"),"...")</f>
        <v>...</v>
      </c>
      <c r="S21" s="463" t="str">
        <f>IFERROR(__xludf.DUMMYFUNCTION("GOOGLETRANSLATE(C21,""zh-tw"",""es-MX"")"),"Siento que he olvidado algo importante. Algún día lo recordaré, ¿verdad?")</f>
        <v>Siento que he olvidado algo importante. Algún día lo recordaré, ¿verdad?</v>
      </c>
      <c r="T21" s="252" t="str">
        <f>IFERROR(__xludf.DUMMYFUNCTION("GOOGLETRANSLATE(D21,""zh-tw"",""es-MX"")"),"Opciones iniciales")</f>
        <v>Opciones iniciales</v>
      </c>
      <c r="U21" s="253" t="str">
        <f>IFERROR(__xludf.DUMMYFUNCTION("GOOGLETRANSLATE(A21,""zh-tw"",""KO"")"),"정확히 무엇을 잊어버리셨나요?")</f>
        <v>정확히 무엇을 잊어버리셨나요?</v>
      </c>
      <c r="V21" s="254" t="str">
        <f>IFERROR(__xludf.DUMMYFUNCTION("GOOGLETRANSLATE(B21,""zh-tw"",""KO"")"),"...")</f>
        <v>...</v>
      </c>
      <c r="W21" s="463" t="str">
        <f>IFERROR(__xludf.DUMMYFUNCTION("GOOGLETRANSLATE(C21,""zh-tw"",""KO"")"),"뭔가 중요한 걸 잊어버린 것 같아요. 언젠가는 기억나겠죠?")</f>
        <v>뭔가 중요한 걸 잊어버린 것 같아요. 언젠가는 기억나겠죠?</v>
      </c>
      <c r="X21" s="252" t="str">
        <f>IFERROR(__xludf.DUMMYFUNCTION("GOOGLETRANSLATE(D21,""zh-tw"",""KO"")"),"시작 옵션")</f>
        <v>시작 옵션</v>
      </c>
      <c r="Y21" s="192" t="s">
        <v>14037</v>
      </c>
      <c r="Z21" s="194" t="s">
        <v>14038</v>
      </c>
      <c r="AA21" s="464" t="s">
        <v>14039</v>
      </c>
      <c r="AB21" s="193" t="s">
        <v>14040</v>
      </c>
      <c r="AC21" s="253" t="s">
        <v>14041</v>
      </c>
      <c r="AD21" s="254" t="s">
        <v>14038</v>
      </c>
      <c r="AE21" s="463" t="s">
        <v>14042</v>
      </c>
      <c r="AF21" s="252" t="s">
        <v>14043</v>
      </c>
      <c r="AG21" s="467" t="str">
        <f>IFERROR(__xludf.DUMMYFUNCTION("GOOGLETRANSLATE(A21,""zh-tw"",""DE"")"),"Was genau haben Sie vergessen?")</f>
        <v>Was genau haben Sie vergessen?</v>
      </c>
      <c r="AH21" s="504" t="str">
        <f>IFERROR(__xludf.DUMMYFUNCTION("GOOGLETRANSLATE(B21,""zh-tw"",""DE"")"),"...")</f>
        <v>...</v>
      </c>
      <c r="AI21" s="468"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J21" s="616" t="str">
        <f>IFERROR(__xludf.DUMMYFUNCTION("GOOGLETRANSLATE(D21,""zh-tw"",""DE"")"),"Startoptionen")</f>
        <v>Startoptionen</v>
      </c>
      <c r="AK21" s="157" t="s">
        <v>14044</v>
      </c>
      <c r="AL21" s="521" t="s">
        <v>14038</v>
      </c>
      <c r="AM21" s="621" t="s">
        <v>14045</v>
      </c>
      <c r="AN21" s="619" t="s">
        <v>798</v>
      </c>
      <c r="AO21" s="192" t="s">
        <v>14046</v>
      </c>
      <c r="AP21" s="194" t="s">
        <v>1485</v>
      </c>
      <c r="AQ21" s="464" t="s">
        <v>14047</v>
      </c>
      <c r="AR21" s="193" t="s">
        <v>801</v>
      </c>
      <c r="AS21" s="620"/>
      <c r="AT21" s="620"/>
    </row>
    <row r="22">
      <c r="A22" s="481" t="s">
        <v>14048</v>
      </c>
      <c r="B22" s="260" t="s">
        <v>14049</v>
      </c>
      <c r="C22" s="472" t="s">
        <v>14050</v>
      </c>
      <c r="D22" s="615" t="s">
        <v>8624</v>
      </c>
      <c r="E22" s="481" t="s">
        <v>14051</v>
      </c>
      <c r="F22" s="260" t="s">
        <v>14052</v>
      </c>
      <c r="G22" s="468" t="str">
        <f>IFERROR(__xludf.DUMMYFUNCTION("GOOGLETRANSLATE(C22,""zh-tw"",""ja"")"),"彼の体からは絶えず悪臭が漂っていた。")</f>
        <v>彼の体からは絶えず悪臭が漂っていた。</v>
      </c>
      <c r="H22" s="615" t="s">
        <v>8626</v>
      </c>
      <c r="I22" s="481" t="s">
        <v>14053</v>
      </c>
      <c r="J22" s="260" t="s">
        <v>14054</v>
      </c>
      <c r="K22" s="472" t="s">
        <v>14055</v>
      </c>
      <c r="L22" s="615" t="s">
        <v>8628</v>
      </c>
      <c r="M22" s="467" t="str">
        <f>IFERROR(__xludf.DUMMYFUNCTION("GOOGLETRANSLATE(A22,""zh-tw"",""zh"")"),"浑身恶臭")</f>
        <v>浑身恶臭</v>
      </c>
      <c r="N22" s="504" t="str">
        <f>IFERROR(__xludf.DUMMYFUNCTION("GOOGLETRANSLATE(B22,""zh-tw"",""zh"")"),"浑身恶臭。")</f>
        <v>浑身恶臭。</v>
      </c>
      <c r="O22" s="468" t="str">
        <f>IFERROR(__xludf.DUMMYFUNCTION("GOOGLETRANSLATE(C22,""zh-tw"",""zh"")"),"身上不断散发着恶臭")</f>
        <v>身上不断散发着恶臭</v>
      </c>
      <c r="P22" s="616" t="str">
        <f>IFERROR(__xludf.DUMMYFUNCTION("GOOGLETRANSLATE(D22,""zh-tw"",""zh"")"),"臭鱼骨")</f>
        <v>臭鱼骨</v>
      </c>
      <c r="Q22" s="253" t="str">
        <f>IFERROR(__xludf.DUMMYFUNCTION("GOOGLETRANSLATE(A22,""zh-tw"",""es-MX"")"),"Todo el cuerpo olía asqueroso.")</f>
        <v>Todo el cuerpo olía asqueroso.</v>
      </c>
      <c r="R22" s="254" t="str">
        <f>IFERROR(__xludf.DUMMYFUNCTION("GOOGLETRANSLATE(B22,""zh-tw"",""es-MX"")"),"Olía fatal.")</f>
        <v>Olía fatal.</v>
      </c>
      <c r="S22" s="463" t="str">
        <f>IFERROR(__xludf.DUMMYFUNCTION("GOOGLETRANSLATE(C22,""zh-tw"",""es-MX"")"),"Su cuerpo desprendía constantemente un hedor nauseabundo.")</f>
        <v>Su cuerpo desprendía constantemente un hedor nauseabundo.</v>
      </c>
      <c r="T22" s="252" t="str">
        <f>IFERROR(__xludf.DUMMYFUNCTION("GOOGLETRANSLATE(D22,""zh-tw"",""es-MX"")"),"Espinas de pescado apestosas")</f>
        <v>Espinas de pescado apestosas</v>
      </c>
      <c r="U22" s="253" t="str">
        <f>IFERROR(__xludf.DUMMYFUNCTION("GOOGLETRANSLATE(A22,""zh-tw"",""KO"")"),"온몸에서 역겨운 냄새가 났다.")</f>
        <v>온몸에서 역겨운 냄새가 났다.</v>
      </c>
      <c r="V22" s="254" t="str">
        <f>IFERROR(__xludf.DUMMYFUNCTION("GOOGLETRANSLATE(B22,""zh-tw"",""KO"")"),"그는 끔찍한 냄새가 났다.")</f>
        <v>그는 끔찍한 냄새가 났다.</v>
      </c>
      <c r="W22" s="463" t="str">
        <f>IFERROR(__xludf.DUMMYFUNCTION("GOOGLETRANSLATE(C22,""zh-tw"",""KO"")"),"그의 몸에서는 끊임없이 악취가 풍겼다.")</f>
        <v>그의 몸에서는 끊임없이 악취가 풍겼다.</v>
      </c>
      <c r="X22" s="252" t="str">
        <f>IFERROR(__xludf.DUMMYFUNCTION("GOOGLETRANSLATE(D22,""zh-tw"",""KO"")"),"냄새나는 생선 뼈")</f>
        <v>냄새나는 생선 뼈</v>
      </c>
      <c r="Y22" s="622" t="s">
        <v>14056</v>
      </c>
      <c r="Z22" s="194" t="s">
        <v>14057</v>
      </c>
      <c r="AA22" s="464" t="s">
        <v>14058</v>
      </c>
      <c r="AB22" s="193" t="s">
        <v>14059</v>
      </c>
      <c r="AC22" s="253" t="s">
        <v>14060</v>
      </c>
      <c r="AD22" s="254" t="s">
        <v>14061</v>
      </c>
      <c r="AE22" s="463" t="s">
        <v>14062</v>
      </c>
      <c r="AF22" s="252" t="s">
        <v>14063</v>
      </c>
      <c r="AG22" s="467" t="str">
        <f>IFERROR(__xludf.DUMMYFUNCTION("GOOGLETRANSLATE(A22,""zh-tw"",""DE"")"),"Der ganze Körper roch widerlich.")</f>
        <v>Der ganze Körper roch widerlich.</v>
      </c>
      <c r="AH22" s="504" t="str">
        <f>IFERROR(__xludf.DUMMYFUNCTION("GOOGLETRANSLATE(B22,""zh-tw"",""DE"")"),"Er roch abscheulich.")</f>
        <v>Er roch abscheulich.</v>
      </c>
      <c r="AI22" s="468" t="str">
        <f>IFERROR(__xludf.DUMMYFUNCTION("GOOGLETRANSLATE(C22,""zh-tw"",""DE"")"),"Sein Körper verströmte unaufhörlich einen widerlichen Gestank.")</f>
        <v>Sein Körper verströmte unaufhörlich einen widerlichen Gestank.</v>
      </c>
      <c r="AJ22" s="616" t="str">
        <f>IFERROR(__xludf.DUMMYFUNCTION("GOOGLETRANSLATE(D22,""zh-tw"",""DE"")"),"Stinkende Fischgräten")</f>
        <v>Stinkende Fischgräten</v>
      </c>
      <c r="AK22" s="157" t="s">
        <v>14064</v>
      </c>
      <c r="AL22" s="521" t="s">
        <v>14065</v>
      </c>
      <c r="AM22" s="621" t="s">
        <v>14066</v>
      </c>
      <c r="AN22" s="619" t="s">
        <v>8638</v>
      </c>
      <c r="AO22" s="192" t="s">
        <v>14067</v>
      </c>
      <c r="AP22" s="194" t="s">
        <v>14068</v>
      </c>
      <c r="AQ22" s="464" t="s">
        <v>14069</v>
      </c>
      <c r="AR22" s="193" t="s">
        <v>8640</v>
      </c>
      <c r="AS22" s="620"/>
      <c r="AT22" s="620"/>
    </row>
    <row r="23">
      <c r="A23" s="481" t="s">
        <v>14070</v>
      </c>
      <c r="B23" s="260" t="s">
        <v>14071</v>
      </c>
      <c r="C23" s="472" t="s">
        <v>14072</v>
      </c>
      <c r="D23" s="615" t="s">
        <v>14073</v>
      </c>
      <c r="E23" s="467" t="str">
        <f>IFERROR(__xludf.DUMMYFUNCTION("GOOGLETRANSLATE(A23,""zh-tw"",""ja"")"),"美味しい")</f>
        <v>美味しい</v>
      </c>
      <c r="F23" s="504" t="str">
        <f>IFERROR(__xludf.DUMMYFUNCTION("GOOGLETRANSLATE(B23,""zh-tw"",""ja"")"),"美味しいものを食べたので、お腹の中が温かい感じがする。")</f>
        <v>美味しいものを食べたので、お腹の中が温かい感じがする。</v>
      </c>
      <c r="G23" s="468" t="str">
        <f>IFERROR(__xludf.DUMMYFUNCTION("GOOGLETRANSLATE(C23,""zh-tw"",""ja"")"),"スタミナは毎秒少しずつ回復する")</f>
        <v>スタミナは毎秒少しずつ回復する</v>
      </c>
      <c r="H23" s="616" t="str">
        <f>IFERROR(__xludf.DUMMYFUNCTION("GOOGLETRANSLATE(D23,""zh-tw"",""ja"")"),"美味しい料理")</f>
        <v>美味しい料理</v>
      </c>
      <c r="I23" s="481" t="s">
        <v>14074</v>
      </c>
      <c r="J23" s="260" t="s">
        <v>14075</v>
      </c>
      <c r="K23" s="472" t="s">
        <v>14076</v>
      </c>
      <c r="L23" s="615" t="s">
        <v>14077</v>
      </c>
      <c r="M23" s="467" t="str">
        <f>IFERROR(__xludf.DUMMYFUNCTION("GOOGLETRANSLATE(A23,""zh-tw"",""zh"")"),"美味い")</f>
        <v>美味い</v>
      </c>
      <c r="N23" s="504" t="str">
        <f>IFERROR(__xludf.DUMMYFUNCTION("GOOGLETRANSLATE(B23,""zh-tw"",""zh"")"),"吃到了美味的东西，肚子里暖暖的~")</f>
        <v>吃到了美味的东西，肚子里暖暖的~</v>
      </c>
      <c r="O23" s="468" t="str">
        <f>IFERROR(__xludf.DUMMYFUNCTION("GOOGLETRANSLATE(C23,""zh-tw"",""zh"")"),"每秒体力少量回复")</f>
        <v>每秒体力少量回复</v>
      </c>
      <c r="P23" s="616" t="str">
        <f>IFERROR(__xludf.DUMMYFUNCTION("GOOGLETRANSLATE(D23,""zh-tw"",""zh"")"),"美味料理")</f>
        <v>美味料理</v>
      </c>
      <c r="Q23" s="253" t="str">
        <f>IFERROR(__xludf.DUMMYFUNCTION("GOOGLETRANSLATE(A23,""zh-tw"",""es-MX"")"),"Delicioso")</f>
        <v>Delicioso</v>
      </c>
      <c r="R23" s="254" t="str">
        <f>IFERROR(__xludf.DUMMYFUNCTION("GOOGLETRANSLATE(B23,""zh-tw"",""es-MX"")"),"Comí algo delicioso y siento una agradable sensación de calor en el estómago.")</f>
        <v>Comí algo delicioso y siento una agradable sensación de calor en el estómago.</v>
      </c>
      <c r="S23" s="463" t="str">
        <f>IFERROR(__xludf.DUMMYFUNCTION("GOOGLETRANSLATE(C23,""zh-tw"",""es-MX"")"),"La resistencia se recupera en una pequeña cantidad por segundo.")</f>
        <v>La resistencia se recupera en una pequeña cantidad por segundo.</v>
      </c>
      <c r="T23" s="252" t="str">
        <f>IFERROR(__xludf.DUMMYFUNCTION("GOOGLETRANSLATE(D23,""zh-tw"",""es-MX"")"),"Deliciosa cocina")</f>
        <v>Deliciosa cocina</v>
      </c>
      <c r="U23" s="253" t="str">
        <f>IFERROR(__xludf.DUMMYFUNCTION("GOOGLETRANSLATE(A23,""zh-tw"",""KO"")"),"맛있는")</f>
        <v>맛있는</v>
      </c>
      <c r="V23" s="254" t="str">
        <f>IFERROR(__xludf.DUMMYFUNCTION("GOOGLETRANSLATE(B23,""zh-tw"",""KO"")"),"맛있는 걸 먹었더니 배가 따뜻해졌어요.")</f>
        <v>맛있는 걸 먹었더니 배가 따뜻해졌어요.</v>
      </c>
      <c r="W23" s="463" t="str">
        <f>IFERROR(__xludf.DUMMYFUNCTION("GOOGLETRANSLATE(C23,""zh-tw"",""KO"")"),"체력은 초당 소량씩 회복됩니다.")</f>
        <v>체력은 초당 소량씩 회복됩니다.</v>
      </c>
      <c r="X23" s="252" t="str">
        <f>IFERROR(__xludf.DUMMYFUNCTION("GOOGLETRANSLATE(D23,""zh-tw"",""KO"")"),"맛있는 음식")</f>
        <v>맛있는 음식</v>
      </c>
      <c r="Y23" s="192" t="s">
        <v>14078</v>
      </c>
      <c r="Z23" s="194" t="s">
        <v>14079</v>
      </c>
      <c r="AA23" s="464" t="s">
        <v>14080</v>
      </c>
      <c r="AB23" s="193" t="s">
        <v>14081</v>
      </c>
      <c r="AC23" s="253" t="s">
        <v>14082</v>
      </c>
      <c r="AD23" s="254" t="s">
        <v>14083</v>
      </c>
      <c r="AE23" s="463" t="s">
        <v>14084</v>
      </c>
      <c r="AF23" s="252" t="s">
        <v>14085</v>
      </c>
      <c r="AG23" s="467" t="str">
        <f>IFERROR(__xludf.DUMMYFUNCTION("GOOGLETRANSLATE(A23,""zh-tw"",""DE"")"),"Lecker")</f>
        <v>Lecker</v>
      </c>
      <c r="AH23" s="504" t="str">
        <f>IFERROR(__xludf.DUMMYFUNCTION("GOOGLETRANSLATE(B23,""zh-tw"",""DE"")"),"Ich habe etwas Leckeres gegessen, und mein Magen fühlt sich warm an.")</f>
        <v>Ich habe etwas Leckeres gegessen, und mein Magen fühlt sich warm an.</v>
      </c>
      <c r="AI23" s="468" t="str">
        <f>IFERROR(__xludf.DUMMYFUNCTION("GOOGLETRANSLATE(C23,""zh-tw"",""DE"")"),"Die Ausdauer regeneriert sich pro Sekunde nur geringfügig.")</f>
        <v>Die Ausdauer regeneriert sich pro Sekunde nur geringfügig.</v>
      </c>
      <c r="AJ23" s="616" t="str">
        <f>IFERROR(__xludf.DUMMYFUNCTION("GOOGLETRANSLATE(D23,""zh-tw"",""DE"")"),"Köstliche Küche")</f>
        <v>Köstliche Küche</v>
      </c>
      <c r="AK23" s="157" t="s">
        <v>14086</v>
      </c>
      <c r="AL23" s="268" t="s">
        <v>14087</v>
      </c>
      <c r="AM23" s="618" t="s">
        <v>14088</v>
      </c>
      <c r="AN23" s="273" t="s">
        <v>14089</v>
      </c>
      <c r="AO23" s="192" t="s">
        <v>14090</v>
      </c>
      <c r="AP23" s="194" t="s">
        <v>14091</v>
      </c>
      <c r="AQ23" s="464" t="s">
        <v>14092</v>
      </c>
      <c r="AR23" s="193" t="s">
        <v>14093</v>
      </c>
      <c r="AS23" s="620"/>
      <c r="AT23" s="620"/>
    </row>
    <row r="24">
      <c r="A24" s="481" t="s">
        <v>14094</v>
      </c>
      <c r="B24" s="260" t="s">
        <v>14095</v>
      </c>
      <c r="C24" s="472" t="s">
        <v>14096</v>
      </c>
      <c r="D24" s="615" t="s">
        <v>14097</v>
      </c>
      <c r="E24" s="481" t="s">
        <v>14098</v>
      </c>
      <c r="F24" s="260" t="s">
        <v>14099</v>
      </c>
      <c r="G24" s="468" t="str">
        <f>IFERROR(__xludf.DUMMYFUNCTION("GOOGLETRANSLATE(C24,""zh-tw"",""ja"")"),"攻撃力+50%")</f>
        <v>攻撃力+50%</v>
      </c>
      <c r="H24" s="616" t="str">
        <f>IFERROR(__xludf.DUMMYFUNCTION("GOOGLETRANSLATE(D24,""zh-tw"",""ja"")"),"食べ物")</f>
        <v>食べ物</v>
      </c>
      <c r="I24" s="481" t="s">
        <v>14100</v>
      </c>
      <c r="J24" s="260" t="s">
        <v>14101</v>
      </c>
      <c r="K24" s="472" t="s">
        <v>14102</v>
      </c>
      <c r="L24" s="615" t="s">
        <v>14103</v>
      </c>
      <c r="M24" s="467" t="str">
        <f>IFERROR(__xludf.DUMMYFUNCTION("GOOGLETRANSLATE(A24,""zh-tw"",""zh"")"),"力量提升")</f>
        <v>力量提升</v>
      </c>
      <c r="N24" s="504" t="str">
        <f>IFERROR(__xludf.DUMMYFUNCTION("GOOGLETRANSLATE(B24,""zh-tw"",""zh"")"),"力量……涌上来了！")</f>
        <v>力量……涌上来了！</v>
      </c>
      <c r="O24" s="468" t="str">
        <f>IFERROR(__xludf.DUMMYFUNCTION("GOOGLETRANSLATE(C24,""zh-tw"",""zh"")"),"攻击力+50%")</f>
        <v>攻击力+50%</v>
      </c>
      <c r="P24" s="616" t="str">
        <f>IFERROR(__xludf.DUMMYFUNCTION("GOOGLETRANSLATE(D24,""zh-tw"",""zh"")"),"食物")</f>
        <v>食物</v>
      </c>
      <c r="Q24" s="253" t="str">
        <f>IFERROR(__xludf.DUMMYFUNCTION("GOOGLETRANSLATE(A24,""zh-tw"",""es-MX"")"),"Mejora de la fuerza")</f>
        <v>Mejora de la fuerza</v>
      </c>
      <c r="R24" s="254" t="str">
        <f>IFERROR(__xludf.DUMMYFUNCTION("GOOGLETRANSLATE(B24,""zh-tw"",""es-MX"")"),"¡El poder... aumentó!")</f>
        <v>¡El poder... aumentó!</v>
      </c>
      <c r="S24" s="463" t="str">
        <f>IFERROR(__xludf.DUMMYFUNCTION("GOOGLETRANSLATE(C24,""zh-tw"",""es-MX"")"),"Poder de ataque +50%")</f>
        <v>Poder de ataque +50%</v>
      </c>
      <c r="T24" s="252" t="str">
        <f>IFERROR(__xludf.DUMMYFUNCTION("GOOGLETRANSLATE(D24,""zh-tw"",""es-MX"")"),"alimento")</f>
        <v>alimento</v>
      </c>
      <c r="U24" s="253" t="str">
        <f>IFERROR(__xludf.DUMMYFUNCTION("GOOGLETRANSLATE(A24,""zh-tw"",""KO"")"),"근력 강화")</f>
        <v>근력 강화</v>
      </c>
      <c r="V24" s="254" t="str">
        <f>IFERROR(__xludf.DUMMYFUNCTION("GOOGLETRANSLATE(B24,""zh-tw"",""KO"")"),"전력이… 급증했다!")</f>
        <v>전력이… 급증했다!</v>
      </c>
      <c r="W24" s="463" t="str">
        <f>IFERROR(__xludf.DUMMYFUNCTION("GOOGLETRANSLATE(C24,""zh-tw"",""KO"")"),"공격력 +50%")</f>
        <v>공격력 +50%</v>
      </c>
      <c r="X24" s="252" t="str">
        <f>IFERROR(__xludf.DUMMYFUNCTION("GOOGLETRANSLATE(D24,""zh-tw"",""KO"")"),"음식")</f>
        <v>음식</v>
      </c>
      <c r="Y24" s="192" t="s">
        <v>14104</v>
      </c>
      <c r="Z24" s="194" t="s">
        <v>14105</v>
      </c>
      <c r="AA24" s="464" t="s">
        <v>14106</v>
      </c>
      <c r="AB24" s="193" t="s">
        <v>14107</v>
      </c>
      <c r="AC24" s="253" t="s">
        <v>14108</v>
      </c>
      <c r="AD24" s="254" t="s">
        <v>14109</v>
      </c>
      <c r="AE24" s="463" t="s">
        <v>14106</v>
      </c>
      <c r="AF24" s="252" t="s">
        <v>14110</v>
      </c>
      <c r="AG24" s="467" t="str">
        <f>IFERROR(__xludf.DUMMYFUNCTION("GOOGLETRANSLATE(A24,""zh-tw"",""DE"")"),"Kraftsteigerung")</f>
        <v>Kraftsteigerung</v>
      </c>
      <c r="AH24" s="504" t="str">
        <f>IFERROR(__xludf.DUMMYFUNCTION("GOOGLETRANSLATE(B24,""zh-tw"",""DE"")"),"Die Leistung... stieg sprunghaft an!")</f>
        <v>Die Leistung... stieg sprunghaft an!</v>
      </c>
      <c r="AI24" s="468" t="str">
        <f>IFERROR(__xludf.DUMMYFUNCTION("GOOGLETRANSLATE(C24,""zh-tw"",""DE"")"),"Angriffskraft +50%")</f>
        <v>Angriffskraft +50%</v>
      </c>
      <c r="AJ24" s="616" t="str">
        <f>IFERROR(__xludf.DUMMYFUNCTION("GOOGLETRANSLATE(D24,""zh-tw"",""DE"")"),"Essen")</f>
        <v>Essen</v>
      </c>
      <c r="AK24" s="157" t="s">
        <v>14111</v>
      </c>
      <c r="AL24" s="268" t="s">
        <v>14112</v>
      </c>
      <c r="AM24" s="618" t="s">
        <v>14113</v>
      </c>
      <c r="AN24" s="619" t="s">
        <v>14114</v>
      </c>
      <c r="AO24" s="192" t="s">
        <v>14115</v>
      </c>
      <c r="AP24" s="194" t="s">
        <v>14116</v>
      </c>
      <c r="AQ24" s="464" t="s">
        <v>14117</v>
      </c>
      <c r="AR24" s="193" t="s">
        <v>14118</v>
      </c>
      <c r="AS24" s="620"/>
      <c r="AT24" s="620"/>
    </row>
    <row r="25">
      <c r="A25" s="481" t="s">
        <v>14119</v>
      </c>
      <c r="B25" s="260" t="s">
        <v>14120</v>
      </c>
      <c r="C25" s="472" t="s">
        <v>14121</v>
      </c>
      <c r="D25" s="615" t="s">
        <v>14097</v>
      </c>
      <c r="E25" s="481" t="s">
        <v>14122</v>
      </c>
      <c r="F25" s="260" t="s">
        <v>14123</v>
      </c>
      <c r="G25" s="468" t="str">
        <f>IFERROR(__xludf.DUMMYFUNCTION("GOOGLETRANSLATE(C25,""zh-tw"",""ja"")"),"魔力+50%")</f>
        <v>魔力+50%</v>
      </c>
      <c r="H25" s="616" t="str">
        <f>IFERROR(__xludf.DUMMYFUNCTION("GOOGLETRANSLATE(D25,""zh-tw"",""ja"")"),"食べ物")</f>
        <v>食べ物</v>
      </c>
      <c r="I25" s="481" t="s">
        <v>14124</v>
      </c>
      <c r="J25" s="260" t="s">
        <v>14125</v>
      </c>
      <c r="K25" s="472" t="s">
        <v>14126</v>
      </c>
      <c r="L25" s="615" t="s">
        <v>14103</v>
      </c>
      <c r="M25" s="467" t="str">
        <f>IFERROR(__xludf.DUMMYFUNCTION("GOOGLETRANSLATE(A25,""zh-tw"",""zh"")"),"魔力提升")</f>
        <v>魔力提升</v>
      </c>
      <c r="N25" s="504" t="str">
        <f>IFERROR(__xludf.DUMMYFUNCTION("GOOGLETRANSLATE(B25,""zh-tw"",""zh"")"),"我逐渐理解一切。")</f>
        <v>我逐渐理解一切。</v>
      </c>
      <c r="O25" s="468" t="str">
        <f>IFERROR(__xludf.DUMMYFUNCTION("GOOGLETRANSLATE(C25,""zh-tw"",""zh"")"),"魔功力+50%")</f>
        <v>魔功力+50%</v>
      </c>
      <c r="P25" s="616" t="str">
        <f>IFERROR(__xludf.DUMMYFUNCTION("GOOGLETRANSLATE(D25,""zh-tw"",""zh"")"),"食物")</f>
        <v>食物</v>
      </c>
      <c r="Q25" s="253" t="str">
        <f>IFERROR(__xludf.DUMMYFUNCTION("GOOGLETRANSLATE(A25,""zh-tw"",""es-MX"")"),"Mejora mágica")</f>
        <v>Mejora mágica</v>
      </c>
      <c r="R25" s="254" t="str">
        <f>IFERROR(__xludf.DUMMYFUNCTION("GOOGLETRANSLATE(B25,""zh-tw"",""es-MX"")"),"Poco a poco fui comprendiendo todo.")</f>
        <v>Poco a poco fui comprendiendo todo.</v>
      </c>
      <c r="S25" s="463" t="str">
        <f>IFERROR(__xludf.DUMMYFUNCTION("GOOGLETRANSLATE(C25,""zh-tw"",""es-MX"")"),"Poder mágico +50%")</f>
        <v>Poder mágico +50%</v>
      </c>
      <c r="T25" s="252" t="str">
        <f>IFERROR(__xludf.DUMMYFUNCTION("GOOGLETRANSLATE(D25,""zh-tw"",""es-MX"")"),"alimento")</f>
        <v>alimento</v>
      </c>
      <c r="U25" s="253" t="str">
        <f>IFERROR(__xludf.DUMMYFUNCTION("GOOGLETRANSLATE(A25,""zh-tw"",""KO"")"),"마법 강화")</f>
        <v>마법 강화</v>
      </c>
      <c r="V25" s="254" t="str">
        <f>IFERROR(__xludf.DUMMYFUNCTION("GOOGLETRANSLATE(B25,""zh-tw"",""KO"")"),"나는 점차 모든 것을 이해하게 되었다.")</f>
        <v>나는 점차 모든 것을 이해하게 되었다.</v>
      </c>
      <c r="W25" s="463" t="str">
        <f>IFERROR(__xludf.DUMMYFUNCTION("GOOGLETRANSLATE(C25,""zh-tw"",""KO"")"),"마법 공격력 +50%")</f>
        <v>마법 공격력 +50%</v>
      </c>
      <c r="X25" s="252" t="str">
        <f>IFERROR(__xludf.DUMMYFUNCTION("GOOGLETRANSLATE(D25,""zh-tw"",""KO"")"),"음식")</f>
        <v>음식</v>
      </c>
      <c r="Y25" s="192" t="s">
        <v>14127</v>
      </c>
      <c r="Z25" s="194" t="s">
        <v>14128</v>
      </c>
      <c r="AA25" s="464" t="s">
        <v>14129</v>
      </c>
      <c r="AB25" s="193" t="s">
        <v>14107</v>
      </c>
      <c r="AC25" s="253" t="s">
        <v>14130</v>
      </c>
      <c r="AD25" s="254" t="s">
        <v>14131</v>
      </c>
      <c r="AE25" s="463" t="s">
        <v>14132</v>
      </c>
      <c r="AF25" s="252" t="s">
        <v>14110</v>
      </c>
      <c r="AG25" s="467" t="str">
        <f>IFERROR(__xludf.DUMMYFUNCTION("GOOGLETRANSLATE(A25,""zh-tw"",""DE"")"),"Magische Verstärkung")</f>
        <v>Magische Verstärkung</v>
      </c>
      <c r="AH25" s="504" t="str">
        <f>IFERROR(__xludf.DUMMYFUNCTION("GOOGLETRANSLATE(B25,""zh-tw"",""DE"")"),"Nach und nach verstand ich alles.")</f>
        <v>Nach und nach verstand ich alles.</v>
      </c>
      <c r="AI25" s="468" t="str">
        <f>IFERROR(__xludf.DUMMYFUNCTION("GOOGLETRANSLATE(C25,""zh-tw"",""DE"")"),"Magische Kraft +50%")</f>
        <v>Magische Kraft +50%</v>
      </c>
      <c r="AJ25" s="616" t="str">
        <f>IFERROR(__xludf.DUMMYFUNCTION("GOOGLETRANSLATE(D25,""zh-tw"",""DE"")"),"Essen")</f>
        <v>Essen</v>
      </c>
      <c r="AK25" s="157" t="s">
        <v>14133</v>
      </c>
      <c r="AL25" s="268" t="s">
        <v>14134</v>
      </c>
      <c r="AM25" s="618" t="s">
        <v>14135</v>
      </c>
      <c r="AN25" s="619" t="s">
        <v>14114</v>
      </c>
      <c r="AO25" s="192" t="s">
        <v>14136</v>
      </c>
      <c r="AP25" s="194" t="s">
        <v>14137</v>
      </c>
      <c r="AQ25" s="464" t="s">
        <v>14138</v>
      </c>
      <c r="AR25" s="193" t="s">
        <v>14118</v>
      </c>
      <c r="AS25" s="620"/>
      <c r="AT25" s="620"/>
    </row>
    <row r="26">
      <c r="A26" s="481" t="s">
        <v>14139</v>
      </c>
      <c r="B26" s="260" t="s">
        <v>14140</v>
      </c>
      <c r="C26" s="472" t="s">
        <v>14141</v>
      </c>
      <c r="D26" s="615" t="s">
        <v>14097</v>
      </c>
      <c r="E26" s="467" t="str">
        <f>IFERROR(__xludf.DUMMYFUNCTION("GOOGLETRANSLATE(A26,""zh-tw"",""ja"")"),"速度増加")</f>
        <v>速度増加</v>
      </c>
      <c r="F26" s="504" t="str">
        <f>IFERROR(__xludf.DUMMYFUNCTION("GOOGLETRANSLATE(B26,""zh-tw"",""ja"")"),"ついていけるかな…？このスピード！")</f>
        <v>ついていけるかな…？このスピード！</v>
      </c>
      <c r="G26" s="468" t="str">
        <f>IFERROR(__xludf.DUMMYFUNCTION("GOOGLETRANSLATE(C26,""zh-tw"",""ja"")"),"移動速度の向上")</f>
        <v>移動速度の向上</v>
      </c>
      <c r="H26" s="616" t="str">
        <f>IFERROR(__xludf.DUMMYFUNCTION("GOOGLETRANSLATE(D26,""zh-tw"",""ja"")"),"食べ物")</f>
        <v>食べ物</v>
      </c>
      <c r="I26" s="481" t="s">
        <v>14142</v>
      </c>
      <c r="J26" s="260" t="s">
        <v>14143</v>
      </c>
      <c r="K26" s="472" t="s">
        <v>14144</v>
      </c>
      <c r="L26" s="615" t="s">
        <v>14103</v>
      </c>
      <c r="M26" s="467" t="str">
        <f>IFERROR(__xludf.DUMMYFUNCTION("GOOGLETRANSLATE(A26,""zh-tw"",""zh"")"),"速度提升")</f>
        <v>速度提升</v>
      </c>
      <c r="N26" s="504" t="str">
        <f>IFERROR(__xludf.DUMMYFUNCTION("GOOGLETRANSLATE(B26,""zh-tw"",""zh"")"),"跟得上吗……我的SPEED！")</f>
        <v>跟得上吗……我的SPEED！</v>
      </c>
      <c r="O26" s="468" t="str">
        <f>IFERROR(__xludf.DUMMYFUNCTION("GOOGLETRANSLATE(C26,""zh-tw"",""zh"")"),"移动速度上升")</f>
        <v>移动速度上升</v>
      </c>
      <c r="P26" s="616" t="str">
        <f>IFERROR(__xludf.DUMMYFUNCTION("GOOGLETRANSLATE(D26,""zh-tw"",""zh"")"),"食物")</f>
        <v>食物</v>
      </c>
      <c r="Q26" s="253" t="str">
        <f>IFERROR(__xludf.DUMMYFUNCTION("GOOGLETRANSLATE(A26,""zh-tw"",""es-MX"")"),"aumento de velocidad")</f>
        <v>aumento de velocidad</v>
      </c>
      <c r="R26" s="254" t="str">
        <f>IFERROR(__xludf.DUMMYFUNCTION("GOOGLETRANSLATE(B26,""zh-tw"",""es-MX"")"),"¿Puedo seguir el ritmo...? ¡Mi velocidad!")</f>
        <v>¿Puedo seguir el ritmo...? ¡Mi velocidad!</v>
      </c>
      <c r="S26" s="463" t="str">
        <f>IFERROR(__xludf.DUMMYFUNCTION("GOOGLETRANSLATE(C26,""zh-tw"",""es-MX"")"),"Mayor velocidad de movimiento")</f>
        <v>Mayor velocidad de movimiento</v>
      </c>
      <c r="T26" s="252" t="str">
        <f>IFERROR(__xludf.DUMMYFUNCTION("GOOGLETRANSLATE(D26,""zh-tw"",""es-MX"")"),"alimento")</f>
        <v>alimento</v>
      </c>
      <c r="U26" s="253" t="str">
        <f>IFERROR(__xludf.DUMMYFUNCTION("GOOGLETRANSLATE(A26,""zh-tw"",""KO"")"),"속도 증가")</f>
        <v>속도 증가</v>
      </c>
      <c r="V26" s="254" t="str">
        <f>IFERROR(__xludf.DUMMYFUNCTION("GOOGLETRANSLATE(B26,""zh-tw"",""KO"")"),"내가 따라갈 수 있을까...? 내 속도 말이야!")</f>
        <v>내가 따라갈 수 있을까...? 내 속도 말이야!</v>
      </c>
      <c r="W26" s="463" t="str">
        <f>IFERROR(__xludf.DUMMYFUNCTION("GOOGLETRANSLATE(C26,""zh-tw"",""KO"")"),"이동 속도 증가")</f>
        <v>이동 속도 증가</v>
      </c>
      <c r="X26" s="252" t="str">
        <f>IFERROR(__xludf.DUMMYFUNCTION("GOOGLETRANSLATE(D26,""zh-tw"",""KO"")"),"음식")</f>
        <v>음식</v>
      </c>
      <c r="Y26" s="192" t="s">
        <v>14145</v>
      </c>
      <c r="Z26" s="194" t="s">
        <v>14146</v>
      </c>
      <c r="AA26" s="464" t="s">
        <v>14147</v>
      </c>
      <c r="AB26" s="193" t="s">
        <v>14107</v>
      </c>
      <c r="AC26" s="253" t="s">
        <v>14148</v>
      </c>
      <c r="AD26" s="254" t="s">
        <v>14149</v>
      </c>
      <c r="AE26" s="463" t="s">
        <v>14150</v>
      </c>
      <c r="AF26" s="252" t="s">
        <v>14110</v>
      </c>
      <c r="AG26" s="467" t="str">
        <f>IFERROR(__xludf.DUMMYFUNCTION("GOOGLETRANSLATE(A26,""zh-tw"",""DE"")"),"Geschwindigkeitserhöhung")</f>
        <v>Geschwindigkeitserhöhung</v>
      </c>
      <c r="AH26" s="504" t="str">
        <f>IFERROR(__xludf.DUMMYFUNCTION("GOOGLETRANSLATE(B26,""zh-tw"",""DE"")"),"Kann ich mithalten...? Meine Geschwindigkeit!")</f>
        <v>Kann ich mithalten...? Meine Geschwindigkeit!</v>
      </c>
      <c r="AI26" s="468" t="str">
        <f>IFERROR(__xludf.DUMMYFUNCTION("GOOGLETRANSLATE(C26,""zh-tw"",""DE"")"),"Erhöhte Bewegungsgeschwindigkeit")</f>
        <v>Erhöhte Bewegungsgeschwindigkeit</v>
      </c>
      <c r="AJ26" s="616" t="str">
        <f>IFERROR(__xludf.DUMMYFUNCTION("GOOGLETRANSLATE(D26,""zh-tw"",""DE"")"),"Essen")</f>
        <v>Essen</v>
      </c>
      <c r="AK26" s="157" t="s">
        <v>14151</v>
      </c>
      <c r="AL26" s="268" t="s">
        <v>14152</v>
      </c>
      <c r="AM26" s="618" t="s">
        <v>14153</v>
      </c>
      <c r="AN26" s="619" t="s">
        <v>14114</v>
      </c>
      <c r="AO26" s="192" t="s">
        <v>14154</v>
      </c>
      <c r="AP26" s="194" t="s">
        <v>14155</v>
      </c>
      <c r="AQ26" s="464" t="s">
        <v>14156</v>
      </c>
      <c r="AR26" s="193" t="s">
        <v>14118</v>
      </c>
      <c r="AS26" s="620"/>
      <c r="AT26" s="620"/>
    </row>
    <row r="27">
      <c r="A27" s="481" t="s">
        <v>14157</v>
      </c>
      <c r="B27" s="260" t="s">
        <v>14158</v>
      </c>
      <c r="C27" s="472" t="s">
        <v>14159</v>
      </c>
      <c r="D27" s="615" t="s">
        <v>14160</v>
      </c>
      <c r="E27" s="467" t="str">
        <f>IFERROR(__xludf.DUMMYFUNCTION("GOOGLETRANSLATE(A27,""zh-tw"",""ja"")"),"巨神兵")</f>
        <v>巨神兵</v>
      </c>
      <c r="F27" s="260" t="s">
        <v>14161</v>
      </c>
      <c r="G27" s="472" t="s">
        <v>14162</v>
      </c>
      <c r="H27" s="616" t="str">
        <f>IFERROR(__xludf.DUMMYFUNCTION("GOOGLETRANSLATE(D27,""zh-tw"",""ja"")"),"タロットカード")</f>
        <v>タロットカード</v>
      </c>
      <c r="I27" s="481" t="s">
        <v>14163</v>
      </c>
      <c r="J27" s="260" t="s">
        <v>14164</v>
      </c>
      <c r="K27" s="472" t="s">
        <v>14165</v>
      </c>
      <c r="L27" s="615" t="s">
        <v>14166</v>
      </c>
      <c r="M27" s="467" t="str">
        <f>IFERROR(__xludf.DUMMYFUNCTION("GOOGLETRANSLATE(A27,""zh-tw"",""zh"")"),"巨神兵")</f>
        <v>巨神兵</v>
      </c>
      <c r="N27" s="504" t="str">
        <f>IFERROR(__xludf.DUMMYFUNCTION("GOOGLETRANSLATE(B27,""zh-tw"",""zh"")"),"神兵天将")</f>
        <v>神兵天将</v>
      </c>
      <c r="O27" s="468" t="str">
        <f>IFERROR(__xludf.DUMMYFUNCTION("GOOGLETRANSLATE(C27,""zh-tw"",""zh"")"),"状态持续期间武器巨大化，提升攻击范围和伤害")</f>
        <v>状态持续期间武器巨大化，提升攻击范围和伤害</v>
      </c>
      <c r="P27" s="616" t="str">
        <f>IFERROR(__xludf.DUMMYFUNCTION("GOOGLETRANSLATE(D27,""zh-tw"",""zh"")"),"塔罗牌")</f>
        <v>塔罗牌</v>
      </c>
      <c r="Q27" s="253" t="str">
        <f>IFERROR(__xludf.DUMMYFUNCTION("GOOGLETRANSLATE(A27,""zh-tw"",""es-MX"")"),"Soldado Gigante Dios")</f>
        <v>Soldado Gigante Dios</v>
      </c>
      <c r="R27" s="254" t="str">
        <f>IFERROR(__xludf.DUMMYFUNCTION("GOOGLETRANSLATE(B27,""zh-tw"",""es-MX"")"),"Soldados Divinos y Generales Celestiales")</f>
        <v>Soldados Divinos y Generales Celestiales</v>
      </c>
      <c r="S27" s="463" t="str">
        <f>IFERROR(__xludf.DUMMYFUNCTION("GOOGLETRANSLATE(C27,""zh-tw"",""es-MX"")"),"Mientras dura el efecto, el arma aumenta de tamaño, incrementando su alcance de ataque y su daño.")</f>
        <v>Mientras dura el efecto, el arma aumenta de tamaño, incrementando su alcance de ataque y su daño.</v>
      </c>
      <c r="T27" s="252" t="str">
        <f>IFERROR(__xludf.DUMMYFUNCTION("GOOGLETRANSLATE(D27,""zh-tw"",""es-MX"")"),"Cartas del tarot")</f>
        <v>Cartas del tarot</v>
      </c>
      <c r="U27" s="253" t="str">
        <f>IFERROR(__xludf.DUMMYFUNCTION("GOOGLETRANSLATE(A27,""zh-tw"",""KO"")"),"거대 신병")</f>
        <v>거대 신병</v>
      </c>
      <c r="V27" s="254" t="str">
        <f>IFERROR(__xludf.DUMMYFUNCTION("GOOGLETRANSLATE(B27,""zh-tw"",""KO"")"),"신의 병사들과 천상의 장군들")</f>
        <v>신의 병사들과 천상의 장군들</v>
      </c>
      <c r="W27" s="463" t="str">
        <f>IFERROR(__xludf.DUMMYFUNCTION("GOOGLETRANSLATE(C27,""zh-tw"",""KO"")"),"효과가 지속되는 동안 무기가 커지면서 공격 범위와 피해량이 증가합니다.")</f>
        <v>효과가 지속되는 동안 무기가 커지면서 공격 범위와 피해량이 증가합니다.</v>
      </c>
      <c r="X27" s="252" t="str">
        <f>IFERROR(__xludf.DUMMYFUNCTION("GOOGLETRANSLATE(D27,""zh-tw"",""KO"")"),"타로 카드")</f>
        <v>타로 카드</v>
      </c>
      <c r="Y27" s="192" t="s">
        <v>14167</v>
      </c>
      <c r="Z27" s="194" t="s">
        <v>14168</v>
      </c>
      <c r="AA27" s="464" t="s">
        <v>14169</v>
      </c>
      <c r="AB27" s="193" t="s">
        <v>14170</v>
      </c>
      <c r="AC27" s="253" t="s">
        <v>14171</v>
      </c>
      <c r="AD27" s="254" t="s">
        <v>14172</v>
      </c>
      <c r="AE27" s="463" t="s">
        <v>14173</v>
      </c>
      <c r="AF27" s="252" t="s">
        <v>14170</v>
      </c>
      <c r="AG27" s="467" t="str">
        <f>IFERROR(__xludf.DUMMYFUNCTION("GOOGLETRANSLATE(A27,""zh-tw"",""DE"")"),"Riesengottsoldat")</f>
        <v>Riesengottsoldat</v>
      </c>
      <c r="AH27" s="504" t="str">
        <f>IFERROR(__xludf.DUMMYFUNCTION("GOOGLETRANSLATE(B27,""zh-tw"",""DE"")"),"Göttliche Soldaten und himmlische Generäle")</f>
        <v>Göttliche Soldaten und himmlische Generäle</v>
      </c>
      <c r="AI27" s="468" t="str">
        <f>IFERROR(__xludf.DUMMYFUNCTION("GOOGLETRANSLATE(C27,""zh-tw"",""DE"")"),"Während der Wirkungsdauer vergrößert sich die Waffe, wodurch ihre Angriffsreichweite und ihr Schaden steigen.")</f>
        <v>Während der Wirkungsdauer vergrößert sich die Waffe, wodurch ihre Angriffsreichweite und ihr Schaden steigen.</v>
      </c>
      <c r="AJ27" s="616" t="str">
        <f>IFERROR(__xludf.DUMMYFUNCTION("GOOGLETRANSLATE(D27,""zh-tw"",""DE"")"),"Tarotkarten")</f>
        <v>Tarotkarten</v>
      </c>
      <c r="AK27" s="167" t="s">
        <v>14174</v>
      </c>
      <c r="AL27" s="521" t="s">
        <v>14175</v>
      </c>
      <c r="AM27" s="621" t="s">
        <v>14176</v>
      </c>
      <c r="AN27" s="273" t="s">
        <v>14177</v>
      </c>
      <c r="AO27" s="192" t="s">
        <v>14178</v>
      </c>
      <c r="AP27" s="194" t="s">
        <v>14179</v>
      </c>
      <c r="AQ27" s="464" t="s">
        <v>14180</v>
      </c>
      <c r="AR27" s="193" t="s">
        <v>14181</v>
      </c>
      <c r="AS27" s="620"/>
      <c r="AT27" s="620"/>
    </row>
    <row r="28">
      <c r="A28" s="481" t="s">
        <v>14182</v>
      </c>
      <c r="B28" s="260" t="s">
        <v>14183</v>
      </c>
      <c r="C28" s="472" t="s">
        <v>14184</v>
      </c>
      <c r="D28" s="615" t="s">
        <v>14160</v>
      </c>
      <c r="E28" s="481" t="s">
        <v>14185</v>
      </c>
      <c r="F28" s="504" t="str">
        <f>IFERROR(__xludf.DUMMYFUNCTION("GOOGLETRANSLATE(B28,""zh-tw"",""ja"")"),"運命の流れ…")</f>
        <v>運命の流れ…</v>
      </c>
      <c r="G28" s="468" t="str">
        <f>IFERROR(__xludf.DUMMYFUNCTION("GOOGLETRANSLATE(C28,""zh-tw"",""ja"")"),"運命の恵みがあれば、幸せな出来事に出会いやすくなる！")</f>
        <v>運命の恵みがあれば、幸せな出来事に出会いやすくなる！</v>
      </c>
      <c r="H28" s="616" t="str">
        <f>IFERROR(__xludf.DUMMYFUNCTION("GOOGLETRANSLATE(D28,""zh-tw"",""ja"")"),"タロットカード")</f>
        <v>タロットカード</v>
      </c>
      <c r="I28" s="481" t="s">
        <v>14186</v>
      </c>
      <c r="J28" s="260" t="s">
        <v>14187</v>
      </c>
      <c r="K28" s="468" t="str">
        <f>IFERROR(__xludf.DUMMYFUNCTION("GOOGLETRANSLATE(C28,""zh-tw"",""en"")"),"With the blessing of fate, it's easier to encounter happy things!")</f>
        <v>With the blessing of fate, it's easier to encounter happy things!</v>
      </c>
      <c r="L28" s="615" t="s">
        <v>14188</v>
      </c>
      <c r="M28" s="467" t="str">
        <f>IFERROR(__xludf.DUMMYFUNCTION("GOOGLETRANSLATE(A28,""zh-tw"",""zh"")"),"命运之轮-正")</f>
        <v>命运之轮-正</v>
      </c>
      <c r="N28" s="504" t="str">
        <f>IFERROR(__xludf.DUMMYFUNCTION("GOOGLETRANSLATE(B28,""zh-tw"",""zh"")"),"命运的流动……")</f>
        <v>命运的流动……</v>
      </c>
      <c r="O28" s="468" t="str">
        <f>IFERROR(__xludf.DUMMYFUNCTION("GOOGLETRANSLATE(C28,""zh-tw"",""zh"")"),"得到命运的加护，更容易遇到开心的事情了！")</f>
        <v>得到命运的加护，更容易遇到开心的事情了！</v>
      </c>
      <c r="P28" s="616" t="str">
        <f>IFERROR(__xludf.DUMMYFUNCTION("GOOGLETRANSLATE(D28,""zh-tw"",""zh"")"),"塔罗牌")</f>
        <v>塔罗牌</v>
      </c>
      <c r="Q28" s="253" t="str">
        <f>IFERROR(__xludf.DUMMYFUNCTION("GOOGLETRANSLATE(A28,""zh-tw"",""es-MX"")"),"La rueda de la fortuna - Derecha")</f>
        <v>La rueda de la fortuna - Derecha</v>
      </c>
      <c r="R28" s="254" t="str">
        <f>IFERROR(__xludf.DUMMYFUNCTION("GOOGLETRANSLATE(B28,""zh-tw"",""es-MX"")"),"El fluir del destino...")</f>
        <v>El fluir del destino...</v>
      </c>
      <c r="S28" s="463" t="str">
        <f>IFERROR(__xludf.DUMMYFUNCTION("GOOGLETRANSLATE(C28,""zh-tw"",""es-MX"")"),"¡Con la bendición del destino, es más fácil encontrarse con cosas felices!")</f>
        <v>¡Con la bendición del destino, es más fácil encontrarse con cosas felices!</v>
      </c>
      <c r="T28" s="252" t="str">
        <f>IFERROR(__xludf.DUMMYFUNCTION("GOOGLETRANSLATE(D28,""zh-tw"",""es-MX"")"),"Cartas del tarot")</f>
        <v>Cartas del tarot</v>
      </c>
      <c r="U28" s="253" t="str">
        <f>IFERROR(__xludf.DUMMYFUNCTION("GOOGLETRANSLATE(A28,""zh-tw"",""KO"")"),"운명의 수레바퀴 - 오른쪽")</f>
        <v>운명의 수레바퀴 - 오른쪽</v>
      </c>
      <c r="V28" s="254" t="str">
        <f>IFERROR(__xludf.DUMMYFUNCTION("GOOGLETRANSLATE(B28,""zh-tw"",""KO"")"),"운명의 흐름...")</f>
        <v>운명의 흐름...</v>
      </c>
      <c r="W28" s="463" t="str">
        <f>IFERROR(__xludf.DUMMYFUNCTION("GOOGLETRANSLATE(C28,""zh-tw"",""KO"")"),"운명의 축복 덕분에 행복한 일들을 만나는 건 더 쉬운 일이죠!")</f>
        <v>운명의 축복 덕분에 행복한 일들을 만나는 건 더 쉬운 일이죠!</v>
      </c>
      <c r="X28" s="252" t="str">
        <f>IFERROR(__xludf.DUMMYFUNCTION("GOOGLETRANSLATE(D28,""zh-tw"",""KO"")"),"타로 카드")</f>
        <v>타로 카드</v>
      </c>
      <c r="Y28" s="192" t="s">
        <v>14189</v>
      </c>
      <c r="Z28" s="194" t="s">
        <v>14190</v>
      </c>
      <c r="AA28" s="464" t="s">
        <v>14191</v>
      </c>
      <c r="AB28" s="193" t="s">
        <v>14170</v>
      </c>
      <c r="AC28" s="253" t="s">
        <v>14192</v>
      </c>
      <c r="AD28" s="254" t="s">
        <v>14193</v>
      </c>
      <c r="AE28" s="463" t="s">
        <v>14194</v>
      </c>
      <c r="AF28" s="252" t="s">
        <v>14170</v>
      </c>
      <c r="AG28" s="467" t="str">
        <f>IFERROR(__xludf.DUMMYFUNCTION("GOOGLETRANSLATE(A28,""zh-tw"",""DE"")"),"Glücksrad - Rechts")</f>
        <v>Glücksrad - Rechts</v>
      </c>
      <c r="AH28" s="504" t="str">
        <f>IFERROR(__xludf.DUMMYFUNCTION("GOOGLETRANSLATE(B28,""zh-tw"",""DE"")"),"Der Lauf des Schicksals...")</f>
        <v>Der Lauf des Schicksals...</v>
      </c>
      <c r="AI28" s="468" t="str">
        <f>IFERROR(__xludf.DUMMYFUNCTION("GOOGLETRANSLATE(C28,""zh-tw"",""DE"")"),"Mit dem Segen des Schicksals begegnet man leichter glücklichen Dingen!")</f>
        <v>Mit dem Segen des Schicksals begegnet man leichter glücklichen Dingen!</v>
      </c>
      <c r="AJ28" s="616" t="str">
        <f>IFERROR(__xludf.DUMMYFUNCTION("GOOGLETRANSLATE(D28,""zh-tw"",""DE"")"),"Tarotkarten")</f>
        <v>Tarotkarten</v>
      </c>
      <c r="AK28" s="157" t="s">
        <v>14195</v>
      </c>
      <c r="AL28" s="268" t="s">
        <v>14196</v>
      </c>
      <c r="AM28" s="621" t="s">
        <v>14197</v>
      </c>
      <c r="AN28" s="273" t="s">
        <v>14198</v>
      </c>
      <c r="AO28" s="192" t="s">
        <v>14199</v>
      </c>
      <c r="AP28" s="194" t="s">
        <v>14200</v>
      </c>
      <c r="AQ28" s="464" t="s">
        <v>14201</v>
      </c>
      <c r="AR28" s="193" t="s">
        <v>14202</v>
      </c>
      <c r="AS28" s="620"/>
      <c r="AT28" s="620"/>
    </row>
    <row r="29">
      <c r="A29" s="481" t="s">
        <v>14203</v>
      </c>
      <c r="B29" s="260" t="s">
        <v>14204</v>
      </c>
      <c r="C29" s="472" t="s">
        <v>14205</v>
      </c>
      <c r="D29" s="615" t="s">
        <v>14160</v>
      </c>
      <c r="E29" s="481" t="s">
        <v>14206</v>
      </c>
      <c r="F29" s="504" t="str">
        <f>IFERROR(__xludf.DUMMYFUNCTION("GOOGLETRANSLATE(B29,""zh-tw"",""ja"")"),"運命は流れる…")</f>
        <v>運命は流れる…</v>
      </c>
      <c r="G29" s="468" t="str">
        <f>IFERROR(__xludf.DUMMYFUNCTION("GOOGLETRANSLATE(C29,""zh-tw"",""ja"")"),"運命に恵まれると、困難なことにも立ち向かいやすくなる！")</f>
        <v>運命に恵まれると、困難なことにも立ち向かいやすくなる！</v>
      </c>
      <c r="H29" s="616" t="str">
        <f>IFERROR(__xludf.DUMMYFUNCTION("GOOGLETRANSLATE(D29,""zh-tw"",""ja"")"),"タロットカード")</f>
        <v>タロットカード</v>
      </c>
      <c r="I29" s="481" t="s">
        <v>14207</v>
      </c>
      <c r="J29" s="260" t="s">
        <v>14208</v>
      </c>
      <c r="K29" s="468" t="str">
        <f>IFERROR(__xludf.DUMMYFUNCTION("GOOGLETRANSLATE(C29,""zh-tw"",""en"")"),"Being blessed by fate makes it easier to encounter difficult things!")</f>
        <v>Being blessed by fate makes it easier to encounter difficult things!</v>
      </c>
      <c r="L29" s="615" t="s">
        <v>14188</v>
      </c>
      <c r="M29" s="467" t="str">
        <f>IFERROR(__xludf.DUMMYFUNCTION("GOOGLETRANSLATE(A29,""zh-tw"",""zh"")"),"命运之轮-逆")</f>
        <v>命运之轮-逆</v>
      </c>
      <c r="N29" s="504" t="str">
        <f>IFERROR(__xludf.DUMMYFUNCTION("GOOGLETRANSLATE(B29,""zh-tw"",""zh"")"),"命运流动……")</f>
        <v>命运流动……</v>
      </c>
      <c r="O29" s="468" t="str">
        <f>IFERROR(__xludf.DUMMYFUNCTION("GOOGLETRANSLATE(C29,""zh-tw"",""zh"")"),"得到命运的加护，更容易遇到难过的事情了！")</f>
        <v>得到命运的加护，更容易遇到难过的事情了！</v>
      </c>
      <c r="P29" s="616" t="str">
        <f>IFERROR(__xludf.DUMMYFUNCTION("GOOGLETRANSLATE(D29,""zh-tw"",""zh"")"),"塔罗牌")</f>
        <v>塔罗牌</v>
      </c>
      <c r="Q29" s="253" t="str">
        <f>IFERROR(__xludf.DUMMYFUNCTION("GOOGLETRANSLATE(A29,""zh-tw"",""es-MX"")"),"Rueda de la Fortuna - Inversa")</f>
        <v>Rueda de la Fortuna - Inversa</v>
      </c>
      <c r="R29" s="254" t="str">
        <f>IFERROR(__xludf.DUMMYFUNCTION("GOOGLETRANSLATE(B29,""zh-tw"",""es-MX"")"),"El destino fluye...")</f>
        <v>El destino fluye...</v>
      </c>
      <c r="S29" s="463" t="str">
        <f>IFERROR(__xludf.DUMMYFUNCTION("GOOGLETRANSLATE(C29,""zh-tw"",""es-MX"")"),"¡Tener la suerte de que el destino te bendiga facilita afrontar las dificultades!")</f>
        <v>¡Tener la suerte de que el destino te bendiga facilita afrontar las dificultades!</v>
      </c>
      <c r="T29" s="252" t="str">
        <f>IFERROR(__xludf.DUMMYFUNCTION("GOOGLETRANSLATE(D29,""zh-tw"",""es-MX"")"),"Cartas del tarot")</f>
        <v>Cartas del tarot</v>
      </c>
      <c r="U29" s="253" t="str">
        <f>IFERROR(__xludf.DUMMYFUNCTION("GOOGLETRANSLATE(A29,""zh-tw"",""KO"")"),"운명의 수레바퀴 - 역방향")</f>
        <v>운명의 수레바퀴 - 역방향</v>
      </c>
      <c r="V29" s="254" t="str">
        <f>IFERROR(__xludf.DUMMYFUNCTION("GOOGLETRANSLATE(B29,""zh-tw"",""KO"")"),"운명은 흐른다...")</f>
        <v>운명은 흐른다...</v>
      </c>
      <c r="W29" s="463" t="str">
        <f>IFERROR(__xludf.DUMMYFUNCTION("GOOGLETRANSLATE(C29,""zh-tw"",""KO"")"),"행운이 따르니 어려운 일도 쉽게 헤쳐나갈 수 있다!")</f>
        <v>행운이 따르니 어려운 일도 쉽게 헤쳐나갈 수 있다!</v>
      </c>
      <c r="X29" s="252" t="str">
        <f>IFERROR(__xludf.DUMMYFUNCTION("GOOGLETRANSLATE(D29,""zh-tw"",""KO"")"),"타로 카드")</f>
        <v>타로 카드</v>
      </c>
      <c r="Y29" s="192" t="s">
        <v>14209</v>
      </c>
      <c r="Z29" s="194" t="s">
        <v>14190</v>
      </c>
      <c r="AA29" s="464" t="s">
        <v>14210</v>
      </c>
      <c r="AB29" s="193" t="s">
        <v>14170</v>
      </c>
      <c r="AC29" s="253" t="s">
        <v>14211</v>
      </c>
      <c r="AD29" s="254" t="s">
        <v>14193</v>
      </c>
      <c r="AE29" s="463" t="s">
        <v>14212</v>
      </c>
      <c r="AF29" s="252" t="s">
        <v>14170</v>
      </c>
      <c r="AG29" s="467" t="str">
        <f>IFERROR(__xludf.DUMMYFUNCTION("GOOGLETRANSLATE(A29,""zh-tw"",""DE"")"),"Glücksrad – Rückwärts")</f>
        <v>Glücksrad – Rückwärts</v>
      </c>
      <c r="AH29" s="504" t="str">
        <f>IFERROR(__xludf.DUMMYFUNCTION("GOOGLETRANSLATE(B29,""zh-tw"",""DE"")"),"Das Schicksal bestimmt seinen Lauf...")</f>
        <v>Das Schicksal bestimmt seinen Lauf...</v>
      </c>
      <c r="AI29" s="468" t="str">
        <f>IFERROR(__xludf.DUMMYFUNCTION("GOOGLETRANSLATE(C29,""zh-tw"",""DE"")"),"Vom Schicksal begünstigt zu sein, erleichtert den Umgang mit schwierigen Dingen!")</f>
        <v>Vom Schicksal begünstigt zu sein, erleichtert den Umgang mit schwierigen Dingen!</v>
      </c>
      <c r="AJ29" s="616" t="str">
        <f>IFERROR(__xludf.DUMMYFUNCTION("GOOGLETRANSLATE(D29,""zh-tw"",""DE"")"),"Tarotkarten")</f>
        <v>Tarotkarten</v>
      </c>
      <c r="AK29" s="157" t="s">
        <v>14213</v>
      </c>
      <c r="AL29" s="268" t="s">
        <v>14196</v>
      </c>
      <c r="AM29" s="621" t="s">
        <v>14214</v>
      </c>
      <c r="AN29" s="273" t="s">
        <v>14198</v>
      </c>
      <c r="AO29" s="192" t="s">
        <v>14215</v>
      </c>
      <c r="AP29" s="194" t="s">
        <v>14216</v>
      </c>
      <c r="AQ29" s="464" t="s">
        <v>14217</v>
      </c>
      <c r="AR29" s="193" t="s">
        <v>14202</v>
      </c>
      <c r="AS29" s="620"/>
      <c r="AT29" s="620"/>
    </row>
    <row r="30">
      <c r="A30" s="481" t="s">
        <v>14218</v>
      </c>
      <c r="B30" s="260" t="s">
        <v>14219</v>
      </c>
      <c r="C30" s="472" t="s">
        <v>14220</v>
      </c>
      <c r="D30" s="615" t="s">
        <v>11680</v>
      </c>
      <c r="E30" s="481" t="s">
        <v>14221</v>
      </c>
      <c r="F30" s="260" t="s">
        <v>14222</v>
      </c>
      <c r="G30" s="472" t="s">
        <v>14223</v>
      </c>
      <c r="H30" s="615" t="s">
        <v>11682</v>
      </c>
      <c r="I30" s="481" t="s">
        <v>14224</v>
      </c>
      <c r="J30" s="260" t="s">
        <v>14225</v>
      </c>
      <c r="K30" s="472" t="s">
        <v>14226</v>
      </c>
      <c r="L30" s="615" t="s">
        <v>11684</v>
      </c>
      <c r="M30" s="467" t="str">
        <f>IFERROR(__xludf.DUMMYFUNCTION("GOOGLETRANSLATE(A30,""zh-tw"",""zh"")"),"生命力")</f>
        <v>生命力</v>
      </c>
      <c r="N30" s="504" t="str">
        <f>IFERROR(__xludf.DUMMYFUNCTION("GOOGLETRANSLATE(B30,""zh-tw"",""zh"")"),"但是真的很难吃……")</f>
        <v>但是真的很难吃……</v>
      </c>
      <c r="O30" s="468" t="str">
        <f>IFERROR(__xludf.DUMMYFUNCTION("GOOGLETRANSLATE(C30,""zh-tw"",""zh"")"),"体内充满了生命力，体力增加了")</f>
        <v>体内充满了生命力，体力增加了</v>
      </c>
      <c r="P30" s="616" t="str">
        <f>IFERROR(__xludf.DUMMYFUNCTION("GOOGLETRANSLATE(D30,""zh-tw"",""zh"")"),"天上之石碎片")</f>
        <v>天上之石碎片</v>
      </c>
      <c r="Q30" s="253" t="str">
        <f>IFERROR(__xludf.DUMMYFUNCTION("GOOGLETRANSLATE(A30,""zh-tw"",""es-MX"")"),"vitalidad")</f>
        <v>vitalidad</v>
      </c>
      <c r="R30" s="254" t="str">
        <f>IFERROR(__xludf.DUMMYFUNCTION("GOOGLETRANSLATE(B30,""zh-tw"",""es-MX"")"),"Pero la verdad es que sabía fatal...")</f>
        <v>Pero la verdad es que sabía fatal...</v>
      </c>
      <c r="S30" s="463" t="str">
        <f>IFERROR(__xludf.DUMMYFUNCTION("GOOGLETRANSLATE(C30,""zh-tw"",""es-MX"")"),"Mi cuerpo está lleno de vitalidad y mi fuerza física ha aumentado.")</f>
        <v>Mi cuerpo está lleno de vitalidad y mi fuerza física ha aumentado.</v>
      </c>
      <c r="T30" s="252" t="str">
        <f>IFERROR(__xludf.DUMMYFUNCTION("GOOGLETRANSLATE(D30,""zh-tw"",""es-MX"")"),"Fragmentos de la Piedra Celestial")</f>
        <v>Fragmentos de la Piedra Celestial</v>
      </c>
      <c r="U30" s="253" t="str">
        <f>IFERROR(__xludf.DUMMYFUNCTION("GOOGLETRANSLATE(A30,""zh-tw"",""KO"")"),"활력")</f>
        <v>활력</v>
      </c>
      <c r="V30" s="254" t="str">
        <f>IFERROR(__xludf.DUMMYFUNCTION("GOOGLETRANSLATE(B30,""zh-tw"",""KO"")"),"하지만 맛이 정말 형편없었어요...")</f>
        <v>하지만 맛이 정말 형편없었어요...</v>
      </c>
      <c r="W30" s="463" t="str">
        <f>IFERROR(__xludf.DUMMYFUNCTION("GOOGLETRANSLATE(C30,""zh-tw"",""KO"")"),"내 몸은 활력이 넘치고, 체력도 향상되었다.")</f>
        <v>내 몸은 활력이 넘치고, 체력도 향상되었다.</v>
      </c>
      <c r="X30" s="252" t="str">
        <f>IFERROR(__xludf.DUMMYFUNCTION("GOOGLETRANSLATE(D30,""zh-tw"",""KO"")"),"천상의 돌 조각들")</f>
        <v>천상의 돌 조각들</v>
      </c>
      <c r="Y30" s="192" t="s">
        <v>14227</v>
      </c>
      <c r="Z30" s="194" t="s">
        <v>14228</v>
      </c>
      <c r="AA30" s="464" t="s">
        <v>14229</v>
      </c>
      <c r="AB30" s="193" t="s">
        <v>14230</v>
      </c>
      <c r="AC30" s="253" t="s">
        <v>14231</v>
      </c>
      <c r="AD30" s="254" t="s">
        <v>14232</v>
      </c>
      <c r="AE30" s="463" t="s">
        <v>14233</v>
      </c>
      <c r="AF30" s="252" t="s">
        <v>14234</v>
      </c>
      <c r="AG30" s="467" t="str">
        <f>IFERROR(__xludf.DUMMYFUNCTION("GOOGLETRANSLATE(A30,""zh-tw"",""DE"")"),"Vitalität")</f>
        <v>Vitalität</v>
      </c>
      <c r="AH30" s="504" t="str">
        <f>IFERROR(__xludf.DUMMYFUNCTION("GOOGLETRANSLATE(B30,""zh-tw"",""DE"")"),"Aber es hat wirklich furchtbar geschmeckt...")</f>
        <v>Aber es hat wirklich furchtbar geschmeckt...</v>
      </c>
      <c r="AI30" s="468" t="str">
        <f>IFERROR(__xludf.DUMMYFUNCTION("GOOGLETRANSLATE(C30,""zh-tw"",""DE"")"),"Mein Körper ist voller Vitalität und meine körperliche Kraft hat zugenommen.")</f>
        <v>Mein Körper ist voller Vitalität und meine körperliche Kraft hat zugenommen.</v>
      </c>
      <c r="AJ30" s="616" t="str">
        <f>IFERROR(__xludf.DUMMYFUNCTION("GOOGLETRANSLATE(D30,""zh-tw"",""DE"")"),"Fragmente des Himmelssteins")</f>
        <v>Fragmente des Himmelssteins</v>
      </c>
      <c r="AK30" s="157" t="s">
        <v>14235</v>
      </c>
      <c r="AL30" s="268" t="s">
        <v>14236</v>
      </c>
      <c r="AM30" s="621" t="s">
        <v>14237</v>
      </c>
      <c r="AN30" s="619" t="s">
        <v>11695</v>
      </c>
      <c r="AO30" s="192" t="s">
        <v>14238</v>
      </c>
      <c r="AP30" s="194" t="s">
        <v>14239</v>
      </c>
      <c r="AQ30" s="464" t="s">
        <v>14240</v>
      </c>
      <c r="AR30" s="193" t="s">
        <v>11697</v>
      </c>
      <c r="AS30" s="620"/>
      <c r="AT30" s="620"/>
    </row>
    <row r="31">
      <c r="A31" s="481" t="s">
        <v>14241</v>
      </c>
      <c r="B31" s="260" t="s">
        <v>14242</v>
      </c>
      <c r="C31" s="472" t="s">
        <v>14243</v>
      </c>
      <c r="D31" s="615" t="s">
        <v>14244</v>
      </c>
      <c r="E31" s="481" t="s">
        <v>14245</v>
      </c>
      <c r="F31" s="260" t="s">
        <v>14246</v>
      </c>
      <c r="G31" s="468" t="str">
        <f>IFERROR(__xludf.DUMMYFUNCTION("GOOGLETRANSLATE(C31,""zh-tw"",""ja"")"),"筋力とスタミナが不足しているため、武器はその潜在能力を最大限に発揮できない！")</f>
        <v>筋力とスタミナが不足しているため、武器はその潜在能力を最大限に発揮できない！</v>
      </c>
      <c r="H31" s="615" t="s">
        <v>14247</v>
      </c>
      <c r="I31" s="481" t="s">
        <v>14248</v>
      </c>
      <c r="J31" s="260" t="s">
        <v>14249</v>
      </c>
      <c r="K31" s="472" t="s">
        <v>14250</v>
      </c>
      <c r="L31" s="615" t="s">
        <v>14251</v>
      </c>
      <c r="M31" s="467" t="str">
        <f>IFERROR(__xludf.DUMMYFUNCTION("GOOGLETRANSLATE(A31,""zh-tw"",""zh"")"),"力不从心")</f>
        <v>力不从心</v>
      </c>
      <c r="N31" s="504" t="str">
        <f>IFERROR(__xludf.DUMMYFUNCTION("GOOGLETRANSLATE(B31,""zh-tw"",""zh"")"),"拿、拿不动了……")</f>
        <v>拿、拿不动了……</v>
      </c>
      <c r="O31" s="468" t="str">
        <f>IFERROR(__xludf.DUMMYFUNCTION("GOOGLETRANSLATE(C31,""zh-tw"",""zh"")"),"力量和体力不足，无法发挥武器性能！")</f>
        <v>力量和体力不足，无法发挥武器性能！</v>
      </c>
      <c r="P31" s="616" t="str">
        <f>IFERROR(__xludf.DUMMYFUNCTION("GOOGLETRANSLATE(D31,""zh-tw"",""zh"")"),"银辉剑为达成条件")</f>
        <v>银辉剑为达成条件</v>
      </c>
      <c r="Q31" s="253" t="str">
        <f>IFERROR(__xludf.DUMMYFUNCTION("GOOGLETRANSLATE(A31,""zh-tw"",""es-MX"")"),"Sentirse impotente")</f>
        <v>Sentirse impotente</v>
      </c>
      <c r="R31" s="254" t="str">
        <f>IFERROR(__xludf.DUMMYFUNCTION("GOOGLETRANSLATE(B31,""zh-tw"",""es-MX"")"),"Ya no puedo levantarlo...")</f>
        <v>Ya no puedo levantarlo...</v>
      </c>
      <c r="S31" s="463" t="str">
        <f>IFERROR(__xludf.DUMMYFUNCTION("GOOGLETRANSLATE(C31,""zh-tw"",""es-MX"")"),"¡La falta de fuerza y ​​resistencia impide que el arma desarrolle todo su potencial!")</f>
        <v>¡La falta de fuerza y ​​resistencia impide que el arma desarrolle todo su potencial!</v>
      </c>
      <c r="T31" s="252" t="str">
        <f>IFERROR(__xludf.DUMMYFUNCTION("GOOGLETRANSLATE(D31,""zh-tw"",""es-MX"")"),"Se requiere la Espada Plateada para cumplir las condiciones.")</f>
        <v>Se requiere la Espada Plateada para cumplir las condiciones.</v>
      </c>
      <c r="U31" s="253" t="str">
        <f>IFERROR(__xludf.DUMMYFUNCTION("GOOGLETRANSLATE(A31,""zh-tw"",""KO"")"),"무력감을 느끼다")</f>
        <v>무력감을 느끼다</v>
      </c>
      <c r="V31" s="254" t="str">
        <f>IFERROR(__xludf.DUMMYFUNCTION("GOOGLETRANSLATE(B31,""zh-tw"",""KO"")"),"더 이상 들 수 없어요...")</f>
        <v>더 이상 들 수 없어요...</v>
      </c>
      <c r="W31" s="463" t="str">
        <f>IFERROR(__xludf.DUMMYFUNCTION("GOOGLETRANSLATE(C31,""zh-tw"",""KO"")"),"힘과 체력이 부족하면 무기가 제 성능을 발휘할 수 없습니다!")</f>
        <v>힘과 체력이 부족하면 무기가 제 성능을 발휘할 수 없습니다!</v>
      </c>
      <c r="X31" s="252" t="str">
        <f>IFERROR(__xludf.DUMMYFUNCTION("GOOGLETRANSLATE(D31,""zh-tw"",""KO"")"),"조건을 충족하려면 실버 소드가 필요합니다.")</f>
        <v>조건을 충족하려면 실버 소드가 필요합니다.</v>
      </c>
      <c r="Y31" s="192" t="s">
        <v>14252</v>
      </c>
      <c r="Z31" s="194" t="s">
        <v>14253</v>
      </c>
      <c r="AA31" s="464" t="s">
        <v>14254</v>
      </c>
      <c r="AB31" s="193" t="s">
        <v>14255</v>
      </c>
      <c r="AC31" s="253" t="s">
        <v>14256</v>
      </c>
      <c r="AD31" s="254" t="s">
        <v>14257</v>
      </c>
      <c r="AE31" s="463" t="s">
        <v>14258</v>
      </c>
      <c r="AF31" s="252" t="s">
        <v>14259</v>
      </c>
      <c r="AG31" s="467" t="str">
        <f>IFERROR(__xludf.DUMMYFUNCTION("GOOGLETRANSLATE(A31,""zh-tw"",""DE"")"),"Ich fühle mich machtlos")</f>
        <v>Ich fühle mich machtlos</v>
      </c>
      <c r="AH31" s="504" t="str">
        <f>IFERROR(__xludf.DUMMYFUNCTION("GOOGLETRANSLATE(B31,""zh-tw"",""DE"")"),"Ich kann es nicht mehr heben...")</f>
        <v>Ich kann es nicht mehr heben...</v>
      </c>
      <c r="AI31" s="468" t="str">
        <f>IFERROR(__xludf.DUMMYFUNCTION("GOOGLETRANSLATE(C31,""zh-tw"",""DE"")"),"Unzureichende Kraft und Ausdauer verhindern, dass die Waffe ihr volles Potenzial entfaltet!")</f>
        <v>Unzureichende Kraft und Ausdauer verhindern, dass die Waffe ihr volles Potenzial entfaltet!</v>
      </c>
      <c r="AJ31" s="616" t="str">
        <f>IFERROR(__xludf.DUMMYFUNCTION("GOOGLETRANSLATE(D31,""zh-tw"",""DE"")"),"Das Silberschwert wird benötigt, um die Bedingungen zu erfüllen.")</f>
        <v>Das Silberschwert wird benötigt, um die Bedingungen zu erfüllen.</v>
      </c>
      <c r="AK31" s="157" t="s">
        <v>14260</v>
      </c>
      <c r="AL31" s="268" t="s">
        <v>14261</v>
      </c>
      <c r="AM31" s="621" t="s">
        <v>14262</v>
      </c>
      <c r="AN31" s="619" t="s">
        <v>14263</v>
      </c>
      <c r="AO31" s="192" t="s">
        <v>14264</v>
      </c>
      <c r="AP31" s="194" t="s">
        <v>14265</v>
      </c>
      <c r="AQ31" s="464" t="s">
        <v>14266</v>
      </c>
      <c r="AR31" s="193" t="s">
        <v>14267</v>
      </c>
      <c r="AS31" s="620"/>
      <c r="AT31" s="620"/>
    </row>
    <row r="32">
      <c r="A32" s="481" t="s">
        <v>14268</v>
      </c>
      <c r="B32" s="260" t="s">
        <v>14269</v>
      </c>
      <c r="C32" s="472" t="s">
        <v>14270</v>
      </c>
      <c r="D32" s="615" t="s">
        <v>10476</v>
      </c>
      <c r="E32" s="481" t="s">
        <v>14271</v>
      </c>
      <c r="F32" s="504" t="str">
        <f>IFERROR(__xludf.DUMMYFUNCTION("GOOGLETRANSLATE(B32,""zh-tw"",""ja"")"),"祝福に満ちた日々をお過ごしください")</f>
        <v>祝福に満ちた日々をお過ごしください</v>
      </c>
      <c r="G32" s="472" t="s">
        <v>14272</v>
      </c>
      <c r="H32" s="615" t="s">
        <v>10478</v>
      </c>
      <c r="I32" s="481" t="s">
        <v>14273</v>
      </c>
      <c r="J32" s="260" t="s">
        <v>14274</v>
      </c>
      <c r="K32" s="472" t="s">
        <v>14275</v>
      </c>
      <c r="L32" s="615" t="s">
        <v>10480</v>
      </c>
      <c r="M32" s="467" t="str">
        <f>IFERROR(__xludf.DUMMYFUNCTION("GOOGLETRANSLATE(A32,""zh-tw"",""zh"")"),"丰收的祝福")</f>
        <v>丰收的祝福</v>
      </c>
      <c r="N32" s="504" t="str">
        <f>IFERROR(__xludf.DUMMYFUNCTION("GOOGLETRANSLATE(B32,""zh-tw"",""zh"")"),"与汝享赐福")</f>
        <v>与汝享赐福</v>
      </c>
      <c r="O32" s="468" t="str">
        <f>IFERROR(__xludf.DUMMYFUNCTION("GOOGLETRANSLATE(C32,""zh-tw"",""zh"")"),"获得了圣杯的祝福，获取金钱翻倍")</f>
        <v>获得了圣杯的祝福，获取金钱翻倍</v>
      </c>
      <c r="P32" s="616" t="str">
        <f>IFERROR(__xludf.DUMMYFUNCTION("GOOGLETRANSLATE(D32,""zh-tw"",""zh"")"),"未满的黄金圣杯")</f>
        <v>未满的黄金圣杯</v>
      </c>
      <c r="Q32" s="253" t="str">
        <f>IFERROR(__xludf.DUMMYFUNCTION("GOOGLETRANSLATE(A32,""zh-tw"",""es-MX"")"),"Bendiciones de una cosecha abundante")</f>
        <v>Bendiciones de una cosecha abundante</v>
      </c>
      <c r="R32" s="254" t="str">
        <f>IFERROR(__xludf.DUMMYFUNCTION("GOOGLETRANSLATE(B32,""zh-tw"",""es-MX"")"),"Que disfrutes de bendiciones")</f>
        <v>Que disfrutes de bendiciones</v>
      </c>
      <c r="S32" s="463" t="str">
        <f>IFERROR(__xludf.DUMMYFUNCTION("GOOGLETRANSLATE(C32,""zh-tw"",""es-MX"")"),"Tras recibir la bendición del Santo Grial, tu dinero se duplicará.")</f>
        <v>Tras recibir la bendición del Santo Grial, tu dinero se duplicará.</v>
      </c>
      <c r="T32" s="252" t="str">
        <f>IFERROR(__xludf.DUMMYFUNCTION("GOOGLETRANSLATE(D32,""zh-tw"",""es-MX"")"),"El Santo Grial incompleto")</f>
        <v>El Santo Grial incompleto</v>
      </c>
      <c r="U32" s="253" t="str">
        <f>IFERROR(__xludf.DUMMYFUNCTION("GOOGLETRANSLATE(A32,""zh-tw"",""KO"")"),"풍성한 수확의 축복")</f>
        <v>풍성한 수확의 축복</v>
      </c>
      <c r="V32" s="254" t="str">
        <f>IFERROR(__xludf.DUMMYFUNCTION("GOOGLETRANSLATE(B32,""zh-tw"",""KO"")"),"축복이 가득하시길 바랍니다.")</f>
        <v>축복이 가득하시길 바랍니다.</v>
      </c>
      <c r="W32" s="463" t="str">
        <f>IFERROR(__xludf.DUMMYFUNCTION("GOOGLETRANSLATE(C32,""zh-tw"",""KO"")"),"성배의 축복을 받았으니 당신의 돈은 두 배가 될 것입니다.")</f>
        <v>성배의 축복을 받았으니 당신의 돈은 두 배가 될 것입니다.</v>
      </c>
      <c r="X32" s="252" t="str">
        <f>IFERROR(__xludf.DUMMYFUNCTION("GOOGLETRANSLATE(D32,""zh-tw"",""KO"")"),"불완전한 성배")</f>
        <v>불완전한 성배</v>
      </c>
      <c r="Y32" s="192" t="s">
        <v>14276</v>
      </c>
      <c r="Z32" s="194" t="s">
        <v>14277</v>
      </c>
      <c r="AA32" s="464" t="s">
        <v>14278</v>
      </c>
      <c r="AB32" s="193" t="s">
        <v>10485</v>
      </c>
      <c r="AC32" s="253" t="s">
        <v>14279</v>
      </c>
      <c r="AD32" s="254" t="s">
        <v>14280</v>
      </c>
      <c r="AE32" s="463" t="s">
        <v>14281</v>
      </c>
      <c r="AF32" s="252" t="s">
        <v>10487</v>
      </c>
      <c r="AG32" s="467" t="str">
        <f>IFERROR(__xludf.DUMMYFUNCTION("GOOGLETRANSLATE(A32,""zh-tw"",""DE"")"),"Segen einer reichen Ernte")</f>
        <v>Segen einer reichen Ernte</v>
      </c>
      <c r="AH32" s="504" t="str">
        <f>IFERROR(__xludf.DUMMYFUNCTION("GOOGLETRANSLATE(B32,""zh-tw"",""DE"")"),"Mögest du gesegnet sein.")</f>
        <v>Mögest du gesegnet sein.</v>
      </c>
      <c r="AI32" s="468" t="str">
        <f>IFERROR(__xludf.DUMMYFUNCTION("GOOGLETRANSLATE(C32,""zh-tw"",""DE"")"),"Nachdem Sie den Segen des Heiligen Grals erhalten haben, wird sich Ihr Geld verdoppeln.")</f>
        <v>Nachdem Sie den Segen des Heiligen Grals erhalten haben, wird sich Ihr Geld verdoppeln.</v>
      </c>
      <c r="AJ32" s="616" t="str">
        <f>IFERROR(__xludf.DUMMYFUNCTION("GOOGLETRANSLATE(D32,""zh-tw"",""DE"")"),"Der unvollständige Heilige Gral")</f>
        <v>Der unvollständige Heilige Gral</v>
      </c>
      <c r="AK32" s="167" t="s">
        <v>14282</v>
      </c>
      <c r="AL32" s="268" t="s">
        <v>14283</v>
      </c>
      <c r="AM32" s="618" t="s">
        <v>14284</v>
      </c>
      <c r="AN32" s="619" t="s">
        <v>14285</v>
      </c>
      <c r="AO32" s="192" t="s">
        <v>14286</v>
      </c>
      <c r="AP32" s="194" t="s">
        <v>14287</v>
      </c>
      <c r="AQ32" s="464" t="s">
        <v>14288</v>
      </c>
      <c r="AR32" s="623" t="s">
        <v>14289</v>
      </c>
      <c r="AS32" s="620"/>
      <c r="AT32" s="620"/>
    </row>
    <row r="33">
      <c r="A33" s="481" t="s">
        <v>14290</v>
      </c>
      <c r="B33" s="260" t="s">
        <v>1485</v>
      </c>
      <c r="C33" s="472" t="s">
        <v>1485</v>
      </c>
      <c r="D33" s="615" t="s">
        <v>14291</v>
      </c>
      <c r="E33" s="467" t="str">
        <f>IFERROR(__xludf.DUMMYFUNCTION("GOOGLETRANSLATE(A33,""zh-tw"",""ja"")"),"氷の床")</f>
        <v>氷の床</v>
      </c>
      <c r="F33" s="504" t="str">
        <f>IFERROR(__xludf.DUMMYFUNCTION("GOOGLETRANSLATE(B33,""zh-tw"",""ja"")"),"-")</f>
        <v>-</v>
      </c>
      <c r="G33" s="468" t="str">
        <f>IFERROR(__xludf.DUMMYFUNCTION("GOOGLETRANSLATE(C33,""zh-tw"",""ja"")"),"-")</f>
        <v>-</v>
      </c>
      <c r="H33" s="616" t="str">
        <f>IFERROR(__xludf.DUMMYFUNCTION("GOOGLETRANSLATE(D33,""zh-tw"",""ja"")"),"例えば、アイススタッフの旧バージョン")</f>
        <v>例えば、アイススタッフの旧バージョン</v>
      </c>
      <c r="I33" s="481" t="s">
        <v>14292</v>
      </c>
      <c r="J33" s="504" t="str">
        <f>IFERROR(__xludf.DUMMYFUNCTION("GOOGLETRANSLATE(B33,""zh-tw"",""en"")"),"-")</f>
        <v>-</v>
      </c>
      <c r="K33" s="468" t="str">
        <f>IFERROR(__xludf.DUMMYFUNCTION("GOOGLETRANSLATE(C33,""zh-tw"",""en"")"),"-")</f>
        <v>-</v>
      </c>
      <c r="L33" s="615" t="s">
        <v>14293</v>
      </c>
      <c r="M33" s="467" t="str">
        <f>IFERROR(__xludf.DUMMYFUNCTION("GOOGLETRANSLATE(A33,""zh-tw"",""zh"")"),"冰地板")</f>
        <v>冰地板</v>
      </c>
      <c r="N33" s="504" t="str">
        <f>IFERROR(__xludf.DUMMYFUNCTION("GOOGLETRANSLATE(B33,""zh-tw"",""zh"")"),"-")</f>
        <v>-</v>
      </c>
      <c r="O33" s="468" t="str">
        <f>IFERROR(__xludf.DUMMYFUNCTION("GOOGLETRANSLATE(C33,""zh-tw"",""zh"")"),"-")</f>
        <v>-</v>
      </c>
      <c r="P33" s="616" t="str">
        <f>IFERROR(__xludf.DUMMYFUNCTION("GOOGLETRANSLATE(D33,""zh-tw"",""zh"")"),"例如:旧版本的寒冰杖")</f>
        <v>例如:旧版本的寒冰杖</v>
      </c>
      <c r="Q33" s="253" t="str">
        <f>IFERROR(__xludf.DUMMYFUNCTION("GOOGLETRANSLATE(A33,""zh-tw"",""es-MX"")"),"Pista de hielo")</f>
        <v>Pista de hielo</v>
      </c>
      <c r="R33" s="254" t="str">
        <f>IFERROR(__xludf.DUMMYFUNCTION("GOOGLETRANSLATE(B33,""zh-tw"",""es-MX"")"),"-")</f>
        <v>-</v>
      </c>
      <c r="S33" s="463" t="str">
        <f>IFERROR(__xludf.DUMMYFUNCTION("GOOGLETRANSLATE(C33,""zh-tw"",""es-MX"")"),"-")</f>
        <v>-</v>
      </c>
      <c r="T33" s="252" t="str">
        <f>IFERROR(__xludf.DUMMYFUNCTION("GOOGLETRANSLATE(D33,""zh-tw"",""es-MX"")"),"Por ejemplo, la versión antigua del Bastón de Hielo")</f>
        <v>Por ejemplo, la versión antigua del Bastón de Hielo</v>
      </c>
      <c r="U33" s="253" t="str">
        <f>IFERROR(__xludf.DUMMYFUNCTION("GOOGLETRANSLATE(A33,""zh-tw"",""KO"")"),"얼음 바닥")</f>
        <v>얼음 바닥</v>
      </c>
      <c r="V33" s="254" t="str">
        <f>IFERROR(__xludf.DUMMYFUNCTION("GOOGLETRANSLATE(B33,""zh-tw"",""KO"")"),"-")</f>
        <v>-</v>
      </c>
      <c r="W33" s="463" t="str">
        <f>IFERROR(__xludf.DUMMYFUNCTION("GOOGLETRANSLATE(C33,""zh-tw"",""KO"")"),"-")</f>
        <v>-</v>
      </c>
      <c r="X33" s="252" t="str">
        <f>IFERROR(__xludf.DUMMYFUNCTION("GOOGLETRANSLATE(D33,""zh-tw"",""KO"")"),"예를 들어, 아이스 스태프의 구버전")</f>
        <v>예를 들어, 아이스 스태프의 구버전</v>
      </c>
      <c r="Y33" s="192" t="s">
        <v>14294</v>
      </c>
      <c r="Z33" s="194" t="s">
        <v>1485</v>
      </c>
      <c r="AA33" s="464" t="s">
        <v>1485</v>
      </c>
      <c r="AB33" s="193" t="s">
        <v>14295</v>
      </c>
      <c r="AC33" s="253" t="s">
        <v>14296</v>
      </c>
      <c r="AD33" s="254" t="s">
        <v>1485</v>
      </c>
      <c r="AE33" s="463" t="s">
        <v>1485</v>
      </c>
      <c r="AF33" s="252" t="s">
        <v>14297</v>
      </c>
      <c r="AG33" s="467" t="str">
        <f>IFERROR(__xludf.DUMMYFUNCTION("GOOGLETRANSLATE(A33,""zh-tw"",""DE"")"),"Eisboden")</f>
        <v>Eisboden</v>
      </c>
      <c r="AH33" s="504" t="str">
        <f>IFERROR(__xludf.DUMMYFUNCTION("GOOGLETRANSLATE(B33,""zh-tw"",""DE"")"),"-")</f>
        <v>-</v>
      </c>
      <c r="AI33" s="468" t="str">
        <f>IFERROR(__xludf.DUMMYFUNCTION("GOOGLETRANSLATE(C33,""zh-tw"",""DE"")"),"-")</f>
        <v>-</v>
      </c>
      <c r="AJ33" s="616" t="str">
        <f>IFERROR(__xludf.DUMMYFUNCTION("GOOGLETRANSLATE(D33,""zh-tw"",""DE"")"),"Zum Beispiel die alte Version von Ice Staff")</f>
        <v>Zum Beispiel die alte Version von Ice Staff</v>
      </c>
      <c r="AK33" s="157" t="s">
        <v>14298</v>
      </c>
      <c r="AL33" s="521" t="s">
        <v>1485</v>
      </c>
      <c r="AM33" s="618" t="s">
        <v>1485</v>
      </c>
      <c r="AN33" s="619" t="s">
        <v>14299</v>
      </c>
      <c r="AO33" s="192" t="s">
        <v>14300</v>
      </c>
      <c r="AP33" s="194" t="s">
        <v>1485</v>
      </c>
      <c r="AQ33" s="464" t="s">
        <v>1485</v>
      </c>
      <c r="AR33" s="193" t="s">
        <v>14301</v>
      </c>
      <c r="AS33" s="620"/>
      <c r="AT33" s="620"/>
    </row>
    <row r="34">
      <c r="A34" s="481" t="s">
        <v>14302</v>
      </c>
      <c r="B34" s="260" t="s">
        <v>14303</v>
      </c>
      <c r="C34" s="472" t="s">
        <v>14304</v>
      </c>
      <c r="D34" s="615" t="s">
        <v>9183</v>
      </c>
      <c r="E34" s="481" t="s">
        <v>9185</v>
      </c>
      <c r="F34" s="260" t="s">
        <v>14305</v>
      </c>
      <c r="G34" s="468" t="str">
        <f>IFERROR(__xludf.DUMMYFUNCTION("GOOGLETRANSLATE(C34,""zh-tw"",""ja"")"),"全ての能力値が向上し、一時的に無敵状態になる。")</f>
        <v>全ての能力値が向上し、一時的に無敵状態になる。</v>
      </c>
      <c r="H34" s="615" t="s">
        <v>9185</v>
      </c>
      <c r="I34" s="481" t="s">
        <v>9187</v>
      </c>
      <c r="J34" s="260" t="s">
        <v>14306</v>
      </c>
      <c r="K34" s="472" t="s">
        <v>14307</v>
      </c>
      <c r="L34" s="615" t="s">
        <v>9187</v>
      </c>
      <c r="M34" s="467" t="str">
        <f>IFERROR(__xludf.DUMMYFUNCTION("GOOGLETRANSLATE(A34,""zh-tw"",""zh"")"),"上古荣光")</f>
        <v>上古荣光</v>
      </c>
      <c r="N34" s="504" t="str">
        <f>IFERROR(__xludf.DUMMYFUNCTION("GOOGLETRANSLATE(B34,""zh-tw"",""zh"")"),"你散发着荣光")</f>
        <v>你散发着荣光</v>
      </c>
      <c r="O34" s="468" t="str">
        <f>IFERROR(__xludf.DUMMYFUNCTION("GOOGLETRANSLATE(C34,""zh-tw"",""zh"")"),"全属性上升，暂时无敌")</f>
        <v>全属性上升，暂时无敌</v>
      </c>
      <c r="P34" s="616" t="str">
        <f>IFERROR(__xludf.DUMMYFUNCTION("GOOGLETRANSLATE(D34,""zh-tw"",""zh"")"),"荒古荣光")</f>
        <v>荒古荣光</v>
      </c>
      <c r="Q34" s="253" t="str">
        <f>IFERROR(__xludf.DUMMYFUNCTION("GOOGLETRANSLATE(A34,""zh-tw"",""es-MX"")"),"Gloria antigua")</f>
        <v>Gloria antigua</v>
      </c>
      <c r="R34" s="254" t="str">
        <f>IFERROR(__xludf.DUMMYFUNCTION("GOOGLETRANSLATE(B34,""zh-tw"",""es-MX"")"),"Irradias gloria")</f>
        <v>Irradias gloria</v>
      </c>
      <c r="S34" s="463" t="str">
        <f>IFERROR(__xludf.DUMMYFUNCTION("GOOGLETRANSLATE(C34,""zh-tw"",""es-MX"")"),"Todos los atributos aumentados, invencible temporalmente.")</f>
        <v>Todos los atributos aumentados, invencible temporalmente.</v>
      </c>
      <c r="T34" s="252" t="str">
        <f>IFERROR(__xludf.DUMMYFUNCTION("GOOGLETRANSLATE(D34,""zh-tw"",""es-MX"")"),"Gloria antigua")</f>
        <v>Gloria antigua</v>
      </c>
      <c r="U34" s="253" t="str">
        <f>IFERROR(__xludf.DUMMYFUNCTION("GOOGLETRANSLATE(A34,""zh-tw"",""KO"")"),"고대의 영광")</f>
        <v>고대의 영광</v>
      </c>
      <c r="V34" s="254" t="str">
        <f>IFERROR(__xludf.DUMMYFUNCTION("GOOGLETRANSLATE(B34,""zh-tw"",""KO"")"),"당신은 영광을 발산합니다")</f>
        <v>당신은 영광을 발산합니다</v>
      </c>
      <c r="W34" s="463" t="str">
        <f>IFERROR(__xludf.DUMMYFUNCTION("GOOGLETRANSLATE(C34,""zh-tw"",""KO"")"),"모든 능력치가 상승하여 일시적으로 무적이 됩니다.")</f>
        <v>모든 능력치가 상승하여 일시적으로 무적이 됩니다.</v>
      </c>
      <c r="X34" s="252" t="str">
        <f>IFERROR(__xludf.DUMMYFUNCTION("GOOGLETRANSLATE(D34,""zh-tw"",""KO"")"),"고대의 영광")</f>
        <v>고대의 영광</v>
      </c>
      <c r="Y34" s="192" t="s">
        <v>9189</v>
      </c>
      <c r="Z34" s="194" t="s">
        <v>14308</v>
      </c>
      <c r="AA34" s="464" t="s">
        <v>14309</v>
      </c>
      <c r="AB34" s="193" t="s">
        <v>9189</v>
      </c>
      <c r="AC34" s="253" t="s">
        <v>9191</v>
      </c>
      <c r="AD34" s="254" t="s">
        <v>14310</v>
      </c>
      <c r="AE34" s="463" t="s">
        <v>14311</v>
      </c>
      <c r="AF34" s="252" t="s">
        <v>9191</v>
      </c>
      <c r="AG34" s="253" t="str">
        <f>IFERROR(__xludf.DUMMYFUNCTION("GOOGLETRANSLATE(A34,""zh-tw"",""DE"")"),"Antiker Ruhm")</f>
        <v>Antiker Ruhm</v>
      </c>
      <c r="AH34" s="504" t="str">
        <f>IFERROR(__xludf.DUMMYFUNCTION("GOOGLETRANSLATE(B34,""zh-tw"",""DE"")"),"Du strahlst Glanz aus")</f>
        <v>Du strahlst Glanz aus</v>
      </c>
      <c r="AI34" s="468" t="str">
        <f>IFERROR(__xludf.DUMMYFUNCTION("GOOGLETRANSLATE(C34,""zh-tw"",""DE"")"),"Alle Attribute erhöht, vorübergehend unbesiegbar.")</f>
        <v>Alle Attribute erhöht, vorübergehend unbesiegbar.</v>
      </c>
      <c r="AJ34" s="616" t="str">
        <f>IFERROR(__xludf.DUMMYFUNCTION("GOOGLETRANSLATE(D34,""zh-tw"",""DE"")"),"Antiker Ruhm")</f>
        <v>Antiker Ruhm</v>
      </c>
      <c r="AK34" s="157" t="s">
        <v>14312</v>
      </c>
      <c r="AL34" s="268" t="s">
        <v>14313</v>
      </c>
      <c r="AM34" s="618" t="s">
        <v>14314</v>
      </c>
      <c r="AN34" s="619" t="s">
        <v>14312</v>
      </c>
      <c r="AO34" s="192" t="s">
        <v>9197</v>
      </c>
      <c r="AP34" s="194" t="s">
        <v>14315</v>
      </c>
      <c r="AQ34" s="464" t="s">
        <v>14316</v>
      </c>
      <c r="AR34" s="193" t="s">
        <v>9197</v>
      </c>
      <c r="AS34" s="620"/>
      <c r="AT34" s="620"/>
    </row>
    <row r="35">
      <c r="A35" s="481" t="s">
        <v>4213</v>
      </c>
      <c r="B35" s="260" t="s">
        <v>14317</v>
      </c>
      <c r="C35" s="472" t="s">
        <v>14318</v>
      </c>
      <c r="D35" s="615" t="s">
        <v>14319</v>
      </c>
      <c r="E35" s="481" t="s">
        <v>4216</v>
      </c>
      <c r="F35" s="260" t="s">
        <v>14320</v>
      </c>
      <c r="G35" s="468" t="str">
        <f>IFERROR(__xludf.DUMMYFUNCTION("GOOGLETRANSLATE(C35,""zh-tw"",""ja"")"),"スタミナを回復できない")</f>
        <v>スタミナを回復できない</v>
      </c>
      <c r="H35" s="615" t="s">
        <v>7733</v>
      </c>
      <c r="I35" s="481" t="s">
        <v>7735</v>
      </c>
      <c r="J35" s="260" t="s">
        <v>14321</v>
      </c>
      <c r="K35" s="472" t="s">
        <v>14322</v>
      </c>
      <c r="L35" s="615" t="s">
        <v>7735</v>
      </c>
      <c r="M35" s="467" t="str">
        <f>IFERROR(__xludf.DUMMYFUNCTION("GOOGLETRANSLATE(A35,""zh-tw"",""zh"")"),"稻草人")</f>
        <v>稻草人</v>
      </c>
      <c r="N35" s="504" t="str">
        <f>IFERROR(__xludf.DUMMYFUNCTION("GOOGLETRANSLATE(B35,""zh-tw"",""zh"")"),"不死的稻草人之心")</f>
        <v>不死的稻草人之心</v>
      </c>
      <c r="O35" s="468" t="str">
        <f>IFERROR(__xludf.DUMMYFUNCTION("GOOGLETRANSLATE(C35,""zh-tw"",""zh"")"),"无法回复体力")</f>
        <v>无法回复体力</v>
      </c>
      <c r="P35" s="616" t="str">
        <f>IFERROR(__xludf.DUMMYFUNCTION("GOOGLETRANSLATE(D35,""zh-tw"",""zh"")"),"稻草人之心")</f>
        <v>稻草人之心</v>
      </c>
      <c r="Q35" s="253" t="str">
        <f>IFERROR(__xludf.DUMMYFUNCTION("GOOGLETRANSLATE(A35,""zh-tw"",""es-MX"")"),"espantapájaros")</f>
        <v>espantapájaros</v>
      </c>
      <c r="R35" s="254" t="str">
        <f>IFERROR(__xludf.DUMMYFUNCTION("GOOGLETRANSLATE(B35,""zh-tw"",""es-MX"")"),"El corazón del espantapájaros inmortal")</f>
        <v>El corazón del espantapájaros inmortal</v>
      </c>
      <c r="S35" s="463" t="str">
        <f>IFERROR(__xludf.DUMMYFUNCTION("GOOGLETRANSLATE(C35,""zh-tw"",""es-MX"")"),"Incapaz de recuperar resistencia")</f>
        <v>Incapaz de recuperar resistencia</v>
      </c>
      <c r="T35" s="252" t="str">
        <f>IFERROR(__xludf.DUMMYFUNCTION("GOOGLETRANSLATE(D35,""zh-tw"",""es-MX"")"),"El corazón del espantapájaros")</f>
        <v>El corazón del espantapájaros</v>
      </c>
      <c r="U35" s="253" t="str">
        <f>IFERROR(__xludf.DUMMYFUNCTION("GOOGLETRANSLATE(A35,""zh-tw"",""KO"")"),"허수아비")</f>
        <v>허수아비</v>
      </c>
      <c r="V35" s="254" t="str">
        <f>IFERROR(__xludf.DUMMYFUNCTION("GOOGLETRANSLATE(B35,""zh-tw"",""KO"")"),"불멸의 허수아비의 심장")</f>
        <v>불멸의 허수아비의 심장</v>
      </c>
      <c r="W35" s="463" t="str">
        <f>IFERROR(__xludf.DUMMYFUNCTION("GOOGLETRANSLATE(C35,""zh-tw"",""KO"")"),"체력을 회복할 수 없습니다")</f>
        <v>체력을 회복할 수 없습니다</v>
      </c>
      <c r="X35" s="252" t="str">
        <f>IFERROR(__xludf.DUMMYFUNCTION("GOOGLETRANSLATE(D35,""zh-tw"",""KO"")"),"허수아비의 심장")</f>
        <v>허수아비의 심장</v>
      </c>
      <c r="Y35" s="192" t="s">
        <v>4225</v>
      </c>
      <c r="Z35" s="194" t="s">
        <v>14323</v>
      </c>
      <c r="AA35" s="464" t="s">
        <v>14324</v>
      </c>
      <c r="AB35" s="193" t="s">
        <v>10280</v>
      </c>
      <c r="AC35" s="253" t="s">
        <v>4228</v>
      </c>
      <c r="AD35" s="254" t="s">
        <v>14325</v>
      </c>
      <c r="AE35" s="463" t="s">
        <v>14326</v>
      </c>
      <c r="AF35" s="252" t="s">
        <v>7741</v>
      </c>
      <c r="AG35" s="467" t="str">
        <f>IFERROR(__xludf.DUMMYFUNCTION("GOOGLETRANSLATE(A35,""zh-tw"",""DE"")"),"Vogelscheuche")</f>
        <v>Vogelscheuche</v>
      </c>
      <c r="AH35" s="504" t="str">
        <f>IFERROR(__xludf.DUMMYFUNCTION("GOOGLETRANSLATE(B35,""zh-tw"",""DE"")"),"Das unsterbliche Herz der Vogelscheuche")</f>
        <v>Das unsterbliche Herz der Vogelscheuche</v>
      </c>
      <c r="AI35" s="468" t="str">
        <f>IFERROR(__xludf.DUMMYFUNCTION("GOOGLETRANSLATE(C35,""zh-tw"",""DE"")"),"Ausdauer kann nicht wiederhergestellt werden")</f>
        <v>Ausdauer kann nicht wiederhergestellt werden</v>
      </c>
      <c r="AJ35" s="616" t="str">
        <f>IFERROR(__xludf.DUMMYFUNCTION("GOOGLETRANSLATE(D35,""zh-tw"",""DE"")"),"Vogelscheuchenherz")</f>
        <v>Vogelscheuchenherz</v>
      </c>
      <c r="AK35" s="157" t="s">
        <v>7745</v>
      </c>
      <c r="AL35" s="268" t="s">
        <v>14327</v>
      </c>
      <c r="AM35" s="618" t="s">
        <v>14328</v>
      </c>
      <c r="AN35" s="619" t="s">
        <v>7745</v>
      </c>
      <c r="AO35" s="192" t="s">
        <v>7747</v>
      </c>
      <c r="AP35" s="194" t="s">
        <v>14329</v>
      </c>
      <c r="AQ35" s="464" t="s">
        <v>14330</v>
      </c>
      <c r="AR35" s="193" t="s">
        <v>7747</v>
      </c>
      <c r="AS35" s="620"/>
      <c r="AT35" s="620"/>
    </row>
    <row r="36">
      <c r="A36" s="481" t="s">
        <v>14331</v>
      </c>
      <c r="B36" s="260" t="s">
        <v>1485</v>
      </c>
      <c r="C36" s="472" t="s">
        <v>14332</v>
      </c>
      <c r="D36" s="615" t="s">
        <v>14333</v>
      </c>
      <c r="E36" s="467" t="str">
        <f>IFERROR(__xludf.DUMMYFUNCTION("GOOGLETRANSLATE(A36,""zh-tw"",""ja"")"),"水泳")</f>
        <v>水泳</v>
      </c>
      <c r="F36" s="504" t="str">
        <f>IFERROR(__xludf.DUMMYFUNCTION("GOOGLETRANSLATE(B36,""zh-tw"",""ja"")"),"-")</f>
        <v>-</v>
      </c>
      <c r="G36" s="468" t="str">
        <f>IFERROR(__xludf.DUMMYFUNCTION("GOOGLETRANSLATE(C36,""zh-tw"",""ja"")"),"水面に浮かんでいる間は、移動速度が低下し、攻撃は不可能になる。")</f>
        <v>水面に浮かんでいる間は、移動速度が低下し、攻撃は不可能になる。</v>
      </c>
      <c r="H36" s="616" t="str">
        <f>IFERROR(__xludf.DUMMYFUNCTION("GOOGLETRANSLATE(D36,""zh-tw"",""ja"")"),"泳ぐ")</f>
        <v>泳ぐ</v>
      </c>
      <c r="I36" s="481" t="s">
        <v>14334</v>
      </c>
      <c r="J36" s="504" t="str">
        <f>IFERROR(__xludf.DUMMYFUNCTION("GOOGLETRANSLATE(B36,""zh-tw"",""en"")"),"-")</f>
        <v>-</v>
      </c>
      <c r="K36" s="472" t="s">
        <v>14335</v>
      </c>
      <c r="L36" s="615" t="s">
        <v>14336</v>
      </c>
      <c r="M36" s="467" t="str">
        <f>IFERROR(__xludf.DUMMYFUNCTION("GOOGLETRANSLATE(A36,""zh-tw"",""zh"")"),"游泳中")</f>
        <v>游泳中</v>
      </c>
      <c r="N36" s="504" t="str">
        <f>IFERROR(__xludf.DUMMYFUNCTION("GOOGLETRANSLATE(B36,""zh-tw"",""zh"")"),"-")</f>
        <v>-</v>
      </c>
      <c r="O36" s="468" t="str">
        <f>IFERROR(__xludf.DUMMYFUNCTION("GOOGLETRANSLATE(C36,""zh-tw"",""zh"")"),"浮在水面上，移速下降，无法攻击")</f>
        <v>浮在水面上，移速下降，无法攻击</v>
      </c>
      <c r="P36" s="616" t="str">
        <f>IFERROR(__xludf.DUMMYFUNCTION("GOOGLETRANSLATE(D36,""zh-tw"",""zh"")"),"游泳")</f>
        <v>游泳</v>
      </c>
      <c r="Q36" s="253" t="str">
        <f>IFERROR(__xludf.DUMMYFUNCTION("GOOGLETRANSLATE(A36,""zh-tw"",""es-MX"")"),"Nadar")</f>
        <v>Nadar</v>
      </c>
      <c r="R36" s="254" t="str">
        <f>IFERROR(__xludf.DUMMYFUNCTION("GOOGLETRANSLATE(B36,""zh-tw"",""es-MX"")"),"-")</f>
        <v>-</v>
      </c>
      <c r="S36" s="463" t="str">
        <f>IFERROR(__xludf.DUMMYFUNCTION("GOOGLETRANSLATE(C36,""zh-tw"",""es-MX"")"),"Al flotar sobre el agua, la velocidad de movimiento disminuye y los ataques se vuelven imposibles.")</f>
        <v>Al flotar sobre el agua, la velocidad de movimiento disminuye y los ataques se vuelven imposibles.</v>
      </c>
      <c r="T36" s="252" t="str">
        <f>IFERROR(__xludf.DUMMYFUNCTION("GOOGLETRANSLATE(D36,""zh-tw"",""es-MX"")"),"nadar")</f>
        <v>nadar</v>
      </c>
      <c r="U36" s="253" t="str">
        <f>IFERROR(__xludf.DUMMYFUNCTION("GOOGLETRANSLATE(A36,""zh-tw"",""KO"")"),"수영")</f>
        <v>수영</v>
      </c>
      <c r="V36" s="254" t="str">
        <f>IFERROR(__xludf.DUMMYFUNCTION("GOOGLETRANSLATE(B36,""zh-tw"",""KO"")"),"-")</f>
        <v>-</v>
      </c>
      <c r="W36" s="463" t="str">
        <f>IFERROR(__xludf.DUMMYFUNCTION("GOOGLETRANSLATE(C36,""zh-tw"",""KO"")"),"물 위에 떠 있으면 이동 속도가 감소하고 공격이 불가능해집니다.")</f>
        <v>물 위에 떠 있으면 이동 속도가 감소하고 공격이 불가능해집니다.</v>
      </c>
      <c r="X36" s="252" t="str">
        <f>IFERROR(__xludf.DUMMYFUNCTION("GOOGLETRANSLATE(D36,""zh-tw"",""KO"")"),"헤엄")</f>
        <v>헤엄</v>
      </c>
      <c r="Y36" s="192" t="s">
        <v>14337</v>
      </c>
      <c r="Z36" s="194" t="s">
        <v>1485</v>
      </c>
      <c r="AA36" s="464" t="s">
        <v>14338</v>
      </c>
      <c r="AB36" s="193" t="s">
        <v>14337</v>
      </c>
      <c r="AC36" s="253" t="s">
        <v>14339</v>
      </c>
      <c r="AD36" s="254" t="s">
        <v>1485</v>
      </c>
      <c r="AE36" s="463" t="s">
        <v>14340</v>
      </c>
      <c r="AF36" s="252" t="s">
        <v>14339</v>
      </c>
      <c r="AG36" s="467" t="str">
        <f>IFERROR(__xludf.DUMMYFUNCTION("GOOGLETRANSLATE(A36,""zh-tw"",""DE"")"),"Baden")</f>
        <v>Baden</v>
      </c>
      <c r="AH36" s="504" t="str">
        <f>IFERROR(__xludf.DUMMYFUNCTION("GOOGLETRANSLATE(B36,""zh-tw"",""DE"")"),"-")</f>
        <v>-</v>
      </c>
      <c r="AI36" s="468" t="str">
        <f>IFERROR(__xludf.DUMMYFUNCTION("GOOGLETRANSLATE(C36,""zh-tw"",""DE"")"),"Auf dem Wasser treibend, verringert sich die Bewegungsgeschwindigkeit und Angriffe werden unmöglich.")</f>
        <v>Auf dem Wasser treibend, verringert sich die Bewegungsgeschwindigkeit und Angriffe werden unmöglich.</v>
      </c>
      <c r="AJ36" s="616" t="str">
        <f>IFERROR(__xludf.DUMMYFUNCTION("GOOGLETRANSLATE(D36,""zh-tw"",""DE"")"),"schwimmen")</f>
        <v>schwimmen</v>
      </c>
      <c r="AK36" s="157" t="s">
        <v>14341</v>
      </c>
      <c r="AL36" s="521" t="s">
        <v>1485</v>
      </c>
      <c r="AM36" s="621" t="s">
        <v>14342</v>
      </c>
      <c r="AN36" s="619" t="s">
        <v>14343</v>
      </c>
      <c r="AO36" s="192" t="s">
        <v>14344</v>
      </c>
      <c r="AP36" s="194" t="s">
        <v>1485</v>
      </c>
      <c r="AQ36" s="464" t="s">
        <v>14345</v>
      </c>
      <c r="AR36" s="193" t="s">
        <v>14346</v>
      </c>
      <c r="AS36" s="620"/>
      <c r="AT36" s="620"/>
    </row>
    <row r="37">
      <c r="A37" s="481" t="s">
        <v>14347</v>
      </c>
      <c r="B37" s="260" t="s">
        <v>14348</v>
      </c>
      <c r="C37" s="472" t="s">
        <v>14349</v>
      </c>
      <c r="D37" s="615" t="s">
        <v>7922</v>
      </c>
      <c r="E37" s="467" t="str">
        <f>IFERROR(__xludf.DUMMYFUNCTION("GOOGLETRANSLATE(A37,""zh-tw"",""ja"")"),"騎士道精神")</f>
        <v>騎士道精神</v>
      </c>
      <c r="F37" s="504" t="str">
        <f>IFERROR(__xludf.DUMMYFUNCTION("GOOGLETRANSLATE(B37,""zh-tw"",""ja"")"),"私たちは守護者だ。")</f>
        <v>私たちは守護者だ。</v>
      </c>
      <c r="G37" s="468" t="str">
        <f>IFERROR(__xludf.DUMMYFUNCTION("GOOGLETRANSLATE(C37,""zh-tw"",""ja"")"),"攻撃力が30増加")</f>
        <v>攻撃力が30増加</v>
      </c>
      <c r="H37" s="616" t="str">
        <f>IFERROR(__xludf.DUMMYFUNCTION("GOOGLETRANSLATE(D37,""zh-tw"",""ja"")"),"騎士の剣")</f>
        <v>騎士の剣</v>
      </c>
      <c r="I37" s="481" t="s">
        <v>14350</v>
      </c>
      <c r="J37" s="260" t="s">
        <v>14351</v>
      </c>
      <c r="K37" s="472" t="s">
        <v>14352</v>
      </c>
      <c r="L37" s="615" t="s">
        <v>7925</v>
      </c>
      <c r="M37" s="467" t="str">
        <f>IFERROR(__xludf.DUMMYFUNCTION("GOOGLETRANSLATE(A37,""zh-tw"",""zh"")"),"骑士精神")</f>
        <v>骑士精神</v>
      </c>
      <c r="N37" s="504" t="str">
        <f>IFERROR(__xludf.DUMMYFUNCTION("GOOGLETRANSLATE(B37,""zh-tw"",""zh"")"),"我等乃是守护者")</f>
        <v>我等乃是守护者</v>
      </c>
      <c r="O37" s="468" t="str">
        <f>IFERROR(__xludf.DUMMYFUNCTION("GOOGLETRANSLATE(C37,""zh-tw"",""zh"")"),"攻击力提升30")</f>
        <v>攻击力提升30</v>
      </c>
      <c r="P37" s="616" t="str">
        <f>IFERROR(__xludf.DUMMYFUNCTION("GOOGLETRANSLATE(D37,""zh-tw"",""zh"")"),"骑士之剑")</f>
        <v>骑士之剑</v>
      </c>
      <c r="Q37" s="253" t="str">
        <f>IFERROR(__xludf.DUMMYFUNCTION("GOOGLETRANSLATE(A37,""zh-tw"",""es-MX"")"),"Caballería")</f>
        <v>Caballería</v>
      </c>
      <c r="R37" s="254" t="str">
        <f>IFERROR(__xludf.DUMMYFUNCTION("GOOGLETRANSLATE(B37,""zh-tw"",""es-MX"")"),"Nosotros somos los guardianes.")</f>
        <v>Nosotros somos los guardianes.</v>
      </c>
      <c r="S37" s="463" t="str">
        <f>IFERROR(__xludf.DUMMYFUNCTION("GOOGLETRANSLATE(C37,""zh-tw"",""es-MX"")"),"El poder de ataque aumentó en 30.")</f>
        <v>El poder de ataque aumentó en 30.</v>
      </c>
      <c r="T37" s="252" t="str">
        <f>IFERROR(__xludf.DUMMYFUNCTION("GOOGLETRANSLATE(D37,""zh-tw"",""es-MX"")"),"Espada de caballero")</f>
        <v>Espada de caballero</v>
      </c>
      <c r="U37" s="253" t="str">
        <f>IFERROR(__xludf.DUMMYFUNCTION("GOOGLETRANSLATE(A37,""zh-tw"",""KO"")"),"기사도")</f>
        <v>기사도</v>
      </c>
      <c r="V37" s="254" t="str">
        <f>IFERROR(__xludf.DUMMYFUNCTION("GOOGLETRANSLATE(B37,""zh-tw"",""KO"")"),"우리는 수호자입니다.")</f>
        <v>우리는 수호자입니다.</v>
      </c>
      <c r="W37" s="463" t="str">
        <f>IFERROR(__xludf.DUMMYFUNCTION("GOOGLETRANSLATE(C37,""zh-tw"",""KO"")"),"공격력이 30 증가했습니다.")</f>
        <v>공격력이 30 증가했습니다.</v>
      </c>
      <c r="X37" s="252" t="str">
        <f>IFERROR(__xludf.DUMMYFUNCTION("GOOGLETRANSLATE(D37,""zh-tw"",""KO"")"),"기사의 검")</f>
        <v>기사의 검</v>
      </c>
      <c r="Y37" s="192" t="s">
        <v>14353</v>
      </c>
      <c r="Z37" s="194" t="s">
        <v>14354</v>
      </c>
      <c r="AA37" s="464" t="s">
        <v>14355</v>
      </c>
      <c r="AB37" s="193" t="s">
        <v>7929</v>
      </c>
      <c r="AC37" s="253" t="s">
        <v>14356</v>
      </c>
      <c r="AD37" s="254" t="s">
        <v>14357</v>
      </c>
      <c r="AE37" s="463" t="s">
        <v>14355</v>
      </c>
      <c r="AF37" s="252" t="s">
        <v>7931</v>
      </c>
      <c r="AG37" s="467" t="str">
        <f>IFERROR(__xludf.DUMMYFUNCTION("GOOGLETRANSLATE(A37,""zh-tw"",""DE"")"),"Ritterlichkeit")</f>
        <v>Ritterlichkeit</v>
      </c>
      <c r="AH37" s="504" t="str">
        <f>IFERROR(__xludf.DUMMYFUNCTION("GOOGLETRANSLATE(B37,""zh-tw"",""DE"")"),"Wir sind die Wächter.")</f>
        <v>Wir sind die Wächter.</v>
      </c>
      <c r="AI37" s="468" t="str">
        <f>IFERROR(__xludf.DUMMYFUNCTION("GOOGLETRANSLATE(C37,""zh-tw"",""DE"")"),"Angriffskraft um 30 erhöht")</f>
        <v>Angriffskraft um 30 erhöht</v>
      </c>
      <c r="AJ37" s="616" t="str">
        <f>IFERROR(__xludf.DUMMYFUNCTION("GOOGLETRANSLATE(D37,""zh-tw"",""DE"")"),"Ritterschwert")</f>
        <v>Ritterschwert</v>
      </c>
      <c r="AK37" s="157" t="s">
        <v>14358</v>
      </c>
      <c r="AL37" s="268" t="s">
        <v>14359</v>
      </c>
      <c r="AM37" s="621" t="s">
        <v>14360</v>
      </c>
      <c r="AN37" s="619" t="s">
        <v>7936</v>
      </c>
      <c r="AO37" s="192" t="s">
        <v>14361</v>
      </c>
      <c r="AP37" s="194" t="s">
        <v>14362</v>
      </c>
      <c r="AQ37" s="464" t="s">
        <v>14363</v>
      </c>
      <c r="AR37" s="193" t="s">
        <v>7938</v>
      </c>
      <c r="AS37" s="620"/>
      <c r="AT37" s="620"/>
    </row>
    <row r="38">
      <c r="A38" s="481" t="s">
        <v>14364</v>
      </c>
      <c r="B38" s="260" t="s">
        <v>14365</v>
      </c>
      <c r="C38" s="472" t="s">
        <v>14366</v>
      </c>
      <c r="D38" s="615" t="s">
        <v>10303</v>
      </c>
      <c r="E38" s="481" t="s">
        <v>14367</v>
      </c>
      <c r="F38" s="260" t="s">
        <v>14368</v>
      </c>
      <c r="G38" s="468" t="str">
        <f>IFERROR(__xludf.DUMMYFUNCTION("GOOGLETRANSLATE(C38,""zh-tw"",""ja"")"),"スタミナは自動的に回復します。")</f>
        <v>スタミナは自動的に回復します。</v>
      </c>
      <c r="H38" s="615" t="s">
        <v>14369</v>
      </c>
      <c r="I38" s="481" t="s">
        <v>14370</v>
      </c>
      <c r="J38" s="260" t="s">
        <v>14371</v>
      </c>
      <c r="K38" s="472" t="s">
        <v>14372</v>
      </c>
      <c r="L38" s="615" t="s">
        <v>14373</v>
      </c>
      <c r="M38" s="467" t="str">
        <f>IFERROR(__xludf.DUMMYFUNCTION("GOOGLETRANSLATE(A38,""zh-tw"",""zh"")"),"妹妹的胖次")</f>
        <v>妹妹的胖次</v>
      </c>
      <c r="N38" s="504" t="str">
        <f>IFERROR(__xludf.DUMMYFUNCTION("GOOGLETRANSLATE(B38,""zh-tw"",""zh"")"),"就感觉妹妹在身边一样……")</f>
        <v>就感觉妹妹在身边一样……</v>
      </c>
      <c r="O38" s="468" t="str">
        <f>IFERROR(__xludf.DUMMYFUNCTION("GOOGLETRANSLATE(C38,""zh-tw"",""zh"")"),"体力自动恢复中")</f>
        <v>体力自动恢复中</v>
      </c>
      <c r="P38" s="616" t="str">
        <f>IFERROR(__xludf.DUMMYFUNCTION("GOOGLETRANSLATE(D38,""zh-tw"",""zh"")"),"妹妹脱下的内裤")</f>
        <v>妹妹脱下的内裤</v>
      </c>
      <c r="Q38" s="253" t="str">
        <f>IFERROR(__xludf.DUMMYFUNCTION("GOOGLETRANSLATE(A38,""zh-tw"",""es-MX"")"),"Las bragas de mi hermana")</f>
        <v>Las bragas de mi hermana</v>
      </c>
      <c r="R38" s="254" t="str">
        <f>IFERROR(__xludf.DUMMYFUNCTION("GOOGLETRANSLATE(B38,""zh-tw"",""es-MX"")"),"Siento como si mi hermana estuviera justo a mi lado...")</f>
        <v>Siento como si mi hermana estuviera justo a mi lado...</v>
      </c>
      <c r="S38" s="463" t="str">
        <f>IFERROR(__xludf.DUMMYFUNCTION("GOOGLETRANSLATE(C38,""zh-tw"",""es-MX"")"),"La resistencia se recupera automáticamente.")</f>
        <v>La resistencia se recupera automáticamente.</v>
      </c>
      <c r="T38" s="252" t="str">
        <f>IFERROR(__xludf.DUMMYFUNCTION("GOOGLETRANSLATE(D38,""zh-tw"",""es-MX"")"),"La ropa interior de mi hermana")</f>
        <v>La ropa interior de mi hermana</v>
      </c>
      <c r="U38" s="253" t="str">
        <f>IFERROR(__xludf.DUMMYFUNCTION("GOOGLETRANSLATE(A38,""zh-tw"",""KO"")"),"내 여동생의 팬티")</f>
        <v>내 여동생의 팬티</v>
      </c>
      <c r="V38" s="254" t="str">
        <f>IFERROR(__xludf.DUMMYFUNCTION("GOOGLETRANSLATE(B38,""zh-tw"",""KO"")"),"마치 내 여동생이 바로 옆에 있는 것 같은 느낌이 들어요...")</f>
        <v>마치 내 여동생이 바로 옆에 있는 것 같은 느낌이 들어요...</v>
      </c>
      <c r="W38" s="463" t="str">
        <f>IFERROR(__xludf.DUMMYFUNCTION("GOOGLETRANSLATE(C38,""zh-tw"",""KO"")"),"체력은 자동으로 회복됩니다.")</f>
        <v>체력은 자동으로 회복됩니다.</v>
      </c>
      <c r="X38" s="252" t="str">
        <f>IFERROR(__xludf.DUMMYFUNCTION("GOOGLETRANSLATE(D38,""zh-tw"",""KO"")"),"내 여동생의 속옷")</f>
        <v>내 여동생의 속옷</v>
      </c>
      <c r="Y38" s="192" t="s">
        <v>14374</v>
      </c>
      <c r="Z38" s="194" t="s">
        <v>14375</v>
      </c>
      <c r="AA38" s="464" t="s">
        <v>14376</v>
      </c>
      <c r="AB38" s="193" t="s">
        <v>14377</v>
      </c>
      <c r="AC38" s="253" t="s">
        <v>14378</v>
      </c>
      <c r="AD38" s="254" t="s">
        <v>14379</v>
      </c>
      <c r="AE38" s="463" t="s">
        <v>14380</v>
      </c>
      <c r="AF38" s="252" t="s">
        <v>14381</v>
      </c>
      <c r="AG38" s="467" t="str">
        <f>IFERROR(__xludf.DUMMYFUNCTION("GOOGLETRANSLATE(A38,""zh-tw"",""DE"")"),"Die Höschen meiner Schwester")</f>
        <v>Die Höschen meiner Schwester</v>
      </c>
      <c r="AH38" s="504" t="str">
        <f>IFERROR(__xludf.DUMMYFUNCTION("GOOGLETRANSLATE(B38,""zh-tw"",""DE"")"),"Es fühlt sich an, als wäre meine Schwester direkt neben mir...")</f>
        <v>Es fühlt sich an, als wäre meine Schwester direkt neben mir...</v>
      </c>
      <c r="AI38" s="468" t="str">
        <f>IFERROR(__xludf.DUMMYFUNCTION("GOOGLETRANSLATE(C38,""zh-tw"",""DE"")"),"Die Ausdauer regeneriert sich automatisch.")</f>
        <v>Die Ausdauer regeneriert sich automatisch.</v>
      </c>
      <c r="AJ38" s="616" t="str">
        <f>IFERROR(__xludf.DUMMYFUNCTION("GOOGLETRANSLATE(D38,""zh-tw"",""DE"")"),"Die Unterwäsche meiner Schwester")</f>
        <v>Die Unterwäsche meiner Schwester</v>
      </c>
      <c r="AK38" s="157" t="s">
        <v>14382</v>
      </c>
      <c r="AL38" s="268" t="s">
        <v>14383</v>
      </c>
      <c r="AM38" s="621" t="s">
        <v>14384</v>
      </c>
      <c r="AN38" s="619" t="s">
        <v>14385</v>
      </c>
      <c r="AO38" s="192" t="s">
        <v>14386</v>
      </c>
      <c r="AP38" s="194" t="s">
        <v>14387</v>
      </c>
      <c r="AQ38" s="464" t="s">
        <v>14388</v>
      </c>
      <c r="AR38" s="193" t="s">
        <v>14389</v>
      </c>
      <c r="AS38" s="620"/>
      <c r="AT38" s="620"/>
    </row>
    <row r="39">
      <c r="A39" s="481" t="s">
        <v>14390</v>
      </c>
      <c r="B39" s="260" t="s">
        <v>14391</v>
      </c>
      <c r="C39" s="472" t="s">
        <v>14392</v>
      </c>
      <c r="D39" s="615" t="s">
        <v>14393</v>
      </c>
      <c r="E39" s="481" t="s">
        <v>14394</v>
      </c>
      <c r="F39" s="260" t="s">
        <v>14395</v>
      </c>
      <c r="G39" s="472" t="s">
        <v>14396</v>
      </c>
      <c r="H39" s="615" t="s">
        <v>14397</v>
      </c>
      <c r="I39" s="481" t="s">
        <v>14398</v>
      </c>
      <c r="J39" s="260" t="s">
        <v>14399</v>
      </c>
      <c r="K39" s="472" t="s">
        <v>14400</v>
      </c>
      <c r="L39" s="615" t="s">
        <v>14401</v>
      </c>
      <c r="M39" s="467" t="str">
        <f>IFERROR(__xludf.DUMMYFUNCTION("GOOGLETRANSLATE(A39,""zh-tw"",""zh"")"),"咕噜咕噜")</f>
        <v>咕噜咕噜</v>
      </c>
      <c r="N39" s="504" t="str">
        <f>IFERROR(__xludf.DUMMYFUNCTION("GOOGLETRANSLATE(B39,""zh-tw"",""zh"")"),"吃坏了肚子......")</f>
        <v>吃坏了肚子......</v>
      </c>
      <c r="O39" s="468" t="str">
        <f>IFERROR(__xludf.DUMMYFUNCTION("GOOGLETRANSLATE(C39,""zh-tw"",""zh"")"),"腹痛不止！")</f>
        <v>腹痛不止！</v>
      </c>
      <c r="P39" s="616" t="str">
        <f>IFERROR(__xludf.DUMMYFUNCTION("GOOGLETRANSLATE(D39,""zh-tw"",""zh"")"),"毒料理")</f>
        <v>毒料理</v>
      </c>
      <c r="Q39" s="253" t="str">
        <f>IFERROR(__xludf.DUMMYFUNCTION("GOOGLETRANSLATE(A39,""zh-tw"",""es-MX"")"),"Glug glug")</f>
        <v>Glug glug</v>
      </c>
      <c r="R39" s="254" t="str">
        <f>IFERROR(__xludf.DUMMYFUNCTION("GOOGLETRANSLATE(B39,""zh-tw"",""es-MX"")"),"Me duele el estómago...")</f>
        <v>Me duele el estómago...</v>
      </c>
      <c r="S39" s="463" t="str">
        <f>IFERROR(__xludf.DUMMYFUNCTION("GOOGLETRANSLATE(C39,""zh-tw"",""es-MX"")"),"¡No se me quita el dolor de estómago!")</f>
        <v>¡No se me quita el dolor de estómago!</v>
      </c>
      <c r="T39" s="252" t="str">
        <f>IFERROR(__xludf.DUMMYFUNCTION("GOOGLETRANSLATE(D39,""zh-tw"",""es-MX"")"),"cocina venenosa")</f>
        <v>cocina venenosa</v>
      </c>
      <c r="U39" s="253" t="str">
        <f>IFERROR(__xludf.DUMMYFUNCTION("GOOGLETRANSLATE(A39,""zh-tw"",""KO"")"),"꿀꺽꿀꺽")</f>
        <v>꿀꺽꿀꺽</v>
      </c>
      <c r="V39" s="254" t="str">
        <f>IFERROR(__xludf.DUMMYFUNCTION("GOOGLETRANSLATE(B39,""zh-tw"",""KO"")"),"배탈이 났어요...")</f>
        <v>배탈이 났어요...</v>
      </c>
      <c r="W39" s="463" t="str">
        <f>IFERROR(__xludf.DUMMYFUNCTION("GOOGLETRANSLATE(C39,""zh-tw"",""KO"")"),"배가 너무 아파요! 멈추지 않아요!")</f>
        <v>배가 너무 아파요! 멈추지 않아요!</v>
      </c>
      <c r="X39" s="252" t="str">
        <f>IFERROR(__xludf.DUMMYFUNCTION("GOOGLETRANSLATE(D39,""zh-tw"",""KO"")"),"독성이 있는 음식")</f>
        <v>독성이 있는 음식</v>
      </c>
      <c r="Y39" s="192" t="s">
        <v>14402</v>
      </c>
      <c r="Z39" s="194" t="s">
        <v>14403</v>
      </c>
      <c r="AA39" s="464" t="s">
        <v>14404</v>
      </c>
      <c r="AB39" s="193" t="s">
        <v>14405</v>
      </c>
      <c r="AC39" s="253" t="s">
        <v>14402</v>
      </c>
      <c r="AD39" s="254" t="s">
        <v>14406</v>
      </c>
      <c r="AE39" s="463" t="s">
        <v>14407</v>
      </c>
      <c r="AF39" s="252" t="s">
        <v>14408</v>
      </c>
      <c r="AG39" s="467" t="str">
        <f>IFERROR(__xludf.DUMMYFUNCTION("GOOGLETRANSLATE(A39,""zh-tw"",""DE"")"),"Glucks, glucks")</f>
        <v>Glucks, glucks</v>
      </c>
      <c r="AH39" s="504" t="str">
        <f>IFERROR(__xludf.DUMMYFUNCTION("GOOGLETRANSLATE(B39,""zh-tw"",""DE"")"),"Ich habe Magenbeschwerden...")</f>
        <v>Ich habe Magenbeschwerden...</v>
      </c>
      <c r="AI39" s="468" t="str">
        <f>IFERROR(__xludf.DUMMYFUNCTION("GOOGLETRANSLATE(C39,""zh-tw"",""DE"")"),"Meine Magenschmerzen hören nicht auf!")</f>
        <v>Meine Magenschmerzen hören nicht auf!</v>
      </c>
      <c r="AJ39" s="616" t="str">
        <f>IFERROR(__xludf.DUMMYFUNCTION("GOOGLETRANSLATE(D39,""zh-tw"",""DE"")"),"giftige Küche")</f>
        <v>giftige Küche</v>
      </c>
      <c r="AK39" s="157" t="s">
        <v>14409</v>
      </c>
      <c r="AL39" s="268" t="s">
        <v>14410</v>
      </c>
      <c r="AM39" s="621" t="s">
        <v>14411</v>
      </c>
      <c r="AN39" s="619" t="s">
        <v>14412</v>
      </c>
      <c r="AO39" s="192" t="s">
        <v>14398</v>
      </c>
      <c r="AP39" s="194" t="s">
        <v>14413</v>
      </c>
      <c r="AQ39" s="464" t="s">
        <v>14414</v>
      </c>
      <c r="AR39" s="193" t="s">
        <v>14415</v>
      </c>
      <c r="AS39" s="620"/>
      <c r="AT39" s="620"/>
    </row>
    <row r="40">
      <c r="A40" s="481" t="s">
        <v>14416</v>
      </c>
      <c r="B40" s="260" t="s">
        <v>14417</v>
      </c>
      <c r="C40" s="472" t="s">
        <v>14418</v>
      </c>
      <c r="D40" s="615" t="s">
        <v>14419</v>
      </c>
      <c r="E40" s="481" t="s">
        <v>14420</v>
      </c>
      <c r="F40" s="260" t="s">
        <v>14421</v>
      </c>
      <c r="G40" s="472" t="s">
        <v>14422</v>
      </c>
      <c r="H40" s="615" t="s">
        <v>14423</v>
      </c>
      <c r="I40" s="481" t="s">
        <v>14424</v>
      </c>
      <c r="J40" s="260" t="s">
        <v>14425</v>
      </c>
      <c r="K40" s="472" t="s">
        <v>14426</v>
      </c>
      <c r="L40" s="615" t="s">
        <v>14427</v>
      </c>
      <c r="M40" s="467" t="str">
        <f>IFERROR(__xludf.DUMMYFUNCTION("GOOGLETRANSLATE(A40,""zh-tw"",""zh"")"),"咕噜咕噜咕噜")</f>
        <v>咕噜咕噜咕噜</v>
      </c>
      <c r="N40" s="504" t="str">
        <f>IFERROR(__xludf.DUMMYFUNCTION("GOOGLETRANSLATE(B40,""zh-tw"",""zh"")"),"菊花残、满地伤...")</f>
        <v>菊花残、满地伤...</v>
      </c>
      <c r="O40" s="468" t="str">
        <f>IFERROR(__xludf.DUMMYFUNCTION("GOOGLETRANSLATE(C40,""zh-tw"",""zh"")"),"因屁股疼痛无法奔跑和冲刺！")</f>
        <v>因屁股疼痛无法奔跑和冲刺！</v>
      </c>
      <c r="P40" s="616" t="str">
        <f>IFERROR(__xludf.DUMMYFUNCTION("GOOGLETRANSLATE(D40,""zh-tw"",""zh"")"),"毒辣料理")</f>
        <v>毒辣料理</v>
      </c>
      <c r="Q40" s="253" t="str">
        <f>IFERROR(__xludf.DUMMYFUNCTION("GOOGLETRANSLATE(A40,""zh-tw"",""es-MX"")"),"Glug glug glug")</f>
        <v>Glug glug glug</v>
      </c>
      <c r="R40" s="254" t="str">
        <f>IFERROR(__xludf.DUMMYFUNCTION("GOOGLETRANSLATE(B40,""zh-tw"",""es-MX"")"),"Los crisantemos se marchitaron, las heridas quedaron esparcidas por el suelo...")</f>
        <v>Los crisantemos se marchitaron, las heridas quedaron esparcidas por el suelo...</v>
      </c>
      <c r="S40" s="463" t="str">
        <f>IFERROR(__xludf.DUMMYFUNCTION("GOOGLETRANSLATE(C40,""zh-tw"",""es-MX"")"),"¡No puedo correr ni esprintar por el dolor en los glúteos!")</f>
        <v>¡No puedo correr ni esprintar por el dolor en los glúteos!</v>
      </c>
      <c r="T40" s="252" t="str">
        <f>IFERROR(__xludf.DUMMYFUNCTION("GOOGLETRANSLATE(D40,""zh-tw"",""es-MX"")"),"Comida picante")</f>
        <v>Comida picante</v>
      </c>
      <c r="U40" s="253" t="str">
        <f>IFERROR(__xludf.DUMMYFUNCTION("GOOGLETRANSLATE(A40,""zh-tw"",""KO"")"),"꿀꺽꿀꺽꿀꺽")</f>
        <v>꿀꺽꿀꺽꿀꺽</v>
      </c>
      <c r="V40" s="254" t="str">
        <f>IFERROR(__xludf.DUMMYFUNCTION("GOOGLETRANSLATE(B40,""zh-tw"",""KO"")"),"시든 국화, 땅에 흩어진 상처들...")</f>
        <v>시든 국화, 땅에 흩어진 상처들...</v>
      </c>
      <c r="W40" s="463" t="str">
        <f>IFERROR(__xludf.DUMMYFUNCTION("GOOGLETRANSLATE(C40,""zh-tw"",""KO"")"),"엉덩이 통증 때문에 뛰거나 전력 질주를 할 수 없어요!")</f>
        <v>엉덩이 통증 때문에 뛰거나 전력 질주를 할 수 없어요!</v>
      </c>
      <c r="X40" s="252" t="str">
        <f>IFERROR(__xludf.DUMMYFUNCTION("GOOGLETRANSLATE(D40,""zh-tw"",""KO"")"),"매운 음식")</f>
        <v>매운 음식</v>
      </c>
      <c r="Y40" s="192" t="s">
        <v>14428</v>
      </c>
      <c r="Z40" s="194" t="s">
        <v>14429</v>
      </c>
      <c r="AA40" s="464" t="s">
        <v>14430</v>
      </c>
      <c r="AB40" s="193" t="s">
        <v>14431</v>
      </c>
      <c r="AC40" s="253" t="s">
        <v>14428</v>
      </c>
      <c r="AD40" s="254" t="s">
        <v>14432</v>
      </c>
      <c r="AE40" s="463" t="s">
        <v>14433</v>
      </c>
      <c r="AF40" s="252" t="s">
        <v>14434</v>
      </c>
      <c r="AG40" s="467" t="str">
        <f>IFERROR(__xludf.DUMMYFUNCTION("GOOGLETRANSLATE(A40,""zh-tw"",""DE"")"),"Glucks, glucks, glucks")</f>
        <v>Glucks, glucks, glucks</v>
      </c>
      <c r="AH40" s="504" t="str">
        <f>IFERROR(__xludf.DUMMYFUNCTION("GOOGLETRANSLATE(B40,""zh-tw"",""DE"")"),"Chrysanthemen verwelkten, Wunden lagen verstreut auf dem Boden...")</f>
        <v>Chrysanthemen verwelkten, Wunden lagen verstreut auf dem Boden...</v>
      </c>
      <c r="AI40" s="468" t="str">
        <f>IFERROR(__xludf.DUMMYFUNCTION("GOOGLETRANSLATE(C40,""zh-tw"",""DE"")"),"Ich kann wegen der Schmerzen im Gesäßbereich weder rennen noch sprinten!")</f>
        <v>Ich kann wegen der Schmerzen im Gesäßbereich weder rennen noch sprinten!</v>
      </c>
      <c r="AJ40" s="616" t="str">
        <f>IFERROR(__xludf.DUMMYFUNCTION("GOOGLETRANSLATE(D40,""zh-tw"",""DE"")"),"scharfes Essen")</f>
        <v>scharfes Essen</v>
      </c>
      <c r="AK40" s="157" t="s">
        <v>14435</v>
      </c>
      <c r="AL40" s="268" t="s">
        <v>14436</v>
      </c>
      <c r="AM40" s="621" t="s">
        <v>14437</v>
      </c>
      <c r="AN40" s="619" t="s">
        <v>14438</v>
      </c>
      <c r="AO40" s="192" t="s">
        <v>14424</v>
      </c>
      <c r="AP40" s="194" t="s">
        <v>14439</v>
      </c>
      <c r="AQ40" s="464" t="s">
        <v>14440</v>
      </c>
      <c r="AR40" s="193" t="s">
        <v>14441</v>
      </c>
      <c r="AS40" s="620"/>
      <c r="AT40" s="620"/>
    </row>
    <row r="41">
      <c r="A41" s="481" t="s">
        <v>14442</v>
      </c>
      <c r="B41" s="260" t="s">
        <v>14443</v>
      </c>
      <c r="C41" s="472" t="s">
        <v>14444</v>
      </c>
      <c r="D41" s="615" t="s">
        <v>14445</v>
      </c>
      <c r="E41" s="481" t="s">
        <v>14446</v>
      </c>
      <c r="F41" s="260" t="s">
        <v>14447</v>
      </c>
      <c r="G41" s="472" t="s">
        <v>14448</v>
      </c>
      <c r="H41" s="615" t="s">
        <v>14449</v>
      </c>
      <c r="I41" s="481" t="s">
        <v>14450</v>
      </c>
      <c r="J41" s="260" t="s">
        <v>14451</v>
      </c>
      <c r="K41" s="472" t="s">
        <v>14452</v>
      </c>
      <c r="L41" s="616"/>
      <c r="M41" s="467" t="str">
        <f>IFERROR(__xludf.DUMMYFUNCTION("GOOGLETRANSLATE(A41,""zh-tw"",""zh"")"),"早点回家吧")</f>
        <v>早点回家吧</v>
      </c>
      <c r="N41" s="504" t="str">
        <f>IFERROR(__xludf.DUMMYFUNCTION("GOOGLETRANSLATE(B41,""zh-tw"",""zh"")"),"热死了.....")</f>
        <v>热死了.....</v>
      </c>
      <c r="O41" s="468" t="str">
        <f>IFERROR(__xludf.DUMMYFUNCTION("GOOGLETRANSLATE(C41,""zh-tw"",""zh"")"),"因为炎热浑身无力...")</f>
        <v>因为炎热浑身无力...</v>
      </c>
      <c r="P41" s="616" t="str">
        <f>IFERROR(__xludf.DUMMYFUNCTION("GOOGLETRANSLATE(D41,""zh-tw"",""zh"")"),"炎热天气")</f>
        <v>炎热天气</v>
      </c>
      <c r="Q41" s="253" t="str">
        <f>IFERROR(__xludf.DUMMYFUNCTION("GOOGLETRANSLATE(A41,""zh-tw"",""es-MX"")"),"Vuelve a casa temprano.")</f>
        <v>Vuelve a casa temprano.</v>
      </c>
      <c r="R41" s="254" t="str">
        <f>IFERROR(__xludf.DUMMYFUNCTION("GOOGLETRANSLATE(B41,""zh-tw"",""es-MX"")"),"Hace muchísimo calor...")</f>
        <v>Hace muchísimo calor...</v>
      </c>
      <c r="S41" s="463" t="str">
        <f>IFERROR(__xludf.DUMMYFUNCTION("GOOGLETRANSLATE(C41,""zh-tw"",""es-MX"")"),"Me siento débil por completo a causa del calor...")</f>
        <v>Me siento débil por completo a causa del calor...</v>
      </c>
      <c r="T41" s="252" t="str">
        <f>IFERROR(__xludf.DUMMYFUNCTION("GOOGLETRANSLATE(D41,""zh-tw"",""es-MX"")"),"clima cálido")</f>
        <v>clima cálido</v>
      </c>
      <c r="U41" s="253" t="str">
        <f>IFERROR(__xludf.DUMMYFUNCTION("GOOGLETRANSLATE(A41,""zh-tw"",""KO"")"),"일찍 집에 가세요.")</f>
        <v>일찍 집에 가세요.</v>
      </c>
      <c r="V41" s="254" t="str">
        <f>IFERROR(__xludf.DUMMYFUNCTION("GOOGLETRANSLATE(B41,""zh-tw"",""KO"")"),"너무 덥다.....")</f>
        <v>너무 덥다.....</v>
      </c>
      <c r="W41" s="463" t="str">
        <f>IFERROR(__xludf.DUMMYFUNCTION("GOOGLETRANSLATE(C41,""zh-tw"",""KO"")"),"더위 때문에 온몸이 힘이 빠지는 것 같아요...")</f>
        <v>더위 때문에 온몸이 힘이 빠지는 것 같아요...</v>
      </c>
      <c r="X41" s="252" t="str">
        <f>IFERROR(__xludf.DUMMYFUNCTION("GOOGLETRANSLATE(D41,""zh-tw"",""KO"")"),"더운 날씨")</f>
        <v>더운 날씨</v>
      </c>
      <c r="Y41" s="192" t="s">
        <v>14453</v>
      </c>
      <c r="Z41" s="194" t="s">
        <v>14454</v>
      </c>
      <c r="AA41" s="464" t="s">
        <v>14455</v>
      </c>
      <c r="AB41" s="193" t="s">
        <v>14456</v>
      </c>
      <c r="AC41" s="253" t="s">
        <v>14457</v>
      </c>
      <c r="AD41" s="254" t="s">
        <v>14454</v>
      </c>
      <c r="AE41" s="463" t="s">
        <v>14458</v>
      </c>
      <c r="AF41" s="252" t="s">
        <v>14459</v>
      </c>
      <c r="AG41" s="467" t="str">
        <f>IFERROR(__xludf.DUMMYFUNCTION("GOOGLETRANSLATE(A41,""zh-tw"",""DE"")"),"Geh früh nach Hause.")</f>
        <v>Geh früh nach Hause.</v>
      </c>
      <c r="AH41" s="504" t="str">
        <f>IFERROR(__xludf.DUMMYFUNCTION("GOOGLETRANSLATE(B41,""zh-tw"",""DE"")"),"Es ist so heiß.....")</f>
        <v>Es ist so heiß.....</v>
      </c>
      <c r="AI41" s="468" t="str">
        <f>IFERROR(__xludf.DUMMYFUNCTION("GOOGLETRANSLATE(C41,""zh-tw"",""DE"")"),"Mir ist wegen der Hitze ganz schwindelig...")</f>
        <v>Mir ist wegen der Hitze ganz schwindelig...</v>
      </c>
      <c r="AJ41" s="616" t="str">
        <f>IFERROR(__xludf.DUMMYFUNCTION("GOOGLETRANSLATE(D41,""zh-tw"",""DE"")"),"heißes Wetter")</f>
        <v>heißes Wetter</v>
      </c>
      <c r="AK41" s="157" t="s">
        <v>4172</v>
      </c>
      <c r="AL41" s="521" t="s">
        <v>14460</v>
      </c>
      <c r="AM41" s="621" t="s">
        <v>14461</v>
      </c>
      <c r="AN41" s="624"/>
      <c r="AO41" s="192" t="s">
        <v>4175</v>
      </c>
      <c r="AP41" s="194" t="s">
        <v>14462</v>
      </c>
      <c r="AQ41" s="464" t="s">
        <v>14463</v>
      </c>
      <c r="AR41" s="625"/>
      <c r="AS41" s="620"/>
      <c r="AT41" s="620"/>
    </row>
    <row r="42">
      <c r="A42" s="481" t="s">
        <v>14464</v>
      </c>
      <c r="B42" s="260" t="s">
        <v>14465</v>
      </c>
      <c r="C42" s="472" t="s">
        <v>14466</v>
      </c>
      <c r="D42" s="615" t="s">
        <v>14467</v>
      </c>
      <c r="E42" s="481" t="s">
        <v>14468</v>
      </c>
      <c r="F42" s="260" t="s">
        <v>14469</v>
      </c>
      <c r="G42" s="472" t="s">
        <v>14470</v>
      </c>
      <c r="H42" s="615" t="s">
        <v>14471</v>
      </c>
      <c r="I42" s="481" t="s">
        <v>14472</v>
      </c>
      <c r="J42" s="260" t="s">
        <v>14473</v>
      </c>
      <c r="K42" s="472" t="s">
        <v>14474</v>
      </c>
      <c r="L42" s="615"/>
      <c r="M42" s="467" t="str">
        <f>IFERROR(__xludf.DUMMYFUNCTION("GOOGLETRANSLATE(A42,""zh-tw"",""zh"")"),"杂鱼哥哥")</f>
        <v>杂鱼哥哥</v>
      </c>
      <c r="N42" s="504" t="str">
        <f>IFERROR(__xludf.DUMMYFUNCTION("GOOGLETRANSLATE(B42,""zh-tw"",""zh"")"),"这么简单的游戏也不会玩，真是杂鱼呢~")</f>
        <v>这么简单的游戏也不会玩，真是杂鱼呢~</v>
      </c>
      <c r="O42" s="468" t="str">
        <f>IFERROR(__xludf.DUMMYFUNCTION("GOOGLETRANSLATE(C42,""zh-tw"",""zh"")"),"因作弊而获得了杂鱼认证！")</f>
        <v>因作弊而获得了杂鱼认证！</v>
      </c>
      <c r="P42" s="616" t="str">
        <f>IFERROR(__xludf.DUMMYFUNCTION("GOOGLETRANSLATE(D42,""zh-tw"",""zh"")"),"使用作弊码")</f>
        <v>使用作弊码</v>
      </c>
      <c r="Q42" s="253" t="str">
        <f>IFERROR(__xludf.DUMMYFUNCTION("GOOGLETRANSLATE(A42,""zh-tw"",""es-MX"")"),"Hermano, peces varios")</f>
        <v>Hermano, peces varios</v>
      </c>
      <c r="R42" s="254" t="str">
        <f>IFERROR(__xludf.DUMMYFUNCTION("GOOGLETRANSLATE(B42,""zh-tw"",""es-MX"")"),"¿Ni siquiera puedes jugar a un juego tan simple? ¡Eres un novato!")</f>
        <v>¿Ni siquiera puedes jugar a un juego tan simple? ¡Eres un novato!</v>
      </c>
      <c r="S42" s="463" t="str">
        <f>IFERROR(__xludf.DUMMYFUNCTION("GOOGLETRANSLATE(C42,""zh-tw"",""es-MX"")"),"¡Obtuvo la certificación de ""pez pequeño"" haciendo trampa!")</f>
        <v>¡Obtuvo la certificación de "pez pequeño" haciendo trampa!</v>
      </c>
      <c r="T42" s="252" t="str">
        <f>IFERROR(__xludf.DUMMYFUNCTION("GOOGLETRANSLATE(D42,""zh-tw"",""es-MX"")"),"Usa códigos de trucos")</f>
        <v>Usa códigos de trucos</v>
      </c>
      <c r="U42" s="253" t="str">
        <f>IFERROR(__xludf.DUMMYFUNCTION("GOOGLETRANSLATE(A42,""zh-tw"",""KO"")"),"형제 잡어")</f>
        <v>형제 잡어</v>
      </c>
      <c r="V42" s="254" t="str">
        <f>IFERROR(__xludf.DUMMYFUNCTION("GOOGLETRANSLATE(B42,""zh-tw"",""KO"")"),"이렇게 간단한 게임도 못 한다고? 완전 초보네!")</f>
        <v>이렇게 간단한 게임도 못 한다고? 완전 초보네!</v>
      </c>
      <c r="W42" s="463" t="str">
        <f>IFERROR(__xludf.DUMMYFUNCTION("GOOGLETRANSLATE(C42,""zh-tw"",""KO"")"),"그는 부정행위를 통해 ""하찮은 존재"" 인증을 받았다!")</f>
        <v>그는 부정행위를 통해 "하찮은 존재" 인증을 받았다!</v>
      </c>
      <c r="X42" s="252" t="str">
        <f>IFERROR(__xludf.DUMMYFUNCTION("GOOGLETRANSLATE(D42,""zh-tw"",""KO"")"),"치트 코드를 사용하세요")</f>
        <v>치트 코드를 사용하세요</v>
      </c>
      <c r="Y42" s="192" t="s">
        <v>14475</v>
      </c>
      <c r="Z42" s="194" t="s">
        <v>14476</v>
      </c>
      <c r="AA42" s="464" t="s">
        <v>14477</v>
      </c>
      <c r="AB42" s="193" t="s">
        <v>14478</v>
      </c>
      <c r="AC42" s="253" t="s">
        <v>14475</v>
      </c>
      <c r="AD42" s="254" t="s">
        <v>14479</v>
      </c>
      <c r="AE42" s="463" t="s">
        <v>14480</v>
      </c>
      <c r="AF42" s="252" t="s">
        <v>14481</v>
      </c>
      <c r="AG42" s="467" t="str">
        <f>IFERROR(__xludf.DUMMYFUNCTION("GOOGLETRANSLATE(A42,""zh-tw"",""DE"")"),"Bruder Verschiedene Fische")</f>
        <v>Bruder Verschiedene Fische</v>
      </c>
      <c r="AH42" s="504" t="str">
        <f>IFERROR(__xludf.DUMMYFUNCTION("GOOGLETRANSLATE(B42,""zh-tw"",""DE"")"),"Du kannst nicht mal so ein einfaches Spiel spielen? Du bist echt ein Anfänger!")</f>
        <v>Du kannst nicht mal so ein einfaches Spiel spielen? Du bist echt ein Anfänger!</v>
      </c>
      <c r="AI42" s="468" t="str">
        <f>IFERROR(__xludf.DUMMYFUNCTION("GOOGLETRANSLATE(C42,""zh-tw"",""DE"")"),"Er hat das „kleine Fisch“-Zertifikat durch Betrug erlangt!")</f>
        <v>Er hat das „kleine Fisch“-Zertifikat durch Betrug erlangt!</v>
      </c>
      <c r="AJ42" s="616" t="str">
        <f>IFERROR(__xludf.DUMMYFUNCTION("GOOGLETRANSLATE(D42,""zh-tw"",""DE"")"),"Cheat-Codes verwenden")</f>
        <v>Cheat-Codes verwenden</v>
      </c>
      <c r="AK42" s="157" t="s">
        <v>14482</v>
      </c>
      <c r="AL42" s="268" t="s">
        <v>14483</v>
      </c>
      <c r="AM42" s="621" t="s">
        <v>14484</v>
      </c>
      <c r="AN42" s="624"/>
      <c r="AO42" s="192" t="s">
        <v>14472</v>
      </c>
      <c r="AP42" s="194" t="s">
        <v>14485</v>
      </c>
      <c r="AQ42" s="464" t="s">
        <v>14486</v>
      </c>
      <c r="AR42" s="625"/>
      <c r="AS42" s="620"/>
      <c r="AT42" s="620"/>
    </row>
    <row r="43">
      <c r="A43" s="481" t="s">
        <v>14487</v>
      </c>
      <c r="B43" s="260" t="s">
        <v>14488</v>
      </c>
      <c r="C43" s="472" t="s">
        <v>1485</v>
      </c>
      <c r="D43" s="615" t="s">
        <v>10429</v>
      </c>
      <c r="E43" s="481" t="s">
        <v>14489</v>
      </c>
      <c r="F43" s="260" t="s">
        <v>14490</v>
      </c>
      <c r="G43" s="472" t="s">
        <v>1485</v>
      </c>
      <c r="H43" s="615" t="s">
        <v>14491</v>
      </c>
      <c r="I43" s="481" t="s">
        <v>10433</v>
      </c>
      <c r="J43" s="260" t="s">
        <v>14492</v>
      </c>
      <c r="K43" s="472" t="s">
        <v>1485</v>
      </c>
      <c r="L43" s="616"/>
      <c r="M43" s="467" t="str">
        <f>IFERROR(__xludf.DUMMYFUNCTION("GOOGLETRANSLATE(A43,""zh-tw"",""zh"")"),"世界的勇者")</f>
        <v>世界的勇者</v>
      </c>
      <c r="N43" s="504" t="str">
        <f>IFERROR(__xludf.DUMMYFUNCTION("GOOGLETRANSLATE(B43,""zh-tw"",""zh"")"),"如此可得世界荣耀，远离黑暗蒙昧")</f>
        <v>如此可得世界荣耀，远离黑暗蒙昧</v>
      </c>
      <c r="O43" s="468" t="str">
        <f>IFERROR(__xludf.DUMMYFUNCTION("GOOGLETRANSLATE(C43,""zh-tw"",""zh"")"),"-")</f>
        <v>-</v>
      </c>
      <c r="P43" s="616" t="str">
        <f>IFERROR(__xludf.DUMMYFUNCTION("GOOGLETRANSLATE(D43,""zh-tw"",""zh"")"),"红髓玉吊坠")</f>
        <v>红髓玉吊坠</v>
      </c>
      <c r="Q43" s="253" t="str">
        <f>IFERROR(__xludf.DUMMYFUNCTION("GOOGLETRANSLATE(A43,""zh-tw"",""es-MX"")"),"Los héroes del mundo")</f>
        <v>Los héroes del mundo</v>
      </c>
      <c r="R43" s="254" t="str">
        <f>IFERROR(__xludf.DUMMYFUNCTION("GOOGLETRANSLATE(B43,""zh-tw"",""es-MX"")"),"De esta forma, uno puede alcanzar la gloria mundial y escapar de la oscuridad y la ignorancia.")</f>
        <v>De esta forma, uno puede alcanzar la gloria mundial y escapar de la oscuridad y la ignorancia.</v>
      </c>
      <c r="S43" s="463" t="str">
        <f>IFERROR(__xludf.DUMMYFUNCTION("GOOGLETRANSLATE(C43,""zh-tw"",""es-MX"")"),"-")</f>
        <v>-</v>
      </c>
      <c r="T43" s="252" t="str">
        <f>IFERROR(__xludf.DUMMYFUNCTION("GOOGLETRANSLATE(D43,""zh-tw"",""es-MX"")"),"Colgante de cornalina roja")</f>
        <v>Colgante de cornalina roja</v>
      </c>
      <c r="U43" s="253" t="str">
        <f>IFERROR(__xludf.DUMMYFUNCTION("GOOGLETRANSLATE(A43,""zh-tw"",""KO"")"),"세계의 영웅들")</f>
        <v>세계의 영웅들</v>
      </c>
      <c r="V43" s="254" t="str">
        <f>IFERROR(__xludf.DUMMYFUNCTION("GOOGLETRANSLATE(B43,""zh-tw"",""KO"")"),"이렇게 하면 세상의 영광을 얻고 어둠과 무지에서 벗어날 수 있다.")</f>
        <v>이렇게 하면 세상의 영광을 얻고 어둠과 무지에서 벗어날 수 있다.</v>
      </c>
      <c r="W43" s="463" t="str">
        <f>IFERROR(__xludf.DUMMYFUNCTION("GOOGLETRANSLATE(C43,""zh-tw"",""KO"")"),"-")</f>
        <v>-</v>
      </c>
      <c r="X43" s="252" t="str">
        <f>IFERROR(__xludf.DUMMYFUNCTION("GOOGLETRANSLATE(D43,""zh-tw"",""KO"")"),"붉은 카넬리언 펜던트")</f>
        <v>붉은 카넬리언 펜던트</v>
      </c>
      <c r="Y43" s="192" t="s">
        <v>14493</v>
      </c>
      <c r="Z43" s="194" t="s">
        <v>14494</v>
      </c>
      <c r="AA43" s="464" t="s">
        <v>1485</v>
      </c>
      <c r="AB43" s="193" t="s">
        <v>10435</v>
      </c>
      <c r="AC43" s="253" t="s">
        <v>14495</v>
      </c>
      <c r="AD43" s="254" t="s">
        <v>14496</v>
      </c>
      <c r="AE43" s="463" t="s">
        <v>1485</v>
      </c>
      <c r="AF43" s="252" t="s">
        <v>10435</v>
      </c>
      <c r="AG43" s="467" t="str">
        <f>IFERROR(__xludf.DUMMYFUNCTION("GOOGLETRANSLATE(A43,""zh-tw"",""DE"")"),"Die Helden der Welt")</f>
        <v>Die Helden der Welt</v>
      </c>
      <c r="AH43" s="504" t="str">
        <f>IFERROR(__xludf.DUMMYFUNCTION("GOOGLETRANSLATE(B43,""zh-tw"",""DE"")"),"Auf diese Weise kann man weltlichen Ruhm erlangen und Dunkelheit und Unwissenheit entfliehen.")</f>
        <v>Auf diese Weise kann man weltlichen Ruhm erlangen und Dunkelheit und Unwissenheit entfliehen.</v>
      </c>
      <c r="AI43" s="468" t="str">
        <f>IFERROR(__xludf.DUMMYFUNCTION("GOOGLETRANSLATE(C43,""zh-tw"",""DE"")"),"-")</f>
        <v>-</v>
      </c>
      <c r="AJ43" s="616" t="str">
        <f>IFERROR(__xludf.DUMMYFUNCTION("GOOGLETRANSLATE(D43,""zh-tw"",""DE"")"),"Anhänger aus rotem Karneol")</f>
        <v>Anhänger aus rotem Karneol</v>
      </c>
      <c r="AK43" s="157" t="s">
        <v>14497</v>
      </c>
      <c r="AL43" s="268" t="s">
        <v>14498</v>
      </c>
      <c r="AM43" s="626"/>
      <c r="AN43" s="624"/>
      <c r="AO43" s="192" t="s">
        <v>10433</v>
      </c>
      <c r="AP43" s="194" t="s">
        <v>14492</v>
      </c>
      <c r="AQ43" s="627"/>
      <c r="AR43" s="625"/>
      <c r="AS43" s="620"/>
      <c r="AT43" s="620"/>
    </row>
    <row r="44">
      <c r="A44" s="481" t="s">
        <v>14499</v>
      </c>
      <c r="B44" s="260" t="s">
        <v>14500</v>
      </c>
      <c r="C44" s="472" t="s">
        <v>14501</v>
      </c>
      <c r="D44" s="615" t="s">
        <v>10511</v>
      </c>
      <c r="E44" s="481" t="s">
        <v>14502</v>
      </c>
      <c r="F44" s="260" t="s">
        <v>14503</v>
      </c>
      <c r="G44" s="472" t="s">
        <v>14504</v>
      </c>
      <c r="H44" s="616" t="str">
        <f>IFERROR(__xludf.DUMMYFUNCTION("GOOGLETRANSLATE(D44,""zh-tw"",""ja"")"),"欲張りな貯金箱")</f>
        <v>欲張りな貯金箱</v>
      </c>
      <c r="I44" s="481" t="s">
        <v>14505</v>
      </c>
      <c r="J44" s="260" t="s">
        <v>14506</v>
      </c>
      <c r="K44" s="472" t="s">
        <v>14507</v>
      </c>
      <c r="L44" s="616"/>
      <c r="M44" s="467" t="str">
        <f>IFERROR(__xludf.DUMMYFUNCTION("GOOGLETRANSLATE(A44,""zh-tw"",""zh"")"),"贪财!贪财!")</f>
        <v>贪财!贪财!</v>
      </c>
      <c r="N44" s="504" t="str">
        <f>IFERROR(__xludf.DUMMYFUNCTION("GOOGLETRANSLATE(B44,""zh-tw"",""zh"")"),"无尽的贪欲最终也盯上你– –")</f>
        <v>无尽的贪欲最终也盯上你– –</v>
      </c>
      <c r="O44" s="468" t="str">
        <f>IFERROR(__xludf.DUMMYFUNCTION("GOOGLETRANSLATE(C44,""zh-tw"",""zh"")"),"受伤时强制掉落金币")</f>
        <v>受伤时强制掉落金币</v>
      </c>
      <c r="P44" s="616" t="str">
        <f>IFERROR(__xludf.DUMMYFUNCTION("GOOGLETRANSLATE(D44,""zh-tw"",""zh"")"),"贪欲存钱罐")</f>
        <v>贪欲存钱罐</v>
      </c>
      <c r="Q44" s="253" t="str">
        <f>IFERROR(__xludf.DUMMYFUNCTION("GOOGLETRANSLATE(A44,""zh-tw"",""es-MX"")"),"¡Codicioso! ¡Codicioso!")</f>
        <v>¡Codicioso! ¡Codicioso!</v>
      </c>
      <c r="R44" s="254" t="str">
        <f>IFERROR(__xludf.DUMMYFUNCTION("GOOGLETRANSLATE(B44,""zh-tw"",""es-MX"")"),"La codicia sin límites acabará fijándose también en ti.")</f>
        <v>La codicia sin límites acabará fijándose también en ti.</v>
      </c>
      <c r="S44" s="463" t="str">
        <f>IFERROR(__xludf.DUMMYFUNCTION("GOOGLETRANSLATE(C44,""zh-tw"",""es-MX"")"),"Las monedas de oro se dejan caer a la fuerza cuando resultan heridas.")</f>
        <v>Las monedas de oro se dejan caer a la fuerza cuando resultan heridas.</v>
      </c>
      <c r="T44" s="252" t="str">
        <f>IFERROR(__xludf.DUMMYFUNCTION("GOOGLETRANSLATE(D44,""zh-tw"",""es-MX"")"),"Hucha codiciosa")</f>
        <v>Hucha codiciosa</v>
      </c>
      <c r="U44" s="253" t="str">
        <f>IFERROR(__xludf.DUMMYFUNCTION("GOOGLETRANSLATE(A44,""zh-tw"",""KO"")"),"욕심쟁이! 욕심쟁이!")</f>
        <v>욕심쟁이! 욕심쟁이!</v>
      </c>
      <c r="V44" s="254" t="str">
        <f>IFERROR(__xludf.DUMMYFUNCTION("GOOGLETRANSLATE(B44,""zh-tw"",""KO"")"),"끝없는 탐욕은 결국 당신을 노릴 것입니다.")</f>
        <v>끝없는 탐욕은 결국 당신을 노릴 것입니다.</v>
      </c>
      <c r="W44" s="463" t="str">
        <f>IFERROR(__xludf.DUMMYFUNCTION("GOOGLETRANSLATE(C44,""zh-tw"",""KO"")"),"부상을 입으면 금화가 강제로 떨어집니다.")</f>
        <v>부상을 입으면 금화가 강제로 떨어집니다.</v>
      </c>
      <c r="X44" s="252" t="str">
        <f>IFERROR(__xludf.DUMMYFUNCTION("GOOGLETRANSLATE(D44,""zh-tw"",""KO"")"),"욕심쟁이 돼지 저금통")</f>
        <v>욕심쟁이 돼지 저금통</v>
      </c>
      <c r="Y44" s="192" t="s">
        <v>14508</v>
      </c>
      <c r="Z44" s="194" t="s">
        <v>14509</v>
      </c>
      <c r="AA44" s="464" t="s">
        <v>14510</v>
      </c>
      <c r="AB44" s="193" t="s">
        <v>10517</v>
      </c>
      <c r="AC44" s="253" t="s">
        <v>14511</v>
      </c>
      <c r="AD44" s="254" t="s">
        <v>14512</v>
      </c>
      <c r="AE44" s="463" t="s">
        <v>14513</v>
      </c>
      <c r="AF44" s="252" t="s">
        <v>10519</v>
      </c>
      <c r="AG44" s="467" t="str">
        <f>IFERROR(__xludf.DUMMYFUNCTION("GOOGLETRANSLATE(A44,""zh-tw"",""DE"")"),"Gierig! Gierig!")</f>
        <v>Gierig! Gierig!</v>
      </c>
      <c r="AH44" s="504" t="str">
        <f>IFERROR(__xludf.DUMMYFUNCTION("GOOGLETRANSLATE(B44,""zh-tw"",""DE"")"),"Unstillbare Gier wird irgendwann auch dich ins Visier nehmen.")</f>
        <v>Unstillbare Gier wird irgendwann auch dich ins Visier nehmen.</v>
      </c>
      <c r="AI44" s="468" t="str">
        <f>IFERROR(__xludf.DUMMYFUNCTION("GOOGLETRANSLATE(C44,""zh-tw"",""DE"")"),"Bei Verletzungen werden Goldmünzen zwangsweise fallen gelassen.")</f>
        <v>Bei Verletzungen werden Goldmünzen zwangsweise fallen gelassen.</v>
      </c>
      <c r="AJ44" s="616" t="str">
        <f>IFERROR(__xludf.DUMMYFUNCTION("GOOGLETRANSLATE(D44,""zh-tw"",""DE"")"),"Gieriges Sparschwein")</f>
        <v>Gieriges Sparschwein</v>
      </c>
      <c r="AK44" s="272" t="s">
        <v>14514</v>
      </c>
      <c r="AL44" s="268" t="s">
        <v>14515</v>
      </c>
      <c r="AM44" s="621" t="s">
        <v>14516</v>
      </c>
      <c r="AN44" s="628"/>
      <c r="AO44" s="253" t="s">
        <v>14517</v>
      </c>
      <c r="AP44" s="254" t="s">
        <v>14518</v>
      </c>
      <c r="AQ44" s="463" t="s">
        <v>14519</v>
      </c>
      <c r="AR44" s="629"/>
      <c r="AS44" s="630"/>
      <c r="AT44" s="630"/>
    </row>
    <row r="45">
      <c r="A45" s="481" t="s">
        <v>14520</v>
      </c>
      <c r="B45" s="260" t="s">
        <v>14521</v>
      </c>
      <c r="C45" s="472" t="s">
        <v>14522</v>
      </c>
      <c r="D45" s="615" t="s">
        <v>10141</v>
      </c>
      <c r="E45" s="481" t="s">
        <v>14523</v>
      </c>
      <c r="F45" s="260" t="s">
        <v>14524</v>
      </c>
      <c r="G45" s="472" t="s">
        <v>14525</v>
      </c>
      <c r="H45" s="616" t="str">
        <f>IFERROR(__xludf.DUMMYFUNCTION("GOOGLETRANSLATE(D45,""zh-tw"",""ja"")"),"夜霧の幻影")</f>
        <v>夜霧の幻影</v>
      </c>
      <c r="I45" s="481" t="s">
        <v>14526</v>
      </c>
      <c r="J45" s="260" t="s">
        <v>14527</v>
      </c>
      <c r="K45" s="472" t="s">
        <v>14528</v>
      </c>
      <c r="L45" s="616"/>
      <c r="M45" s="467" t="str">
        <f>IFERROR(__xludf.DUMMYFUNCTION("GOOGLETRANSLATE(A45,""zh-tw"",""zh"")"),"你看不见我")</f>
        <v>你看不见我</v>
      </c>
      <c r="N45" s="504" t="str">
        <f>IFERROR(__xludf.DUMMYFUNCTION("GOOGLETRANSLATE(B45,""zh-tw"",""zh"")"),"LOOK INTI MY EVIL EYEZ SEE SOMETHIN'INSIDE！")</f>
        <v>LOOK INTI MY EVIL EYEZ SEE SOMETHIN'INSIDE！</v>
      </c>
      <c r="O45" s="468" t="str">
        <f>IFERROR(__xludf.DUMMYFUNCTION("GOOGLETRANSLATE(C45,""zh-tw"",""zh"")"),"每六秒短暂进入透明状态！")</f>
        <v>每六秒短暂进入透明状态！</v>
      </c>
      <c r="P45" s="616" t="str">
        <f>IFERROR(__xludf.DUMMYFUNCTION("GOOGLETRANSLATE(D45,""zh-tw"",""zh"")"),"夜雾幻影")</f>
        <v>夜雾幻影</v>
      </c>
      <c r="Q45" s="253" t="str">
        <f>IFERROR(__xludf.DUMMYFUNCTION("GOOGLETRANSLATE(A45,""zh-tw"",""es-MX"")"),"No puedes verme")</f>
        <v>No puedes verme</v>
      </c>
      <c r="R45" s="254" t="str">
        <f>IFERROR(__xludf.DUMMYFUNCTION("GOOGLETRANSLATE(B45,""zh-tw"",""es-MX"")"),"¡MIRA MIS OJOS MALIGNOS, MIRA ALGO DENTRO!")</f>
        <v>¡MIRA MIS OJOS MALIGNOS, MIRA ALGO DENTRO!</v>
      </c>
      <c r="S45" s="463" t="str">
        <f>IFERROR(__xludf.DUMMYFUNCTION("GOOGLETRANSLATE(C45,""zh-tw"",""es-MX"")"),"¡Entra brevemente en un estado transparente cada seis segundos!")</f>
        <v>¡Entra brevemente en un estado transparente cada seis segundos!</v>
      </c>
      <c r="T45" s="252" t="str">
        <f>IFERROR(__xludf.DUMMYFUNCTION("GOOGLETRANSLATE(D45,""zh-tw"",""es-MX"")"),"Fantasma de la Niebla Nocturna")</f>
        <v>Fantasma de la Niebla Nocturna</v>
      </c>
      <c r="U45" s="253" t="str">
        <f>IFERROR(__xludf.DUMMYFUNCTION("GOOGLETRANSLATE(A45,""zh-tw"",""KO"")"),"당신은 나를 볼 수 없어요")</f>
        <v>당신은 나를 볼 수 없어요</v>
      </c>
      <c r="V45" s="254" t="str">
        <f>IFERROR(__xludf.DUMMYFUNCTION("GOOGLETRANSLATE(B45,""zh-tw"",""KO"")"),"내 사악한 눈을 들여다봐, 그 안에 무언가가 보일 거야!")</f>
        <v>내 사악한 눈을 들여다봐, 그 안에 무언가가 보일 거야!</v>
      </c>
      <c r="W45" s="463" t="str">
        <f>IFERROR(__xludf.DUMMYFUNCTION("GOOGLETRANSLATE(C45,""zh-tw"",""KO"")"),"6초마다 잠시 투명한 상태가 됩니다!")</f>
        <v>6초마다 잠시 투명한 상태가 됩니다!</v>
      </c>
      <c r="X45" s="252" t="str">
        <f>IFERROR(__xludf.DUMMYFUNCTION("GOOGLETRANSLATE(D45,""zh-tw"",""KO"")"),"밤안개 유령")</f>
        <v>밤안개 유령</v>
      </c>
      <c r="Y45" s="192" t="s">
        <v>14529</v>
      </c>
      <c r="Z45" s="194" t="s">
        <v>14530</v>
      </c>
      <c r="AA45" s="464" t="s">
        <v>14531</v>
      </c>
      <c r="AB45" s="193" t="s">
        <v>14532</v>
      </c>
      <c r="AC45" s="253" t="s">
        <v>14533</v>
      </c>
      <c r="AD45" s="254" t="s">
        <v>14534</v>
      </c>
      <c r="AE45" s="463" t="s">
        <v>14535</v>
      </c>
      <c r="AF45" s="252" t="s">
        <v>10151</v>
      </c>
      <c r="AG45" s="467" t="str">
        <f>IFERROR(__xludf.DUMMYFUNCTION("GOOGLETRANSLATE(A45,""zh-tw"",""DE"")"),"Du kannst mich nicht sehen")</f>
        <v>Du kannst mich nicht sehen</v>
      </c>
      <c r="AH45" s="504" t="str">
        <f>IFERROR(__xludf.DUMMYFUNCTION("GOOGLETRANSLATE(B45,""zh-tw"",""DE"")"),"SCHAU IN MEINE BÖSEN AUGEN, SIEH ETWAS DARIN!")</f>
        <v>SCHAU IN MEINE BÖSEN AUGEN, SIEH ETWAS DARIN!</v>
      </c>
      <c r="AI45" s="468" t="str">
        <f>IFERROR(__xludf.DUMMYFUNCTION("GOOGLETRANSLATE(C45,""zh-tw"",""DE"")"),"Es wechselt alle sechs Sekunden kurz in einen transparenten Zustand!")</f>
        <v>Es wechselt alle sechs Sekunden kurz in einen transparenten Zustand!</v>
      </c>
      <c r="AJ45" s="616" t="str">
        <f>IFERROR(__xludf.DUMMYFUNCTION("GOOGLETRANSLATE(D45,""zh-tw"",""DE"")"),"Nachtnebel-Phantom")</f>
        <v>Nachtnebel-Phantom</v>
      </c>
      <c r="AK45" s="272" t="s">
        <v>14536</v>
      </c>
      <c r="AL45" s="268" t="s">
        <v>14537</v>
      </c>
      <c r="AM45" s="621" t="s">
        <v>14538</v>
      </c>
      <c r="AN45" s="631"/>
      <c r="AO45" s="253" t="s">
        <v>14539</v>
      </c>
      <c r="AP45" s="254" t="s">
        <v>14540</v>
      </c>
      <c r="AQ45" s="463" t="s">
        <v>14541</v>
      </c>
      <c r="AR45" s="629"/>
      <c r="AS45" s="630"/>
      <c r="AT45" s="630"/>
    </row>
    <row r="46">
      <c r="A46" s="253" t="s">
        <v>14542</v>
      </c>
      <c r="B46" s="254" t="s">
        <v>14543</v>
      </c>
      <c r="C46" s="463" t="s">
        <v>14544</v>
      </c>
      <c r="D46" s="252" t="s">
        <v>14545</v>
      </c>
      <c r="E46" s="253" t="s">
        <v>14546</v>
      </c>
      <c r="F46" s="254" t="s">
        <v>14547</v>
      </c>
      <c r="G46" s="463" t="s">
        <v>14548</v>
      </c>
      <c r="H46" s="252" t="s">
        <v>14549</v>
      </c>
      <c r="I46" s="481" t="s">
        <v>14550</v>
      </c>
      <c r="J46" s="254" t="s">
        <v>14551</v>
      </c>
      <c r="K46" s="463" t="s">
        <v>14552</v>
      </c>
      <c r="L46" s="200" t="s">
        <v>14553</v>
      </c>
      <c r="M46" s="253" t="s">
        <v>14554</v>
      </c>
      <c r="N46" s="254" t="s">
        <v>14543</v>
      </c>
      <c r="O46" s="463" t="s">
        <v>14555</v>
      </c>
      <c r="P46" s="252" t="s">
        <v>14556</v>
      </c>
      <c r="Q46" s="253" t="str">
        <f>IFERROR(__xludf.DUMMYFUNCTION("GOOGLETRANSLATE(A46,""zh-tw"",""es-MX"")"),"Siempre tengo la sensación de que algo me sigue.")</f>
        <v>Siempre tengo la sensación de que algo me sigue.</v>
      </c>
      <c r="R46" s="254" t="str">
        <f>IFERROR(__xludf.DUMMYFUNCTION("GOOGLETRANSLATE(B46,""zh-tw"",""es-MX"")"),"susurro...susurro...")</f>
        <v>susurro...susurro...</v>
      </c>
      <c r="S46" s="463" t="str">
        <f>IFERROR(__xludf.DUMMYFUNCTION("GOOGLETRANSLATE(C46,""zh-tw"",""es-MX"")"),"Un grupo de pequeñas criaturas te está observando atentamente.")</f>
        <v>Un grupo de pequeñas criaturas te está observando atentamente.</v>
      </c>
      <c r="T46" s="252" t="str">
        <f>IFERROR(__xludf.DUMMYFUNCTION("GOOGLETRANSLATE(D46,""zh-tw"",""es-MX"")"),"Enredados por Z")</f>
        <v>Enredados por Z</v>
      </c>
      <c r="U46" s="253" t="str">
        <f>IFERROR(__xludf.DUMMYFUNCTION("GOOGLETRANSLATE(A46,""zh-tw"",""KO"")"),"항상 무언가가 나를 따라다니는 것 같은 느낌이 들어요.")</f>
        <v>항상 무언가가 나를 따라다니는 것 같은 느낌이 들어요.</v>
      </c>
      <c r="V46" s="254" t="str">
        <f>IFERROR(__xludf.DUMMYFUNCTION("GOOGLETRANSLATE(B46,""zh-tw"",""KO"")"),"바스락거리는 소리…바스락거리는 소리…")</f>
        <v>바스락거리는 소리…바스락거리는 소리…</v>
      </c>
      <c r="W46" s="463" t="str">
        <f>IFERROR(__xludf.DUMMYFUNCTION("GOOGLETRANSLATE(C46,""zh-tw"",""KO"")"),"당신은 작은 생물 무리에게 면밀히 관찰당하고 있습니다.")</f>
        <v>당신은 작은 생물 무리에게 면밀히 관찰당하고 있습니다.</v>
      </c>
      <c r="X46" s="252" t="str">
        <f>IFERROR(__xludf.DUMMYFUNCTION("GOOGLETRANSLATE(D46,""zh-tw"",""KO"")"),"Z에 얽매이다")</f>
        <v>Z에 얽매이다</v>
      </c>
      <c r="Y46" s="253" t="s">
        <v>14557</v>
      </c>
      <c r="Z46" s="254" t="s">
        <v>14558</v>
      </c>
      <c r="AA46" s="463" t="s">
        <v>14559</v>
      </c>
      <c r="AB46" s="252" t="s">
        <v>7237</v>
      </c>
      <c r="AC46" s="253" t="s">
        <v>14560</v>
      </c>
      <c r="AD46" s="254" t="s">
        <v>14561</v>
      </c>
      <c r="AE46" s="463" t="s">
        <v>14562</v>
      </c>
      <c r="AF46" s="252" t="s">
        <v>7237</v>
      </c>
      <c r="AG46" s="467" t="str">
        <f>IFERROR(__xludf.DUMMYFUNCTION("GOOGLETRANSLATE(A46,""zh-tw"",""DE"")"),"Ich habe immer das Gefühl, dass mich etwas verfolgt.")</f>
        <v>Ich habe immer das Gefühl, dass mich etwas verfolgt.</v>
      </c>
      <c r="AH46" s="254" t="s">
        <v>14563</v>
      </c>
      <c r="AI46" s="463" t="s">
        <v>14564</v>
      </c>
      <c r="AJ46" s="252" t="s">
        <v>14565</v>
      </c>
      <c r="AK46" s="496" t="s">
        <v>14566</v>
      </c>
      <c r="AL46" s="632" t="s">
        <v>14567</v>
      </c>
      <c r="AM46" s="633" t="s">
        <v>14568</v>
      </c>
      <c r="AN46" s="634" t="s">
        <v>14569</v>
      </c>
      <c r="AO46" s="253" t="s">
        <v>14570</v>
      </c>
      <c r="AP46" s="254" t="s">
        <v>14571</v>
      </c>
      <c r="AQ46" s="463" t="s">
        <v>14572</v>
      </c>
      <c r="AR46" s="252" t="s">
        <v>14573</v>
      </c>
      <c r="AS46" s="630"/>
      <c r="AT46" s="630"/>
    </row>
    <row r="47">
      <c r="A47" s="467"/>
      <c r="B47" s="504"/>
      <c r="C47" s="468"/>
      <c r="D47" s="616"/>
      <c r="E47" s="467"/>
      <c r="F47" s="504"/>
      <c r="G47" s="468"/>
      <c r="H47" s="616"/>
      <c r="I47" s="467"/>
      <c r="J47" s="504"/>
      <c r="K47" s="468"/>
      <c r="L47" s="616"/>
      <c r="M47" s="467"/>
      <c r="N47" s="504"/>
      <c r="O47" s="468"/>
      <c r="P47" s="616"/>
      <c r="Q47" s="635"/>
      <c r="R47" s="636"/>
      <c r="S47" s="637"/>
      <c r="T47" s="629"/>
      <c r="U47" s="635"/>
      <c r="V47" s="636"/>
      <c r="W47" s="637"/>
      <c r="X47" s="629"/>
      <c r="Y47" s="467"/>
      <c r="Z47" s="504"/>
      <c r="AA47" s="468"/>
      <c r="AB47" s="616"/>
      <c r="AC47" s="638"/>
      <c r="AD47" s="639"/>
      <c r="AE47" s="640"/>
      <c r="AF47" s="641"/>
      <c r="AG47" s="638"/>
      <c r="AH47" s="639"/>
      <c r="AI47" s="640"/>
      <c r="AJ47" s="641"/>
      <c r="AK47" s="635"/>
      <c r="AL47" s="636"/>
      <c r="AM47" s="637"/>
      <c r="AN47" s="629"/>
      <c r="AO47" s="467"/>
      <c r="AP47" s="504"/>
      <c r="AQ47" s="468"/>
      <c r="AR47" s="616"/>
      <c r="AS47" s="630"/>
      <c r="AT47" s="630"/>
    </row>
    <row r="48">
      <c r="A48" s="467"/>
      <c r="B48" s="504"/>
      <c r="C48" s="468"/>
      <c r="D48" s="616"/>
      <c r="E48" s="467"/>
      <c r="F48" s="504"/>
      <c r="G48" s="468"/>
      <c r="H48" s="616"/>
      <c r="I48" s="467"/>
      <c r="J48" s="504"/>
      <c r="K48" s="468"/>
      <c r="L48" s="616"/>
      <c r="M48" s="467"/>
      <c r="N48" s="504"/>
      <c r="O48" s="468"/>
      <c r="P48" s="616"/>
      <c r="Q48" s="635"/>
      <c r="R48" s="636"/>
      <c r="S48" s="637"/>
      <c r="T48" s="629"/>
      <c r="U48" s="635"/>
      <c r="V48" s="636"/>
      <c r="W48" s="637"/>
      <c r="X48" s="629"/>
      <c r="Y48" s="467"/>
      <c r="Z48" s="504"/>
      <c r="AA48" s="468"/>
      <c r="AB48" s="616"/>
      <c r="AC48" s="638"/>
      <c r="AD48" s="639"/>
      <c r="AE48" s="640"/>
      <c r="AF48" s="641"/>
      <c r="AG48" s="638"/>
      <c r="AH48" s="639"/>
      <c r="AI48" s="640"/>
      <c r="AJ48" s="641"/>
      <c r="AK48" s="635"/>
      <c r="AL48" s="636"/>
      <c r="AM48" s="637"/>
      <c r="AN48" s="629"/>
      <c r="AO48" s="467"/>
      <c r="AP48" s="504"/>
      <c r="AQ48" s="468"/>
      <c r="AR48" s="616"/>
      <c r="AS48" s="630"/>
      <c r="AT48" s="630"/>
    </row>
    <row r="49">
      <c r="A49" s="467"/>
      <c r="B49" s="504"/>
      <c r="C49" s="468"/>
      <c r="D49" s="616"/>
      <c r="E49" s="467"/>
      <c r="F49" s="504"/>
      <c r="G49" s="468"/>
      <c r="H49" s="616"/>
      <c r="I49" s="467"/>
      <c r="J49" s="504"/>
      <c r="K49" s="468"/>
      <c r="L49" s="616"/>
      <c r="M49" s="467"/>
      <c r="N49" s="504"/>
      <c r="O49" s="468"/>
      <c r="P49" s="616"/>
      <c r="Q49" s="635"/>
      <c r="R49" s="636"/>
      <c r="S49" s="637"/>
      <c r="T49" s="629"/>
      <c r="U49" s="635"/>
      <c r="V49" s="636"/>
      <c r="W49" s="637"/>
      <c r="X49" s="629"/>
      <c r="Y49" s="467"/>
      <c r="Z49" s="504"/>
      <c r="AA49" s="468"/>
      <c r="AB49" s="616"/>
      <c r="AC49" s="638"/>
      <c r="AD49" s="639"/>
      <c r="AE49" s="640"/>
      <c r="AF49" s="641"/>
      <c r="AG49" s="638"/>
      <c r="AH49" s="639"/>
      <c r="AI49" s="640"/>
      <c r="AJ49" s="641"/>
      <c r="AK49" s="635"/>
      <c r="AL49" s="636"/>
      <c r="AM49" s="637"/>
      <c r="AN49" s="629"/>
      <c r="AO49" s="467"/>
      <c r="AP49" s="504"/>
      <c r="AQ49" s="468"/>
      <c r="AR49" s="616"/>
      <c r="AS49" s="630"/>
      <c r="AT49" s="630"/>
    </row>
    <row r="50">
      <c r="A50" s="467"/>
      <c r="B50" s="504"/>
      <c r="C50" s="468"/>
      <c r="D50" s="616"/>
      <c r="E50" s="467"/>
      <c r="F50" s="504"/>
      <c r="G50" s="468"/>
      <c r="H50" s="616"/>
      <c r="I50" s="467"/>
      <c r="J50" s="504"/>
      <c r="K50" s="468"/>
      <c r="L50" s="616"/>
      <c r="M50" s="467"/>
      <c r="N50" s="504"/>
      <c r="O50" s="468"/>
      <c r="P50" s="616"/>
      <c r="Q50" s="635"/>
      <c r="R50" s="636"/>
      <c r="S50" s="637"/>
      <c r="T50" s="629"/>
      <c r="U50" s="635"/>
      <c r="V50" s="636"/>
      <c r="W50" s="637"/>
      <c r="X50" s="629"/>
      <c r="Y50" s="467"/>
      <c r="Z50" s="504"/>
      <c r="AA50" s="468"/>
      <c r="AB50" s="616"/>
      <c r="AC50" s="638"/>
      <c r="AD50" s="639"/>
      <c r="AE50" s="640"/>
      <c r="AF50" s="641"/>
      <c r="AG50" s="638"/>
      <c r="AH50" s="639"/>
      <c r="AI50" s="640"/>
      <c r="AJ50" s="641"/>
      <c r="AK50" s="635"/>
      <c r="AL50" s="636"/>
      <c r="AM50" s="637"/>
      <c r="AN50" s="629"/>
      <c r="AO50" s="467"/>
      <c r="AP50" s="504"/>
      <c r="AQ50" s="468"/>
      <c r="AR50" s="616"/>
      <c r="AS50" s="630"/>
      <c r="AT50" s="630"/>
    </row>
    <row r="51">
      <c r="A51" s="467"/>
      <c r="B51" s="504"/>
      <c r="C51" s="468"/>
      <c r="D51" s="616"/>
      <c r="E51" s="467"/>
      <c r="F51" s="504"/>
      <c r="G51" s="468"/>
      <c r="H51" s="616"/>
      <c r="I51" s="467"/>
      <c r="J51" s="504"/>
      <c r="K51" s="468"/>
      <c r="L51" s="616"/>
      <c r="M51" s="467"/>
      <c r="N51" s="504"/>
      <c r="O51" s="468"/>
      <c r="P51" s="616"/>
      <c r="Q51" s="635"/>
      <c r="R51" s="636"/>
      <c r="S51" s="637"/>
      <c r="T51" s="629"/>
      <c r="U51" s="635"/>
      <c r="V51" s="636"/>
      <c r="W51" s="637"/>
      <c r="X51" s="629"/>
      <c r="Y51" s="467"/>
      <c r="Z51" s="504"/>
      <c r="AA51" s="468"/>
      <c r="AB51" s="616"/>
      <c r="AC51" s="635"/>
      <c r="AD51" s="636"/>
      <c r="AE51" s="637"/>
      <c r="AF51" s="629"/>
      <c r="AG51" s="635"/>
      <c r="AH51" s="636"/>
      <c r="AI51" s="637"/>
      <c r="AJ51" s="629"/>
      <c r="AK51" s="635"/>
      <c r="AL51" s="636"/>
      <c r="AM51" s="637"/>
      <c r="AN51" s="629"/>
      <c r="AO51" s="467"/>
      <c r="AP51" s="504"/>
      <c r="AQ51" s="468"/>
      <c r="AR51" s="616"/>
      <c r="AS51" s="630"/>
      <c r="AT51" s="630"/>
    </row>
    <row r="52">
      <c r="A52" s="467"/>
      <c r="B52" s="504"/>
      <c r="C52" s="468"/>
      <c r="D52" s="616"/>
      <c r="E52" s="467"/>
      <c r="F52" s="504"/>
      <c r="G52" s="468"/>
      <c r="H52" s="616"/>
      <c r="I52" s="467"/>
      <c r="J52" s="504"/>
      <c r="K52" s="468"/>
      <c r="L52" s="616"/>
      <c r="M52" s="467"/>
      <c r="N52" s="504"/>
      <c r="O52" s="468"/>
      <c r="P52" s="616"/>
      <c r="Q52" s="635"/>
      <c r="R52" s="636"/>
      <c r="S52" s="637"/>
      <c r="T52" s="629"/>
      <c r="U52" s="635"/>
      <c r="V52" s="636"/>
      <c r="W52" s="637"/>
      <c r="X52" s="629"/>
      <c r="Y52" s="467"/>
      <c r="Z52" s="504"/>
      <c r="AA52" s="468"/>
      <c r="AB52" s="616"/>
      <c r="AC52" s="635"/>
      <c r="AD52" s="636"/>
      <c r="AE52" s="637"/>
      <c r="AF52" s="629"/>
      <c r="AG52" s="635"/>
      <c r="AH52" s="636"/>
      <c r="AI52" s="637"/>
      <c r="AJ52" s="629"/>
      <c r="AK52" s="635"/>
      <c r="AL52" s="636"/>
      <c r="AM52" s="637"/>
      <c r="AN52" s="629"/>
      <c r="AO52" s="467"/>
      <c r="AP52" s="504"/>
      <c r="AQ52" s="468"/>
      <c r="AR52" s="616"/>
      <c r="AS52" s="630"/>
      <c r="AT52" s="630"/>
    </row>
    <row r="53">
      <c r="A53" s="467"/>
      <c r="B53" s="504"/>
      <c r="C53" s="468"/>
      <c r="D53" s="616"/>
      <c r="E53" s="467"/>
      <c r="F53" s="504"/>
      <c r="G53" s="468"/>
      <c r="H53" s="616"/>
      <c r="I53" s="467"/>
      <c r="J53" s="504"/>
      <c r="K53" s="468"/>
      <c r="L53" s="616"/>
      <c r="M53" s="467"/>
      <c r="N53" s="504"/>
      <c r="O53" s="468"/>
      <c r="P53" s="616"/>
      <c r="Q53" s="635"/>
      <c r="R53" s="636"/>
      <c r="S53" s="637"/>
      <c r="T53" s="629"/>
      <c r="U53" s="635"/>
      <c r="V53" s="636"/>
      <c r="W53" s="637"/>
      <c r="X53" s="629"/>
      <c r="Y53" s="467"/>
      <c r="Z53" s="504"/>
      <c r="AA53" s="468"/>
      <c r="AB53" s="616"/>
      <c r="AC53" s="635"/>
      <c r="AD53" s="636"/>
      <c r="AE53" s="637"/>
      <c r="AF53" s="629"/>
      <c r="AG53" s="635"/>
      <c r="AH53" s="636"/>
      <c r="AI53" s="637"/>
      <c r="AJ53" s="629"/>
      <c r="AK53" s="635"/>
      <c r="AL53" s="636"/>
      <c r="AM53" s="637"/>
      <c r="AN53" s="629"/>
      <c r="AO53" s="467"/>
      <c r="AP53" s="504"/>
      <c r="AQ53" s="468"/>
      <c r="AR53" s="616"/>
      <c r="AS53" s="630"/>
      <c r="AT53" s="630"/>
    </row>
    <row r="54">
      <c r="A54" s="467"/>
      <c r="B54" s="504"/>
      <c r="C54" s="468"/>
      <c r="D54" s="616"/>
      <c r="E54" s="467"/>
      <c r="F54" s="504"/>
      <c r="G54" s="468"/>
      <c r="H54" s="616"/>
      <c r="I54" s="467"/>
      <c r="J54" s="504"/>
      <c r="K54" s="468"/>
      <c r="L54" s="616"/>
      <c r="M54" s="467"/>
      <c r="N54" s="504"/>
      <c r="O54" s="468"/>
      <c r="P54" s="616"/>
      <c r="Q54" s="635"/>
      <c r="R54" s="636"/>
      <c r="S54" s="637"/>
      <c r="T54" s="629"/>
      <c r="U54" s="635"/>
      <c r="V54" s="636"/>
      <c r="W54" s="637"/>
      <c r="X54" s="629"/>
      <c r="Y54" s="467"/>
      <c r="Z54" s="504"/>
      <c r="AA54" s="468"/>
      <c r="AB54" s="616"/>
      <c r="AC54" s="635"/>
      <c r="AD54" s="636"/>
      <c r="AE54" s="637"/>
      <c r="AF54" s="629"/>
      <c r="AG54" s="635"/>
      <c r="AH54" s="636"/>
      <c r="AI54" s="637"/>
      <c r="AJ54" s="629"/>
      <c r="AK54" s="635"/>
      <c r="AL54" s="636"/>
      <c r="AM54" s="637"/>
      <c r="AN54" s="629"/>
      <c r="AO54" s="467"/>
      <c r="AP54" s="504"/>
      <c r="AQ54" s="468"/>
      <c r="AR54" s="616"/>
      <c r="AS54" s="630"/>
      <c r="AT54" s="630"/>
    </row>
    <row r="55">
      <c r="A55" s="467"/>
      <c r="B55" s="504"/>
      <c r="C55" s="468"/>
      <c r="D55" s="616"/>
      <c r="E55" s="467"/>
      <c r="F55" s="504"/>
      <c r="G55" s="468"/>
      <c r="H55" s="616"/>
      <c r="I55" s="467"/>
      <c r="J55" s="504"/>
      <c r="K55" s="468"/>
      <c r="L55" s="616"/>
      <c r="M55" s="467"/>
      <c r="N55" s="504"/>
      <c r="O55" s="468"/>
      <c r="P55" s="616"/>
      <c r="Q55" s="635"/>
      <c r="R55" s="636"/>
      <c r="S55" s="637"/>
      <c r="T55" s="629"/>
      <c r="U55" s="635"/>
      <c r="V55" s="636"/>
      <c r="W55" s="637"/>
      <c r="X55" s="629"/>
      <c r="Y55" s="467"/>
      <c r="Z55" s="504"/>
      <c r="AA55" s="468"/>
      <c r="AB55" s="616"/>
      <c r="AC55" s="635"/>
      <c r="AD55" s="636"/>
      <c r="AE55" s="637"/>
      <c r="AF55" s="629"/>
      <c r="AG55" s="635"/>
      <c r="AH55" s="636"/>
      <c r="AI55" s="637"/>
      <c r="AJ55" s="629"/>
      <c r="AK55" s="635"/>
      <c r="AL55" s="636"/>
      <c r="AM55" s="637"/>
      <c r="AN55" s="629"/>
      <c r="AO55" s="467"/>
      <c r="AP55" s="504"/>
      <c r="AQ55" s="468"/>
      <c r="AR55" s="616"/>
      <c r="AS55" s="630"/>
      <c r="AT55" s="630"/>
    </row>
    <row r="56">
      <c r="A56" s="467"/>
      <c r="B56" s="504"/>
      <c r="C56" s="468"/>
      <c r="D56" s="616"/>
      <c r="E56" s="467"/>
      <c r="F56" s="504"/>
      <c r="G56" s="468"/>
      <c r="H56" s="616"/>
      <c r="I56" s="467"/>
      <c r="J56" s="504"/>
      <c r="K56" s="468"/>
      <c r="L56" s="616"/>
      <c r="M56" s="467"/>
      <c r="N56" s="504"/>
      <c r="O56" s="468"/>
      <c r="P56" s="616"/>
      <c r="Q56" s="635"/>
      <c r="R56" s="636"/>
      <c r="S56" s="637"/>
      <c r="T56" s="629"/>
      <c r="U56" s="635"/>
      <c r="V56" s="636"/>
      <c r="W56" s="637"/>
      <c r="X56" s="629"/>
      <c r="Y56" s="467"/>
      <c r="Z56" s="504"/>
      <c r="AA56" s="468"/>
      <c r="AB56" s="616"/>
      <c r="AC56" s="635"/>
      <c r="AD56" s="636"/>
      <c r="AE56" s="637"/>
      <c r="AF56" s="629"/>
      <c r="AG56" s="635"/>
      <c r="AH56" s="636"/>
      <c r="AI56" s="637"/>
      <c r="AJ56" s="629"/>
      <c r="AK56" s="635"/>
      <c r="AL56" s="636"/>
      <c r="AM56" s="637"/>
      <c r="AN56" s="629"/>
      <c r="AO56" s="467"/>
      <c r="AP56" s="504"/>
      <c r="AQ56" s="468"/>
      <c r="AR56" s="616"/>
      <c r="AS56" s="630"/>
      <c r="AT56" s="630"/>
    </row>
    <row r="57">
      <c r="A57" s="467"/>
      <c r="B57" s="504"/>
      <c r="C57" s="468"/>
      <c r="D57" s="616"/>
      <c r="E57" s="467"/>
      <c r="F57" s="504"/>
      <c r="G57" s="468"/>
      <c r="H57" s="616"/>
      <c r="I57" s="467"/>
      <c r="J57" s="504"/>
      <c r="K57" s="468"/>
      <c r="L57" s="616"/>
      <c r="M57" s="467"/>
      <c r="N57" s="504"/>
      <c r="O57" s="468"/>
      <c r="P57" s="616"/>
      <c r="Q57" s="635"/>
      <c r="R57" s="636"/>
      <c r="S57" s="637"/>
      <c r="T57" s="629"/>
      <c r="U57" s="635"/>
      <c r="V57" s="636"/>
      <c r="W57" s="637"/>
      <c r="X57" s="629"/>
      <c r="Y57" s="467"/>
      <c r="Z57" s="504"/>
      <c r="AA57" s="468"/>
      <c r="AB57" s="616"/>
      <c r="AC57" s="635"/>
      <c r="AD57" s="636"/>
      <c r="AE57" s="637"/>
      <c r="AF57" s="629"/>
      <c r="AG57" s="635"/>
      <c r="AH57" s="636"/>
      <c r="AI57" s="637"/>
      <c r="AJ57" s="629"/>
      <c r="AK57" s="635"/>
      <c r="AL57" s="636"/>
      <c r="AM57" s="637"/>
      <c r="AN57" s="629"/>
      <c r="AO57" s="467"/>
      <c r="AP57" s="504"/>
      <c r="AQ57" s="468"/>
      <c r="AR57" s="616"/>
      <c r="AS57" s="630"/>
      <c r="AT57" s="630"/>
    </row>
    <row r="58">
      <c r="A58" s="467"/>
      <c r="B58" s="504"/>
      <c r="C58" s="468"/>
      <c r="D58" s="616"/>
      <c r="E58" s="467"/>
      <c r="F58" s="504"/>
      <c r="G58" s="468"/>
      <c r="H58" s="616"/>
      <c r="I58" s="467"/>
      <c r="J58" s="504"/>
      <c r="K58" s="468"/>
      <c r="L58" s="616"/>
      <c r="M58" s="467"/>
      <c r="N58" s="504"/>
      <c r="O58" s="468"/>
      <c r="P58" s="616"/>
      <c r="Q58" s="635"/>
      <c r="R58" s="636"/>
      <c r="S58" s="637"/>
      <c r="T58" s="629"/>
      <c r="U58" s="635"/>
      <c r="V58" s="636"/>
      <c r="W58" s="637"/>
      <c r="X58" s="629"/>
      <c r="Y58" s="467"/>
      <c r="Z58" s="504"/>
      <c r="AA58" s="468"/>
      <c r="AB58" s="616"/>
      <c r="AC58" s="635"/>
      <c r="AD58" s="636"/>
      <c r="AE58" s="637"/>
      <c r="AF58" s="629"/>
      <c r="AG58" s="635"/>
      <c r="AH58" s="636"/>
      <c r="AI58" s="637"/>
      <c r="AJ58" s="629"/>
      <c r="AK58" s="635"/>
      <c r="AL58" s="636"/>
      <c r="AM58" s="637"/>
      <c r="AN58" s="629"/>
      <c r="AO58" s="467"/>
      <c r="AP58" s="504"/>
      <c r="AQ58" s="468"/>
      <c r="AR58" s="616"/>
      <c r="AS58" s="630"/>
      <c r="AT58" s="630"/>
    </row>
    <row r="59">
      <c r="A59" s="467"/>
      <c r="B59" s="504"/>
      <c r="C59" s="468"/>
      <c r="D59" s="616"/>
      <c r="E59" s="467"/>
      <c r="F59" s="504"/>
      <c r="G59" s="468"/>
      <c r="H59" s="616"/>
      <c r="I59" s="467"/>
      <c r="J59" s="504"/>
      <c r="K59" s="468"/>
      <c r="L59" s="616"/>
      <c r="M59" s="467"/>
      <c r="N59" s="504"/>
      <c r="O59" s="468"/>
      <c r="P59" s="616"/>
      <c r="Q59" s="635"/>
      <c r="R59" s="636"/>
      <c r="S59" s="637"/>
      <c r="T59" s="629"/>
      <c r="U59" s="635"/>
      <c r="V59" s="636"/>
      <c r="W59" s="637"/>
      <c r="X59" s="629"/>
      <c r="Y59" s="467"/>
      <c r="Z59" s="504"/>
      <c r="AA59" s="468"/>
      <c r="AB59" s="616"/>
      <c r="AC59" s="635"/>
      <c r="AD59" s="636"/>
      <c r="AE59" s="637"/>
      <c r="AF59" s="629"/>
      <c r="AG59" s="635"/>
      <c r="AH59" s="636"/>
      <c r="AI59" s="637"/>
      <c r="AJ59" s="629"/>
      <c r="AK59" s="635"/>
      <c r="AL59" s="636"/>
      <c r="AM59" s="637"/>
      <c r="AN59" s="629"/>
      <c r="AO59" s="467"/>
      <c r="AP59" s="504"/>
      <c r="AQ59" s="468"/>
      <c r="AR59" s="616"/>
      <c r="AS59" s="630"/>
      <c r="AT59" s="630"/>
    </row>
    <row r="60">
      <c r="A60" s="467"/>
      <c r="B60" s="504"/>
      <c r="C60" s="468"/>
      <c r="D60" s="616"/>
      <c r="E60" s="467"/>
      <c r="F60" s="504"/>
      <c r="G60" s="468"/>
      <c r="H60" s="616"/>
      <c r="I60" s="467"/>
      <c r="J60" s="504"/>
      <c r="K60" s="468"/>
      <c r="L60" s="616"/>
      <c r="M60" s="467"/>
      <c r="N60" s="504"/>
      <c r="O60" s="468"/>
      <c r="P60" s="616"/>
      <c r="Q60" s="635"/>
      <c r="R60" s="636"/>
      <c r="S60" s="637"/>
      <c r="T60" s="629"/>
      <c r="U60" s="635"/>
      <c r="V60" s="636"/>
      <c r="W60" s="637"/>
      <c r="X60" s="629"/>
      <c r="Y60" s="467"/>
      <c r="Z60" s="504"/>
      <c r="AA60" s="468"/>
      <c r="AB60" s="616"/>
      <c r="AC60" s="635"/>
      <c r="AD60" s="636"/>
      <c r="AE60" s="637"/>
      <c r="AF60" s="629"/>
      <c r="AG60" s="635"/>
      <c r="AH60" s="636"/>
      <c r="AI60" s="637"/>
      <c r="AJ60" s="629"/>
      <c r="AK60" s="635"/>
      <c r="AL60" s="636"/>
      <c r="AM60" s="637"/>
      <c r="AN60" s="629"/>
      <c r="AO60" s="467"/>
      <c r="AP60" s="504"/>
      <c r="AQ60" s="468"/>
      <c r="AR60" s="616"/>
      <c r="AS60" s="630"/>
      <c r="AT60" s="630"/>
    </row>
    <row r="61">
      <c r="A61" s="467"/>
      <c r="B61" s="504"/>
      <c r="C61" s="468"/>
      <c r="D61" s="616"/>
      <c r="E61" s="467"/>
      <c r="F61" s="504"/>
      <c r="G61" s="468"/>
      <c r="H61" s="616"/>
      <c r="I61" s="467"/>
      <c r="J61" s="504"/>
      <c r="K61" s="468"/>
      <c r="L61" s="616"/>
      <c r="M61" s="467"/>
      <c r="N61" s="504"/>
      <c r="O61" s="468"/>
      <c r="P61" s="616"/>
      <c r="Q61" s="635"/>
      <c r="R61" s="636"/>
      <c r="S61" s="637"/>
      <c r="T61" s="629"/>
      <c r="U61" s="635"/>
      <c r="V61" s="636"/>
      <c r="W61" s="637"/>
      <c r="X61" s="629"/>
      <c r="Y61" s="467"/>
      <c r="Z61" s="504"/>
      <c r="AA61" s="468"/>
      <c r="AB61" s="616"/>
      <c r="AC61" s="635"/>
      <c r="AD61" s="636"/>
      <c r="AE61" s="637"/>
      <c r="AF61" s="629"/>
      <c r="AG61" s="635"/>
      <c r="AH61" s="636"/>
      <c r="AI61" s="637"/>
      <c r="AJ61" s="629"/>
      <c r="AK61" s="635"/>
      <c r="AL61" s="636"/>
      <c r="AM61" s="637"/>
      <c r="AN61" s="629"/>
      <c r="AO61" s="467"/>
      <c r="AP61" s="504"/>
      <c r="AQ61" s="468"/>
      <c r="AR61" s="616"/>
      <c r="AS61" s="630"/>
      <c r="AT61" s="630"/>
    </row>
    <row r="62">
      <c r="A62" s="467"/>
      <c r="B62" s="504"/>
      <c r="C62" s="468"/>
      <c r="D62" s="616"/>
      <c r="E62" s="467"/>
      <c r="F62" s="504"/>
      <c r="G62" s="468"/>
      <c r="H62" s="616"/>
      <c r="I62" s="467"/>
      <c r="J62" s="504"/>
      <c r="K62" s="468"/>
      <c r="L62" s="616"/>
      <c r="M62" s="467"/>
      <c r="N62" s="504"/>
      <c r="O62" s="468"/>
      <c r="P62" s="616"/>
      <c r="Q62" s="635"/>
      <c r="R62" s="636"/>
      <c r="S62" s="637"/>
      <c r="T62" s="629"/>
      <c r="U62" s="635"/>
      <c r="V62" s="636"/>
      <c r="W62" s="637"/>
      <c r="X62" s="629"/>
      <c r="Y62" s="467"/>
      <c r="Z62" s="504"/>
      <c r="AA62" s="468"/>
      <c r="AB62" s="616"/>
      <c r="AC62" s="635"/>
      <c r="AD62" s="636"/>
      <c r="AE62" s="637"/>
      <c r="AF62" s="629"/>
      <c r="AG62" s="635"/>
      <c r="AH62" s="636"/>
      <c r="AI62" s="637"/>
      <c r="AJ62" s="629"/>
      <c r="AK62" s="635"/>
      <c r="AL62" s="636"/>
      <c r="AM62" s="637"/>
      <c r="AN62" s="629"/>
      <c r="AO62" s="467"/>
      <c r="AP62" s="504"/>
      <c r="AQ62" s="468"/>
      <c r="AR62" s="616"/>
      <c r="AS62" s="630"/>
      <c r="AT62" s="630"/>
    </row>
    <row r="63">
      <c r="A63" s="467"/>
      <c r="B63" s="504"/>
      <c r="C63" s="468"/>
      <c r="D63" s="616"/>
      <c r="E63" s="467"/>
      <c r="F63" s="504"/>
      <c r="G63" s="468"/>
      <c r="H63" s="616"/>
      <c r="I63" s="467"/>
      <c r="J63" s="504"/>
      <c r="K63" s="468"/>
      <c r="L63" s="616"/>
      <c r="M63" s="467"/>
      <c r="N63" s="504"/>
      <c r="O63" s="468"/>
      <c r="P63" s="616"/>
      <c r="Q63" s="635"/>
      <c r="R63" s="636"/>
      <c r="S63" s="637"/>
      <c r="T63" s="629"/>
      <c r="U63" s="635"/>
      <c r="V63" s="636"/>
      <c r="W63" s="637"/>
      <c r="X63" s="629"/>
      <c r="Y63" s="467"/>
      <c r="Z63" s="504"/>
      <c r="AA63" s="468"/>
      <c r="AB63" s="616"/>
      <c r="AC63" s="635"/>
      <c r="AD63" s="636"/>
      <c r="AE63" s="637"/>
      <c r="AF63" s="629"/>
      <c r="AG63" s="635"/>
      <c r="AH63" s="636"/>
      <c r="AI63" s="637"/>
      <c r="AJ63" s="629"/>
      <c r="AK63" s="635"/>
      <c r="AL63" s="636"/>
      <c r="AM63" s="637"/>
      <c r="AN63" s="629"/>
      <c r="AO63" s="467"/>
      <c r="AP63" s="504"/>
      <c r="AQ63" s="468"/>
      <c r="AR63" s="616"/>
      <c r="AS63" s="630"/>
      <c r="AT63" s="630"/>
    </row>
    <row r="64">
      <c r="A64" s="467"/>
      <c r="B64" s="504"/>
      <c r="C64" s="468"/>
      <c r="D64" s="616"/>
      <c r="E64" s="467"/>
      <c r="F64" s="504"/>
      <c r="G64" s="468"/>
      <c r="H64" s="616"/>
      <c r="I64" s="467"/>
      <c r="J64" s="504"/>
      <c r="K64" s="468"/>
      <c r="L64" s="616"/>
      <c r="M64" s="467"/>
      <c r="N64" s="504"/>
      <c r="O64" s="468"/>
      <c r="P64" s="616"/>
      <c r="Q64" s="635"/>
      <c r="R64" s="636"/>
      <c r="S64" s="637"/>
      <c r="T64" s="629"/>
      <c r="U64" s="635"/>
      <c r="V64" s="636"/>
      <c r="W64" s="637"/>
      <c r="X64" s="629"/>
      <c r="Y64" s="467"/>
      <c r="Z64" s="504"/>
      <c r="AA64" s="468"/>
      <c r="AB64" s="616"/>
      <c r="AC64" s="635"/>
      <c r="AD64" s="636"/>
      <c r="AE64" s="637"/>
      <c r="AF64" s="629"/>
      <c r="AG64" s="635"/>
      <c r="AH64" s="636"/>
      <c r="AI64" s="637"/>
      <c r="AJ64" s="629"/>
      <c r="AK64" s="635"/>
      <c r="AL64" s="636"/>
      <c r="AM64" s="637"/>
      <c r="AN64" s="629"/>
      <c r="AO64" s="467"/>
      <c r="AP64" s="504"/>
      <c r="AQ64" s="468"/>
      <c r="AR64" s="616"/>
      <c r="AS64" s="630"/>
      <c r="AT64" s="630"/>
    </row>
    <row r="65">
      <c r="A65" s="467"/>
      <c r="B65" s="504"/>
      <c r="C65" s="468"/>
      <c r="D65" s="616"/>
      <c r="E65" s="467"/>
      <c r="F65" s="504"/>
      <c r="G65" s="468"/>
      <c r="H65" s="616"/>
      <c r="I65" s="467"/>
      <c r="J65" s="504"/>
      <c r="K65" s="468"/>
      <c r="L65" s="616"/>
      <c r="M65" s="467"/>
      <c r="N65" s="504"/>
      <c r="O65" s="468"/>
      <c r="P65" s="616"/>
      <c r="Q65" s="635"/>
      <c r="R65" s="636"/>
      <c r="S65" s="637"/>
      <c r="T65" s="629"/>
      <c r="U65" s="635"/>
      <c r="V65" s="636"/>
      <c r="W65" s="637"/>
      <c r="X65" s="629"/>
      <c r="Y65" s="467"/>
      <c r="Z65" s="504"/>
      <c r="AA65" s="468"/>
      <c r="AB65" s="616"/>
      <c r="AC65" s="635"/>
      <c r="AD65" s="636"/>
      <c r="AE65" s="637"/>
      <c r="AF65" s="629"/>
      <c r="AG65" s="635"/>
      <c r="AH65" s="636"/>
      <c r="AI65" s="637"/>
      <c r="AJ65" s="629"/>
      <c r="AK65" s="635"/>
      <c r="AL65" s="636"/>
      <c r="AM65" s="637"/>
      <c r="AN65" s="629"/>
      <c r="AO65" s="467"/>
      <c r="AP65" s="504"/>
      <c r="AQ65" s="468"/>
      <c r="AR65" s="616"/>
      <c r="AS65" s="630"/>
      <c r="AT65" s="630"/>
    </row>
    <row r="66">
      <c r="A66" s="467"/>
      <c r="B66" s="504"/>
      <c r="C66" s="468"/>
      <c r="D66" s="616"/>
      <c r="E66" s="467"/>
      <c r="F66" s="504"/>
      <c r="G66" s="468"/>
      <c r="H66" s="616"/>
      <c r="I66" s="467"/>
      <c r="J66" s="504"/>
      <c r="K66" s="468"/>
      <c r="L66" s="616"/>
      <c r="M66" s="467"/>
      <c r="N66" s="504"/>
      <c r="O66" s="468"/>
      <c r="P66" s="616"/>
      <c r="Q66" s="635"/>
      <c r="R66" s="636"/>
      <c r="S66" s="637"/>
      <c r="T66" s="629"/>
      <c r="U66" s="635"/>
      <c r="V66" s="636"/>
      <c r="W66" s="637"/>
      <c r="X66" s="629"/>
      <c r="Y66" s="467"/>
      <c r="Z66" s="504"/>
      <c r="AA66" s="468"/>
      <c r="AB66" s="616"/>
      <c r="AC66" s="635"/>
      <c r="AD66" s="636"/>
      <c r="AE66" s="637"/>
      <c r="AF66" s="629"/>
      <c r="AG66" s="635"/>
      <c r="AH66" s="636"/>
      <c r="AI66" s="637"/>
      <c r="AJ66" s="629"/>
      <c r="AK66" s="635"/>
      <c r="AL66" s="636"/>
      <c r="AM66" s="637"/>
      <c r="AN66" s="629"/>
      <c r="AO66" s="467"/>
      <c r="AP66" s="504"/>
      <c r="AQ66" s="468"/>
      <c r="AR66" s="616"/>
      <c r="AS66" s="630"/>
      <c r="AT66" s="630"/>
    </row>
    <row r="67">
      <c r="A67" s="467"/>
      <c r="B67" s="504"/>
      <c r="C67" s="468"/>
      <c r="D67" s="616"/>
      <c r="E67" s="467"/>
      <c r="F67" s="504"/>
      <c r="G67" s="468"/>
      <c r="H67" s="616"/>
      <c r="I67" s="467"/>
      <c r="J67" s="504"/>
      <c r="K67" s="468"/>
      <c r="L67" s="616"/>
      <c r="M67" s="467"/>
      <c r="N67" s="504"/>
      <c r="O67" s="468"/>
      <c r="P67" s="616"/>
      <c r="Q67" s="635"/>
      <c r="R67" s="636"/>
      <c r="S67" s="637"/>
      <c r="T67" s="629"/>
      <c r="U67" s="635"/>
      <c r="V67" s="636"/>
      <c r="W67" s="637"/>
      <c r="X67" s="629"/>
      <c r="Y67" s="467"/>
      <c r="Z67" s="504"/>
      <c r="AA67" s="468"/>
      <c r="AB67" s="616"/>
      <c r="AC67" s="635"/>
      <c r="AD67" s="636"/>
      <c r="AE67" s="637"/>
      <c r="AF67" s="629"/>
      <c r="AG67" s="635"/>
      <c r="AH67" s="636"/>
      <c r="AI67" s="637"/>
      <c r="AJ67" s="629"/>
      <c r="AK67" s="635"/>
      <c r="AL67" s="636"/>
      <c r="AM67" s="637"/>
      <c r="AN67" s="629"/>
      <c r="AO67" s="467"/>
      <c r="AP67" s="504"/>
      <c r="AQ67" s="468"/>
      <c r="AR67" s="616"/>
      <c r="AS67" s="630"/>
      <c r="AT67" s="630"/>
    </row>
    <row r="68">
      <c r="A68" s="467"/>
      <c r="B68" s="504"/>
      <c r="C68" s="468"/>
      <c r="D68" s="616"/>
      <c r="E68" s="467"/>
      <c r="F68" s="504"/>
      <c r="G68" s="468"/>
      <c r="H68" s="616"/>
      <c r="I68" s="467"/>
      <c r="J68" s="504"/>
      <c r="K68" s="468"/>
      <c r="L68" s="616"/>
      <c r="M68" s="467"/>
      <c r="N68" s="504"/>
      <c r="O68" s="468"/>
      <c r="P68" s="616"/>
      <c r="Q68" s="635"/>
      <c r="R68" s="636"/>
      <c r="S68" s="637"/>
      <c r="T68" s="629"/>
      <c r="U68" s="635"/>
      <c r="V68" s="636"/>
      <c r="W68" s="637"/>
      <c r="X68" s="629"/>
      <c r="Y68" s="467"/>
      <c r="Z68" s="504"/>
      <c r="AA68" s="468"/>
      <c r="AB68" s="616"/>
      <c r="AC68" s="635"/>
      <c r="AD68" s="636"/>
      <c r="AE68" s="637"/>
      <c r="AF68" s="629"/>
      <c r="AG68" s="635"/>
      <c r="AH68" s="636"/>
      <c r="AI68" s="637"/>
      <c r="AJ68" s="629"/>
      <c r="AK68" s="635"/>
      <c r="AL68" s="636"/>
      <c r="AM68" s="637"/>
      <c r="AN68" s="629"/>
      <c r="AO68" s="467"/>
      <c r="AP68" s="504"/>
      <c r="AQ68" s="468"/>
      <c r="AR68" s="616"/>
      <c r="AS68" s="630"/>
      <c r="AT68" s="630"/>
    </row>
    <row r="69">
      <c r="A69" s="467"/>
      <c r="B69" s="504"/>
      <c r="C69" s="468"/>
      <c r="D69" s="616"/>
      <c r="E69" s="467"/>
      <c r="F69" s="504"/>
      <c r="G69" s="468"/>
      <c r="H69" s="616"/>
      <c r="I69" s="467"/>
      <c r="J69" s="504"/>
      <c r="K69" s="468"/>
      <c r="L69" s="616"/>
      <c r="M69" s="467"/>
      <c r="N69" s="504"/>
      <c r="O69" s="468"/>
      <c r="P69" s="616"/>
      <c r="Q69" s="635"/>
      <c r="R69" s="636"/>
      <c r="S69" s="637"/>
      <c r="T69" s="629"/>
      <c r="U69" s="635"/>
      <c r="V69" s="636"/>
      <c r="W69" s="637"/>
      <c r="X69" s="629"/>
      <c r="Y69" s="467"/>
      <c r="Z69" s="504"/>
      <c r="AA69" s="468"/>
      <c r="AB69" s="616"/>
      <c r="AC69" s="635"/>
      <c r="AD69" s="636"/>
      <c r="AE69" s="637"/>
      <c r="AF69" s="629"/>
      <c r="AG69" s="635"/>
      <c r="AH69" s="636"/>
      <c r="AI69" s="637"/>
      <c r="AJ69" s="629"/>
      <c r="AK69" s="635"/>
      <c r="AL69" s="636"/>
      <c r="AM69" s="637"/>
      <c r="AN69" s="629"/>
      <c r="AO69" s="467"/>
      <c r="AP69" s="504"/>
      <c r="AQ69" s="468"/>
      <c r="AR69" s="616"/>
      <c r="AS69" s="630"/>
      <c r="AT69" s="630"/>
    </row>
    <row r="70">
      <c r="A70" s="467"/>
      <c r="B70" s="504"/>
      <c r="C70" s="468"/>
      <c r="D70" s="616"/>
      <c r="E70" s="467"/>
      <c r="F70" s="504"/>
      <c r="G70" s="468"/>
      <c r="H70" s="616"/>
      <c r="I70" s="467"/>
      <c r="J70" s="504"/>
      <c r="K70" s="468"/>
      <c r="L70" s="616"/>
      <c r="M70" s="467"/>
      <c r="N70" s="504"/>
      <c r="O70" s="468"/>
      <c r="P70" s="616"/>
      <c r="Q70" s="635"/>
      <c r="R70" s="636"/>
      <c r="S70" s="637"/>
      <c r="T70" s="629"/>
      <c r="U70" s="635"/>
      <c r="V70" s="636"/>
      <c r="W70" s="637"/>
      <c r="X70" s="629"/>
      <c r="Y70" s="467"/>
      <c r="Z70" s="504"/>
      <c r="AA70" s="468"/>
      <c r="AB70" s="616"/>
      <c r="AC70" s="635"/>
      <c r="AD70" s="636"/>
      <c r="AE70" s="637"/>
      <c r="AF70" s="629"/>
      <c r="AG70" s="635"/>
      <c r="AH70" s="636"/>
      <c r="AI70" s="637"/>
      <c r="AJ70" s="629"/>
      <c r="AK70" s="635"/>
      <c r="AL70" s="636"/>
      <c r="AM70" s="637"/>
      <c r="AN70" s="629"/>
      <c r="AO70" s="467"/>
      <c r="AP70" s="504"/>
      <c r="AQ70" s="468"/>
      <c r="AR70" s="616"/>
      <c r="AS70" s="630"/>
      <c r="AT70" s="630"/>
    </row>
    <row r="71">
      <c r="A71" s="467"/>
      <c r="B71" s="504"/>
      <c r="C71" s="468"/>
      <c r="D71" s="616"/>
      <c r="E71" s="467"/>
      <c r="F71" s="504"/>
      <c r="G71" s="468"/>
      <c r="H71" s="616"/>
      <c r="I71" s="467"/>
      <c r="J71" s="504"/>
      <c r="K71" s="468"/>
      <c r="L71" s="616"/>
      <c r="M71" s="467"/>
      <c r="N71" s="504"/>
      <c r="O71" s="468"/>
      <c r="P71" s="616"/>
      <c r="Q71" s="635"/>
      <c r="R71" s="636"/>
      <c r="S71" s="637"/>
      <c r="T71" s="629"/>
      <c r="U71" s="635"/>
      <c r="V71" s="636"/>
      <c r="W71" s="637"/>
      <c r="X71" s="629"/>
      <c r="Y71" s="467"/>
      <c r="Z71" s="504"/>
      <c r="AA71" s="468"/>
      <c r="AB71" s="616"/>
      <c r="AC71" s="635"/>
      <c r="AD71" s="636"/>
      <c r="AE71" s="637"/>
      <c r="AF71" s="629"/>
      <c r="AG71" s="635"/>
      <c r="AH71" s="636"/>
      <c r="AI71" s="637"/>
      <c r="AJ71" s="629"/>
      <c r="AK71" s="635"/>
      <c r="AL71" s="636"/>
      <c r="AM71" s="637"/>
      <c r="AN71" s="629"/>
      <c r="AO71" s="467"/>
      <c r="AP71" s="504"/>
      <c r="AQ71" s="468"/>
      <c r="AR71" s="616"/>
      <c r="AS71" s="630"/>
      <c r="AT71" s="630"/>
    </row>
    <row r="72">
      <c r="A72" s="467"/>
      <c r="B72" s="504"/>
      <c r="C72" s="468"/>
      <c r="D72" s="616"/>
      <c r="E72" s="467"/>
      <c r="F72" s="504"/>
      <c r="G72" s="468"/>
      <c r="H72" s="616"/>
      <c r="I72" s="467"/>
      <c r="J72" s="504"/>
      <c r="K72" s="468"/>
      <c r="L72" s="616"/>
      <c r="M72" s="467"/>
      <c r="N72" s="504"/>
      <c r="O72" s="468"/>
      <c r="P72" s="616"/>
      <c r="Q72" s="635"/>
      <c r="R72" s="636"/>
      <c r="S72" s="637"/>
      <c r="T72" s="629"/>
      <c r="U72" s="635"/>
      <c r="V72" s="636"/>
      <c r="W72" s="637"/>
      <c r="X72" s="629"/>
      <c r="Y72" s="467"/>
      <c r="Z72" s="504"/>
      <c r="AA72" s="468"/>
      <c r="AB72" s="616"/>
      <c r="AC72" s="635"/>
      <c r="AD72" s="636"/>
      <c r="AE72" s="637"/>
      <c r="AF72" s="629"/>
      <c r="AG72" s="635"/>
      <c r="AH72" s="636"/>
      <c r="AI72" s="637"/>
      <c r="AJ72" s="629"/>
      <c r="AK72" s="635"/>
      <c r="AL72" s="636"/>
      <c r="AM72" s="637"/>
      <c r="AN72" s="629"/>
      <c r="AO72" s="467"/>
      <c r="AP72" s="504"/>
      <c r="AQ72" s="468"/>
      <c r="AR72" s="616"/>
      <c r="AS72" s="630"/>
      <c r="AT72" s="630"/>
    </row>
    <row r="73">
      <c r="A73" s="467"/>
      <c r="B73" s="504"/>
      <c r="C73" s="468"/>
      <c r="D73" s="616"/>
      <c r="E73" s="467"/>
      <c r="F73" s="504"/>
      <c r="G73" s="468"/>
      <c r="H73" s="616"/>
      <c r="I73" s="467"/>
      <c r="J73" s="504"/>
      <c r="K73" s="468"/>
      <c r="L73" s="616"/>
      <c r="M73" s="467"/>
      <c r="N73" s="504"/>
      <c r="O73" s="468"/>
      <c r="P73" s="616"/>
      <c r="Q73" s="635"/>
      <c r="R73" s="636"/>
      <c r="S73" s="637"/>
      <c r="T73" s="629"/>
      <c r="U73" s="635"/>
      <c r="V73" s="636"/>
      <c r="W73" s="637"/>
      <c r="X73" s="629"/>
      <c r="Y73" s="467"/>
      <c r="Z73" s="504"/>
      <c r="AA73" s="468"/>
      <c r="AB73" s="616"/>
      <c r="AC73" s="635"/>
      <c r="AD73" s="636"/>
      <c r="AE73" s="637"/>
      <c r="AF73" s="629"/>
      <c r="AG73" s="635"/>
      <c r="AH73" s="636"/>
      <c r="AI73" s="637"/>
      <c r="AJ73" s="629"/>
      <c r="AK73" s="635"/>
      <c r="AL73" s="636"/>
      <c r="AM73" s="637"/>
      <c r="AN73" s="629"/>
      <c r="AO73" s="467"/>
      <c r="AP73" s="504"/>
      <c r="AQ73" s="468"/>
      <c r="AR73" s="616"/>
      <c r="AS73" s="630"/>
      <c r="AT73" s="630"/>
    </row>
    <row r="74">
      <c r="A74" s="467"/>
      <c r="B74" s="504"/>
      <c r="C74" s="468"/>
      <c r="D74" s="616"/>
      <c r="E74" s="467"/>
      <c r="F74" s="504"/>
      <c r="G74" s="468"/>
      <c r="H74" s="616"/>
      <c r="I74" s="467"/>
      <c r="J74" s="504"/>
      <c r="K74" s="468"/>
      <c r="L74" s="616"/>
      <c r="M74" s="467"/>
      <c r="N74" s="504"/>
      <c r="O74" s="468"/>
      <c r="P74" s="616"/>
      <c r="Q74" s="635"/>
      <c r="R74" s="636"/>
      <c r="S74" s="637"/>
      <c r="T74" s="629"/>
      <c r="U74" s="635"/>
      <c r="V74" s="636"/>
      <c r="W74" s="637"/>
      <c r="X74" s="629"/>
      <c r="Y74" s="467"/>
      <c r="Z74" s="504"/>
      <c r="AA74" s="468"/>
      <c r="AB74" s="616"/>
      <c r="AC74" s="635"/>
      <c r="AD74" s="636"/>
      <c r="AE74" s="637"/>
      <c r="AF74" s="629"/>
      <c r="AG74" s="635"/>
      <c r="AH74" s="636"/>
      <c r="AI74" s="637"/>
      <c r="AJ74" s="629"/>
      <c r="AK74" s="635"/>
      <c r="AL74" s="636"/>
      <c r="AM74" s="637"/>
      <c r="AN74" s="629"/>
      <c r="AO74" s="467"/>
      <c r="AP74" s="504"/>
      <c r="AQ74" s="468"/>
      <c r="AR74" s="616"/>
      <c r="AS74" s="630"/>
      <c r="AT74" s="630"/>
    </row>
    <row r="75">
      <c r="A75" s="467"/>
      <c r="B75" s="504"/>
      <c r="C75" s="468"/>
      <c r="D75" s="616"/>
      <c r="E75" s="467"/>
      <c r="F75" s="504"/>
      <c r="G75" s="468"/>
      <c r="H75" s="616"/>
      <c r="I75" s="467"/>
      <c r="J75" s="504"/>
      <c r="K75" s="468"/>
      <c r="L75" s="616"/>
      <c r="M75" s="467"/>
      <c r="N75" s="504"/>
      <c r="O75" s="468"/>
      <c r="P75" s="616"/>
      <c r="Q75" s="635"/>
      <c r="R75" s="636"/>
      <c r="S75" s="637"/>
      <c r="T75" s="629"/>
      <c r="U75" s="635"/>
      <c r="V75" s="636"/>
      <c r="W75" s="637"/>
      <c r="X75" s="629"/>
      <c r="Y75" s="467"/>
      <c r="Z75" s="504"/>
      <c r="AA75" s="468"/>
      <c r="AB75" s="616"/>
      <c r="AC75" s="635"/>
      <c r="AD75" s="636"/>
      <c r="AE75" s="637"/>
      <c r="AF75" s="629"/>
      <c r="AG75" s="635"/>
      <c r="AH75" s="636"/>
      <c r="AI75" s="637"/>
      <c r="AJ75" s="629"/>
      <c r="AK75" s="635"/>
      <c r="AL75" s="636"/>
      <c r="AM75" s="637"/>
      <c r="AN75" s="629"/>
      <c r="AO75" s="467"/>
      <c r="AP75" s="504"/>
      <c r="AQ75" s="468"/>
      <c r="AR75" s="616"/>
      <c r="AS75" s="630"/>
      <c r="AT75" s="630"/>
    </row>
    <row r="76">
      <c r="A76" s="467"/>
      <c r="B76" s="504"/>
      <c r="C76" s="468"/>
      <c r="D76" s="616"/>
      <c r="E76" s="467"/>
      <c r="F76" s="504"/>
      <c r="G76" s="468"/>
      <c r="H76" s="616"/>
      <c r="I76" s="467"/>
      <c r="J76" s="504"/>
      <c r="K76" s="468"/>
      <c r="L76" s="616"/>
      <c r="M76" s="467"/>
      <c r="N76" s="504"/>
      <c r="O76" s="468"/>
      <c r="P76" s="616"/>
      <c r="Q76" s="635"/>
      <c r="R76" s="636"/>
      <c r="S76" s="637"/>
      <c r="T76" s="629"/>
      <c r="U76" s="635"/>
      <c r="V76" s="636"/>
      <c r="W76" s="637"/>
      <c r="X76" s="629"/>
      <c r="Y76" s="467"/>
      <c r="Z76" s="504"/>
      <c r="AA76" s="468"/>
      <c r="AB76" s="616"/>
      <c r="AC76" s="635"/>
      <c r="AD76" s="636"/>
      <c r="AE76" s="637"/>
      <c r="AF76" s="629"/>
      <c r="AG76" s="635"/>
      <c r="AH76" s="636"/>
      <c r="AI76" s="637"/>
      <c r="AJ76" s="629"/>
      <c r="AK76" s="635"/>
      <c r="AL76" s="636"/>
      <c r="AM76" s="637"/>
      <c r="AN76" s="629"/>
      <c r="AO76" s="467"/>
      <c r="AP76" s="504"/>
      <c r="AQ76" s="468"/>
      <c r="AR76" s="616"/>
      <c r="AS76" s="630"/>
      <c r="AT76" s="630"/>
    </row>
    <row r="77">
      <c r="A77" s="467"/>
      <c r="B77" s="504"/>
      <c r="C77" s="468"/>
      <c r="D77" s="616"/>
      <c r="E77" s="467"/>
      <c r="F77" s="504"/>
      <c r="G77" s="468"/>
      <c r="H77" s="616"/>
      <c r="I77" s="467"/>
      <c r="J77" s="504"/>
      <c r="K77" s="468"/>
      <c r="L77" s="616"/>
      <c r="M77" s="467"/>
      <c r="N77" s="504"/>
      <c r="O77" s="468"/>
      <c r="P77" s="616"/>
      <c r="Q77" s="635"/>
      <c r="R77" s="636"/>
      <c r="S77" s="637"/>
      <c r="T77" s="629"/>
      <c r="U77" s="635"/>
      <c r="V77" s="636"/>
      <c r="W77" s="637"/>
      <c r="X77" s="629"/>
      <c r="Y77" s="467"/>
      <c r="Z77" s="504"/>
      <c r="AA77" s="468"/>
      <c r="AB77" s="616"/>
      <c r="AC77" s="635"/>
      <c r="AD77" s="636"/>
      <c r="AE77" s="637"/>
      <c r="AF77" s="629"/>
      <c r="AG77" s="635"/>
      <c r="AH77" s="636"/>
      <c r="AI77" s="637"/>
      <c r="AJ77" s="629"/>
      <c r="AK77" s="635"/>
      <c r="AL77" s="636"/>
      <c r="AM77" s="637"/>
      <c r="AN77" s="629"/>
      <c r="AO77" s="467"/>
      <c r="AP77" s="504"/>
      <c r="AQ77" s="468"/>
      <c r="AR77" s="616"/>
      <c r="AS77" s="630"/>
      <c r="AT77" s="630"/>
    </row>
    <row r="78">
      <c r="A78" s="467"/>
      <c r="B78" s="504"/>
      <c r="C78" s="468"/>
      <c r="D78" s="616"/>
      <c r="E78" s="467"/>
      <c r="F78" s="504"/>
      <c r="G78" s="468"/>
      <c r="H78" s="616"/>
      <c r="I78" s="467"/>
      <c r="J78" s="504"/>
      <c r="K78" s="468"/>
      <c r="L78" s="616"/>
      <c r="M78" s="467"/>
      <c r="N78" s="504"/>
      <c r="O78" s="468"/>
      <c r="P78" s="616"/>
      <c r="Q78" s="635"/>
      <c r="R78" s="636"/>
      <c r="S78" s="637"/>
      <c r="T78" s="629"/>
      <c r="U78" s="635"/>
      <c r="V78" s="636"/>
      <c r="W78" s="637"/>
      <c r="X78" s="629"/>
      <c r="Y78" s="467"/>
      <c r="Z78" s="504"/>
      <c r="AA78" s="468"/>
      <c r="AB78" s="616"/>
      <c r="AC78" s="635"/>
      <c r="AD78" s="636"/>
      <c r="AE78" s="637"/>
      <c r="AF78" s="629"/>
      <c r="AG78" s="635"/>
      <c r="AH78" s="636"/>
      <c r="AI78" s="637"/>
      <c r="AJ78" s="629"/>
      <c r="AK78" s="635"/>
      <c r="AL78" s="636"/>
      <c r="AM78" s="637"/>
      <c r="AN78" s="629"/>
      <c r="AO78" s="467"/>
      <c r="AP78" s="504"/>
      <c r="AQ78" s="468"/>
      <c r="AR78" s="616"/>
      <c r="AS78" s="630"/>
      <c r="AT78" s="630"/>
    </row>
    <row r="79">
      <c r="A79" s="467"/>
      <c r="B79" s="504"/>
      <c r="C79" s="468"/>
      <c r="D79" s="616"/>
      <c r="E79" s="467"/>
      <c r="F79" s="504"/>
      <c r="G79" s="468"/>
      <c r="H79" s="616"/>
      <c r="I79" s="467"/>
      <c r="J79" s="504"/>
      <c r="K79" s="468"/>
      <c r="L79" s="616"/>
      <c r="M79" s="467"/>
      <c r="N79" s="504"/>
      <c r="O79" s="468"/>
      <c r="P79" s="616"/>
      <c r="Q79" s="635"/>
      <c r="R79" s="636"/>
      <c r="S79" s="637"/>
      <c r="T79" s="629"/>
      <c r="U79" s="635"/>
      <c r="V79" s="636"/>
      <c r="W79" s="637"/>
      <c r="X79" s="629"/>
      <c r="Y79" s="467"/>
      <c r="Z79" s="504"/>
      <c r="AA79" s="468"/>
      <c r="AB79" s="616"/>
      <c r="AC79" s="635"/>
      <c r="AD79" s="636"/>
      <c r="AE79" s="637"/>
      <c r="AF79" s="629"/>
      <c r="AG79" s="635"/>
      <c r="AH79" s="636"/>
      <c r="AI79" s="637"/>
      <c r="AJ79" s="629"/>
      <c r="AK79" s="635"/>
      <c r="AL79" s="636"/>
      <c r="AM79" s="637"/>
      <c r="AN79" s="629"/>
      <c r="AO79" s="467"/>
      <c r="AP79" s="504"/>
      <c r="AQ79" s="468"/>
      <c r="AR79" s="616"/>
      <c r="AS79" s="630"/>
      <c r="AT79" s="630"/>
    </row>
    <row r="80">
      <c r="A80" s="467"/>
      <c r="B80" s="504"/>
      <c r="C80" s="468"/>
      <c r="D80" s="616"/>
      <c r="E80" s="467"/>
      <c r="F80" s="504"/>
      <c r="G80" s="468"/>
      <c r="H80" s="616"/>
      <c r="I80" s="467"/>
      <c r="J80" s="504"/>
      <c r="K80" s="468"/>
      <c r="L80" s="616"/>
      <c r="M80" s="467"/>
      <c r="N80" s="504"/>
      <c r="O80" s="468"/>
      <c r="P80" s="616"/>
      <c r="Q80" s="635"/>
      <c r="R80" s="636"/>
      <c r="S80" s="637"/>
      <c r="T80" s="629"/>
      <c r="U80" s="635"/>
      <c r="V80" s="636"/>
      <c r="W80" s="637"/>
      <c r="X80" s="629"/>
      <c r="Y80" s="467"/>
      <c r="Z80" s="504"/>
      <c r="AA80" s="468"/>
      <c r="AB80" s="616"/>
      <c r="AC80" s="635"/>
      <c r="AD80" s="636"/>
      <c r="AE80" s="637"/>
      <c r="AF80" s="629"/>
      <c r="AG80" s="635"/>
      <c r="AH80" s="636"/>
      <c r="AI80" s="637"/>
      <c r="AJ80" s="629"/>
      <c r="AK80" s="635"/>
      <c r="AL80" s="636"/>
      <c r="AM80" s="637"/>
      <c r="AN80" s="629"/>
      <c r="AO80" s="467"/>
      <c r="AP80" s="504"/>
      <c r="AQ80" s="468"/>
      <c r="AR80" s="616"/>
      <c r="AS80" s="630"/>
      <c r="AT80" s="630"/>
    </row>
    <row r="81">
      <c r="A81" s="467"/>
      <c r="B81" s="504"/>
      <c r="C81" s="468"/>
      <c r="D81" s="616"/>
      <c r="E81" s="467"/>
      <c r="F81" s="504"/>
      <c r="G81" s="468"/>
      <c r="H81" s="616"/>
      <c r="I81" s="467"/>
      <c r="J81" s="504"/>
      <c r="K81" s="468"/>
      <c r="L81" s="616"/>
      <c r="M81" s="467"/>
      <c r="N81" s="504"/>
      <c r="O81" s="468"/>
      <c r="P81" s="616"/>
      <c r="Q81" s="635"/>
      <c r="R81" s="636"/>
      <c r="S81" s="637"/>
      <c r="T81" s="629"/>
      <c r="U81" s="635"/>
      <c r="V81" s="636"/>
      <c r="W81" s="637"/>
      <c r="X81" s="629"/>
      <c r="Y81" s="467"/>
      <c r="Z81" s="504"/>
      <c r="AA81" s="468"/>
      <c r="AB81" s="616"/>
      <c r="AC81" s="635"/>
      <c r="AD81" s="636"/>
      <c r="AE81" s="637"/>
      <c r="AF81" s="629"/>
      <c r="AG81" s="635"/>
      <c r="AH81" s="636"/>
      <c r="AI81" s="637"/>
      <c r="AJ81" s="629"/>
      <c r="AK81" s="635"/>
      <c r="AL81" s="636"/>
      <c r="AM81" s="637"/>
      <c r="AN81" s="629"/>
      <c r="AO81" s="467"/>
      <c r="AP81" s="504"/>
      <c r="AQ81" s="468"/>
      <c r="AR81" s="616"/>
      <c r="AS81" s="630"/>
      <c r="AT81" s="630"/>
    </row>
    <row r="82">
      <c r="A82" s="467"/>
      <c r="B82" s="504"/>
      <c r="C82" s="468"/>
      <c r="D82" s="616"/>
      <c r="E82" s="467"/>
      <c r="F82" s="504"/>
      <c r="G82" s="468"/>
      <c r="H82" s="616"/>
      <c r="I82" s="467"/>
      <c r="J82" s="504"/>
      <c r="K82" s="468"/>
      <c r="L82" s="616"/>
      <c r="M82" s="467"/>
      <c r="N82" s="504"/>
      <c r="O82" s="468"/>
      <c r="P82" s="616"/>
      <c r="Q82" s="635"/>
      <c r="R82" s="636"/>
      <c r="S82" s="637"/>
      <c r="T82" s="629"/>
      <c r="U82" s="635"/>
      <c r="V82" s="636"/>
      <c r="W82" s="637"/>
      <c r="X82" s="629"/>
      <c r="Y82" s="467"/>
      <c r="Z82" s="504"/>
      <c r="AA82" s="468"/>
      <c r="AB82" s="616"/>
      <c r="AC82" s="635"/>
      <c r="AD82" s="636"/>
      <c r="AE82" s="637"/>
      <c r="AF82" s="629"/>
      <c r="AG82" s="635"/>
      <c r="AH82" s="636"/>
      <c r="AI82" s="637"/>
      <c r="AJ82" s="629"/>
      <c r="AK82" s="635"/>
      <c r="AL82" s="636"/>
      <c r="AM82" s="637"/>
      <c r="AN82" s="629"/>
      <c r="AO82" s="467"/>
      <c r="AP82" s="504"/>
      <c r="AQ82" s="468"/>
      <c r="AR82" s="616"/>
      <c r="AS82" s="630"/>
      <c r="AT82" s="630"/>
    </row>
    <row r="83">
      <c r="A83" s="467"/>
      <c r="B83" s="504"/>
      <c r="C83" s="468"/>
      <c r="D83" s="616"/>
      <c r="E83" s="467"/>
      <c r="F83" s="504"/>
      <c r="G83" s="468"/>
      <c r="H83" s="616"/>
      <c r="I83" s="467"/>
      <c r="J83" s="504"/>
      <c r="K83" s="468"/>
      <c r="L83" s="616"/>
      <c r="M83" s="467"/>
      <c r="N83" s="504"/>
      <c r="O83" s="468"/>
      <c r="P83" s="616"/>
      <c r="Q83" s="635"/>
      <c r="R83" s="636"/>
      <c r="S83" s="637"/>
      <c r="T83" s="629"/>
      <c r="U83" s="635"/>
      <c r="V83" s="636"/>
      <c r="W83" s="637"/>
      <c r="X83" s="629"/>
      <c r="Y83" s="467"/>
      <c r="Z83" s="504"/>
      <c r="AA83" s="468"/>
      <c r="AB83" s="616"/>
      <c r="AC83" s="635"/>
      <c r="AD83" s="636"/>
      <c r="AE83" s="637"/>
      <c r="AF83" s="629"/>
      <c r="AG83" s="635"/>
      <c r="AH83" s="636"/>
      <c r="AI83" s="637"/>
      <c r="AJ83" s="629"/>
      <c r="AK83" s="635"/>
      <c r="AL83" s="636"/>
      <c r="AM83" s="637"/>
      <c r="AN83" s="629"/>
      <c r="AO83" s="467"/>
      <c r="AP83" s="504"/>
      <c r="AQ83" s="468"/>
      <c r="AR83" s="616"/>
      <c r="AS83" s="630"/>
      <c r="AT83" s="630"/>
    </row>
    <row r="84">
      <c r="A84" s="467"/>
      <c r="B84" s="504"/>
      <c r="C84" s="468"/>
      <c r="D84" s="616"/>
      <c r="E84" s="467"/>
      <c r="F84" s="504"/>
      <c r="G84" s="468"/>
      <c r="H84" s="616"/>
      <c r="I84" s="467"/>
      <c r="J84" s="504"/>
      <c r="K84" s="468"/>
      <c r="L84" s="616"/>
      <c r="M84" s="467"/>
      <c r="N84" s="504"/>
      <c r="O84" s="468"/>
      <c r="P84" s="616"/>
      <c r="Q84" s="635"/>
      <c r="R84" s="636"/>
      <c r="S84" s="637"/>
      <c r="T84" s="629"/>
      <c r="U84" s="635"/>
      <c r="V84" s="636"/>
      <c r="W84" s="637"/>
      <c r="X84" s="629"/>
      <c r="Y84" s="467"/>
      <c r="Z84" s="504"/>
      <c r="AA84" s="468"/>
      <c r="AB84" s="616"/>
      <c r="AC84" s="635"/>
      <c r="AD84" s="636"/>
      <c r="AE84" s="637"/>
      <c r="AF84" s="629"/>
      <c r="AG84" s="635"/>
      <c r="AH84" s="636"/>
      <c r="AI84" s="637"/>
      <c r="AJ84" s="629"/>
      <c r="AK84" s="635"/>
      <c r="AL84" s="636"/>
      <c r="AM84" s="637"/>
      <c r="AN84" s="629"/>
      <c r="AO84" s="467"/>
      <c r="AP84" s="504"/>
      <c r="AQ84" s="468"/>
      <c r="AR84" s="616"/>
      <c r="AS84" s="630"/>
      <c r="AT84" s="630"/>
    </row>
    <row r="85">
      <c r="A85" s="467"/>
      <c r="B85" s="504"/>
      <c r="C85" s="468"/>
      <c r="D85" s="616"/>
      <c r="E85" s="467"/>
      <c r="F85" s="504"/>
      <c r="G85" s="468"/>
      <c r="H85" s="616"/>
      <c r="I85" s="467"/>
      <c r="J85" s="504"/>
      <c r="K85" s="468"/>
      <c r="L85" s="616"/>
      <c r="M85" s="467"/>
      <c r="N85" s="504"/>
      <c r="O85" s="468"/>
      <c r="P85" s="616"/>
      <c r="Q85" s="635"/>
      <c r="R85" s="636"/>
      <c r="S85" s="637"/>
      <c r="T85" s="629"/>
      <c r="U85" s="635"/>
      <c r="V85" s="636"/>
      <c r="W85" s="637"/>
      <c r="X85" s="629"/>
      <c r="Y85" s="467"/>
      <c r="Z85" s="504"/>
      <c r="AA85" s="468"/>
      <c r="AB85" s="616"/>
      <c r="AC85" s="635"/>
      <c r="AD85" s="636"/>
      <c r="AE85" s="637"/>
      <c r="AF85" s="629"/>
      <c r="AG85" s="635"/>
      <c r="AH85" s="636"/>
      <c r="AI85" s="637"/>
      <c r="AJ85" s="629"/>
      <c r="AK85" s="635"/>
      <c r="AL85" s="636"/>
      <c r="AM85" s="637"/>
      <c r="AN85" s="629"/>
      <c r="AO85" s="467"/>
      <c r="AP85" s="504"/>
      <c r="AQ85" s="468"/>
      <c r="AR85" s="616"/>
      <c r="AS85" s="630"/>
      <c r="AT85" s="630"/>
    </row>
    <row r="86">
      <c r="A86" s="467"/>
      <c r="B86" s="504"/>
      <c r="C86" s="468"/>
      <c r="D86" s="616"/>
      <c r="E86" s="467"/>
      <c r="F86" s="504"/>
      <c r="G86" s="468"/>
      <c r="H86" s="616"/>
      <c r="I86" s="467"/>
      <c r="J86" s="504"/>
      <c r="K86" s="468"/>
      <c r="L86" s="616"/>
      <c r="M86" s="467"/>
      <c r="N86" s="504"/>
      <c r="O86" s="468"/>
      <c r="P86" s="616"/>
      <c r="Q86" s="635"/>
      <c r="R86" s="636"/>
      <c r="S86" s="637"/>
      <c r="T86" s="629"/>
      <c r="U86" s="635"/>
      <c r="V86" s="636"/>
      <c r="W86" s="637"/>
      <c r="X86" s="629"/>
      <c r="Y86" s="467"/>
      <c r="Z86" s="504"/>
      <c r="AA86" s="468"/>
      <c r="AB86" s="616"/>
      <c r="AC86" s="635"/>
      <c r="AD86" s="636"/>
      <c r="AE86" s="637"/>
      <c r="AF86" s="629"/>
      <c r="AG86" s="635"/>
      <c r="AH86" s="636"/>
      <c r="AI86" s="637"/>
      <c r="AJ86" s="629"/>
      <c r="AK86" s="635"/>
      <c r="AL86" s="636"/>
      <c r="AM86" s="637"/>
      <c r="AN86" s="629"/>
      <c r="AO86" s="467"/>
      <c r="AP86" s="504"/>
      <c r="AQ86" s="468"/>
      <c r="AR86" s="616"/>
      <c r="AS86" s="630"/>
      <c r="AT86" s="630"/>
    </row>
    <row r="87">
      <c r="A87" s="467"/>
      <c r="B87" s="504"/>
      <c r="C87" s="468"/>
      <c r="D87" s="616"/>
      <c r="E87" s="467"/>
      <c r="F87" s="504"/>
      <c r="G87" s="468"/>
      <c r="H87" s="616"/>
      <c r="I87" s="467"/>
      <c r="J87" s="504"/>
      <c r="K87" s="468"/>
      <c r="L87" s="616"/>
      <c r="M87" s="467"/>
      <c r="N87" s="504"/>
      <c r="O87" s="468"/>
      <c r="P87" s="616"/>
      <c r="Q87" s="635"/>
      <c r="R87" s="636"/>
      <c r="S87" s="637"/>
      <c r="T87" s="629"/>
      <c r="U87" s="635"/>
      <c r="V87" s="636"/>
      <c r="W87" s="637"/>
      <c r="X87" s="629"/>
      <c r="Y87" s="467"/>
      <c r="Z87" s="504"/>
      <c r="AA87" s="468"/>
      <c r="AB87" s="616"/>
      <c r="AC87" s="635"/>
      <c r="AD87" s="636"/>
      <c r="AE87" s="637"/>
      <c r="AF87" s="629"/>
      <c r="AG87" s="635"/>
      <c r="AH87" s="636"/>
      <c r="AI87" s="637"/>
      <c r="AJ87" s="629"/>
      <c r="AK87" s="635"/>
      <c r="AL87" s="636"/>
      <c r="AM87" s="637"/>
      <c r="AN87" s="629"/>
      <c r="AO87" s="467"/>
      <c r="AP87" s="504"/>
      <c r="AQ87" s="468"/>
      <c r="AR87" s="616"/>
      <c r="AS87" s="630"/>
      <c r="AT87" s="630"/>
    </row>
    <row r="88">
      <c r="A88" s="467"/>
      <c r="B88" s="504"/>
      <c r="C88" s="468"/>
      <c r="D88" s="616"/>
      <c r="E88" s="467"/>
      <c r="F88" s="504"/>
      <c r="G88" s="468"/>
      <c r="H88" s="616"/>
      <c r="I88" s="467"/>
      <c r="J88" s="504"/>
      <c r="K88" s="468"/>
      <c r="L88" s="616"/>
      <c r="M88" s="467"/>
      <c r="N88" s="504"/>
      <c r="O88" s="468"/>
      <c r="P88" s="616"/>
      <c r="Q88" s="635"/>
      <c r="R88" s="636"/>
      <c r="S88" s="637"/>
      <c r="T88" s="629"/>
      <c r="U88" s="635"/>
      <c r="V88" s="636"/>
      <c r="W88" s="637"/>
      <c r="X88" s="629"/>
      <c r="Y88" s="467"/>
      <c r="Z88" s="504"/>
      <c r="AA88" s="468"/>
      <c r="AB88" s="616"/>
      <c r="AC88" s="635"/>
      <c r="AD88" s="636"/>
      <c r="AE88" s="637"/>
      <c r="AF88" s="629"/>
      <c r="AG88" s="635"/>
      <c r="AH88" s="636"/>
      <c r="AI88" s="637"/>
      <c r="AJ88" s="629"/>
      <c r="AK88" s="635"/>
      <c r="AL88" s="636"/>
      <c r="AM88" s="637"/>
      <c r="AN88" s="629"/>
      <c r="AO88" s="467"/>
      <c r="AP88" s="504"/>
      <c r="AQ88" s="468"/>
      <c r="AR88" s="616"/>
      <c r="AS88" s="630"/>
      <c r="AT88" s="630"/>
    </row>
    <row r="89">
      <c r="A89" s="467"/>
      <c r="B89" s="504"/>
      <c r="C89" s="468"/>
      <c r="D89" s="616"/>
      <c r="E89" s="467"/>
      <c r="F89" s="504"/>
      <c r="G89" s="468"/>
      <c r="H89" s="616"/>
      <c r="I89" s="467"/>
      <c r="J89" s="504"/>
      <c r="K89" s="468"/>
      <c r="L89" s="616"/>
      <c r="M89" s="467"/>
      <c r="N89" s="504"/>
      <c r="O89" s="468"/>
      <c r="P89" s="616"/>
      <c r="Q89" s="635"/>
      <c r="R89" s="636"/>
      <c r="S89" s="637"/>
      <c r="T89" s="629"/>
      <c r="U89" s="635"/>
      <c r="V89" s="636"/>
      <c r="W89" s="637"/>
      <c r="X89" s="629"/>
      <c r="Y89" s="467"/>
      <c r="Z89" s="504"/>
      <c r="AA89" s="468"/>
      <c r="AB89" s="616"/>
      <c r="AC89" s="635"/>
      <c r="AD89" s="636"/>
      <c r="AE89" s="637"/>
      <c r="AF89" s="629"/>
      <c r="AG89" s="635"/>
      <c r="AH89" s="636"/>
      <c r="AI89" s="637"/>
      <c r="AJ89" s="629"/>
      <c r="AK89" s="635"/>
      <c r="AL89" s="636"/>
      <c r="AM89" s="637"/>
      <c r="AN89" s="629"/>
      <c r="AO89" s="467"/>
      <c r="AP89" s="504"/>
      <c r="AQ89" s="468"/>
      <c r="AR89" s="616"/>
      <c r="AS89" s="630"/>
      <c r="AT89" s="630"/>
    </row>
    <row r="90">
      <c r="A90" s="467"/>
      <c r="B90" s="504"/>
      <c r="C90" s="468"/>
      <c r="D90" s="616"/>
      <c r="E90" s="467"/>
      <c r="F90" s="504"/>
      <c r="G90" s="468"/>
      <c r="H90" s="616"/>
      <c r="I90" s="467"/>
      <c r="J90" s="504"/>
      <c r="K90" s="468"/>
      <c r="L90" s="616"/>
      <c r="M90" s="467"/>
      <c r="N90" s="504"/>
      <c r="O90" s="468"/>
      <c r="P90" s="616"/>
      <c r="Q90" s="635"/>
      <c r="R90" s="636"/>
      <c r="S90" s="637"/>
      <c r="T90" s="629"/>
      <c r="U90" s="635"/>
      <c r="V90" s="636"/>
      <c r="W90" s="637"/>
      <c r="X90" s="629"/>
      <c r="Y90" s="467"/>
      <c r="Z90" s="504"/>
      <c r="AA90" s="468"/>
      <c r="AB90" s="616"/>
      <c r="AC90" s="635"/>
      <c r="AD90" s="636"/>
      <c r="AE90" s="637"/>
      <c r="AF90" s="629"/>
      <c r="AG90" s="635"/>
      <c r="AH90" s="636"/>
      <c r="AI90" s="637"/>
      <c r="AJ90" s="629"/>
      <c r="AK90" s="635"/>
      <c r="AL90" s="636"/>
      <c r="AM90" s="637"/>
      <c r="AN90" s="629"/>
      <c r="AO90" s="467"/>
      <c r="AP90" s="504"/>
      <c r="AQ90" s="468"/>
      <c r="AR90" s="616"/>
      <c r="AS90" s="630"/>
      <c r="AT90" s="630"/>
    </row>
    <row r="91">
      <c r="A91" s="467"/>
      <c r="B91" s="504"/>
      <c r="C91" s="468"/>
      <c r="D91" s="616"/>
      <c r="E91" s="467"/>
      <c r="F91" s="504"/>
      <c r="G91" s="468"/>
      <c r="H91" s="616"/>
      <c r="I91" s="467"/>
      <c r="J91" s="504"/>
      <c r="K91" s="468"/>
      <c r="L91" s="616"/>
      <c r="M91" s="467"/>
      <c r="N91" s="504"/>
      <c r="O91" s="468"/>
      <c r="P91" s="616"/>
      <c r="Q91" s="635"/>
      <c r="R91" s="636"/>
      <c r="S91" s="637"/>
      <c r="T91" s="629"/>
      <c r="U91" s="635"/>
      <c r="V91" s="636"/>
      <c r="W91" s="637"/>
      <c r="X91" s="629"/>
      <c r="Y91" s="467"/>
      <c r="Z91" s="504"/>
      <c r="AA91" s="468"/>
      <c r="AB91" s="616"/>
      <c r="AC91" s="635"/>
      <c r="AD91" s="636"/>
      <c r="AE91" s="637"/>
      <c r="AF91" s="629"/>
      <c r="AG91" s="635"/>
      <c r="AH91" s="636"/>
      <c r="AI91" s="637"/>
      <c r="AJ91" s="629"/>
      <c r="AK91" s="635"/>
      <c r="AL91" s="636"/>
      <c r="AM91" s="637"/>
      <c r="AN91" s="629"/>
      <c r="AO91" s="467"/>
      <c r="AP91" s="504"/>
      <c r="AQ91" s="468"/>
      <c r="AR91" s="616"/>
      <c r="AS91" s="630"/>
      <c r="AT91" s="630"/>
    </row>
    <row r="92">
      <c r="A92" s="467"/>
      <c r="B92" s="504"/>
      <c r="C92" s="468"/>
      <c r="D92" s="616"/>
      <c r="E92" s="467"/>
      <c r="F92" s="504"/>
      <c r="G92" s="468"/>
      <c r="H92" s="616"/>
      <c r="I92" s="467"/>
      <c r="J92" s="504"/>
      <c r="K92" s="468"/>
      <c r="L92" s="616"/>
      <c r="M92" s="467"/>
      <c r="N92" s="504"/>
      <c r="O92" s="468"/>
      <c r="P92" s="616"/>
      <c r="Q92" s="635"/>
      <c r="R92" s="636"/>
      <c r="S92" s="637"/>
      <c r="T92" s="629"/>
      <c r="U92" s="635"/>
      <c r="V92" s="636"/>
      <c r="W92" s="637"/>
      <c r="X92" s="629"/>
      <c r="Y92" s="467"/>
      <c r="Z92" s="504"/>
      <c r="AA92" s="468"/>
      <c r="AB92" s="616"/>
      <c r="AC92" s="635"/>
      <c r="AD92" s="636"/>
      <c r="AE92" s="637"/>
      <c r="AF92" s="629"/>
      <c r="AG92" s="635"/>
      <c r="AH92" s="636"/>
      <c r="AI92" s="637"/>
      <c r="AJ92" s="629"/>
      <c r="AK92" s="635"/>
      <c r="AL92" s="636"/>
      <c r="AM92" s="637"/>
      <c r="AN92" s="629"/>
      <c r="AO92" s="467"/>
      <c r="AP92" s="504"/>
      <c r="AQ92" s="468"/>
      <c r="AR92" s="616"/>
      <c r="AS92" s="630"/>
      <c r="AT92" s="630"/>
    </row>
    <row r="93">
      <c r="A93" s="467"/>
      <c r="B93" s="504"/>
      <c r="C93" s="468"/>
      <c r="D93" s="616"/>
      <c r="E93" s="467"/>
      <c r="F93" s="504"/>
      <c r="G93" s="468"/>
      <c r="H93" s="616"/>
      <c r="I93" s="467"/>
      <c r="J93" s="504"/>
      <c r="K93" s="468"/>
      <c r="L93" s="616"/>
      <c r="M93" s="467"/>
      <c r="N93" s="504"/>
      <c r="O93" s="468"/>
      <c r="P93" s="616"/>
      <c r="Q93" s="635"/>
      <c r="R93" s="636"/>
      <c r="S93" s="637"/>
      <c r="T93" s="629"/>
      <c r="U93" s="635"/>
      <c r="V93" s="636"/>
      <c r="W93" s="637"/>
      <c r="X93" s="629"/>
      <c r="Y93" s="467"/>
      <c r="Z93" s="504"/>
      <c r="AA93" s="468"/>
      <c r="AB93" s="616"/>
      <c r="AC93" s="635"/>
      <c r="AD93" s="636"/>
      <c r="AE93" s="637"/>
      <c r="AF93" s="629"/>
      <c r="AG93" s="635"/>
      <c r="AH93" s="636"/>
      <c r="AI93" s="637"/>
      <c r="AJ93" s="629"/>
      <c r="AK93" s="635"/>
      <c r="AL93" s="636"/>
      <c r="AM93" s="637"/>
      <c r="AN93" s="629"/>
      <c r="AO93" s="467"/>
      <c r="AP93" s="504"/>
      <c r="AQ93" s="468"/>
      <c r="AR93" s="616"/>
      <c r="AS93" s="630"/>
      <c r="AT93" s="630"/>
    </row>
    <row r="94">
      <c r="A94" s="467"/>
      <c r="B94" s="504"/>
      <c r="C94" s="468"/>
      <c r="D94" s="616"/>
      <c r="E94" s="467"/>
      <c r="F94" s="504"/>
      <c r="G94" s="468"/>
      <c r="H94" s="616"/>
      <c r="I94" s="467"/>
      <c r="J94" s="504"/>
      <c r="K94" s="468"/>
      <c r="L94" s="616"/>
      <c r="M94" s="467"/>
      <c r="N94" s="504"/>
      <c r="O94" s="468"/>
      <c r="P94" s="616"/>
      <c r="Q94" s="635"/>
      <c r="R94" s="636"/>
      <c r="S94" s="637"/>
      <c r="T94" s="629"/>
      <c r="U94" s="635"/>
      <c r="V94" s="636"/>
      <c r="W94" s="637"/>
      <c r="X94" s="629"/>
      <c r="Y94" s="467"/>
      <c r="Z94" s="504"/>
      <c r="AA94" s="468"/>
      <c r="AB94" s="616"/>
      <c r="AC94" s="635"/>
      <c r="AD94" s="636"/>
      <c r="AE94" s="637"/>
      <c r="AF94" s="629"/>
      <c r="AG94" s="635"/>
      <c r="AH94" s="636"/>
      <c r="AI94" s="637"/>
      <c r="AJ94" s="629"/>
      <c r="AK94" s="635"/>
      <c r="AL94" s="636"/>
      <c r="AM94" s="637"/>
      <c r="AN94" s="629"/>
      <c r="AO94" s="467"/>
      <c r="AP94" s="504"/>
      <c r="AQ94" s="468"/>
      <c r="AR94" s="616"/>
      <c r="AS94" s="630"/>
      <c r="AT94" s="630"/>
    </row>
    <row r="95">
      <c r="A95" s="467"/>
      <c r="B95" s="504"/>
      <c r="C95" s="468"/>
      <c r="D95" s="616"/>
      <c r="E95" s="467"/>
      <c r="F95" s="504"/>
      <c r="G95" s="468"/>
      <c r="H95" s="616"/>
      <c r="I95" s="467"/>
      <c r="J95" s="504"/>
      <c r="K95" s="468"/>
      <c r="L95" s="616"/>
      <c r="M95" s="467"/>
      <c r="N95" s="504"/>
      <c r="O95" s="468"/>
      <c r="P95" s="616"/>
      <c r="Q95" s="635"/>
      <c r="R95" s="636"/>
      <c r="S95" s="637"/>
      <c r="T95" s="629"/>
      <c r="U95" s="635"/>
      <c r="V95" s="636"/>
      <c r="W95" s="637"/>
      <c r="X95" s="629"/>
      <c r="Y95" s="467"/>
      <c r="Z95" s="504"/>
      <c r="AA95" s="468"/>
      <c r="AB95" s="616"/>
      <c r="AC95" s="635"/>
      <c r="AD95" s="636"/>
      <c r="AE95" s="637"/>
      <c r="AF95" s="629"/>
      <c r="AG95" s="635"/>
      <c r="AH95" s="636"/>
      <c r="AI95" s="637"/>
      <c r="AJ95" s="629"/>
      <c r="AK95" s="635"/>
      <c r="AL95" s="636"/>
      <c r="AM95" s="637"/>
      <c r="AN95" s="629"/>
      <c r="AO95" s="467"/>
      <c r="AP95" s="504"/>
      <c r="AQ95" s="468"/>
      <c r="AR95" s="616"/>
      <c r="AS95" s="630"/>
      <c r="AT95" s="630"/>
    </row>
    <row r="96">
      <c r="A96" s="467"/>
      <c r="B96" s="504"/>
      <c r="C96" s="468"/>
      <c r="D96" s="616"/>
      <c r="E96" s="467"/>
      <c r="F96" s="504"/>
      <c r="G96" s="468"/>
      <c r="H96" s="616"/>
      <c r="I96" s="467"/>
      <c r="J96" s="504"/>
      <c r="K96" s="468"/>
      <c r="L96" s="616"/>
      <c r="M96" s="467"/>
      <c r="N96" s="504"/>
      <c r="O96" s="468"/>
      <c r="P96" s="616"/>
      <c r="Q96" s="635"/>
      <c r="R96" s="636"/>
      <c r="S96" s="637"/>
      <c r="T96" s="629"/>
      <c r="U96" s="635"/>
      <c r="V96" s="636"/>
      <c r="W96" s="637"/>
      <c r="X96" s="629"/>
      <c r="Y96" s="467"/>
      <c r="Z96" s="504"/>
      <c r="AA96" s="468"/>
      <c r="AB96" s="616"/>
      <c r="AC96" s="635"/>
      <c r="AD96" s="636"/>
      <c r="AE96" s="637"/>
      <c r="AF96" s="629"/>
      <c r="AG96" s="635"/>
      <c r="AH96" s="636"/>
      <c r="AI96" s="637"/>
      <c r="AJ96" s="629"/>
      <c r="AK96" s="635"/>
      <c r="AL96" s="636"/>
      <c r="AM96" s="637"/>
      <c r="AN96" s="629"/>
      <c r="AO96" s="467"/>
      <c r="AP96" s="504"/>
      <c r="AQ96" s="468"/>
      <c r="AR96" s="616"/>
      <c r="AS96" s="630"/>
      <c r="AT96" s="630"/>
    </row>
    <row r="97">
      <c r="A97" s="467"/>
      <c r="B97" s="504"/>
      <c r="C97" s="468"/>
      <c r="D97" s="616"/>
      <c r="E97" s="467"/>
      <c r="F97" s="504"/>
      <c r="G97" s="468"/>
      <c r="H97" s="616"/>
      <c r="I97" s="467"/>
      <c r="J97" s="504"/>
      <c r="K97" s="468"/>
      <c r="L97" s="616"/>
      <c r="M97" s="467"/>
      <c r="N97" s="504"/>
      <c r="O97" s="468"/>
      <c r="P97" s="616"/>
      <c r="Q97" s="635"/>
      <c r="R97" s="636"/>
      <c r="S97" s="637"/>
      <c r="T97" s="629"/>
      <c r="U97" s="635"/>
      <c r="V97" s="636"/>
      <c r="W97" s="637"/>
      <c r="X97" s="629"/>
      <c r="Y97" s="467"/>
      <c r="Z97" s="504"/>
      <c r="AA97" s="468"/>
      <c r="AB97" s="616"/>
      <c r="AC97" s="635"/>
      <c r="AD97" s="636"/>
      <c r="AE97" s="637"/>
      <c r="AF97" s="629"/>
      <c r="AG97" s="635"/>
      <c r="AH97" s="636"/>
      <c r="AI97" s="637"/>
      <c r="AJ97" s="629"/>
      <c r="AK97" s="635"/>
      <c r="AL97" s="636"/>
      <c r="AM97" s="637"/>
      <c r="AN97" s="629"/>
      <c r="AO97" s="467"/>
      <c r="AP97" s="504"/>
      <c r="AQ97" s="468"/>
      <c r="AR97" s="616"/>
      <c r="AS97" s="630"/>
      <c r="AT97" s="630"/>
    </row>
    <row r="98">
      <c r="A98" s="467"/>
      <c r="B98" s="504"/>
      <c r="C98" s="468"/>
      <c r="D98" s="616"/>
      <c r="E98" s="467"/>
      <c r="F98" s="504"/>
      <c r="G98" s="468"/>
      <c r="H98" s="616"/>
      <c r="I98" s="467"/>
      <c r="J98" s="504"/>
      <c r="K98" s="468"/>
      <c r="L98" s="616"/>
      <c r="M98" s="467"/>
      <c r="N98" s="504"/>
      <c r="O98" s="468"/>
      <c r="P98" s="616"/>
      <c r="Q98" s="635"/>
      <c r="R98" s="636"/>
      <c r="S98" s="637"/>
      <c r="T98" s="629"/>
      <c r="U98" s="635"/>
      <c r="V98" s="636"/>
      <c r="W98" s="637"/>
      <c r="X98" s="629"/>
      <c r="Y98" s="467"/>
      <c r="Z98" s="504"/>
      <c r="AA98" s="468"/>
      <c r="AB98" s="616"/>
      <c r="AC98" s="635"/>
      <c r="AD98" s="636"/>
      <c r="AE98" s="637"/>
      <c r="AF98" s="629"/>
      <c r="AG98" s="635"/>
      <c r="AH98" s="636"/>
      <c r="AI98" s="637"/>
      <c r="AJ98" s="629"/>
      <c r="AK98" s="635"/>
      <c r="AL98" s="636"/>
      <c r="AM98" s="637"/>
      <c r="AN98" s="629"/>
      <c r="AO98" s="467"/>
      <c r="AP98" s="504"/>
      <c r="AQ98" s="468"/>
      <c r="AR98" s="616"/>
      <c r="AS98" s="630"/>
      <c r="AT98" s="630"/>
    </row>
    <row r="99">
      <c r="A99" s="467"/>
      <c r="B99" s="504"/>
      <c r="C99" s="468"/>
      <c r="D99" s="616"/>
      <c r="E99" s="467"/>
      <c r="F99" s="504"/>
      <c r="G99" s="468"/>
      <c r="H99" s="616"/>
      <c r="I99" s="467"/>
      <c r="J99" s="504"/>
      <c r="K99" s="468"/>
      <c r="L99" s="616"/>
      <c r="M99" s="467"/>
      <c r="N99" s="504"/>
      <c r="O99" s="468"/>
      <c r="P99" s="616"/>
      <c r="Q99" s="635"/>
      <c r="R99" s="636"/>
      <c r="S99" s="637"/>
      <c r="T99" s="629"/>
      <c r="U99" s="635"/>
      <c r="V99" s="636"/>
      <c r="W99" s="637"/>
      <c r="X99" s="629"/>
      <c r="Y99" s="467"/>
      <c r="Z99" s="504"/>
      <c r="AA99" s="468"/>
      <c r="AB99" s="616"/>
      <c r="AC99" s="635"/>
      <c r="AD99" s="636"/>
      <c r="AE99" s="637"/>
      <c r="AF99" s="629"/>
      <c r="AG99" s="635"/>
      <c r="AH99" s="636"/>
      <c r="AI99" s="637"/>
      <c r="AJ99" s="629"/>
      <c r="AK99" s="635"/>
      <c r="AL99" s="636"/>
      <c r="AM99" s="637"/>
      <c r="AN99" s="629"/>
      <c r="AO99" s="467"/>
      <c r="AP99" s="504"/>
      <c r="AQ99" s="468"/>
      <c r="AR99" s="616"/>
      <c r="AS99" s="630"/>
      <c r="AT99" s="630"/>
    </row>
    <row r="100">
      <c r="A100" s="467"/>
      <c r="B100" s="504"/>
      <c r="C100" s="468"/>
      <c r="D100" s="616"/>
      <c r="E100" s="467"/>
      <c r="F100" s="504"/>
      <c r="G100" s="468"/>
      <c r="H100" s="616"/>
      <c r="I100" s="467"/>
      <c r="J100" s="504"/>
      <c r="K100" s="468"/>
      <c r="L100" s="616"/>
      <c r="M100" s="467"/>
      <c r="N100" s="504"/>
      <c r="O100" s="468"/>
      <c r="P100" s="616"/>
      <c r="Q100" s="635"/>
      <c r="R100" s="636"/>
      <c r="S100" s="637"/>
      <c r="T100" s="629"/>
      <c r="U100" s="635"/>
      <c r="V100" s="636"/>
      <c r="W100" s="637"/>
      <c r="X100" s="629"/>
      <c r="Y100" s="467"/>
      <c r="Z100" s="504"/>
      <c r="AA100" s="468"/>
      <c r="AB100" s="616"/>
      <c r="AC100" s="635"/>
      <c r="AD100" s="636"/>
      <c r="AE100" s="637"/>
      <c r="AF100" s="629"/>
      <c r="AG100" s="635"/>
      <c r="AH100" s="636"/>
      <c r="AI100" s="637"/>
      <c r="AJ100" s="629"/>
      <c r="AK100" s="635"/>
      <c r="AL100" s="636"/>
      <c r="AM100" s="637"/>
      <c r="AN100" s="629"/>
      <c r="AO100" s="467"/>
      <c r="AP100" s="504"/>
      <c r="AQ100" s="468"/>
      <c r="AR100" s="616"/>
      <c r="AS100" s="630"/>
      <c r="AT100" s="630"/>
    </row>
    <row r="101">
      <c r="A101" s="467"/>
      <c r="B101" s="504"/>
      <c r="C101" s="468"/>
      <c r="D101" s="616"/>
      <c r="E101" s="467"/>
      <c r="F101" s="504"/>
      <c r="G101" s="468"/>
      <c r="H101" s="616"/>
      <c r="I101" s="467"/>
      <c r="J101" s="504"/>
      <c r="K101" s="468"/>
      <c r="L101" s="616"/>
      <c r="M101" s="467"/>
      <c r="N101" s="504"/>
      <c r="O101" s="468"/>
      <c r="P101" s="616"/>
      <c r="Q101" s="635"/>
      <c r="R101" s="636"/>
      <c r="S101" s="637"/>
      <c r="T101" s="629"/>
      <c r="U101" s="635"/>
      <c r="V101" s="636"/>
      <c r="W101" s="637"/>
      <c r="X101" s="629"/>
      <c r="Y101" s="467"/>
      <c r="Z101" s="504"/>
      <c r="AA101" s="468"/>
      <c r="AB101" s="616"/>
      <c r="AC101" s="635"/>
      <c r="AD101" s="636"/>
      <c r="AE101" s="637"/>
      <c r="AF101" s="629"/>
      <c r="AG101" s="635"/>
      <c r="AH101" s="636"/>
      <c r="AI101" s="637"/>
      <c r="AJ101" s="629"/>
      <c r="AK101" s="635"/>
      <c r="AL101" s="636"/>
      <c r="AM101" s="637"/>
      <c r="AN101" s="629"/>
      <c r="AO101" s="467"/>
      <c r="AP101" s="504"/>
      <c r="AQ101" s="468"/>
      <c r="AR101" s="616"/>
      <c r="AS101" s="630"/>
      <c r="AT101" s="630"/>
    </row>
    <row r="102">
      <c r="A102" s="467"/>
      <c r="B102" s="504"/>
      <c r="C102" s="468"/>
      <c r="D102" s="616"/>
      <c r="E102" s="467"/>
      <c r="F102" s="504"/>
      <c r="G102" s="468"/>
      <c r="H102" s="616"/>
      <c r="I102" s="467"/>
      <c r="J102" s="504"/>
      <c r="K102" s="468"/>
      <c r="L102" s="616"/>
      <c r="M102" s="467"/>
      <c r="N102" s="504"/>
      <c r="O102" s="468"/>
      <c r="P102" s="616"/>
      <c r="Q102" s="635"/>
      <c r="R102" s="636"/>
      <c r="S102" s="637"/>
      <c r="T102" s="629"/>
      <c r="U102" s="635"/>
      <c r="V102" s="636"/>
      <c r="W102" s="637"/>
      <c r="X102" s="629"/>
      <c r="Y102" s="467"/>
      <c r="Z102" s="504"/>
      <c r="AA102" s="468"/>
      <c r="AB102" s="616"/>
      <c r="AC102" s="635"/>
      <c r="AD102" s="636"/>
      <c r="AE102" s="637"/>
      <c r="AF102" s="629"/>
      <c r="AG102" s="635"/>
      <c r="AH102" s="636"/>
      <c r="AI102" s="637"/>
      <c r="AJ102" s="629"/>
      <c r="AK102" s="635"/>
      <c r="AL102" s="636"/>
      <c r="AM102" s="637"/>
      <c r="AN102" s="629"/>
      <c r="AO102" s="467"/>
      <c r="AP102" s="504"/>
      <c r="AQ102" s="468"/>
      <c r="AR102" s="616"/>
      <c r="AS102" s="630"/>
      <c r="AT102" s="630"/>
    </row>
    <row r="103">
      <c r="A103" s="467"/>
      <c r="B103" s="504"/>
      <c r="C103" s="468"/>
      <c r="D103" s="616"/>
      <c r="E103" s="467"/>
      <c r="F103" s="504"/>
      <c r="G103" s="468"/>
      <c r="H103" s="616"/>
      <c r="I103" s="467"/>
      <c r="J103" s="504"/>
      <c r="K103" s="468"/>
      <c r="L103" s="616"/>
      <c r="M103" s="467"/>
      <c r="N103" s="504"/>
      <c r="O103" s="468"/>
      <c r="P103" s="616"/>
      <c r="Q103" s="635"/>
      <c r="R103" s="636"/>
      <c r="S103" s="637"/>
      <c r="T103" s="629"/>
      <c r="U103" s="635"/>
      <c r="V103" s="636"/>
      <c r="W103" s="637"/>
      <c r="X103" s="629"/>
      <c r="Y103" s="467"/>
      <c r="Z103" s="504"/>
      <c r="AA103" s="468"/>
      <c r="AB103" s="616"/>
      <c r="AC103" s="635"/>
      <c r="AD103" s="636"/>
      <c r="AE103" s="637"/>
      <c r="AF103" s="629"/>
      <c r="AG103" s="635"/>
      <c r="AH103" s="636"/>
      <c r="AI103" s="637"/>
      <c r="AJ103" s="629"/>
      <c r="AK103" s="635"/>
      <c r="AL103" s="636"/>
      <c r="AM103" s="637"/>
      <c r="AN103" s="629"/>
      <c r="AO103" s="467"/>
      <c r="AP103" s="504"/>
      <c r="AQ103" s="468"/>
      <c r="AR103" s="616"/>
      <c r="AS103" s="630"/>
      <c r="AT103" s="630"/>
    </row>
    <row r="104">
      <c r="A104" s="467"/>
      <c r="B104" s="504"/>
      <c r="C104" s="468"/>
      <c r="D104" s="616"/>
      <c r="E104" s="467"/>
      <c r="F104" s="504"/>
      <c r="G104" s="468"/>
      <c r="H104" s="616"/>
      <c r="I104" s="467"/>
      <c r="J104" s="504"/>
      <c r="K104" s="468"/>
      <c r="L104" s="616"/>
      <c r="M104" s="467"/>
      <c r="N104" s="504"/>
      <c r="O104" s="468"/>
      <c r="P104" s="616"/>
      <c r="Q104" s="635"/>
      <c r="R104" s="636"/>
      <c r="S104" s="637"/>
      <c r="T104" s="629"/>
      <c r="U104" s="635"/>
      <c r="V104" s="636"/>
      <c r="W104" s="637"/>
      <c r="X104" s="629"/>
      <c r="Y104" s="467"/>
      <c r="Z104" s="504"/>
      <c r="AA104" s="468"/>
      <c r="AB104" s="616"/>
      <c r="AC104" s="635"/>
      <c r="AD104" s="636"/>
      <c r="AE104" s="637"/>
      <c r="AF104" s="629"/>
      <c r="AG104" s="635"/>
      <c r="AH104" s="636"/>
      <c r="AI104" s="637"/>
      <c r="AJ104" s="629"/>
      <c r="AK104" s="635"/>
      <c r="AL104" s="636"/>
      <c r="AM104" s="637"/>
      <c r="AN104" s="629"/>
      <c r="AO104" s="467"/>
      <c r="AP104" s="504"/>
      <c r="AQ104" s="468"/>
      <c r="AR104" s="616"/>
      <c r="AS104" s="630"/>
      <c r="AT104" s="630"/>
    </row>
    <row r="105">
      <c r="A105" s="467"/>
      <c r="B105" s="504"/>
      <c r="C105" s="468"/>
      <c r="D105" s="616"/>
      <c r="E105" s="467"/>
      <c r="F105" s="504"/>
      <c r="G105" s="468"/>
      <c r="H105" s="616"/>
      <c r="I105" s="467"/>
      <c r="J105" s="504"/>
      <c r="K105" s="468"/>
      <c r="L105" s="616"/>
      <c r="M105" s="467"/>
      <c r="N105" s="504"/>
      <c r="O105" s="468"/>
      <c r="P105" s="616"/>
      <c r="Q105" s="635"/>
      <c r="R105" s="636"/>
      <c r="S105" s="637"/>
      <c r="T105" s="629"/>
      <c r="U105" s="635"/>
      <c r="V105" s="636"/>
      <c r="W105" s="637"/>
      <c r="X105" s="629"/>
      <c r="Y105" s="467"/>
      <c r="Z105" s="504"/>
      <c r="AA105" s="468"/>
      <c r="AB105" s="616"/>
      <c r="AC105" s="635"/>
      <c r="AD105" s="636"/>
      <c r="AE105" s="637"/>
      <c r="AF105" s="629"/>
      <c r="AG105" s="635"/>
      <c r="AH105" s="636"/>
      <c r="AI105" s="637"/>
      <c r="AJ105" s="629"/>
      <c r="AK105" s="635"/>
      <c r="AL105" s="636"/>
      <c r="AM105" s="637"/>
      <c r="AN105" s="629"/>
      <c r="AO105" s="467"/>
      <c r="AP105" s="504"/>
      <c r="AQ105" s="468"/>
      <c r="AR105" s="616"/>
      <c r="AS105" s="630"/>
      <c r="AT105" s="630"/>
    </row>
    <row r="106">
      <c r="A106" s="467"/>
      <c r="B106" s="504"/>
      <c r="C106" s="468"/>
      <c r="D106" s="616"/>
      <c r="E106" s="467"/>
      <c r="F106" s="504"/>
      <c r="G106" s="468"/>
      <c r="H106" s="616"/>
      <c r="I106" s="467"/>
      <c r="J106" s="504"/>
      <c r="K106" s="468"/>
      <c r="L106" s="616"/>
      <c r="M106" s="467"/>
      <c r="N106" s="504"/>
      <c r="O106" s="468"/>
      <c r="P106" s="616"/>
      <c r="Q106" s="635"/>
      <c r="R106" s="636"/>
      <c r="S106" s="637"/>
      <c r="T106" s="629"/>
      <c r="U106" s="635"/>
      <c r="V106" s="636"/>
      <c r="W106" s="637"/>
      <c r="X106" s="629"/>
      <c r="Y106" s="467"/>
      <c r="Z106" s="504"/>
      <c r="AA106" s="468"/>
      <c r="AB106" s="616"/>
      <c r="AC106" s="635"/>
      <c r="AD106" s="636"/>
      <c r="AE106" s="637"/>
      <c r="AF106" s="629"/>
      <c r="AG106" s="635"/>
      <c r="AH106" s="636"/>
      <c r="AI106" s="637"/>
      <c r="AJ106" s="629"/>
      <c r="AK106" s="635"/>
      <c r="AL106" s="636"/>
      <c r="AM106" s="637"/>
      <c r="AN106" s="629"/>
      <c r="AO106" s="467"/>
      <c r="AP106" s="504"/>
      <c r="AQ106" s="468"/>
      <c r="AR106" s="616"/>
      <c r="AS106" s="630"/>
      <c r="AT106" s="630"/>
    </row>
    <row r="107">
      <c r="A107" s="467"/>
      <c r="B107" s="504"/>
      <c r="C107" s="468"/>
      <c r="D107" s="616"/>
      <c r="E107" s="467"/>
      <c r="F107" s="504"/>
      <c r="G107" s="468"/>
      <c r="H107" s="616"/>
      <c r="I107" s="467"/>
      <c r="J107" s="504"/>
      <c r="K107" s="468"/>
      <c r="L107" s="616"/>
      <c r="M107" s="467"/>
      <c r="N107" s="504"/>
      <c r="O107" s="468"/>
      <c r="P107" s="616"/>
      <c r="Q107" s="635"/>
      <c r="R107" s="636"/>
      <c r="S107" s="637"/>
      <c r="T107" s="629"/>
      <c r="U107" s="635"/>
      <c r="V107" s="636"/>
      <c r="W107" s="637"/>
      <c r="X107" s="629"/>
      <c r="Y107" s="467"/>
      <c r="Z107" s="504"/>
      <c r="AA107" s="468"/>
      <c r="AB107" s="616"/>
      <c r="AC107" s="635"/>
      <c r="AD107" s="636"/>
      <c r="AE107" s="637"/>
      <c r="AF107" s="629"/>
      <c r="AG107" s="635"/>
      <c r="AH107" s="636"/>
      <c r="AI107" s="637"/>
      <c r="AJ107" s="629"/>
      <c r="AK107" s="635"/>
      <c r="AL107" s="636"/>
      <c r="AM107" s="637"/>
      <c r="AN107" s="629"/>
      <c r="AO107" s="467"/>
      <c r="AP107" s="504"/>
      <c r="AQ107" s="468"/>
      <c r="AR107" s="616"/>
      <c r="AS107" s="630"/>
      <c r="AT107" s="630"/>
    </row>
    <row r="108">
      <c r="A108" s="467"/>
      <c r="B108" s="504"/>
      <c r="C108" s="468"/>
      <c r="D108" s="616"/>
      <c r="E108" s="467"/>
      <c r="F108" s="504"/>
      <c r="G108" s="468"/>
      <c r="H108" s="616"/>
      <c r="I108" s="467"/>
      <c r="J108" s="504"/>
      <c r="K108" s="468"/>
      <c r="L108" s="616"/>
      <c r="M108" s="467"/>
      <c r="N108" s="504"/>
      <c r="O108" s="468"/>
      <c r="P108" s="616"/>
      <c r="Q108" s="635"/>
      <c r="R108" s="636"/>
      <c r="S108" s="637"/>
      <c r="T108" s="629"/>
      <c r="U108" s="635"/>
      <c r="V108" s="636"/>
      <c r="W108" s="637"/>
      <c r="X108" s="629"/>
      <c r="Y108" s="467"/>
      <c r="Z108" s="504"/>
      <c r="AA108" s="468"/>
      <c r="AB108" s="616"/>
      <c r="AC108" s="635"/>
      <c r="AD108" s="636"/>
      <c r="AE108" s="637"/>
      <c r="AF108" s="629"/>
      <c r="AG108" s="635"/>
      <c r="AH108" s="636"/>
      <c r="AI108" s="637"/>
      <c r="AJ108" s="629"/>
      <c r="AK108" s="635"/>
      <c r="AL108" s="636"/>
      <c r="AM108" s="637"/>
      <c r="AN108" s="629"/>
      <c r="AO108" s="467"/>
      <c r="AP108" s="504"/>
      <c r="AQ108" s="468"/>
      <c r="AR108" s="616"/>
      <c r="AS108" s="630"/>
      <c r="AT108" s="630"/>
    </row>
    <row r="109">
      <c r="A109" s="467"/>
      <c r="B109" s="504"/>
      <c r="C109" s="468"/>
      <c r="D109" s="616"/>
      <c r="E109" s="467"/>
      <c r="F109" s="504"/>
      <c r="G109" s="468"/>
      <c r="H109" s="616"/>
      <c r="I109" s="467"/>
      <c r="J109" s="504"/>
      <c r="K109" s="468"/>
      <c r="L109" s="616"/>
      <c r="M109" s="467"/>
      <c r="N109" s="504"/>
      <c r="O109" s="468"/>
      <c r="P109" s="616"/>
      <c r="Q109" s="635"/>
      <c r="R109" s="636"/>
      <c r="S109" s="637"/>
      <c r="T109" s="629"/>
      <c r="U109" s="635"/>
      <c r="V109" s="636"/>
      <c r="W109" s="637"/>
      <c r="X109" s="629"/>
      <c r="Y109" s="467"/>
      <c r="Z109" s="504"/>
      <c r="AA109" s="468"/>
      <c r="AB109" s="616"/>
      <c r="AC109" s="635"/>
      <c r="AD109" s="636"/>
      <c r="AE109" s="637"/>
      <c r="AF109" s="629"/>
      <c r="AG109" s="635"/>
      <c r="AH109" s="636"/>
      <c r="AI109" s="637"/>
      <c r="AJ109" s="629"/>
      <c r="AK109" s="635"/>
      <c r="AL109" s="636"/>
      <c r="AM109" s="637"/>
      <c r="AN109" s="629"/>
      <c r="AO109" s="467"/>
      <c r="AP109" s="504"/>
      <c r="AQ109" s="468"/>
      <c r="AR109" s="616"/>
      <c r="AS109" s="630"/>
      <c r="AT109" s="630"/>
    </row>
    <row r="110">
      <c r="A110" s="467"/>
      <c r="B110" s="504"/>
      <c r="C110" s="468"/>
      <c r="D110" s="616"/>
      <c r="E110" s="467"/>
      <c r="F110" s="504"/>
      <c r="G110" s="468"/>
      <c r="H110" s="616"/>
      <c r="I110" s="467"/>
      <c r="J110" s="504"/>
      <c r="K110" s="468"/>
      <c r="L110" s="616"/>
      <c r="M110" s="467"/>
      <c r="N110" s="504"/>
      <c r="O110" s="468"/>
      <c r="P110" s="616"/>
      <c r="Q110" s="635"/>
      <c r="R110" s="636"/>
      <c r="S110" s="637"/>
      <c r="T110" s="629"/>
      <c r="U110" s="635"/>
      <c r="V110" s="636"/>
      <c r="W110" s="637"/>
      <c r="X110" s="629"/>
      <c r="Y110" s="467"/>
      <c r="Z110" s="504"/>
      <c r="AA110" s="468"/>
      <c r="AB110" s="616"/>
      <c r="AC110" s="635"/>
      <c r="AD110" s="636"/>
      <c r="AE110" s="637"/>
      <c r="AF110" s="629"/>
      <c r="AG110" s="635"/>
      <c r="AH110" s="636"/>
      <c r="AI110" s="637"/>
      <c r="AJ110" s="629"/>
      <c r="AK110" s="635"/>
      <c r="AL110" s="636"/>
      <c r="AM110" s="637"/>
      <c r="AN110" s="629"/>
      <c r="AO110" s="467"/>
      <c r="AP110" s="504"/>
      <c r="AQ110" s="468"/>
      <c r="AR110" s="616"/>
      <c r="AS110" s="630"/>
      <c r="AT110" s="630"/>
    </row>
    <row r="111">
      <c r="A111" s="467"/>
      <c r="B111" s="504"/>
      <c r="C111" s="468"/>
      <c r="D111" s="616"/>
      <c r="E111" s="467"/>
      <c r="F111" s="504"/>
      <c r="G111" s="468"/>
      <c r="H111" s="616"/>
      <c r="I111" s="467"/>
      <c r="J111" s="504"/>
      <c r="K111" s="468"/>
      <c r="L111" s="616"/>
      <c r="M111" s="467"/>
      <c r="N111" s="504"/>
      <c r="O111" s="468"/>
      <c r="P111" s="616"/>
      <c r="Q111" s="635"/>
      <c r="R111" s="636"/>
      <c r="S111" s="637"/>
      <c r="T111" s="629"/>
      <c r="U111" s="635"/>
      <c r="V111" s="636"/>
      <c r="W111" s="637"/>
      <c r="X111" s="629"/>
      <c r="Y111" s="467"/>
      <c r="Z111" s="504"/>
      <c r="AA111" s="468"/>
      <c r="AB111" s="616"/>
      <c r="AC111" s="635"/>
      <c r="AD111" s="636"/>
      <c r="AE111" s="637"/>
      <c r="AF111" s="629"/>
      <c r="AG111" s="635"/>
      <c r="AH111" s="636"/>
      <c r="AI111" s="637"/>
      <c r="AJ111" s="629"/>
      <c r="AK111" s="635"/>
      <c r="AL111" s="636"/>
      <c r="AM111" s="637"/>
      <c r="AN111" s="629"/>
      <c r="AO111" s="467"/>
      <c r="AP111" s="504"/>
      <c r="AQ111" s="468"/>
      <c r="AR111" s="616"/>
      <c r="AS111" s="630"/>
      <c r="AT111" s="630"/>
    </row>
    <row r="112">
      <c r="A112" s="467"/>
      <c r="B112" s="504"/>
      <c r="C112" s="468"/>
      <c r="D112" s="616"/>
      <c r="E112" s="467"/>
      <c r="F112" s="504"/>
      <c r="G112" s="468"/>
      <c r="H112" s="616"/>
      <c r="I112" s="467"/>
      <c r="J112" s="504"/>
      <c r="K112" s="468"/>
      <c r="L112" s="616"/>
      <c r="M112" s="467"/>
      <c r="N112" s="504"/>
      <c r="O112" s="468"/>
      <c r="P112" s="616"/>
      <c r="Q112" s="635"/>
      <c r="R112" s="636"/>
      <c r="S112" s="637"/>
      <c r="T112" s="629"/>
      <c r="U112" s="635"/>
      <c r="V112" s="636"/>
      <c r="W112" s="637"/>
      <c r="X112" s="629"/>
      <c r="Y112" s="467"/>
      <c r="Z112" s="504"/>
      <c r="AA112" s="468"/>
      <c r="AB112" s="616"/>
      <c r="AC112" s="635"/>
      <c r="AD112" s="636"/>
      <c r="AE112" s="637"/>
      <c r="AF112" s="629"/>
      <c r="AG112" s="635"/>
      <c r="AH112" s="636"/>
      <c r="AI112" s="637"/>
      <c r="AJ112" s="629"/>
      <c r="AK112" s="635"/>
      <c r="AL112" s="636"/>
      <c r="AM112" s="637"/>
      <c r="AN112" s="629"/>
      <c r="AO112" s="467"/>
      <c r="AP112" s="504"/>
      <c r="AQ112" s="468"/>
      <c r="AR112" s="616"/>
      <c r="AS112" s="630"/>
      <c r="AT112" s="630"/>
    </row>
    <row r="113">
      <c r="A113" s="467"/>
      <c r="B113" s="504"/>
      <c r="C113" s="468"/>
      <c r="D113" s="616"/>
      <c r="E113" s="467"/>
      <c r="F113" s="504"/>
      <c r="G113" s="468"/>
      <c r="H113" s="616"/>
      <c r="I113" s="467"/>
      <c r="J113" s="504"/>
      <c r="K113" s="468"/>
      <c r="L113" s="616"/>
      <c r="M113" s="467"/>
      <c r="N113" s="504"/>
      <c r="O113" s="468"/>
      <c r="P113" s="616"/>
      <c r="Q113" s="635"/>
      <c r="R113" s="636"/>
      <c r="S113" s="637"/>
      <c r="T113" s="629"/>
      <c r="U113" s="635"/>
      <c r="V113" s="636"/>
      <c r="W113" s="637"/>
      <c r="X113" s="629"/>
      <c r="Y113" s="467"/>
      <c r="Z113" s="504"/>
      <c r="AA113" s="468"/>
      <c r="AB113" s="616"/>
      <c r="AC113" s="635"/>
      <c r="AD113" s="636"/>
      <c r="AE113" s="637"/>
      <c r="AF113" s="629"/>
      <c r="AG113" s="635"/>
      <c r="AH113" s="636"/>
      <c r="AI113" s="637"/>
      <c r="AJ113" s="629"/>
      <c r="AK113" s="635"/>
      <c r="AL113" s="636"/>
      <c r="AM113" s="637"/>
      <c r="AN113" s="629"/>
      <c r="AO113" s="467"/>
      <c r="AP113" s="504"/>
      <c r="AQ113" s="468"/>
      <c r="AR113" s="616"/>
      <c r="AS113" s="630"/>
      <c r="AT113" s="630"/>
    </row>
    <row r="114">
      <c r="A114" s="467"/>
      <c r="B114" s="504"/>
      <c r="C114" s="468"/>
      <c r="D114" s="616"/>
      <c r="E114" s="467"/>
      <c r="F114" s="504"/>
      <c r="G114" s="468"/>
      <c r="H114" s="616"/>
      <c r="I114" s="467"/>
      <c r="J114" s="504"/>
      <c r="K114" s="468"/>
      <c r="L114" s="616"/>
      <c r="M114" s="467"/>
      <c r="N114" s="504"/>
      <c r="O114" s="468"/>
      <c r="P114" s="616"/>
      <c r="Q114" s="635"/>
      <c r="R114" s="636"/>
      <c r="S114" s="637"/>
      <c r="T114" s="629"/>
      <c r="U114" s="635"/>
      <c r="V114" s="636"/>
      <c r="W114" s="637"/>
      <c r="X114" s="629"/>
      <c r="Y114" s="467"/>
      <c r="Z114" s="504"/>
      <c r="AA114" s="468"/>
      <c r="AB114" s="616"/>
      <c r="AC114" s="635"/>
      <c r="AD114" s="636"/>
      <c r="AE114" s="637"/>
      <c r="AF114" s="629"/>
      <c r="AG114" s="635"/>
      <c r="AH114" s="636"/>
      <c r="AI114" s="637"/>
      <c r="AJ114" s="629"/>
      <c r="AK114" s="635"/>
      <c r="AL114" s="636"/>
      <c r="AM114" s="637"/>
      <c r="AN114" s="629"/>
      <c r="AO114" s="467"/>
      <c r="AP114" s="504"/>
      <c r="AQ114" s="468"/>
      <c r="AR114" s="616"/>
      <c r="AS114" s="630"/>
      <c r="AT114" s="630"/>
    </row>
    <row r="115">
      <c r="A115" s="467"/>
      <c r="B115" s="504"/>
      <c r="C115" s="468"/>
      <c r="D115" s="616"/>
      <c r="E115" s="467"/>
      <c r="F115" s="504"/>
      <c r="G115" s="468"/>
      <c r="H115" s="616"/>
      <c r="I115" s="467"/>
      <c r="J115" s="504"/>
      <c r="K115" s="468"/>
      <c r="L115" s="616"/>
      <c r="M115" s="467"/>
      <c r="N115" s="504"/>
      <c r="O115" s="468"/>
      <c r="P115" s="616"/>
      <c r="Q115" s="635"/>
      <c r="R115" s="636"/>
      <c r="S115" s="637"/>
      <c r="T115" s="629"/>
      <c r="U115" s="635"/>
      <c r="V115" s="636"/>
      <c r="W115" s="637"/>
      <c r="X115" s="629"/>
      <c r="Y115" s="467"/>
      <c r="Z115" s="504"/>
      <c r="AA115" s="468"/>
      <c r="AB115" s="616"/>
      <c r="AC115" s="635"/>
      <c r="AD115" s="636"/>
      <c r="AE115" s="637"/>
      <c r="AF115" s="629"/>
      <c r="AG115" s="635"/>
      <c r="AH115" s="636"/>
      <c r="AI115" s="637"/>
      <c r="AJ115" s="629"/>
      <c r="AK115" s="635"/>
      <c r="AL115" s="636"/>
      <c r="AM115" s="637"/>
      <c r="AN115" s="629"/>
      <c r="AO115" s="467"/>
      <c r="AP115" s="504"/>
      <c r="AQ115" s="468"/>
      <c r="AR115" s="616"/>
      <c r="AS115" s="630"/>
      <c r="AT115" s="630"/>
    </row>
    <row r="116">
      <c r="A116" s="467"/>
      <c r="B116" s="504"/>
      <c r="C116" s="468"/>
      <c r="D116" s="616"/>
      <c r="E116" s="467"/>
      <c r="F116" s="504"/>
      <c r="G116" s="468"/>
      <c r="H116" s="616"/>
      <c r="I116" s="467"/>
      <c r="J116" s="504"/>
      <c r="K116" s="468"/>
      <c r="L116" s="616"/>
      <c r="M116" s="467"/>
      <c r="N116" s="504"/>
      <c r="O116" s="468"/>
      <c r="P116" s="616"/>
      <c r="Q116" s="635"/>
      <c r="R116" s="636"/>
      <c r="S116" s="637"/>
      <c r="T116" s="629"/>
      <c r="U116" s="635"/>
      <c r="V116" s="636"/>
      <c r="W116" s="637"/>
      <c r="X116" s="629"/>
      <c r="Y116" s="467"/>
      <c r="Z116" s="504"/>
      <c r="AA116" s="468"/>
      <c r="AB116" s="616"/>
      <c r="AC116" s="635"/>
      <c r="AD116" s="636"/>
      <c r="AE116" s="637"/>
      <c r="AF116" s="629"/>
      <c r="AG116" s="635"/>
      <c r="AH116" s="636"/>
      <c r="AI116" s="637"/>
      <c r="AJ116" s="629"/>
      <c r="AK116" s="635"/>
      <c r="AL116" s="636"/>
      <c r="AM116" s="637"/>
      <c r="AN116" s="629"/>
      <c r="AO116" s="467"/>
      <c r="AP116" s="504"/>
      <c r="AQ116" s="468"/>
      <c r="AR116" s="616"/>
      <c r="AS116" s="630"/>
      <c r="AT116" s="630"/>
    </row>
    <row r="117">
      <c r="A117" s="467"/>
      <c r="B117" s="504"/>
      <c r="C117" s="468"/>
      <c r="D117" s="616"/>
      <c r="E117" s="467"/>
      <c r="F117" s="504"/>
      <c r="G117" s="468"/>
      <c r="H117" s="616"/>
      <c r="I117" s="467"/>
      <c r="J117" s="504"/>
      <c r="K117" s="468"/>
      <c r="L117" s="616"/>
      <c r="M117" s="467"/>
      <c r="N117" s="504"/>
      <c r="O117" s="468"/>
      <c r="P117" s="616"/>
      <c r="Q117" s="635"/>
      <c r="R117" s="636"/>
      <c r="S117" s="637"/>
      <c r="T117" s="629"/>
      <c r="U117" s="635"/>
      <c r="V117" s="636"/>
      <c r="W117" s="637"/>
      <c r="X117" s="629"/>
      <c r="Y117" s="467"/>
      <c r="Z117" s="504"/>
      <c r="AA117" s="468"/>
      <c r="AB117" s="616"/>
      <c r="AC117" s="635"/>
      <c r="AD117" s="636"/>
      <c r="AE117" s="637"/>
      <c r="AF117" s="629"/>
      <c r="AG117" s="635"/>
      <c r="AH117" s="636"/>
      <c r="AI117" s="637"/>
      <c r="AJ117" s="629"/>
      <c r="AK117" s="635"/>
      <c r="AL117" s="636"/>
      <c r="AM117" s="637"/>
      <c r="AN117" s="629"/>
      <c r="AO117" s="467"/>
      <c r="AP117" s="504"/>
      <c r="AQ117" s="468"/>
      <c r="AR117" s="616"/>
      <c r="AS117" s="630"/>
      <c r="AT117" s="630"/>
    </row>
    <row r="118">
      <c r="A118" s="467"/>
      <c r="B118" s="504"/>
      <c r="C118" s="468"/>
      <c r="D118" s="616"/>
      <c r="E118" s="467"/>
      <c r="F118" s="504"/>
      <c r="G118" s="468"/>
      <c r="H118" s="616"/>
      <c r="I118" s="467"/>
      <c r="J118" s="504"/>
      <c r="K118" s="468"/>
      <c r="L118" s="616"/>
      <c r="M118" s="467"/>
      <c r="N118" s="504"/>
      <c r="O118" s="468"/>
      <c r="P118" s="616"/>
      <c r="Q118" s="635"/>
      <c r="R118" s="636"/>
      <c r="S118" s="637"/>
      <c r="T118" s="629"/>
      <c r="U118" s="635"/>
      <c r="V118" s="636"/>
      <c r="W118" s="637"/>
      <c r="X118" s="629"/>
      <c r="Y118" s="467"/>
      <c r="Z118" s="504"/>
      <c r="AA118" s="468"/>
      <c r="AB118" s="616"/>
      <c r="AC118" s="635"/>
      <c r="AD118" s="636"/>
      <c r="AE118" s="637"/>
      <c r="AF118" s="629"/>
      <c r="AG118" s="635"/>
      <c r="AH118" s="636"/>
      <c r="AI118" s="637"/>
      <c r="AJ118" s="629"/>
      <c r="AK118" s="635"/>
      <c r="AL118" s="636"/>
      <c r="AM118" s="637"/>
      <c r="AN118" s="629"/>
      <c r="AO118" s="467"/>
      <c r="AP118" s="504"/>
      <c r="AQ118" s="468"/>
      <c r="AR118" s="616"/>
      <c r="AS118" s="630"/>
      <c r="AT118" s="630"/>
    </row>
    <row r="119">
      <c r="A119" s="467"/>
      <c r="B119" s="504"/>
      <c r="C119" s="468"/>
      <c r="D119" s="616"/>
      <c r="E119" s="467"/>
      <c r="F119" s="504"/>
      <c r="G119" s="468"/>
      <c r="H119" s="616"/>
      <c r="I119" s="467"/>
      <c r="J119" s="504"/>
      <c r="K119" s="468"/>
      <c r="L119" s="616"/>
      <c r="M119" s="467"/>
      <c r="N119" s="504"/>
      <c r="O119" s="468"/>
      <c r="P119" s="616"/>
      <c r="Q119" s="635"/>
      <c r="R119" s="636"/>
      <c r="S119" s="637"/>
      <c r="T119" s="629"/>
      <c r="U119" s="635"/>
      <c r="V119" s="636"/>
      <c r="W119" s="637"/>
      <c r="X119" s="629"/>
      <c r="Y119" s="467"/>
      <c r="Z119" s="504"/>
      <c r="AA119" s="468"/>
      <c r="AB119" s="616"/>
      <c r="AC119" s="635"/>
      <c r="AD119" s="636"/>
      <c r="AE119" s="637"/>
      <c r="AF119" s="629"/>
      <c r="AG119" s="635"/>
      <c r="AH119" s="636"/>
      <c r="AI119" s="637"/>
      <c r="AJ119" s="629"/>
      <c r="AK119" s="635"/>
      <c r="AL119" s="636"/>
      <c r="AM119" s="637"/>
      <c r="AN119" s="629"/>
      <c r="AO119" s="467"/>
      <c r="AP119" s="504"/>
      <c r="AQ119" s="468"/>
      <c r="AR119" s="616"/>
      <c r="AS119" s="630"/>
      <c r="AT119" s="630"/>
    </row>
    <row r="120">
      <c r="A120" s="467"/>
      <c r="B120" s="504"/>
      <c r="C120" s="468"/>
      <c r="D120" s="616"/>
      <c r="E120" s="467"/>
      <c r="F120" s="504"/>
      <c r="G120" s="468"/>
      <c r="H120" s="616"/>
      <c r="I120" s="467"/>
      <c r="J120" s="504"/>
      <c r="K120" s="468"/>
      <c r="L120" s="616"/>
      <c r="M120" s="467"/>
      <c r="N120" s="504"/>
      <c r="O120" s="468"/>
      <c r="P120" s="616"/>
      <c r="Q120" s="635"/>
      <c r="R120" s="636"/>
      <c r="S120" s="637"/>
      <c r="T120" s="629"/>
      <c r="U120" s="635"/>
      <c r="V120" s="636"/>
      <c r="W120" s="637"/>
      <c r="X120" s="629"/>
      <c r="Y120" s="467"/>
      <c r="Z120" s="504"/>
      <c r="AA120" s="468"/>
      <c r="AB120" s="616"/>
      <c r="AC120" s="635"/>
      <c r="AD120" s="636"/>
      <c r="AE120" s="637"/>
      <c r="AF120" s="629"/>
      <c r="AG120" s="635"/>
      <c r="AH120" s="636"/>
      <c r="AI120" s="637"/>
      <c r="AJ120" s="629"/>
      <c r="AK120" s="635"/>
      <c r="AL120" s="636"/>
      <c r="AM120" s="637"/>
      <c r="AN120" s="629"/>
      <c r="AO120" s="467"/>
      <c r="AP120" s="504"/>
      <c r="AQ120" s="468"/>
      <c r="AR120" s="616"/>
      <c r="AS120" s="630"/>
      <c r="AT120" s="630"/>
    </row>
    <row r="121">
      <c r="A121" s="467"/>
      <c r="B121" s="504"/>
      <c r="C121" s="468"/>
      <c r="D121" s="616"/>
      <c r="E121" s="467"/>
      <c r="F121" s="504"/>
      <c r="G121" s="468"/>
      <c r="H121" s="616"/>
      <c r="I121" s="467"/>
      <c r="J121" s="504"/>
      <c r="K121" s="468"/>
      <c r="L121" s="616"/>
      <c r="M121" s="467"/>
      <c r="N121" s="504"/>
      <c r="O121" s="468"/>
      <c r="P121" s="616"/>
      <c r="Q121" s="635"/>
      <c r="R121" s="636"/>
      <c r="S121" s="637"/>
      <c r="T121" s="629"/>
      <c r="U121" s="635"/>
      <c r="V121" s="636"/>
      <c r="W121" s="637"/>
      <c r="X121" s="629"/>
      <c r="Y121" s="467"/>
      <c r="Z121" s="504"/>
      <c r="AA121" s="468"/>
      <c r="AB121" s="616"/>
      <c r="AC121" s="635"/>
      <c r="AD121" s="636"/>
      <c r="AE121" s="637"/>
      <c r="AF121" s="629"/>
      <c r="AG121" s="635"/>
      <c r="AH121" s="636"/>
      <c r="AI121" s="637"/>
      <c r="AJ121" s="629"/>
      <c r="AK121" s="635"/>
      <c r="AL121" s="636"/>
      <c r="AM121" s="637"/>
      <c r="AN121" s="629"/>
      <c r="AO121" s="467"/>
      <c r="AP121" s="504"/>
      <c r="AQ121" s="468"/>
      <c r="AR121" s="616"/>
      <c r="AS121" s="630"/>
      <c r="AT121" s="630"/>
    </row>
    <row r="122">
      <c r="A122" s="467"/>
      <c r="B122" s="504"/>
      <c r="C122" s="468"/>
      <c r="D122" s="616"/>
      <c r="E122" s="467"/>
      <c r="F122" s="504"/>
      <c r="G122" s="468"/>
      <c r="H122" s="616"/>
      <c r="I122" s="467"/>
      <c r="J122" s="504"/>
      <c r="K122" s="468"/>
      <c r="L122" s="616"/>
      <c r="M122" s="467"/>
      <c r="N122" s="504"/>
      <c r="O122" s="468"/>
      <c r="P122" s="616"/>
      <c r="Q122" s="635"/>
      <c r="R122" s="636"/>
      <c r="S122" s="637"/>
      <c r="T122" s="629"/>
      <c r="U122" s="635"/>
      <c r="V122" s="636"/>
      <c r="W122" s="637"/>
      <c r="X122" s="629"/>
      <c r="Y122" s="467"/>
      <c r="Z122" s="504"/>
      <c r="AA122" s="468"/>
      <c r="AB122" s="616"/>
      <c r="AC122" s="635"/>
      <c r="AD122" s="636"/>
      <c r="AE122" s="637"/>
      <c r="AF122" s="629"/>
      <c r="AG122" s="635"/>
      <c r="AH122" s="636"/>
      <c r="AI122" s="637"/>
      <c r="AJ122" s="629"/>
      <c r="AK122" s="635"/>
      <c r="AL122" s="636"/>
      <c r="AM122" s="637"/>
      <c r="AN122" s="629"/>
      <c r="AO122" s="467"/>
      <c r="AP122" s="504"/>
      <c r="AQ122" s="468"/>
      <c r="AR122" s="616"/>
      <c r="AS122" s="630"/>
      <c r="AT122" s="630"/>
    </row>
    <row r="123">
      <c r="A123" s="467"/>
      <c r="B123" s="504"/>
      <c r="C123" s="468"/>
      <c r="D123" s="616"/>
      <c r="E123" s="467"/>
      <c r="F123" s="504"/>
      <c r="G123" s="468"/>
      <c r="H123" s="616"/>
      <c r="I123" s="467"/>
      <c r="J123" s="504"/>
      <c r="K123" s="468"/>
      <c r="L123" s="616"/>
      <c r="M123" s="467"/>
      <c r="N123" s="504"/>
      <c r="O123" s="468"/>
      <c r="P123" s="616"/>
      <c r="Q123" s="635"/>
      <c r="R123" s="636"/>
      <c r="S123" s="637"/>
      <c r="T123" s="629"/>
      <c r="U123" s="635"/>
      <c r="V123" s="636"/>
      <c r="W123" s="637"/>
      <c r="X123" s="629"/>
      <c r="Y123" s="467"/>
      <c r="Z123" s="504"/>
      <c r="AA123" s="468"/>
      <c r="AB123" s="616"/>
      <c r="AC123" s="635"/>
      <c r="AD123" s="636"/>
      <c r="AE123" s="637"/>
      <c r="AF123" s="629"/>
      <c r="AG123" s="635"/>
      <c r="AH123" s="636"/>
      <c r="AI123" s="637"/>
      <c r="AJ123" s="629"/>
      <c r="AK123" s="635"/>
      <c r="AL123" s="636"/>
      <c r="AM123" s="637"/>
      <c r="AN123" s="629"/>
      <c r="AO123" s="467"/>
      <c r="AP123" s="504"/>
      <c r="AQ123" s="468"/>
      <c r="AR123" s="616"/>
      <c r="AS123" s="630"/>
      <c r="AT123" s="630"/>
    </row>
    <row r="124">
      <c r="A124" s="467"/>
      <c r="B124" s="504"/>
      <c r="C124" s="468"/>
      <c r="D124" s="616"/>
      <c r="E124" s="467"/>
      <c r="F124" s="504"/>
      <c r="G124" s="468"/>
      <c r="H124" s="616"/>
      <c r="I124" s="467"/>
      <c r="J124" s="504"/>
      <c r="K124" s="468"/>
      <c r="L124" s="616"/>
      <c r="M124" s="467"/>
      <c r="N124" s="504"/>
      <c r="O124" s="468"/>
      <c r="P124" s="616"/>
      <c r="Q124" s="635"/>
      <c r="R124" s="636"/>
      <c r="S124" s="637"/>
      <c r="T124" s="629"/>
      <c r="U124" s="635"/>
      <c r="V124" s="636"/>
      <c r="W124" s="637"/>
      <c r="X124" s="629"/>
      <c r="Y124" s="467"/>
      <c r="Z124" s="504"/>
      <c r="AA124" s="468"/>
      <c r="AB124" s="616"/>
      <c r="AC124" s="635"/>
      <c r="AD124" s="636"/>
      <c r="AE124" s="637"/>
      <c r="AF124" s="629"/>
      <c r="AG124" s="635"/>
      <c r="AH124" s="636"/>
      <c r="AI124" s="637"/>
      <c r="AJ124" s="629"/>
      <c r="AK124" s="635"/>
      <c r="AL124" s="636"/>
      <c r="AM124" s="637"/>
      <c r="AN124" s="629"/>
      <c r="AO124" s="467"/>
      <c r="AP124" s="504"/>
      <c r="AQ124" s="468"/>
      <c r="AR124" s="616"/>
      <c r="AS124" s="630"/>
      <c r="AT124" s="630"/>
    </row>
    <row r="125">
      <c r="A125" s="467"/>
      <c r="B125" s="504"/>
      <c r="C125" s="468"/>
      <c r="D125" s="616"/>
      <c r="E125" s="467"/>
      <c r="F125" s="504"/>
      <c r="G125" s="468"/>
      <c r="H125" s="616"/>
      <c r="I125" s="467"/>
      <c r="J125" s="504"/>
      <c r="K125" s="468"/>
      <c r="L125" s="616"/>
      <c r="M125" s="467"/>
      <c r="N125" s="504"/>
      <c r="O125" s="468"/>
      <c r="P125" s="616"/>
      <c r="Q125" s="635"/>
      <c r="R125" s="636"/>
      <c r="S125" s="637"/>
      <c r="T125" s="629"/>
      <c r="U125" s="635"/>
      <c r="V125" s="636"/>
      <c r="W125" s="637"/>
      <c r="X125" s="629"/>
      <c r="Y125" s="467"/>
      <c r="Z125" s="504"/>
      <c r="AA125" s="468"/>
      <c r="AB125" s="616"/>
      <c r="AC125" s="635"/>
      <c r="AD125" s="636"/>
      <c r="AE125" s="637"/>
      <c r="AF125" s="629"/>
      <c r="AG125" s="635"/>
      <c r="AH125" s="636"/>
      <c r="AI125" s="637"/>
      <c r="AJ125" s="629"/>
      <c r="AK125" s="635"/>
      <c r="AL125" s="636"/>
      <c r="AM125" s="637"/>
      <c r="AN125" s="629"/>
      <c r="AO125" s="467"/>
      <c r="AP125" s="504"/>
      <c r="AQ125" s="468"/>
      <c r="AR125" s="616"/>
      <c r="AS125" s="630"/>
      <c r="AT125" s="630"/>
    </row>
    <row r="126">
      <c r="A126" s="467"/>
      <c r="B126" s="504"/>
      <c r="C126" s="468"/>
      <c r="D126" s="616"/>
      <c r="E126" s="467"/>
      <c r="F126" s="504"/>
      <c r="G126" s="468"/>
      <c r="H126" s="616"/>
      <c r="I126" s="467"/>
      <c r="J126" s="504"/>
      <c r="K126" s="468"/>
      <c r="L126" s="616"/>
      <c r="M126" s="467"/>
      <c r="N126" s="504"/>
      <c r="O126" s="468"/>
      <c r="P126" s="616"/>
      <c r="Q126" s="635"/>
      <c r="R126" s="636"/>
      <c r="S126" s="637"/>
      <c r="T126" s="629"/>
      <c r="U126" s="635"/>
      <c r="V126" s="636"/>
      <c r="W126" s="637"/>
      <c r="X126" s="629"/>
      <c r="Y126" s="467"/>
      <c r="Z126" s="504"/>
      <c r="AA126" s="468"/>
      <c r="AB126" s="616"/>
      <c r="AC126" s="635"/>
      <c r="AD126" s="636"/>
      <c r="AE126" s="637"/>
      <c r="AF126" s="629"/>
      <c r="AG126" s="635"/>
      <c r="AH126" s="636"/>
      <c r="AI126" s="637"/>
      <c r="AJ126" s="629"/>
      <c r="AK126" s="635"/>
      <c r="AL126" s="636"/>
      <c r="AM126" s="637"/>
      <c r="AN126" s="629"/>
      <c r="AO126" s="467"/>
      <c r="AP126" s="504"/>
      <c r="AQ126" s="468"/>
      <c r="AR126" s="616"/>
      <c r="AS126" s="630"/>
      <c r="AT126" s="630"/>
    </row>
    <row r="127">
      <c r="A127" s="467"/>
      <c r="B127" s="504"/>
      <c r="C127" s="468"/>
      <c r="D127" s="616"/>
      <c r="E127" s="467"/>
      <c r="F127" s="504"/>
      <c r="G127" s="468"/>
      <c r="H127" s="616"/>
      <c r="I127" s="467"/>
      <c r="J127" s="504"/>
      <c r="K127" s="468"/>
      <c r="L127" s="616"/>
      <c r="M127" s="467"/>
      <c r="N127" s="504"/>
      <c r="O127" s="468"/>
      <c r="P127" s="616"/>
      <c r="Q127" s="635"/>
      <c r="R127" s="636"/>
      <c r="S127" s="637"/>
      <c r="T127" s="629"/>
      <c r="U127" s="635"/>
      <c r="V127" s="636"/>
      <c r="W127" s="637"/>
      <c r="X127" s="629"/>
      <c r="Y127" s="467"/>
      <c r="Z127" s="504"/>
      <c r="AA127" s="468"/>
      <c r="AB127" s="616"/>
      <c r="AC127" s="635"/>
      <c r="AD127" s="636"/>
      <c r="AE127" s="637"/>
      <c r="AF127" s="629"/>
      <c r="AG127" s="635"/>
      <c r="AH127" s="636"/>
      <c r="AI127" s="637"/>
      <c r="AJ127" s="629"/>
      <c r="AK127" s="635"/>
      <c r="AL127" s="636"/>
      <c r="AM127" s="637"/>
      <c r="AN127" s="629"/>
      <c r="AO127" s="467"/>
      <c r="AP127" s="504"/>
      <c r="AQ127" s="468"/>
      <c r="AR127" s="616"/>
      <c r="AS127" s="630"/>
      <c r="AT127" s="630"/>
    </row>
    <row r="128">
      <c r="A128" s="467"/>
      <c r="B128" s="504"/>
      <c r="C128" s="468"/>
      <c r="D128" s="616"/>
      <c r="E128" s="467"/>
      <c r="F128" s="504"/>
      <c r="G128" s="468"/>
      <c r="H128" s="616"/>
      <c r="I128" s="467"/>
      <c r="J128" s="504"/>
      <c r="K128" s="468"/>
      <c r="L128" s="616"/>
      <c r="M128" s="467"/>
      <c r="N128" s="504"/>
      <c r="O128" s="468"/>
      <c r="P128" s="616"/>
      <c r="Q128" s="635"/>
      <c r="R128" s="636"/>
      <c r="S128" s="637"/>
      <c r="T128" s="629"/>
      <c r="U128" s="635"/>
      <c r="V128" s="636"/>
      <c r="W128" s="637"/>
      <c r="X128" s="629"/>
      <c r="Y128" s="467"/>
      <c r="Z128" s="504"/>
      <c r="AA128" s="468"/>
      <c r="AB128" s="616"/>
      <c r="AC128" s="635"/>
      <c r="AD128" s="636"/>
      <c r="AE128" s="637"/>
      <c r="AF128" s="629"/>
      <c r="AG128" s="635"/>
      <c r="AH128" s="636"/>
      <c r="AI128" s="637"/>
      <c r="AJ128" s="629"/>
      <c r="AK128" s="635"/>
      <c r="AL128" s="636"/>
      <c r="AM128" s="637"/>
      <c r="AN128" s="629"/>
      <c r="AO128" s="467"/>
      <c r="AP128" s="504"/>
      <c r="AQ128" s="468"/>
      <c r="AR128" s="616"/>
      <c r="AS128" s="630"/>
      <c r="AT128" s="630"/>
    </row>
    <row r="129">
      <c r="A129" s="467"/>
      <c r="B129" s="504"/>
      <c r="C129" s="468"/>
      <c r="D129" s="616"/>
      <c r="E129" s="467"/>
      <c r="F129" s="504"/>
      <c r="G129" s="468"/>
      <c r="H129" s="616"/>
      <c r="I129" s="467"/>
      <c r="J129" s="504"/>
      <c r="K129" s="468"/>
      <c r="L129" s="616"/>
      <c r="M129" s="467"/>
      <c r="N129" s="504"/>
      <c r="O129" s="468"/>
      <c r="P129" s="616"/>
      <c r="Q129" s="635"/>
      <c r="R129" s="636"/>
      <c r="S129" s="637"/>
      <c r="T129" s="629"/>
      <c r="U129" s="635"/>
      <c r="V129" s="636"/>
      <c r="W129" s="637"/>
      <c r="X129" s="629"/>
      <c r="Y129" s="467"/>
      <c r="Z129" s="504"/>
      <c r="AA129" s="468"/>
      <c r="AB129" s="616"/>
      <c r="AC129" s="635"/>
      <c r="AD129" s="636"/>
      <c r="AE129" s="637"/>
      <c r="AF129" s="629"/>
      <c r="AG129" s="635"/>
      <c r="AH129" s="636"/>
      <c r="AI129" s="637"/>
      <c r="AJ129" s="629"/>
      <c r="AK129" s="635"/>
      <c r="AL129" s="636"/>
      <c r="AM129" s="637"/>
      <c r="AN129" s="629"/>
      <c r="AO129" s="467"/>
      <c r="AP129" s="504"/>
      <c r="AQ129" s="468"/>
      <c r="AR129" s="616"/>
      <c r="AS129" s="630"/>
      <c r="AT129" s="630"/>
    </row>
    <row r="130">
      <c r="A130" s="467"/>
      <c r="B130" s="504"/>
      <c r="C130" s="468"/>
      <c r="D130" s="616"/>
      <c r="E130" s="467"/>
      <c r="F130" s="504"/>
      <c r="G130" s="468"/>
      <c r="H130" s="616"/>
      <c r="I130" s="467"/>
      <c r="J130" s="504"/>
      <c r="K130" s="468"/>
      <c r="L130" s="616"/>
      <c r="M130" s="467"/>
      <c r="N130" s="504"/>
      <c r="O130" s="468"/>
      <c r="P130" s="616"/>
      <c r="Q130" s="635"/>
      <c r="R130" s="636"/>
      <c r="S130" s="637"/>
      <c r="T130" s="629"/>
      <c r="U130" s="635"/>
      <c r="V130" s="636"/>
      <c r="W130" s="637"/>
      <c r="X130" s="629"/>
      <c r="Y130" s="467"/>
      <c r="Z130" s="504"/>
      <c r="AA130" s="468"/>
      <c r="AB130" s="616"/>
      <c r="AC130" s="635"/>
      <c r="AD130" s="636"/>
      <c r="AE130" s="637"/>
      <c r="AF130" s="629"/>
      <c r="AG130" s="635"/>
      <c r="AH130" s="636"/>
      <c r="AI130" s="637"/>
      <c r="AJ130" s="629"/>
      <c r="AK130" s="635"/>
      <c r="AL130" s="636"/>
      <c r="AM130" s="637"/>
      <c r="AN130" s="629"/>
      <c r="AO130" s="467"/>
      <c r="AP130" s="504"/>
      <c r="AQ130" s="468"/>
      <c r="AR130" s="616"/>
      <c r="AS130" s="630"/>
      <c r="AT130" s="630"/>
    </row>
    <row r="131">
      <c r="A131" s="467"/>
      <c r="B131" s="504"/>
      <c r="C131" s="468"/>
      <c r="D131" s="616"/>
      <c r="E131" s="467"/>
      <c r="F131" s="504"/>
      <c r="G131" s="468"/>
      <c r="H131" s="616"/>
      <c r="I131" s="467"/>
      <c r="J131" s="504"/>
      <c r="K131" s="468"/>
      <c r="L131" s="616"/>
      <c r="M131" s="467"/>
      <c r="N131" s="504"/>
      <c r="O131" s="468"/>
      <c r="P131" s="616"/>
      <c r="Q131" s="635"/>
      <c r="R131" s="636"/>
      <c r="S131" s="637"/>
      <c r="T131" s="629"/>
      <c r="U131" s="635"/>
      <c r="V131" s="636"/>
      <c r="W131" s="637"/>
      <c r="X131" s="629"/>
      <c r="Y131" s="467"/>
      <c r="Z131" s="504"/>
      <c r="AA131" s="468"/>
      <c r="AB131" s="616"/>
      <c r="AC131" s="635"/>
      <c r="AD131" s="636"/>
      <c r="AE131" s="637"/>
      <c r="AF131" s="629"/>
      <c r="AG131" s="635"/>
      <c r="AH131" s="636"/>
      <c r="AI131" s="637"/>
      <c r="AJ131" s="629"/>
      <c r="AK131" s="635"/>
      <c r="AL131" s="636"/>
      <c r="AM131" s="637"/>
      <c r="AN131" s="629"/>
      <c r="AO131" s="467"/>
      <c r="AP131" s="504"/>
      <c r="AQ131" s="468"/>
      <c r="AR131" s="616"/>
      <c r="AS131" s="630"/>
      <c r="AT131" s="630"/>
    </row>
    <row r="132">
      <c r="A132" s="467"/>
      <c r="B132" s="504"/>
      <c r="C132" s="468"/>
      <c r="D132" s="616"/>
      <c r="E132" s="467"/>
      <c r="F132" s="504"/>
      <c r="G132" s="468"/>
      <c r="H132" s="616"/>
      <c r="I132" s="467"/>
      <c r="J132" s="504"/>
      <c r="K132" s="468"/>
      <c r="L132" s="616"/>
      <c r="M132" s="467"/>
      <c r="N132" s="504"/>
      <c r="O132" s="468"/>
      <c r="P132" s="616"/>
      <c r="Q132" s="635"/>
      <c r="R132" s="636"/>
      <c r="S132" s="637"/>
      <c r="T132" s="629"/>
      <c r="U132" s="635"/>
      <c r="V132" s="636"/>
      <c r="W132" s="637"/>
      <c r="X132" s="629"/>
      <c r="Y132" s="467"/>
      <c r="Z132" s="504"/>
      <c r="AA132" s="468"/>
      <c r="AB132" s="616"/>
      <c r="AC132" s="635"/>
      <c r="AD132" s="636"/>
      <c r="AE132" s="637"/>
      <c r="AF132" s="629"/>
      <c r="AG132" s="635"/>
      <c r="AH132" s="636"/>
      <c r="AI132" s="637"/>
      <c r="AJ132" s="629"/>
      <c r="AK132" s="635"/>
      <c r="AL132" s="636"/>
      <c r="AM132" s="637"/>
      <c r="AN132" s="629"/>
      <c r="AO132" s="467"/>
      <c r="AP132" s="504"/>
      <c r="AQ132" s="468"/>
      <c r="AR132" s="616"/>
      <c r="AS132" s="630"/>
      <c r="AT132" s="630"/>
    </row>
    <row r="133">
      <c r="A133" s="467"/>
      <c r="B133" s="504"/>
      <c r="C133" s="468"/>
      <c r="D133" s="616"/>
      <c r="E133" s="467"/>
      <c r="F133" s="504"/>
      <c r="G133" s="468"/>
      <c r="H133" s="616"/>
      <c r="I133" s="467"/>
      <c r="J133" s="504"/>
      <c r="K133" s="468"/>
      <c r="L133" s="616"/>
      <c r="M133" s="467"/>
      <c r="N133" s="504"/>
      <c r="O133" s="468"/>
      <c r="P133" s="616"/>
      <c r="Q133" s="635"/>
      <c r="R133" s="636"/>
      <c r="S133" s="637"/>
      <c r="T133" s="629"/>
      <c r="U133" s="635"/>
      <c r="V133" s="636"/>
      <c r="W133" s="637"/>
      <c r="X133" s="629"/>
      <c r="Y133" s="467"/>
      <c r="Z133" s="504"/>
      <c r="AA133" s="468"/>
      <c r="AB133" s="616"/>
      <c r="AC133" s="635"/>
      <c r="AD133" s="636"/>
      <c r="AE133" s="637"/>
      <c r="AF133" s="629"/>
      <c r="AG133" s="635"/>
      <c r="AH133" s="636"/>
      <c r="AI133" s="637"/>
      <c r="AJ133" s="629"/>
      <c r="AK133" s="635"/>
      <c r="AL133" s="636"/>
      <c r="AM133" s="637"/>
      <c r="AN133" s="629"/>
      <c r="AO133" s="467"/>
      <c r="AP133" s="504"/>
      <c r="AQ133" s="468"/>
      <c r="AR133" s="616"/>
      <c r="AS133" s="630"/>
      <c r="AT133" s="630"/>
    </row>
    <row r="134">
      <c r="A134" s="467"/>
      <c r="B134" s="504"/>
      <c r="C134" s="468"/>
      <c r="D134" s="616"/>
      <c r="E134" s="467"/>
      <c r="F134" s="504"/>
      <c r="G134" s="468"/>
      <c r="H134" s="616"/>
      <c r="I134" s="467"/>
      <c r="J134" s="504"/>
      <c r="K134" s="468"/>
      <c r="L134" s="616"/>
      <c r="M134" s="467"/>
      <c r="N134" s="504"/>
      <c r="O134" s="468"/>
      <c r="P134" s="616"/>
      <c r="Q134" s="635"/>
      <c r="R134" s="636"/>
      <c r="S134" s="637"/>
      <c r="T134" s="629"/>
      <c r="U134" s="635"/>
      <c r="V134" s="636"/>
      <c r="W134" s="637"/>
      <c r="X134" s="629"/>
      <c r="Y134" s="467"/>
      <c r="Z134" s="504"/>
      <c r="AA134" s="468"/>
      <c r="AB134" s="616"/>
      <c r="AC134" s="635"/>
      <c r="AD134" s="636"/>
      <c r="AE134" s="637"/>
      <c r="AF134" s="629"/>
      <c r="AG134" s="635"/>
      <c r="AH134" s="636"/>
      <c r="AI134" s="637"/>
      <c r="AJ134" s="629"/>
      <c r="AK134" s="635"/>
      <c r="AL134" s="636"/>
      <c r="AM134" s="637"/>
      <c r="AN134" s="629"/>
      <c r="AO134" s="467"/>
      <c r="AP134" s="504"/>
      <c r="AQ134" s="468"/>
      <c r="AR134" s="616"/>
      <c r="AS134" s="630"/>
      <c r="AT134" s="630"/>
    </row>
    <row r="135">
      <c r="A135" s="467"/>
      <c r="B135" s="504"/>
      <c r="C135" s="468"/>
      <c r="D135" s="616"/>
      <c r="E135" s="467"/>
      <c r="F135" s="504"/>
      <c r="G135" s="468"/>
      <c r="H135" s="616"/>
      <c r="I135" s="467"/>
      <c r="J135" s="504"/>
      <c r="K135" s="468"/>
      <c r="L135" s="616"/>
      <c r="M135" s="467"/>
      <c r="N135" s="504"/>
      <c r="O135" s="468"/>
      <c r="P135" s="616"/>
      <c r="Q135" s="635"/>
      <c r="R135" s="636"/>
      <c r="S135" s="637"/>
      <c r="T135" s="629"/>
      <c r="U135" s="635"/>
      <c r="V135" s="636"/>
      <c r="W135" s="637"/>
      <c r="X135" s="629"/>
      <c r="Y135" s="467"/>
      <c r="Z135" s="504"/>
      <c r="AA135" s="468"/>
      <c r="AB135" s="616"/>
      <c r="AC135" s="635"/>
      <c r="AD135" s="636"/>
      <c r="AE135" s="637"/>
      <c r="AF135" s="629"/>
      <c r="AG135" s="635"/>
      <c r="AH135" s="636"/>
      <c r="AI135" s="637"/>
      <c r="AJ135" s="629"/>
      <c r="AK135" s="635"/>
      <c r="AL135" s="636"/>
      <c r="AM135" s="637"/>
      <c r="AN135" s="629"/>
      <c r="AO135" s="467"/>
      <c r="AP135" s="504"/>
      <c r="AQ135" s="468"/>
      <c r="AR135" s="616"/>
      <c r="AS135" s="630"/>
      <c r="AT135" s="630"/>
    </row>
    <row r="136">
      <c r="A136" s="467"/>
      <c r="B136" s="504"/>
      <c r="C136" s="468"/>
      <c r="D136" s="616"/>
      <c r="E136" s="467"/>
      <c r="F136" s="504"/>
      <c r="G136" s="468"/>
      <c r="H136" s="616"/>
      <c r="I136" s="467"/>
      <c r="J136" s="504"/>
      <c r="K136" s="468"/>
      <c r="L136" s="616"/>
      <c r="M136" s="467"/>
      <c r="N136" s="504"/>
      <c r="O136" s="468"/>
      <c r="P136" s="616"/>
      <c r="Q136" s="635"/>
      <c r="R136" s="636"/>
      <c r="S136" s="637"/>
      <c r="T136" s="629"/>
      <c r="U136" s="635"/>
      <c r="V136" s="636"/>
      <c r="W136" s="637"/>
      <c r="X136" s="629"/>
      <c r="Y136" s="467"/>
      <c r="Z136" s="504"/>
      <c r="AA136" s="468"/>
      <c r="AB136" s="616"/>
      <c r="AC136" s="635"/>
      <c r="AD136" s="636"/>
      <c r="AE136" s="637"/>
      <c r="AF136" s="629"/>
      <c r="AG136" s="635"/>
      <c r="AH136" s="636"/>
      <c r="AI136" s="637"/>
      <c r="AJ136" s="629"/>
      <c r="AK136" s="635"/>
      <c r="AL136" s="636"/>
      <c r="AM136" s="637"/>
      <c r="AN136" s="629"/>
      <c r="AO136" s="467"/>
      <c r="AP136" s="504"/>
      <c r="AQ136" s="468"/>
      <c r="AR136" s="616"/>
      <c r="AS136" s="630"/>
      <c r="AT136" s="630"/>
    </row>
    <row r="137">
      <c r="A137" s="467"/>
      <c r="B137" s="504"/>
      <c r="C137" s="468"/>
      <c r="D137" s="616"/>
      <c r="E137" s="467"/>
      <c r="F137" s="504"/>
      <c r="G137" s="468"/>
      <c r="H137" s="616"/>
      <c r="I137" s="467"/>
      <c r="J137" s="504"/>
      <c r="K137" s="468"/>
      <c r="L137" s="616"/>
      <c r="M137" s="467"/>
      <c r="N137" s="504"/>
      <c r="O137" s="468"/>
      <c r="P137" s="616"/>
      <c r="Q137" s="635"/>
      <c r="R137" s="636"/>
      <c r="S137" s="637"/>
      <c r="T137" s="629"/>
      <c r="U137" s="635"/>
      <c r="V137" s="636"/>
      <c r="W137" s="637"/>
      <c r="X137" s="629"/>
      <c r="Y137" s="467"/>
      <c r="Z137" s="504"/>
      <c r="AA137" s="468"/>
      <c r="AB137" s="616"/>
      <c r="AC137" s="635"/>
      <c r="AD137" s="636"/>
      <c r="AE137" s="637"/>
      <c r="AF137" s="629"/>
      <c r="AG137" s="635"/>
      <c r="AH137" s="636"/>
      <c r="AI137" s="637"/>
      <c r="AJ137" s="629"/>
      <c r="AK137" s="635"/>
      <c r="AL137" s="636"/>
      <c r="AM137" s="637"/>
      <c r="AN137" s="629"/>
      <c r="AO137" s="467"/>
      <c r="AP137" s="504"/>
      <c r="AQ137" s="468"/>
      <c r="AR137" s="616"/>
      <c r="AS137" s="630"/>
      <c r="AT137" s="630"/>
    </row>
    <row r="138">
      <c r="A138" s="467"/>
      <c r="B138" s="504"/>
      <c r="C138" s="468"/>
      <c r="D138" s="616"/>
      <c r="E138" s="467"/>
      <c r="F138" s="504"/>
      <c r="G138" s="468"/>
      <c r="H138" s="616"/>
      <c r="I138" s="467"/>
      <c r="J138" s="504"/>
      <c r="K138" s="468"/>
      <c r="L138" s="616"/>
      <c r="M138" s="467"/>
      <c r="N138" s="504"/>
      <c r="O138" s="468"/>
      <c r="P138" s="616"/>
      <c r="Q138" s="635"/>
      <c r="R138" s="636"/>
      <c r="S138" s="637"/>
      <c r="T138" s="629"/>
      <c r="U138" s="635"/>
      <c r="V138" s="636"/>
      <c r="W138" s="637"/>
      <c r="X138" s="629"/>
      <c r="Y138" s="467"/>
      <c r="Z138" s="504"/>
      <c r="AA138" s="468"/>
      <c r="AB138" s="616"/>
      <c r="AC138" s="635"/>
      <c r="AD138" s="636"/>
      <c r="AE138" s="637"/>
      <c r="AF138" s="629"/>
      <c r="AG138" s="635"/>
      <c r="AH138" s="636"/>
      <c r="AI138" s="637"/>
      <c r="AJ138" s="629"/>
      <c r="AK138" s="635"/>
      <c r="AL138" s="636"/>
      <c r="AM138" s="637"/>
      <c r="AN138" s="629"/>
      <c r="AO138" s="467"/>
      <c r="AP138" s="504"/>
      <c r="AQ138" s="468"/>
      <c r="AR138" s="616"/>
      <c r="AS138" s="630"/>
      <c r="AT138" s="630"/>
    </row>
    <row r="139">
      <c r="A139" s="467"/>
      <c r="B139" s="504"/>
      <c r="C139" s="468"/>
      <c r="D139" s="616"/>
      <c r="E139" s="467"/>
      <c r="F139" s="504"/>
      <c r="G139" s="468"/>
      <c r="H139" s="616"/>
      <c r="I139" s="467"/>
      <c r="J139" s="504"/>
      <c r="K139" s="468"/>
      <c r="L139" s="616"/>
      <c r="M139" s="467"/>
      <c r="N139" s="504"/>
      <c r="O139" s="468"/>
      <c r="P139" s="616"/>
      <c r="Q139" s="635"/>
      <c r="R139" s="636"/>
      <c r="S139" s="637"/>
      <c r="T139" s="629"/>
      <c r="U139" s="635"/>
      <c r="V139" s="636"/>
      <c r="W139" s="637"/>
      <c r="X139" s="629"/>
      <c r="Y139" s="467"/>
      <c r="Z139" s="504"/>
      <c r="AA139" s="468"/>
      <c r="AB139" s="616"/>
      <c r="AC139" s="635"/>
      <c r="AD139" s="636"/>
      <c r="AE139" s="637"/>
      <c r="AF139" s="629"/>
      <c r="AG139" s="635"/>
      <c r="AH139" s="636"/>
      <c r="AI139" s="637"/>
      <c r="AJ139" s="629"/>
      <c r="AK139" s="635"/>
      <c r="AL139" s="636"/>
      <c r="AM139" s="637"/>
      <c r="AN139" s="629"/>
      <c r="AO139" s="467"/>
      <c r="AP139" s="504"/>
      <c r="AQ139" s="468"/>
      <c r="AR139" s="616"/>
      <c r="AS139" s="630"/>
      <c r="AT139" s="630"/>
    </row>
    <row r="140">
      <c r="A140" s="467"/>
      <c r="B140" s="504"/>
      <c r="C140" s="468"/>
      <c r="D140" s="616"/>
      <c r="E140" s="467"/>
      <c r="F140" s="504"/>
      <c r="G140" s="468"/>
      <c r="H140" s="616"/>
      <c r="I140" s="467"/>
      <c r="J140" s="504"/>
      <c r="K140" s="468"/>
      <c r="L140" s="616"/>
      <c r="M140" s="467"/>
      <c r="N140" s="504"/>
      <c r="O140" s="468"/>
      <c r="P140" s="616"/>
      <c r="Q140" s="635"/>
      <c r="R140" s="636"/>
      <c r="S140" s="637"/>
      <c r="T140" s="629"/>
      <c r="U140" s="635"/>
      <c r="V140" s="636"/>
      <c r="W140" s="637"/>
      <c r="X140" s="629"/>
      <c r="Y140" s="467"/>
      <c r="Z140" s="504"/>
      <c r="AA140" s="468"/>
      <c r="AB140" s="616"/>
      <c r="AC140" s="635"/>
      <c r="AD140" s="636"/>
      <c r="AE140" s="637"/>
      <c r="AF140" s="629"/>
      <c r="AG140" s="635"/>
      <c r="AH140" s="636"/>
      <c r="AI140" s="637"/>
      <c r="AJ140" s="629"/>
      <c r="AK140" s="635"/>
      <c r="AL140" s="636"/>
      <c r="AM140" s="637"/>
      <c r="AN140" s="629"/>
      <c r="AO140" s="467"/>
      <c r="AP140" s="504"/>
      <c r="AQ140" s="468"/>
      <c r="AR140" s="616"/>
      <c r="AS140" s="630"/>
      <c r="AT140" s="630"/>
    </row>
    <row r="141">
      <c r="A141" s="467"/>
      <c r="B141" s="504"/>
      <c r="C141" s="468"/>
      <c r="D141" s="616"/>
      <c r="E141" s="467"/>
      <c r="F141" s="504"/>
      <c r="G141" s="468"/>
      <c r="H141" s="616"/>
      <c r="I141" s="467"/>
      <c r="J141" s="504"/>
      <c r="K141" s="468"/>
      <c r="L141" s="616"/>
      <c r="M141" s="467"/>
      <c r="N141" s="504"/>
      <c r="O141" s="468"/>
      <c r="P141" s="616"/>
      <c r="Q141" s="635"/>
      <c r="R141" s="636"/>
      <c r="S141" s="637"/>
      <c r="T141" s="629"/>
      <c r="U141" s="635"/>
      <c r="V141" s="636"/>
      <c r="W141" s="637"/>
      <c r="X141" s="629"/>
      <c r="Y141" s="467"/>
      <c r="Z141" s="504"/>
      <c r="AA141" s="468"/>
      <c r="AB141" s="616"/>
      <c r="AC141" s="635"/>
      <c r="AD141" s="636"/>
      <c r="AE141" s="637"/>
      <c r="AF141" s="629"/>
      <c r="AG141" s="635"/>
      <c r="AH141" s="636"/>
      <c r="AI141" s="637"/>
      <c r="AJ141" s="629"/>
      <c r="AK141" s="635"/>
      <c r="AL141" s="636"/>
      <c r="AM141" s="637"/>
      <c r="AN141" s="629"/>
      <c r="AO141" s="467"/>
      <c r="AP141" s="504"/>
      <c r="AQ141" s="468"/>
      <c r="AR141" s="616"/>
      <c r="AS141" s="630"/>
      <c r="AT141" s="630"/>
    </row>
    <row r="142">
      <c r="A142" s="467"/>
      <c r="B142" s="504"/>
      <c r="C142" s="468"/>
      <c r="D142" s="616"/>
      <c r="E142" s="467"/>
      <c r="F142" s="504"/>
      <c r="G142" s="468"/>
      <c r="H142" s="616"/>
      <c r="I142" s="467"/>
      <c r="J142" s="504"/>
      <c r="K142" s="468"/>
      <c r="L142" s="616"/>
      <c r="M142" s="467"/>
      <c r="N142" s="504"/>
      <c r="O142" s="468"/>
      <c r="P142" s="616"/>
      <c r="Q142" s="635"/>
      <c r="R142" s="636"/>
      <c r="S142" s="637"/>
      <c r="T142" s="629"/>
      <c r="U142" s="635"/>
      <c r="V142" s="636"/>
      <c r="W142" s="637"/>
      <c r="X142" s="629"/>
      <c r="Y142" s="467"/>
      <c r="Z142" s="504"/>
      <c r="AA142" s="468"/>
      <c r="AB142" s="616"/>
      <c r="AC142" s="635"/>
      <c r="AD142" s="636"/>
      <c r="AE142" s="637"/>
      <c r="AF142" s="629"/>
      <c r="AG142" s="635"/>
      <c r="AH142" s="636"/>
      <c r="AI142" s="637"/>
      <c r="AJ142" s="629"/>
      <c r="AK142" s="635"/>
      <c r="AL142" s="636"/>
      <c r="AM142" s="637"/>
      <c r="AN142" s="629"/>
      <c r="AO142" s="467"/>
      <c r="AP142" s="504"/>
      <c r="AQ142" s="468"/>
      <c r="AR142" s="616"/>
      <c r="AS142" s="630"/>
      <c r="AT142" s="630"/>
    </row>
    <row r="143">
      <c r="A143" s="467"/>
      <c r="B143" s="504"/>
      <c r="C143" s="468"/>
      <c r="D143" s="616"/>
      <c r="E143" s="467"/>
      <c r="F143" s="504"/>
      <c r="G143" s="468"/>
      <c r="H143" s="616"/>
      <c r="I143" s="467"/>
      <c r="J143" s="504"/>
      <c r="K143" s="468"/>
      <c r="L143" s="616"/>
      <c r="M143" s="467"/>
      <c r="N143" s="504"/>
      <c r="O143" s="468"/>
      <c r="P143" s="616"/>
      <c r="Q143" s="635"/>
      <c r="R143" s="636"/>
      <c r="S143" s="637"/>
      <c r="T143" s="629"/>
      <c r="U143" s="635"/>
      <c r="V143" s="636"/>
      <c r="W143" s="637"/>
      <c r="X143" s="629"/>
      <c r="Y143" s="467"/>
      <c r="Z143" s="504"/>
      <c r="AA143" s="468"/>
      <c r="AB143" s="616"/>
      <c r="AC143" s="635"/>
      <c r="AD143" s="636"/>
      <c r="AE143" s="637"/>
      <c r="AF143" s="629"/>
      <c r="AG143" s="635"/>
      <c r="AH143" s="636"/>
      <c r="AI143" s="637"/>
      <c r="AJ143" s="629"/>
      <c r="AK143" s="635"/>
      <c r="AL143" s="636"/>
      <c r="AM143" s="637"/>
      <c r="AN143" s="629"/>
      <c r="AO143" s="467"/>
      <c r="AP143" s="504"/>
      <c r="AQ143" s="468"/>
      <c r="AR143" s="616"/>
      <c r="AS143" s="630"/>
      <c r="AT143" s="630"/>
    </row>
    <row r="144">
      <c r="A144" s="467"/>
      <c r="B144" s="504"/>
      <c r="C144" s="468"/>
      <c r="D144" s="616"/>
      <c r="E144" s="467"/>
      <c r="F144" s="504"/>
      <c r="G144" s="468"/>
      <c r="H144" s="616"/>
      <c r="I144" s="467"/>
      <c r="J144" s="504"/>
      <c r="K144" s="468"/>
      <c r="L144" s="616"/>
      <c r="M144" s="467"/>
      <c r="N144" s="504"/>
      <c r="O144" s="468"/>
      <c r="P144" s="616"/>
      <c r="Q144" s="635"/>
      <c r="R144" s="636"/>
      <c r="S144" s="637"/>
      <c r="T144" s="629"/>
      <c r="U144" s="635"/>
      <c r="V144" s="636"/>
      <c r="W144" s="637"/>
      <c r="X144" s="629"/>
      <c r="Y144" s="467"/>
      <c r="Z144" s="504"/>
      <c r="AA144" s="468"/>
      <c r="AB144" s="616"/>
      <c r="AC144" s="635"/>
      <c r="AD144" s="636"/>
      <c r="AE144" s="637"/>
      <c r="AF144" s="629"/>
      <c r="AG144" s="635"/>
      <c r="AH144" s="636"/>
      <c r="AI144" s="637"/>
      <c r="AJ144" s="629"/>
      <c r="AK144" s="635"/>
      <c r="AL144" s="636"/>
      <c r="AM144" s="637"/>
      <c r="AN144" s="629"/>
      <c r="AO144" s="467"/>
      <c r="AP144" s="504"/>
      <c r="AQ144" s="468"/>
      <c r="AR144" s="616"/>
      <c r="AS144" s="630"/>
      <c r="AT144" s="630"/>
    </row>
    <row r="145">
      <c r="A145" s="467"/>
      <c r="B145" s="504"/>
      <c r="C145" s="468"/>
      <c r="D145" s="616"/>
      <c r="E145" s="467"/>
      <c r="F145" s="504"/>
      <c r="G145" s="468"/>
      <c r="H145" s="616"/>
      <c r="I145" s="467"/>
      <c r="J145" s="504"/>
      <c r="K145" s="468"/>
      <c r="L145" s="616"/>
      <c r="M145" s="467"/>
      <c r="N145" s="504"/>
      <c r="O145" s="468"/>
      <c r="P145" s="616"/>
      <c r="Q145" s="635"/>
      <c r="R145" s="636"/>
      <c r="S145" s="637"/>
      <c r="T145" s="629"/>
      <c r="U145" s="635"/>
      <c r="V145" s="636"/>
      <c r="W145" s="637"/>
      <c r="X145" s="629"/>
      <c r="Y145" s="467"/>
      <c r="Z145" s="504"/>
      <c r="AA145" s="468"/>
      <c r="AB145" s="616"/>
      <c r="AC145" s="635"/>
      <c r="AD145" s="636"/>
      <c r="AE145" s="637"/>
      <c r="AF145" s="629"/>
      <c r="AG145" s="635"/>
      <c r="AH145" s="636"/>
      <c r="AI145" s="637"/>
      <c r="AJ145" s="629"/>
      <c r="AK145" s="635"/>
      <c r="AL145" s="636"/>
      <c r="AM145" s="637"/>
      <c r="AN145" s="629"/>
      <c r="AO145" s="467"/>
      <c r="AP145" s="504"/>
      <c r="AQ145" s="468"/>
      <c r="AR145" s="616"/>
      <c r="AS145" s="630"/>
      <c r="AT145" s="630"/>
    </row>
    <row r="146">
      <c r="A146" s="467"/>
      <c r="B146" s="504"/>
      <c r="C146" s="468"/>
      <c r="D146" s="616"/>
      <c r="E146" s="467"/>
      <c r="F146" s="504"/>
      <c r="G146" s="468"/>
      <c r="H146" s="616"/>
      <c r="I146" s="467"/>
      <c r="J146" s="504"/>
      <c r="K146" s="468"/>
      <c r="L146" s="616"/>
      <c r="M146" s="467"/>
      <c r="N146" s="504"/>
      <c r="O146" s="468"/>
      <c r="P146" s="616"/>
      <c r="Q146" s="635"/>
      <c r="R146" s="636"/>
      <c r="S146" s="637"/>
      <c r="T146" s="629"/>
      <c r="U146" s="635"/>
      <c r="V146" s="636"/>
      <c r="W146" s="637"/>
      <c r="X146" s="629"/>
      <c r="Y146" s="467"/>
      <c r="Z146" s="504"/>
      <c r="AA146" s="468"/>
      <c r="AB146" s="616"/>
      <c r="AC146" s="635"/>
      <c r="AD146" s="636"/>
      <c r="AE146" s="637"/>
      <c r="AF146" s="629"/>
      <c r="AG146" s="635"/>
      <c r="AH146" s="636"/>
      <c r="AI146" s="637"/>
      <c r="AJ146" s="629"/>
      <c r="AK146" s="635"/>
      <c r="AL146" s="636"/>
      <c r="AM146" s="637"/>
      <c r="AN146" s="629"/>
      <c r="AO146" s="467"/>
      <c r="AP146" s="504"/>
      <c r="AQ146" s="468"/>
      <c r="AR146" s="616"/>
      <c r="AS146" s="630"/>
      <c r="AT146" s="630"/>
    </row>
    <row r="147">
      <c r="A147" s="467"/>
      <c r="B147" s="504"/>
      <c r="C147" s="468"/>
      <c r="D147" s="616"/>
      <c r="E147" s="467"/>
      <c r="F147" s="504"/>
      <c r="G147" s="468"/>
      <c r="H147" s="616"/>
      <c r="I147" s="467"/>
      <c r="J147" s="504"/>
      <c r="K147" s="468"/>
      <c r="L147" s="616"/>
      <c r="M147" s="467"/>
      <c r="N147" s="504"/>
      <c r="O147" s="468"/>
      <c r="P147" s="616"/>
      <c r="Q147" s="635"/>
      <c r="R147" s="636"/>
      <c r="S147" s="637"/>
      <c r="T147" s="629"/>
      <c r="U147" s="635"/>
      <c r="V147" s="636"/>
      <c r="W147" s="637"/>
      <c r="X147" s="629"/>
      <c r="Y147" s="467"/>
      <c r="Z147" s="504"/>
      <c r="AA147" s="468"/>
      <c r="AB147" s="616"/>
      <c r="AC147" s="635"/>
      <c r="AD147" s="636"/>
      <c r="AE147" s="637"/>
      <c r="AF147" s="629"/>
      <c r="AG147" s="635"/>
      <c r="AH147" s="636"/>
      <c r="AI147" s="637"/>
      <c r="AJ147" s="629"/>
      <c r="AK147" s="635"/>
      <c r="AL147" s="636"/>
      <c r="AM147" s="637"/>
      <c r="AN147" s="629"/>
      <c r="AO147" s="467"/>
      <c r="AP147" s="504"/>
      <c r="AQ147" s="468"/>
      <c r="AR147" s="616"/>
      <c r="AS147" s="630"/>
      <c r="AT147" s="630"/>
    </row>
    <row r="148">
      <c r="A148" s="467"/>
      <c r="B148" s="504"/>
      <c r="C148" s="468"/>
      <c r="D148" s="616"/>
      <c r="E148" s="467"/>
      <c r="F148" s="504"/>
      <c r="G148" s="468"/>
      <c r="H148" s="616"/>
      <c r="I148" s="467"/>
      <c r="J148" s="504"/>
      <c r="K148" s="468"/>
      <c r="L148" s="616"/>
      <c r="M148" s="467"/>
      <c r="N148" s="504"/>
      <c r="O148" s="468"/>
      <c r="P148" s="616"/>
      <c r="Q148" s="635"/>
      <c r="R148" s="636"/>
      <c r="S148" s="637"/>
      <c r="T148" s="629"/>
      <c r="U148" s="635"/>
      <c r="V148" s="636"/>
      <c r="W148" s="637"/>
      <c r="X148" s="629"/>
      <c r="Y148" s="467"/>
      <c r="Z148" s="504"/>
      <c r="AA148" s="468"/>
      <c r="AB148" s="616"/>
      <c r="AC148" s="635"/>
      <c r="AD148" s="636"/>
      <c r="AE148" s="637"/>
      <c r="AF148" s="629"/>
      <c r="AG148" s="635"/>
      <c r="AH148" s="636"/>
      <c r="AI148" s="637"/>
      <c r="AJ148" s="629"/>
      <c r="AK148" s="635"/>
      <c r="AL148" s="636"/>
      <c r="AM148" s="637"/>
      <c r="AN148" s="629"/>
      <c r="AO148" s="467"/>
      <c r="AP148" s="504"/>
      <c r="AQ148" s="468"/>
      <c r="AR148" s="616"/>
      <c r="AS148" s="630"/>
      <c r="AT148" s="630"/>
    </row>
    <row r="149">
      <c r="A149" s="467"/>
      <c r="B149" s="504"/>
      <c r="C149" s="468"/>
      <c r="D149" s="616"/>
      <c r="E149" s="467"/>
      <c r="F149" s="504"/>
      <c r="G149" s="468"/>
      <c r="H149" s="616"/>
      <c r="I149" s="467"/>
      <c r="J149" s="504"/>
      <c r="K149" s="468"/>
      <c r="L149" s="616"/>
      <c r="M149" s="467"/>
      <c r="N149" s="504"/>
      <c r="O149" s="468"/>
      <c r="P149" s="616"/>
      <c r="Q149" s="635"/>
      <c r="R149" s="636"/>
      <c r="S149" s="637"/>
      <c r="T149" s="629"/>
      <c r="U149" s="635"/>
      <c r="V149" s="636"/>
      <c r="W149" s="637"/>
      <c r="X149" s="629"/>
      <c r="Y149" s="467"/>
      <c r="Z149" s="504"/>
      <c r="AA149" s="468"/>
      <c r="AB149" s="616"/>
      <c r="AC149" s="635"/>
      <c r="AD149" s="636"/>
      <c r="AE149" s="637"/>
      <c r="AF149" s="629"/>
      <c r="AG149" s="635"/>
      <c r="AH149" s="636"/>
      <c r="AI149" s="637"/>
      <c r="AJ149" s="629"/>
      <c r="AK149" s="635"/>
      <c r="AL149" s="636"/>
      <c r="AM149" s="637"/>
      <c r="AN149" s="629"/>
      <c r="AO149" s="467"/>
      <c r="AP149" s="504"/>
      <c r="AQ149" s="468"/>
      <c r="AR149" s="616"/>
      <c r="AS149" s="630"/>
      <c r="AT149" s="630"/>
    </row>
    <row r="150">
      <c r="A150" s="467"/>
      <c r="B150" s="504"/>
      <c r="C150" s="468"/>
      <c r="D150" s="616"/>
      <c r="E150" s="467"/>
      <c r="F150" s="504"/>
      <c r="G150" s="468"/>
      <c r="H150" s="616"/>
      <c r="I150" s="467"/>
      <c r="J150" s="504"/>
      <c r="K150" s="468"/>
      <c r="L150" s="616"/>
      <c r="M150" s="467"/>
      <c r="N150" s="504"/>
      <c r="O150" s="468"/>
      <c r="P150" s="616"/>
      <c r="Q150" s="635"/>
      <c r="R150" s="636"/>
      <c r="S150" s="637"/>
      <c r="T150" s="629"/>
      <c r="U150" s="635"/>
      <c r="V150" s="636"/>
      <c r="W150" s="637"/>
      <c r="X150" s="629"/>
      <c r="Y150" s="467"/>
      <c r="Z150" s="504"/>
      <c r="AA150" s="468"/>
      <c r="AB150" s="616"/>
      <c r="AC150" s="635"/>
      <c r="AD150" s="636"/>
      <c r="AE150" s="637"/>
      <c r="AF150" s="629"/>
      <c r="AG150" s="635"/>
      <c r="AH150" s="636"/>
      <c r="AI150" s="637"/>
      <c r="AJ150" s="629"/>
      <c r="AK150" s="635"/>
      <c r="AL150" s="636"/>
      <c r="AM150" s="637"/>
      <c r="AN150" s="629"/>
      <c r="AO150" s="467"/>
      <c r="AP150" s="504"/>
      <c r="AQ150" s="468"/>
      <c r="AR150" s="616"/>
      <c r="AS150" s="630"/>
      <c r="AT150" s="630"/>
    </row>
    <row r="151">
      <c r="A151" s="467"/>
      <c r="B151" s="504"/>
      <c r="C151" s="468"/>
      <c r="D151" s="616"/>
      <c r="E151" s="467"/>
      <c r="F151" s="504"/>
      <c r="G151" s="468"/>
      <c r="H151" s="616"/>
      <c r="I151" s="467"/>
      <c r="J151" s="504"/>
      <c r="K151" s="468"/>
      <c r="L151" s="616"/>
      <c r="M151" s="467"/>
      <c r="N151" s="504"/>
      <c r="O151" s="468"/>
      <c r="P151" s="616"/>
      <c r="Q151" s="635"/>
      <c r="R151" s="636"/>
      <c r="S151" s="637"/>
      <c r="T151" s="629"/>
      <c r="U151" s="635"/>
      <c r="V151" s="636"/>
      <c r="W151" s="637"/>
      <c r="X151" s="629"/>
      <c r="Y151" s="467"/>
      <c r="Z151" s="504"/>
      <c r="AA151" s="468"/>
      <c r="AB151" s="616"/>
      <c r="AC151" s="635"/>
      <c r="AD151" s="636"/>
      <c r="AE151" s="637"/>
      <c r="AF151" s="629"/>
      <c r="AG151" s="635"/>
      <c r="AH151" s="636"/>
      <c r="AI151" s="637"/>
      <c r="AJ151" s="629"/>
      <c r="AK151" s="635"/>
      <c r="AL151" s="636"/>
      <c r="AM151" s="637"/>
      <c r="AN151" s="629"/>
      <c r="AO151" s="467"/>
      <c r="AP151" s="504"/>
      <c r="AQ151" s="468"/>
      <c r="AR151" s="616"/>
      <c r="AS151" s="630"/>
      <c r="AT151" s="630"/>
    </row>
    <row r="152">
      <c r="A152" s="467"/>
      <c r="B152" s="504"/>
      <c r="C152" s="468"/>
      <c r="D152" s="616"/>
      <c r="E152" s="467"/>
      <c r="F152" s="504"/>
      <c r="G152" s="468"/>
      <c r="H152" s="616"/>
      <c r="I152" s="467"/>
      <c r="J152" s="504"/>
      <c r="K152" s="468"/>
      <c r="L152" s="616"/>
      <c r="M152" s="467"/>
      <c r="N152" s="504"/>
      <c r="O152" s="468"/>
      <c r="P152" s="616"/>
      <c r="Q152" s="635"/>
      <c r="R152" s="636"/>
      <c r="S152" s="637"/>
      <c r="T152" s="629"/>
      <c r="U152" s="635"/>
      <c r="V152" s="636"/>
      <c r="W152" s="637"/>
      <c r="X152" s="629"/>
      <c r="Y152" s="467"/>
      <c r="Z152" s="504"/>
      <c r="AA152" s="468"/>
      <c r="AB152" s="616"/>
      <c r="AC152" s="635"/>
      <c r="AD152" s="636"/>
      <c r="AE152" s="637"/>
      <c r="AF152" s="629"/>
      <c r="AG152" s="635"/>
      <c r="AH152" s="636"/>
      <c r="AI152" s="637"/>
      <c r="AJ152" s="629"/>
      <c r="AK152" s="635"/>
      <c r="AL152" s="636"/>
      <c r="AM152" s="637"/>
      <c r="AN152" s="629"/>
      <c r="AO152" s="467"/>
      <c r="AP152" s="504"/>
      <c r="AQ152" s="468"/>
      <c r="AR152" s="616"/>
      <c r="AS152" s="630"/>
      <c r="AT152" s="630"/>
    </row>
    <row r="153">
      <c r="A153" s="467"/>
      <c r="B153" s="504"/>
      <c r="C153" s="468"/>
      <c r="D153" s="616"/>
      <c r="E153" s="467"/>
      <c r="F153" s="504"/>
      <c r="G153" s="468"/>
      <c r="H153" s="616"/>
      <c r="I153" s="467"/>
      <c r="J153" s="504"/>
      <c r="K153" s="468"/>
      <c r="L153" s="616"/>
      <c r="M153" s="467"/>
      <c r="N153" s="504"/>
      <c r="O153" s="468"/>
      <c r="P153" s="616"/>
      <c r="Q153" s="635"/>
      <c r="R153" s="636"/>
      <c r="S153" s="637"/>
      <c r="T153" s="629"/>
      <c r="U153" s="635"/>
      <c r="V153" s="636"/>
      <c r="W153" s="637"/>
      <c r="X153" s="629"/>
      <c r="Y153" s="467"/>
      <c r="Z153" s="504"/>
      <c r="AA153" s="468"/>
      <c r="AB153" s="616"/>
      <c r="AC153" s="635"/>
      <c r="AD153" s="636"/>
      <c r="AE153" s="637"/>
      <c r="AF153" s="629"/>
      <c r="AG153" s="635"/>
      <c r="AH153" s="636"/>
      <c r="AI153" s="637"/>
      <c r="AJ153" s="629"/>
      <c r="AK153" s="635"/>
      <c r="AL153" s="636"/>
      <c r="AM153" s="637"/>
      <c r="AN153" s="629"/>
      <c r="AO153" s="467"/>
      <c r="AP153" s="504"/>
      <c r="AQ153" s="468"/>
      <c r="AR153" s="616"/>
      <c r="AS153" s="630"/>
      <c r="AT153" s="630"/>
    </row>
    <row r="154">
      <c r="A154" s="467"/>
      <c r="B154" s="504"/>
      <c r="C154" s="468"/>
      <c r="D154" s="616"/>
      <c r="E154" s="467"/>
      <c r="F154" s="504"/>
      <c r="G154" s="468"/>
      <c r="H154" s="616"/>
      <c r="I154" s="467"/>
      <c r="J154" s="504"/>
      <c r="K154" s="468"/>
      <c r="L154" s="616"/>
      <c r="M154" s="467"/>
      <c r="N154" s="504"/>
      <c r="O154" s="468"/>
      <c r="P154" s="616"/>
      <c r="Q154" s="635"/>
      <c r="R154" s="636"/>
      <c r="S154" s="637"/>
      <c r="T154" s="629"/>
      <c r="U154" s="635"/>
      <c r="V154" s="636"/>
      <c r="W154" s="637"/>
      <c r="X154" s="629"/>
      <c r="Y154" s="467"/>
      <c r="Z154" s="504"/>
      <c r="AA154" s="468"/>
      <c r="AB154" s="616"/>
      <c r="AC154" s="635"/>
      <c r="AD154" s="636"/>
      <c r="AE154" s="637"/>
      <c r="AF154" s="629"/>
      <c r="AG154" s="635"/>
      <c r="AH154" s="636"/>
      <c r="AI154" s="637"/>
      <c r="AJ154" s="629"/>
      <c r="AK154" s="635"/>
      <c r="AL154" s="636"/>
      <c r="AM154" s="637"/>
      <c r="AN154" s="629"/>
      <c r="AO154" s="467"/>
      <c r="AP154" s="504"/>
      <c r="AQ154" s="468"/>
      <c r="AR154" s="616"/>
      <c r="AS154" s="630"/>
      <c r="AT154" s="630"/>
    </row>
    <row r="155">
      <c r="A155" s="467"/>
      <c r="B155" s="504"/>
      <c r="C155" s="468"/>
      <c r="D155" s="616"/>
      <c r="E155" s="467"/>
      <c r="F155" s="504"/>
      <c r="G155" s="468"/>
      <c r="H155" s="616"/>
      <c r="I155" s="467"/>
      <c r="J155" s="504"/>
      <c r="K155" s="468"/>
      <c r="L155" s="616"/>
      <c r="M155" s="467"/>
      <c r="N155" s="504"/>
      <c r="O155" s="468"/>
      <c r="P155" s="616"/>
      <c r="Q155" s="635"/>
      <c r="R155" s="636"/>
      <c r="S155" s="637"/>
      <c r="T155" s="629"/>
      <c r="U155" s="635"/>
      <c r="V155" s="636"/>
      <c r="W155" s="637"/>
      <c r="X155" s="629"/>
      <c r="Y155" s="467"/>
      <c r="Z155" s="504"/>
      <c r="AA155" s="468"/>
      <c r="AB155" s="616"/>
      <c r="AC155" s="635"/>
      <c r="AD155" s="636"/>
      <c r="AE155" s="637"/>
      <c r="AF155" s="629"/>
      <c r="AG155" s="635"/>
      <c r="AH155" s="636"/>
      <c r="AI155" s="637"/>
      <c r="AJ155" s="629"/>
      <c r="AK155" s="635"/>
      <c r="AL155" s="636"/>
      <c r="AM155" s="637"/>
      <c r="AN155" s="629"/>
      <c r="AO155" s="467"/>
      <c r="AP155" s="504"/>
      <c r="AQ155" s="468"/>
      <c r="AR155" s="616"/>
      <c r="AS155" s="630"/>
      <c r="AT155" s="630"/>
    </row>
    <row r="156">
      <c r="A156" s="467"/>
      <c r="B156" s="504"/>
      <c r="C156" s="468"/>
      <c r="D156" s="616"/>
      <c r="E156" s="467"/>
      <c r="F156" s="504"/>
      <c r="G156" s="468"/>
      <c r="H156" s="616"/>
      <c r="I156" s="467"/>
      <c r="J156" s="504"/>
      <c r="K156" s="468"/>
      <c r="L156" s="616"/>
      <c r="M156" s="467"/>
      <c r="N156" s="504"/>
      <c r="O156" s="468"/>
      <c r="P156" s="616"/>
      <c r="Q156" s="635"/>
      <c r="R156" s="636"/>
      <c r="S156" s="637"/>
      <c r="T156" s="629"/>
      <c r="U156" s="635"/>
      <c r="V156" s="636"/>
      <c r="W156" s="637"/>
      <c r="X156" s="629"/>
      <c r="Y156" s="467"/>
      <c r="Z156" s="504"/>
      <c r="AA156" s="468"/>
      <c r="AB156" s="616"/>
      <c r="AC156" s="635"/>
      <c r="AD156" s="636"/>
      <c r="AE156" s="637"/>
      <c r="AF156" s="629"/>
      <c r="AG156" s="635"/>
      <c r="AH156" s="636"/>
      <c r="AI156" s="637"/>
      <c r="AJ156" s="629"/>
      <c r="AK156" s="635"/>
      <c r="AL156" s="636"/>
      <c r="AM156" s="637"/>
      <c r="AN156" s="629"/>
      <c r="AO156" s="467"/>
      <c r="AP156" s="504"/>
      <c r="AQ156" s="468"/>
      <c r="AR156" s="616"/>
      <c r="AS156" s="630"/>
      <c r="AT156" s="630"/>
    </row>
    <row r="157">
      <c r="A157" s="467"/>
      <c r="B157" s="504"/>
      <c r="C157" s="468"/>
      <c r="D157" s="616"/>
      <c r="E157" s="467"/>
      <c r="F157" s="504"/>
      <c r="G157" s="468"/>
      <c r="H157" s="616"/>
      <c r="I157" s="467"/>
      <c r="J157" s="504"/>
      <c r="K157" s="468"/>
      <c r="L157" s="616"/>
      <c r="M157" s="467"/>
      <c r="N157" s="504"/>
      <c r="O157" s="468"/>
      <c r="P157" s="616"/>
      <c r="Q157" s="635"/>
      <c r="R157" s="636"/>
      <c r="S157" s="637"/>
      <c r="T157" s="629"/>
      <c r="U157" s="635"/>
      <c r="V157" s="636"/>
      <c r="W157" s="637"/>
      <c r="X157" s="629"/>
      <c r="Y157" s="467"/>
      <c r="Z157" s="504"/>
      <c r="AA157" s="468"/>
      <c r="AB157" s="616"/>
      <c r="AC157" s="635"/>
      <c r="AD157" s="636"/>
      <c r="AE157" s="637"/>
      <c r="AF157" s="629"/>
      <c r="AG157" s="635"/>
      <c r="AH157" s="636"/>
      <c r="AI157" s="637"/>
      <c r="AJ157" s="629"/>
      <c r="AK157" s="635"/>
      <c r="AL157" s="636"/>
      <c r="AM157" s="637"/>
      <c r="AN157" s="629"/>
      <c r="AO157" s="467"/>
      <c r="AP157" s="504"/>
      <c r="AQ157" s="468"/>
      <c r="AR157" s="616"/>
      <c r="AS157" s="630"/>
      <c r="AT157" s="630"/>
    </row>
    <row r="158">
      <c r="A158" s="467"/>
      <c r="B158" s="504"/>
      <c r="C158" s="468"/>
      <c r="D158" s="616"/>
      <c r="E158" s="467"/>
      <c r="F158" s="504"/>
      <c r="G158" s="468"/>
      <c r="H158" s="616"/>
      <c r="I158" s="467"/>
      <c r="J158" s="504"/>
      <c r="K158" s="468"/>
      <c r="L158" s="616"/>
      <c r="M158" s="467"/>
      <c r="N158" s="504"/>
      <c r="O158" s="468"/>
      <c r="P158" s="616"/>
      <c r="Q158" s="635"/>
      <c r="R158" s="636"/>
      <c r="S158" s="637"/>
      <c r="T158" s="629"/>
      <c r="U158" s="635"/>
      <c r="V158" s="636"/>
      <c r="W158" s="637"/>
      <c r="X158" s="629"/>
      <c r="Y158" s="467"/>
      <c r="Z158" s="504"/>
      <c r="AA158" s="468"/>
      <c r="AB158" s="616"/>
      <c r="AC158" s="635"/>
      <c r="AD158" s="636"/>
      <c r="AE158" s="637"/>
      <c r="AF158" s="629"/>
      <c r="AG158" s="635"/>
      <c r="AH158" s="636"/>
      <c r="AI158" s="637"/>
      <c r="AJ158" s="629"/>
      <c r="AK158" s="635"/>
      <c r="AL158" s="636"/>
      <c r="AM158" s="637"/>
      <c r="AN158" s="629"/>
      <c r="AO158" s="467"/>
      <c r="AP158" s="504"/>
      <c r="AQ158" s="468"/>
      <c r="AR158" s="616"/>
      <c r="AS158" s="630"/>
      <c r="AT158" s="630"/>
    </row>
    <row r="159">
      <c r="A159" s="467"/>
      <c r="B159" s="504"/>
      <c r="C159" s="468"/>
      <c r="D159" s="616"/>
      <c r="E159" s="467"/>
      <c r="F159" s="504"/>
      <c r="G159" s="468"/>
      <c r="H159" s="616"/>
      <c r="I159" s="467"/>
      <c r="J159" s="504"/>
      <c r="K159" s="468"/>
      <c r="L159" s="616"/>
      <c r="M159" s="467"/>
      <c r="N159" s="504"/>
      <c r="O159" s="468"/>
      <c r="P159" s="616"/>
      <c r="Q159" s="635"/>
      <c r="R159" s="636"/>
      <c r="S159" s="637"/>
      <c r="T159" s="629"/>
      <c r="U159" s="635"/>
      <c r="V159" s="636"/>
      <c r="W159" s="637"/>
      <c r="X159" s="629"/>
      <c r="Y159" s="467"/>
      <c r="Z159" s="504"/>
      <c r="AA159" s="468"/>
      <c r="AB159" s="616"/>
      <c r="AC159" s="635"/>
      <c r="AD159" s="636"/>
      <c r="AE159" s="637"/>
      <c r="AF159" s="629"/>
      <c r="AG159" s="635"/>
      <c r="AH159" s="636"/>
      <c r="AI159" s="637"/>
      <c r="AJ159" s="629"/>
      <c r="AK159" s="635"/>
      <c r="AL159" s="636"/>
      <c r="AM159" s="637"/>
      <c r="AN159" s="629"/>
      <c r="AO159" s="467"/>
      <c r="AP159" s="504"/>
      <c r="AQ159" s="468"/>
      <c r="AR159" s="616"/>
      <c r="AS159" s="630"/>
      <c r="AT159" s="630"/>
    </row>
    <row r="160">
      <c r="A160" s="467"/>
      <c r="B160" s="504"/>
      <c r="C160" s="468"/>
      <c r="D160" s="616"/>
      <c r="E160" s="467"/>
      <c r="F160" s="504"/>
      <c r="G160" s="468"/>
      <c r="H160" s="616"/>
      <c r="I160" s="467"/>
      <c r="J160" s="504"/>
      <c r="K160" s="468"/>
      <c r="L160" s="616"/>
      <c r="M160" s="467"/>
      <c r="N160" s="504"/>
      <c r="O160" s="468"/>
      <c r="P160" s="616"/>
      <c r="Q160" s="635"/>
      <c r="R160" s="636"/>
      <c r="S160" s="637"/>
      <c r="T160" s="629"/>
      <c r="U160" s="635"/>
      <c r="V160" s="636"/>
      <c r="W160" s="637"/>
      <c r="X160" s="629"/>
      <c r="Y160" s="467"/>
      <c r="Z160" s="504"/>
      <c r="AA160" s="468"/>
      <c r="AB160" s="616"/>
      <c r="AC160" s="635"/>
      <c r="AD160" s="636"/>
      <c r="AE160" s="637"/>
      <c r="AF160" s="629"/>
      <c r="AG160" s="635"/>
      <c r="AH160" s="636"/>
      <c r="AI160" s="637"/>
      <c r="AJ160" s="629"/>
      <c r="AK160" s="635"/>
      <c r="AL160" s="636"/>
      <c r="AM160" s="637"/>
      <c r="AN160" s="629"/>
      <c r="AO160" s="467"/>
      <c r="AP160" s="504"/>
      <c r="AQ160" s="468"/>
      <c r="AR160" s="616"/>
      <c r="AS160" s="630"/>
      <c r="AT160" s="630"/>
    </row>
    <row r="161">
      <c r="A161" s="467"/>
      <c r="B161" s="504"/>
      <c r="C161" s="468"/>
      <c r="D161" s="616"/>
      <c r="E161" s="467"/>
      <c r="F161" s="504"/>
      <c r="G161" s="468"/>
      <c r="H161" s="616"/>
      <c r="I161" s="467"/>
      <c r="J161" s="504"/>
      <c r="K161" s="468"/>
      <c r="L161" s="616"/>
      <c r="M161" s="467"/>
      <c r="N161" s="504"/>
      <c r="O161" s="468"/>
      <c r="P161" s="616"/>
      <c r="Q161" s="635"/>
      <c r="R161" s="636"/>
      <c r="S161" s="637"/>
      <c r="T161" s="629"/>
      <c r="U161" s="635"/>
      <c r="V161" s="636"/>
      <c r="W161" s="637"/>
      <c r="X161" s="629"/>
      <c r="Y161" s="467"/>
      <c r="Z161" s="504"/>
      <c r="AA161" s="468"/>
      <c r="AB161" s="616"/>
      <c r="AC161" s="635"/>
      <c r="AD161" s="636"/>
      <c r="AE161" s="637"/>
      <c r="AF161" s="629"/>
      <c r="AG161" s="635"/>
      <c r="AH161" s="636"/>
      <c r="AI161" s="637"/>
      <c r="AJ161" s="629"/>
      <c r="AK161" s="635"/>
      <c r="AL161" s="636"/>
      <c r="AM161" s="637"/>
      <c r="AN161" s="629"/>
      <c r="AO161" s="467"/>
      <c r="AP161" s="504"/>
      <c r="AQ161" s="468"/>
      <c r="AR161" s="616"/>
      <c r="AS161" s="630"/>
      <c r="AT161" s="630"/>
    </row>
    <row r="162">
      <c r="A162" s="467"/>
      <c r="B162" s="504"/>
      <c r="C162" s="468"/>
      <c r="D162" s="616"/>
      <c r="E162" s="467"/>
      <c r="F162" s="504"/>
      <c r="G162" s="468"/>
      <c r="H162" s="616"/>
      <c r="I162" s="467"/>
      <c r="J162" s="504"/>
      <c r="K162" s="468"/>
      <c r="L162" s="616"/>
      <c r="M162" s="467"/>
      <c r="N162" s="504"/>
      <c r="O162" s="468"/>
      <c r="P162" s="616"/>
      <c r="Q162" s="635"/>
      <c r="R162" s="636"/>
      <c r="S162" s="637"/>
      <c r="T162" s="629"/>
      <c r="U162" s="635"/>
      <c r="V162" s="636"/>
      <c r="W162" s="637"/>
      <c r="X162" s="629"/>
      <c r="Y162" s="467"/>
      <c r="Z162" s="504"/>
      <c r="AA162" s="468"/>
      <c r="AB162" s="616"/>
      <c r="AC162" s="635"/>
      <c r="AD162" s="636"/>
      <c r="AE162" s="637"/>
      <c r="AF162" s="629"/>
      <c r="AG162" s="635"/>
      <c r="AH162" s="636"/>
      <c r="AI162" s="637"/>
      <c r="AJ162" s="629"/>
      <c r="AK162" s="635"/>
      <c r="AL162" s="636"/>
      <c r="AM162" s="637"/>
      <c r="AN162" s="629"/>
      <c r="AO162" s="467"/>
      <c r="AP162" s="504"/>
      <c r="AQ162" s="468"/>
      <c r="AR162" s="616"/>
      <c r="AS162" s="630"/>
      <c r="AT162" s="630"/>
    </row>
    <row r="163">
      <c r="A163" s="467"/>
      <c r="B163" s="504"/>
      <c r="C163" s="468"/>
      <c r="D163" s="616"/>
      <c r="E163" s="467"/>
      <c r="F163" s="504"/>
      <c r="G163" s="468"/>
      <c r="H163" s="616"/>
      <c r="I163" s="467"/>
      <c r="J163" s="504"/>
      <c r="K163" s="468"/>
      <c r="L163" s="616"/>
      <c r="M163" s="467"/>
      <c r="N163" s="504"/>
      <c r="O163" s="468"/>
      <c r="P163" s="616"/>
      <c r="Q163" s="635"/>
      <c r="R163" s="636"/>
      <c r="S163" s="637"/>
      <c r="T163" s="629"/>
      <c r="U163" s="635"/>
      <c r="V163" s="636"/>
      <c r="W163" s="637"/>
      <c r="X163" s="629"/>
      <c r="Y163" s="467"/>
      <c r="Z163" s="504"/>
      <c r="AA163" s="468"/>
      <c r="AB163" s="616"/>
      <c r="AC163" s="635"/>
      <c r="AD163" s="636"/>
      <c r="AE163" s="637"/>
      <c r="AF163" s="629"/>
      <c r="AG163" s="635"/>
      <c r="AH163" s="636"/>
      <c r="AI163" s="637"/>
      <c r="AJ163" s="629"/>
      <c r="AK163" s="635"/>
      <c r="AL163" s="636"/>
      <c r="AM163" s="637"/>
      <c r="AN163" s="629"/>
      <c r="AO163" s="467"/>
      <c r="AP163" s="504"/>
      <c r="AQ163" s="468"/>
      <c r="AR163" s="616"/>
      <c r="AS163" s="630"/>
      <c r="AT163" s="630"/>
    </row>
    <row r="164">
      <c r="A164" s="467"/>
      <c r="B164" s="504"/>
      <c r="C164" s="468"/>
      <c r="D164" s="616"/>
      <c r="E164" s="467"/>
      <c r="F164" s="504"/>
      <c r="G164" s="468"/>
      <c r="H164" s="616"/>
      <c r="I164" s="467"/>
      <c r="J164" s="504"/>
      <c r="K164" s="468"/>
      <c r="L164" s="616"/>
      <c r="M164" s="467"/>
      <c r="N164" s="504"/>
      <c r="O164" s="468"/>
      <c r="P164" s="616"/>
      <c r="Q164" s="635"/>
      <c r="R164" s="636"/>
      <c r="S164" s="637"/>
      <c r="T164" s="629"/>
      <c r="U164" s="635"/>
      <c r="V164" s="636"/>
      <c r="W164" s="637"/>
      <c r="X164" s="629"/>
      <c r="Y164" s="467"/>
      <c r="Z164" s="504"/>
      <c r="AA164" s="468"/>
      <c r="AB164" s="616"/>
      <c r="AC164" s="635"/>
      <c r="AD164" s="636"/>
      <c r="AE164" s="637"/>
      <c r="AF164" s="629"/>
      <c r="AG164" s="635"/>
      <c r="AH164" s="636"/>
      <c r="AI164" s="637"/>
      <c r="AJ164" s="629"/>
      <c r="AK164" s="635"/>
      <c r="AL164" s="636"/>
      <c r="AM164" s="637"/>
      <c r="AN164" s="629"/>
      <c r="AO164" s="467"/>
      <c r="AP164" s="504"/>
      <c r="AQ164" s="468"/>
      <c r="AR164" s="616"/>
      <c r="AS164" s="630"/>
      <c r="AT164" s="630"/>
    </row>
    <row r="165">
      <c r="A165" s="467"/>
      <c r="B165" s="504"/>
      <c r="C165" s="468"/>
      <c r="D165" s="616"/>
      <c r="E165" s="467"/>
      <c r="F165" s="504"/>
      <c r="G165" s="468"/>
      <c r="H165" s="616"/>
      <c r="I165" s="467"/>
      <c r="J165" s="504"/>
      <c r="K165" s="468"/>
      <c r="L165" s="616"/>
      <c r="M165" s="467"/>
      <c r="N165" s="504"/>
      <c r="O165" s="468"/>
      <c r="P165" s="616"/>
      <c r="Q165" s="635"/>
      <c r="R165" s="636"/>
      <c r="S165" s="637"/>
      <c r="T165" s="629"/>
      <c r="U165" s="635"/>
      <c r="V165" s="636"/>
      <c r="W165" s="637"/>
      <c r="X165" s="629"/>
      <c r="Y165" s="467"/>
      <c r="Z165" s="504"/>
      <c r="AA165" s="468"/>
      <c r="AB165" s="616"/>
      <c r="AC165" s="635"/>
      <c r="AD165" s="636"/>
      <c r="AE165" s="637"/>
      <c r="AF165" s="629"/>
      <c r="AG165" s="635"/>
      <c r="AH165" s="636"/>
      <c r="AI165" s="637"/>
      <c r="AJ165" s="629"/>
      <c r="AK165" s="635"/>
      <c r="AL165" s="636"/>
      <c r="AM165" s="637"/>
      <c r="AN165" s="629"/>
      <c r="AO165" s="467"/>
      <c r="AP165" s="504"/>
      <c r="AQ165" s="468"/>
      <c r="AR165" s="616"/>
      <c r="AS165" s="630"/>
      <c r="AT165" s="630"/>
    </row>
    <row r="166">
      <c r="A166" s="467"/>
      <c r="B166" s="504"/>
      <c r="C166" s="468"/>
      <c r="D166" s="616"/>
      <c r="E166" s="467"/>
      <c r="F166" s="504"/>
      <c r="G166" s="468"/>
      <c r="H166" s="616"/>
      <c r="I166" s="467"/>
      <c r="J166" s="504"/>
      <c r="K166" s="468"/>
      <c r="L166" s="616"/>
      <c r="M166" s="467"/>
      <c r="N166" s="504"/>
      <c r="O166" s="468"/>
      <c r="P166" s="616"/>
      <c r="Q166" s="635"/>
      <c r="R166" s="636"/>
      <c r="S166" s="637"/>
      <c r="T166" s="629"/>
      <c r="U166" s="635"/>
      <c r="V166" s="636"/>
      <c r="W166" s="637"/>
      <c r="X166" s="629"/>
      <c r="Y166" s="467"/>
      <c r="Z166" s="504"/>
      <c r="AA166" s="468"/>
      <c r="AB166" s="616"/>
      <c r="AC166" s="635"/>
      <c r="AD166" s="636"/>
      <c r="AE166" s="637"/>
      <c r="AF166" s="629"/>
      <c r="AG166" s="635"/>
      <c r="AH166" s="636"/>
      <c r="AI166" s="637"/>
      <c r="AJ166" s="629"/>
      <c r="AK166" s="635"/>
      <c r="AL166" s="636"/>
      <c r="AM166" s="637"/>
      <c r="AN166" s="629"/>
      <c r="AO166" s="467"/>
      <c r="AP166" s="504"/>
      <c r="AQ166" s="468"/>
      <c r="AR166" s="616"/>
      <c r="AS166" s="630"/>
      <c r="AT166" s="630"/>
    </row>
    <row r="167">
      <c r="A167" s="467"/>
      <c r="B167" s="504"/>
      <c r="C167" s="468"/>
      <c r="D167" s="616"/>
      <c r="E167" s="467"/>
      <c r="F167" s="504"/>
      <c r="G167" s="468"/>
      <c r="H167" s="616"/>
      <c r="I167" s="467"/>
      <c r="J167" s="504"/>
      <c r="K167" s="468"/>
      <c r="L167" s="616"/>
      <c r="M167" s="467"/>
      <c r="N167" s="504"/>
      <c r="O167" s="468"/>
      <c r="P167" s="616"/>
      <c r="Q167" s="635"/>
      <c r="R167" s="636"/>
      <c r="S167" s="637"/>
      <c r="T167" s="629"/>
      <c r="U167" s="635"/>
      <c r="V167" s="636"/>
      <c r="W167" s="637"/>
      <c r="X167" s="629"/>
      <c r="Y167" s="467"/>
      <c r="Z167" s="504"/>
      <c r="AA167" s="468"/>
      <c r="AB167" s="616"/>
      <c r="AC167" s="635"/>
      <c r="AD167" s="636"/>
      <c r="AE167" s="637"/>
      <c r="AF167" s="629"/>
      <c r="AG167" s="635"/>
      <c r="AH167" s="636"/>
      <c r="AI167" s="637"/>
      <c r="AJ167" s="629"/>
      <c r="AK167" s="635"/>
      <c r="AL167" s="636"/>
      <c r="AM167" s="637"/>
      <c r="AN167" s="629"/>
      <c r="AO167" s="467"/>
      <c r="AP167" s="504"/>
      <c r="AQ167" s="468"/>
      <c r="AR167" s="616"/>
      <c r="AS167" s="630"/>
      <c r="AT167" s="630"/>
    </row>
    <row r="168">
      <c r="A168" s="467"/>
      <c r="B168" s="504"/>
      <c r="C168" s="468"/>
      <c r="D168" s="616"/>
      <c r="E168" s="467"/>
      <c r="F168" s="504"/>
      <c r="G168" s="468"/>
      <c r="H168" s="616"/>
      <c r="I168" s="467"/>
      <c r="J168" s="504"/>
      <c r="K168" s="468"/>
      <c r="L168" s="616"/>
      <c r="M168" s="467"/>
      <c r="N168" s="504"/>
      <c r="O168" s="468"/>
      <c r="P168" s="616"/>
      <c r="Q168" s="635"/>
      <c r="R168" s="636"/>
      <c r="S168" s="637"/>
      <c r="T168" s="629"/>
      <c r="U168" s="635"/>
      <c r="V168" s="636"/>
      <c r="W168" s="637"/>
      <c r="X168" s="629"/>
      <c r="Y168" s="467"/>
      <c r="Z168" s="504"/>
      <c r="AA168" s="468"/>
      <c r="AB168" s="616"/>
      <c r="AC168" s="635"/>
      <c r="AD168" s="636"/>
      <c r="AE168" s="637"/>
      <c r="AF168" s="629"/>
      <c r="AG168" s="635"/>
      <c r="AH168" s="636"/>
      <c r="AI168" s="637"/>
      <c r="AJ168" s="629"/>
      <c r="AK168" s="635"/>
      <c r="AL168" s="636"/>
      <c r="AM168" s="637"/>
      <c r="AN168" s="629"/>
      <c r="AO168" s="467"/>
      <c r="AP168" s="504"/>
      <c r="AQ168" s="468"/>
      <c r="AR168" s="616"/>
      <c r="AS168" s="630"/>
      <c r="AT168" s="630"/>
    </row>
    <row r="169">
      <c r="A169" s="467"/>
      <c r="B169" s="504"/>
      <c r="C169" s="468"/>
      <c r="D169" s="616"/>
      <c r="E169" s="467"/>
      <c r="F169" s="504"/>
      <c r="G169" s="468"/>
      <c r="H169" s="616"/>
      <c r="I169" s="467"/>
      <c r="J169" s="504"/>
      <c r="K169" s="468"/>
      <c r="L169" s="616"/>
      <c r="M169" s="467"/>
      <c r="N169" s="504"/>
      <c r="O169" s="468"/>
      <c r="P169" s="616"/>
      <c r="Q169" s="635"/>
      <c r="R169" s="636"/>
      <c r="S169" s="637"/>
      <c r="T169" s="629"/>
      <c r="U169" s="635"/>
      <c r="V169" s="636"/>
      <c r="W169" s="637"/>
      <c r="X169" s="629"/>
      <c r="Y169" s="467"/>
      <c r="Z169" s="504"/>
      <c r="AA169" s="468"/>
      <c r="AB169" s="616"/>
      <c r="AC169" s="635"/>
      <c r="AD169" s="636"/>
      <c r="AE169" s="637"/>
      <c r="AF169" s="629"/>
      <c r="AG169" s="635"/>
      <c r="AH169" s="636"/>
      <c r="AI169" s="637"/>
      <c r="AJ169" s="629"/>
      <c r="AK169" s="635"/>
      <c r="AL169" s="636"/>
      <c r="AM169" s="637"/>
      <c r="AN169" s="629"/>
      <c r="AO169" s="467"/>
      <c r="AP169" s="504"/>
      <c r="AQ169" s="468"/>
      <c r="AR169" s="616"/>
      <c r="AS169" s="630"/>
      <c r="AT169" s="630"/>
    </row>
    <row r="170">
      <c r="A170" s="467"/>
      <c r="B170" s="504"/>
      <c r="C170" s="468"/>
      <c r="D170" s="616"/>
      <c r="E170" s="467"/>
      <c r="F170" s="504"/>
      <c r="G170" s="468"/>
      <c r="H170" s="616"/>
      <c r="I170" s="467"/>
      <c r="J170" s="504"/>
      <c r="K170" s="468"/>
      <c r="L170" s="616"/>
      <c r="M170" s="467"/>
      <c r="N170" s="504"/>
      <c r="O170" s="468"/>
      <c r="P170" s="616"/>
      <c r="Q170" s="635"/>
      <c r="R170" s="636"/>
      <c r="S170" s="637"/>
      <c r="T170" s="629"/>
      <c r="U170" s="635"/>
      <c r="V170" s="636"/>
      <c r="W170" s="637"/>
      <c r="X170" s="629"/>
      <c r="Y170" s="467"/>
      <c r="Z170" s="504"/>
      <c r="AA170" s="468"/>
      <c r="AB170" s="616"/>
      <c r="AC170" s="635"/>
      <c r="AD170" s="636"/>
      <c r="AE170" s="637"/>
      <c r="AF170" s="629"/>
      <c r="AG170" s="635"/>
      <c r="AH170" s="636"/>
      <c r="AI170" s="637"/>
      <c r="AJ170" s="629"/>
      <c r="AK170" s="635"/>
      <c r="AL170" s="636"/>
      <c r="AM170" s="637"/>
      <c r="AN170" s="629"/>
      <c r="AO170" s="467"/>
      <c r="AP170" s="504"/>
      <c r="AQ170" s="468"/>
      <c r="AR170" s="616"/>
      <c r="AS170" s="630"/>
      <c r="AT170" s="630"/>
    </row>
    <row r="171">
      <c r="A171" s="467"/>
      <c r="B171" s="504"/>
      <c r="C171" s="468"/>
      <c r="D171" s="616"/>
      <c r="E171" s="467"/>
      <c r="F171" s="504"/>
      <c r="G171" s="468"/>
      <c r="H171" s="616"/>
      <c r="I171" s="467"/>
      <c r="J171" s="504"/>
      <c r="K171" s="468"/>
      <c r="L171" s="616"/>
      <c r="M171" s="467"/>
      <c r="N171" s="504"/>
      <c r="O171" s="468"/>
      <c r="P171" s="616"/>
      <c r="Q171" s="635"/>
      <c r="R171" s="636"/>
      <c r="S171" s="637"/>
      <c r="T171" s="629"/>
      <c r="U171" s="635"/>
      <c r="V171" s="636"/>
      <c r="W171" s="637"/>
      <c r="X171" s="629"/>
      <c r="Y171" s="467"/>
      <c r="Z171" s="504"/>
      <c r="AA171" s="468"/>
      <c r="AB171" s="616"/>
      <c r="AC171" s="635"/>
      <c r="AD171" s="636"/>
      <c r="AE171" s="637"/>
      <c r="AF171" s="629"/>
      <c r="AG171" s="635"/>
      <c r="AH171" s="636"/>
      <c r="AI171" s="637"/>
      <c r="AJ171" s="629"/>
      <c r="AK171" s="635"/>
      <c r="AL171" s="636"/>
      <c r="AM171" s="637"/>
      <c r="AN171" s="629"/>
      <c r="AO171" s="467"/>
      <c r="AP171" s="504"/>
      <c r="AQ171" s="468"/>
      <c r="AR171" s="616"/>
      <c r="AS171" s="630"/>
      <c r="AT171" s="630"/>
    </row>
    <row r="172">
      <c r="A172" s="467"/>
      <c r="B172" s="504"/>
      <c r="C172" s="468"/>
      <c r="D172" s="616"/>
      <c r="E172" s="467"/>
      <c r="F172" s="504"/>
      <c r="G172" s="468"/>
      <c r="H172" s="616"/>
      <c r="I172" s="467"/>
      <c r="J172" s="504"/>
      <c r="K172" s="468"/>
      <c r="L172" s="616"/>
      <c r="M172" s="467"/>
      <c r="N172" s="504"/>
      <c r="O172" s="468"/>
      <c r="P172" s="616"/>
      <c r="Q172" s="635"/>
      <c r="R172" s="636"/>
      <c r="S172" s="637"/>
      <c r="T172" s="629"/>
      <c r="U172" s="635"/>
      <c r="V172" s="636"/>
      <c r="W172" s="637"/>
      <c r="X172" s="629"/>
      <c r="Y172" s="467"/>
      <c r="Z172" s="504"/>
      <c r="AA172" s="468"/>
      <c r="AB172" s="616"/>
      <c r="AC172" s="635"/>
      <c r="AD172" s="636"/>
      <c r="AE172" s="637"/>
      <c r="AF172" s="629"/>
      <c r="AG172" s="635"/>
      <c r="AH172" s="636"/>
      <c r="AI172" s="637"/>
      <c r="AJ172" s="629"/>
      <c r="AK172" s="635"/>
      <c r="AL172" s="636"/>
      <c r="AM172" s="637"/>
      <c r="AN172" s="629"/>
      <c r="AO172" s="467"/>
      <c r="AP172" s="504"/>
      <c r="AQ172" s="468"/>
      <c r="AR172" s="616"/>
      <c r="AS172" s="630"/>
      <c r="AT172" s="630"/>
    </row>
    <row r="173">
      <c r="A173" s="467"/>
      <c r="B173" s="504"/>
      <c r="C173" s="468"/>
      <c r="D173" s="616"/>
      <c r="E173" s="467"/>
      <c r="F173" s="504"/>
      <c r="G173" s="468"/>
      <c r="H173" s="616"/>
      <c r="I173" s="467"/>
      <c r="J173" s="504"/>
      <c r="K173" s="468"/>
      <c r="L173" s="616"/>
      <c r="M173" s="467"/>
      <c r="N173" s="504"/>
      <c r="O173" s="468"/>
      <c r="P173" s="616"/>
      <c r="Q173" s="635"/>
      <c r="R173" s="636"/>
      <c r="S173" s="637"/>
      <c r="T173" s="629"/>
      <c r="U173" s="635"/>
      <c r="V173" s="636"/>
      <c r="W173" s="637"/>
      <c r="X173" s="629"/>
      <c r="Y173" s="467"/>
      <c r="Z173" s="504"/>
      <c r="AA173" s="468"/>
      <c r="AB173" s="616"/>
      <c r="AC173" s="635"/>
      <c r="AD173" s="636"/>
      <c r="AE173" s="637"/>
      <c r="AF173" s="629"/>
      <c r="AG173" s="635"/>
      <c r="AH173" s="636"/>
      <c r="AI173" s="637"/>
      <c r="AJ173" s="629"/>
      <c r="AK173" s="635"/>
      <c r="AL173" s="636"/>
      <c r="AM173" s="637"/>
      <c r="AN173" s="629"/>
      <c r="AO173" s="467"/>
      <c r="AP173" s="504"/>
      <c r="AQ173" s="468"/>
      <c r="AR173" s="616"/>
      <c r="AS173" s="630"/>
      <c r="AT173" s="630"/>
    </row>
    <row r="174">
      <c r="A174" s="467"/>
      <c r="B174" s="504"/>
      <c r="C174" s="468"/>
      <c r="D174" s="616"/>
      <c r="E174" s="467"/>
      <c r="F174" s="504"/>
      <c r="G174" s="468"/>
      <c r="H174" s="616"/>
      <c r="I174" s="467"/>
      <c r="J174" s="504"/>
      <c r="K174" s="468"/>
      <c r="L174" s="616"/>
      <c r="M174" s="467"/>
      <c r="N174" s="504"/>
      <c r="O174" s="468"/>
      <c r="P174" s="616"/>
      <c r="Q174" s="635"/>
      <c r="R174" s="636"/>
      <c r="S174" s="637"/>
      <c r="T174" s="629"/>
      <c r="U174" s="635"/>
      <c r="V174" s="636"/>
      <c r="W174" s="637"/>
      <c r="X174" s="629"/>
      <c r="Y174" s="467"/>
      <c r="Z174" s="504"/>
      <c r="AA174" s="468"/>
      <c r="AB174" s="616"/>
      <c r="AC174" s="635"/>
      <c r="AD174" s="636"/>
      <c r="AE174" s="637"/>
      <c r="AF174" s="629"/>
      <c r="AG174" s="635"/>
      <c r="AH174" s="636"/>
      <c r="AI174" s="637"/>
      <c r="AJ174" s="629"/>
      <c r="AK174" s="635"/>
      <c r="AL174" s="636"/>
      <c r="AM174" s="637"/>
      <c r="AN174" s="629"/>
      <c r="AO174" s="467"/>
      <c r="AP174" s="504"/>
      <c r="AQ174" s="468"/>
      <c r="AR174" s="616"/>
      <c r="AS174" s="630"/>
      <c r="AT174" s="630"/>
    </row>
    <row r="175">
      <c r="A175" s="467"/>
      <c r="B175" s="504"/>
      <c r="C175" s="468"/>
      <c r="D175" s="616"/>
      <c r="E175" s="467"/>
      <c r="F175" s="504"/>
      <c r="G175" s="468"/>
      <c r="H175" s="616"/>
      <c r="I175" s="467"/>
      <c r="J175" s="504"/>
      <c r="K175" s="468"/>
      <c r="L175" s="616"/>
      <c r="M175" s="467"/>
      <c r="N175" s="504"/>
      <c r="O175" s="468"/>
      <c r="P175" s="616"/>
      <c r="Q175" s="635"/>
      <c r="R175" s="636"/>
      <c r="S175" s="637"/>
      <c r="T175" s="629"/>
      <c r="U175" s="635"/>
      <c r="V175" s="636"/>
      <c r="W175" s="637"/>
      <c r="X175" s="629"/>
      <c r="Y175" s="467"/>
      <c r="Z175" s="504"/>
      <c r="AA175" s="468"/>
      <c r="AB175" s="616"/>
      <c r="AC175" s="635"/>
      <c r="AD175" s="636"/>
      <c r="AE175" s="637"/>
      <c r="AF175" s="629"/>
      <c r="AG175" s="635"/>
      <c r="AH175" s="636"/>
      <c r="AI175" s="637"/>
      <c r="AJ175" s="629"/>
      <c r="AK175" s="635"/>
      <c r="AL175" s="636"/>
      <c r="AM175" s="637"/>
      <c r="AN175" s="629"/>
      <c r="AO175" s="467"/>
      <c r="AP175" s="504"/>
      <c r="AQ175" s="468"/>
      <c r="AR175" s="616"/>
      <c r="AS175" s="630"/>
      <c r="AT175" s="630"/>
    </row>
    <row r="176">
      <c r="A176" s="467"/>
      <c r="B176" s="504"/>
      <c r="C176" s="468"/>
      <c r="D176" s="616"/>
      <c r="E176" s="467"/>
      <c r="F176" s="504"/>
      <c r="G176" s="468"/>
      <c r="H176" s="616"/>
      <c r="I176" s="467"/>
      <c r="J176" s="504"/>
      <c r="K176" s="468"/>
      <c r="L176" s="616"/>
      <c r="M176" s="467"/>
      <c r="N176" s="504"/>
      <c r="O176" s="468"/>
      <c r="P176" s="616"/>
      <c r="Q176" s="635"/>
      <c r="R176" s="636"/>
      <c r="S176" s="637"/>
      <c r="T176" s="629"/>
      <c r="U176" s="635"/>
      <c r="V176" s="636"/>
      <c r="W176" s="637"/>
      <c r="X176" s="629"/>
      <c r="Y176" s="467"/>
      <c r="Z176" s="504"/>
      <c r="AA176" s="468"/>
      <c r="AB176" s="616"/>
      <c r="AC176" s="635"/>
      <c r="AD176" s="636"/>
      <c r="AE176" s="637"/>
      <c r="AF176" s="629"/>
      <c r="AG176" s="635"/>
      <c r="AH176" s="636"/>
      <c r="AI176" s="637"/>
      <c r="AJ176" s="629"/>
      <c r="AK176" s="635"/>
      <c r="AL176" s="636"/>
      <c r="AM176" s="637"/>
      <c r="AN176" s="629"/>
      <c r="AO176" s="467"/>
      <c r="AP176" s="504"/>
      <c r="AQ176" s="468"/>
      <c r="AR176" s="616"/>
      <c r="AS176" s="630"/>
      <c r="AT176" s="630"/>
    </row>
    <row r="177">
      <c r="A177" s="467"/>
      <c r="B177" s="504"/>
      <c r="C177" s="468"/>
      <c r="D177" s="616"/>
      <c r="E177" s="467"/>
      <c r="F177" s="504"/>
      <c r="G177" s="468"/>
      <c r="H177" s="616"/>
      <c r="I177" s="467"/>
      <c r="J177" s="504"/>
      <c r="K177" s="468"/>
      <c r="L177" s="616"/>
      <c r="M177" s="467"/>
      <c r="N177" s="504"/>
      <c r="O177" s="468"/>
      <c r="P177" s="616"/>
      <c r="Q177" s="635"/>
      <c r="R177" s="636"/>
      <c r="S177" s="637"/>
      <c r="T177" s="629"/>
      <c r="U177" s="635"/>
      <c r="V177" s="636"/>
      <c r="W177" s="637"/>
      <c r="X177" s="629"/>
      <c r="Y177" s="467"/>
      <c r="Z177" s="504"/>
      <c r="AA177" s="468"/>
      <c r="AB177" s="616"/>
      <c r="AC177" s="635"/>
      <c r="AD177" s="636"/>
      <c r="AE177" s="637"/>
      <c r="AF177" s="629"/>
      <c r="AG177" s="635"/>
      <c r="AH177" s="636"/>
      <c r="AI177" s="637"/>
      <c r="AJ177" s="629"/>
      <c r="AK177" s="635"/>
      <c r="AL177" s="636"/>
      <c r="AM177" s="637"/>
      <c r="AN177" s="629"/>
      <c r="AO177" s="467"/>
      <c r="AP177" s="504"/>
      <c r="AQ177" s="468"/>
      <c r="AR177" s="616"/>
      <c r="AS177" s="630"/>
      <c r="AT177" s="630"/>
    </row>
    <row r="178">
      <c r="A178" s="467"/>
      <c r="B178" s="504"/>
      <c r="C178" s="468"/>
      <c r="D178" s="616"/>
      <c r="E178" s="467"/>
      <c r="F178" s="504"/>
      <c r="G178" s="468"/>
      <c r="H178" s="616"/>
      <c r="I178" s="467"/>
      <c r="J178" s="504"/>
      <c r="K178" s="468"/>
      <c r="L178" s="616"/>
      <c r="M178" s="467"/>
      <c r="N178" s="504"/>
      <c r="O178" s="468"/>
      <c r="P178" s="616"/>
      <c r="Q178" s="635"/>
      <c r="R178" s="636"/>
      <c r="S178" s="637"/>
      <c r="T178" s="629"/>
      <c r="U178" s="635"/>
      <c r="V178" s="636"/>
      <c r="W178" s="637"/>
      <c r="X178" s="629"/>
      <c r="Y178" s="467"/>
      <c r="Z178" s="504"/>
      <c r="AA178" s="468"/>
      <c r="AB178" s="616"/>
      <c r="AC178" s="635"/>
      <c r="AD178" s="636"/>
      <c r="AE178" s="637"/>
      <c r="AF178" s="629"/>
      <c r="AG178" s="635"/>
      <c r="AH178" s="636"/>
      <c r="AI178" s="637"/>
      <c r="AJ178" s="629"/>
      <c r="AK178" s="635"/>
      <c r="AL178" s="636"/>
      <c r="AM178" s="637"/>
      <c r="AN178" s="629"/>
      <c r="AO178" s="467"/>
      <c r="AP178" s="504"/>
      <c r="AQ178" s="468"/>
      <c r="AR178" s="616"/>
      <c r="AS178" s="630"/>
      <c r="AT178" s="630"/>
    </row>
    <row r="179">
      <c r="A179" s="467"/>
      <c r="B179" s="504"/>
      <c r="C179" s="468"/>
      <c r="D179" s="616"/>
      <c r="E179" s="467"/>
      <c r="F179" s="504"/>
      <c r="G179" s="468"/>
      <c r="H179" s="616"/>
      <c r="I179" s="467"/>
      <c r="J179" s="504"/>
      <c r="K179" s="468"/>
      <c r="L179" s="616"/>
      <c r="M179" s="467"/>
      <c r="N179" s="504"/>
      <c r="O179" s="468"/>
      <c r="P179" s="616"/>
      <c r="Q179" s="635"/>
      <c r="R179" s="636"/>
      <c r="S179" s="637"/>
      <c r="T179" s="629"/>
      <c r="U179" s="635"/>
      <c r="V179" s="636"/>
      <c r="W179" s="637"/>
      <c r="X179" s="629"/>
      <c r="Y179" s="467"/>
      <c r="Z179" s="504"/>
      <c r="AA179" s="468"/>
      <c r="AB179" s="616"/>
      <c r="AC179" s="635"/>
      <c r="AD179" s="636"/>
      <c r="AE179" s="637"/>
      <c r="AF179" s="629"/>
      <c r="AG179" s="635"/>
      <c r="AH179" s="636"/>
      <c r="AI179" s="637"/>
      <c r="AJ179" s="629"/>
      <c r="AK179" s="635"/>
      <c r="AL179" s="636"/>
      <c r="AM179" s="637"/>
      <c r="AN179" s="629"/>
      <c r="AO179" s="467"/>
      <c r="AP179" s="504"/>
      <c r="AQ179" s="468"/>
      <c r="AR179" s="616"/>
      <c r="AS179" s="630"/>
      <c r="AT179" s="630"/>
    </row>
    <row r="180">
      <c r="A180" s="467"/>
      <c r="B180" s="504"/>
      <c r="C180" s="468"/>
      <c r="D180" s="616"/>
      <c r="E180" s="467"/>
      <c r="F180" s="504"/>
      <c r="G180" s="468"/>
      <c r="H180" s="616"/>
      <c r="I180" s="467"/>
      <c r="J180" s="504"/>
      <c r="K180" s="468"/>
      <c r="L180" s="616"/>
      <c r="M180" s="467"/>
      <c r="N180" s="504"/>
      <c r="O180" s="468"/>
      <c r="P180" s="616"/>
      <c r="Q180" s="635"/>
      <c r="R180" s="636"/>
      <c r="S180" s="637"/>
      <c r="T180" s="629"/>
      <c r="U180" s="635"/>
      <c r="V180" s="636"/>
      <c r="W180" s="637"/>
      <c r="X180" s="629"/>
      <c r="Y180" s="467"/>
      <c r="Z180" s="504"/>
      <c r="AA180" s="468"/>
      <c r="AB180" s="616"/>
      <c r="AC180" s="635"/>
      <c r="AD180" s="636"/>
      <c r="AE180" s="637"/>
      <c r="AF180" s="629"/>
      <c r="AG180" s="635"/>
      <c r="AH180" s="636"/>
      <c r="AI180" s="637"/>
      <c r="AJ180" s="629"/>
      <c r="AK180" s="635"/>
      <c r="AL180" s="636"/>
      <c r="AM180" s="637"/>
      <c r="AN180" s="629"/>
      <c r="AO180" s="467"/>
      <c r="AP180" s="504"/>
      <c r="AQ180" s="468"/>
      <c r="AR180" s="616"/>
      <c r="AS180" s="630"/>
      <c r="AT180" s="630"/>
    </row>
    <row r="181">
      <c r="A181" s="467"/>
      <c r="B181" s="504"/>
      <c r="C181" s="468"/>
      <c r="D181" s="616"/>
      <c r="E181" s="467"/>
      <c r="F181" s="504"/>
      <c r="G181" s="468"/>
      <c r="H181" s="616"/>
      <c r="I181" s="467"/>
      <c r="J181" s="504"/>
      <c r="K181" s="468"/>
      <c r="L181" s="616"/>
      <c r="M181" s="467"/>
      <c r="N181" s="504"/>
      <c r="O181" s="468"/>
      <c r="P181" s="616"/>
      <c r="Q181" s="635"/>
      <c r="R181" s="636"/>
      <c r="S181" s="637"/>
      <c r="T181" s="629"/>
      <c r="U181" s="635"/>
      <c r="V181" s="636"/>
      <c r="W181" s="637"/>
      <c r="X181" s="629"/>
      <c r="Y181" s="467"/>
      <c r="Z181" s="504"/>
      <c r="AA181" s="468"/>
      <c r="AB181" s="616"/>
      <c r="AC181" s="635"/>
      <c r="AD181" s="636"/>
      <c r="AE181" s="637"/>
      <c r="AF181" s="629"/>
      <c r="AG181" s="635"/>
      <c r="AH181" s="636"/>
      <c r="AI181" s="637"/>
      <c r="AJ181" s="629"/>
      <c r="AK181" s="635"/>
      <c r="AL181" s="636"/>
      <c r="AM181" s="637"/>
      <c r="AN181" s="629"/>
      <c r="AO181" s="467"/>
      <c r="AP181" s="504"/>
      <c r="AQ181" s="468"/>
      <c r="AR181" s="616"/>
      <c r="AS181" s="630"/>
      <c r="AT181" s="630"/>
    </row>
    <row r="182">
      <c r="A182" s="467"/>
      <c r="B182" s="504"/>
      <c r="C182" s="468"/>
      <c r="D182" s="616"/>
      <c r="E182" s="467"/>
      <c r="F182" s="504"/>
      <c r="G182" s="468"/>
      <c r="H182" s="616"/>
      <c r="I182" s="467"/>
      <c r="J182" s="504"/>
      <c r="K182" s="468"/>
      <c r="L182" s="616"/>
      <c r="M182" s="467"/>
      <c r="N182" s="504"/>
      <c r="O182" s="468"/>
      <c r="P182" s="616"/>
      <c r="Q182" s="635"/>
      <c r="R182" s="636"/>
      <c r="S182" s="637"/>
      <c r="T182" s="629"/>
      <c r="U182" s="635"/>
      <c r="V182" s="636"/>
      <c r="W182" s="637"/>
      <c r="X182" s="629"/>
      <c r="Y182" s="467"/>
      <c r="Z182" s="504"/>
      <c r="AA182" s="468"/>
      <c r="AB182" s="616"/>
      <c r="AC182" s="635"/>
      <c r="AD182" s="636"/>
      <c r="AE182" s="637"/>
      <c r="AF182" s="629"/>
      <c r="AG182" s="635"/>
      <c r="AH182" s="636"/>
      <c r="AI182" s="637"/>
      <c r="AJ182" s="629"/>
      <c r="AK182" s="635"/>
      <c r="AL182" s="636"/>
      <c r="AM182" s="637"/>
      <c r="AN182" s="629"/>
      <c r="AO182" s="467"/>
      <c r="AP182" s="504"/>
      <c r="AQ182" s="468"/>
      <c r="AR182" s="616"/>
      <c r="AS182" s="630"/>
      <c r="AT182" s="630"/>
    </row>
    <row r="183">
      <c r="A183" s="467"/>
      <c r="B183" s="504"/>
      <c r="C183" s="468"/>
      <c r="D183" s="616"/>
      <c r="E183" s="467"/>
      <c r="F183" s="504"/>
      <c r="G183" s="468"/>
      <c r="H183" s="616"/>
      <c r="I183" s="467"/>
      <c r="J183" s="504"/>
      <c r="K183" s="468"/>
      <c r="L183" s="616"/>
      <c r="M183" s="467"/>
      <c r="N183" s="504"/>
      <c r="O183" s="468"/>
      <c r="P183" s="616"/>
      <c r="Q183" s="635"/>
      <c r="R183" s="636"/>
      <c r="S183" s="637"/>
      <c r="T183" s="629"/>
      <c r="U183" s="635"/>
      <c r="V183" s="636"/>
      <c r="W183" s="637"/>
      <c r="X183" s="629"/>
      <c r="Y183" s="467"/>
      <c r="Z183" s="504"/>
      <c r="AA183" s="468"/>
      <c r="AB183" s="616"/>
      <c r="AC183" s="635"/>
      <c r="AD183" s="636"/>
      <c r="AE183" s="637"/>
      <c r="AF183" s="629"/>
      <c r="AG183" s="635"/>
      <c r="AH183" s="636"/>
      <c r="AI183" s="637"/>
      <c r="AJ183" s="629"/>
      <c r="AK183" s="635"/>
      <c r="AL183" s="636"/>
      <c r="AM183" s="637"/>
      <c r="AN183" s="629"/>
      <c r="AO183" s="467"/>
      <c r="AP183" s="504"/>
      <c r="AQ183" s="468"/>
      <c r="AR183" s="616"/>
      <c r="AS183" s="630"/>
      <c r="AT183" s="630"/>
    </row>
    <row r="184">
      <c r="A184" s="467"/>
      <c r="B184" s="504"/>
      <c r="C184" s="468"/>
      <c r="D184" s="616"/>
      <c r="E184" s="467"/>
      <c r="F184" s="504"/>
      <c r="G184" s="468"/>
      <c r="H184" s="616"/>
      <c r="I184" s="467"/>
      <c r="J184" s="504"/>
      <c r="K184" s="468"/>
      <c r="L184" s="616"/>
      <c r="M184" s="467"/>
      <c r="N184" s="504"/>
      <c r="O184" s="468"/>
      <c r="P184" s="616"/>
      <c r="Q184" s="635"/>
      <c r="R184" s="636"/>
      <c r="S184" s="637"/>
      <c r="T184" s="629"/>
      <c r="U184" s="635"/>
      <c r="V184" s="636"/>
      <c r="W184" s="637"/>
      <c r="X184" s="629"/>
      <c r="Y184" s="467"/>
      <c r="Z184" s="504"/>
      <c r="AA184" s="468"/>
      <c r="AB184" s="616"/>
      <c r="AC184" s="635"/>
      <c r="AD184" s="636"/>
      <c r="AE184" s="637"/>
      <c r="AF184" s="629"/>
      <c r="AG184" s="635"/>
      <c r="AH184" s="636"/>
      <c r="AI184" s="637"/>
      <c r="AJ184" s="629"/>
      <c r="AK184" s="635"/>
      <c r="AL184" s="636"/>
      <c r="AM184" s="637"/>
      <c r="AN184" s="629"/>
      <c r="AO184" s="467"/>
      <c r="AP184" s="504"/>
      <c r="AQ184" s="468"/>
      <c r="AR184" s="616"/>
      <c r="AS184" s="630"/>
      <c r="AT184" s="630"/>
    </row>
    <row r="185">
      <c r="A185" s="467"/>
      <c r="B185" s="504"/>
      <c r="C185" s="468"/>
      <c r="D185" s="616"/>
      <c r="E185" s="467"/>
      <c r="F185" s="504"/>
      <c r="G185" s="468"/>
      <c r="H185" s="616"/>
      <c r="I185" s="467"/>
      <c r="J185" s="504"/>
      <c r="K185" s="468"/>
      <c r="L185" s="616"/>
      <c r="M185" s="467"/>
      <c r="N185" s="504"/>
      <c r="O185" s="468"/>
      <c r="P185" s="616"/>
      <c r="Q185" s="635"/>
      <c r="R185" s="636"/>
      <c r="S185" s="637"/>
      <c r="T185" s="629"/>
      <c r="U185" s="635"/>
      <c r="V185" s="636"/>
      <c r="W185" s="637"/>
      <c r="X185" s="629"/>
      <c r="Y185" s="467"/>
      <c r="Z185" s="504"/>
      <c r="AA185" s="468"/>
      <c r="AB185" s="616"/>
      <c r="AC185" s="635"/>
      <c r="AD185" s="636"/>
      <c r="AE185" s="637"/>
      <c r="AF185" s="629"/>
      <c r="AG185" s="635"/>
      <c r="AH185" s="636"/>
      <c r="AI185" s="637"/>
      <c r="AJ185" s="629"/>
      <c r="AK185" s="635"/>
      <c r="AL185" s="636"/>
      <c r="AM185" s="637"/>
      <c r="AN185" s="629"/>
      <c r="AO185" s="467"/>
      <c r="AP185" s="504"/>
      <c r="AQ185" s="468"/>
      <c r="AR185" s="616"/>
      <c r="AS185" s="630"/>
      <c r="AT185" s="630"/>
    </row>
    <row r="186">
      <c r="A186" s="467"/>
      <c r="B186" s="504"/>
      <c r="C186" s="468"/>
      <c r="D186" s="616"/>
      <c r="E186" s="467"/>
      <c r="F186" s="504"/>
      <c r="G186" s="468"/>
      <c r="H186" s="616"/>
      <c r="I186" s="467"/>
      <c r="J186" s="504"/>
      <c r="K186" s="468"/>
      <c r="L186" s="616"/>
      <c r="M186" s="467"/>
      <c r="N186" s="504"/>
      <c r="O186" s="468"/>
      <c r="P186" s="616"/>
      <c r="Q186" s="635"/>
      <c r="R186" s="636"/>
      <c r="S186" s="637"/>
      <c r="T186" s="629"/>
      <c r="U186" s="635"/>
      <c r="V186" s="636"/>
      <c r="W186" s="637"/>
      <c r="X186" s="629"/>
      <c r="Y186" s="467"/>
      <c r="Z186" s="504"/>
      <c r="AA186" s="468"/>
      <c r="AB186" s="616"/>
      <c r="AC186" s="635"/>
      <c r="AD186" s="636"/>
      <c r="AE186" s="637"/>
      <c r="AF186" s="629"/>
      <c r="AG186" s="635"/>
      <c r="AH186" s="636"/>
      <c r="AI186" s="637"/>
      <c r="AJ186" s="629"/>
      <c r="AK186" s="635"/>
      <c r="AL186" s="636"/>
      <c r="AM186" s="637"/>
      <c r="AN186" s="629"/>
      <c r="AO186" s="467"/>
      <c r="AP186" s="504"/>
      <c r="AQ186" s="468"/>
      <c r="AR186" s="616"/>
      <c r="AS186" s="630"/>
      <c r="AT186" s="630"/>
    </row>
    <row r="187">
      <c r="A187" s="467"/>
      <c r="B187" s="504"/>
      <c r="C187" s="468"/>
      <c r="D187" s="616"/>
      <c r="E187" s="467"/>
      <c r="F187" s="504"/>
      <c r="G187" s="468"/>
      <c r="H187" s="616"/>
      <c r="I187" s="467"/>
      <c r="J187" s="504"/>
      <c r="K187" s="468"/>
      <c r="L187" s="616"/>
      <c r="M187" s="467"/>
      <c r="N187" s="504"/>
      <c r="O187" s="468"/>
      <c r="P187" s="616"/>
      <c r="Q187" s="635"/>
      <c r="R187" s="636"/>
      <c r="S187" s="637"/>
      <c r="T187" s="629"/>
      <c r="U187" s="635"/>
      <c r="V187" s="636"/>
      <c r="W187" s="637"/>
      <c r="X187" s="629"/>
      <c r="Y187" s="467"/>
      <c r="Z187" s="504"/>
      <c r="AA187" s="468"/>
      <c r="AB187" s="616"/>
      <c r="AC187" s="635"/>
      <c r="AD187" s="636"/>
      <c r="AE187" s="637"/>
      <c r="AF187" s="629"/>
      <c r="AG187" s="635"/>
      <c r="AH187" s="636"/>
      <c r="AI187" s="637"/>
      <c r="AJ187" s="629"/>
      <c r="AK187" s="635"/>
      <c r="AL187" s="636"/>
      <c r="AM187" s="637"/>
      <c r="AN187" s="629"/>
      <c r="AO187" s="467"/>
      <c r="AP187" s="504"/>
      <c r="AQ187" s="468"/>
      <c r="AR187" s="616"/>
      <c r="AS187" s="630"/>
      <c r="AT187" s="630"/>
    </row>
    <row r="188">
      <c r="A188" s="467"/>
      <c r="B188" s="504"/>
      <c r="C188" s="468"/>
      <c r="D188" s="616"/>
      <c r="E188" s="467"/>
      <c r="F188" s="504"/>
      <c r="G188" s="468"/>
      <c r="H188" s="616"/>
      <c r="I188" s="467"/>
      <c r="J188" s="504"/>
      <c r="K188" s="468"/>
      <c r="L188" s="616"/>
      <c r="M188" s="467"/>
      <c r="N188" s="504"/>
      <c r="O188" s="468"/>
      <c r="P188" s="616"/>
      <c r="Q188" s="635"/>
      <c r="R188" s="636"/>
      <c r="S188" s="637"/>
      <c r="T188" s="629"/>
      <c r="U188" s="635"/>
      <c r="V188" s="636"/>
      <c r="W188" s="637"/>
      <c r="X188" s="629"/>
      <c r="Y188" s="467"/>
      <c r="Z188" s="504"/>
      <c r="AA188" s="468"/>
      <c r="AB188" s="616"/>
      <c r="AC188" s="635"/>
      <c r="AD188" s="636"/>
      <c r="AE188" s="637"/>
      <c r="AF188" s="629"/>
      <c r="AG188" s="635"/>
      <c r="AH188" s="636"/>
      <c r="AI188" s="637"/>
      <c r="AJ188" s="629"/>
      <c r="AK188" s="635"/>
      <c r="AL188" s="636"/>
      <c r="AM188" s="637"/>
      <c r="AN188" s="629"/>
      <c r="AO188" s="467"/>
      <c r="AP188" s="504"/>
      <c r="AQ188" s="468"/>
      <c r="AR188" s="616"/>
      <c r="AS188" s="630"/>
      <c r="AT188" s="630"/>
    </row>
    <row r="189">
      <c r="A189" s="467"/>
      <c r="B189" s="504"/>
      <c r="C189" s="468"/>
      <c r="D189" s="616"/>
      <c r="E189" s="467"/>
      <c r="F189" s="504"/>
      <c r="G189" s="468"/>
      <c r="H189" s="616"/>
      <c r="I189" s="467"/>
      <c r="J189" s="504"/>
      <c r="K189" s="468"/>
      <c r="L189" s="616"/>
      <c r="M189" s="467"/>
      <c r="N189" s="504"/>
      <c r="O189" s="468"/>
      <c r="P189" s="616"/>
      <c r="Q189" s="635"/>
      <c r="R189" s="636"/>
      <c r="S189" s="637"/>
      <c r="T189" s="629"/>
      <c r="U189" s="635"/>
      <c r="V189" s="636"/>
      <c r="W189" s="637"/>
      <c r="X189" s="629"/>
      <c r="Y189" s="467"/>
      <c r="Z189" s="504"/>
      <c r="AA189" s="468"/>
      <c r="AB189" s="616"/>
      <c r="AC189" s="635"/>
      <c r="AD189" s="636"/>
      <c r="AE189" s="637"/>
      <c r="AF189" s="629"/>
      <c r="AG189" s="635"/>
      <c r="AH189" s="636"/>
      <c r="AI189" s="637"/>
      <c r="AJ189" s="629"/>
      <c r="AK189" s="635"/>
      <c r="AL189" s="636"/>
      <c r="AM189" s="637"/>
      <c r="AN189" s="629"/>
      <c r="AO189" s="467"/>
      <c r="AP189" s="504"/>
      <c r="AQ189" s="468"/>
      <c r="AR189" s="616"/>
      <c r="AS189" s="630"/>
      <c r="AT189" s="630"/>
    </row>
    <row r="190">
      <c r="A190" s="467"/>
      <c r="B190" s="504"/>
      <c r="C190" s="468"/>
      <c r="D190" s="616"/>
      <c r="E190" s="467"/>
      <c r="F190" s="504"/>
      <c r="G190" s="468"/>
      <c r="H190" s="616"/>
      <c r="I190" s="467"/>
      <c r="J190" s="504"/>
      <c r="K190" s="468"/>
      <c r="L190" s="616"/>
      <c r="M190" s="467"/>
      <c r="N190" s="504"/>
      <c r="O190" s="468"/>
      <c r="P190" s="616"/>
      <c r="Q190" s="635"/>
      <c r="R190" s="636"/>
      <c r="S190" s="637"/>
      <c r="T190" s="629"/>
      <c r="U190" s="635"/>
      <c r="V190" s="636"/>
      <c r="W190" s="637"/>
      <c r="X190" s="629"/>
      <c r="Y190" s="467"/>
      <c r="Z190" s="504"/>
      <c r="AA190" s="468"/>
      <c r="AB190" s="616"/>
      <c r="AC190" s="635"/>
      <c r="AD190" s="636"/>
      <c r="AE190" s="637"/>
      <c r="AF190" s="629"/>
      <c r="AG190" s="635"/>
      <c r="AH190" s="636"/>
      <c r="AI190" s="637"/>
      <c r="AJ190" s="629"/>
      <c r="AK190" s="635"/>
      <c r="AL190" s="636"/>
      <c r="AM190" s="637"/>
      <c r="AN190" s="629"/>
      <c r="AO190" s="467"/>
      <c r="AP190" s="504"/>
      <c r="AQ190" s="468"/>
      <c r="AR190" s="616"/>
      <c r="AS190" s="630"/>
      <c r="AT190" s="630"/>
    </row>
    <row r="191">
      <c r="A191" s="467"/>
      <c r="B191" s="504"/>
      <c r="C191" s="468"/>
      <c r="D191" s="616"/>
      <c r="E191" s="467"/>
      <c r="F191" s="504"/>
      <c r="G191" s="468"/>
      <c r="H191" s="616"/>
      <c r="I191" s="467"/>
      <c r="J191" s="504"/>
      <c r="K191" s="468"/>
      <c r="L191" s="616"/>
      <c r="M191" s="467"/>
      <c r="N191" s="504"/>
      <c r="O191" s="468"/>
      <c r="P191" s="616"/>
      <c r="Q191" s="635"/>
      <c r="R191" s="636"/>
      <c r="S191" s="637"/>
      <c r="T191" s="629"/>
      <c r="U191" s="635"/>
      <c r="V191" s="636"/>
      <c r="W191" s="637"/>
      <c r="X191" s="629"/>
      <c r="Y191" s="467"/>
      <c r="Z191" s="504"/>
      <c r="AA191" s="468"/>
      <c r="AB191" s="616"/>
      <c r="AC191" s="635"/>
      <c r="AD191" s="636"/>
      <c r="AE191" s="637"/>
      <c r="AF191" s="629"/>
      <c r="AG191" s="635"/>
      <c r="AH191" s="636"/>
      <c r="AI191" s="637"/>
      <c r="AJ191" s="629"/>
      <c r="AK191" s="635"/>
      <c r="AL191" s="636"/>
      <c r="AM191" s="637"/>
      <c r="AN191" s="629"/>
      <c r="AO191" s="467"/>
      <c r="AP191" s="504"/>
      <c r="AQ191" s="468"/>
      <c r="AR191" s="616"/>
      <c r="AS191" s="630"/>
      <c r="AT191" s="630"/>
    </row>
    <row r="192">
      <c r="A192" s="467"/>
      <c r="B192" s="504"/>
      <c r="C192" s="468"/>
      <c r="D192" s="616"/>
      <c r="E192" s="467"/>
      <c r="F192" s="504"/>
      <c r="G192" s="468"/>
      <c r="H192" s="616"/>
      <c r="I192" s="467"/>
      <c r="J192" s="504"/>
      <c r="K192" s="468"/>
      <c r="L192" s="616"/>
      <c r="M192" s="467"/>
      <c r="N192" s="504"/>
      <c r="O192" s="468"/>
      <c r="P192" s="616"/>
      <c r="Q192" s="635"/>
      <c r="R192" s="636"/>
      <c r="S192" s="637"/>
      <c r="T192" s="629"/>
      <c r="U192" s="635"/>
      <c r="V192" s="636"/>
      <c r="W192" s="637"/>
      <c r="X192" s="629"/>
      <c r="Y192" s="467"/>
      <c r="Z192" s="504"/>
      <c r="AA192" s="468"/>
      <c r="AB192" s="616"/>
      <c r="AC192" s="635"/>
      <c r="AD192" s="636"/>
      <c r="AE192" s="637"/>
      <c r="AF192" s="629"/>
      <c r="AG192" s="635"/>
      <c r="AH192" s="636"/>
      <c r="AI192" s="637"/>
      <c r="AJ192" s="629"/>
      <c r="AK192" s="635"/>
      <c r="AL192" s="636"/>
      <c r="AM192" s="637"/>
      <c r="AN192" s="629"/>
      <c r="AO192" s="467"/>
      <c r="AP192" s="504"/>
      <c r="AQ192" s="468"/>
      <c r="AR192" s="616"/>
      <c r="AS192" s="630"/>
      <c r="AT192" s="630"/>
    </row>
    <row r="193">
      <c r="A193" s="467"/>
      <c r="B193" s="504"/>
      <c r="C193" s="468"/>
      <c r="D193" s="616"/>
      <c r="E193" s="467"/>
      <c r="F193" s="504"/>
      <c r="G193" s="468"/>
      <c r="H193" s="616"/>
      <c r="I193" s="467"/>
      <c r="J193" s="504"/>
      <c r="K193" s="468"/>
      <c r="L193" s="616"/>
      <c r="M193" s="467"/>
      <c r="N193" s="504"/>
      <c r="O193" s="468"/>
      <c r="P193" s="616"/>
      <c r="Q193" s="635"/>
      <c r="R193" s="636"/>
      <c r="S193" s="637"/>
      <c r="T193" s="629"/>
      <c r="U193" s="635"/>
      <c r="V193" s="636"/>
      <c r="W193" s="637"/>
      <c r="X193" s="629"/>
      <c r="Y193" s="467"/>
      <c r="Z193" s="504"/>
      <c r="AA193" s="468"/>
      <c r="AB193" s="616"/>
      <c r="AC193" s="635"/>
      <c r="AD193" s="636"/>
      <c r="AE193" s="637"/>
      <c r="AF193" s="629"/>
      <c r="AG193" s="635"/>
      <c r="AH193" s="636"/>
      <c r="AI193" s="637"/>
      <c r="AJ193" s="629"/>
      <c r="AK193" s="635"/>
      <c r="AL193" s="636"/>
      <c r="AM193" s="637"/>
      <c r="AN193" s="629"/>
      <c r="AO193" s="467"/>
      <c r="AP193" s="504"/>
      <c r="AQ193" s="468"/>
      <c r="AR193" s="616"/>
      <c r="AS193" s="630"/>
      <c r="AT193" s="630"/>
    </row>
    <row r="194">
      <c r="A194" s="467"/>
      <c r="B194" s="504"/>
      <c r="C194" s="468"/>
      <c r="D194" s="616"/>
      <c r="E194" s="467"/>
      <c r="F194" s="504"/>
      <c r="G194" s="468"/>
      <c r="H194" s="616"/>
      <c r="I194" s="467"/>
      <c r="J194" s="504"/>
      <c r="K194" s="468"/>
      <c r="L194" s="616"/>
      <c r="M194" s="467"/>
      <c r="N194" s="504"/>
      <c r="O194" s="468"/>
      <c r="P194" s="616"/>
      <c r="Q194" s="635"/>
      <c r="R194" s="636"/>
      <c r="S194" s="637"/>
      <c r="T194" s="629"/>
      <c r="U194" s="635"/>
      <c r="V194" s="636"/>
      <c r="W194" s="637"/>
      <c r="X194" s="629"/>
      <c r="Y194" s="467"/>
      <c r="Z194" s="504"/>
      <c r="AA194" s="468"/>
      <c r="AB194" s="616"/>
      <c r="AC194" s="635"/>
      <c r="AD194" s="636"/>
      <c r="AE194" s="637"/>
      <c r="AF194" s="629"/>
      <c r="AG194" s="635"/>
      <c r="AH194" s="636"/>
      <c r="AI194" s="637"/>
      <c r="AJ194" s="629"/>
      <c r="AK194" s="635"/>
      <c r="AL194" s="636"/>
      <c r="AM194" s="637"/>
      <c r="AN194" s="629"/>
      <c r="AO194" s="467"/>
      <c r="AP194" s="504"/>
      <c r="AQ194" s="468"/>
      <c r="AR194" s="616"/>
      <c r="AS194" s="630"/>
      <c r="AT194" s="630"/>
    </row>
    <row r="195">
      <c r="A195" s="467"/>
      <c r="B195" s="504"/>
      <c r="C195" s="468"/>
      <c r="D195" s="616"/>
      <c r="E195" s="467"/>
      <c r="F195" s="504"/>
      <c r="G195" s="468"/>
      <c r="H195" s="616"/>
      <c r="I195" s="467"/>
      <c r="J195" s="504"/>
      <c r="K195" s="468"/>
      <c r="L195" s="616"/>
      <c r="M195" s="467"/>
      <c r="N195" s="504"/>
      <c r="O195" s="468"/>
      <c r="P195" s="616"/>
      <c r="Q195" s="635"/>
      <c r="R195" s="636"/>
      <c r="S195" s="637"/>
      <c r="T195" s="629"/>
      <c r="U195" s="635"/>
      <c r="V195" s="636"/>
      <c r="W195" s="637"/>
      <c r="X195" s="629"/>
      <c r="Y195" s="467"/>
      <c r="Z195" s="504"/>
      <c r="AA195" s="468"/>
      <c r="AB195" s="616"/>
      <c r="AC195" s="635"/>
      <c r="AD195" s="636"/>
      <c r="AE195" s="637"/>
      <c r="AF195" s="629"/>
      <c r="AG195" s="635"/>
      <c r="AH195" s="636"/>
      <c r="AI195" s="637"/>
      <c r="AJ195" s="629"/>
      <c r="AK195" s="635"/>
      <c r="AL195" s="636"/>
      <c r="AM195" s="637"/>
      <c r="AN195" s="629"/>
      <c r="AO195" s="467"/>
      <c r="AP195" s="504"/>
      <c r="AQ195" s="468"/>
      <c r="AR195" s="616"/>
      <c r="AS195" s="630"/>
      <c r="AT195" s="630"/>
    </row>
    <row r="196">
      <c r="A196" s="467"/>
      <c r="B196" s="504"/>
      <c r="C196" s="468"/>
      <c r="D196" s="616"/>
      <c r="E196" s="467"/>
      <c r="F196" s="504"/>
      <c r="G196" s="468"/>
      <c r="H196" s="616"/>
      <c r="I196" s="467"/>
      <c r="J196" s="504"/>
      <c r="K196" s="468"/>
      <c r="L196" s="616"/>
      <c r="M196" s="467"/>
      <c r="N196" s="504"/>
      <c r="O196" s="468"/>
      <c r="P196" s="616"/>
      <c r="Q196" s="635"/>
      <c r="R196" s="636"/>
      <c r="S196" s="637"/>
      <c r="T196" s="629"/>
      <c r="U196" s="635"/>
      <c r="V196" s="636"/>
      <c r="W196" s="637"/>
      <c r="X196" s="629"/>
      <c r="Y196" s="467"/>
      <c r="Z196" s="504"/>
      <c r="AA196" s="468"/>
      <c r="AB196" s="616"/>
      <c r="AC196" s="635"/>
      <c r="AD196" s="636"/>
      <c r="AE196" s="637"/>
      <c r="AF196" s="629"/>
      <c r="AG196" s="635"/>
      <c r="AH196" s="636"/>
      <c r="AI196" s="637"/>
      <c r="AJ196" s="629"/>
      <c r="AK196" s="635"/>
      <c r="AL196" s="636"/>
      <c r="AM196" s="637"/>
      <c r="AN196" s="629"/>
      <c r="AO196" s="467"/>
      <c r="AP196" s="504"/>
      <c r="AQ196" s="468"/>
      <c r="AR196" s="616"/>
      <c r="AS196" s="630"/>
      <c r="AT196" s="630"/>
    </row>
    <row r="197">
      <c r="A197" s="467"/>
      <c r="B197" s="504"/>
      <c r="C197" s="468"/>
      <c r="D197" s="616"/>
      <c r="E197" s="467"/>
      <c r="F197" s="504"/>
      <c r="G197" s="468"/>
      <c r="H197" s="616"/>
      <c r="I197" s="467"/>
      <c r="J197" s="504"/>
      <c r="K197" s="468"/>
      <c r="L197" s="616"/>
      <c r="M197" s="467"/>
      <c r="N197" s="504"/>
      <c r="O197" s="468"/>
      <c r="P197" s="616"/>
      <c r="Q197" s="635"/>
      <c r="R197" s="636"/>
      <c r="S197" s="637"/>
      <c r="T197" s="629"/>
      <c r="U197" s="635"/>
      <c r="V197" s="636"/>
      <c r="W197" s="637"/>
      <c r="X197" s="629"/>
      <c r="Y197" s="467"/>
      <c r="Z197" s="504"/>
      <c r="AA197" s="468"/>
      <c r="AB197" s="616"/>
      <c r="AC197" s="635"/>
      <c r="AD197" s="636"/>
      <c r="AE197" s="637"/>
      <c r="AF197" s="629"/>
      <c r="AG197" s="635"/>
      <c r="AH197" s="636"/>
      <c r="AI197" s="637"/>
      <c r="AJ197" s="629"/>
      <c r="AK197" s="635"/>
      <c r="AL197" s="636"/>
      <c r="AM197" s="637"/>
      <c r="AN197" s="629"/>
      <c r="AO197" s="467"/>
      <c r="AP197" s="504"/>
      <c r="AQ197" s="468"/>
      <c r="AR197" s="616"/>
      <c r="AS197" s="630"/>
      <c r="AT197" s="630"/>
    </row>
    <row r="198">
      <c r="A198" s="467"/>
      <c r="B198" s="504"/>
      <c r="C198" s="468"/>
      <c r="D198" s="616"/>
      <c r="E198" s="467"/>
      <c r="F198" s="504"/>
      <c r="G198" s="468"/>
      <c r="H198" s="616"/>
      <c r="I198" s="467"/>
      <c r="J198" s="504"/>
      <c r="K198" s="468"/>
      <c r="L198" s="616"/>
      <c r="M198" s="467"/>
      <c r="N198" s="504"/>
      <c r="O198" s="468"/>
      <c r="P198" s="616"/>
      <c r="Q198" s="635"/>
      <c r="R198" s="636"/>
      <c r="S198" s="637"/>
      <c r="T198" s="629"/>
      <c r="U198" s="635"/>
      <c r="V198" s="636"/>
      <c r="W198" s="637"/>
      <c r="X198" s="629"/>
      <c r="Y198" s="467"/>
      <c r="Z198" s="504"/>
      <c r="AA198" s="468"/>
      <c r="AB198" s="616"/>
      <c r="AC198" s="635"/>
      <c r="AD198" s="636"/>
      <c r="AE198" s="637"/>
      <c r="AF198" s="629"/>
      <c r="AG198" s="635"/>
      <c r="AH198" s="636"/>
      <c r="AI198" s="637"/>
      <c r="AJ198" s="629"/>
      <c r="AK198" s="635"/>
      <c r="AL198" s="636"/>
      <c r="AM198" s="637"/>
      <c r="AN198" s="629"/>
      <c r="AO198" s="467"/>
      <c r="AP198" s="504"/>
      <c r="AQ198" s="468"/>
      <c r="AR198" s="616"/>
      <c r="AS198" s="630"/>
      <c r="AT198" s="630"/>
    </row>
    <row r="199">
      <c r="A199" s="467"/>
      <c r="B199" s="504"/>
      <c r="C199" s="468"/>
      <c r="D199" s="616"/>
      <c r="E199" s="467"/>
      <c r="F199" s="504"/>
      <c r="G199" s="468"/>
      <c r="H199" s="616"/>
      <c r="I199" s="467"/>
      <c r="J199" s="504"/>
      <c r="K199" s="468"/>
      <c r="L199" s="616"/>
      <c r="M199" s="467"/>
      <c r="N199" s="504"/>
      <c r="O199" s="468"/>
      <c r="P199" s="616"/>
      <c r="Q199" s="635"/>
      <c r="R199" s="636"/>
      <c r="S199" s="637"/>
      <c r="T199" s="629"/>
      <c r="U199" s="635"/>
      <c r="V199" s="636"/>
      <c r="W199" s="637"/>
      <c r="X199" s="629"/>
      <c r="Y199" s="467"/>
      <c r="Z199" s="504"/>
      <c r="AA199" s="468"/>
      <c r="AB199" s="616"/>
      <c r="AC199" s="635"/>
      <c r="AD199" s="636"/>
      <c r="AE199" s="637"/>
      <c r="AF199" s="629"/>
      <c r="AG199" s="635"/>
      <c r="AH199" s="636"/>
      <c r="AI199" s="637"/>
      <c r="AJ199" s="629"/>
      <c r="AK199" s="635"/>
      <c r="AL199" s="636"/>
      <c r="AM199" s="637"/>
      <c r="AN199" s="629"/>
      <c r="AO199" s="467"/>
      <c r="AP199" s="504"/>
      <c r="AQ199" s="468"/>
      <c r="AR199" s="616"/>
      <c r="AS199" s="630"/>
      <c r="AT199" s="630"/>
    </row>
    <row r="200">
      <c r="A200" s="467"/>
      <c r="B200" s="504"/>
      <c r="C200" s="468"/>
      <c r="D200" s="616"/>
      <c r="E200" s="467"/>
      <c r="F200" s="504"/>
      <c r="G200" s="468"/>
      <c r="H200" s="616"/>
      <c r="I200" s="467"/>
      <c r="J200" s="504"/>
      <c r="K200" s="468"/>
      <c r="L200" s="616"/>
      <c r="M200" s="467"/>
      <c r="N200" s="504"/>
      <c r="O200" s="468"/>
      <c r="P200" s="616"/>
      <c r="Q200" s="635"/>
      <c r="R200" s="636"/>
      <c r="S200" s="637"/>
      <c r="T200" s="629"/>
      <c r="U200" s="635"/>
      <c r="V200" s="636"/>
      <c r="W200" s="637"/>
      <c r="X200" s="629"/>
      <c r="Y200" s="467"/>
      <c r="Z200" s="504"/>
      <c r="AA200" s="468"/>
      <c r="AB200" s="616"/>
      <c r="AC200" s="635"/>
      <c r="AD200" s="636"/>
      <c r="AE200" s="637"/>
      <c r="AF200" s="629"/>
      <c r="AG200" s="635"/>
      <c r="AH200" s="636"/>
      <c r="AI200" s="637"/>
      <c r="AJ200" s="629"/>
      <c r="AK200" s="635"/>
      <c r="AL200" s="636"/>
      <c r="AM200" s="637"/>
      <c r="AN200" s="629"/>
      <c r="AO200" s="467"/>
      <c r="AP200" s="504"/>
      <c r="AQ200" s="468"/>
      <c r="AR200" s="616"/>
      <c r="AS200" s="630"/>
      <c r="AT200" s="630"/>
    </row>
    <row r="201">
      <c r="A201" s="467"/>
      <c r="B201" s="504"/>
      <c r="C201" s="468"/>
      <c r="D201" s="616"/>
      <c r="E201" s="467"/>
      <c r="F201" s="504"/>
      <c r="G201" s="468"/>
      <c r="H201" s="616"/>
      <c r="I201" s="467"/>
      <c r="J201" s="504"/>
      <c r="K201" s="468"/>
      <c r="L201" s="616"/>
      <c r="M201" s="467"/>
      <c r="N201" s="504"/>
      <c r="O201" s="468"/>
      <c r="P201" s="616"/>
      <c r="Q201" s="635"/>
      <c r="R201" s="636"/>
      <c r="S201" s="637"/>
      <c r="T201" s="629"/>
      <c r="U201" s="635"/>
      <c r="V201" s="636"/>
      <c r="W201" s="637"/>
      <c r="X201" s="629"/>
      <c r="Y201" s="467"/>
      <c r="Z201" s="504"/>
      <c r="AA201" s="468"/>
      <c r="AB201" s="616"/>
      <c r="AC201" s="635"/>
      <c r="AD201" s="636"/>
      <c r="AE201" s="637"/>
      <c r="AF201" s="629"/>
      <c r="AG201" s="635"/>
      <c r="AH201" s="636"/>
      <c r="AI201" s="637"/>
      <c r="AJ201" s="629"/>
      <c r="AK201" s="635"/>
      <c r="AL201" s="636"/>
      <c r="AM201" s="637"/>
      <c r="AN201" s="629"/>
      <c r="AO201" s="467"/>
      <c r="AP201" s="504"/>
      <c r="AQ201" s="468"/>
      <c r="AR201" s="616"/>
      <c r="AS201" s="630"/>
      <c r="AT201" s="630"/>
    </row>
    <row r="202">
      <c r="A202" s="467"/>
      <c r="B202" s="504"/>
      <c r="C202" s="468"/>
      <c r="D202" s="616"/>
      <c r="E202" s="467"/>
      <c r="F202" s="504"/>
      <c r="G202" s="468"/>
      <c r="H202" s="616"/>
      <c r="I202" s="467"/>
      <c r="J202" s="504"/>
      <c r="K202" s="468"/>
      <c r="L202" s="616"/>
      <c r="M202" s="467"/>
      <c r="N202" s="504"/>
      <c r="O202" s="468"/>
      <c r="P202" s="616"/>
      <c r="Q202" s="635"/>
      <c r="R202" s="636"/>
      <c r="S202" s="637"/>
      <c r="T202" s="629"/>
      <c r="U202" s="635"/>
      <c r="V202" s="636"/>
      <c r="W202" s="637"/>
      <c r="X202" s="629"/>
      <c r="Y202" s="467"/>
      <c r="Z202" s="504"/>
      <c r="AA202" s="468"/>
      <c r="AB202" s="616"/>
      <c r="AC202" s="635"/>
      <c r="AD202" s="636"/>
      <c r="AE202" s="637"/>
      <c r="AF202" s="629"/>
      <c r="AG202" s="635"/>
      <c r="AH202" s="636"/>
      <c r="AI202" s="637"/>
      <c r="AJ202" s="629"/>
      <c r="AK202" s="635"/>
      <c r="AL202" s="636"/>
      <c r="AM202" s="637"/>
      <c r="AN202" s="629"/>
      <c r="AO202" s="467"/>
      <c r="AP202" s="504"/>
      <c r="AQ202" s="468"/>
      <c r="AR202" s="616"/>
      <c r="AS202" s="630"/>
      <c r="AT202" s="630"/>
    </row>
    <row r="203">
      <c r="A203" s="467"/>
      <c r="B203" s="504"/>
      <c r="C203" s="468"/>
      <c r="D203" s="616"/>
      <c r="E203" s="467"/>
      <c r="F203" s="504"/>
      <c r="G203" s="468"/>
      <c r="H203" s="616"/>
      <c r="I203" s="467"/>
      <c r="J203" s="504"/>
      <c r="K203" s="468"/>
      <c r="L203" s="616"/>
      <c r="M203" s="467"/>
      <c r="N203" s="504"/>
      <c r="O203" s="468"/>
      <c r="P203" s="616"/>
      <c r="Q203" s="635"/>
      <c r="R203" s="636"/>
      <c r="S203" s="637"/>
      <c r="T203" s="629"/>
      <c r="U203" s="635"/>
      <c r="V203" s="636"/>
      <c r="W203" s="637"/>
      <c r="X203" s="629"/>
      <c r="Y203" s="467"/>
      <c r="Z203" s="504"/>
      <c r="AA203" s="468"/>
      <c r="AB203" s="616"/>
      <c r="AC203" s="635"/>
      <c r="AD203" s="636"/>
      <c r="AE203" s="637"/>
      <c r="AF203" s="629"/>
      <c r="AG203" s="635"/>
      <c r="AH203" s="636"/>
      <c r="AI203" s="637"/>
      <c r="AJ203" s="629"/>
      <c r="AK203" s="635"/>
      <c r="AL203" s="636"/>
      <c r="AM203" s="637"/>
      <c r="AN203" s="629"/>
      <c r="AO203" s="467"/>
      <c r="AP203" s="504"/>
      <c r="AQ203" s="468"/>
      <c r="AR203" s="616"/>
      <c r="AS203" s="630"/>
      <c r="AT203" s="630"/>
    </row>
    <row r="204">
      <c r="A204" s="467"/>
      <c r="B204" s="504"/>
      <c r="C204" s="468"/>
      <c r="D204" s="616"/>
      <c r="E204" s="467"/>
      <c r="F204" s="504"/>
      <c r="G204" s="468"/>
      <c r="H204" s="616"/>
      <c r="I204" s="467"/>
      <c r="J204" s="504"/>
      <c r="K204" s="468"/>
      <c r="L204" s="616"/>
      <c r="M204" s="467"/>
      <c r="N204" s="504"/>
      <c r="O204" s="468"/>
      <c r="P204" s="616"/>
      <c r="Q204" s="635"/>
      <c r="R204" s="636"/>
      <c r="S204" s="637"/>
      <c r="T204" s="629"/>
      <c r="U204" s="635"/>
      <c r="V204" s="636"/>
      <c r="W204" s="637"/>
      <c r="X204" s="629"/>
      <c r="Y204" s="467"/>
      <c r="Z204" s="504"/>
      <c r="AA204" s="468"/>
      <c r="AB204" s="616"/>
      <c r="AC204" s="635"/>
      <c r="AD204" s="636"/>
      <c r="AE204" s="637"/>
      <c r="AF204" s="629"/>
      <c r="AG204" s="635"/>
      <c r="AH204" s="636"/>
      <c r="AI204" s="637"/>
      <c r="AJ204" s="629"/>
      <c r="AK204" s="635"/>
      <c r="AL204" s="636"/>
      <c r="AM204" s="637"/>
      <c r="AN204" s="629"/>
      <c r="AO204" s="467"/>
      <c r="AP204" s="504"/>
      <c r="AQ204" s="468"/>
      <c r="AR204" s="616"/>
      <c r="AS204" s="630"/>
      <c r="AT204" s="630"/>
    </row>
    <row r="205">
      <c r="A205" s="467"/>
      <c r="B205" s="504"/>
      <c r="C205" s="468"/>
      <c r="D205" s="616"/>
      <c r="E205" s="467"/>
      <c r="F205" s="504"/>
      <c r="G205" s="468"/>
      <c r="H205" s="616"/>
      <c r="I205" s="467"/>
      <c r="J205" s="504"/>
      <c r="K205" s="468"/>
      <c r="L205" s="616"/>
      <c r="M205" s="467"/>
      <c r="N205" s="504"/>
      <c r="O205" s="468"/>
      <c r="P205" s="616"/>
      <c r="Q205" s="635"/>
      <c r="R205" s="636"/>
      <c r="S205" s="637"/>
      <c r="T205" s="629"/>
      <c r="U205" s="635"/>
      <c r="V205" s="636"/>
      <c r="W205" s="637"/>
      <c r="X205" s="629"/>
      <c r="Y205" s="467"/>
      <c r="Z205" s="504"/>
      <c r="AA205" s="468"/>
      <c r="AB205" s="616"/>
      <c r="AC205" s="635"/>
      <c r="AD205" s="636"/>
      <c r="AE205" s="637"/>
      <c r="AF205" s="629"/>
      <c r="AG205" s="635"/>
      <c r="AH205" s="636"/>
      <c r="AI205" s="637"/>
      <c r="AJ205" s="629"/>
      <c r="AK205" s="635"/>
      <c r="AL205" s="636"/>
      <c r="AM205" s="637"/>
      <c r="AN205" s="629"/>
      <c r="AO205" s="467"/>
      <c r="AP205" s="504"/>
      <c r="AQ205" s="468"/>
      <c r="AR205" s="616"/>
      <c r="AS205" s="630"/>
      <c r="AT205" s="630"/>
    </row>
    <row r="206">
      <c r="A206" s="467"/>
      <c r="B206" s="504"/>
      <c r="C206" s="468"/>
      <c r="D206" s="616"/>
      <c r="E206" s="467"/>
      <c r="F206" s="504"/>
      <c r="G206" s="468"/>
      <c r="H206" s="616"/>
      <c r="I206" s="467"/>
      <c r="J206" s="504"/>
      <c r="K206" s="468"/>
      <c r="L206" s="616"/>
      <c r="M206" s="467"/>
      <c r="N206" s="504"/>
      <c r="O206" s="468"/>
      <c r="P206" s="616"/>
      <c r="Q206" s="635"/>
      <c r="R206" s="636"/>
      <c r="S206" s="637"/>
      <c r="T206" s="629"/>
      <c r="U206" s="635"/>
      <c r="V206" s="636"/>
      <c r="W206" s="637"/>
      <c r="X206" s="629"/>
      <c r="Y206" s="467"/>
      <c r="Z206" s="504"/>
      <c r="AA206" s="468"/>
      <c r="AB206" s="616"/>
      <c r="AC206" s="635"/>
      <c r="AD206" s="636"/>
      <c r="AE206" s="637"/>
      <c r="AF206" s="629"/>
      <c r="AG206" s="635"/>
      <c r="AH206" s="636"/>
      <c r="AI206" s="637"/>
      <c r="AJ206" s="629"/>
      <c r="AK206" s="635"/>
      <c r="AL206" s="636"/>
      <c r="AM206" s="637"/>
      <c r="AN206" s="629"/>
      <c r="AO206" s="467"/>
      <c r="AP206" s="504"/>
      <c r="AQ206" s="468"/>
      <c r="AR206" s="616"/>
      <c r="AS206" s="630"/>
      <c r="AT206" s="630"/>
    </row>
    <row r="207">
      <c r="A207" s="467"/>
      <c r="B207" s="504"/>
      <c r="C207" s="468"/>
      <c r="D207" s="616"/>
      <c r="E207" s="467"/>
      <c r="F207" s="504"/>
      <c r="G207" s="468"/>
      <c r="H207" s="616"/>
      <c r="I207" s="467"/>
      <c r="J207" s="504"/>
      <c r="K207" s="468"/>
      <c r="L207" s="616"/>
      <c r="M207" s="467"/>
      <c r="N207" s="504"/>
      <c r="O207" s="468"/>
      <c r="P207" s="616"/>
      <c r="Q207" s="635"/>
      <c r="R207" s="636"/>
      <c r="S207" s="637"/>
      <c r="T207" s="629"/>
      <c r="U207" s="635"/>
      <c r="V207" s="636"/>
      <c r="W207" s="637"/>
      <c r="X207" s="629"/>
      <c r="Y207" s="467"/>
      <c r="Z207" s="504"/>
      <c r="AA207" s="468"/>
      <c r="AB207" s="616"/>
      <c r="AC207" s="635"/>
      <c r="AD207" s="636"/>
      <c r="AE207" s="637"/>
      <c r="AF207" s="629"/>
      <c r="AG207" s="635"/>
      <c r="AH207" s="636"/>
      <c r="AI207" s="637"/>
      <c r="AJ207" s="629"/>
      <c r="AK207" s="635"/>
      <c r="AL207" s="636"/>
      <c r="AM207" s="637"/>
      <c r="AN207" s="629"/>
      <c r="AO207" s="467"/>
      <c r="AP207" s="504"/>
      <c r="AQ207" s="468"/>
      <c r="AR207" s="616"/>
      <c r="AS207" s="630"/>
      <c r="AT207" s="630"/>
    </row>
    <row r="208">
      <c r="A208" s="467"/>
      <c r="B208" s="504"/>
      <c r="C208" s="468"/>
      <c r="D208" s="616"/>
      <c r="E208" s="467"/>
      <c r="F208" s="504"/>
      <c r="G208" s="468"/>
      <c r="H208" s="616"/>
      <c r="I208" s="467"/>
      <c r="J208" s="504"/>
      <c r="K208" s="468"/>
      <c r="L208" s="616"/>
      <c r="M208" s="467"/>
      <c r="N208" s="504"/>
      <c r="O208" s="468"/>
      <c r="P208" s="616"/>
      <c r="Q208" s="635"/>
      <c r="R208" s="636"/>
      <c r="S208" s="637"/>
      <c r="T208" s="629"/>
      <c r="U208" s="635"/>
      <c r="V208" s="636"/>
      <c r="W208" s="637"/>
      <c r="X208" s="629"/>
      <c r="Y208" s="467"/>
      <c r="Z208" s="504"/>
      <c r="AA208" s="468"/>
      <c r="AB208" s="616"/>
      <c r="AC208" s="635"/>
      <c r="AD208" s="636"/>
      <c r="AE208" s="637"/>
      <c r="AF208" s="629"/>
      <c r="AG208" s="635"/>
      <c r="AH208" s="636"/>
      <c r="AI208" s="637"/>
      <c r="AJ208" s="629"/>
      <c r="AK208" s="635"/>
      <c r="AL208" s="636"/>
      <c r="AM208" s="637"/>
      <c r="AN208" s="629"/>
      <c r="AO208" s="467"/>
      <c r="AP208" s="504"/>
      <c r="AQ208" s="468"/>
      <c r="AR208" s="616"/>
      <c r="AS208" s="630"/>
      <c r="AT208" s="630"/>
    </row>
    <row r="209">
      <c r="A209" s="467"/>
      <c r="B209" s="504"/>
      <c r="C209" s="468"/>
      <c r="D209" s="616"/>
      <c r="E209" s="467"/>
      <c r="F209" s="504"/>
      <c r="G209" s="468"/>
      <c r="H209" s="616"/>
      <c r="I209" s="467"/>
      <c r="J209" s="504"/>
      <c r="K209" s="468"/>
      <c r="L209" s="616"/>
      <c r="M209" s="467"/>
      <c r="N209" s="504"/>
      <c r="O209" s="468"/>
      <c r="P209" s="616"/>
      <c r="Q209" s="635"/>
      <c r="R209" s="636"/>
      <c r="S209" s="637"/>
      <c r="T209" s="629"/>
      <c r="U209" s="635"/>
      <c r="V209" s="636"/>
      <c r="W209" s="637"/>
      <c r="X209" s="629"/>
      <c r="Y209" s="467"/>
      <c r="Z209" s="504"/>
      <c r="AA209" s="468"/>
      <c r="AB209" s="616"/>
      <c r="AC209" s="635"/>
      <c r="AD209" s="636"/>
      <c r="AE209" s="637"/>
      <c r="AF209" s="629"/>
      <c r="AG209" s="635"/>
      <c r="AH209" s="636"/>
      <c r="AI209" s="637"/>
      <c r="AJ209" s="629"/>
      <c r="AK209" s="635"/>
      <c r="AL209" s="636"/>
      <c r="AM209" s="637"/>
      <c r="AN209" s="629"/>
      <c r="AO209" s="467"/>
      <c r="AP209" s="504"/>
      <c r="AQ209" s="468"/>
      <c r="AR209" s="616"/>
      <c r="AS209" s="630"/>
      <c r="AT209" s="630"/>
    </row>
    <row r="210">
      <c r="A210" s="467"/>
      <c r="B210" s="504"/>
      <c r="C210" s="468"/>
      <c r="D210" s="616"/>
      <c r="E210" s="467"/>
      <c r="F210" s="504"/>
      <c r="G210" s="468"/>
      <c r="H210" s="616"/>
      <c r="I210" s="467"/>
      <c r="J210" s="504"/>
      <c r="K210" s="468"/>
      <c r="L210" s="616"/>
      <c r="M210" s="467"/>
      <c r="N210" s="504"/>
      <c r="O210" s="468"/>
      <c r="P210" s="616"/>
      <c r="Q210" s="635"/>
      <c r="R210" s="636"/>
      <c r="S210" s="637"/>
      <c r="T210" s="629"/>
      <c r="U210" s="635"/>
      <c r="V210" s="636"/>
      <c r="W210" s="637"/>
      <c r="X210" s="629"/>
      <c r="Y210" s="467"/>
      <c r="Z210" s="504"/>
      <c r="AA210" s="468"/>
      <c r="AB210" s="616"/>
      <c r="AC210" s="635"/>
      <c r="AD210" s="636"/>
      <c r="AE210" s="637"/>
      <c r="AF210" s="629"/>
      <c r="AG210" s="635"/>
      <c r="AH210" s="636"/>
      <c r="AI210" s="637"/>
      <c r="AJ210" s="629"/>
      <c r="AK210" s="635"/>
      <c r="AL210" s="636"/>
      <c r="AM210" s="637"/>
      <c r="AN210" s="629"/>
      <c r="AO210" s="467"/>
      <c r="AP210" s="504"/>
      <c r="AQ210" s="468"/>
      <c r="AR210" s="616"/>
      <c r="AS210" s="630"/>
      <c r="AT210" s="630"/>
    </row>
    <row r="211">
      <c r="A211" s="467"/>
      <c r="B211" s="504"/>
      <c r="C211" s="468"/>
      <c r="D211" s="616"/>
      <c r="E211" s="467"/>
      <c r="F211" s="504"/>
      <c r="G211" s="468"/>
      <c r="H211" s="616"/>
      <c r="I211" s="467"/>
      <c r="J211" s="504"/>
      <c r="K211" s="468"/>
      <c r="L211" s="616"/>
      <c r="M211" s="467"/>
      <c r="N211" s="504"/>
      <c r="O211" s="468"/>
      <c r="P211" s="616"/>
      <c r="Q211" s="635"/>
      <c r="R211" s="636"/>
      <c r="S211" s="637"/>
      <c r="T211" s="629"/>
      <c r="U211" s="635"/>
      <c r="V211" s="636"/>
      <c r="W211" s="637"/>
      <c r="X211" s="629"/>
      <c r="Y211" s="467"/>
      <c r="Z211" s="504"/>
      <c r="AA211" s="468"/>
      <c r="AB211" s="616"/>
      <c r="AC211" s="635"/>
      <c r="AD211" s="636"/>
      <c r="AE211" s="637"/>
      <c r="AF211" s="629"/>
      <c r="AG211" s="635"/>
      <c r="AH211" s="636"/>
      <c r="AI211" s="637"/>
      <c r="AJ211" s="629"/>
      <c r="AK211" s="635"/>
      <c r="AL211" s="636"/>
      <c r="AM211" s="637"/>
      <c r="AN211" s="629"/>
      <c r="AO211" s="467"/>
      <c r="AP211" s="504"/>
      <c r="AQ211" s="468"/>
      <c r="AR211" s="616"/>
      <c r="AS211" s="630"/>
      <c r="AT211" s="630"/>
    </row>
    <row r="212">
      <c r="A212" s="467"/>
      <c r="B212" s="504"/>
      <c r="C212" s="468"/>
      <c r="D212" s="616"/>
      <c r="E212" s="467"/>
      <c r="F212" s="504"/>
      <c r="G212" s="468"/>
      <c r="H212" s="616"/>
      <c r="I212" s="467"/>
      <c r="J212" s="504"/>
      <c r="K212" s="468"/>
      <c r="L212" s="616"/>
      <c r="M212" s="467"/>
      <c r="N212" s="504"/>
      <c r="O212" s="468"/>
      <c r="P212" s="616"/>
      <c r="Q212" s="635"/>
      <c r="R212" s="636"/>
      <c r="S212" s="637"/>
      <c r="T212" s="629"/>
      <c r="U212" s="635"/>
      <c r="V212" s="636"/>
      <c r="W212" s="637"/>
      <c r="X212" s="629"/>
      <c r="Y212" s="467"/>
      <c r="Z212" s="504"/>
      <c r="AA212" s="468"/>
      <c r="AB212" s="616"/>
      <c r="AC212" s="635"/>
      <c r="AD212" s="636"/>
      <c r="AE212" s="637"/>
      <c r="AF212" s="629"/>
      <c r="AG212" s="635"/>
      <c r="AH212" s="636"/>
      <c r="AI212" s="637"/>
      <c r="AJ212" s="629"/>
      <c r="AK212" s="635"/>
      <c r="AL212" s="636"/>
      <c r="AM212" s="637"/>
      <c r="AN212" s="629"/>
      <c r="AO212" s="467"/>
      <c r="AP212" s="504"/>
      <c r="AQ212" s="468"/>
      <c r="AR212" s="616"/>
      <c r="AS212" s="630"/>
      <c r="AT212" s="630"/>
    </row>
    <row r="213">
      <c r="A213" s="467"/>
      <c r="B213" s="504"/>
      <c r="C213" s="468"/>
      <c r="D213" s="616"/>
      <c r="E213" s="467"/>
      <c r="F213" s="504"/>
      <c r="G213" s="468"/>
      <c r="H213" s="616"/>
      <c r="I213" s="467"/>
      <c r="J213" s="504"/>
      <c r="K213" s="468"/>
      <c r="L213" s="616"/>
      <c r="M213" s="467"/>
      <c r="N213" s="504"/>
      <c r="O213" s="468"/>
      <c r="P213" s="616"/>
      <c r="Q213" s="635"/>
      <c r="R213" s="636"/>
      <c r="S213" s="637"/>
      <c r="T213" s="629"/>
      <c r="U213" s="635"/>
      <c r="V213" s="636"/>
      <c r="W213" s="637"/>
      <c r="X213" s="629"/>
      <c r="Y213" s="467"/>
      <c r="Z213" s="504"/>
      <c r="AA213" s="468"/>
      <c r="AB213" s="616"/>
      <c r="AC213" s="635"/>
      <c r="AD213" s="636"/>
      <c r="AE213" s="637"/>
      <c r="AF213" s="629"/>
      <c r="AG213" s="635"/>
      <c r="AH213" s="636"/>
      <c r="AI213" s="637"/>
      <c r="AJ213" s="629"/>
      <c r="AK213" s="635"/>
      <c r="AL213" s="636"/>
      <c r="AM213" s="637"/>
      <c r="AN213" s="629"/>
      <c r="AO213" s="467"/>
      <c r="AP213" s="504"/>
      <c r="AQ213" s="468"/>
      <c r="AR213" s="616"/>
      <c r="AS213" s="630"/>
      <c r="AT213" s="630"/>
    </row>
    <row r="214">
      <c r="A214" s="467"/>
      <c r="B214" s="504"/>
      <c r="C214" s="468"/>
      <c r="D214" s="616"/>
      <c r="E214" s="467"/>
      <c r="F214" s="504"/>
      <c r="G214" s="468"/>
      <c r="H214" s="616"/>
      <c r="I214" s="467"/>
      <c r="J214" s="504"/>
      <c r="K214" s="468"/>
      <c r="L214" s="616"/>
      <c r="M214" s="467"/>
      <c r="N214" s="504"/>
      <c r="O214" s="468"/>
      <c r="P214" s="616"/>
      <c r="Q214" s="635"/>
      <c r="R214" s="636"/>
      <c r="S214" s="637"/>
      <c r="T214" s="629"/>
      <c r="U214" s="635"/>
      <c r="V214" s="636"/>
      <c r="W214" s="637"/>
      <c r="X214" s="629"/>
      <c r="Y214" s="467"/>
      <c r="Z214" s="504"/>
      <c r="AA214" s="468"/>
      <c r="AB214" s="616"/>
      <c r="AC214" s="635"/>
      <c r="AD214" s="636"/>
      <c r="AE214" s="637"/>
      <c r="AF214" s="629"/>
      <c r="AG214" s="635"/>
      <c r="AH214" s="636"/>
      <c r="AI214" s="637"/>
      <c r="AJ214" s="629"/>
      <c r="AK214" s="635"/>
      <c r="AL214" s="636"/>
      <c r="AM214" s="637"/>
      <c r="AN214" s="629"/>
      <c r="AO214" s="467"/>
      <c r="AP214" s="504"/>
      <c r="AQ214" s="468"/>
      <c r="AR214" s="616"/>
      <c r="AS214" s="630"/>
      <c r="AT214" s="630"/>
    </row>
    <row r="215">
      <c r="A215" s="467"/>
      <c r="B215" s="504"/>
      <c r="C215" s="468"/>
      <c r="D215" s="616"/>
      <c r="E215" s="467"/>
      <c r="F215" s="504"/>
      <c r="G215" s="468"/>
      <c r="H215" s="616"/>
      <c r="I215" s="467"/>
      <c r="J215" s="504"/>
      <c r="K215" s="468"/>
      <c r="L215" s="616"/>
      <c r="M215" s="467"/>
      <c r="N215" s="504"/>
      <c r="O215" s="468"/>
      <c r="P215" s="616"/>
      <c r="Q215" s="635"/>
      <c r="R215" s="636"/>
      <c r="S215" s="637"/>
      <c r="T215" s="629"/>
      <c r="U215" s="635"/>
      <c r="V215" s="636"/>
      <c r="W215" s="637"/>
      <c r="X215" s="629"/>
      <c r="Y215" s="467"/>
      <c r="Z215" s="504"/>
      <c r="AA215" s="468"/>
      <c r="AB215" s="616"/>
      <c r="AC215" s="635"/>
      <c r="AD215" s="636"/>
      <c r="AE215" s="637"/>
      <c r="AF215" s="629"/>
      <c r="AG215" s="635"/>
      <c r="AH215" s="636"/>
      <c r="AI215" s="637"/>
      <c r="AJ215" s="629"/>
      <c r="AK215" s="635"/>
      <c r="AL215" s="636"/>
      <c r="AM215" s="637"/>
      <c r="AN215" s="629"/>
      <c r="AO215" s="467"/>
      <c r="AP215" s="504"/>
      <c r="AQ215" s="468"/>
      <c r="AR215" s="616"/>
      <c r="AS215" s="630"/>
      <c r="AT215" s="630"/>
    </row>
    <row r="216">
      <c r="A216" s="467"/>
      <c r="B216" s="504"/>
      <c r="C216" s="468"/>
      <c r="D216" s="616"/>
      <c r="E216" s="467"/>
      <c r="F216" s="504"/>
      <c r="G216" s="468"/>
      <c r="H216" s="616"/>
      <c r="I216" s="467"/>
      <c r="J216" s="504"/>
      <c r="K216" s="468"/>
      <c r="L216" s="616"/>
      <c r="M216" s="467"/>
      <c r="N216" s="504"/>
      <c r="O216" s="468"/>
      <c r="P216" s="616"/>
      <c r="Q216" s="635"/>
      <c r="R216" s="636"/>
      <c r="S216" s="637"/>
      <c r="T216" s="629"/>
      <c r="U216" s="635"/>
      <c r="V216" s="636"/>
      <c r="W216" s="637"/>
      <c r="X216" s="629"/>
      <c r="Y216" s="467"/>
      <c r="Z216" s="504"/>
      <c r="AA216" s="468"/>
      <c r="AB216" s="616"/>
      <c r="AC216" s="635"/>
      <c r="AD216" s="636"/>
      <c r="AE216" s="637"/>
      <c r="AF216" s="629"/>
      <c r="AG216" s="635"/>
      <c r="AH216" s="636"/>
      <c r="AI216" s="637"/>
      <c r="AJ216" s="629"/>
      <c r="AK216" s="635"/>
      <c r="AL216" s="636"/>
      <c r="AM216" s="637"/>
      <c r="AN216" s="629"/>
      <c r="AO216" s="467"/>
      <c r="AP216" s="504"/>
      <c r="AQ216" s="468"/>
      <c r="AR216" s="616"/>
      <c r="AS216" s="630"/>
      <c r="AT216" s="630"/>
    </row>
    <row r="217">
      <c r="A217" s="467"/>
      <c r="B217" s="504"/>
      <c r="C217" s="468"/>
      <c r="D217" s="616"/>
      <c r="E217" s="467"/>
      <c r="F217" s="504"/>
      <c r="G217" s="468"/>
      <c r="H217" s="616"/>
      <c r="I217" s="467"/>
      <c r="J217" s="504"/>
      <c r="K217" s="468"/>
      <c r="L217" s="616"/>
      <c r="M217" s="467"/>
      <c r="N217" s="504"/>
      <c r="O217" s="468"/>
      <c r="P217" s="616"/>
      <c r="Q217" s="635"/>
      <c r="R217" s="636"/>
      <c r="S217" s="637"/>
      <c r="T217" s="629"/>
      <c r="U217" s="635"/>
      <c r="V217" s="636"/>
      <c r="W217" s="637"/>
      <c r="X217" s="629"/>
      <c r="Y217" s="467"/>
      <c r="Z217" s="504"/>
      <c r="AA217" s="468"/>
      <c r="AB217" s="616"/>
      <c r="AC217" s="635"/>
      <c r="AD217" s="636"/>
      <c r="AE217" s="637"/>
      <c r="AF217" s="629"/>
      <c r="AG217" s="635"/>
      <c r="AH217" s="636"/>
      <c r="AI217" s="637"/>
      <c r="AJ217" s="629"/>
      <c r="AK217" s="635"/>
      <c r="AL217" s="636"/>
      <c r="AM217" s="637"/>
      <c r="AN217" s="629"/>
      <c r="AO217" s="467"/>
      <c r="AP217" s="504"/>
      <c r="AQ217" s="468"/>
      <c r="AR217" s="616"/>
      <c r="AS217" s="630"/>
      <c r="AT217" s="630"/>
    </row>
    <row r="218">
      <c r="A218" s="467"/>
      <c r="B218" s="504"/>
      <c r="C218" s="468"/>
      <c r="D218" s="616"/>
      <c r="E218" s="467"/>
      <c r="F218" s="504"/>
      <c r="G218" s="468"/>
      <c r="H218" s="616"/>
      <c r="I218" s="467"/>
      <c r="J218" s="504"/>
      <c r="K218" s="468"/>
      <c r="L218" s="616"/>
      <c r="M218" s="467"/>
      <c r="N218" s="504"/>
      <c r="O218" s="468"/>
      <c r="P218" s="616"/>
      <c r="Q218" s="635"/>
      <c r="R218" s="636"/>
      <c r="S218" s="637"/>
      <c r="T218" s="629"/>
      <c r="U218" s="635"/>
      <c r="V218" s="636"/>
      <c r="W218" s="637"/>
      <c r="X218" s="629"/>
      <c r="Y218" s="467"/>
      <c r="Z218" s="504"/>
      <c r="AA218" s="468"/>
      <c r="AB218" s="616"/>
      <c r="AC218" s="635"/>
      <c r="AD218" s="636"/>
      <c r="AE218" s="637"/>
      <c r="AF218" s="629"/>
      <c r="AG218" s="635"/>
      <c r="AH218" s="636"/>
      <c r="AI218" s="637"/>
      <c r="AJ218" s="629"/>
      <c r="AK218" s="635"/>
      <c r="AL218" s="636"/>
      <c r="AM218" s="637"/>
      <c r="AN218" s="629"/>
      <c r="AO218" s="467"/>
      <c r="AP218" s="504"/>
      <c r="AQ218" s="468"/>
      <c r="AR218" s="616"/>
      <c r="AS218" s="630"/>
      <c r="AT218" s="630"/>
    </row>
    <row r="219">
      <c r="A219" s="467"/>
      <c r="B219" s="504"/>
      <c r="C219" s="468"/>
      <c r="D219" s="616"/>
      <c r="E219" s="467"/>
      <c r="F219" s="504"/>
      <c r="G219" s="468"/>
      <c r="H219" s="616"/>
      <c r="I219" s="467"/>
      <c r="J219" s="504"/>
      <c r="K219" s="468"/>
      <c r="L219" s="616"/>
      <c r="M219" s="467"/>
      <c r="N219" s="504"/>
      <c r="O219" s="468"/>
      <c r="P219" s="616"/>
      <c r="Q219" s="635"/>
      <c r="R219" s="636"/>
      <c r="S219" s="637"/>
      <c r="T219" s="629"/>
      <c r="U219" s="635"/>
      <c r="V219" s="636"/>
      <c r="W219" s="637"/>
      <c r="X219" s="629"/>
      <c r="Y219" s="467"/>
      <c r="Z219" s="504"/>
      <c r="AA219" s="468"/>
      <c r="AB219" s="616"/>
      <c r="AC219" s="635"/>
      <c r="AD219" s="636"/>
      <c r="AE219" s="637"/>
      <c r="AF219" s="629"/>
      <c r="AG219" s="635"/>
      <c r="AH219" s="636"/>
      <c r="AI219" s="637"/>
      <c r="AJ219" s="629"/>
      <c r="AK219" s="635"/>
      <c r="AL219" s="636"/>
      <c r="AM219" s="637"/>
      <c r="AN219" s="629"/>
      <c r="AO219" s="467"/>
      <c r="AP219" s="504"/>
      <c r="AQ219" s="468"/>
      <c r="AR219" s="616"/>
      <c r="AS219" s="630"/>
      <c r="AT219" s="630"/>
    </row>
    <row r="220">
      <c r="A220" s="467"/>
      <c r="B220" s="504"/>
      <c r="C220" s="468"/>
      <c r="D220" s="616"/>
      <c r="E220" s="467"/>
      <c r="F220" s="504"/>
      <c r="G220" s="468"/>
      <c r="H220" s="616"/>
      <c r="I220" s="467"/>
      <c r="J220" s="504"/>
      <c r="K220" s="468"/>
      <c r="L220" s="616"/>
      <c r="M220" s="467"/>
      <c r="N220" s="504"/>
      <c r="O220" s="468"/>
      <c r="P220" s="616"/>
      <c r="Q220" s="635"/>
      <c r="R220" s="636"/>
      <c r="S220" s="637"/>
      <c r="T220" s="629"/>
      <c r="U220" s="635"/>
      <c r="V220" s="636"/>
      <c r="W220" s="637"/>
      <c r="X220" s="629"/>
      <c r="Y220" s="467"/>
      <c r="Z220" s="504"/>
      <c r="AA220" s="468"/>
      <c r="AB220" s="616"/>
      <c r="AC220" s="635"/>
      <c r="AD220" s="636"/>
      <c r="AE220" s="637"/>
      <c r="AF220" s="629"/>
      <c r="AG220" s="635"/>
      <c r="AH220" s="636"/>
      <c r="AI220" s="637"/>
      <c r="AJ220" s="629"/>
      <c r="AK220" s="635"/>
      <c r="AL220" s="636"/>
      <c r="AM220" s="637"/>
      <c r="AN220" s="629"/>
      <c r="AO220" s="467"/>
      <c r="AP220" s="504"/>
      <c r="AQ220" s="468"/>
      <c r="AR220" s="616"/>
      <c r="AS220" s="630"/>
      <c r="AT220" s="630"/>
    </row>
    <row r="221">
      <c r="A221" s="467"/>
      <c r="B221" s="504"/>
      <c r="C221" s="468"/>
      <c r="D221" s="616"/>
      <c r="E221" s="467"/>
      <c r="F221" s="504"/>
      <c r="G221" s="468"/>
      <c r="H221" s="616"/>
      <c r="I221" s="467"/>
      <c r="J221" s="504"/>
      <c r="K221" s="468"/>
      <c r="L221" s="616"/>
      <c r="M221" s="467"/>
      <c r="N221" s="504"/>
      <c r="O221" s="468"/>
      <c r="P221" s="616"/>
      <c r="Q221" s="635"/>
      <c r="R221" s="636"/>
      <c r="S221" s="637"/>
      <c r="T221" s="629"/>
      <c r="U221" s="635"/>
      <c r="V221" s="636"/>
      <c r="W221" s="637"/>
      <c r="X221" s="629"/>
      <c r="Y221" s="467"/>
      <c r="Z221" s="504"/>
      <c r="AA221" s="468"/>
      <c r="AB221" s="616"/>
      <c r="AC221" s="635"/>
      <c r="AD221" s="636"/>
      <c r="AE221" s="637"/>
      <c r="AF221" s="629"/>
      <c r="AG221" s="635"/>
      <c r="AH221" s="636"/>
      <c r="AI221" s="637"/>
      <c r="AJ221" s="629"/>
      <c r="AK221" s="635"/>
      <c r="AL221" s="636"/>
      <c r="AM221" s="637"/>
      <c r="AN221" s="629"/>
      <c r="AO221" s="467"/>
      <c r="AP221" s="504"/>
      <c r="AQ221" s="468"/>
      <c r="AR221" s="616"/>
      <c r="AS221" s="630"/>
      <c r="AT221" s="630"/>
    </row>
    <row r="222">
      <c r="A222" s="467"/>
      <c r="B222" s="504"/>
      <c r="C222" s="468"/>
      <c r="D222" s="616"/>
      <c r="E222" s="467"/>
      <c r="F222" s="504"/>
      <c r="G222" s="468"/>
      <c r="H222" s="616"/>
      <c r="I222" s="467"/>
      <c r="J222" s="504"/>
      <c r="K222" s="468"/>
      <c r="L222" s="616"/>
      <c r="M222" s="467"/>
      <c r="N222" s="504"/>
      <c r="O222" s="468"/>
      <c r="P222" s="616"/>
      <c r="Q222" s="635"/>
      <c r="R222" s="636"/>
      <c r="S222" s="637"/>
      <c r="T222" s="629"/>
      <c r="U222" s="635"/>
      <c r="V222" s="636"/>
      <c r="W222" s="637"/>
      <c r="X222" s="629"/>
      <c r="Y222" s="467"/>
      <c r="Z222" s="504"/>
      <c r="AA222" s="468"/>
      <c r="AB222" s="616"/>
      <c r="AC222" s="635"/>
      <c r="AD222" s="636"/>
      <c r="AE222" s="637"/>
      <c r="AF222" s="629"/>
      <c r="AG222" s="635"/>
      <c r="AH222" s="636"/>
      <c r="AI222" s="637"/>
      <c r="AJ222" s="629"/>
      <c r="AK222" s="635"/>
      <c r="AL222" s="636"/>
      <c r="AM222" s="637"/>
      <c r="AN222" s="629"/>
      <c r="AO222" s="467"/>
      <c r="AP222" s="504"/>
      <c r="AQ222" s="468"/>
      <c r="AR222" s="616"/>
      <c r="AS222" s="630"/>
      <c r="AT222" s="630"/>
    </row>
    <row r="223">
      <c r="A223" s="467"/>
      <c r="B223" s="504"/>
      <c r="C223" s="468"/>
      <c r="D223" s="616"/>
      <c r="E223" s="467"/>
      <c r="F223" s="504"/>
      <c r="G223" s="468"/>
      <c r="H223" s="616"/>
      <c r="I223" s="467"/>
      <c r="J223" s="504"/>
      <c r="K223" s="468"/>
      <c r="L223" s="616"/>
      <c r="M223" s="467"/>
      <c r="N223" s="504"/>
      <c r="O223" s="468"/>
      <c r="P223" s="616"/>
      <c r="Q223" s="635"/>
      <c r="R223" s="636"/>
      <c r="S223" s="637"/>
      <c r="T223" s="629"/>
      <c r="U223" s="635"/>
      <c r="V223" s="636"/>
      <c r="W223" s="637"/>
      <c r="X223" s="629"/>
      <c r="Y223" s="467"/>
      <c r="Z223" s="504"/>
      <c r="AA223" s="468"/>
      <c r="AB223" s="616"/>
      <c r="AC223" s="635"/>
      <c r="AD223" s="636"/>
      <c r="AE223" s="637"/>
      <c r="AF223" s="629"/>
      <c r="AG223" s="635"/>
      <c r="AH223" s="636"/>
      <c r="AI223" s="637"/>
      <c r="AJ223" s="629"/>
      <c r="AK223" s="635"/>
      <c r="AL223" s="636"/>
      <c r="AM223" s="637"/>
      <c r="AN223" s="629"/>
      <c r="AO223" s="467"/>
      <c r="AP223" s="504"/>
      <c r="AQ223" s="468"/>
      <c r="AR223" s="616"/>
      <c r="AS223" s="630"/>
      <c r="AT223" s="630"/>
    </row>
    <row r="224">
      <c r="A224" s="467"/>
      <c r="B224" s="504"/>
      <c r="C224" s="468"/>
      <c r="D224" s="616"/>
      <c r="E224" s="467"/>
      <c r="F224" s="504"/>
      <c r="G224" s="468"/>
      <c r="H224" s="616"/>
      <c r="I224" s="467"/>
      <c r="J224" s="504"/>
      <c r="K224" s="468"/>
      <c r="L224" s="616"/>
      <c r="M224" s="467"/>
      <c r="N224" s="504"/>
      <c r="O224" s="468"/>
      <c r="P224" s="616"/>
      <c r="Q224" s="635"/>
      <c r="R224" s="636"/>
      <c r="S224" s="637"/>
      <c r="T224" s="629"/>
      <c r="U224" s="635"/>
      <c r="V224" s="636"/>
      <c r="W224" s="637"/>
      <c r="X224" s="629"/>
      <c r="Y224" s="467"/>
      <c r="Z224" s="504"/>
      <c r="AA224" s="468"/>
      <c r="AB224" s="616"/>
      <c r="AC224" s="635"/>
      <c r="AD224" s="636"/>
      <c r="AE224" s="637"/>
      <c r="AF224" s="629"/>
      <c r="AG224" s="635"/>
      <c r="AH224" s="636"/>
      <c r="AI224" s="637"/>
      <c r="AJ224" s="629"/>
      <c r="AK224" s="635"/>
      <c r="AL224" s="636"/>
      <c r="AM224" s="637"/>
      <c r="AN224" s="629"/>
      <c r="AO224" s="467"/>
      <c r="AP224" s="504"/>
      <c r="AQ224" s="468"/>
      <c r="AR224" s="616"/>
      <c r="AS224" s="630"/>
      <c r="AT224" s="630"/>
    </row>
    <row r="225">
      <c r="A225" s="467"/>
      <c r="B225" s="504"/>
      <c r="C225" s="468"/>
      <c r="D225" s="616"/>
      <c r="E225" s="467"/>
      <c r="F225" s="504"/>
      <c r="G225" s="468"/>
      <c r="H225" s="616"/>
      <c r="I225" s="467"/>
      <c r="J225" s="504"/>
      <c r="K225" s="468"/>
      <c r="L225" s="616"/>
      <c r="M225" s="467"/>
      <c r="N225" s="504"/>
      <c r="O225" s="468"/>
      <c r="P225" s="616"/>
      <c r="Q225" s="635"/>
      <c r="R225" s="636"/>
      <c r="S225" s="637"/>
      <c r="T225" s="629"/>
      <c r="U225" s="635"/>
      <c r="V225" s="636"/>
      <c r="W225" s="637"/>
      <c r="X225" s="629"/>
      <c r="Y225" s="467"/>
      <c r="Z225" s="504"/>
      <c r="AA225" s="468"/>
      <c r="AB225" s="616"/>
      <c r="AC225" s="635"/>
      <c r="AD225" s="636"/>
      <c r="AE225" s="637"/>
      <c r="AF225" s="629"/>
      <c r="AG225" s="635"/>
      <c r="AH225" s="636"/>
      <c r="AI225" s="637"/>
      <c r="AJ225" s="629"/>
      <c r="AK225" s="635"/>
      <c r="AL225" s="636"/>
      <c r="AM225" s="637"/>
      <c r="AN225" s="629"/>
      <c r="AO225" s="467"/>
      <c r="AP225" s="504"/>
      <c r="AQ225" s="468"/>
      <c r="AR225" s="616"/>
      <c r="AS225" s="630"/>
      <c r="AT225" s="630"/>
    </row>
    <row r="226">
      <c r="A226" s="467"/>
      <c r="B226" s="504"/>
      <c r="C226" s="468"/>
      <c r="D226" s="616"/>
      <c r="E226" s="467"/>
      <c r="F226" s="504"/>
      <c r="G226" s="468"/>
      <c r="H226" s="616"/>
      <c r="I226" s="467"/>
      <c r="J226" s="504"/>
      <c r="K226" s="468"/>
      <c r="L226" s="616"/>
      <c r="M226" s="467"/>
      <c r="N226" s="504"/>
      <c r="O226" s="468"/>
      <c r="P226" s="616"/>
      <c r="Q226" s="635"/>
      <c r="R226" s="636"/>
      <c r="S226" s="637"/>
      <c r="T226" s="629"/>
      <c r="U226" s="635"/>
      <c r="V226" s="636"/>
      <c r="W226" s="637"/>
      <c r="X226" s="629"/>
      <c r="Y226" s="467"/>
      <c r="Z226" s="504"/>
      <c r="AA226" s="468"/>
      <c r="AB226" s="616"/>
      <c r="AC226" s="635"/>
      <c r="AD226" s="636"/>
      <c r="AE226" s="637"/>
      <c r="AF226" s="629"/>
      <c r="AG226" s="635"/>
      <c r="AH226" s="636"/>
      <c r="AI226" s="637"/>
      <c r="AJ226" s="629"/>
      <c r="AK226" s="635"/>
      <c r="AL226" s="636"/>
      <c r="AM226" s="637"/>
      <c r="AN226" s="629"/>
      <c r="AO226" s="467"/>
      <c r="AP226" s="504"/>
      <c r="AQ226" s="468"/>
      <c r="AR226" s="616"/>
      <c r="AS226" s="630"/>
      <c r="AT226" s="630"/>
    </row>
    <row r="227">
      <c r="A227" s="467"/>
      <c r="B227" s="504"/>
      <c r="C227" s="468"/>
      <c r="D227" s="616"/>
      <c r="E227" s="467"/>
      <c r="F227" s="504"/>
      <c r="G227" s="468"/>
      <c r="H227" s="616"/>
      <c r="I227" s="467"/>
      <c r="J227" s="504"/>
      <c r="K227" s="468"/>
      <c r="L227" s="616"/>
      <c r="M227" s="467"/>
      <c r="N227" s="504"/>
      <c r="O227" s="468"/>
      <c r="P227" s="616"/>
      <c r="Q227" s="635"/>
      <c r="R227" s="636"/>
      <c r="S227" s="637"/>
      <c r="T227" s="629"/>
      <c r="U227" s="635"/>
      <c r="V227" s="636"/>
      <c r="W227" s="637"/>
      <c r="X227" s="629"/>
      <c r="Y227" s="467"/>
      <c r="Z227" s="504"/>
      <c r="AA227" s="468"/>
      <c r="AB227" s="616"/>
      <c r="AC227" s="635"/>
      <c r="AD227" s="636"/>
      <c r="AE227" s="637"/>
      <c r="AF227" s="629"/>
      <c r="AG227" s="635"/>
      <c r="AH227" s="636"/>
      <c r="AI227" s="637"/>
      <c r="AJ227" s="629"/>
      <c r="AK227" s="635"/>
      <c r="AL227" s="636"/>
      <c r="AM227" s="637"/>
      <c r="AN227" s="629"/>
      <c r="AO227" s="467"/>
      <c r="AP227" s="504"/>
      <c r="AQ227" s="468"/>
      <c r="AR227" s="616"/>
      <c r="AS227" s="630"/>
      <c r="AT227" s="630"/>
    </row>
    <row r="228">
      <c r="A228" s="467"/>
      <c r="B228" s="504"/>
      <c r="C228" s="468"/>
      <c r="D228" s="616"/>
      <c r="E228" s="467"/>
      <c r="F228" s="504"/>
      <c r="G228" s="468"/>
      <c r="H228" s="616"/>
      <c r="I228" s="467"/>
      <c r="J228" s="504"/>
      <c r="K228" s="468"/>
      <c r="L228" s="616"/>
      <c r="M228" s="467"/>
      <c r="N228" s="504"/>
      <c r="O228" s="468"/>
      <c r="P228" s="616"/>
      <c r="Q228" s="635"/>
      <c r="R228" s="636"/>
      <c r="S228" s="637"/>
      <c r="T228" s="629"/>
      <c r="U228" s="635"/>
      <c r="V228" s="636"/>
      <c r="W228" s="637"/>
      <c r="X228" s="629"/>
      <c r="Y228" s="467"/>
      <c r="Z228" s="504"/>
      <c r="AA228" s="468"/>
      <c r="AB228" s="616"/>
      <c r="AC228" s="635"/>
      <c r="AD228" s="636"/>
      <c r="AE228" s="637"/>
      <c r="AF228" s="629"/>
      <c r="AG228" s="635"/>
      <c r="AH228" s="636"/>
      <c r="AI228" s="637"/>
      <c r="AJ228" s="629"/>
      <c r="AK228" s="635"/>
      <c r="AL228" s="636"/>
      <c r="AM228" s="637"/>
      <c r="AN228" s="629"/>
      <c r="AO228" s="467"/>
      <c r="AP228" s="504"/>
      <c r="AQ228" s="468"/>
      <c r="AR228" s="616"/>
      <c r="AS228" s="630"/>
      <c r="AT228" s="630"/>
    </row>
    <row r="229">
      <c r="A229" s="467"/>
      <c r="B229" s="504"/>
      <c r="C229" s="468"/>
      <c r="D229" s="616"/>
      <c r="E229" s="467"/>
      <c r="F229" s="504"/>
      <c r="G229" s="468"/>
      <c r="H229" s="616"/>
      <c r="I229" s="467"/>
      <c r="J229" s="504"/>
      <c r="K229" s="468"/>
      <c r="L229" s="616"/>
      <c r="M229" s="467"/>
      <c r="N229" s="504"/>
      <c r="O229" s="468"/>
      <c r="P229" s="616"/>
      <c r="Q229" s="635"/>
      <c r="R229" s="636"/>
      <c r="S229" s="637"/>
      <c r="T229" s="629"/>
      <c r="U229" s="635"/>
      <c r="V229" s="636"/>
      <c r="W229" s="637"/>
      <c r="X229" s="629"/>
      <c r="Y229" s="467"/>
      <c r="Z229" s="504"/>
      <c r="AA229" s="468"/>
      <c r="AB229" s="616"/>
      <c r="AC229" s="635"/>
      <c r="AD229" s="636"/>
      <c r="AE229" s="637"/>
      <c r="AF229" s="629"/>
      <c r="AG229" s="635"/>
      <c r="AH229" s="636"/>
      <c r="AI229" s="637"/>
      <c r="AJ229" s="629"/>
      <c r="AK229" s="635"/>
      <c r="AL229" s="636"/>
      <c r="AM229" s="637"/>
      <c r="AN229" s="629"/>
      <c r="AO229" s="467"/>
      <c r="AP229" s="504"/>
      <c r="AQ229" s="468"/>
      <c r="AR229" s="616"/>
      <c r="AS229" s="630"/>
      <c r="AT229" s="630"/>
    </row>
    <row r="230">
      <c r="A230" s="467"/>
      <c r="B230" s="504"/>
      <c r="C230" s="468"/>
      <c r="D230" s="616"/>
      <c r="E230" s="467"/>
      <c r="F230" s="504"/>
      <c r="G230" s="468"/>
      <c r="H230" s="616"/>
      <c r="I230" s="467"/>
      <c r="J230" s="504"/>
      <c r="K230" s="468"/>
      <c r="L230" s="616"/>
      <c r="M230" s="467"/>
      <c r="N230" s="504"/>
      <c r="O230" s="468"/>
      <c r="P230" s="616"/>
      <c r="Q230" s="635"/>
      <c r="R230" s="636"/>
      <c r="S230" s="637"/>
      <c r="T230" s="629"/>
      <c r="U230" s="635"/>
      <c r="V230" s="636"/>
      <c r="W230" s="637"/>
      <c r="X230" s="629"/>
      <c r="Y230" s="467"/>
      <c r="Z230" s="504"/>
      <c r="AA230" s="468"/>
      <c r="AB230" s="616"/>
      <c r="AC230" s="635"/>
      <c r="AD230" s="636"/>
      <c r="AE230" s="637"/>
      <c r="AF230" s="629"/>
      <c r="AG230" s="635"/>
      <c r="AH230" s="636"/>
      <c r="AI230" s="637"/>
      <c r="AJ230" s="629"/>
      <c r="AK230" s="635"/>
      <c r="AL230" s="636"/>
      <c r="AM230" s="637"/>
      <c r="AN230" s="629"/>
      <c r="AO230" s="467"/>
      <c r="AP230" s="504"/>
      <c r="AQ230" s="468"/>
      <c r="AR230" s="616"/>
      <c r="AS230" s="630"/>
      <c r="AT230" s="630"/>
    </row>
    <row r="231">
      <c r="A231" s="467"/>
      <c r="B231" s="504"/>
      <c r="C231" s="468"/>
      <c r="D231" s="616"/>
      <c r="E231" s="467"/>
      <c r="F231" s="504"/>
      <c r="G231" s="468"/>
      <c r="H231" s="616"/>
      <c r="I231" s="467"/>
      <c r="J231" s="504"/>
      <c r="K231" s="468"/>
      <c r="L231" s="616"/>
      <c r="M231" s="467"/>
      <c r="N231" s="504"/>
      <c r="O231" s="468"/>
      <c r="P231" s="616"/>
      <c r="Q231" s="635"/>
      <c r="R231" s="636"/>
      <c r="S231" s="637"/>
      <c r="T231" s="629"/>
      <c r="U231" s="635"/>
      <c r="V231" s="636"/>
      <c r="W231" s="637"/>
      <c r="X231" s="629"/>
      <c r="Y231" s="467"/>
      <c r="Z231" s="504"/>
      <c r="AA231" s="468"/>
      <c r="AB231" s="616"/>
      <c r="AC231" s="635"/>
      <c r="AD231" s="636"/>
      <c r="AE231" s="637"/>
      <c r="AF231" s="629"/>
      <c r="AG231" s="635"/>
      <c r="AH231" s="636"/>
      <c r="AI231" s="637"/>
      <c r="AJ231" s="629"/>
      <c r="AK231" s="635"/>
      <c r="AL231" s="636"/>
      <c r="AM231" s="637"/>
      <c r="AN231" s="629"/>
      <c r="AO231" s="467"/>
      <c r="AP231" s="504"/>
      <c r="AQ231" s="468"/>
      <c r="AR231" s="616"/>
      <c r="AS231" s="630"/>
      <c r="AT231" s="630"/>
    </row>
    <row r="232">
      <c r="A232" s="467"/>
      <c r="B232" s="504"/>
      <c r="C232" s="468"/>
      <c r="D232" s="616"/>
      <c r="E232" s="467"/>
      <c r="F232" s="504"/>
      <c r="G232" s="468"/>
      <c r="H232" s="616"/>
      <c r="I232" s="467"/>
      <c r="J232" s="504"/>
      <c r="K232" s="468"/>
      <c r="L232" s="616"/>
      <c r="M232" s="467"/>
      <c r="N232" s="504"/>
      <c r="O232" s="468"/>
      <c r="P232" s="616"/>
      <c r="Q232" s="635"/>
      <c r="R232" s="636"/>
      <c r="S232" s="637"/>
      <c r="T232" s="629"/>
      <c r="U232" s="635"/>
      <c r="V232" s="636"/>
      <c r="W232" s="637"/>
      <c r="X232" s="629"/>
      <c r="Y232" s="467"/>
      <c r="Z232" s="504"/>
      <c r="AA232" s="468"/>
      <c r="AB232" s="616"/>
      <c r="AC232" s="635"/>
      <c r="AD232" s="636"/>
      <c r="AE232" s="637"/>
      <c r="AF232" s="629"/>
      <c r="AG232" s="635"/>
      <c r="AH232" s="636"/>
      <c r="AI232" s="637"/>
      <c r="AJ232" s="629"/>
      <c r="AK232" s="635"/>
      <c r="AL232" s="636"/>
      <c r="AM232" s="637"/>
      <c r="AN232" s="629"/>
      <c r="AO232" s="467"/>
      <c r="AP232" s="504"/>
      <c r="AQ232" s="468"/>
      <c r="AR232" s="616"/>
      <c r="AS232" s="630"/>
      <c r="AT232" s="630"/>
    </row>
    <row r="233">
      <c r="A233" s="467"/>
      <c r="B233" s="504"/>
      <c r="C233" s="468"/>
      <c r="D233" s="616"/>
      <c r="E233" s="467"/>
      <c r="F233" s="504"/>
      <c r="G233" s="468"/>
      <c r="H233" s="616"/>
      <c r="I233" s="467"/>
      <c r="J233" s="504"/>
      <c r="K233" s="468"/>
      <c r="L233" s="616"/>
      <c r="M233" s="467"/>
      <c r="N233" s="504"/>
      <c r="O233" s="468"/>
      <c r="P233" s="616"/>
      <c r="Q233" s="635"/>
      <c r="R233" s="636"/>
      <c r="S233" s="637"/>
      <c r="T233" s="629"/>
      <c r="U233" s="635"/>
      <c r="V233" s="636"/>
      <c r="W233" s="637"/>
      <c r="X233" s="629"/>
      <c r="Y233" s="467"/>
      <c r="Z233" s="504"/>
      <c r="AA233" s="468"/>
      <c r="AB233" s="616"/>
      <c r="AC233" s="635"/>
      <c r="AD233" s="636"/>
      <c r="AE233" s="637"/>
      <c r="AF233" s="629"/>
      <c r="AG233" s="635"/>
      <c r="AH233" s="636"/>
      <c r="AI233" s="637"/>
      <c r="AJ233" s="629"/>
      <c r="AK233" s="635"/>
      <c r="AL233" s="636"/>
      <c r="AM233" s="637"/>
      <c r="AN233" s="629"/>
      <c r="AO233" s="467"/>
      <c r="AP233" s="504"/>
      <c r="AQ233" s="468"/>
      <c r="AR233" s="616"/>
      <c r="AS233" s="630"/>
      <c r="AT233" s="630"/>
    </row>
    <row r="234">
      <c r="A234" s="467"/>
      <c r="B234" s="504"/>
      <c r="C234" s="468"/>
      <c r="D234" s="616"/>
      <c r="E234" s="467"/>
      <c r="F234" s="504"/>
      <c r="G234" s="468"/>
      <c r="H234" s="616"/>
      <c r="I234" s="467"/>
      <c r="J234" s="504"/>
      <c r="K234" s="468"/>
      <c r="L234" s="616"/>
      <c r="M234" s="467"/>
      <c r="N234" s="504"/>
      <c r="O234" s="468"/>
      <c r="P234" s="616"/>
      <c r="Q234" s="635"/>
      <c r="R234" s="636"/>
      <c r="S234" s="637"/>
      <c r="T234" s="629"/>
      <c r="U234" s="635"/>
      <c r="V234" s="636"/>
      <c r="W234" s="637"/>
      <c r="X234" s="629"/>
      <c r="Y234" s="467"/>
      <c r="Z234" s="504"/>
      <c r="AA234" s="468"/>
      <c r="AB234" s="616"/>
      <c r="AC234" s="635"/>
      <c r="AD234" s="636"/>
      <c r="AE234" s="637"/>
      <c r="AF234" s="629"/>
      <c r="AG234" s="635"/>
      <c r="AH234" s="636"/>
      <c r="AI234" s="637"/>
      <c r="AJ234" s="629"/>
      <c r="AK234" s="635"/>
      <c r="AL234" s="636"/>
      <c r="AM234" s="637"/>
      <c r="AN234" s="629"/>
      <c r="AO234" s="467"/>
      <c r="AP234" s="504"/>
      <c r="AQ234" s="468"/>
      <c r="AR234" s="616"/>
      <c r="AS234" s="630"/>
      <c r="AT234" s="630"/>
    </row>
    <row r="235">
      <c r="A235" s="467"/>
      <c r="B235" s="504"/>
      <c r="C235" s="468"/>
      <c r="D235" s="616"/>
      <c r="E235" s="467"/>
      <c r="F235" s="504"/>
      <c r="G235" s="468"/>
      <c r="H235" s="616"/>
      <c r="I235" s="467"/>
      <c r="J235" s="504"/>
      <c r="K235" s="468"/>
      <c r="L235" s="616"/>
      <c r="M235" s="467"/>
      <c r="N235" s="504"/>
      <c r="O235" s="468"/>
      <c r="P235" s="616"/>
      <c r="Q235" s="635"/>
      <c r="R235" s="636"/>
      <c r="S235" s="637"/>
      <c r="T235" s="629"/>
      <c r="U235" s="635"/>
      <c r="V235" s="636"/>
      <c r="W235" s="637"/>
      <c r="X235" s="629"/>
      <c r="Y235" s="467"/>
      <c r="Z235" s="504"/>
      <c r="AA235" s="468"/>
      <c r="AB235" s="616"/>
      <c r="AC235" s="635"/>
      <c r="AD235" s="636"/>
      <c r="AE235" s="637"/>
      <c r="AF235" s="629"/>
      <c r="AG235" s="635"/>
      <c r="AH235" s="636"/>
      <c r="AI235" s="637"/>
      <c r="AJ235" s="629"/>
      <c r="AK235" s="635"/>
      <c r="AL235" s="636"/>
      <c r="AM235" s="637"/>
      <c r="AN235" s="629"/>
      <c r="AO235" s="467"/>
      <c r="AP235" s="504"/>
      <c r="AQ235" s="468"/>
      <c r="AR235" s="616"/>
      <c r="AS235" s="630"/>
      <c r="AT235" s="630"/>
    </row>
    <row r="236">
      <c r="A236" s="467"/>
      <c r="B236" s="504"/>
      <c r="C236" s="468"/>
      <c r="D236" s="616"/>
      <c r="E236" s="467"/>
      <c r="F236" s="504"/>
      <c r="G236" s="468"/>
      <c r="H236" s="616"/>
      <c r="I236" s="467"/>
      <c r="J236" s="504"/>
      <c r="K236" s="468"/>
      <c r="L236" s="616"/>
      <c r="M236" s="467"/>
      <c r="N236" s="504"/>
      <c r="O236" s="468"/>
      <c r="P236" s="616"/>
      <c r="Q236" s="635"/>
      <c r="R236" s="636"/>
      <c r="S236" s="637"/>
      <c r="T236" s="629"/>
      <c r="U236" s="635"/>
      <c r="V236" s="636"/>
      <c r="W236" s="637"/>
      <c r="X236" s="629"/>
      <c r="Y236" s="467"/>
      <c r="Z236" s="504"/>
      <c r="AA236" s="468"/>
      <c r="AB236" s="616"/>
      <c r="AC236" s="635"/>
      <c r="AD236" s="636"/>
      <c r="AE236" s="637"/>
      <c r="AF236" s="629"/>
      <c r="AG236" s="635"/>
      <c r="AH236" s="636"/>
      <c r="AI236" s="637"/>
      <c r="AJ236" s="629"/>
      <c r="AK236" s="635"/>
      <c r="AL236" s="636"/>
      <c r="AM236" s="637"/>
      <c r="AN236" s="629"/>
      <c r="AO236" s="467"/>
      <c r="AP236" s="504"/>
      <c r="AQ236" s="468"/>
      <c r="AR236" s="616"/>
      <c r="AS236" s="630"/>
      <c r="AT236" s="630"/>
    </row>
    <row r="237">
      <c r="A237" s="467"/>
      <c r="B237" s="504"/>
      <c r="C237" s="468"/>
      <c r="D237" s="616"/>
      <c r="E237" s="467"/>
      <c r="F237" s="504"/>
      <c r="G237" s="468"/>
      <c r="H237" s="616"/>
      <c r="I237" s="467"/>
      <c r="J237" s="504"/>
      <c r="K237" s="468"/>
      <c r="L237" s="616"/>
      <c r="M237" s="467"/>
      <c r="N237" s="504"/>
      <c r="O237" s="468"/>
      <c r="P237" s="616"/>
      <c r="Q237" s="635"/>
      <c r="R237" s="636"/>
      <c r="S237" s="637"/>
      <c r="T237" s="629"/>
      <c r="U237" s="635"/>
      <c r="V237" s="636"/>
      <c r="W237" s="637"/>
      <c r="X237" s="629"/>
      <c r="Y237" s="467"/>
      <c r="Z237" s="504"/>
      <c r="AA237" s="468"/>
      <c r="AB237" s="616"/>
      <c r="AC237" s="635"/>
      <c r="AD237" s="636"/>
      <c r="AE237" s="637"/>
      <c r="AF237" s="629"/>
      <c r="AG237" s="635"/>
      <c r="AH237" s="636"/>
      <c r="AI237" s="637"/>
      <c r="AJ237" s="629"/>
      <c r="AK237" s="635"/>
      <c r="AL237" s="636"/>
      <c r="AM237" s="637"/>
      <c r="AN237" s="629"/>
      <c r="AO237" s="467"/>
      <c r="AP237" s="504"/>
      <c r="AQ237" s="468"/>
      <c r="AR237" s="616"/>
      <c r="AS237" s="630"/>
      <c r="AT237" s="630"/>
    </row>
    <row r="238">
      <c r="A238" s="467"/>
      <c r="B238" s="504"/>
      <c r="C238" s="468"/>
      <c r="D238" s="616"/>
      <c r="E238" s="467"/>
      <c r="F238" s="504"/>
      <c r="G238" s="468"/>
      <c r="H238" s="616"/>
      <c r="I238" s="467"/>
      <c r="J238" s="504"/>
      <c r="K238" s="468"/>
      <c r="L238" s="616"/>
      <c r="M238" s="467"/>
      <c r="N238" s="504"/>
      <c r="O238" s="468"/>
      <c r="P238" s="616"/>
      <c r="Q238" s="635"/>
      <c r="R238" s="636"/>
      <c r="S238" s="637"/>
      <c r="T238" s="629"/>
      <c r="U238" s="635"/>
      <c r="V238" s="636"/>
      <c r="W238" s="637"/>
      <c r="X238" s="629"/>
      <c r="Y238" s="467"/>
      <c r="Z238" s="504"/>
      <c r="AA238" s="468"/>
      <c r="AB238" s="616"/>
      <c r="AC238" s="635"/>
      <c r="AD238" s="636"/>
      <c r="AE238" s="637"/>
      <c r="AF238" s="629"/>
      <c r="AG238" s="635"/>
      <c r="AH238" s="636"/>
      <c r="AI238" s="637"/>
      <c r="AJ238" s="629"/>
      <c r="AK238" s="635"/>
      <c r="AL238" s="636"/>
      <c r="AM238" s="637"/>
      <c r="AN238" s="629"/>
      <c r="AO238" s="467"/>
      <c r="AP238" s="504"/>
      <c r="AQ238" s="468"/>
      <c r="AR238" s="616"/>
      <c r="AS238" s="630"/>
      <c r="AT238" s="630"/>
    </row>
    <row r="239">
      <c r="A239" s="467"/>
      <c r="B239" s="504"/>
      <c r="C239" s="468"/>
      <c r="D239" s="616"/>
      <c r="E239" s="467"/>
      <c r="F239" s="504"/>
      <c r="G239" s="468"/>
      <c r="H239" s="616"/>
      <c r="I239" s="467"/>
      <c r="J239" s="504"/>
      <c r="K239" s="468"/>
      <c r="L239" s="616"/>
      <c r="M239" s="467"/>
      <c r="N239" s="504"/>
      <c r="O239" s="468"/>
      <c r="P239" s="616"/>
      <c r="Q239" s="635"/>
      <c r="R239" s="636"/>
      <c r="S239" s="637"/>
      <c r="T239" s="629"/>
      <c r="U239" s="635"/>
      <c r="V239" s="636"/>
      <c r="W239" s="637"/>
      <c r="X239" s="629"/>
      <c r="Y239" s="467"/>
      <c r="Z239" s="504"/>
      <c r="AA239" s="468"/>
      <c r="AB239" s="616"/>
      <c r="AC239" s="635"/>
      <c r="AD239" s="636"/>
      <c r="AE239" s="637"/>
      <c r="AF239" s="629"/>
      <c r="AG239" s="635"/>
      <c r="AH239" s="636"/>
      <c r="AI239" s="637"/>
      <c r="AJ239" s="629"/>
      <c r="AK239" s="635"/>
      <c r="AL239" s="636"/>
      <c r="AM239" s="637"/>
      <c r="AN239" s="629"/>
      <c r="AO239" s="467"/>
      <c r="AP239" s="504"/>
      <c r="AQ239" s="468"/>
      <c r="AR239" s="616"/>
      <c r="AS239" s="630"/>
      <c r="AT239" s="630"/>
    </row>
    <row r="240">
      <c r="A240" s="467"/>
      <c r="B240" s="504"/>
      <c r="C240" s="468"/>
      <c r="D240" s="616"/>
      <c r="E240" s="467"/>
      <c r="F240" s="504"/>
      <c r="G240" s="468"/>
      <c r="H240" s="616"/>
      <c r="I240" s="467"/>
      <c r="J240" s="504"/>
      <c r="K240" s="468"/>
      <c r="L240" s="616"/>
      <c r="M240" s="467"/>
      <c r="N240" s="504"/>
      <c r="O240" s="468"/>
      <c r="P240" s="616"/>
      <c r="Q240" s="635"/>
      <c r="R240" s="636"/>
      <c r="S240" s="637"/>
      <c r="T240" s="629"/>
      <c r="U240" s="635"/>
      <c r="V240" s="636"/>
      <c r="W240" s="637"/>
      <c r="X240" s="629"/>
      <c r="Y240" s="467"/>
      <c r="Z240" s="504"/>
      <c r="AA240" s="468"/>
      <c r="AB240" s="616"/>
      <c r="AC240" s="635"/>
      <c r="AD240" s="636"/>
      <c r="AE240" s="637"/>
      <c r="AF240" s="629"/>
      <c r="AG240" s="635"/>
      <c r="AH240" s="636"/>
      <c r="AI240" s="637"/>
      <c r="AJ240" s="629"/>
      <c r="AK240" s="635"/>
      <c r="AL240" s="636"/>
      <c r="AM240" s="637"/>
      <c r="AN240" s="629"/>
      <c r="AO240" s="467"/>
      <c r="AP240" s="504"/>
      <c r="AQ240" s="468"/>
      <c r="AR240" s="616"/>
      <c r="AS240" s="630"/>
      <c r="AT240" s="630"/>
    </row>
    <row r="241">
      <c r="A241" s="467"/>
      <c r="B241" s="504"/>
      <c r="C241" s="468"/>
      <c r="D241" s="616"/>
      <c r="E241" s="467"/>
      <c r="F241" s="504"/>
      <c r="G241" s="468"/>
      <c r="H241" s="616"/>
      <c r="I241" s="467"/>
      <c r="J241" s="504"/>
      <c r="K241" s="468"/>
      <c r="L241" s="616"/>
      <c r="M241" s="467"/>
      <c r="N241" s="504"/>
      <c r="O241" s="468"/>
      <c r="P241" s="616"/>
      <c r="Q241" s="635"/>
      <c r="R241" s="636"/>
      <c r="S241" s="637"/>
      <c r="T241" s="629"/>
      <c r="U241" s="635"/>
      <c r="V241" s="636"/>
      <c r="W241" s="637"/>
      <c r="X241" s="629"/>
      <c r="Y241" s="467"/>
      <c r="Z241" s="504"/>
      <c r="AA241" s="468"/>
      <c r="AB241" s="616"/>
      <c r="AC241" s="635"/>
      <c r="AD241" s="636"/>
      <c r="AE241" s="637"/>
      <c r="AF241" s="629"/>
      <c r="AG241" s="635"/>
      <c r="AH241" s="636"/>
      <c r="AI241" s="637"/>
      <c r="AJ241" s="629"/>
      <c r="AK241" s="635"/>
      <c r="AL241" s="636"/>
      <c r="AM241" s="637"/>
      <c r="AN241" s="629"/>
      <c r="AO241" s="467"/>
      <c r="AP241" s="504"/>
      <c r="AQ241" s="468"/>
      <c r="AR241" s="616"/>
      <c r="AS241" s="630"/>
      <c r="AT241" s="630"/>
    </row>
    <row r="242">
      <c r="A242" s="467"/>
      <c r="B242" s="504"/>
      <c r="C242" s="468"/>
      <c r="D242" s="616"/>
      <c r="E242" s="467"/>
      <c r="F242" s="504"/>
      <c r="G242" s="468"/>
      <c r="H242" s="616"/>
      <c r="I242" s="467"/>
      <c r="J242" s="504"/>
      <c r="K242" s="468"/>
      <c r="L242" s="616"/>
      <c r="M242" s="467"/>
      <c r="N242" s="504"/>
      <c r="O242" s="468"/>
      <c r="P242" s="616"/>
      <c r="Q242" s="635"/>
      <c r="R242" s="636"/>
      <c r="S242" s="637"/>
      <c r="T242" s="629"/>
      <c r="U242" s="635"/>
      <c r="V242" s="636"/>
      <c r="W242" s="637"/>
      <c r="X242" s="629"/>
      <c r="Y242" s="467"/>
      <c r="Z242" s="504"/>
      <c r="AA242" s="468"/>
      <c r="AB242" s="616"/>
      <c r="AC242" s="635"/>
      <c r="AD242" s="636"/>
      <c r="AE242" s="637"/>
      <c r="AF242" s="629"/>
      <c r="AG242" s="635"/>
      <c r="AH242" s="636"/>
      <c r="AI242" s="637"/>
      <c r="AJ242" s="629"/>
      <c r="AK242" s="635"/>
      <c r="AL242" s="636"/>
      <c r="AM242" s="637"/>
      <c r="AN242" s="629"/>
      <c r="AO242" s="467"/>
      <c r="AP242" s="504"/>
      <c r="AQ242" s="468"/>
      <c r="AR242" s="616"/>
      <c r="AS242" s="630"/>
      <c r="AT242" s="630"/>
    </row>
    <row r="243">
      <c r="A243" s="467"/>
      <c r="B243" s="504"/>
      <c r="C243" s="468"/>
      <c r="D243" s="616"/>
      <c r="E243" s="467"/>
      <c r="F243" s="504"/>
      <c r="G243" s="468"/>
      <c r="H243" s="616"/>
      <c r="I243" s="467"/>
      <c r="J243" s="504"/>
      <c r="K243" s="468"/>
      <c r="L243" s="616"/>
      <c r="M243" s="467"/>
      <c r="N243" s="504"/>
      <c r="O243" s="468"/>
      <c r="P243" s="616"/>
      <c r="Q243" s="635"/>
      <c r="R243" s="636"/>
      <c r="S243" s="637"/>
      <c r="T243" s="629"/>
      <c r="U243" s="635"/>
      <c r="V243" s="636"/>
      <c r="W243" s="637"/>
      <c r="X243" s="629"/>
      <c r="Y243" s="467"/>
      <c r="Z243" s="504"/>
      <c r="AA243" s="468"/>
      <c r="AB243" s="616"/>
      <c r="AC243" s="635"/>
      <c r="AD243" s="636"/>
      <c r="AE243" s="637"/>
      <c r="AF243" s="629"/>
      <c r="AG243" s="635"/>
      <c r="AH243" s="636"/>
      <c r="AI243" s="637"/>
      <c r="AJ243" s="629"/>
      <c r="AK243" s="635"/>
      <c r="AL243" s="636"/>
      <c r="AM243" s="637"/>
      <c r="AN243" s="629"/>
      <c r="AO243" s="467"/>
      <c r="AP243" s="504"/>
      <c r="AQ243" s="468"/>
      <c r="AR243" s="616"/>
      <c r="AS243" s="630"/>
      <c r="AT243" s="630"/>
    </row>
    <row r="244">
      <c r="A244" s="467"/>
      <c r="B244" s="504"/>
      <c r="C244" s="468"/>
      <c r="D244" s="616"/>
      <c r="E244" s="467"/>
      <c r="F244" s="504"/>
      <c r="G244" s="468"/>
      <c r="H244" s="616"/>
      <c r="I244" s="467"/>
      <c r="J244" s="504"/>
      <c r="K244" s="468"/>
      <c r="L244" s="616"/>
      <c r="M244" s="467"/>
      <c r="N244" s="504"/>
      <c r="O244" s="468"/>
      <c r="P244" s="616"/>
      <c r="Q244" s="635"/>
      <c r="R244" s="636"/>
      <c r="S244" s="637"/>
      <c r="T244" s="629"/>
      <c r="U244" s="635"/>
      <c r="V244" s="636"/>
      <c r="W244" s="637"/>
      <c r="X244" s="629"/>
      <c r="Y244" s="467"/>
      <c r="Z244" s="504"/>
      <c r="AA244" s="468"/>
      <c r="AB244" s="616"/>
      <c r="AC244" s="635"/>
      <c r="AD244" s="636"/>
      <c r="AE244" s="637"/>
      <c r="AF244" s="629"/>
      <c r="AG244" s="635"/>
      <c r="AH244" s="636"/>
      <c r="AI244" s="637"/>
      <c r="AJ244" s="629"/>
      <c r="AK244" s="635"/>
      <c r="AL244" s="636"/>
      <c r="AM244" s="637"/>
      <c r="AN244" s="629"/>
      <c r="AO244" s="467"/>
      <c r="AP244" s="504"/>
      <c r="AQ244" s="468"/>
      <c r="AR244" s="616"/>
      <c r="AS244" s="630"/>
      <c r="AT244" s="630"/>
    </row>
    <row r="245">
      <c r="A245" s="467"/>
      <c r="B245" s="504"/>
      <c r="C245" s="468"/>
      <c r="D245" s="616"/>
      <c r="E245" s="467"/>
      <c r="F245" s="504"/>
      <c r="G245" s="468"/>
      <c r="H245" s="616"/>
      <c r="I245" s="467"/>
      <c r="J245" s="504"/>
      <c r="K245" s="468"/>
      <c r="L245" s="616"/>
      <c r="M245" s="467"/>
      <c r="N245" s="504"/>
      <c r="O245" s="468"/>
      <c r="P245" s="616"/>
      <c r="Q245" s="635"/>
      <c r="R245" s="636"/>
      <c r="S245" s="637"/>
      <c r="T245" s="629"/>
      <c r="U245" s="635"/>
      <c r="V245" s="636"/>
      <c r="W245" s="637"/>
      <c r="X245" s="629"/>
      <c r="Y245" s="467"/>
      <c r="Z245" s="504"/>
      <c r="AA245" s="468"/>
      <c r="AB245" s="616"/>
      <c r="AC245" s="635"/>
      <c r="AD245" s="636"/>
      <c r="AE245" s="637"/>
      <c r="AF245" s="629"/>
      <c r="AG245" s="635"/>
      <c r="AH245" s="636"/>
      <c r="AI245" s="637"/>
      <c r="AJ245" s="629"/>
      <c r="AK245" s="635"/>
      <c r="AL245" s="636"/>
      <c r="AM245" s="637"/>
      <c r="AN245" s="629"/>
      <c r="AO245" s="467"/>
      <c r="AP245" s="504"/>
      <c r="AQ245" s="468"/>
      <c r="AR245" s="616"/>
      <c r="AS245" s="630"/>
      <c r="AT245" s="630"/>
    </row>
    <row r="246">
      <c r="A246" s="467"/>
      <c r="B246" s="504"/>
      <c r="C246" s="468"/>
      <c r="D246" s="616"/>
      <c r="E246" s="467"/>
      <c r="F246" s="504"/>
      <c r="G246" s="468"/>
      <c r="H246" s="616"/>
      <c r="I246" s="467"/>
      <c r="J246" s="504"/>
      <c r="K246" s="468"/>
      <c r="L246" s="616"/>
      <c r="M246" s="467"/>
      <c r="N246" s="504"/>
      <c r="O246" s="468"/>
      <c r="P246" s="616"/>
      <c r="Q246" s="635"/>
      <c r="R246" s="636"/>
      <c r="S246" s="637"/>
      <c r="T246" s="629"/>
      <c r="U246" s="635"/>
      <c r="V246" s="636"/>
      <c r="W246" s="637"/>
      <c r="X246" s="629"/>
      <c r="Y246" s="467"/>
      <c r="Z246" s="504"/>
      <c r="AA246" s="468"/>
      <c r="AB246" s="616"/>
      <c r="AC246" s="635"/>
      <c r="AD246" s="636"/>
      <c r="AE246" s="637"/>
      <c r="AF246" s="629"/>
      <c r="AG246" s="635"/>
      <c r="AH246" s="636"/>
      <c r="AI246" s="637"/>
      <c r="AJ246" s="629"/>
      <c r="AK246" s="635"/>
      <c r="AL246" s="636"/>
      <c r="AM246" s="637"/>
      <c r="AN246" s="629"/>
      <c r="AO246" s="467"/>
      <c r="AP246" s="504"/>
      <c r="AQ246" s="468"/>
      <c r="AR246" s="616"/>
      <c r="AS246" s="630"/>
      <c r="AT246" s="630"/>
    </row>
    <row r="247">
      <c r="A247" s="467"/>
      <c r="B247" s="504"/>
      <c r="C247" s="468"/>
      <c r="D247" s="616"/>
      <c r="E247" s="467"/>
      <c r="F247" s="504"/>
      <c r="G247" s="468"/>
      <c r="H247" s="616"/>
      <c r="I247" s="467"/>
      <c r="J247" s="504"/>
      <c r="K247" s="468"/>
      <c r="L247" s="616"/>
      <c r="M247" s="467"/>
      <c r="N247" s="504"/>
      <c r="O247" s="468"/>
      <c r="P247" s="616"/>
      <c r="Q247" s="635"/>
      <c r="R247" s="636"/>
      <c r="S247" s="637"/>
      <c r="T247" s="629"/>
      <c r="U247" s="635"/>
      <c r="V247" s="636"/>
      <c r="W247" s="637"/>
      <c r="X247" s="629"/>
      <c r="Y247" s="467"/>
      <c r="Z247" s="504"/>
      <c r="AA247" s="468"/>
      <c r="AB247" s="616"/>
      <c r="AC247" s="635"/>
      <c r="AD247" s="636"/>
      <c r="AE247" s="637"/>
      <c r="AF247" s="629"/>
      <c r="AG247" s="635"/>
      <c r="AH247" s="636"/>
      <c r="AI247" s="637"/>
      <c r="AJ247" s="629"/>
      <c r="AK247" s="635"/>
      <c r="AL247" s="636"/>
      <c r="AM247" s="637"/>
      <c r="AN247" s="629"/>
      <c r="AO247" s="467"/>
      <c r="AP247" s="504"/>
      <c r="AQ247" s="468"/>
      <c r="AR247" s="616"/>
      <c r="AS247" s="630"/>
      <c r="AT247" s="630"/>
    </row>
    <row r="248">
      <c r="A248" s="467"/>
      <c r="B248" s="504"/>
      <c r="C248" s="468"/>
      <c r="D248" s="616"/>
      <c r="E248" s="467"/>
      <c r="F248" s="504"/>
      <c r="G248" s="468"/>
      <c r="H248" s="616"/>
      <c r="I248" s="467"/>
      <c r="J248" s="504"/>
      <c r="K248" s="468"/>
      <c r="L248" s="616"/>
      <c r="M248" s="467"/>
      <c r="N248" s="504"/>
      <c r="O248" s="468"/>
      <c r="P248" s="616"/>
      <c r="Q248" s="635"/>
      <c r="R248" s="636"/>
      <c r="S248" s="637"/>
      <c r="T248" s="629"/>
      <c r="U248" s="635"/>
      <c r="V248" s="636"/>
      <c r="W248" s="637"/>
      <c r="X248" s="629"/>
      <c r="Y248" s="467"/>
      <c r="Z248" s="504"/>
      <c r="AA248" s="468"/>
      <c r="AB248" s="616"/>
      <c r="AC248" s="635"/>
      <c r="AD248" s="636"/>
      <c r="AE248" s="637"/>
      <c r="AF248" s="629"/>
      <c r="AG248" s="635"/>
      <c r="AH248" s="636"/>
      <c r="AI248" s="637"/>
      <c r="AJ248" s="629"/>
      <c r="AK248" s="635"/>
      <c r="AL248" s="636"/>
      <c r="AM248" s="637"/>
      <c r="AN248" s="629"/>
      <c r="AO248" s="467"/>
      <c r="AP248" s="504"/>
      <c r="AQ248" s="468"/>
      <c r="AR248" s="616"/>
      <c r="AS248" s="630"/>
      <c r="AT248" s="630"/>
    </row>
    <row r="249">
      <c r="A249" s="467"/>
      <c r="B249" s="504"/>
      <c r="C249" s="468"/>
      <c r="D249" s="616"/>
      <c r="E249" s="467"/>
      <c r="F249" s="504"/>
      <c r="G249" s="468"/>
      <c r="H249" s="616"/>
      <c r="I249" s="467"/>
      <c r="J249" s="504"/>
      <c r="K249" s="468"/>
      <c r="L249" s="616"/>
      <c r="M249" s="467"/>
      <c r="N249" s="504"/>
      <c r="O249" s="468"/>
      <c r="P249" s="616"/>
      <c r="Q249" s="635"/>
      <c r="R249" s="636"/>
      <c r="S249" s="637"/>
      <c r="T249" s="629"/>
      <c r="U249" s="635"/>
      <c r="V249" s="636"/>
      <c r="W249" s="637"/>
      <c r="X249" s="629"/>
      <c r="Y249" s="467"/>
      <c r="Z249" s="504"/>
      <c r="AA249" s="468"/>
      <c r="AB249" s="616"/>
      <c r="AC249" s="635"/>
      <c r="AD249" s="636"/>
      <c r="AE249" s="637"/>
      <c r="AF249" s="629"/>
      <c r="AG249" s="635"/>
      <c r="AH249" s="636"/>
      <c r="AI249" s="637"/>
      <c r="AJ249" s="629"/>
      <c r="AK249" s="635"/>
      <c r="AL249" s="636"/>
      <c r="AM249" s="637"/>
      <c r="AN249" s="629"/>
      <c r="AO249" s="467"/>
      <c r="AP249" s="504"/>
      <c r="AQ249" s="468"/>
      <c r="AR249" s="616"/>
      <c r="AS249" s="630"/>
      <c r="AT249" s="630"/>
    </row>
    <row r="250">
      <c r="A250" s="467"/>
      <c r="B250" s="504"/>
      <c r="C250" s="468"/>
      <c r="D250" s="616"/>
      <c r="E250" s="467"/>
      <c r="F250" s="504"/>
      <c r="G250" s="468"/>
      <c r="H250" s="616"/>
      <c r="I250" s="467"/>
      <c r="J250" s="504"/>
      <c r="K250" s="468"/>
      <c r="L250" s="616"/>
      <c r="M250" s="467"/>
      <c r="N250" s="504"/>
      <c r="O250" s="468"/>
      <c r="P250" s="616"/>
      <c r="Q250" s="635"/>
      <c r="R250" s="636"/>
      <c r="S250" s="637"/>
      <c r="T250" s="629"/>
      <c r="U250" s="635"/>
      <c r="V250" s="636"/>
      <c r="W250" s="637"/>
      <c r="X250" s="629"/>
      <c r="Y250" s="467"/>
      <c r="Z250" s="504"/>
      <c r="AA250" s="468"/>
      <c r="AB250" s="616"/>
      <c r="AC250" s="635"/>
      <c r="AD250" s="636"/>
      <c r="AE250" s="637"/>
      <c r="AF250" s="629"/>
      <c r="AG250" s="635"/>
      <c r="AH250" s="636"/>
      <c r="AI250" s="637"/>
      <c r="AJ250" s="629"/>
      <c r="AK250" s="635"/>
      <c r="AL250" s="636"/>
      <c r="AM250" s="637"/>
      <c r="AN250" s="629"/>
      <c r="AO250" s="467"/>
      <c r="AP250" s="504"/>
      <c r="AQ250" s="468"/>
      <c r="AR250" s="616"/>
      <c r="AS250" s="630"/>
      <c r="AT250" s="630"/>
    </row>
    <row r="251">
      <c r="A251" s="467"/>
      <c r="B251" s="504"/>
      <c r="C251" s="468"/>
      <c r="D251" s="616"/>
      <c r="E251" s="467"/>
      <c r="F251" s="504"/>
      <c r="G251" s="468"/>
      <c r="H251" s="616"/>
      <c r="I251" s="467"/>
      <c r="J251" s="504"/>
      <c r="K251" s="468"/>
      <c r="L251" s="616"/>
      <c r="M251" s="467"/>
      <c r="N251" s="504"/>
      <c r="O251" s="468"/>
      <c r="P251" s="616"/>
      <c r="Q251" s="635"/>
      <c r="R251" s="636"/>
      <c r="S251" s="637"/>
      <c r="T251" s="629"/>
      <c r="U251" s="635"/>
      <c r="V251" s="636"/>
      <c r="W251" s="637"/>
      <c r="X251" s="629"/>
      <c r="Y251" s="467"/>
      <c r="Z251" s="504"/>
      <c r="AA251" s="468"/>
      <c r="AB251" s="616"/>
      <c r="AC251" s="635"/>
      <c r="AD251" s="636"/>
      <c r="AE251" s="637"/>
      <c r="AF251" s="629"/>
      <c r="AG251" s="635"/>
      <c r="AH251" s="636"/>
      <c r="AI251" s="637"/>
      <c r="AJ251" s="629"/>
      <c r="AK251" s="635"/>
      <c r="AL251" s="636"/>
      <c r="AM251" s="637"/>
      <c r="AN251" s="629"/>
      <c r="AO251" s="467"/>
      <c r="AP251" s="504"/>
      <c r="AQ251" s="468"/>
      <c r="AR251" s="616"/>
      <c r="AS251" s="630"/>
      <c r="AT251" s="630"/>
    </row>
    <row r="252">
      <c r="A252" s="467"/>
      <c r="B252" s="504"/>
      <c r="C252" s="468"/>
      <c r="D252" s="616"/>
      <c r="E252" s="467"/>
      <c r="F252" s="504"/>
      <c r="G252" s="468"/>
      <c r="H252" s="616"/>
      <c r="I252" s="467"/>
      <c r="J252" s="504"/>
      <c r="K252" s="468"/>
      <c r="L252" s="616"/>
      <c r="M252" s="467"/>
      <c r="N252" s="504"/>
      <c r="O252" s="468"/>
      <c r="P252" s="616"/>
      <c r="Q252" s="635"/>
      <c r="R252" s="636"/>
      <c r="S252" s="637"/>
      <c r="T252" s="629"/>
      <c r="U252" s="635"/>
      <c r="V252" s="636"/>
      <c r="W252" s="637"/>
      <c r="X252" s="629"/>
      <c r="Y252" s="467"/>
      <c r="Z252" s="504"/>
      <c r="AA252" s="468"/>
      <c r="AB252" s="616"/>
      <c r="AC252" s="635"/>
      <c r="AD252" s="636"/>
      <c r="AE252" s="637"/>
      <c r="AF252" s="629"/>
      <c r="AG252" s="635"/>
      <c r="AH252" s="636"/>
      <c r="AI252" s="637"/>
      <c r="AJ252" s="629"/>
      <c r="AK252" s="635"/>
      <c r="AL252" s="636"/>
      <c r="AM252" s="637"/>
      <c r="AN252" s="629"/>
      <c r="AO252" s="467"/>
      <c r="AP252" s="504"/>
      <c r="AQ252" s="468"/>
      <c r="AR252" s="616"/>
      <c r="AS252" s="630"/>
      <c r="AT252" s="630"/>
    </row>
    <row r="253">
      <c r="A253" s="467"/>
      <c r="B253" s="504"/>
      <c r="C253" s="468"/>
      <c r="D253" s="616"/>
      <c r="E253" s="467"/>
      <c r="F253" s="504"/>
      <c r="G253" s="468"/>
      <c r="H253" s="616"/>
      <c r="I253" s="467"/>
      <c r="J253" s="504"/>
      <c r="K253" s="468"/>
      <c r="L253" s="616"/>
      <c r="M253" s="467"/>
      <c r="N253" s="504"/>
      <c r="O253" s="468"/>
      <c r="P253" s="616"/>
      <c r="Q253" s="635"/>
      <c r="R253" s="636"/>
      <c r="S253" s="637"/>
      <c r="T253" s="629"/>
      <c r="U253" s="635"/>
      <c r="V253" s="636"/>
      <c r="W253" s="637"/>
      <c r="X253" s="629"/>
      <c r="Y253" s="467"/>
      <c r="Z253" s="504"/>
      <c r="AA253" s="468"/>
      <c r="AB253" s="616"/>
      <c r="AC253" s="635"/>
      <c r="AD253" s="636"/>
      <c r="AE253" s="637"/>
      <c r="AF253" s="629"/>
      <c r="AG253" s="635"/>
      <c r="AH253" s="636"/>
      <c r="AI253" s="637"/>
      <c r="AJ253" s="629"/>
      <c r="AK253" s="635"/>
      <c r="AL253" s="636"/>
      <c r="AM253" s="637"/>
      <c r="AN253" s="629"/>
      <c r="AO253" s="467"/>
      <c r="AP253" s="504"/>
      <c r="AQ253" s="468"/>
      <c r="AR253" s="616"/>
      <c r="AS253" s="630"/>
      <c r="AT253" s="630"/>
    </row>
    <row r="254">
      <c r="A254" s="467"/>
      <c r="B254" s="504"/>
      <c r="C254" s="468"/>
      <c r="D254" s="616"/>
      <c r="E254" s="467"/>
      <c r="F254" s="504"/>
      <c r="G254" s="468"/>
      <c r="H254" s="616"/>
      <c r="I254" s="467"/>
      <c r="J254" s="504"/>
      <c r="K254" s="468"/>
      <c r="L254" s="616"/>
      <c r="M254" s="467"/>
      <c r="N254" s="504"/>
      <c r="O254" s="468"/>
      <c r="P254" s="616"/>
      <c r="Q254" s="635"/>
      <c r="R254" s="636"/>
      <c r="S254" s="637"/>
      <c r="T254" s="629"/>
      <c r="U254" s="635"/>
      <c r="V254" s="636"/>
      <c r="W254" s="637"/>
      <c r="X254" s="629"/>
      <c r="Y254" s="467"/>
      <c r="Z254" s="504"/>
      <c r="AA254" s="468"/>
      <c r="AB254" s="616"/>
      <c r="AC254" s="635"/>
      <c r="AD254" s="636"/>
      <c r="AE254" s="637"/>
      <c r="AF254" s="629"/>
      <c r="AG254" s="635"/>
      <c r="AH254" s="636"/>
      <c r="AI254" s="637"/>
      <c r="AJ254" s="629"/>
      <c r="AK254" s="635"/>
      <c r="AL254" s="636"/>
      <c r="AM254" s="637"/>
      <c r="AN254" s="629"/>
      <c r="AO254" s="467"/>
      <c r="AP254" s="504"/>
      <c r="AQ254" s="468"/>
      <c r="AR254" s="616"/>
      <c r="AS254" s="630"/>
      <c r="AT254" s="630"/>
    </row>
    <row r="255">
      <c r="A255" s="467"/>
      <c r="B255" s="504"/>
      <c r="C255" s="468"/>
      <c r="D255" s="616"/>
      <c r="E255" s="467"/>
      <c r="F255" s="504"/>
      <c r="G255" s="468"/>
      <c r="H255" s="616"/>
      <c r="I255" s="467"/>
      <c r="J255" s="504"/>
      <c r="K255" s="468"/>
      <c r="L255" s="616"/>
      <c r="M255" s="467"/>
      <c r="N255" s="504"/>
      <c r="O255" s="468"/>
      <c r="P255" s="616"/>
      <c r="Q255" s="635"/>
      <c r="R255" s="636"/>
      <c r="S255" s="637"/>
      <c r="T255" s="629"/>
      <c r="U255" s="635"/>
      <c r="V255" s="636"/>
      <c r="W255" s="637"/>
      <c r="X255" s="629"/>
      <c r="Y255" s="467"/>
      <c r="Z255" s="504"/>
      <c r="AA255" s="468"/>
      <c r="AB255" s="616"/>
      <c r="AC255" s="635"/>
      <c r="AD255" s="636"/>
      <c r="AE255" s="637"/>
      <c r="AF255" s="629"/>
      <c r="AG255" s="635"/>
      <c r="AH255" s="636"/>
      <c r="AI255" s="637"/>
      <c r="AJ255" s="629"/>
      <c r="AK255" s="635"/>
      <c r="AL255" s="636"/>
      <c r="AM255" s="637"/>
      <c r="AN255" s="629"/>
      <c r="AO255" s="467"/>
      <c r="AP255" s="504"/>
      <c r="AQ255" s="468"/>
      <c r="AR255" s="616"/>
      <c r="AS255" s="630"/>
      <c r="AT255" s="630"/>
    </row>
    <row r="256">
      <c r="A256" s="467"/>
      <c r="B256" s="504"/>
      <c r="C256" s="468"/>
      <c r="D256" s="616"/>
      <c r="E256" s="467"/>
      <c r="F256" s="504"/>
      <c r="G256" s="468"/>
      <c r="H256" s="616"/>
      <c r="I256" s="467"/>
      <c r="J256" s="504"/>
      <c r="K256" s="468"/>
      <c r="L256" s="616"/>
      <c r="M256" s="467"/>
      <c r="N256" s="504"/>
      <c r="O256" s="468"/>
      <c r="P256" s="616"/>
      <c r="Q256" s="635"/>
      <c r="R256" s="636"/>
      <c r="S256" s="637"/>
      <c r="T256" s="629"/>
      <c r="U256" s="635"/>
      <c r="V256" s="636"/>
      <c r="W256" s="637"/>
      <c r="X256" s="629"/>
      <c r="Y256" s="467"/>
      <c r="Z256" s="504"/>
      <c r="AA256" s="468"/>
      <c r="AB256" s="616"/>
      <c r="AC256" s="635"/>
      <c r="AD256" s="636"/>
      <c r="AE256" s="637"/>
      <c r="AF256" s="629"/>
      <c r="AG256" s="635"/>
      <c r="AH256" s="636"/>
      <c r="AI256" s="637"/>
      <c r="AJ256" s="629"/>
      <c r="AK256" s="635"/>
      <c r="AL256" s="636"/>
      <c r="AM256" s="637"/>
      <c r="AN256" s="629"/>
      <c r="AO256" s="467"/>
      <c r="AP256" s="504"/>
      <c r="AQ256" s="468"/>
      <c r="AR256" s="616"/>
      <c r="AS256" s="630"/>
      <c r="AT256" s="630"/>
    </row>
    <row r="257">
      <c r="A257" s="467"/>
      <c r="B257" s="504"/>
      <c r="C257" s="468"/>
      <c r="D257" s="616"/>
      <c r="E257" s="467"/>
      <c r="F257" s="504"/>
      <c r="G257" s="468"/>
      <c r="H257" s="616"/>
      <c r="I257" s="467"/>
      <c r="J257" s="504"/>
      <c r="K257" s="468"/>
      <c r="L257" s="616"/>
      <c r="M257" s="467"/>
      <c r="N257" s="504"/>
      <c r="O257" s="468"/>
      <c r="P257" s="616"/>
      <c r="Q257" s="635"/>
      <c r="R257" s="636"/>
      <c r="S257" s="637"/>
      <c r="T257" s="629"/>
      <c r="U257" s="635"/>
      <c r="V257" s="636"/>
      <c r="W257" s="637"/>
      <c r="X257" s="629"/>
      <c r="Y257" s="467"/>
      <c r="Z257" s="504"/>
      <c r="AA257" s="468"/>
      <c r="AB257" s="616"/>
      <c r="AC257" s="635"/>
      <c r="AD257" s="636"/>
      <c r="AE257" s="637"/>
      <c r="AF257" s="629"/>
      <c r="AG257" s="635"/>
      <c r="AH257" s="636"/>
      <c r="AI257" s="637"/>
      <c r="AJ257" s="629"/>
      <c r="AK257" s="635"/>
      <c r="AL257" s="636"/>
      <c r="AM257" s="637"/>
      <c r="AN257" s="629"/>
      <c r="AO257" s="467"/>
      <c r="AP257" s="504"/>
      <c r="AQ257" s="468"/>
      <c r="AR257" s="616"/>
      <c r="AS257" s="630"/>
      <c r="AT257" s="630"/>
    </row>
    <row r="258">
      <c r="A258" s="467"/>
      <c r="B258" s="504"/>
      <c r="C258" s="468"/>
      <c r="D258" s="616"/>
      <c r="E258" s="467"/>
      <c r="F258" s="504"/>
      <c r="G258" s="468"/>
      <c r="H258" s="616"/>
      <c r="I258" s="467"/>
      <c r="J258" s="504"/>
      <c r="K258" s="468"/>
      <c r="L258" s="616"/>
      <c r="M258" s="467"/>
      <c r="N258" s="504"/>
      <c r="O258" s="468"/>
      <c r="P258" s="616"/>
      <c r="Q258" s="635"/>
      <c r="R258" s="636"/>
      <c r="S258" s="637"/>
      <c r="T258" s="629"/>
      <c r="U258" s="635"/>
      <c r="V258" s="636"/>
      <c r="W258" s="637"/>
      <c r="X258" s="629"/>
      <c r="Y258" s="467"/>
      <c r="Z258" s="504"/>
      <c r="AA258" s="468"/>
      <c r="AB258" s="616"/>
      <c r="AC258" s="635"/>
      <c r="AD258" s="636"/>
      <c r="AE258" s="637"/>
      <c r="AF258" s="629"/>
      <c r="AG258" s="635"/>
      <c r="AH258" s="636"/>
      <c r="AI258" s="637"/>
      <c r="AJ258" s="629"/>
      <c r="AK258" s="635"/>
      <c r="AL258" s="636"/>
      <c r="AM258" s="637"/>
      <c r="AN258" s="629"/>
      <c r="AO258" s="467"/>
      <c r="AP258" s="504"/>
      <c r="AQ258" s="468"/>
      <c r="AR258" s="616"/>
      <c r="AS258" s="630"/>
      <c r="AT258" s="630"/>
    </row>
    <row r="259">
      <c r="A259" s="467"/>
      <c r="B259" s="504"/>
      <c r="C259" s="468"/>
      <c r="D259" s="616"/>
      <c r="E259" s="467"/>
      <c r="F259" s="504"/>
      <c r="G259" s="468"/>
      <c r="H259" s="616"/>
      <c r="I259" s="467"/>
      <c r="J259" s="504"/>
      <c r="K259" s="468"/>
      <c r="L259" s="616"/>
      <c r="M259" s="467"/>
      <c r="N259" s="504"/>
      <c r="O259" s="468"/>
      <c r="P259" s="616"/>
      <c r="Q259" s="635"/>
      <c r="R259" s="636"/>
      <c r="S259" s="637"/>
      <c r="T259" s="629"/>
      <c r="U259" s="635"/>
      <c r="V259" s="636"/>
      <c r="W259" s="637"/>
      <c r="X259" s="629"/>
      <c r="Y259" s="467"/>
      <c r="Z259" s="504"/>
      <c r="AA259" s="468"/>
      <c r="AB259" s="616"/>
      <c r="AC259" s="635"/>
      <c r="AD259" s="636"/>
      <c r="AE259" s="637"/>
      <c r="AF259" s="629"/>
      <c r="AG259" s="635"/>
      <c r="AH259" s="636"/>
      <c r="AI259" s="637"/>
      <c r="AJ259" s="629"/>
      <c r="AK259" s="635"/>
      <c r="AL259" s="636"/>
      <c r="AM259" s="637"/>
      <c r="AN259" s="629"/>
      <c r="AO259" s="467"/>
      <c r="AP259" s="504"/>
      <c r="AQ259" s="468"/>
      <c r="AR259" s="616"/>
      <c r="AS259" s="630"/>
      <c r="AT259" s="630"/>
    </row>
    <row r="260">
      <c r="A260" s="467"/>
      <c r="B260" s="504"/>
      <c r="C260" s="468"/>
      <c r="D260" s="616"/>
      <c r="E260" s="467"/>
      <c r="F260" s="504"/>
      <c r="G260" s="468"/>
      <c r="H260" s="616"/>
      <c r="I260" s="467"/>
      <c r="J260" s="504"/>
      <c r="K260" s="468"/>
      <c r="L260" s="616"/>
      <c r="M260" s="467"/>
      <c r="N260" s="504"/>
      <c r="O260" s="468"/>
      <c r="P260" s="616"/>
      <c r="Q260" s="635"/>
      <c r="R260" s="636"/>
      <c r="S260" s="637"/>
      <c r="T260" s="629"/>
      <c r="U260" s="635"/>
      <c r="V260" s="636"/>
      <c r="W260" s="637"/>
      <c r="X260" s="629"/>
      <c r="Y260" s="467"/>
      <c r="Z260" s="504"/>
      <c r="AA260" s="468"/>
      <c r="AB260" s="616"/>
      <c r="AC260" s="635"/>
      <c r="AD260" s="636"/>
      <c r="AE260" s="637"/>
      <c r="AF260" s="629"/>
      <c r="AG260" s="635"/>
      <c r="AH260" s="636"/>
      <c r="AI260" s="637"/>
      <c r="AJ260" s="629"/>
      <c r="AK260" s="635"/>
      <c r="AL260" s="636"/>
      <c r="AM260" s="637"/>
      <c r="AN260" s="629"/>
      <c r="AO260" s="467"/>
      <c r="AP260" s="504"/>
      <c r="AQ260" s="468"/>
      <c r="AR260" s="616"/>
      <c r="AS260" s="630"/>
      <c r="AT260" s="630"/>
    </row>
    <row r="261">
      <c r="A261" s="467"/>
      <c r="B261" s="504"/>
      <c r="C261" s="468"/>
      <c r="D261" s="616"/>
      <c r="E261" s="467"/>
      <c r="F261" s="504"/>
      <c r="G261" s="468"/>
      <c r="H261" s="616"/>
      <c r="I261" s="467"/>
      <c r="J261" s="504"/>
      <c r="K261" s="468"/>
      <c r="L261" s="616"/>
      <c r="M261" s="467"/>
      <c r="N261" s="504"/>
      <c r="O261" s="468"/>
      <c r="P261" s="616"/>
      <c r="Q261" s="635"/>
      <c r="R261" s="636"/>
      <c r="S261" s="637"/>
      <c r="T261" s="629"/>
      <c r="U261" s="635"/>
      <c r="V261" s="636"/>
      <c r="W261" s="637"/>
      <c r="X261" s="629"/>
      <c r="Y261" s="467"/>
      <c r="Z261" s="504"/>
      <c r="AA261" s="468"/>
      <c r="AB261" s="616"/>
      <c r="AC261" s="635"/>
      <c r="AD261" s="636"/>
      <c r="AE261" s="637"/>
      <c r="AF261" s="629"/>
      <c r="AG261" s="635"/>
      <c r="AH261" s="636"/>
      <c r="AI261" s="637"/>
      <c r="AJ261" s="629"/>
      <c r="AK261" s="635"/>
      <c r="AL261" s="636"/>
      <c r="AM261" s="637"/>
      <c r="AN261" s="629"/>
      <c r="AO261" s="467"/>
      <c r="AP261" s="504"/>
      <c r="AQ261" s="468"/>
      <c r="AR261" s="616"/>
      <c r="AS261" s="630"/>
      <c r="AT261" s="630"/>
    </row>
    <row r="262">
      <c r="A262" s="467"/>
      <c r="B262" s="504"/>
      <c r="C262" s="468"/>
      <c r="D262" s="616"/>
      <c r="E262" s="467"/>
      <c r="F262" s="504"/>
      <c r="G262" s="468"/>
      <c r="H262" s="616"/>
      <c r="I262" s="467"/>
      <c r="J262" s="504"/>
      <c r="K262" s="468"/>
      <c r="L262" s="616"/>
      <c r="M262" s="467"/>
      <c r="N262" s="504"/>
      <c r="O262" s="468"/>
      <c r="P262" s="616"/>
      <c r="Q262" s="635"/>
      <c r="R262" s="636"/>
      <c r="S262" s="637"/>
      <c r="T262" s="629"/>
      <c r="U262" s="635"/>
      <c r="V262" s="636"/>
      <c r="W262" s="637"/>
      <c r="X262" s="629"/>
      <c r="Y262" s="467"/>
      <c r="Z262" s="504"/>
      <c r="AA262" s="468"/>
      <c r="AB262" s="616"/>
      <c r="AC262" s="635"/>
      <c r="AD262" s="636"/>
      <c r="AE262" s="637"/>
      <c r="AF262" s="629"/>
      <c r="AG262" s="635"/>
      <c r="AH262" s="636"/>
      <c r="AI262" s="637"/>
      <c r="AJ262" s="629"/>
      <c r="AK262" s="635"/>
      <c r="AL262" s="636"/>
      <c r="AM262" s="637"/>
      <c r="AN262" s="629"/>
      <c r="AO262" s="467"/>
      <c r="AP262" s="504"/>
      <c r="AQ262" s="468"/>
      <c r="AR262" s="616"/>
      <c r="AS262" s="630"/>
      <c r="AT262" s="630"/>
    </row>
    <row r="263">
      <c r="A263" s="467"/>
      <c r="B263" s="504"/>
      <c r="C263" s="468"/>
      <c r="D263" s="616"/>
      <c r="E263" s="467"/>
      <c r="F263" s="504"/>
      <c r="G263" s="468"/>
      <c r="H263" s="616"/>
      <c r="I263" s="467"/>
      <c r="J263" s="504"/>
      <c r="K263" s="468"/>
      <c r="L263" s="616"/>
      <c r="M263" s="467"/>
      <c r="N263" s="504"/>
      <c r="O263" s="468"/>
      <c r="P263" s="616"/>
      <c r="Q263" s="635"/>
      <c r="R263" s="636"/>
      <c r="S263" s="637"/>
      <c r="T263" s="629"/>
      <c r="U263" s="635"/>
      <c r="V263" s="636"/>
      <c r="W263" s="637"/>
      <c r="X263" s="629"/>
      <c r="Y263" s="467"/>
      <c r="Z263" s="504"/>
      <c r="AA263" s="468"/>
      <c r="AB263" s="616"/>
      <c r="AC263" s="635"/>
      <c r="AD263" s="636"/>
      <c r="AE263" s="637"/>
      <c r="AF263" s="629"/>
      <c r="AG263" s="635"/>
      <c r="AH263" s="636"/>
      <c r="AI263" s="637"/>
      <c r="AJ263" s="629"/>
      <c r="AK263" s="635"/>
      <c r="AL263" s="636"/>
      <c r="AM263" s="637"/>
      <c r="AN263" s="629"/>
      <c r="AO263" s="467"/>
      <c r="AP263" s="504"/>
      <c r="AQ263" s="468"/>
      <c r="AR263" s="616"/>
      <c r="AS263" s="630"/>
      <c r="AT263" s="630"/>
    </row>
    <row r="264">
      <c r="A264" s="467"/>
      <c r="B264" s="504"/>
      <c r="C264" s="468"/>
      <c r="D264" s="616"/>
      <c r="E264" s="467"/>
      <c r="F264" s="504"/>
      <c r="G264" s="468"/>
      <c r="H264" s="616"/>
      <c r="I264" s="467"/>
      <c r="J264" s="504"/>
      <c r="K264" s="468"/>
      <c r="L264" s="616"/>
      <c r="M264" s="467"/>
      <c r="N264" s="504"/>
      <c r="O264" s="468"/>
      <c r="P264" s="616"/>
      <c r="Q264" s="635"/>
      <c r="R264" s="636"/>
      <c r="S264" s="637"/>
      <c r="T264" s="629"/>
      <c r="U264" s="635"/>
      <c r="V264" s="636"/>
      <c r="W264" s="637"/>
      <c r="X264" s="629"/>
      <c r="Y264" s="467"/>
      <c r="Z264" s="504"/>
      <c r="AA264" s="468"/>
      <c r="AB264" s="616"/>
      <c r="AC264" s="635"/>
      <c r="AD264" s="636"/>
      <c r="AE264" s="637"/>
      <c r="AF264" s="629"/>
      <c r="AG264" s="635"/>
      <c r="AH264" s="636"/>
      <c r="AI264" s="637"/>
      <c r="AJ264" s="629"/>
      <c r="AK264" s="635"/>
      <c r="AL264" s="636"/>
      <c r="AM264" s="637"/>
      <c r="AN264" s="629"/>
      <c r="AO264" s="467"/>
      <c r="AP264" s="504"/>
      <c r="AQ264" s="468"/>
      <c r="AR264" s="616"/>
      <c r="AS264" s="630"/>
      <c r="AT264" s="630"/>
    </row>
    <row r="265">
      <c r="A265" s="467"/>
      <c r="B265" s="504"/>
      <c r="C265" s="468"/>
      <c r="D265" s="616"/>
      <c r="E265" s="467"/>
      <c r="F265" s="504"/>
      <c r="G265" s="468"/>
      <c r="H265" s="616"/>
      <c r="I265" s="467"/>
      <c r="J265" s="504"/>
      <c r="K265" s="468"/>
      <c r="L265" s="616"/>
      <c r="M265" s="467"/>
      <c r="N265" s="504"/>
      <c r="O265" s="468"/>
      <c r="P265" s="616"/>
      <c r="Q265" s="635"/>
      <c r="R265" s="636"/>
      <c r="S265" s="637"/>
      <c r="T265" s="629"/>
      <c r="U265" s="635"/>
      <c r="V265" s="636"/>
      <c r="W265" s="637"/>
      <c r="X265" s="629"/>
      <c r="Y265" s="467"/>
      <c r="Z265" s="504"/>
      <c r="AA265" s="468"/>
      <c r="AB265" s="616"/>
      <c r="AC265" s="635"/>
      <c r="AD265" s="636"/>
      <c r="AE265" s="637"/>
      <c r="AF265" s="629"/>
      <c r="AG265" s="635"/>
      <c r="AH265" s="636"/>
      <c r="AI265" s="637"/>
      <c r="AJ265" s="629"/>
      <c r="AK265" s="635"/>
      <c r="AL265" s="636"/>
      <c r="AM265" s="637"/>
      <c r="AN265" s="629"/>
      <c r="AO265" s="467"/>
      <c r="AP265" s="504"/>
      <c r="AQ265" s="468"/>
      <c r="AR265" s="616"/>
      <c r="AS265" s="630"/>
      <c r="AT265" s="630"/>
    </row>
    <row r="266">
      <c r="A266" s="467"/>
      <c r="B266" s="504"/>
      <c r="C266" s="468"/>
      <c r="D266" s="616"/>
      <c r="E266" s="467"/>
      <c r="F266" s="504"/>
      <c r="G266" s="468"/>
      <c r="H266" s="616"/>
      <c r="I266" s="467"/>
      <c r="J266" s="504"/>
      <c r="K266" s="468"/>
      <c r="L266" s="616"/>
      <c r="M266" s="467"/>
      <c r="N266" s="504"/>
      <c r="O266" s="468"/>
      <c r="P266" s="616"/>
      <c r="Q266" s="635"/>
      <c r="R266" s="636"/>
      <c r="S266" s="637"/>
      <c r="T266" s="629"/>
      <c r="U266" s="635"/>
      <c r="V266" s="636"/>
      <c r="W266" s="637"/>
      <c r="X266" s="629"/>
      <c r="Y266" s="467"/>
      <c r="Z266" s="504"/>
      <c r="AA266" s="468"/>
      <c r="AB266" s="616"/>
      <c r="AC266" s="635"/>
      <c r="AD266" s="636"/>
      <c r="AE266" s="637"/>
      <c r="AF266" s="629"/>
      <c r="AG266" s="635"/>
      <c r="AH266" s="636"/>
      <c r="AI266" s="637"/>
      <c r="AJ266" s="629"/>
      <c r="AK266" s="635"/>
      <c r="AL266" s="636"/>
      <c r="AM266" s="637"/>
      <c r="AN266" s="629"/>
      <c r="AO266" s="467"/>
      <c r="AP266" s="504"/>
      <c r="AQ266" s="468"/>
      <c r="AR266" s="616"/>
      <c r="AS266" s="630"/>
      <c r="AT266" s="630"/>
    </row>
    <row r="267">
      <c r="A267" s="467"/>
      <c r="B267" s="504"/>
      <c r="C267" s="468"/>
      <c r="D267" s="616"/>
      <c r="E267" s="467"/>
      <c r="F267" s="504"/>
      <c r="G267" s="468"/>
      <c r="H267" s="616"/>
      <c r="I267" s="467"/>
      <c r="J267" s="504"/>
      <c r="K267" s="468"/>
      <c r="L267" s="616"/>
      <c r="M267" s="467"/>
      <c r="N267" s="504"/>
      <c r="O267" s="468"/>
      <c r="P267" s="616"/>
      <c r="Q267" s="635"/>
      <c r="R267" s="636"/>
      <c r="S267" s="637"/>
      <c r="T267" s="629"/>
      <c r="U267" s="635"/>
      <c r="V267" s="636"/>
      <c r="W267" s="637"/>
      <c r="X267" s="629"/>
      <c r="Y267" s="467"/>
      <c r="Z267" s="504"/>
      <c r="AA267" s="468"/>
      <c r="AB267" s="616"/>
      <c r="AC267" s="635"/>
      <c r="AD267" s="636"/>
      <c r="AE267" s="637"/>
      <c r="AF267" s="629"/>
      <c r="AG267" s="635"/>
      <c r="AH267" s="636"/>
      <c r="AI267" s="637"/>
      <c r="AJ267" s="629"/>
      <c r="AK267" s="635"/>
      <c r="AL267" s="636"/>
      <c r="AM267" s="637"/>
      <c r="AN267" s="629"/>
      <c r="AO267" s="467"/>
      <c r="AP267" s="504"/>
      <c r="AQ267" s="468"/>
      <c r="AR267" s="616"/>
      <c r="AS267" s="630"/>
      <c r="AT267" s="630"/>
    </row>
    <row r="268">
      <c r="A268" s="467"/>
      <c r="B268" s="504"/>
      <c r="C268" s="468"/>
      <c r="D268" s="616"/>
      <c r="E268" s="467"/>
      <c r="F268" s="504"/>
      <c r="G268" s="468"/>
      <c r="H268" s="616"/>
      <c r="I268" s="467"/>
      <c r="J268" s="504"/>
      <c r="K268" s="468"/>
      <c r="L268" s="616"/>
      <c r="M268" s="467"/>
      <c r="N268" s="504"/>
      <c r="O268" s="468"/>
      <c r="P268" s="616"/>
      <c r="Q268" s="635"/>
      <c r="R268" s="636"/>
      <c r="S268" s="637"/>
      <c r="T268" s="629"/>
      <c r="U268" s="635"/>
      <c r="V268" s="636"/>
      <c r="W268" s="637"/>
      <c r="X268" s="629"/>
      <c r="Y268" s="467"/>
      <c r="Z268" s="504"/>
      <c r="AA268" s="468"/>
      <c r="AB268" s="616"/>
      <c r="AC268" s="635"/>
      <c r="AD268" s="636"/>
      <c r="AE268" s="637"/>
      <c r="AF268" s="629"/>
      <c r="AG268" s="635"/>
      <c r="AH268" s="636"/>
      <c r="AI268" s="637"/>
      <c r="AJ268" s="629"/>
      <c r="AK268" s="635"/>
      <c r="AL268" s="636"/>
      <c r="AM268" s="637"/>
      <c r="AN268" s="629"/>
      <c r="AO268" s="467"/>
      <c r="AP268" s="504"/>
      <c r="AQ268" s="468"/>
      <c r="AR268" s="616"/>
      <c r="AS268" s="630"/>
      <c r="AT268" s="630"/>
    </row>
    <row r="269">
      <c r="A269" s="467"/>
      <c r="B269" s="504"/>
      <c r="C269" s="468"/>
      <c r="D269" s="616"/>
      <c r="E269" s="467"/>
      <c r="F269" s="504"/>
      <c r="G269" s="468"/>
      <c r="H269" s="616"/>
      <c r="I269" s="467"/>
      <c r="J269" s="504"/>
      <c r="K269" s="468"/>
      <c r="L269" s="616"/>
      <c r="M269" s="467"/>
      <c r="N269" s="504"/>
      <c r="O269" s="468"/>
      <c r="P269" s="616"/>
      <c r="Q269" s="635"/>
      <c r="R269" s="636"/>
      <c r="S269" s="637"/>
      <c r="T269" s="629"/>
      <c r="U269" s="635"/>
      <c r="V269" s="636"/>
      <c r="W269" s="637"/>
      <c r="X269" s="629"/>
      <c r="Y269" s="467"/>
      <c r="Z269" s="504"/>
      <c r="AA269" s="468"/>
      <c r="AB269" s="616"/>
      <c r="AC269" s="635"/>
      <c r="AD269" s="636"/>
      <c r="AE269" s="637"/>
      <c r="AF269" s="629"/>
      <c r="AG269" s="635"/>
      <c r="AH269" s="636"/>
      <c r="AI269" s="637"/>
      <c r="AJ269" s="629"/>
      <c r="AK269" s="635"/>
      <c r="AL269" s="636"/>
      <c r="AM269" s="637"/>
      <c r="AN269" s="629"/>
      <c r="AO269" s="467"/>
      <c r="AP269" s="504"/>
      <c r="AQ269" s="468"/>
      <c r="AR269" s="616"/>
      <c r="AS269" s="630"/>
      <c r="AT269" s="630"/>
    </row>
    <row r="270">
      <c r="A270" s="467"/>
      <c r="B270" s="504"/>
      <c r="C270" s="468"/>
      <c r="D270" s="616"/>
      <c r="E270" s="467"/>
      <c r="F270" s="504"/>
      <c r="G270" s="468"/>
      <c r="H270" s="616"/>
      <c r="I270" s="467"/>
      <c r="J270" s="504"/>
      <c r="K270" s="468"/>
      <c r="L270" s="616"/>
      <c r="M270" s="467"/>
      <c r="N270" s="504"/>
      <c r="O270" s="468"/>
      <c r="P270" s="616"/>
      <c r="Q270" s="635"/>
      <c r="R270" s="636"/>
      <c r="S270" s="637"/>
      <c r="T270" s="629"/>
      <c r="U270" s="635"/>
      <c r="V270" s="636"/>
      <c r="W270" s="637"/>
      <c r="X270" s="629"/>
      <c r="Y270" s="467"/>
      <c r="Z270" s="504"/>
      <c r="AA270" s="468"/>
      <c r="AB270" s="616"/>
      <c r="AC270" s="635"/>
      <c r="AD270" s="636"/>
      <c r="AE270" s="637"/>
      <c r="AF270" s="629"/>
      <c r="AG270" s="635"/>
      <c r="AH270" s="636"/>
      <c r="AI270" s="637"/>
      <c r="AJ270" s="629"/>
      <c r="AK270" s="635"/>
      <c r="AL270" s="636"/>
      <c r="AM270" s="637"/>
      <c r="AN270" s="629"/>
      <c r="AO270" s="467"/>
      <c r="AP270" s="504"/>
      <c r="AQ270" s="468"/>
      <c r="AR270" s="616"/>
      <c r="AS270" s="630"/>
      <c r="AT270" s="630"/>
    </row>
    <row r="271">
      <c r="A271" s="467"/>
      <c r="B271" s="504"/>
      <c r="C271" s="468"/>
      <c r="D271" s="616"/>
      <c r="E271" s="467"/>
      <c r="F271" s="504"/>
      <c r="G271" s="468"/>
      <c r="H271" s="616"/>
      <c r="I271" s="467"/>
      <c r="J271" s="504"/>
      <c r="K271" s="468"/>
      <c r="L271" s="616"/>
      <c r="M271" s="467"/>
      <c r="N271" s="504"/>
      <c r="O271" s="468"/>
      <c r="P271" s="616"/>
      <c r="Q271" s="635"/>
      <c r="R271" s="636"/>
      <c r="S271" s="637"/>
      <c r="T271" s="629"/>
      <c r="U271" s="635"/>
      <c r="V271" s="636"/>
      <c r="W271" s="637"/>
      <c r="X271" s="629"/>
      <c r="Y271" s="467"/>
      <c r="Z271" s="504"/>
      <c r="AA271" s="468"/>
      <c r="AB271" s="616"/>
      <c r="AC271" s="635"/>
      <c r="AD271" s="636"/>
      <c r="AE271" s="637"/>
      <c r="AF271" s="629"/>
      <c r="AG271" s="635"/>
      <c r="AH271" s="636"/>
      <c r="AI271" s="637"/>
      <c r="AJ271" s="629"/>
      <c r="AK271" s="635"/>
      <c r="AL271" s="636"/>
      <c r="AM271" s="637"/>
      <c r="AN271" s="629"/>
      <c r="AO271" s="467"/>
      <c r="AP271" s="504"/>
      <c r="AQ271" s="468"/>
      <c r="AR271" s="616"/>
      <c r="AS271" s="630"/>
      <c r="AT271" s="630"/>
    </row>
    <row r="272">
      <c r="A272" s="467"/>
      <c r="B272" s="504"/>
      <c r="C272" s="468"/>
      <c r="D272" s="616"/>
      <c r="E272" s="467"/>
      <c r="F272" s="504"/>
      <c r="G272" s="468"/>
      <c r="H272" s="616"/>
      <c r="I272" s="467"/>
      <c r="J272" s="504"/>
      <c r="K272" s="468"/>
      <c r="L272" s="616"/>
      <c r="M272" s="467"/>
      <c r="N272" s="504"/>
      <c r="O272" s="468"/>
      <c r="P272" s="616"/>
      <c r="Q272" s="635"/>
      <c r="R272" s="636"/>
      <c r="S272" s="637"/>
      <c r="T272" s="629"/>
      <c r="U272" s="635"/>
      <c r="V272" s="636"/>
      <c r="W272" s="637"/>
      <c r="X272" s="629"/>
      <c r="Y272" s="467"/>
      <c r="Z272" s="504"/>
      <c r="AA272" s="468"/>
      <c r="AB272" s="616"/>
      <c r="AC272" s="635"/>
      <c r="AD272" s="636"/>
      <c r="AE272" s="637"/>
      <c r="AF272" s="629"/>
      <c r="AG272" s="635"/>
      <c r="AH272" s="636"/>
      <c r="AI272" s="637"/>
      <c r="AJ272" s="629"/>
      <c r="AK272" s="635"/>
      <c r="AL272" s="636"/>
      <c r="AM272" s="637"/>
      <c r="AN272" s="629"/>
      <c r="AO272" s="467"/>
      <c r="AP272" s="504"/>
      <c r="AQ272" s="468"/>
      <c r="AR272" s="616"/>
      <c r="AS272" s="630"/>
      <c r="AT272" s="630"/>
    </row>
    <row r="273">
      <c r="A273" s="467"/>
      <c r="B273" s="504"/>
      <c r="C273" s="468"/>
      <c r="D273" s="616"/>
      <c r="E273" s="467"/>
      <c r="F273" s="504"/>
      <c r="G273" s="468"/>
      <c r="H273" s="616"/>
      <c r="I273" s="467"/>
      <c r="J273" s="504"/>
      <c r="K273" s="468"/>
      <c r="L273" s="616"/>
      <c r="M273" s="467"/>
      <c r="N273" s="504"/>
      <c r="O273" s="468"/>
      <c r="P273" s="616"/>
      <c r="Q273" s="635"/>
      <c r="R273" s="636"/>
      <c r="S273" s="637"/>
      <c r="T273" s="629"/>
      <c r="U273" s="635"/>
      <c r="V273" s="636"/>
      <c r="W273" s="637"/>
      <c r="X273" s="629"/>
      <c r="Y273" s="467"/>
      <c r="Z273" s="504"/>
      <c r="AA273" s="468"/>
      <c r="AB273" s="616"/>
      <c r="AC273" s="635"/>
      <c r="AD273" s="636"/>
      <c r="AE273" s="637"/>
      <c r="AF273" s="629"/>
      <c r="AG273" s="635"/>
      <c r="AH273" s="636"/>
      <c r="AI273" s="637"/>
      <c r="AJ273" s="629"/>
      <c r="AK273" s="635"/>
      <c r="AL273" s="636"/>
      <c r="AM273" s="637"/>
      <c r="AN273" s="629"/>
      <c r="AO273" s="467"/>
      <c r="AP273" s="504"/>
      <c r="AQ273" s="468"/>
      <c r="AR273" s="616"/>
      <c r="AS273" s="630"/>
      <c r="AT273" s="630"/>
    </row>
    <row r="274">
      <c r="A274" s="467"/>
      <c r="B274" s="504"/>
      <c r="C274" s="468"/>
      <c r="D274" s="616"/>
      <c r="E274" s="467"/>
      <c r="F274" s="504"/>
      <c r="G274" s="468"/>
      <c r="H274" s="616"/>
      <c r="I274" s="467"/>
      <c r="J274" s="504"/>
      <c r="K274" s="468"/>
      <c r="L274" s="616"/>
      <c r="M274" s="467"/>
      <c r="N274" s="504"/>
      <c r="O274" s="468"/>
      <c r="P274" s="616"/>
      <c r="Q274" s="635"/>
      <c r="R274" s="636"/>
      <c r="S274" s="637"/>
      <c r="T274" s="629"/>
      <c r="U274" s="635"/>
      <c r="V274" s="636"/>
      <c r="W274" s="637"/>
      <c r="X274" s="629"/>
      <c r="Y274" s="467"/>
      <c r="Z274" s="504"/>
      <c r="AA274" s="468"/>
      <c r="AB274" s="616"/>
      <c r="AC274" s="635"/>
      <c r="AD274" s="636"/>
      <c r="AE274" s="637"/>
      <c r="AF274" s="629"/>
      <c r="AG274" s="635"/>
      <c r="AH274" s="636"/>
      <c r="AI274" s="637"/>
      <c r="AJ274" s="629"/>
      <c r="AK274" s="635"/>
      <c r="AL274" s="636"/>
      <c r="AM274" s="637"/>
      <c r="AN274" s="629"/>
      <c r="AO274" s="467"/>
      <c r="AP274" s="504"/>
      <c r="AQ274" s="468"/>
      <c r="AR274" s="616"/>
      <c r="AS274" s="630"/>
      <c r="AT274" s="630"/>
    </row>
    <row r="275">
      <c r="A275" s="467"/>
      <c r="B275" s="504"/>
      <c r="C275" s="468"/>
      <c r="D275" s="616"/>
      <c r="E275" s="467"/>
      <c r="F275" s="504"/>
      <c r="G275" s="468"/>
      <c r="H275" s="616"/>
      <c r="I275" s="467"/>
      <c r="J275" s="504"/>
      <c r="K275" s="468"/>
      <c r="L275" s="616"/>
      <c r="M275" s="467"/>
      <c r="N275" s="504"/>
      <c r="O275" s="468"/>
      <c r="P275" s="616"/>
      <c r="Q275" s="635"/>
      <c r="R275" s="636"/>
      <c r="S275" s="637"/>
      <c r="T275" s="629"/>
      <c r="U275" s="635"/>
      <c r="V275" s="636"/>
      <c r="W275" s="637"/>
      <c r="X275" s="629"/>
      <c r="Y275" s="467"/>
      <c r="Z275" s="504"/>
      <c r="AA275" s="468"/>
      <c r="AB275" s="616"/>
      <c r="AC275" s="635"/>
      <c r="AD275" s="636"/>
      <c r="AE275" s="637"/>
      <c r="AF275" s="629"/>
      <c r="AG275" s="635"/>
      <c r="AH275" s="636"/>
      <c r="AI275" s="637"/>
      <c r="AJ275" s="629"/>
      <c r="AK275" s="635"/>
      <c r="AL275" s="636"/>
      <c r="AM275" s="637"/>
      <c r="AN275" s="629"/>
      <c r="AO275" s="467"/>
      <c r="AP275" s="504"/>
      <c r="AQ275" s="468"/>
      <c r="AR275" s="616"/>
      <c r="AS275" s="630"/>
      <c r="AT275" s="630"/>
    </row>
    <row r="276">
      <c r="A276" s="467"/>
      <c r="B276" s="504"/>
      <c r="C276" s="468"/>
      <c r="D276" s="616"/>
      <c r="E276" s="467"/>
      <c r="F276" s="504"/>
      <c r="G276" s="468"/>
      <c r="H276" s="616"/>
      <c r="I276" s="467"/>
      <c r="J276" s="504"/>
      <c r="K276" s="468"/>
      <c r="L276" s="616"/>
      <c r="M276" s="467"/>
      <c r="N276" s="504"/>
      <c r="O276" s="468"/>
      <c r="P276" s="616"/>
      <c r="Q276" s="635"/>
      <c r="R276" s="636"/>
      <c r="S276" s="637"/>
      <c r="T276" s="629"/>
      <c r="U276" s="635"/>
      <c r="V276" s="636"/>
      <c r="W276" s="637"/>
      <c r="X276" s="629"/>
      <c r="Y276" s="467"/>
      <c r="Z276" s="504"/>
      <c r="AA276" s="468"/>
      <c r="AB276" s="616"/>
      <c r="AC276" s="635"/>
      <c r="AD276" s="636"/>
      <c r="AE276" s="637"/>
      <c r="AF276" s="629"/>
      <c r="AG276" s="635"/>
      <c r="AH276" s="636"/>
      <c r="AI276" s="637"/>
      <c r="AJ276" s="629"/>
      <c r="AK276" s="635"/>
      <c r="AL276" s="636"/>
      <c r="AM276" s="637"/>
      <c r="AN276" s="629"/>
      <c r="AO276" s="467"/>
      <c r="AP276" s="504"/>
      <c r="AQ276" s="468"/>
      <c r="AR276" s="616"/>
      <c r="AS276" s="630"/>
      <c r="AT276" s="630"/>
    </row>
    <row r="277">
      <c r="A277" s="467"/>
      <c r="B277" s="504"/>
      <c r="C277" s="468"/>
      <c r="D277" s="616"/>
      <c r="E277" s="467"/>
      <c r="F277" s="504"/>
      <c r="G277" s="468"/>
      <c r="H277" s="616"/>
      <c r="I277" s="467"/>
      <c r="J277" s="504"/>
      <c r="K277" s="468"/>
      <c r="L277" s="616"/>
      <c r="M277" s="467"/>
      <c r="N277" s="504"/>
      <c r="O277" s="468"/>
      <c r="P277" s="616"/>
      <c r="Q277" s="635"/>
      <c r="R277" s="636"/>
      <c r="S277" s="637"/>
      <c r="T277" s="629"/>
      <c r="U277" s="635"/>
      <c r="V277" s="636"/>
      <c r="W277" s="637"/>
      <c r="X277" s="629"/>
      <c r="Y277" s="467"/>
      <c r="Z277" s="504"/>
      <c r="AA277" s="468"/>
      <c r="AB277" s="616"/>
      <c r="AC277" s="635"/>
      <c r="AD277" s="636"/>
      <c r="AE277" s="637"/>
      <c r="AF277" s="629"/>
      <c r="AG277" s="635"/>
      <c r="AH277" s="636"/>
      <c r="AI277" s="637"/>
      <c r="AJ277" s="629"/>
      <c r="AK277" s="635"/>
      <c r="AL277" s="636"/>
      <c r="AM277" s="637"/>
      <c r="AN277" s="629"/>
      <c r="AO277" s="467"/>
      <c r="AP277" s="504"/>
      <c r="AQ277" s="468"/>
      <c r="AR277" s="616"/>
      <c r="AS277" s="630"/>
      <c r="AT277" s="630"/>
    </row>
    <row r="278">
      <c r="A278" s="467"/>
      <c r="B278" s="504"/>
      <c r="C278" s="468"/>
      <c r="D278" s="616"/>
      <c r="E278" s="467"/>
      <c r="F278" s="504"/>
      <c r="G278" s="468"/>
      <c r="H278" s="616"/>
      <c r="I278" s="467"/>
      <c r="J278" s="504"/>
      <c r="K278" s="468"/>
      <c r="L278" s="616"/>
      <c r="M278" s="467"/>
      <c r="N278" s="504"/>
      <c r="O278" s="468"/>
      <c r="P278" s="616"/>
      <c r="Q278" s="635"/>
      <c r="R278" s="636"/>
      <c r="S278" s="637"/>
      <c r="T278" s="629"/>
      <c r="U278" s="635"/>
      <c r="V278" s="636"/>
      <c r="W278" s="637"/>
      <c r="X278" s="629"/>
      <c r="Y278" s="467"/>
      <c r="Z278" s="504"/>
      <c r="AA278" s="468"/>
      <c r="AB278" s="616"/>
      <c r="AC278" s="635"/>
      <c r="AD278" s="636"/>
      <c r="AE278" s="637"/>
      <c r="AF278" s="629"/>
      <c r="AG278" s="635"/>
      <c r="AH278" s="636"/>
      <c r="AI278" s="637"/>
      <c r="AJ278" s="629"/>
      <c r="AK278" s="635"/>
      <c r="AL278" s="636"/>
      <c r="AM278" s="637"/>
      <c r="AN278" s="629"/>
      <c r="AO278" s="467"/>
      <c r="AP278" s="504"/>
      <c r="AQ278" s="468"/>
      <c r="AR278" s="616"/>
      <c r="AS278" s="630"/>
      <c r="AT278" s="630"/>
    </row>
    <row r="279">
      <c r="A279" s="467"/>
      <c r="B279" s="504"/>
      <c r="C279" s="468"/>
      <c r="D279" s="616"/>
      <c r="E279" s="467"/>
      <c r="F279" s="504"/>
      <c r="G279" s="468"/>
      <c r="H279" s="616"/>
      <c r="I279" s="467"/>
      <c r="J279" s="504"/>
      <c r="K279" s="468"/>
      <c r="L279" s="616"/>
      <c r="M279" s="467"/>
      <c r="N279" s="504"/>
      <c r="O279" s="468"/>
      <c r="P279" s="616"/>
      <c r="Q279" s="635"/>
      <c r="R279" s="636"/>
      <c r="S279" s="637"/>
      <c r="T279" s="629"/>
      <c r="U279" s="635"/>
      <c r="V279" s="636"/>
      <c r="W279" s="637"/>
      <c r="X279" s="629"/>
      <c r="Y279" s="467"/>
      <c r="Z279" s="504"/>
      <c r="AA279" s="468"/>
      <c r="AB279" s="616"/>
      <c r="AC279" s="635"/>
      <c r="AD279" s="636"/>
      <c r="AE279" s="637"/>
      <c r="AF279" s="629"/>
      <c r="AG279" s="635"/>
      <c r="AH279" s="636"/>
      <c r="AI279" s="637"/>
      <c r="AJ279" s="629"/>
      <c r="AK279" s="635"/>
      <c r="AL279" s="636"/>
      <c r="AM279" s="637"/>
      <c r="AN279" s="629"/>
      <c r="AO279" s="467"/>
      <c r="AP279" s="504"/>
      <c r="AQ279" s="468"/>
      <c r="AR279" s="616"/>
      <c r="AS279" s="630"/>
      <c r="AT279" s="630"/>
    </row>
    <row r="280">
      <c r="A280" s="467"/>
      <c r="B280" s="504"/>
      <c r="C280" s="468"/>
      <c r="D280" s="616"/>
      <c r="E280" s="467"/>
      <c r="F280" s="504"/>
      <c r="G280" s="468"/>
      <c r="H280" s="616"/>
      <c r="I280" s="467"/>
      <c r="J280" s="504"/>
      <c r="K280" s="468"/>
      <c r="L280" s="616"/>
      <c r="M280" s="467"/>
      <c r="N280" s="504"/>
      <c r="O280" s="468"/>
      <c r="P280" s="616"/>
      <c r="Q280" s="635"/>
      <c r="R280" s="636"/>
      <c r="S280" s="637"/>
      <c r="T280" s="629"/>
      <c r="U280" s="635"/>
      <c r="V280" s="636"/>
      <c r="W280" s="637"/>
      <c r="X280" s="629"/>
      <c r="Y280" s="467"/>
      <c r="Z280" s="504"/>
      <c r="AA280" s="468"/>
      <c r="AB280" s="616"/>
      <c r="AC280" s="635"/>
      <c r="AD280" s="636"/>
      <c r="AE280" s="637"/>
      <c r="AF280" s="629"/>
      <c r="AG280" s="635"/>
      <c r="AH280" s="636"/>
      <c r="AI280" s="637"/>
      <c r="AJ280" s="629"/>
      <c r="AK280" s="635"/>
      <c r="AL280" s="636"/>
      <c r="AM280" s="637"/>
      <c r="AN280" s="629"/>
      <c r="AO280" s="467"/>
      <c r="AP280" s="504"/>
      <c r="AQ280" s="468"/>
      <c r="AR280" s="616"/>
      <c r="AS280" s="630"/>
      <c r="AT280" s="630"/>
    </row>
    <row r="281">
      <c r="A281" s="467"/>
      <c r="B281" s="504"/>
      <c r="C281" s="468"/>
      <c r="D281" s="616"/>
      <c r="E281" s="467"/>
      <c r="F281" s="504"/>
      <c r="G281" s="468"/>
      <c r="H281" s="616"/>
      <c r="I281" s="467"/>
      <c r="J281" s="504"/>
      <c r="K281" s="468"/>
      <c r="L281" s="616"/>
      <c r="M281" s="467"/>
      <c r="N281" s="504"/>
      <c r="O281" s="468"/>
      <c r="P281" s="616"/>
      <c r="Q281" s="635"/>
      <c r="R281" s="636"/>
      <c r="S281" s="637"/>
      <c r="T281" s="629"/>
      <c r="U281" s="635"/>
      <c r="V281" s="636"/>
      <c r="W281" s="637"/>
      <c r="X281" s="629"/>
      <c r="Y281" s="467"/>
      <c r="Z281" s="504"/>
      <c r="AA281" s="468"/>
      <c r="AB281" s="616"/>
      <c r="AC281" s="635"/>
      <c r="AD281" s="636"/>
      <c r="AE281" s="637"/>
      <c r="AF281" s="629"/>
      <c r="AG281" s="635"/>
      <c r="AH281" s="636"/>
      <c r="AI281" s="637"/>
      <c r="AJ281" s="629"/>
      <c r="AK281" s="435"/>
      <c r="AL281" s="636"/>
      <c r="AM281" s="637"/>
      <c r="AN281" s="629"/>
      <c r="AO281" s="467"/>
      <c r="AP281" s="504"/>
      <c r="AQ281" s="468"/>
      <c r="AR281" s="616"/>
      <c r="AS281" s="630"/>
      <c r="AT281" s="630"/>
    </row>
    <row r="282">
      <c r="A282" s="467"/>
      <c r="B282" s="504"/>
      <c r="C282" s="468"/>
      <c r="D282" s="616"/>
      <c r="E282" s="467"/>
      <c r="F282" s="504"/>
      <c r="G282" s="468"/>
      <c r="H282" s="616"/>
      <c r="I282" s="467"/>
      <c r="J282" s="504"/>
      <c r="K282" s="468"/>
      <c r="L282" s="616"/>
      <c r="M282" s="467"/>
      <c r="N282" s="504"/>
      <c r="O282" s="468"/>
      <c r="P282" s="616"/>
      <c r="Q282" s="635"/>
      <c r="R282" s="636"/>
      <c r="S282" s="637"/>
      <c r="T282" s="629"/>
      <c r="U282" s="635"/>
      <c r="V282" s="636"/>
      <c r="W282" s="637"/>
      <c r="X282" s="629"/>
      <c r="Y282" s="467"/>
      <c r="Z282" s="504"/>
      <c r="AA282" s="468"/>
      <c r="AB282" s="616"/>
      <c r="AC282" s="635"/>
      <c r="AD282" s="636"/>
      <c r="AE282" s="637"/>
      <c r="AF282" s="629"/>
      <c r="AG282" s="635"/>
      <c r="AH282" s="636"/>
      <c r="AI282" s="637"/>
      <c r="AJ282" s="629"/>
      <c r="AK282" s="435"/>
      <c r="AL282" s="636"/>
      <c r="AM282" s="637"/>
      <c r="AN282" s="629"/>
      <c r="AO282" s="467"/>
      <c r="AP282" s="504"/>
      <c r="AQ282" s="468"/>
      <c r="AR282" s="616"/>
      <c r="AS282" s="630"/>
      <c r="AT282" s="630"/>
    </row>
    <row r="283">
      <c r="A283" s="467"/>
      <c r="B283" s="504"/>
      <c r="C283" s="468"/>
      <c r="D283" s="616"/>
      <c r="E283" s="467"/>
      <c r="F283" s="504"/>
      <c r="G283" s="468"/>
      <c r="H283" s="616"/>
      <c r="I283" s="467"/>
      <c r="J283" s="504"/>
      <c r="K283" s="468"/>
      <c r="L283" s="616"/>
      <c r="M283" s="467"/>
      <c r="N283" s="504"/>
      <c r="O283" s="468"/>
      <c r="P283" s="616"/>
      <c r="Q283" s="635"/>
      <c r="R283" s="636"/>
      <c r="S283" s="637"/>
      <c r="T283" s="629"/>
      <c r="U283" s="635"/>
      <c r="V283" s="636"/>
      <c r="W283" s="637"/>
      <c r="X283" s="629"/>
      <c r="Y283" s="467"/>
      <c r="Z283" s="504"/>
      <c r="AA283" s="468"/>
      <c r="AB283" s="616"/>
      <c r="AC283" s="635"/>
      <c r="AD283" s="636"/>
      <c r="AE283" s="637"/>
      <c r="AF283" s="629"/>
      <c r="AG283" s="635"/>
      <c r="AH283" s="636"/>
      <c r="AI283" s="637"/>
      <c r="AJ283" s="629"/>
      <c r="AK283" s="435"/>
      <c r="AL283" s="636"/>
      <c r="AM283" s="637"/>
      <c r="AN283" s="629"/>
      <c r="AO283" s="467"/>
      <c r="AP283" s="504"/>
      <c r="AQ283" s="468"/>
      <c r="AR283" s="616"/>
      <c r="AS283" s="630"/>
      <c r="AT283" s="630"/>
    </row>
    <row r="284">
      <c r="A284" s="467"/>
      <c r="B284" s="504"/>
      <c r="C284" s="468"/>
      <c r="D284" s="616"/>
      <c r="E284" s="467"/>
      <c r="F284" s="504"/>
      <c r="G284" s="468"/>
      <c r="H284" s="616"/>
      <c r="I284" s="467"/>
      <c r="J284" s="504"/>
      <c r="K284" s="468"/>
      <c r="L284" s="616"/>
      <c r="M284" s="467"/>
      <c r="N284" s="504"/>
      <c r="O284" s="468"/>
      <c r="P284" s="616"/>
      <c r="Q284" s="635"/>
      <c r="R284" s="636"/>
      <c r="S284" s="637"/>
      <c r="T284" s="629"/>
      <c r="U284" s="635"/>
      <c r="V284" s="636"/>
      <c r="W284" s="637"/>
      <c r="X284" s="629"/>
      <c r="Y284" s="467"/>
      <c r="Z284" s="504"/>
      <c r="AA284" s="468"/>
      <c r="AB284" s="616"/>
      <c r="AC284" s="635"/>
      <c r="AD284" s="636"/>
      <c r="AE284" s="637"/>
      <c r="AF284" s="629"/>
      <c r="AG284" s="635"/>
      <c r="AH284" s="636"/>
      <c r="AI284" s="637"/>
      <c r="AJ284" s="629"/>
      <c r="AK284" s="435"/>
      <c r="AL284" s="636"/>
      <c r="AM284" s="637"/>
      <c r="AN284" s="629"/>
      <c r="AO284" s="467"/>
      <c r="AP284" s="504"/>
      <c r="AQ284" s="468"/>
      <c r="AR284" s="616"/>
      <c r="AS284" s="630"/>
      <c r="AT284" s="630"/>
    </row>
    <row r="285">
      <c r="A285" s="467"/>
      <c r="B285" s="504"/>
      <c r="C285" s="468"/>
      <c r="D285" s="616"/>
      <c r="E285" s="467"/>
      <c r="F285" s="504"/>
      <c r="G285" s="468"/>
      <c r="H285" s="616"/>
      <c r="I285" s="467"/>
      <c r="J285" s="504"/>
      <c r="K285" s="468"/>
      <c r="L285" s="616"/>
      <c r="M285" s="467"/>
      <c r="N285" s="504"/>
      <c r="O285" s="468"/>
      <c r="P285" s="616"/>
      <c r="Q285" s="635"/>
      <c r="R285" s="636"/>
      <c r="S285" s="637"/>
      <c r="T285" s="629"/>
      <c r="U285" s="635"/>
      <c r="V285" s="636"/>
      <c r="W285" s="637"/>
      <c r="X285" s="629"/>
      <c r="Y285" s="467"/>
      <c r="Z285" s="504"/>
      <c r="AA285" s="468"/>
      <c r="AB285" s="616"/>
      <c r="AC285" s="635"/>
      <c r="AD285" s="636"/>
      <c r="AE285" s="637"/>
      <c r="AF285" s="629"/>
      <c r="AG285" s="635"/>
      <c r="AH285" s="636"/>
      <c r="AI285" s="637"/>
      <c r="AJ285" s="629"/>
      <c r="AK285" s="435"/>
      <c r="AL285" s="636"/>
      <c r="AM285" s="637"/>
      <c r="AN285" s="629"/>
      <c r="AO285" s="467"/>
      <c r="AP285" s="504"/>
      <c r="AQ285" s="468"/>
      <c r="AR285" s="616"/>
      <c r="AS285" s="630"/>
      <c r="AT285" s="630"/>
    </row>
    <row r="286">
      <c r="A286" s="467"/>
      <c r="B286" s="504"/>
      <c r="C286" s="468"/>
      <c r="D286" s="616"/>
      <c r="E286" s="467"/>
      <c r="F286" s="504"/>
      <c r="G286" s="468"/>
      <c r="H286" s="616"/>
      <c r="I286" s="467"/>
      <c r="J286" s="504"/>
      <c r="K286" s="468"/>
      <c r="L286" s="616"/>
      <c r="M286" s="467"/>
      <c r="N286" s="504"/>
      <c r="O286" s="468"/>
      <c r="P286" s="616"/>
      <c r="Q286" s="635"/>
      <c r="R286" s="636"/>
      <c r="S286" s="637"/>
      <c r="T286" s="629"/>
      <c r="U286" s="635"/>
      <c r="V286" s="636"/>
      <c r="W286" s="637"/>
      <c r="X286" s="629"/>
      <c r="Y286" s="467"/>
      <c r="Z286" s="504"/>
      <c r="AA286" s="468"/>
      <c r="AB286" s="616"/>
      <c r="AC286" s="635"/>
      <c r="AD286" s="636"/>
      <c r="AE286" s="637"/>
      <c r="AF286" s="629"/>
      <c r="AG286" s="635"/>
      <c r="AH286" s="636"/>
      <c r="AI286" s="637"/>
      <c r="AJ286" s="629"/>
      <c r="AK286" s="435"/>
      <c r="AL286" s="636"/>
      <c r="AM286" s="637"/>
      <c r="AN286" s="629"/>
      <c r="AO286" s="467"/>
      <c r="AP286" s="504"/>
      <c r="AQ286" s="468"/>
      <c r="AR286" s="616"/>
      <c r="AS286" s="630"/>
      <c r="AT286" s="630"/>
    </row>
    <row r="287">
      <c r="A287" s="467"/>
      <c r="B287" s="504"/>
      <c r="C287" s="468"/>
      <c r="D287" s="616"/>
      <c r="E287" s="467"/>
      <c r="F287" s="504"/>
      <c r="G287" s="468"/>
      <c r="H287" s="616"/>
      <c r="I287" s="467"/>
      <c r="J287" s="504"/>
      <c r="K287" s="468"/>
      <c r="L287" s="616"/>
      <c r="M287" s="467"/>
      <c r="N287" s="504"/>
      <c r="O287" s="468"/>
      <c r="P287" s="616"/>
      <c r="Q287" s="635"/>
      <c r="R287" s="636"/>
      <c r="S287" s="637"/>
      <c r="T287" s="629"/>
      <c r="U287" s="635"/>
      <c r="V287" s="636"/>
      <c r="W287" s="637"/>
      <c r="X287" s="629"/>
      <c r="Y287" s="467"/>
      <c r="Z287" s="504"/>
      <c r="AA287" s="468"/>
      <c r="AB287" s="616"/>
      <c r="AC287" s="635"/>
      <c r="AD287" s="636"/>
      <c r="AE287" s="637"/>
      <c r="AF287" s="629"/>
      <c r="AG287" s="635"/>
      <c r="AH287" s="636"/>
      <c r="AI287" s="637"/>
      <c r="AJ287" s="629"/>
      <c r="AK287" s="435"/>
      <c r="AL287" s="636"/>
      <c r="AM287" s="637"/>
      <c r="AN287" s="629"/>
      <c r="AO287" s="467"/>
      <c r="AP287" s="504"/>
      <c r="AQ287" s="468"/>
      <c r="AR287" s="616"/>
      <c r="AS287" s="630"/>
      <c r="AT287" s="630"/>
    </row>
    <row r="288">
      <c r="A288" s="467"/>
      <c r="B288" s="504"/>
      <c r="C288" s="468"/>
      <c r="D288" s="616"/>
      <c r="E288" s="467"/>
      <c r="F288" s="504"/>
      <c r="G288" s="468"/>
      <c r="H288" s="616"/>
      <c r="I288" s="467"/>
      <c r="J288" s="504"/>
      <c r="K288" s="468"/>
      <c r="L288" s="616"/>
      <c r="M288" s="467"/>
      <c r="N288" s="504"/>
      <c r="O288" s="468"/>
      <c r="P288" s="616"/>
      <c r="Q288" s="635"/>
      <c r="R288" s="636"/>
      <c r="S288" s="637"/>
      <c r="T288" s="629"/>
      <c r="U288" s="635"/>
      <c r="V288" s="636"/>
      <c r="W288" s="637"/>
      <c r="X288" s="629"/>
      <c r="Y288" s="467"/>
      <c r="Z288" s="504"/>
      <c r="AA288" s="468"/>
      <c r="AB288" s="616"/>
      <c r="AC288" s="635"/>
      <c r="AD288" s="636"/>
      <c r="AE288" s="637"/>
      <c r="AF288" s="629"/>
      <c r="AG288" s="635"/>
      <c r="AH288" s="636"/>
      <c r="AI288" s="637"/>
      <c r="AJ288" s="629"/>
      <c r="AK288" s="435"/>
      <c r="AL288" s="636"/>
      <c r="AM288" s="637"/>
      <c r="AN288" s="629"/>
      <c r="AO288" s="467"/>
      <c r="AP288" s="504"/>
      <c r="AQ288" s="468"/>
      <c r="AR288" s="616"/>
      <c r="AS288" s="630"/>
      <c r="AT288" s="630"/>
    </row>
    <row r="289">
      <c r="A289" s="467"/>
      <c r="B289" s="504"/>
      <c r="C289" s="468"/>
      <c r="D289" s="616"/>
      <c r="E289" s="467"/>
      <c r="F289" s="504"/>
      <c r="G289" s="468"/>
      <c r="H289" s="616"/>
      <c r="I289" s="467"/>
      <c r="J289" s="504"/>
      <c r="K289" s="468"/>
      <c r="L289" s="616"/>
      <c r="M289" s="467"/>
      <c r="N289" s="504"/>
      <c r="O289" s="468"/>
      <c r="P289" s="616"/>
      <c r="Q289" s="635"/>
      <c r="R289" s="636"/>
      <c r="S289" s="637"/>
      <c r="T289" s="629"/>
      <c r="U289" s="635"/>
      <c r="V289" s="636"/>
      <c r="W289" s="637"/>
      <c r="X289" s="629"/>
      <c r="Y289" s="467"/>
      <c r="Z289" s="504"/>
      <c r="AA289" s="468"/>
      <c r="AB289" s="616"/>
      <c r="AC289" s="635"/>
      <c r="AD289" s="636"/>
      <c r="AE289" s="637"/>
      <c r="AF289" s="629"/>
      <c r="AG289" s="635"/>
      <c r="AH289" s="636"/>
      <c r="AI289" s="637"/>
      <c r="AJ289" s="629"/>
      <c r="AK289" s="435"/>
      <c r="AL289" s="636"/>
      <c r="AM289" s="637"/>
      <c r="AN289" s="629"/>
      <c r="AO289" s="467"/>
      <c r="AP289" s="504"/>
      <c r="AQ289" s="468"/>
      <c r="AR289" s="616"/>
      <c r="AS289" s="630"/>
      <c r="AT289" s="630"/>
    </row>
    <row r="290">
      <c r="A290" s="467"/>
      <c r="B290" s="504"/>
      <c r="C290" s="468"/>
      <c r="D290" s="616"/>
      <c r="E290" s="467"/>
      <c r="F290" s="504"/>
      <c r="G290" s="468"/>
      <c r="H290" s="616"/>
      <c r="I290" s="467"/>
      <c r="J290" s="504"/>
      <c r="K290" s="468"/>
      <c r="L290" s="616"/>
      <c r="M290" s="467"/>
      <c r="N290" s="504"/>
      <c r="O290" s="468"/>
      <c r="P290" s="616"/>
      <c r="Q290" s="635"/>
      <c r="R290" s="636"/>
      <c r="S290" s="637"/>
      <c r="T290" s="629"/>
      <c r="U290" s="635"/>
      <c r="V290" s="636"/>
      <c r="W290" s="637"/>
      <c r="X290" s="629"/>
      <c r="Y290" s="467"/>
      <c r="Z290" s="504"/>
      <c r="AA290" s="468"/>
      <c r="AB290" s="616"/>
      <c r="AC290" s="635"/>
      <c r="AD290" s="636"/>
      <c r="AE290" s="637"/>
      <c r="AF290" s="629"/>
      <c r="AG290" s="635"/>
      <c r="AH290" s="636"/>
      <c r="AI290" s="637"/>
      <c r="AJ290" s="629"/>
      <c r="AK290" s="435"/>
      <c r="AL290" s="636"/>
      <c r="AM290" s="637"/>
      <c r="AN290" s="629"/>
      <c r="AO290" s="467"/>
      <c r="AP290" s="504"/>
      <c r="AQ290" s="468"/>
      <c r="AR290" s="616"/>
      <c r="AS290" s="630"/>
      <c r="AT290" s="630"/>
    </row>
    <row r="291">
      <c r="A291" s="467"/>
      <c r="B291" s="504"/>
      <c r="C291" s="468"/>
      <c r="D291" s="616"/>
      <c r="E291" s="467"/>
      <c r="F291" s="504"/>
      <c r="G291" s="468"/>
      <c r="H291" s="616"/>
      <c r="I291" s="467"/>
      <c r="J291" s="504"/>
      <c r="K291" s="468"/>
      <c r="L291" s="616"/>
      <c r="M291" s="467"/>
      <c r="N291" s="504"/>
      <c r="O291" s="468"/>
      <c r="P291" s="616"/>
      <c r="Q291" s="635"/>
      <c r="R291" s="636"/>
      <c r="S291" s="637"/>
      <c r="T291" s="629"/>
      <c r="U291" s="635"/>
      <c r="V291" s="636"/>
      <c r="W291" s="637"/>
      <c r="X291" s="629"/>
      <c r="Y291" s="467"/>
      <c r="Z291" s="504"/>
      <c r="AA291" s="468"/>
      <c r="AB291" s="616"/>
      <c r="AC291" s="635"/>
      <c r="AD291" s="636"/>
      <c r="AE291" s="637"/>
      <c r="AF291" s="629"/>
      <c r="AG291" s="635"/>
      <c r="AH291" s="636"/>
      <c r="AI291" s="637"/>
      <c r="AJ291" s="629"/>
      <c r="AK291" s="435"/>
      <c r="AL291" s="636"/>
      <c r="AM291" s="637"/>
      <c r="AN291" s="629"/>
      <c r="AO291" s="467"/>
      <c r="AP291" s="504"/>
      <c r="AQ291" s="468"/>
      <c r="AR291" s="616"/>
      <c r="AS291" s="630"/>
      <c r="AT291" s="630"/>
    </row>
    <row r="292">
      <c r="A292" s="467"/>
      <c r="B292" s="504"/>
      <c r="C292" s="468"/>
      <c r="D292" s="616"/>
      <c r="E292" s="467"/>
      <c r="F292" s="504"/>
      <c r="G292" s="468"/>
      <c r="H292" s="616"/>
      <c r="I292" s="467"/>
      <c r="J292" s="504"/>
      <c r="K292" s="468"/>
      <c r="L292" s="616"/>
      <c r="M292" s="467"/>
      <c r="N292" s="504"/>
      <c r="O292" s="468"/>
      <c r="P292" s="616"/>
      <c r="Q292" s="635"/>
      <c r="R292" s="636"/>
      <c r="S292" s="637"/>
      <c r="T292" s="629"/>
      <c r="U292" s="635"/>
      <c r="V292" s="636"/>
      <c r="W292" s="637"/>
      <c r="X292" s="629"/>
      <c r="Y292" s="467"/>
      <c r="Z292" s="504"/>
      <c r="AA292" s="468"/>
      <c r="AB292" s="616"/>
      <c r="AC292" s="635"/>
      <c r="AD292" s="636"/>
      <c r="AE292" s="637"/>
      <c r="AF292" s="629"/>
      <c r="AG292" s="635"/>
      <c r="AH292" s="636"/>
      <c r="AI292" s="637"/>
      <c r="AJ292" s="629"/>
      <c r="AK292" s="435"/>
      <c r="AL292" s="435"/>
      <c r="AM292" s="435"/>
      <c r="AN292" s="435"/>
      <c r="AO292" s="467"/>
      <c r="AP292" s="504"/>
      <c r="AQ292" s="468"/>
      <c r="AR292" s="616"/>
      <c r="AS292" s="630"/>
      <c r="AT292" s="630"/>
    </row>
    <row r="293">
      <c r="A293" s="467"/>
      <c r="B293" s="504"/>
      <c r="C293" s="468"/>
      <c r="D293" s="616"/>
      <c r="E293" s="467"/>
      <c r="F293" s="504"/>
      <c r="G293" s="468"/>
      <c r="H293" s="616"/>
      <c r="I293" s="467"/>
      <c r="J293" s="504"/>
      <c r="K293" s="468"/>
      <c r="L293" s="616"/>
      <c r="M293" s="467"/>
      <c r="N293" s="504"/>
      <c r="O293" s="468"/>
      <c r="P293" s="616"/>
      <c r="Q293" s="635"/>
      <c r="R293" s="636"/>
      <c r="S293" s="637"/>
      <c r="T293" s="629"/>
      <c r="U293" s="635"/>
      <c r="V293" s="636"/>
      <c r="W293" s="637"/>
      <c r="X293" s="629"/>
      <c r="Y293" s="467"/>
      <c r="Z293" s="504"/>
      <c r="AA293" s="468"/>
      <c r="AB293" s="616"/>
      <c r="AC293" s="635"/>
      <c r="AD293" s="636"/>
      <c r="AE293" s="637"/>
      <c r="AF293" s="629"/>
      <c r="AG293" s="635"/>
      <c r="AH293" s="636"/>
      <c r="AI293" s="637"/>
      <c r="AJ293" s="629"/>
      <c r="AK293" s="435"/>
      <c r="AL293" s="435"/>
      <c r="AM293" s="435"/>
      <c r="AN293" s="435"/>
      <c r="AO293" s="467"/>
      <c r="AP293" s="504"/>
      <c r="AQ293" s="468"/>
      <c r="AR293" s="616"/>
      <c r="AS293" s="630"/>
      <c r="AT293" s="630"/>
    </row>
    <row r="294">
      <c r="A294" s="467"/>
      <c r="B294" s="504"/>
      <c r="C294" s="468"/>
      <c r="D294" s="616"/>
      <c r="E294" s="467"/>
      <c r="F294" s="504"/>
      <c r="G294" s="468"/>
      <c r="H294" s="616"/>
      <c r="I294" s="467"/>
      <c r="J294" s="504"/>
      <c r="K294" s="468"/>
      <c r="L294" s="616"/>
      <c r="M294" s="467"/>
      <c r="N294" s="504"/>
      <c r="O294" s="468"/>
      <c r="P294" s="616"/>
      <c r="Q294" s="635"/>
      <c r="R294" s="636"/>
      <c r="S294" s="637"/>
      <c r="T294" s="629"/>
      <c r="U294" s="635"/>
      <c r="V294" s="636"/>
      <c r="W294" s="637"/>
      <c r="X294" s="629"/>
      <c r="Y294" s="467"/>
      <c r="Z294" s="504"/>
      <c r="AA294" s="468"/>
      <c r="AB294" s="616"/>
      <c r="AC294" s="635"/>
      <c r="AD294" s="636"/>
      <c r="AE294" s="637"/>
      <c r="AF294" s="629"/>
      <c r="AG294" s="635"/>
      <c r="AH294" s="636"/>
      <c r="AI294" s="637"/>
      <c r="AJ294" s="629"/>
      <c r="AK294" s="435"/>
      <c r="AL294" s="435"/>
      <c r="AM294" s="435"/>
      <c r="AN294" s="435"/>
      <c r="AO294" s="467"/>
      <c r="AP294" s="504"/>
      <c r="AQ294" s="468"/>
      <c r="AR294" s="616"/>
      <c r="AS294" s="630"/>
      <c r="AT294" s="630"/>
    </row>
    <row r="295">
      <c r="A295" s="467"/>
      <c r="B295" s="504"/>
      <c r="C295" s="468"/>
      <c r="D295" s="616"/>
      <c r="E295" s="467"/>
      <c r="F295" s="504"/>
      <c r="G295" s="468"/>
      <c r="H295" s="616"/>
      <c r="I295" s="467"/>
      <c r="J295" s="504"/>
      <c r="K295" s="468"/>
      <c r="L295" s="616"/>
      <c r="M295" s="467"/>
      <c r="N295" s="504"/>
      <c r="O295" s="468"/>
      <c r="P295" s="616"/>
      <c r="Q295" s="635"/>
      <c r="R295" s="636"/>
      <c r="S295" s="637"/>
      <c r="T295" s="629"/>
      <c r="U295" s="635"/>
      <c r="V295" s="636"/>
      <c r="W295" s="637"/>
      <c r="X295" s="629"/>
      <c r="Y295" s="467"/>
      <c r="Z295" s="504"/>
      <c r="AA295" s="468"/>
      <c r="AB295" s="616"/>
      <c r="AC295" s="635"/>
      <c r="AD295" s="636"/>
      <c r="AE295" s="637"/>
      <c r="AF295" s="629"/>
      <c r="AG295" s="635"/>
      <c r="AH295" s="636"/>
      <c r="AI295" s="637"/>
      <c r="AJ295" s="629"/>
      <c r="AK295" s="435"/>
      <c r="AL295" s="435"/>
      <c r="AM295" s="435"/>
      <c r="AN295" s="435"/>
      <c r="AO295" s="467"/>
      <c r="AP295" s="504"/>
      <c r="AQ295" s="468"/>
      <c r="AR295" s="616"/>
      <c r="AS295" s="630"/>
      <c r="AT295" s="630"/>
    </row>
    <row r="296">
      <c r="A296" s="467"/>
      <c r="B296" s="504"/>
      <c r="C296" s="468"/>
      <c r="D296" s="616"/>
      <c r="E296" s="467"/>
      <c r="F296" s="504"/>
      <c r="G296" s="468"/>
      <c r="H296" s="616"/>
      <c r="I296" s="467"/>
      <c r="J296" s="504"/>
      <c r="K296" s="468"/>
      <c r="L296" s="616"/>
      <c r="M296" s="467"/>
      <c r="N296" s="504"/>
      <c r="O296" s="468"/>
      <c r="P296" s="616"/>
      <c r="Q296" s="635"/>
      <c r="R296" s="636"/>
      <c r="S296" s="637"/>
      <c r="T296" s="629"/>
      <c r="U296" s="635"/>
      <c r="V296" s="636"/>
      <c r="W296" s="637"/>
      <c r="X296" s="629"/>
      <c r="Y296" s="467"/>
      <c r="Z296" s="504"/>
      <c r="AA296" s="468"/>
      <c r="AB296" s="616"/>
      <c r="AC296" s="635"/>
      <c r="AD296" s="636"/>
      <c r="AE296" s="637"/>
      <c r="AF296" s="629"/>
      <c r="AG296" s="635"/>
      <c r="AH296" s="636"/>
      <c r="AI296" s="637"/>
      <c r="AJ296" s="629"/>
      <c r="AK296" s="435"/>
      <c r="AL296" s="435"/>
      <c r="AM296" s="435"/>
      <c r="AN296" s="435"/>
      <c r="AO296" s="467"/>
      <c r="AP296" s="504"/>
      <c r="AQ296" s="468"/>
      <c r="AR296" s="616"/>
      <c r="AS296" s="630"/>
      <c r="AT296" s="630"/>
    </row>
    <row r="297">
      <c r="A297" s="467"/>
      <c r="B297" s="504"/>
      <c r="C297" s="468"/>
      <c r="D297" s="616"/>
      <c r="E297" s="467"/>
      <c r="F297" s="504"/>
      <c r="G297" s="468"/>
      <c r="H297" s="616"/>
      <c r="I297" s="467"/>
      <c r="J297" s="504"/>
      <c r="K297" s="468"/>
      <c r="L297" s="616"/>
      <c r="M297" s="467"/>
      <c r="N297" s="504"/>
      <c r="O297" s="468"/>
      <c r="P297" s="616"/>
      <c r="Q297" s="635"/>
      <c r="R297" s="636"/>
      <c r="S297" s="637"/>
      <c r="T297" s="629"/>
      <c r="U297" s="635"/>
      <c r="V297" s="636"/>
      <c r="W297" s="637"/>
      <c r="X297" s="629"/>
      <c r="Y297" s="467"/>
      <c r="Z297" s="504"/>
      <c r="AA297" s="468"/>
      <c r="AB297" s="616"/>
      <c r="AC297" s="635"/>
      <c r="AD297" s="636"/>
      <c r="AE297" s="637"/>
      <c r="AF297" s="629"/>
      <c r="AG297" s="635"/>
      <c r="AH297" s="636"/>
      <c r="AI297" s="637"/>
      <c r="AJ297" s="629"/>
      <c r="AK297" s="435"/>
      <c r="AL297" s="435"/>
      <c r="AM297" s="435"/>
      <c r="AN297" s="435"/>
      <c r="AO297" s="467"/>
      <c r="AP297" s="504"/>
      <c r="AQ297" s="468"/>
      <c r="AR297" s="616"/>
      <c r="AS297" s="630"/>
      <c r="AT297" s="630"/>
    </row>
    <row r="298">
      <c r="A298" s="467"/>
      <c r="B298" s="504"/>
      <c r="C298" s="468"/>
      <c r="D298" s="616"/>
      <c r="E298" s="467"/>
      <c r="F298" s="504"/>
      <c r="G298" s="468"/>
      <c r="H298" s="616"/>
      <c r="I298" s="467"/>
      <c r="J298" s="504"/>
      <c r="K298" s="468"/>
      <c r="L298" s="616"/>
      <c r="M298" s="467"/>
      <c r="N298" s="504"/>
      <c r="O298" s="468"/>
      <c r="P298" s="616"/>
      <c r="Q298" s="635"/>
      <c r="R298" s="636"/>
      <c r="S298" s="637"/>
      <c r="T298" s="629"/>
      <c r="U298" s="635"/>
      <c r="V298" s="636"/>
      <c r="W298" s="637"/>
      <c r="X298" s="629"/>
      <c r="Y298" s="467"/>
      <c r="Z298" s="504"/>
      <c r="AA298" s="468"/>
      <c r="AB298" s="616"/>
      <c r="AC298" s="635"/>
      <c r="AD298" s="636"/>
      <c r="AE298" s="637"/>
      <c r="AF298" s="629"/>
      <c r="AG298" s="635"/>
      <c r="AH298" s="636"/>
      <c r="AI298" s="637"/>
      <c r="AJ298" s="629"/>
      <c r="AK298" s="435"/>
      <c r="AL298" s="435"/>
      <c r="AM298" s="435"/>
      <c r="AN298" s="435"/>
      <c r="AO298" s="467"/>
      <c r="AP298" s="504"/>
      <c r="AQ298" s="468"/>
      <c r="AR298" s="616"/>
      <c r="AS298" s="630"/>
      <c r="AT298" s="630"/>
    </row>
    <row r="299">
      <c r="A299" s="467"/>
      <c r="B299" s="504"/>
      <c r="C299" s="468"/>
      <c r="D299" s="616"/>
      <c r="E299" s="467"/>
      <c r="F299" s="504"/>
      <c r="G299" s="468"/>
      <c r="H299" s="616"/>
      <c r="I299" s="467"/>
      <c r="J299" s="504"/>
      <c r="K299" s="468"/>
      <c r="L299" s="616"/>
      <c r="M299" s="467"/>
      <c r="N299" s="504"/>
      <c r="O299" s="468"/>
      <c r="P299" s="616"/>
      <c r="Q299" s="635"/>
      <c r="R299" s="636"/>
      <c r="S299" s="637"/>
      <c r="T299" s="629"/>
      <c r="U299" s="635"/>
      <c r="V299" s="636"/>
      <c r="W299" s="637"/>
      <c r="X299" s="629"/>
      <c r="Y299" s="467"/>
      <c r="Z299" s="504"/>
      <c r="AA299" s="468"/>
      <c r="AB299" s="616"/>
      <c r="AC299" s="635"/>
      <c r="AD299" s="636"/>
      <c r="AE299" s="637"/>
      <c r="AF299" s="629"/>
      <c r="AG299" s="635"/>
      <c r="AH299" s="636"/>
      <c r="AI299" s="637"/>
      <c r="AJ299" s="629"/>
      <c r="AK299" s="435"/>
      <c r="AL299" s="435"/>
      <c r="AM299" s="435"/>
      <c r="AN299" s="435"/>
      <c r="AO299" s="467"/>
      <c r="AP299" s="504"/>
      <c r="AQ299" s="468"/>
      <c r="AR299" s="616"/>
      <c r="AS299" s="630"/>
      <c r="AT299" s="630"/>
    </row>
    <row r="300">
      <c r="A300" s="467"/>
      <c r="B300" s="504"/>
      <c r="C300" s="468"/>
      <c r="D300" s="616"/>
      <c r="E300" s="467"/>
      <c r="F300" s="504"/>
      <c r="G300" s="468"/>
      <c r="H300" s="616"/>
      <c r="I300" s="467"/>
      <c r="J300" s="504"/>
      <c r="K300" s="468"/>
      <c r="L300" s="616"/>
      <c r="M300" s="467"/>
      <c r="N300" s="504"/>
      <c r="O300" s="468"/>
      <c r="P300" s="616"/>
      <c r="Q300" s="635"/>
      <c r="R300" s="636"/>
      <c r="S300" s="637"/>
      <c r="T300" s="629"/>
      <c r="U300" s="635"/>
      <c r="V300" s="636"/>
      <c r="W300" s="637"/>
      <c r="X300" s="629"/>
      <c r="Y300" s="467"/>
      <c r="Z300" s="504"/>
      <c r="AA300" s="468"/>
      <c r="AB300" s="616"/>
      <c r="AC300" s="635"/>
      <c r="AD300" s="636"/>
      <c r="AE300" s="637"/>
      <c r="AF300" s="629"/>
      <c r="AG300" s="635"/>
      <c r="AH300" s="636"/>
      <c r="AI300" s="637"/>
      <c r="AJ300" s="629"/>
      <c r="AK300" s="435"/>
      <c r="AL300" s="435"/>
      <c r="AM300" s="435"/>
      <c r="AN300" s="435"/>
      <c r="AO300" s="467"/>
      <c r="AP300" s="504"/>
      <c r="AQ300" s="468"/>
      <c r="AR300" s="616"/>
      <c r="AS300" s="630"/>
      <c r="AT300" s="630"/>
    </row>
    <row r="301">
      <c r="A301" s="467"/>
      <c r="B301" s="504"/>
      <c r="C301" s="468"/>
      <c r="D301" s="616"/>
      <c r="E301" s="467"/>
      <c r="F301" s="504"/>
      <c r="G301" s="468"/>
      <c r="H301" s="616"/>
      <c r="I301" s="467"/>
      <c r="J301" s="504"/>
      <c r="K301" s="468"/>
      <c r="L301" s="616"/>
      <c r="M301" s="467"/>
      <c r="N301" s="504"/>
      <c r="O301" s="468"/>
      <c r="P301" s="616"/>
      <c r="Q301" s="635"/>
      <c r="R301" s="636"/>
      <c r="S301" s="637"/>
      <c r="T301" s="629"/>
      <c r="U301" s="635"/>
      <c r="V301" s="636"/>
      <c r="W301" s="637"/>
      <c r="X301" s="629"/>
      <c r="Y301" s="467"/>
      <c r="Z301" s="504"/>
      <c r="AA301" s="468"/>
      <c r="AB301" s="616"/>
      <c r="AC301" s="635"/>
      <c r="AD301" s="636"/>
      <c r="AE301" s="637"/>
      <c r="AF301" s="629"/>
      <c r="AG301" s="635"/>
      <c r="AH301" s="636"/>
      <c r="AI301" s="637"/>
      <c r="AJ301" s="629"/>
      <c r="AK301" s="435"/>
      <c r="AL301" s="435"/>
      <c r="AM301" s="435"/>
      <c r="AN301" s="435"/>
      <c r="AO301" s="467"/>
      <c r="AP301" s="504"/>
      <c r="AQ301" s="468"/>
      <c r="AR301" s="616"/>
      <c r="AS301" s="630"/>
      <c r="AT301" s="630"/>
    </row>
    <row r="302">
      <c r="A302" s="467"/>
      <c r="B302" s="504"/>
      <c r="C302" s="468"/>
      <c r="D302" s="616"/>
      <c r="E302" s="467"/>
      <c r="F302" s="504"/>
      <c r="G302" s="468"/>
      <c r="H302" s="616"/>
      <c r="I302" s="467"/>
      <c r="J302" s="504"/>
      <c r="K302" s="468"/>
      <c r="L302" s="616"/>
      <c r="M302" s="467"/>
      <c r="N302" s="504"/>
      <c r="O302" s="468"/>
      <c r="P302" s="616"/>
      <c r="Q302" s="635"/>
      <c r="R302" s="636"/>
      <c r="S302" s="637"/>
      <c r="T302" s="629"/>
      <c r="U302" s="635"/>
      <c r="V302" s="636"/>
      <c r="W302" s="637"/>
      <c r="X302" s="629"/>
      <c r="Y302" s="467"/>
      <c r="Z302" s="504"/>
      <c r="AA302" s="468"/>
      <c r="AB302" s="616"/>
      <c r="AC302" s="635"/>
      <c r="AD302" s="636"/>
      <c r="AE302" s="637"/>
      <c r="AF302" s="629"/>
      <c r="AG302" s="635"/>
      <c r="AH302" s="636"/>
      <c r="AI302" s="637"/>
      <c r="AJ302" s="629"/>
      <c r="AK302" s="435"/>
      <c r="AL302" s="435"/>
      <c r="AM302" s="435"/>
      <c r="AN302" s="435"/>
      <c r="AO302" s="467"/>
      <c r="AP302" s="504"/>
      <c r="AQ302" s="468"/>
      <c r="AR302" s="616"/>
      <c r="AS302" s="630"/>
      <c r="AT302" s="630"/>
    </row>
    <row r="303">
      <c r="A303" s="467"/>
      <c r="B303" s="504"/>
      <c r="C303" s="468"/>
      <c r="D303" s="616"/>
      <c r="E303" s="467"/>
      <c r="F303" s="504"/>
      <c r="G303" s="468"/>
      <c r="H303" s="616"/>
      <c r="I303" s="467"/>
      <c r="J303" s="504"/>
      <c r="K303" s="468"/>
      <c r="L303" s="616"/>
      <c r="M303" s="467"/>
      <c r="N303" s="504"/>
      <c r="O303" s="468"/>
      <c r="P303" s="616"/>
      <c r="Q303" s="635"/>
      <c r="R303" s="636"/>
      <c r="S303" s="637"/>
      <c r="T303" s="629"/>
      <c r="U303" s="635"/>
      <c r="V303" s="636"/>
      <c r="W303" s="637"/>
      <c r="X303" s="629"/>
      <c r="Y303" s="467"/>
      <c r="Z303" s="504"/>
      <c r="AA303" s="468"/>
      <c r="AB303" s="616"/>
      <c r="AC303" s="635"/>
      <c r="AD303" s="636"/>
      <c r="AE303" s="637"/>
      <c r="AF303" s="629"/>
      <c r="AG303" s="635"/>
      <c r="AH303" s="636"/>
      <c r="AI303" s="637"/>
      <c r="AJ303" s="629"/>
      <c r="AK303" s="435"/>
      <c r="AL303" s="435"/>
      <c r="AM303" s="435"/>
      <c r="AN303" s="435"/>
      <c r="AO303" s="467"/>
      <c r="AP303" s="504"/>
      <c r="AQ303" s="468"/>
      <c r="AR303" s="616"/>
      <c r="AS303" s="630"/>
      <c r="AT303" s="630"/>
    </row>
    <row r="304">
      <c r="A304" s="467"/>
      <c r="B304" s="504"/>
      <c r="C304" s="468"/>
      <c r="D304" s="616"/>
      <c r="E304" s="467"/>
      <c r="F304" s="504"/>
      <c r="G304" s="468"/>
      <c r="H304" s="616"/>
      <c r="I304" s="467"/>
      <c r="J304" s="504"/>
      <c r="K304" s="468"/>
      <c r="L304" s="616"/>
      <c r="M304" s="467"/>
      <c r="N304" s="504"/>
      <c r="O304" s="468"/>
      <c r="P304" s="616"/>
      <c r="Q304" s="635"/>
      <c r="R304" s="636"/>
      <c r="S304" s="637"/>
      <c r="T304" s="629"/>
      <c r="U304" s="635"/>
      <c r="V304" s="636"/>
      <c r="W304" s="637"/>
      <c r="X304" s="629"/>
      <c r="Y304" s="467"/>
      <c r="Z304" s="504"/>
      <c r="AA304" s="468"/>
      <c r="AB304" s="616"/>
      <c r="AC304" s="635"/>
      <c r="AD304" s="636"/>
      <c r="AE304" s="637"/>
      <c r="AF304" s="629"/>
      <c r="AG304" s="635"/>
      <c r="AH304" s="636"/>
      <c r="AI304" s="637"/>
      <c r="AJ304" s="629"/>
      <c r="AK304" s="435"/>
      <c r="AL304" s="435"/>
      <c r="AM304" s="435"/>
      <c r="AN304" s="435"/>
      <c r="AO304" s="467"/>
      <c r="AP304" s="504"/>
      <c r="AQ304" s="468"/>
      <c r="AR304" s="616"/>
      <c r="AS304" s="630"/>
      <c r="AT304" s="630"/>
    </row>
    <row r="305">
      <c r="A305" s="467"/>
      <c r="B305" s="504"/>
      <c r="C305" s="468"/>
      <c r="D305" s="616"/>
      <c r="E305" s="467"/>
      <c r="F305" s="504"/>
      <c r="G305" s="468"/>
      <c r="H305" s="616"/>
      <c r="I305" s="467"/>
      <c r="J305" s="504"/>
      <c r="K305" s="468"/>
      <c r="L305" s="616"/>
      <c r="M305" s="467"/>
      <c r="N305" s="504"/>
      <c r="O305" s="468"/>
      <c r="P305" s="616"/>
      <c r="Q305" s="635"/>
      <c r="R305" s="636"/>
      <c r="S305" s="637"/>
      <c r="T305" s="629"/>
      <c r="U305" s="635"/>
      <c r="V305" s="636"/>
      <c r="W305" s="637"/>
      <c r="X305" s="629"/>
      <c r="Y305" s="467"/>
      <c r="Z305" s="504"/>
      <c r="AA305" s="468"/>
      <c r="AB305" s="616"/>
      <c r="AC305" s="635"/>
      <c r="AD305" s="636"/>
      <c r="AE305" s="637"/>
      <c r="AF305" s="629"/>
      <c r="AG305" s="635"/>
      <c r="AH305" s="636"/>
      <c r="AI305" s="637"/>
      <c r="AJ305" s="629"/>
      <c r="AK305" s="435"/>
      <c r="AL305" s="435"/>
      <c r="AM305" s="435"/>
      <c r="AN305" s="435"/>
      <c r="AO305" s="467"/>
      <c r="AP305" s="504"/>
      <c r="AQ305" s="468"/>
      <c r="AR305" s="616"/>
      <c r="AS305" s="630"/>
      <c r="AT305" s="630"/>
    </row>
    <row r="306">
      <c r="A306" s="467"/>
      <c r="B306" s="504"/>
      <c r="C306" s="468"/>
      <c r="D306" s="616"/>
      <c r="E306" s="467"/>
      <c r="F306" s="504"/>
      <c r="G306" s="468"/>
      <c r="H306" s="616"/>
      <c r="I306" s="467"/>
      <c r="J306" s="504"/>
      <c r="K306" s="468"/>
      <c r="L306" s="616"/>
      <c r="M306" s="467"/>
      <c r="N306" s="504"/>
      <c r="O306" s="468"/>
      <c r="P306" s="616"/>
      <c r="Q306" s="635"/>
      <c r="R306" s="636"/>
      <c r="S306" s="637"/>
      <c r="T306" s="629"/>
      <c r="U306" s="635"/>
      <c r="V306" s="636"/>
      <c r="W306" s="637"/>
      <c r="X306" s="629"/>
      <c r="Y306" s="467"/>
      <c r="Z306" s="504"/>
      <c r="AA306" s="468"/>
      <c r="AB306" s="616"/>
      <c r="AC306" s="635"/>
      <c r="AD306" s="636"/>
      <c r="AE306" s="637"/>
      <c r="AF306" s="629"/>
      <c r="AG306" s="635"/>
      <c r="AH306" s="636"/>
      <c r="AI306" s="637"/>
      <c r="AJ306" s="629"/>
      <c r="AK306" s="435"/>
      <c r="AL306" s="435"/>
      <c r="AM306" s="435"/>
      <c r="AN306" s="435"/>
      <c r="AO306" s="467"/>
      <c r="AP306" s="504"/>
      <c r="AQ306" s="468"/>
      <c r="AR306" s="616"/>
      <c r="AS306" s="630"/>
      <c r="AT306" s="630"/>
    </row>
    <row r="307">
      <c r="A307" s="467"/>
      <c r="B307" s="504"/>
      <c r="C307" s="468"/>
      <c r="D307" s="616"/>
      <c r="E307" s="467"/>
      <c r="F307" s="504"/>
      <c r="G307" s="468"/>
      <c r="H307" s="616"/>
      <c r="I307" s="467"/>
      <c r="J307" s="504"/>
      <c r="K307" s="468"/>
      <c r="L307" s="616"/>
      <c r="M307" s="467"/>
      <c r="N307" s="504"/>
      <c r="O307" s="468"/>
      <c r="P307" s="616"/>
      <c r="Q307" s="635"/>
      <c r="R307" s="636"/>
      <c r="S307" s="637"/>
      <c r="T307" s="629"/>
      <c r="U307" s="635"/>
      <c r="V307" s="636"/>
      <c r="W307" s="637"/>
      <c r="X307" s="629"/>
      <c r="Y307" s="467"/>
      <c r="Z307" s="504"/>
      <c r="AA307" s="468"/>
      <c r="AB307" s="616"/>
      <c r="AC307" s="635"/>
      <c r="AD307" s="636"/>
      <c r="AE307" s="637"/>
      <c r="AF307" s="629"/>
      <c r="AG307" s="635"/>
      <c r="AH307" s="636"/>
      <c r="AI307" s="637"/>
      <c r="AJ307" s="629"/>
      <c r="AK307" s="435"/>
      <c r="AL307" s="435"/>
      <c r="AM307" s="435"/>
      <c r="AN307" s="435"/>
      <c r="AO307" s="467"/>
      <c r="AP307" s="504"/>
      <c r="AQ307" s="468"/>
      <c r="AR307" s="616"/>
      <c r="AS307" s="630"/>
      <c r="AT307" s="630"/>
    </row>
    <row r="308">
      <c r="A308" s="467"/>
      <c r="B308" s="504"/>
      <c r="C308" s="468"/>
      <c r="D308" s="616"/>
      <c r="E308" s="467"/>
      <c r="F308" s="504"/>
      <c r="G308" s="468"/>
      <c r="H308" s="616"/>
      <c r="I308" s="467"/>
      <c r="J308" s="504"/>
      <c r="K308" s="468"/>
      <c r="L308" s="616"/>
      <c r="M308" s="467"/>
      <c r="N308" s="504"/>
      <c r="O308" s="468"/>
      <c r="P308" s="616"/>
      <c r="Q308" s="635"/>
      <c r="R308" s="636"/>
      <c r="S308" s="637"/>
      <c r="T308" s="629"/>
      <c r="U308" s="635"/>
      <c r="V308" s="636"/>
      <c r="W308" s="637"/>
      <c r="X308" s="629"/>
      <c r="Y308" s="467"/>
      <c r="Z308" s="504"/>
      <c r="AA308" s="468"/>
      <c r="AB308" s="616"/>
      <c r="AC308" s="635"/>
      <c r="AD308" s="636"/>
      <c r="AE308" s="637"/>
      <c r="AF308" s="629"/>
      <c r="AG308" s="635"/>
      <c r="AH308" s="636"/>
      <c r="AI308" s="637"/>
      <c r="AJ308" s="629"/>
      <c r="AK308" s="435"/>
      <c r="AL308" s="435"/>
      <c r="AM308" s="435"/>
      <c r="AN308" s="435"/>
      <c r="AO308" s="467"/>
      <c r="AP308" s="504"/>
      <c r="AQ308" s="468"/>
      <c r="AR308" s="616"/>
      <c r="AS308" s="630"/>
      <c r="AT308" s="630"/>
    </row>
    <row r="309">
      <c r="A309" s="467"/>
      <c r="B309" s="504"/>
      <c r="C309" s="468"/>
      <c r="D309" s="616"/>
      <c r="E309" s="467"/>
      <c r="F309" s="504"/>
      <c r="G309" s="468"/>
      <c r="H309" s="616"/>
      <c r="I309" s="467"/>
      <c r="J309" s="504"/>
      <c r="K309" s="468"/>
      <c r="L309" s="616"/>
      <c r="M309" s="467"/>
      <c r="N309" s="504"/>
      <c r="O309" s="468"/>
      <c r="P309" s="616"/>
      <c r="Q309" s="635"/>
      <c r="R309" s="636"/>
      <c r="S309" s="637"/>
      <c r="T309" s="629"/>
      <c r="U309" s="635"/>
      <c r="V309" s="636"/>
      <c r="W309" s="637"/>
      <c r="X309" s="629"/>
      <c r="Y309" s="467"/>
      <c r="Z309" s="504"/>
      <c r="AA309" s="468"/>
      <c r="AB309" s="616"/>
      <c r="AC309" s="635"/>
      <c r="AD309" s="636"/>
      <c r="AE309" s="637"/>
      <c r="AF309" s="629"/>
      <c r="AG309" s="635"/>
      <c r="AH309" s="636"/>
      <c r="AI309" s="637"/>
      <c r="AJ309" s="629"/>
      <c r="AK309" s="435"/>
      <c r="AL309" s="435"/>
      <c r="AM309" s="435"/>
      <c r="AN309" s="435"/>
      <c r="AO309" s="467"/>
      <c r="AP309" s="504"/>
      <c r="AQ309" s="468"/>
      <c r="AR309" s="616"/>
      <c r="AS309" s="630"/>
      <c r="AT309" s="630"/>
    </row>
    <row r="310">
      <c r="A310" s="467"/>
      <c r="B310" s="504"/>
      <c r="C310" s="468"/>
      <c r="D310" s="616"/>
      <c r="E310" s="467"/>
      <c r="F310" s="504"/>
      <c r="G310" s="468"/>
      <c r="H310" s="616"/>
      <c r="I310" s="467"/>
      <c r="J310" s="504"/>
      <c r="K310" s="468"/>
      <c r="L310" s="616"/>
      <c r="M310" s="467"/>
      <c r="N310" s="504"/>
      <c r="O310" s="468"/>
      <c r="P310" s="616"/>
      <c r="Q310" s="635"/>
      <c r="R310" s="636"/>
      <c r="S310" s="637"/>
      <c r="T310" s="629"/>
      <c r="U310" s="635"/>
      <c r="V310" s="636"/>
      <c r="W310" s="637"/>
      <c r="X310" s="629"/>
      <c r="Y310" s="467"/>
      <c r="Z310" s="504"/>
      <c r="AA310" s="468"/>
      <c r="AB310" s="616"/>
      <c r="AC310" s="635"/>
      <c r="AD310" s="636"/>
      <c r="AE310" s="637"/>
      <c r="AF310" s="629"/>
      <c r="AG310" s="635"/>
      <c r="AH310" s="636"/>
      <c r="AI310" s="637"/>
      <c r="AJ310" s="629"/>
      <c r="AK310" s="435"/>
      <c r="AL310" s="435"/>
      <c r="AM310" s="435"/>
      <c r="AN310" s="435"/>
      <c r="AO310" s="467"/>
      <c r="AP310" s="504"/>
      <c r="AQ310" s="468"/>
      <c r="AR310" s="616"/>
      <c r="AS310" s="630"/>
      <c r="AT310" s="630"/>
    </row>
    <row r="311">
      <c r="A311" s="467"/>
      <c r="B311" s="504"/>
      <c r="C311" s="468"/>
      <c r="D311" s="616"/>
      <c r="E311" s="467"/>
      <c r="F311" s="504"/>
      <c r="G311" s="468"/>
      <c r="H311" s="616"/>
      <c r="I311" s="467"/>
      <c r="J311" s="504"/>
      <c r="K311" s="468"/>
      <c r="L311" s="616"/>
      <c r="M311" s="467"/>
      <c r="N311" s="504"/>
      <c r="O311" s="468"/>
      <c r="P311" s="616"/>
      <c r="Q311" s="635"/>
      <c r="R311" s="636"/>
      <c r="S311" s="637"/>
      <c r="T311" s="629"/>
      <c r="U311" s="635"/>
      <c r="V311" s="636"/>
      <c r="W311" s="637"/>
      <c r="X311" s="629"/>
      <c r="Y311" s="467"/>
      <c r="Z311" s="504"/>
      <c r="AA311" s="468"/>
      <c r="AB311" s="616"/>
      <c r="AC311" s="635"/>
      <c r="AD311" s="636"/>
      <c r="AE311" s="637"/>
      <c r="AF311" s="629"/>
      <c r="AG311" s="635"/>
      <c r="AH311" s="636"/>
      <c r="AI311" s="637"/>
      <c r="AJ311" s="629"/>
      <c r="AK311" s="435"/>
      <c r="AL311" s="435"/>
      <c r="AM311" s="435"/>
      <c r="AN311" s="435"/>
      <c r="AO311" s="467"/>
      <c r="AP311" s="504"/>
      <c r="AQ311" s="468"/>
      <c r="AR311" s="616"/>
      <c r="AS311" s="630"/>
      <c r="AT311" s="630"/>
    </row>
    <row r="312">
      <c r="A312" s="467"/>
      <c r="B312" s="504"/>
      <c r="C312" s="468"/>
      <c r="D312" s="616"/>
      <c r="E312" s="467"/>
      <c r="F312" s="504"/>
      <c r="G312" s="468"/>
      <c r="H312" s="616"/>
      <c r="I312" s="467"/>
      <c r="J312" s="504"/>
      <c r="K312" s="468"/>
      <c r="L312" s="616"/>
      <c r="M312" s="467"/>
      <c r="N312" s="504"/>
      <c r="O312" s="468"/>
      <c r="P312" s="616"/>
      <c r="Q312" s="635"/>
      <c r="R312" s="636"/>
      <c r="S312" s="637"/>
      <c r="T312" s="629"/>
      <c r="U312" s="635"/>
      <c r="V312" s="636"/>
      <c r="W312" s="637"/>
      <c r="X312" s="629"/>
      <c r="Y312" s="467"/>
      <c r="Z312" s="504"/>
      <c r="AA312" s="468"/>
      <c r="AB312" s="616"/>
      <c r="AC312" s="635"/>
      <c r="AD312" s="636"/>
      <c r="AE312" s="637"/>
      <c r="AF312" s="629"/>
      <c r="AG312" s="635"/>
      <c r="AH312" s="636"/>
      <c r="AI312" s="637"/>
      <c r="AJ312" s="629"/>
      <c r="AK312" s="435"/>
      <c r="AL312" s="435"/>
      <c r="AM312" s="435"/>
      <c r="AN312" s="435"/>
      <c r="AO312" s="467"/>
      <c r="AP312" s="504"/>
      <c r="AQ312" s="468"/>
      <c r="AR312" s="616"/>
      <c r="AS312" s="630"/>
      <c r="AT312" s="630"/>
    </row>
    <row r="313">
      <c r="A313" s="467"/>
      <c r="B313" s="504"/>
      <c r="C313" s="468"/>
      <c r="D313" s="616"/>
      <c r="E313" s="467"/>
      <c r="F313" s="504"/>
      <c r="G313" s="468"/>
      <c r="H313" s="616"/>
      <c r="I313" s="467"/>
      <c r="J313" s="504"/>
      <c r="K313" s="468"/>
      <c r="L313" s="616"/>
      <c r="M313" s="467"/>
      <c r="N313" s="504"/>
      <c r="O313" s="468"/>
      <c r="P313" s="616"/>
      <c r="Q313" s="635"/>
      <c r="R313" s="636"/>
      <c r="S313" s="637"/>
      <c r="T313" s="629"/>
      <c r="U313" s="635"/>
      <c r="V313" s="636"/>
      <c r="W313" s="637"/>
      <c r="X313" s="629"/>
      <c r="Y313" s="467"/>
      <c r="Z313" s="504"/>
      <c r="AA313" s="468"/>
      <c r="AB313" s="616"/>
      <c r="AC313" s="635"/>
      <c r="AD313" s="636"/>
      <c r="AE313" s="637"/>
      <c r="AF313" s="629"/>
      <c r="AG313" s="635"/>
      <c r="AH313" s="636"/>
      <c r="AI313" s="637"/>
      <c r="AJ313" s="629"/>
      <c r="AK313" s="435"/>
      <c r="AL313" s="435"/>
      <c r="AM313" s="435"/>
      <c r="AN313" s="435"/>
      <c r="AO313" s="467"/>
      <c r="AP313" s="504"/>
      <c r="AQ313" s="468"/>
      <c r="AR313" s="616"/>
      <c r="AS313" s="630"/>
      <c r="AT313" s="630"/>
    </row>
    <row r="314">
      <c r="A314" s="467"/>
      <c r="B314" s="504"/>
      <c r="C314" s="468"/>
      <c r="D314" s="616"/>
      <c r="E314" s="467"/>
      <c r="F314" s="504"/>
      <c r="G314" s="468"/>
      <c r="H314" s="616"/>
      <c r="I314" s="467"/>
      <c r="J314" s="504"/>
      <c r="K314" s="468"/>
      <c r="L314" s="616"/>
      <c r="M314" s="467"/>
      <c r="N314" s="504"/>
      <c r="O314" s="468"/>
      <c r="P314" s="616"/>
      <c r="Q314" s="635"/>
      <c r="R314" s="636"/>
      <c r="S314" s="637"/>
      <c r="T314" s="629"/>
      <c r="U314" s="635"/>
      <c r="V314" s="636"/>
      <c r="W314" s="637"/>
      <c r="X314" s="629"/>
      <c r="Y314" s="467"/>
      <c r="Z314" s="504"/>
      <c r="AA314" s="468"/>
      <c r="AB314" s="616"/>
      <c r="AC314" s="635"/>
      <c r="AD314" s="636"/>
      <c r="AE314" s="637"/>
      <c r="AF314" s="629"/>
      <c r="AG314" s="635"/>
      <c r="AH314" s="636"/>
      <c r="AI314" s="637"/>
      <c r="AJ314" s="629"/>
      <c r="AK314" s="435"/>
      <c r="AL314" s="435"/>
      <c r="AM314" s="435"/>
      <c r="AN314" s="435"/>
      <c r="AO314" s="467"/>
      <c r="AP314" s="504"/>
      <c r="AQ314" s="468"/>
      <c r="AR314" s="616"/>
      <c r="AS314" s="630"/>
      <c r="AT314" s="630"/>
    </row>
    <row r="315">
      <c r="A315" s="467"/>
      <c r="B315" s="504"/>
      <c r="C315" s="468"/>
      <c r="D315" s="616"/>
      <c r="E315" s="467"/>
      <c r="F315" s="504"/>
      <c r="G315" s="468"/>
      <c r="H315" s="616"/>
      <c r="I315" s="467"/>
      <c r="J315" s="504"/>
      <c r="K315" s="468"/>
      <c r="L315" s="616"/>
      <c r="M315" s="467"/>
      <c r="N315" s="504"/>
      <c r="O315" s="468"/>
      <c r="P315" s="616"/>
      <c r="Q315" s="635"/>
      <c r="R315" s="636"/>
      <c r="S315" s="637"/>
      <c r="T315" s="629"/>
      <c r="U315" s="635"/>
      <c r="V315" s="636"/>
      <c r="W315" s="637"/>
      <c r="X315" s="629"/>
      <c r="Y315" s="467"/>
      <c r="Z315" s="504"/>
      <c r="AA315" s="468"/>
      <c r="AB315" s="616"/>
      <c r="AC315" s="635"/>
      <c r="AD315" s="636"/>
      <c r="AE315" s="637"/>
      <c r="AF315" s="629"/>
      <c r="AG315" s="635"/>
      <c r="AH315" s="636"/>
      <c r="AI315" s="637"/>
      <c r="AJ315" s="629"/>
      <c r="AK315" s="435"/>
      <c r="AL315" s="435"/>
      <c r="AM315" s="435"/>
      <c r="AN315" s="435"/>
      <c r="AO315" s="467"/>
      <c r="AP315" s="504"/>
      <c r="AQ315" s="468"/>
      <c r="AR315" s="616"/>
      <c r="AS315" s="630"/>
      <c r="AT315" s="630"/>
    </row>
    <row r="316">
      <c r="A316" s="467"/>
      <c r="B316" s="504"/>
      <c r="C316" s="468"/>
      <c r="D316" s="616"/>
      <c r="E316" s="467"/>
      <c r="F316" s="504"/>
      <c r="G316" s="468"/>
      <c r="H316" s="616"/>
      <c r="I316" s="467"/>
      <c r="J316" s="504"/>
      <c r="K316" s="468"/>
      <c r="L316" s="616"/>
      <c r="M316" s="467"/>
      <c r="N316" s="504"/>
      <c r="O316" s="468"/>
      <c r="P316" s="616"/>
      <c r="Q316" s="635"/>
      <c r="R316" s="636"/>
      <c r="S316" s="637"/>
      <c r="T316" s="629"/>
      <c r="U316" s="635"/>
      <c r="V316" s="636"/>
      <c r="W316" s="637"/>
      <c r="X316" s="629"/>
      <c r="Y316" s="467"/>
      <c r="Z316" s="504"/>
      <c r="AA316" s="468"/>
      <c r="AB316" s="616"/>
      <c r="AC316" s="635"/>
      <c r="AD316" s="636"/>
      <c r="AE316" s="637"/>
      <c r="AF316" s="629"/>
      <c r="AG316" s="635"/>
      <c r="AH316" s="636"/>
      <c r="AI316" s="637"/>
      <c r="AJ316" s="629"/>
      <c r="AK316" s="435"/>
      <c r="AL316" s="435"/>
      <c r="AM316" s="435"/>
      <c r="AN316" s="435"/>
      <c r="AO316" s="467"/>
      <c r="AP316" s="504"/>
      <c r="AQ316" s="468"/>
      <c r="AR316" s="616"/>
      <c r="AS316" s="630"/>
      <c r="AT316" s="630"/>
    </row>
    <row r="317">
      <c r="A317" s="467"/>
      <c r="B317" s="504"/>
      <c r="C317" s="468"/>
      <c r="D317" s="616"/>
      <c r="E317" s="467"/>
      <c r="F317" s="504"/>
      <c r="G317" s="468"/>
      <c r="H317" s="616"/>
      <c r="I317" s="467"/>
      <c r="J317" s="504"/>
      <c r="K317" s="468"/>
      <c r="L317" s="616"/>
      <c r="M317" s="467"/>
      <c r="N317" s="504"/>
      <c r="O317" s="468"/>
      <c r="P317" s="616"/>
      <c r="Q317" s="635"/>
      <c r="R317" s="636"/>
      <c r="S317" s="637"/>
      <c r="T317" s="629"/>
      <c r="U317" s="635"/>
      <c r="V317" s="636"/>
      <c r="W317" s="637"/>
      <c r="X317" s="629"/>
      <c r="Y317" s="467"/>
      <c r="Z317" s="504"/>
      <c r="AA317" s="468"/>
      <c r="AB317" s="616"/>
      <c r="AC317" s="635"/>
      <c r="AD317" s="636"/>
      <c r="AE317" s="637"/>
      <c r="AF317" s="629"/>
      <c r="AG317" s="635"/>
      <c r="AH317" s="636"/>
      <c r="AI317" s="637"/>
      <c r="AJ317" s="629"/>
      <c r="AK317" s="435"/>
      <c r="AL317" s="435"/>
      <c r="AM317" s="435"/>
      <c r="AN317" s="435"/>
      <c r="AO317" s="467"/>
      <c r="AP317" s="504"/>
      <c r="AQ317" s="468"/>
      <c r="AR317" s="616"/>
      <c r="AS317" s="630"/>
      <c r="AT317" s="630"/>
    </row>
    <row r="318">
      <c r="A318" s="467"/>
      <c r="B318" s="504"/>
      <c r="C318" s="468"/>
      <c r="D318" s="616"/>
      <c r="E318" s="467"/>
      <c r="F318" s="504"/>
      <c r="G318" s="468"/>
      <c r="H318" s="616"/>
      <c r="I318" s="467"/>
      <c r="J318" s="504"/>
      <c r="K318" s="468"/>
      <c r="L318" s="616"/>
      <c r="M318" s="467"/>
      <c r="N318" s="504"/>
      <c r="O318" s="468"/>
      <c r="P318" s="616"/>
      <c r="Q318" s="635"/>
      <c r="R318" s="636"/>
      <c r="S318" s="637"/>
      <c r="T318" s="629"/>
      <c r="U318" s="635"/>
      <c r="V318" s="636"/>
      <c r="W318" s="637"/>
      <c r="X318" s="629"/>
      <c r="Y318" s="467"/>
      <c r="Z318" s="504"/>
      <c r="AA318" s="468"/>
      <c r="AB318" s="616"/>
      <c r="AC318" s="635"/>
      <c r="AD318" s="636"/>
      <c r="AE318" s="637"/>
      <c r="AF318" s="629"/>
      <c r="AG318" s="635"/>
      <c r="AH318" s="636"/>
      <c r="AI318" s="637"/>
      <c r="AJ318" s="629"/>
      <c r="AK318" s="435"/>
      <c r="AL318" s="435"/>
      <c r="AM318" s="435"/>
      <c r="AN318" s="435"/>
      <c r="AO318" s="467"/>
      <c r="AP318" s="504"/>
      <c r="AQ318" s="468"/>
      <c r="AR318" s="616"/>
      <c r="AS318" s="630"/>
      <c r="AT318" s="630"/>
    </row>
    <row r="319">
      <c r="A319" s="467"/>
      <c r="B319" s="504"/>
      <c r="C319" s="468"/>
      <c r="D319" s="616"/>
      <c r="E319" s="467"/>
      <c r="F319" s="504"/>
      <c r="G319" s="468"/>
      <c r="H319" s="616"/>
      <c r="I319" s="467"/>
      <c r="J319" s="504"/>
      <c r="K319" s="468"/>
      <c r="L319" s="616"/>
      <c r="M319" s="467"/>
      <c r="N319" s="504"/>
      <c r="O319" s="468"/>
      <c r="P319" s="616"/>
      <c r="Q319" s="635"/>
      <c r="R319" s="636"/>
      <c r="S319" s="637"/>
      <c r="T319" s="629"/>
      <c r="U319" s="635"/>
      <c r="V319" s="636"/>
      <c r="W319" s="637"/>
      <c r="X319" s="629"/>
      <c r="Y319" s="467"/>
      <c r="Z319" s="504"/>
      <c r="AA319" s="468"/>
      <c r="AB319" s="616"/>
      <c r="AC319" s="635"/>
      <c r="AD319" s="636"/>
      <c r="AE319" s="637"/>
      <c r="AF319" s="629"/>
      <c r="AG319" s="635"/>
      <c r="AH319" s="636"/>
      <c r="AI319" s="637"/>
      <c r="AJ319" s="629"/>
      <c r="AK319" s="435"/>
      <c r="AL319" s="435"/>
      <c r="AM319" s="435"/>
      <c r="AN319" s="435"/>
      <c r="AO319" s="467"/>
      <c r="AP319" s="504"/>
      <c r="AQ319" s="468"/>
      <c r="AR319" s="616"/>
      <c r="AS319" s="630"/>
      <c r="AT319" s="630"/>
    </row>
    <row r="320">
      <c r="A320" s="467"/>
      <c r="B320" s="504"/>
      <c r="C320" s="468"/>
      <c r="D320" s="616"/>
      <c r="E320" s="467"/>
      <c r="F320" s="504"/>
      <c r="G320" s="468"/>
      <c r="H320" s="616"/>
      <c r="I320" s="467"/>
      <c r="J320" s="504"/>
      <c r="K320" s="468"/>
      <c r="L320" s="616"/>
      <c r="M320" s="467"/>
      <c r="N320" s="504"/>
      <c r="O320" s="468"/>
      <c r="P320" s="616"/>
      <c r="Q320" s="635"/>
      <c r="R320" s="636"/>
      <c r="S320" s="637"/>
      <c r="T320" s="629"/>
      <c r="U320" s="635"/>
      <c r="V320" s="636"/>
      <c r="W320" s="637"/>
      <c r="X320" s="629"/>
      <c r="Y320" s="467"/>
      <c r="Z320" s="504"/>
      <c r="AA320" s="468"/>
      <c r="AB320" s="616"/>
      <c r="AC320" s="635"/>
      <c r="AD320" s="636"/>
      <c r="AE320" s="637"/>
      <c r="AF320" s="629"/>
      <c r="AG320" s="635"/>
      <c r="AH320" s="636"/>
      <c r="AI320" s="637"/>
      <c r="AJ320" s="629"/>
      <c r="AK320" s="435"/>
      <c r="AL320" s="435"/>
      <c r="AM320" s="435"/>
      <c r="AN320" s="435"/>
      <c r="AO320" s="467"/>
      <c r="AP320" s="504"/>
      <c r="AQ320" s="468"/>
      <c r="AR320" s="616"/>
      <c r="AS320" s="630"/>
      <c r="AT320" s="630"/>
    </row>
    <row r="321">
      <c r="A321" s="467"/>
      <c r="B321" s="504"/>
      <c r="C321" s="468"/>
      <c r="D321" s="616"/>
      <c r="E321" s="467"/>
      <c r="F321" s="504"/>
      <c r="G321" s="468"/>
      <c r="H321" s="616"/>
      <c r="I321" s="467"/>
      <c r="J321" s="504"/>
      <c r="K321" s="468"/>
      <c r="L321" s="616"/>
      <c r="M321" s="467"/>
      <c r="N321" s="504"/>
      <c r="O321" s="468"/>
      <c r="P321" s="616"/>
      <c r="Q321" s="635"/>
      <c r="R321" s="636"/>
      <c r="S321" s="637"/>
      <c r="T321" s="629"/>
      <c r="U321" s="635"/>
      <c r="V321" s="636"/>
      <c r="W321" s="637"/>
      <c r="X321" s="629"/>
      <c r="Y321" s="467"/>
      <c r="Z321" s="504"/>
      <c r="AA321" s="468"/>
      <c r="AB321" s="616"/>
      <c r="AC321" s="635"/>
      <c r="AD321" s="636"/>
      <c r="AE321" s="637"/>
      <c r="AF321" s="629"/>
      <c r="AG321" s="635"/>
      <c r="AH321" s="636"/>
      <c r="AI321" s="637"/>
      <c r="AJ321" s="629"/>
      <c r="AK321" s="435"/>
      <c r="AL321" s="435"/>
      <c r="AM321" s="435"/>
      <c r="AN321" s="435"/>
      <c r="AO321" s="467"/>
      <c r="AP321" s="504"/>
      <c r="AQ321" s="468"/>
      <c r="AR321" s="616"/>
      <c r="AS321" s="630"/>
      <c r="AT321" s="630"/>
    </row>
    <row r="322">
      <c r="A322" s="467"/>
      <c r="B322" s="504"/>
      <c r="C322" s="468"/>
      <c r="D322" s="616"/>
      <c r="E322" s="467"/>
      <c r="F322" s="504"/>
      <c r="G322" s="468"/>
      <c r="H322" s="616"/>
      <c r="I322" s="467"/>
      <c r="J322" s="504"/>
      <c r="K322" s="468"/>
      <c r="L322" s="616"/>
      <c r="M322" s="467"/>
      <c r="N322" s="504"/>
      <c r="O322" s="468"/>
      <c r="P322" s="616"/>
      <c r="Q322" s="635"/>
      <c r="R322" s="636"/>
      <c r="S322" s="637"/>
      <c r="T322" s="629"/>
      <c r="U322" s="635"/>
      <c r="V322" s="636"/>
      <c r="W322" s="637"/>
      <c r="X322" s="629"/>
      <c r="Y322" s="467"/>
      <c r="Z322" s="504"/>
      <c r="AA322" s="468"/>
      <c r="AB322" s="616"/>
      <c r="AC322" s="635"/>
      <c r="AD322" s="636"/>
      <c r="AE322" s="637"/>
      <c r="AF322" s="629"/>
      <c r="AG322" s="635"/>
      <c r="AH322" s="636"/>
      <c r="AI322" s="637"/>
      <c r="AJ322" s="629"/>
      <c r="AK322" s="435"/>
      <c r="AL322" s="435"/>
      <c r="AM322" s="435"/>
      <c r="AN322" s="435"/>
      <c r="AO322" s="467"/>
      <c r="AP322" s="504"/>
      <c r="AQ322" s="468"/>
      <c r="AR322" s="616"/>
      <c r="AS322" s="630"/>
      <c r="AT322" s="630"/>
    </row>
    <row r="323">
      <c r="A323" s="467"/>
      <c r="B323" s="504"/>
      <c r="C323" s="468"/>
      <c r="D323" s="616"/>
      <c r="E323" s="467"/>
      <c r="F323" s="504"/>
      <c r="G323" s="468"/>
      <c r="H323" s="616"/>
      <c r="I323" s="467"/>
      <c r="J323" s="504"/>
      <c r="K323" s="468"/>
      <c r="L323" s="616"/>
      <c r="M323" s="467"/>
      <c r="N323" s="504"/>
      <c r="O323" s="468"/>
      <c r="P323" s="616"/>
      <c r="Q323" s="635"/>
      <c r="R323" s="636"/>
      <c r="S323" s="637"/>
      <c r="T323" s="629"/>
      <c r="U323" s="635"/>
      <c r="V323" s="636"/>
      <c r="W323" s="637"/>
      <c r="X323" s="629"/>
      <c r="Y323" s="467"/>
      <c r="Z323" s="504"/>
      <c r="AA323" s="468"/>
      <c r="AB323" s="616"/>
      <c r="AC323" s="635"/>
      <c r="AD323" s="636"/>
      <c r="AE323" s="637"/>
      <c r="AF323" s="629"/>
      <c r="AG323" s="635"/>
      <c r="AH323" s="636"/>
      <c r="AI323" s="637"/>
      <c r="AJ323" s="629"/>
      <c r="AK323" s="435"/>
      <c r="AL323" s="435"/>
      <c r="AM323" s="435"/>
      <c r="AN323" s="435"/>
      <c r="AO323" s="467"/>
      <c r="AP323" s="504"/>
      <c r="AQ323" s="468"/>
      <c r="AR323" s="616"/>
      <c r="AS323" s="630"/>
      <c r="AT323" s="630"/>
    </row>
    <row r="324">
      <c r="A324" s="467"/>
      <c r="B324" s="504"/>
      <c r="C324" s="468"/>
      <c r="D324" s="616"/>
      <c r="E324" s="467"/>
      <c r="F324" s="504"/>
      <c r="G324" s="468"/>
      <c r="H324" s="616"/>
      <c r="I324" s="467"/>
      <c r="J324" s="504"/>
      <c r="K324" s="468"/>
      <c r="L324" s="616"/>
      <c r="M324" s="467"/>
      <c r="N324" s="504"/>
      <c r="O324" s="468"/>
      <c r="P324" s="616"/>
      <c r="Q324" s="635"/>
      <c r="R324" s="636"/>
      <c r="S324" s="637"/>
      <c r="T324" s="629"/>
      <c r="U324" s="635"/>
      <c r="V324" s="636"/>
      <c r="W324" s="637"/>
      <c r="X324" s="629"/>
      <c r="Y324" s="467"/>
      <c r="Z324" s="504"/>
      <c r="AA324" s="468"/>
      <c r="AB324" s="616"/>
      <c r="AC324" s="635"/>
      <c r="AD324" s="636"/>
      <c r="AE324" s="637"/>
      <c r="AF324" s="629"/>
      <c r="AG324" s="635"/>
      <c r="AH324" s="636"/>
      <c r="AI324" s="637"/>
      <c r="AJ324" s="629"/>
      <c r="AK324" s="435"/>
      <c r="AL324" s="435"/>
      <c r="AM324" s="435"/>
      <c r="AN324" s="435"/>
      <c r="AO324" s="467"/>
      <c r="AP324" s="504"/>
      <c r="AQ324" s="468"/>
      <c r="AR324" s="616"/>
      <c r="AS324" s="630"/>
      <c r="AT324" s="630"/>
    </row>
    <row r="325">
      <c r="A325" s="467"/>
      <c r="B325" s="504"/>
      <c r="C325" s="468"/>
      <c r="D325" s="616"/>
      <c r="E325" s="467"/>
      <c r="F325" s="504"/>
      <c r="G325" s="468"/>
      <c r="H325" s="616"/>
      <c r="I325" s="467"/>
      <c r="J325" s="504"/>
      <c r="K325" s="468"/>
      <c r="L325" s="616"/>
      <c r="M325" s="467"/>
      <c r="N325" s="504"/>
      <c r="O325" s="468"/>
      <c r="P325" s="616"/>
      <c r="Q325" s="635"/>
      <c r="R325" s="636"/>
      <c r="S325" s="637"/>
      <c r="T325" s="629"/>
      <c r="U325" s="635"/>
      <c r="V325" s="636"/>
      <c r="W325" s="637"/>
      <c r="X325" s="629"/>
      <c r="Y325" s="467"/>
      <c r="Z325" s="504"/>
      <c r="AA325" s="468"/>
      <c r="AB325" s="616"/>
      <c r="AC325" s="635"/>
      <c r="AD325" s="636"/>
      <c r="AE325" s="637"/>
      <c r="AF325" s="629"/>
      <c r="AG325" s="635"/>
      <c r="AH325" s="636"/>
      <c r="AI325" s="637"/>
      <c r="AJ325" s="629"/>
      <c r="AK325" s="435"/>
      <c r="AL325" s="435"/>
      <c r="AM325" s="435"/>
      <c r="AN325" s="435"/>
      <c r="AO325" s="467"/>
      <c r="AP325" s="504"/>
      <c r="AQ325" s="468"/>
      <c r="AR325" s="616"/>
      <c r="AS325" s="630"/>
      <c r="AT325" s="630"/>
    </row>
    <row r="326">
      <c r="A326" s="467"/>
      <c r="B326" s="504"/>
      <c r="C326" s="468"/>
      <c r="D326" s="616"/>
      <c r="E326" s="467"/>
      <c r="F326" s="504"/>
      <c r="G326" s="468"/>
      <c r="H326" s="616"/>
      <c r="I326" s="467"/>
      <c r="J326" s="504"/>
      <c r="K326" s="468"/>
      <c r="L326" s="616"/>
      <c r="M326" s="467"/>
      <c r="N326" s="504"/>
      <c r="O326" s="468"/>
      <c r="P326" s="616"/>
      <c r="Q326" s="635"/>
      <c r="R326" s="636"/>
      <c r="S326" s="637"/>
      <c r="T326" s="629"/>
      <c r="U326" s="635"/>
      <c r="V326" s="636"/>
      <c r="W326" s="637"/>
      <c r="X326" s="629"/>
      <c r="Y326" s="467"/>
      <c r="Z326" s="504"/>
      <c r="AA326" s="468"/>
      <c r="AB326" s="616"/>
      <c r="AC326" s="635"/>
      <c r="AD326" s="636"/>
      <c r="AE326" s="637"/>
      <c r="AF326" s="629"/>
      <c r="AG326" s="635"/>
      <c r="AH326" s="636"/>
      <c r="AI326" s="637"/>
      <c r="AJ326" s="629"/>
      <c r="AK326" s="435"/>
      <c r="AL326" s="435"/>
      <c r="AM326" s="435"/>
      <c r="AN326" s="435"/>
      <c r="AO326" s="467"/>
      <c r="AP326" s="504"/>
      <c r="AQ326" s="468"/>
      <c r="AR326" s="616"/>
      <c r="AS326" s="630"/>
      <c r="AT326" s="630"/>
    </row>
    <row r="327">
      <c r="A327" s="467"/>
      <c r="B327" s="504"/>
      <c r="C327" s="468"/>
      <c r="D327" s="616"/>
      <c r="E327" s="467"/>
      <c r="F327" s="504"/>
      <c r="G327" s="468"/>
      <c r="H327" s="616"/>
      <c r="I327" s="467"/>
      <c r="J327" s="504"/>
      <c r="K327" s="468"/>
      <c r="L327" s="616"/>
      <c r="M327" s="467"/>
      <c r="N327" s="504"/>
      <c r="O327" s="468"/>
      <c r="P327" s="616"/>
      <c r="Q327" s="635"/>
      <c r="R327" s="636"/>
      <c r="S327" s="637"/>
      <c r="T327" s="629"/>
      <c r="U327" s="635"/>
      <c r="V327" s="636"/>
      <c r="W327" s="637"/>
      <c r="X327" s="629"/>
      <c r="Y327" s="467"/>
      <c r="Z327" s="504"/>
      <c r="AA327" s="468"/>
      <c r="AB327" s="616"/>
      <c r="AC327" s="635"/>
      <c r="AD327" s="636"/>
      <c r="AE327" s="637"/>
      <c r="AF327" s="629"/>
      <c r="AG327" s="635"/>
      <c r="AH327" s="636"/>
      <c r="AI327" s="637"/>
      <c r="AJ327" s="629"/>
      <c r="AK327" s="435"/>
      <c r="AL327" s="435"/>
      <c r="AM327" s="435"/>
      <c r="AN327" s="435"/>
      <c r="AO327" s="467"/>
      <c r="AP327" s="504"/>
      <c r="AQ327" s="468"/>
      <c r="AR327" s="616"/>
      <c r="AS327" s="630"/>
      <c r="AT327" s="630"/>
    </row>
    <row r="328">
      <c r="A328" s="467"/>
      <c r="B328" s="504"/>
      <c r="C328" s="468"/>
      <c r="D328" s="616"/>
      <c r="E328" s="467"/>
      <c r="F328" s="504"/>
      <c r="G328" s="468"/>
      <c r="H328" s="616"/>
      <c r="I328" s="467"/>
      <c r="J328" s="504"/>
      <c r="K328" s="468"/>
      <c r="L328" s="616"/>
      <c r="M328" s="467"/>
      <c r="N328" s="504"/>
      <c r="O328" s="468"/>
      <c r="P328" s="616"/>
      <c r="Q328" s="635"/>
      <c r="R328" s="636"/>
      <c r="S328" s="637"/>
      <c r="T328" s="629"/>
      <c r="U328" s="635"/>
      <c r="V328" s="636"/>
      <c r="W328" s="637"/>
      <c r="X328" s="629"/>
      <c r="Y328" s="467"/>
      <c r="Z328" s="504"/>
      <c r="AA328" s="468"/>
      <c r="AB328" s="616"/>
      <c r="AC328" s="635"/>
      <c r="AD328" s="636"/>
      <c r="AE328" s="637"/>
      <c r="AF328" s="629"/>
      <c r="AG328" s="635"/>
      <c r="AH328" s="636"/>
      <c r="AI328" s="637"/>
      <c r="AJ328" s="629"/>
      <c r="AK328" s="435"/>
      <c r="AL328" s="435"/>
      <c r="AM328" s="435"/>
      <c r="AN328" s="435"/>
      <c r="AO328" s="467"/>
      <c r="AP328" s="504"/>
      <c r="AQ328" s="468"/>
      <c r="AR328" s="616"/>
      <c r="AS328" s="630"/>
      <c r="AT328" s="630"/>
    </row>
    <row r="329">
      <c r="A329" s="467"/>
      <c r="B329" s="504"/>
      <c r="C329" s="468"/>
      <c r="D329" s="616"/>
      <c r="E329" s="467"/>
      <c r="F329" s="504"/>
      <c r="G329" s="468"/>
      <c r="H329" s="616"/>
      <c r="I329" s="467"/>
      <c r="J329" s="504"/>
      <c r="K329" s="468"/>
      <c r="L329" s="616"/>
      <c r="M329" s="467"/>
      <c r="N329" s="504"/>
      <c r="O329" s="468"/>
      <c r="P329" s="616"/>
      <c r="Q329" s="635"/>
      <c r="R329" s="636"/>
      <c r="S329" s="637"/>
      <c r="T329" s="629"/>
      <c r="U329" s="635"/>
      <c r="V329" s="636"/>
      <c r="W329" s="637"/>
      <c r="X329" s="629"/>
      <c r="Y329" s="467"/>
      <c r="Z329" s="504"/>
      <c r="AA329" s="468"/>
      <c r="AB329" s="616"/>
      <c r="AC329" s="635"/>
      <c r="AD329" s="636"/>
      <c r="AE329" s="637"/>
      <c r="AF329" s="629"/>
      <c r="AG329" s="635"/>
      <c r="AH329" s="636"/>
      <c r="AI329" s="637"/>
      <c r="AJ329" s="629"/>
      <c r="AK329" s="435"/>
      <c r="AL329" s="435"/>
      <c r="AM329" s="435"/>
      <c r="AN329" s="435"/>
      <c r="AO329" s="467"/>
      <c r="AP329" s="504"/>
      <c r="AQ329" s="468"/>
      <c r="AR329" s="616"/>
      <c r="AS329" s="630"/>
      <c r="AT329" s="630"/>
    </row>
    <row r="330">
      <c r="A330" s="467"/>
      <c r="B330" s="504"/>
      <c r="C330" s="468"/>
      <c r="D330" s="616"/>
      <c r="E330" s="467"/>
      <c r="F330" s="504"/>
      <c r="G330" s="468"/>
      <c r="H330" s="616"/>
      <c r="I330" s="467"/>
      <c r="J330" s="504"/>
      <c r="K330" s="468"/>
      <c r="L330" s="616"/>
      <c r="M330" s="467"/>
      <c r="N330" s="504"/>
      <c r="O330" s="468"/>
      <c r="P330" s="616"/>
      <c r="Q330" s="635"/>
      <c r="R330" s="636"/>
      <c r="S330" s="637"/>
      <c r="T330" s="629"/>
      <c r="U330" s="635"/>
      <c r="V330" s="636"/>
      <c r="W330" s="637"/>
      <c r="X330" s="629"/>
      <c r="Y330" s="467"/>
      <c r="Z330" s="504"/>
      <c r="AA330" s="468"/>
      <c r="AB330" s="616"/>
      <c r="AC330" s="635"/>
      <c r="AD330" s="636"/>
      <c r="AE330" s="637"/>
      <c r="AF330" s="629"/>
      <c r="AG330" s="635"/>
      <c r="AH330" s="636"/>
      <c r="AI330" s="637"/>
      <c r="AJ330" s="629"/>
      <c r="AK330" s="435"/>
      <c r="AL330" s="435"/>
      <c r="AM330" s="435"/>
      <c r="AN330" s="435"/>
      <c r="AO330" s="467"/>
      <c r="AP330" s="504"/>
      <c r="AQ330" s="468"/>
      <c r="AR330" s="616"/>
      <c r="AS330" s="630"/>
      <c r="AT330" s="630"/>
    </row>
    <row r="331">
      <c r="A331" s="467"/>
      <c r="B331" s="504"/>
      <c r="C331" s="468"/>
      <c r="D331" s="616"/>
      <c r="E331" s="467"/>
      <c r="F331" s="504"/>
      <c r="G331" s="468"/>
      <c r="H331" s="616"/>
      <c r="I331" s="467"/>
      <c r="J331" s="504"/>
      <c r="K331" s="468"/>
      <c r="L331" s="616"/>
      <c r="M331" s="467"/>
      <c r="N331" s="504"/>
      <c r="O331" s="468"/>
      <c r="P331" s="616"/>
      <c r="Q331" s="635"/>
      <c r="R331" s="636"/>
      <c r="S331" s="637"/>
      <c r="T331" s="629"/>
      <c r="U331" s="635"/>
      <c r="V331" s="636"/>
      <c r="W331" s="637"/>
      <c r="X331" s="629"/>
      <c r="Y331" s="467"/>
      <c r="Z331" s="504"/>
      <c r="AA331" s="468"/>
      <c r="AB331" s="616"/>
      <c r="AC331" s="635"/>
      <c r="AD331" s="636"/>
      <c r="AE331" s="637"/>
      <c r="AF331" s="629"/>
      <c r="AG331" s="635"/>
      <c r="AH331" s="636"/>
      <c r="AI331" s="637"/>
      <c r="AJ331" s="629"/>
      <c r="AK331" s="435"/>
      <c r="AL331" s="435"/>
      <c r="AM331" s="435"/>
      <c r="AN331" s="435"/>
      <c r="AO331" s="467"/>
      <c r="AP331" s="504"/>
      <c r="AQ331" s="468"/>
      <c r="AR331" s="616"/>
      <c r="AS331" s="630"/>
      <c r="AT331" s="630"/>
    </row>
    <row r="332">
      <c r="A332" s="467"/>
      <c r="B332" s="504"/>
      <c r="C332" s="468"/>
      <c r="D332" s="616"/>
      <c r="E332" s="467"/>
      <c r="F332" s="504"/>
      <c r="G332" s="468"/>
      <c r="H332" s="616"/>
      <c r="I332" s="467"/>
      <c r="J332" s="504"/>
      <c r="K332" s="468"/>
      <c r="L332" s="616"/>
      <c r="M332" s="467"/>
      <c r="N332" s="504"/>
      <c r="O332" s="468"/>
      <c r="P332" s="616"/>
      <c r="Q332" s="635"/>
      <c r="R332" s="636"/>
      <c r="S332" s="637"/>
      <c r="T332" s="629"/>
      <c r="U332" s="635"/>
      <c r="V332" s="636"/>
      <c r="W332" s="637"/>
      <c r="X332" s="629"/>
      <c r="Y332" s="467"/>
      <c r="Z332" s="504"/>
      <c r="AA332" s="468"/>
      <c r="AB332" s="616"/>
      <c r="AC332" s="635"/>
      <c r="AD332" s="636"/>
      <c r="AE332" s="637"/>
      <c r="AF332" s="629"/>
      <c r="AG332" s="635"/>
      <c r="AH332" s="636"/>
      <c r="AI332" s="637"/>
      <c r="AJ332" s="629"/>
      <c r="AK332" s="435"/>
      <c r="AL332" s="435"/>
      <c r="AM332" s="435"/>
      <c r="AN332" s="435"/>
      <c r="AO332" s="467"/>
      <c r="AP332" s="504"/>
      <c r="AQ332" s="468"/>
      <c r="AR332" s="616"/>
      <c r="AS332" s="630"/>
      <c r="AT332" s="630"/>
    </row>
    <row r="333">
      <c r="A333" s="467"/>
      <c r="B333" s="504"/>
      <c r="C333" s="468"/>
      <c r="D333" s="616"/>
      <c r="E333" s="467"/>
      <c r="F333" s="504"/>
      <c r="G333" s="468"/>
      <c r="H333" s="616"/>
      <c r="I333" s="467"/>
      <c r="J333" s="504"/>
      <c r="K333" s="468"/>
      <c r="L333" s="616"/>
      <c r="M333" s="467"/>
      <c r="N333" s="504"/>
      <c r="O333" s="468"/>
      <c r="P333" s="616"/>
      <c r="Q333" s="635"/>
      <c r="R333" s="636"/>
      <c r="S333" s="637"/>
      <c r="T333" s="629"/>
      <c r="U333" s="635"/>
      <c r="V333" s="636"/>
      <c r="W333" s="637"/>
      <c r="X333" s="629"/>
      <c r="Y333" s="467"/>
      <c r="Z333" s="504"/>
      <c r="AA333" s="468"/>
      <c r="AB333" s="616"/>
      <c r="AC333" s="635"/>
      <c r="AD333" s="636"/>
      <c r="AE333" s="637"/>
      <c r="AF333" s="629"/>
      <c r="AG333" s="635"/>
      <c r="AH333" s="636"/>
      <c r="AI333" s="637"/>
      <c r="AJ333" s="629"/>
      <c r="AK333" s="435"/>
      <c r="AL333" s="435"/>
      <c r="AM333" s="435"/>
      <c r="AN333" s="435"/>
      <c r="AO333" s="467"/>
      <c r="AP333" s="504"/>
      <c r="AQ333" s="468"/>
      <c r="AR333" s="616"/>
      <c r="AS333" s="630"/>
      <c r="AT333" s="630"/>
    </row>
    <row r="334">
      <c r="A334" s="467"/>
      <c r="B334" s="504"/>
      <c r="C334" s="468"/>
      <c r="D334" s="616"/>
      <c r="E334" s="467"/>
      <c r="F334" s="504"/>
      <c r="G334" s="468"/>
      <c r="H334" s="616"/>
      <c r="I334" s="467"/>
      <c r="J334" s="504"/>
      <c r="K334" s="468"/>
      <c r="L334" s="616"/>
      <c r="M334" s="467"/>
      <c r="N334" s="504"/>
      <c r="O334" s="468"/>
      <c r="P334" s="616"/>
      <c r="Q334" s="635"/>
      <c r="R334" s="636"/>
      <c r="S334" s="637"/>
      <c r="T334" s="629"/>
      <c r="U334" s="635"/>
      <c r="V334" s="636"/>
      <c r="W334" s="637"/>
      <c r="X334" s="629"/>
      <c r="Y334" s="467"/>
      <c r="Z334" s="504"/>
      <c r="AA334" s="468"/>
      <c r="AB334" s="616"/>
      <c r="AC334" s="635"/>
      <c r="AD334" s="636"/>
      <c r="AE334" s="637"/>
      <c r="AF334" s="629"/>
      <c r="AG334" s="635"/>
      <c r="AH334" s="636"/>
      <c r="AI334" s="637"/>
      <c r="AJ334" s="629"/>
      <c r="AK334" s="435"/>
      <c r="AL334" s="435"/>
      <c r="AM334" s="435"/>
      <c r="AN334" s="435"/>
      <c r="AO334" s="467"/>
      <c r="AP334" s="504"/>
      <c r="AQ334" s="468"/>
      <c r="AR334" s="616"/>
      <c r="AS334" s="630"/>
      <c r="AT334" s="630"/>
    </row>
    <row r="335">
      <c r="A335" s="467"/>
      <c r="B335" s="504"/>
      <c r="C335" s="468"/>
      <c r="D335" s="616"/>
      <c r="E335" s="467"/>
      <c r="F335" s="504"/>
      <c r="G335" s="468"/>
      <c r="H335" s="616"/>
      <c r="I335" s="467"/>
      <c r="J335" s="504"/>
      <c r="K335" s="468"/>
      <c r="L335" s="616"/>
      <c r="M335" s="467"/>
      <c r="N335" s="504"/>
      <c r="O335" s="468"/>
      <c r="P335" s="616"/>
      <c r="Q335" s="635"/>
      <c r="R335" s="636"/>
      <c r="S335" s="637"/>
      <c r="T335" s="629"/>
      <c r="U335" s="635"/>
      <c r="V335" s="636"/>
      <c r="W335" s="637"/>
      <c r="X335" s="629"/>
      <c r="Y335" s="467"/>
      <c r="Z335" s="504"/>
      <c r="AA335" s="468"/>
      <c r="AB335" s="616"/>
      <c r="AC335" s="635"/>
      <c r="AD335" s="636"/>
      <c r="AE335" s="637"/>
      <c r="AF335" s="629"/>
      <c r="AG335" s="635"/>
      <c r="AH335" s="636"/>
      <c r="AI335" s="637"/>
      <c r="AJ335" s="629"/>
      <c r="AK335" s="435"/>
      <c r="AL335" s="435"/>
      <c r="AM335" s="435"/>
      <c r="AN335" s="435"/>
      <c r="AO335" s="467"/>
      <c r="AP335" s="504"/>
      <c r="AQ335" s="468"/>
      <c r="AR335" s="616"/>
      <c r="AS335" s="630"/>
      <c r="AT335" s="630"/>
    </row>
    <row r="336">
      <c r="A336" s="467"/>
      <c r="B336" s="504"/>
      <c r="C336" s="468"/>
      <c r="D336" s="616"/>
      <c r="E336" s="467"/>
      <c r="F336" s="504"/>
      <c r="G336" s="468"/>
      <c r="H336" s="616"/>
      <c r="I336" s="467"/>
      <c r="J336" s="504"/>
      <c r="K336" s="468"/>
      <c r="L336" s="616"/>
      <c r="M336" s="467"/>
      <c r="N336" s="504"/>
      <c r="O336" s="468"/>
      <c r="P336" s="616"/>
      <c r="Q336" s="635"/>
      <c r="R336" s="636"/>
      <c r="S336" s="637"/>
      <c r="T336" s="629"/>
      <c r="U336" s="635"/>
      <c r="V336" s="636"/>
      <c r="W336" s="637"/>
      <c r="X336" s="629"/>
      <c r="Y336" s="467"/>
      <c r="Z336" s="504"/>
      <c r="AA336" s="468"/>
      <c r="AB336" s="616"/>
      <c r="AC336" s="635"/>
      <c r="AD336" s="636"/>
      <c r="AE336" s="637"/>
      <c r="AF336" s="629"/>
      <c r="AG336" s="635"/>
      <c r="AH336" s="636"/>
      <c r="AI336" s="637"/>
      <c r="AJ336" s="629"/>
      <c r="AK336" s="435"/>
      <c r="AL336" s="435"/>
      <c r="AM336" s="435"/>
      <c r="AN336" s="435"/>
      <c r="AO336" s="467"/>
      <c r="AP336" s="504"/>
      <c r="AQ336" s="468"/>
      <c r="AR336" s="616"/>
      <c r="AS336" s="630"/>
      <c r="AT336" s="630"/>
    </row>
    <row r="337">
      <c r="A337" s="467"/>
      <c r="B337" s="504"/>
      <c r="C337" s="468"/>
      <c r="D337" s="616"/>
      <c r="E337" s="467"/>
      <c r="F337" s="504"/>
      <c r="G337" s="468"/>
      <c r="H337" s="616"/>
      <c r="I337" s="467"/>
      <c r="J337" s="504"/>
      <c r="K337" s="468"/>
      <c r="L337" s="616"/>
      <c r="M337" s="467"/>
      <c r="N337" s="504"/>
      <c r="O337" s="468"/>
      <c r="P337" s="616"/>
      <c r="Q337" s="635"/>
      <c r="R337" s="636"/>
      <c r="S337" s="637"/>
      <c r="T337" s="629"/>
      <c r="U337" s="635"/>
      <c r="V337" s="636"/>
      <c r="W337" s="637"/>
      <c r="X337" s="629"/>
      <c r="Y337" s="467"/>
      <c r="Z337" s="504"/>
      <c r="AA337" s="468"/>
      <c r="AB337" s="616"/>
      <c r="AC337" s="635"/>
      <c r="AD337" s="636"/>
      <c r="AE337" s="637"/>
      <c r="AF337" s="629"/>
      <c r="AG337" s="635"/>
      <c r="AH337" s="636"/>
      <c r="AI337" s="637"/>
      <c r="AJ337" s="629"/>
      <c r="AK337" s="435"/>
      <c r="AL337" s="435"/>
      <c r="AM337" s="435"/>
      <c r="AN337" s="435"/>
      <c r="AO337" s="467"/>
      <c r="AP337" s="504"/>
      <c r="AQ337" s="468"/>
      <c r="AR337" s="616"/>
      <c r="AS337" s="630"/>
      <c r="AT337" s="630"/>
    </row>
    <row r="338">
      <c r="A338" s="467"/>
      <c r="B338" s="504"/>
      <c r="C338" s="468"/>
      <c r="D338" s="616"/>
      <c r="E338" s="467"/>
      <c r="F338" s="504"/>
      <c r="G338" s="468"/>
      <c r="H338" s="616"/>
      <c r="I338" s="467"/>
      <c r="J338" s="504"/>
      <c r="K338" s="468"/>
      <c r="L338" s="616"/>
      <c r="M338" s="467"/>
      <c r="N338" s="504"/>
      <c r="O338" s="468"/>
      <c r="P338" s="616"/>
      <c r="Q338" s="635"/>
      <c r="R338" s="636"/>
      <c r="S338" s="637"/>
      <c r="T338" s="629"/>
      <c r="U338" s="635"/>
      <c r="V338" s="636"/>
      <c r="W338" s="637"/>
      <c r="X338" s="629"/>
      <c r="Y338" s="467"/>
      <c r="Z338" s="504"/>
      <c r="AA338" s="468"/>
      <c r="AB338" s="616"/>
      <c r="AC338" s="635"/>
      <c r="AD338" s="636"/>
      <c r="AE338" s="637"/>
      <c r="AF338" s="629"/>
      <c r="AG338" s="635"/>
      <c r="AH338" s="636"/>
      <c r="AI338" s="637"/>
      <c r="AJ338" s="629"/>
      <c r="AK338" s="435"/>
      <c r="AL338" s="435"/>
      <c r="AM338" s="435"/>
      <c r="AN338" s="435"/>
      <c r="AO338" s="467"/>
      <c r="AP338" s="504"/>
      <c r="AQ338" s="468"/>
      <c r="AR338" s="616"/>
      <c r="AS338" s="630"/>
      <c r="AT338" s="630"/>
    </row>
    <row r="339">
      <c r="A339" s="467"/>
      <c r="B339" s="504"/>
      <c r="C339" s="468"/>
      <c r="D339" s="616"/>
      <c r="E339" s="467"/>
      <c r="F339" s="504"/>
      <c r="G339" s="468"/>
      <c r="H339" s="616"/>
      <c r="I339" s="467"/>
      <c r="J339" s="504"/>
      <c r="K339" s="468"/>
      <c r="L339" s="616"/>
      <c r="M339" s="467"/>
      <c r="N339" s="504"/>
      <c r="O339" s="468"/>
      <c r="P339" s="616"/>
      <c r="Q339" s="635"/>
      <c r="R339" s="636"/>
      <c r="S339" s="637"/>
      <c r="T339" s="629"/>
      <c r="U339" s="635"/>
      <c r="V339" s="636"/>
      <c r="W339" s="637"/>
      <c r="X339" s="629"/>
      <c r="Y339" s="467"/>
      <c r="Z339" s="504"/>
      <c r="AA339" s="468"/>
      <c r="AB339" s="616"/>
      <c r="AC339" s="635"/>
      <c r="AD339" s="636"/>
      <c r="AE339" s="637"/>
      <c r="AF339" s="629"/>
      <c r="AG339" s="635"/>
      <c r="AH339" s="636"/>
      <c r="AI339" s="637"/>
      <c r="AJ339" s="629"/>
      <c r="AK339" s="435"/>
      <c r="AL339" s="435"/>
      <c r="AM339" s="435"/>
      <c r="AN339" s="435"/>
      <c r="AO339" s="467"/>
      <c r="AP339" s="504"/>
      <c r="AQ339" s="468"/>
      <c r="AR339" s="616"/>
      <c r="AS339" s="630"/>
      <c r="AT339" s="630"/>
    </row>
    <row r="340">
      <c r="A340" s="467"/>
      <c r="B340" s="504"/>
      <c r="C340" s="468"/>
      <c r="D340" s="616"/>
      <c r="E340" s="467"/>
      <c r="F340" s="504"/>
      <c r="G340" s="468"/>
      <c r="H340" s="616"/>
      <c r="I340" s="467"/>
      <c r="J340" s="504"/>
      <c r="K340" s="468"/>
      <c r="L340" s="616"/>
      <c r="M340" s="467"/>
      <c r="N340" s="504"/>
      <c r="O340" s="468"/>
      <c r="P340" s="616"/>
      <c r="Q340" s="635"/>
      <c r="R340" s="636"/>
      <c r="S340" s="637"/>
      <c r="T340" s="629"/>
      <c r="U340" s="635"/>
      <c r="V340" s="636"/>
      <c r="W340" s="637"/>
      <c r="X340" s="629"/>
      <c r="Y340" s="467"/>
      <c r="Z340" s="504"/>
      <c r="AA340" s="468"/>
      <c r="AB340" s="616"/>
      <c r="AC340" s="635"/>
      <c r="AD340" s="636"/>
      <c r="AE340" s="637"/>
      <c r="AF340" s="629"/>
      <c r="AG340" s="635"/>
      <c r="AH340" s="636"/>
      <c r="AI340" s="637"/>
      <c r="AJ340" s="629"/>
      <c r="AK340" s="435"/>
      <c r="AL340" s="435"/>
      <c r="AM340" s="435"/>
      <c r="AN340" s="435"/>
      <c r="AO340" s="467"/>
      <c r="AP340" s="504"/>
      <c r="AQ340" s="468"/>
      <c r="AR340" s="616"/>
      <c r="AS340" s="630"/>
      <c r="AT340" s="630"/>
    </row>
    <row r="341">
      <c r="A341" s="467"/>
      <c r="B341" s="504"/>
      <c r="C341" s="468"/>
      <c r="D341" s="616"/>
      <c r="E341" s="467"/>
      <c r="F341" s="504"/>
      <c r="G341" s="468"/>
      <c r="H341" s="616"/>
      <c r="I341" s="467"/>
      <c r="J341" s="504"/>
      <c r="K341" s="468"/>
      <c r="L341" s="616"/>
      <c r="M341" s="467"/>
      <c r="N341" s="504"/>
      <c r="O341" s="468"/>
      <c r="P341" s="616"/>
      <c r="Q341" s="635"/>
      <c r="R341" s="636"/>
      <c r="S341" s="637"/>
      <c r="T341" s="629"/>
      <c r="U341" s="635"/>
      <c r="V341" s="636"/>
      <c r="W341" s="637"/>
      <c r="X341" s="629"/>
      <c r="Y341" s="467"/>
      <c r="Z341" s="504"/>
      <c r="AA341" s="468"/>
      <c r="AB341" s="616"/>
      <c r="AC341" s="635"/>
      <c r="AD341" s="636"/>
      <c r="AE341" s="637"/>
      <c r="AF341" s="629"/>
      <c r="AG341" s="635"/>
      <c r="AH341" s="636"/>
      <c r="AI341" s="637"/>
      <c r="AJ341" s="629"/>
      <c r="AK341" s="435"/>
      <c r="AL341" s="435"/>
      <c r="AM341" s="435"/>
      <c r="AN341" s="435"/>
      <c r="AO341" s="467"/>
      <c r="AP341" s="504"/>
      <c r="AQ341" s="468"/>
      <c r="AR341" s="616"/>
      <c r="AS341" s="630"/>
      <c r="AT341" s="630"/>
    </row>
    <row r="342">
      <c r="A342" s="467"/>
      <c r="B342" s="504"/>
      <c r="C342" s="468"/>
      <c r="D342" s="616"/>
      <c r="E342" s="467"/>
      <c r="F342" s="504"/>
      <c r="G342" s="468"/>
      <c r="H342" s="616"/>
      <c r="I342" s="467"/>
      <c r="J342" s="504"/>
      <c r="K342" s="468"/>
      <c r="L342" s="616"/>
      <c r="M342" s="467"/>
      <c r="N342" s="504"/>
      <c r="O342" s="468"/>
      <c r="P342" s="616"/>
      <c r="Q342" s="635"/>
      <c r="R342" s="636"/>
      <c r="S342" s="637"/>
      <c r="T342" s="629"/>
      <c r="U342" s="635"/>
      <c r="V342" s="636"/>
      <c r="W342" s="637"/>
      <c r="X342" s="629"/>
      <c r="Y342" s="467"/>
      <c r="Z342" s="504"/>
      <c r="AA342" s="468"/>
      <c r="AB342" s="616"/>
      <c r="AC342" s="635"/>
      <c r="AD342" s="636"/>
      <c r="AE342" s="637"/>
      <c r="AF342" s="629"/>
      <c r="AG342" s="635"/>
      <c r="AH342" s="636"/>
      <c r="AI342" s="637"/>
      <c r="AJ342" s="629"/>
      <c r="AK342" s="435"/>
      <c r="AL342" s="435"/>
      <c r="AM342" s="435"/>
      <c r="AN342" s="435"/>
      <c r="AO342" s="467"/>
      <c r="AP342" s="504"/>
      <c r="AQ342" s="468"/>
      <c r="AR342" s="616"/>
      <c r="AS342" s="630"/>
      <c r="AT342" s="630"/>
    </row>
    <row r="343">
      <c r="A343" s="467"/>
      <c r="B343" s="504"/>
      <c r="C343" s="468"/>
      <c r="D343" s="616"/>
      <c r="E343" s="467"/>
      <c r="F343" s="504"/>
      <c r="G343" s="468"/>
      <c r="H343" s="616"/>
      <c r="I343" s="467"/>
      <c r="J343" s="504"/>
      <c r="K343" s="468"/>
      <c r="L343" s="616"/>
      <c r="M343" s="467"/>
      <c r="N343" s="504"/>
      <c r="O343" s="468"/>
      <c r="P343" s="616"/>
      <c r="Q343" s="635"/>
      <c r="R343" s="636"/>
      <c r="S343" s="637"/>
      <c r="T343" s="629"/>
      <c r="U343" s="635"/>
      <c r="V343" s="636"/>
      <c r="W343" s="637"/>
      <c r="X343" s="629"/>
      <c r="Y343" s="467"/>
      <c r="Z343" s="504"/>
      <c r="AA343" s="468"/>
      <c r="AB343" s="616"/>
      <c r="AC343" s="635"/>
      <c r="AD343" s="636"/>
      <c r="AE343" s="637"/>
      <c r="AF343" s="629"/>
      <c r="AG343" s="635"/>
      <c r="AH343" s="636"/>
      <c r="AI343" s="637"/>
      <c r="AJ343" s="629"/>
      <c r="AK343" s="435"/>
      <c r="AL343" s="435"/>
      <c r="AM343" s="435"/>
      <c r="AN343" s="435"/>
      <c r="AO343" s="467"/>
      <c r="AP343" s="504"/>
      <c r="AQ343" s="468"/>
      <c r="AR343" s="616"/>
      <c r="AS343" s="630"/>
      <c r="AT343" s="630"/>
    </row>
    <row r="344">
      <c r="A344" s="467"/>
      <c r="B344" s="504"/>
      <c r="C344" s="468"/>
      <c r="D344" s="616"/>
      <c r="E344" s="467"/>
      <c r="F344" s="504"/>
      <c r="G344" s="468"/>
      <c r="H344" s="616"/>
      <c r="I344" s="467"/>
      <c r="J344" s="504"/>
      <c r="K344" s="468"/>
      <c r="L344" s="616"/>
      <c r="M344" s="467"/>
      <c r="N344" s="504"/>
      <c r="O344" s="468"/>
      <c r="P344" s="616"/>
      <c r="Q344" s="635"/>
      <c r="R344" s="636"/>
      <c r="S344" s="637"/>
      <c r="T344" s="629"/>
      <c r="U344" s="635"/>
      <c r="V344" s="636"/>
      <c r="W344" s="637"/>
      <c r="X344" s="629"/>
      <c r="Y344" s="467"/>
      <c r="Z344" s="504"/>
      <c r="AA344" s="468"/>
      <c r="AB344" s="616"/>
      <c r="AC344" s="635"/>
      <c r="AD344" s="636"/>
      <c r="AE344" s="637"/>
      <c r="AF344" s="629"/>
      <c r="AG344" s="635"/>
      <c r="AH344" s="636"/>
      <c r="AI344" s="637"/>
      <c r="AJ344" s="629"/>
      <c r="AK344" s="435"/>
      <c r="AL344" s="435"/>
      <c r="AM344" s="435"/>
      <c r="AN344" s="435"/>
      <c r="AO344" s="467"/>
      <c r="AP344" s="504"/>
      <c r="AQ344" s="468"/>
      <c r="AR344" s="616"/>
      <c r="AS344" s="630"/>
      <c r="AT344" s="630"/>
    </row>
    <row r="345">
      <c r="A345" s="467"/>
      <c r="B345" s="504"/>
      <c r="C345" s="468"/>
      <c r="D345" s="616"/>
      <c r="E345" s="467"/>
      <c r="F345" s="504"/>
      <c r="G345" s="468"/>
      <c r="H345" s="616"/>
      <c r="I345" s="467"/>
      <c r="J345" s="504"/>
      <c r="K345" s="468"/>
      <c r="L345" s="616"/>
      <c r="M345" s="467"/>
      <c r="N345" s="504"/>
      <c r="O345" s="468"/>
      <c r="P345" s="616"/>
      <c r="Q345" s="635"/>
      <c r="R345" s="636"/>
      <c r="S345" s="637"/>
      <c r="T345" s="629"/>
      <c r="U345" s="635"/>
      <c r="V345" s="636"/>
      <c r="W345" s="637"/>
      <c r="X345" s="629"/>
      <c r="Y345" s="467"/>
      <c r="Z345" s="504"/>
      <c r="AA345" s="468"/>
      <c r="AB345" s="616"/>
      <c r="AC345" s="635"/>
      <c r="AD345" s="636"/>
      <c r="AE345" s="637"/>
      <c r="AF345" s="629"/>
      <c r="AG345" s="635"/>
      <c r="AH345" s="636"/>
      <c r="AI345" s="637"/>
      <c r="AJ345" s="629"/>
      <c r="AK345" s="435"/>
      <c r="AL345" s="435"/>
      <c r="AM345" s="435"/>
      <c r="AN345" s="435"/>
      <c r="AO345" s="467"/>
      <c r="AP345" s="504"/>
      <c r="AQ345" s="468"/>
      <c r="AR345" s="616"/>
      <c r="AS345" s="630"/>
      <c r="AT345" s="630"/>
    </row>
    <row r="346">
      <c r="A346" s="467"/>
      <c r="B346" s="504"/>
      <c r="C346" s="468"/>
      <c r="D346" s="616"/>
      <c r="E346" s="467"/>
      <c r="F346" s="504"/>
      <c r="G346" s="468"/>
      <c r="H346" s="616"/>
      <c r="I346" s="467"/>
      <c r="J346" s="504"/>
      <c r="K346" s="468"/>
      <c r="L346" s="616"/>
      <c r="M346" s="467"/>
      <c r="N346" s="504"/>
      <c r="O346" s="468"/>
      <c r="P346" s="616"/>
      <c r="Q346" s="635"/>
      <c r="R346" s="636"/>
      <c r="S346" s="637"/>
      <c r="T346" s="629"/>
      <c r="U346" s="635"/>
      <c r="V346" s="636"/>
      <c r="W346" s="637"/>
      <c r="X346" s="629"/>
      <c r="Y346" s="467"/>
      <c r="Z346" s="504"/>
      <c r="AA346" s="468"/>
      <c r="AB346" s="616"/>
      <c r="AC346" s="635"/>
      <c r="AD346" s="636"/>
      <c r="AE346" s="637"/>
      <c r="AF346" s="629"/>
      <c r="AG346" s="635"/>
      <c r="AH346" s="636"/>
      <c r="AI346" s="637"/>
      <c r="AJ346" s="629"/>
      <c r="AK346" s="435"/>
      <c r="AL346" s="435"/>
      <c r="AM346" s="435"/>
      <c r="AN346" s="435"/>
      <c r="AO346" s="467"/>
      <c r="AP346" s="504"/>
      <c r="AQ346" s="468"/>
      <c r="AR346" s="616"/>
      <c r="AS346" s="630"/>
      <c r="AT346" s="630"/>
    </row>
    <row r="347">
      <c r="A347" s="467"/>
      <c r="B347" s="504"/>
      <c r="C347" s="468"/>
      <c r="D347" s="616"/>
      <c r="E347" s="467"/>
      <c r="F347" s="504"/>
      <c r="G347" s="468"/>
      <c r="H347" s="616"/>
      <c r="I347" s="467"/>
      <c r="J347" s="504"/>
      <c r="K347" s="468"/>
      <c r="L347" s="616"/>
      <c r="M347" s="467"/>
      <c r="N347" s="504"/>
      <c r="O347" s="468"/>
      <c r="P347" s="616"/>
      <c r="Q347" s="635"/>
      <c r="R347" s="636"/>
      <c r="S347" s="637"/>
      <c r="T347" s="629"/>
      <c r="U347" s="635"/>
      <c r="V347" s="636"/>
      <c r="W347" s="637"/>
      <c r="X347" s="629"/>
      <c r="Y347" s="467"/>
      <c r="Z347" s="504"/>
      <c r="AA347" s="468"/>
      <c r="AB347" s="616"/>
      <c r="AC347" s="635"/>
      <c r="AD347" s="636"/>
      <c r="AE347" s="637"/>
      <c r="AF347" s="629"/>
      <c r="AG347" s="635"/>
      <c r="AH347" s="636"/>
      <c r="AI347" s="637"/>
      <c r="AJ347" s="629"/>
      <c r="AK347" s="435"/>
      <c r="AL347" s="435"/>
      <c r="AM347" s="435"/>
      <c r="AN347" s="435"/>
      <c r="AO347" s="467"/>
      <c r="AP347" s="504"/>
      <c r="AQ347" s="468"/>
      <c r="AR347" s="616"/>
      <c r="AS347" s="630"/>
      <c r="AT347" s="630"/>
    </row>
    <row r="348">
      <c r="A348" s="467"/>
      <c r="B348" s="504"/>
      <c r="C348" s="468"/>
      <c r="D348" s="616"/>
      <c r="E348" s="467"/>
      <c r="F348" s="504"/>
      <c r="G348" s="468"/>
      <c r="H348" s="616"/>
      <c r="I348" s="467"/>
      <c r="J348" s="504"/>
      <c r="K348" s="468"/>
      <c r="L348" s="616"/>
      <c r="M348" s="467"/>
      <c r="N348" s="504"/>
      <c r="O348" s="468"/>
      <c r="P348" s="616"/>
      <c r="Q348" s="635"/>
      <c r="R348" s="636"/>
      <c r="S348" s="637"/>
      <c r="T348" s="629"/>
      <c r="U348" s="635"/>
      <c r="V348" s="636"/>
      <c r="W348" s="637"/>
      <c r="X348" s="629"/>
      <c r="Y348" s="467"/>
      <c r="Z348" s="504"/>
      <c r="AA348" s="468"/>
      <c r="AB348" s="616"/>
      <c r="AC348" s="635"/>
      <c r="AD348" s="636"/>
      <c r="AE348" s="637"/>
      <c r="AF348" s="629"/>
      <c r="AG348" s="635"/>
      <c r="AH348" s="636"/>
      <c r="AI348" s="637"/>
      <c r="AJ348" s="629"/>
      <c r="AK348" s="435"/>
      <c r="AL348" s="435"/>
      <c r="AM348" s="435"/>
      <c r="AN348" s="435"/>
      <c r="AO348" s="467"/>
      <c r="AP348" s="504"/>
      <c r="AQ348" s="468"/>
      <c r="AR348" s="616"/>
      <c r="AS348" s="630"/>
      <c r="AT348" s="630"/>
    </row>
    <row r="349">
      <c r="A349" s="467"/>
      <c r="B349" s="504"/>
      <c r="C349" s="468"/>
      <c r="D349" s="616"/>
      <c r="E349" s="467"/>
      <c r="F349" s="504"/>
      <c r="G349" s="468"/>
      <c r="H349" s="616"/>
      <c r="I349" s="467"/>
      <c r="J349" s="504"/>
      <c r="K349" s="468"/>
      <c r="L349" s="616"/>
      <c r="M349" s="467"/>
      <c r="N349" s="504"/>
      <c r="O349" s="468"/>
      <c r="P349" s="616"/>
      <c r="Q349" s="635"/>
      <c r="R349" s="636"/>
      <c r="S349" s="637"/>
      <c r="T349" s="629"/>
      <c r="U349" s="635"/>
      <c r="V349" s="636"/>
      <c r="W349" s="637"/>
      <c r="X349" s="629"/>
      <c r="Y349" s="467"/>
      <c r="Z349" s="504"/>
      <c r="AA349" s="468"/>
      <c r="AB349" s="616"/>
      <c r="AC349" s="635"/>
      <c r="AD349" s="636"/>
      <c r="AE349" s="637"/>
      <c r="AF349" s="629"/>
      <c r="AG349" s="635"/>
      <c r="AH349" s="636"/>
      <c r="AI349" s="637"/>
      <c r="AJ349" s="629"/>
      <c r="AK349" s="435"/>
      <c r="AL349" s="435"/>
      <c r="AM349" s="435"/>
      <c r="AN349" s="435"/>
      <c r="AO349" s="467"/>
      <c r="AP349" s="504"/>
      <c r="AQ349" s="468"/>
      <c r="AR349" s="616"/>
      <c r="AS349" s="630"/>
      <c r="AT349" s="630"/>
    </row>
    <row r="350">
      <c r="A350" s="467"/>
      <c r="B350" s="504"/>
      <c r="C350" s="468"/>
      <c r="D350" s="616"/>
      <c r="E350" s="467"/>
      <c r="F350" s="504"/>
      <c r="G350" s="468"/>
      <c r="H350" s="616"/>
      <c r="I350" s="467"/>
      <c r="J350" s="504"/>
      <c r="K350" s="468"/>
      <c r="L350" s="616"/>
      <c r="M350" s="467"/>
      <c r="N350" s="504"/>
      <c r="O350" s="468"/>
      <c r="P350" s="616"/>
      <c r="Q350" s="635"/>
      <c r="R350" s="636"/>
      <c r="S350" s="637"/>
      <c r="T350" s="629"/>
      <c r="U350" s="635"/>
      <c r="V350" s="636"/>
      <c r="W350" s="637"/>
      <c r="X350" s="629"/>
      <c r="Y350" s="467"/>
      <c r="Z350" s="504"/>
      <c r="AA350" s="468"/>
      <c r="AB350" s="616"/>
      <c r="AC350" s="635"/>
      <c r="AD350" s="636"/>
      <c r="AE350" s="637"/>
      <c r="AF350" s="629"/>
      <c r="AG350" s="635"/>
      <c r="AH350" s="636"/>
      <c r="AI350" s="637"/>
      <c r="AJ350" s="629"/>
      <c r="AK350" s="435"/>
      <c r="AL350" s="435"/>
      <c r="AM350" s="435"/>
      <c r="AN350" s="435"/>
      <c r="AO350" s="467"/>
      <c r="AP350" s="504"/>
      <c r="AQ350" s="468"/>
      <c r="AR350" s="616"/>
      <c r="AS350" s="630"/>
      <c r="AT350" s="630"/>
    </row>
    <row r="351">
      <c r="A351" s="467"/>
      <c r="B351" s="504"/>
      <c r="C351" s="468"/>
      <c r="D351" s="616"/>
      <c r="E351" s="467"/>
      <c r="F351" s="504"/>
      <c r="G351" s="468"/>
      <c r="H351" s="616"/>
      <c r="I351" s="467"/>
      <c r="J351" s="504"/>
      <c r="K351" s="468"/>
      <c r="L351" s="616"/>
      <c r="M351" s="467"/>
      <c r="N351" s="504"/>
      <c r="O351" s="468"/>
      <c r="P351" s="616"/>
      <c r="Q351" s="635"/>
      <c r="R351" s="636"/>
      <c r="S351" s="637"/>
      <c r="T351" s="629"/>
      <c r="U351" s="635"/>
      <c r="V351" s="636"/>
      <c r="W351" s="637"/>
      <c r="X351" s="629"/>
      <c r="Y351" s="467"/>
      <c r="Z351" s="504"/>
      <c r="AA351" s="468"/>
      <c r="AB351" s="616"/>
      <c r="AC351" s="635"/>
      <c r="AD351" s="636"/>
      <c r="AE351" s="637"/>
      <c r="AF351" s="629"/>
      <c r="AG351" s="635"/>
      <c r="AH351" s="636"/>
      <c r="AI351" s="637"/>
      <c r="AJ351" s="629"/>
      <c r="AK351" s="435"/>
      <c r="AL351" s="435"/>
      <c r="AM351" s="435"/>
      <c r="AN351" s="435"/>
      <c r="AO351" s="467"/>
      <c r="AP351" s="504"/>
      <c r="AQ351" s="468"/>
      <c r="AR351" s="616"/>
      <c r="AS351" s="630"/>
      <c r="AT351" s="630"/>
    </row>
    <row r="352">
      <c r="A352" s="467"/>
      <c r="B352" s="504"/>
      <c r="C352" s="468"/>
      <c r="D352" s="616"/>
      <c r="E352" s="467"/>
      <c r="F352" s="504"/>
      <c r="G352" s="468"/>
      <c r="H352" s="616"/>
      <c r="I352" s="467"/>
      <c r="J352" s="504"/>
      <c r="K352" s="468"/>
      <c r="L352" s="616"/>
      <c r="M352" s="467"/>
      <c r="N352" s="504"/>
      <c r="O352" s="468"/>
      <c r="P352" s="616"/>
      <c r="Q352" s="635"/>
      <c r="R352" s="636"/>
      <c r="S352" s="637"/>
      <c r="T352" s="629"/>
      <c r="U352" s="635"/>
      <c r="V352" s="636"/>
      <c r="W352" s="637"/>
      <c r="X352" s="629"/>
      <c r="Y352" s="467"/>
      <c r="Z352" s="504"/>
      <c r="AA352" s="468"/>
      <c r="AB352" s="616"/>
      <c r="AC352" s="635"/>
      <c r="AD352" s="636"/>
      <c r="AE352" s="637"/>
      <c r="AF352" s="629"/>
      <c r="AG352" s="635"/>
      <c r="AH352" s="636"/>
      <c r="AI352" s="637"/>
      <c r="AJ352" s="629"/>
      <c r="AK352" s="435"/>
      <c r="AL352" s="435"/>
      <c r="AM352" s="435"/>
      <c r="AN352" s="435"/>
      <c r="AO352" s="467"/>
      <c r="AP352" s="504"/>
      <c r="AQ352" s="468"/>
      <c r="AR352" s="616"/>
      <c r="AS352" s="630"/>
      <c r="AT352" s="630"/>
    </row>
    <row r="353">
      <c r="A353" s="467"/>
      <c r="B353" s="504"/>
      <c r="C353" s="468"/>
      <c r="D353" s="616"/>
      <c r="E353" s="467"/>
      <c r="F353" s="504"/>
      <c r="G353" s="468"/>
      <c r="H353" s="616"/>
      <c r="I353" s="467"/>
      <c r="J353" s="504"/>
      <c r="K353" s="468"/>
      <c r="L353" s="616"/>
      <c r="M353" s="467"/>
      <c r="N353" s="504"/>
      <c r="O353" s="468"/>
      <c r="P353" s="616"/>
      <c r="Q353" s="635"/>
      <c r="R353" s="636"/>
      <c r="S353" s="637"/>
      <c r="T353" s="629"/>
      <c r="U353" s="635"/>
      <c r="V353" s="636"/>
      <c r="W353" s="637"/>
      <c r="X353" s="629"/>
      <c r="Y353" s="467"/>
      <c r="Z353" s="504"/>
      <c r="AA353" s="468"/>
      <c r="AB353" s="616"/>
      <c r="AC353" s="635"/>
      <c r="AD353" s="636"/>
      <c r="AE353" s="637"/>
      <c r="AF353" s="629"/>
      <c r="AG353" s="635"/>
      <c r="AH353" s="636"/>
      <c r="AI353" s="637"/>
      <c r="AJ353" s="629"/>
      <c r="AK353" s="435"/>
      <c r="AL353" s="435"/>
      <c r="AM353" s="435"/>
      <c r="AN353" s="435"/>
      <c r="AO353" s="467"/>
      <c r="AP353" s="504"/>
      <c r="AQ353" s="468"/>
      <c r="AR353" s="616"/>
      <c r="AS353" s="630"/>
      <c r="AT353" s="630"/>
    </row>
    <row r="354">
      <c r="A354" s="467"/>
      <c r="B354" s="504"/>
      <c r="C354" s="468"/>
      <c r="D354" s="616"/>
      <c r="E354" s="467"/>
      <c r="F354" s="504"/>
      <c r="G354" s="468"/>
      <c r="H354" s="616"/>
      <c r="I354" s="467"/>
      <c r="J354" s="504"/>
      <c r="K354" s="468"/>
      <c r="L354" s="616"/>
      <c r="M354" s="467"/>
      <c r="N354" s="504"/>
      <c r="O354" s="468"/>
      <c r="P354" s="616"/>
      <c r="Q354" s="635"/>
      <c r="R354" s="636"/>
      <c r="S354" s="637"/>
      <c r="T354" s="629"/>
      <c r="U354" s="635"/>
      <c r="V354" s="636"/>
      <c r="W354" s="637"/>
      <c r="X354" s="629"/>
      <c r="Y354" s="467"/>
      <c r="Z354" s="504"/>
      <c r="AA354" s="468"/>
      <c r="AB354" s="616"/>
      <c r="AC354" s="635"/>
      <c r="AD354" s="636"/>
      <c r="AE354" s="637"/>
      <c r="AF354" s="629"/>
      <c r="AG354" s="635"/>
      <c r="AH354" s="636"/>
      <c r="AI354" s="637"/>
      <c r="AJ354" s="629"/>
      <c r="AK354" s="435"/>
      <c r="AL354" s="435"/>
      <c r="AM354" s="435"/>
      <c r="AN354" s="435"/>
      <c r="AO354" s="467"/>
      <c r="AP354" s="504"/>
      <c r="AQ354" s="468"/>
      <c r="AR354" s="616"/>
      <c r="AS354" s="630"/>
      <c r="AT354" s="630"/>
    </row>
    <row r="355">
      <c r="A355" s="467"/>
      <c r="B355" s="504"/>
      <c r="C355" s="468"/>
      <c r="D355" s="616"/>
      <c r="E355" s="467"/>
      <c r="F355" s="504"/>
      <c r="G355" s="468"/>
      <c r="H355" s="616"/>
      <c r="I355" s="467"/>
      <c r="J355" s="504"/>
      <c r="K355" s="468"/>
      <c r="L355" s="616"/>
      <c r="M355" s="467"/>
      <c r="N355" s="504"/>
      <c r="O355" s="468"/>
      <c r="P355" s="616"/>
      <c r="Q355" s="635"/>
      <c r="R355" s="636"/>
      <c r="S355" s="637"/>
      <c r="T355" s="629"/>
      <c r="U355" s="635"/>
      <c r="V355" s="636"/>
      <c r="W355" s="637"/>
      <c r="X355" s="629"/>
      <c r="Y355" s="467"/>
      <c r="Z355" s="504"/>
      <c r="AA355" s="468"/>
      <c r="AB355" s="616"/>
      <c r="AC355" s="635"/>
      <c r="AD355" s="636"/>
      <c r="AE355" s="637"/>
      <c r="AF355" s="629"/>
      <c r="AG355" s="635"/>
      <c r="AH355" s="636"/>
      <c r="AI355" s="637"/>
      <c r="AJ355" s="629"/>
      <c r="AK355" s="435"/>
      <c r="AL355" s="435"/>
      <c r="AM355" s="435"/>
      <c r="AN355" s="435"/>
      <c r="AO355" s="467"/>
      <c r="AP355" s="504"/>
      <c r="AQ355" s="468"/>
      <c r="AR355" s="616"/>
      <c r="AS355" s="630"/>
      <c r="AT355" s="630"/>
    </row>
    <row r="356">
      <c r="A356" s="467"/>
      <c r="B356" s="504"/>
      <c r="C356" s="468"/>
      <c r="D356" s="616"/>
      <c r="E356" s="467"/>
      <c r="F356" s="504"/>
      <c r="G356" s="468"/>
      <c r="H356" s="616"/>
      <c r="I356" s="467"/>
      <c r="J356" s="504"/>
      <c r="K356" s="468"/>
      <c r="L356" s="616"/>
      <c r="M356" s="467"/>
      <c r="N356" s="504"/>
      <c r="O356" s="468"/>
      <c r="P356" s="616"/>
      <c r="Q356" s="635"/>
      <c r="R356" s="636"/>
      <c r="S356" s="637"/>
      <c r="T356" s="629"/>
      <c r="U356" s="635"/>
      <c r="V356" s="636"/>
      <c r="W356" s="637"/>
      <c r="X356" s="629"/>
      <c r="Y356" s="467"/>
      <c r="Z356" s="504"/>
      <c r="AA356" s="468"/>
      <c r="AB356" s="616"/>
      <c r="AC356" s="635"/>
      <c r="AD356" s="636"/>
      <c r="AE356" s="637"/>
      <c r="AF356" s="629"/>
      <c r="AG356" s="635"/>
      <c r="AH356" s="636"/>
      <c r="AI356" s="637"/>
      <c r="AJ356" s="629"/>
      <c r="AK356" s="435"/>
      <c r="AL356" s="435"/>
      <c r="AM356" s="435"/>
      <c r="AN356" s="435"/>
      <c r="AO356" s="467"/>
      <c r="AP356" s="504"/>
      <c r="AQ356" s="468"/>
      <c r="AR356" s="616"/>
      <c r="AS356" s="630"/>
      <c r="AT356" s="630"/>
    </row>
    <row r="357">
      <c r="A357" s="467"/>
      <c r="B357" s="504"/>
      <c r="C357" s="468"/>
      <c r="D357" s="616"/>
      <c r="E357" s="467"/>
      <c r="F357" s="504"/>
      <c r="G357" s="468"/>
      <c r="H357" s="616"/>
      <c r="I357" s="467"/>
      <c r="J357" s="504"/>
      <c r="K357" s="468"/>
      <c r="L357" s="616"/>
      <c r="M357" s="467"/>
      <c r="N357" s="504"/>
      <c r="O357" s="468"/>
      <c r="P357" s="616"/>
      <c r="Q357" s="635"/>
      <c r="R357" s="636"/>
      <c r="S357" s="637"/>
      <c r="T357" s="629"/>
      <c r="U357" s="635"/>
      <c r="V357" s="636"/>
      <c r="W357" s="637"/>
      <c r="X357" s="629"/>
      <c r="Y357" s="467"/>
      <c r="Z357" s="504"/>
      <c r="AA357" s="468"/>
      <c r="AB357" s="616"/>
      <c r="AC357" s="635"/>
      <c r="AD357" s="636"/>
      <c r="AE357" s="637"/>
      <c r="AF357" s="629"/>
      <c r="AG357" s="635"/>
      <c r="AH357" s="636"/>
      <c r="AI357" s="637"/>
      <c r="AJ357" s="629"/>
      <c r="AK357" s="435"/>
      <c r="AL357" s="435"/>
      <c r="AM357" s="435"/>
      <c r="AN357" s="435"/>
      <c r="AO357" s="467"/>
      <c r="AP357" s="504"/>
      <c r="AQ357" s="468"/>
      <c r="AR357" s="616"/>
      <c r="AS357" s="630"/>
      <c r="AT357" s="630"/>
    </row>
    <row r="358">
      <c r="A358" s="467"/>
      <c r="B358" s="504"/>
      <c r="C358" s="468"/>
      <c r="D358" s="616"/>
      <c r="E358" s="467"/>
      <c r="F358" s="504"/>
      <c r="G358" s="468"/>
      <c r="H358" s="616"/>
      <c r="I358" s="467"/>
      <c r="J358" s="504"/>
      <c r="K358" s="468"/>
      <c r="L358" s="616"/>
      <c r="M358" s="467"/>
      <c r="N358" s="504"/>
      <c r="O358" s="468"/>
      <c r="P358" s="616"/>
      <c r="Q358" s="635"/>
      <c r="R358" s="636"/>
      <c r="S358" s="637"/>
      <c r="T358" s="629"/>
      <c r="U358" s="635"/>
      <c r="V358" s="636"/>
      <c r="W358" s="637"/>
      <c r="X358" s="629"/>
      <c r="Y358" s="467"/>
      <c r="Z358" s="504"/>
      <c r="AA358" s="468"/>
      <c r="AB358" s="616"/>
      <c r="AC358" s="635"/>
      <c r="AD358" s="636"/>
      <c r="AE358" s="637"/>
      <c r="AF358" s="629"/>
      <c r="AG358" s="635"/>
      <c r="AH358" s="636"/>
      <c r="AI358" s="637"/>
      <c r="AJ358" s="629"/>
      <c r="AK358" s="435"/>
      <c r="AL358" s="435"/>
      <c r="AM358" s="435"/>
      <c r="AN358" s="435"/>
      <c r="AO358" s="467"/>
      <c r="AP358" s="504"/>
      <c r="AQ358" s="468"/>
      <c r="AR358" s="616"/>
      <c r="AS358" s="630"/>
      <c r="AT358" s="630"/>
    </row>
    <row r="359">
      <c r="A359" s="467"/>
      <c r="B359" s="504"/>
      <c r="C359" s="468"/>
      <c r="D359" s="616"/>
      <c r="E359" s="467"/>
      <c r="F359" s="504"/>
      <c r="G359" s="468"/>
      <c r="H359" s="616"/>
      <c r="I359" s="467"/>
      <c r="J359" s="504"/>
      <c r="K359" s="468"/>
      <c r="L359" s="616"/>
      <c r="M359" s="467"/>
      <c r="N359" s="504"/>
      <c r="O359" s="468"/>
      <c r="P359" s="616"/>
      <c r="Q359" s="635"/>
      <c r="R359" s="636"/>
      <c r="S359" s="637"/>
      <c r="T359" s="629"/>
      <c r="U359" s="635"/>
      <c r="V359" s="636"/>
      <c r="W359" s="637"/>
      <c r="X359" s="629"/>
      <c r="Y359" s="467"/>
      <c r="Z359" s="504"/>
      <c r="AA359" s="468"/>
      <c r="AB359" s="616"/>
      <c r="AC359" s="635"/>
      <c r="AD359" s="636"/>
      <c r="AE359" s="637"/>
      <c r="AF359" s="629"/>
      <c r="AG359" s="635"/>
      <c r="AH359" s="636"/>
      <c r="AI359" s="637"/>
      <c r="AJ359" s="629"/>
      <c r="AK359" s="435"/>
      <c r="AL359" s="435"/>
      <c r="AM359" s="435"/>
      <c r="AN359" s="435"/>
      <c r="AO359" s="467"/>
      <c r="AP359" s="504"/>
      <c r="AQ359" s="468"/>
      <c r="AR359" s="616"/>
      <c r="AS359" s="630"/>
      <c r="AT359" s="630"/>
    </row>
    <row r="360">
      <c r="A360" s="467"/>
      <c r="B360" s="504"/>
      <c r="C360" s="468"/>
      <c r="D360" s="616"/>
      <c r="E360" s="467"/>
      <c r="F360" s="504"/>
      <c r="G360" s="468"/>
      <c r="H360" s="616"/>
      <c r="I360" s="467"/>
      <c r="J360" s="504"/>
      <c r="K360" s="468"/>
      <c r="L360" s="616"/>
      <c r="M360" s="467"/>
      <c r="N360" s="504"/>
      <c r="O360" s="468"/>
      <c r="P360" s="616"/>
      <c r="Q360" s="635"/>
      <c r="R360" s="636"/>
      <c r="S360" s="637"/>
      <c r="T360" s="629"/>
      <c r="U360" s="635"/>
      <c r="V360" s="636"/>
      <c r="W360" s="637"/>
      <c r="X360" s="629"/>
      <c r="Y360" s="467"/>
      <c r="Z360" s="504"/>
      <c r="AA360" s="468"/>
      <c r="AB360" s="616"/>
      <c r="AC360" s="635"/>
      <c r="AD360" s="636"/>
      <c r="AE360" s="637"/>
      <c r="AF360" s="629"/>
      <c r="AG360" s="635"/>
      <c r="AH360" s="636"/>
      <c r="AI360" s="637"/>
      <c r="AJ360" s="629"/>
      <c r="AK360" s="435"/>
      <c r="AL360" s="435"/>
      <c r="AM360" s="435"/>
      <c r="AN360" s="435"/>
      <c r="AO360" s="467"/>
      <c r="AP360" s="504"/>
      <c r="AQ360" s="468"/>
      <c r="AR360" s="616"/>
      <c r="AS360" s="630"/>
      <c r="AT360" s="630"/>
    </row>
    <row r="361">
      <c r="A361" s="467"/>
      <c r="B361" s="504"/>
      <c r="C361" s="468"/>
      <c r="D361" s="616"/>
      <c r="E361" s="467"/>
      <c r="F361" s="504"/>
      <c r="G361" s="468"/>
      <c r="H361" s="616"/>
      <c r="I361" s="467"/>
      <c r="J361" s="504"/>
      <c r="K361" s="468"/>
      <c r="L361" s="616"/>
      <c r="M361" s="467"/>
      <c r="N361" s="504"/>
      <c r="O361" s="468"/>
      <c r="P361" s="616"/>
      <c r="Q361" s="635"/>
      <c r="R361" s="636"/>
      <c r="S361" s="637"/>
      <c r="T361" s="629"/>
      <c r="U361" s="635"/>
      <c r="V361" s="636"/>
      <c r="W361" s="637"/>
      <c r="X361" s="629"/>
      <c r="Y361" s="467"/>
      <c r="Z361" s="504"/>
      <c r="AA361" s="468"/>
      <c r="AB361" s="616"/>
      <c r="AC361" s="635"/>
      <c r="AD361" s="636"/>
      <c r="AE361" s="637"/>
      <c r="AF361" s="629"/>
      <c r="AG361" s="635"/>
      <c r="AH361" s="636"/>
      <c r="AI361" s="637"/>
      <c r="AJ361" s="629"/>
      <c r="AK361" s="435"/>
      <c r="AL361" s="435"/>
      <c r="AM361" s="435"/>
      <c r="AN361" s="435"/>
      <c r="AO361" s="467"/>
      <c r="AP361" s="504"/>
      <c r="AQ361" s="468"/>
      <c r="AR361" s="616"/>
      <c r="AS361" s="630"/>
      <c r="AT361" s="630"/>
    </row>
    <row r="362">
      <c r="A362" s="467"/>
      <c r="B362" s="504"/>
      <c r="C362" s="468"/>
      <c r="D362" s="616"/>
      <c r="E362" s="467"/>
      <c r="F362" s="504"/>
      <c r="G362" s="468"/>
      <c r="H362" s="616"/>
      <c r="I362" s="467"/>
      <c r="J362" s="504"/>
      <c r="K362" s="468"/>
      <c r="L362" s="616"/>
      <c r="M362" s="467"/>
      <c r="N362" s="504"/>
      <c r="O362" s="468"/>
      <c r="P362" s="616"/>
      <c r="Q362" s="635"/>
      <c r="R362" s="636"/>
      <c r="S362" s="637"/>
      <c r="T362" s="629"/>
      <c r="U362" s="635"/>
      <c r="V362" s="636"/>
      <c r="W362" s="637"/>
      <c r="X362" s="629"/>
      <c r="Y362" s="467"/>
      <c r="Z362" s="504"/>
      <c r="AA362" s="468"/>
      <c r="AB362" s="616"/>
      <c r="AC362" s="635"/>
      <c r="AD362" s="636"/>
      <c r="AE362" s="637"/>
      <c r="AF362" s="629"/>
      <c r="AG362" s="635"/>
      <c r="AH362" s="636"/>
      <c r="AI362" s="637"/>
      <c r="AJ362" s="629"/>
      <c r="AK362" s="435"/>
      <c r="AL362" s="435"/>
      <c r="AM362" s="435"/>
      <c r="AN362" s="435"/>
      <c r="AO362" s="467"/>
      <c r="AP362" s="504"/>
      <c r="AQ362" s="468"/>
      <c r="AR362" s="616"/>
      <c r="AS362" s="630"/>
      <c r="AT362" s="630"/>
    </row>
    <row r="363">
      <c r="A363" s="467"/>
      <c r="B363" s="504"/>
      <c r="C363" s="468"/>
      <c r="D363" s="616"/>
      <c r="E363" s="467"/>
      <c r="F363" s="504"/>
      <c r="G363" s="468"/>
      <c r="H363" s="616"/>
      <c r="I363" s="467"/>
      <c r="J363" s="504"/>
      <c r="K363" s="468"/>
      <c r="L363" s="616"/>
      <c r="M363" s="467"/>
      <c r="N363" s="504"/>
      <c r="O363" s="468"/>
      <c r="P363" s="616"/>
      <c r="Q363" s="635"/>
      <c r="R363" s="636"/>
      <c r="S363" s="637"/>
      <c r="T363" s="629"/>
      <c r="U363" s="635"/>
      <c r="V363" s="636"/>
      <c r="W363" s="637"/>
      <c r="X363" s="629"/>
      <c r="Y363" s="467"/>
      <c r="Z363" s="504"/>
      <c r="AA363" s="468"/>
      <c r="AB363" s="616"/>
      <c r="AC363" s="635"/>
      <c r="AD363" s="636"/>
      <c r="AE363" s="637"/>
      <c r="AF363" s="629"/>
      <c r="AG363" s="635"/>
      <c r="AH363" s="636"/>
      <c r="AI363" s="637"/>
      <c r="AJ363" s="629"/>
      <c r="AK363" s="435"/>
      <c r="AL363" s="435"/>
      <c r="AM363" s="435"/>
      <c r="AN363" s="435"/>
      <c r="AO363" s="467"/>
      <c r="AP363" s="504"/>
      <c r="AQ363" s="468"/>
      <c r="AR363" s="616"/>
      <c r="AS363" s="630"/>
      <c r="AT363" s="630"/>
    </row>
    <row r="364">
      <c r="A364" s="467"/>
      <c r="B364" s="504"/>
      <c r="C364" s="468"/>
      <c r="D364" s="616"/>
      <c r="E364" s="467"/>
      <c r="F364" s="504"/>
      <c r="G364" s="468"/>
      <c r="H364" s="616"/>
      <c r="I364" s="467"/>
      <c r="J364" s="504"/>
      <c r="K364" s="468"/>
      <c r="L364" s="616"/>
      <c r="M364" s="467"/>
      <c r="N364" s="504"/>
      <c r="O364" s="468"/>
      <c r="P364" s="616"/>
      <c r="Q364" s="635"/>
      <c r="R364" s="636"/>
      <c r="S364" s="637"/>
      <c r="T364" s="629"/>
      <c r="U364" s="635"/>
      <c r="V364" s="636"/>
      <c r="W364" s="637"/>
      <c r="X364" s="629"/>
      <c r="Y364" s="467"/>
      <c r="Z364" s="504"/>
      <c r="AA364" s="468"/>
      <c r="AB364" s="616"/>
      <c r="AC364" s="635"/>
      <c r="AD364" s="636"/>
      <c r="AE364" s="637"/>
      <c r="AF364" s="629"/>
      <c r="AG364" s="635"/>
      <c r="AH364" s="636"/>
      <c r="AI364" s="637"/>
      <c r="AJ364" s="629"/>
      <c r="AK364" s="435"/>
      <c r="AL364" s="435"/>
      <c r="AM364" s="435"/>
      <c r="AN364" s="435"/>
      <c r="AO364" s="467"/>
      <c r="AP364" s="504"/>
      <c r="AQ364" s="468"/>
      <c r="AR364" s="616"/>
      <c r="AS364" s="630"/>
      <c r="AT364" s="630"/>
    </row>
    <row r="365">
      <c r="A365" s="467"/>
      <c r="B365" s="504"/>
      <c r="C365" s="468"/>
      <c r="D365" s="616"/>
      <c r="E365" s="467"/>
      <c r="F365" s="504"/>
      <c r="G365" s="468"/>
      <c r="H365" s="616"/>
      <c r="I365" s="467"/>
      <c r="J365" s="504"/>
      <c r="K365" s="468"/>
      <c r="L365" s="616"/>
      <c r="M365" s="467"/>
      <c r="N365" s="504"/>
      <c r="O365" s="468"/>
      <c r="P365" s="616"/>
      <c r="Q365" s="635"/>
      <c r="R365" s="636"/>
      <c r="S365" s="637"/>
      <c r="T365" s="629"/>
      <c r="U365" s="635"/>
      <c r="V365" s="636"/>
      <c r="W365" s="637"/>
      <c r="X365" s="629"/>
      <c r="Y365" s="467"/>
      <c r="Z365" s="504"/>
      <c r="AA365" s="468"/>
      <c r="AB365" s="616"/>
      <c r="AC365" s="635"/>
      <c r="AD365" s="636"/>
      <c r="AE365" s="637"/>
      <c r="AF365" s="629"/>
      <c r="AG365" s="635"/>
      <c r="AH365" s="636"/>
      <c r="AI365" s="637"/>
      <c r="AJ365" s="629"/>
      <c r="AK365" s="435"/>
      <c r="AL365" s="435"/>
      <c r="AM365" s="435"/>
      <c r="AN365" s="435"/>
      <c r="AO365" s="467"/>
      <c r="AP365" s="504"/>
      <c r="AQ365" s="468"/>
      <c r="AR365" s="616"/>
      <c r="AS365" s="630"/>
      <c r="AT365" s="630"/>
    </row>
    <row r="366">
      <c r="A366" s="467"/>
      <c r="B366" s="504"/>
      <c r="C366" s="468"/>
      <c r="D366" s="616"/>
      <c r="E366" s="467"/>
      <c r="F366" s="504"/>
      <c r="G366" s="468"/>
      <c r="H366" s="616"/>
      <c r="I366" s="467"/>
      <c r="J366" s="504"/>
      <c r="K366" s="468"/>
      <c r="L366" s="616"/>
      <c r="M366" s="467"/>
      <c r="N366" s="504"/>
      <c r="O366" s="468"/>
      <c r="P366" s="616"/>
      <c r="Q366" s="635"/>
      <c r="R366" s="636"/>
      <c r="S366" s="637"/>
      <c r="T366" s="629"/>
      <c r="U366" s="635"/>
      <c r="V366" s="636"/>
      <c r="W366" s="637"/>
      <c r="X366" s="629"/>
      <c r="Y366" s="467"/>
      <c r="Z366" s="504"/>
      <c r="AA366" s="468"/>
      <c r="AB366" s="616"/>
      <c r="AC366" s="635"/>
      <c r="AD366" s="636"/>
      <c r="AE366" s="637"/>
      <c r="AF366" s="629"/>
      <c r="AG366" s="635"/>
      <c r="AH366" s="636"/>
      <c r="AI366" s="637"/>
      <c r="AJ366" s="629"/>
      <c r="AK366" s="435"/>
      <c r="AL366" s="435"/>
      <c r="AM366" s="435"/>
      <c r="AN366" s="435"/>
      <c r="AO366" s="467"/>
      <c r="AP366" s="504"/>
      <c r="AQ366" s="468"/>
      <c r="AR366" s="616"/>
      <c r="AS366" s="630"/>
      <c r="AT366" s="630"/>
    </row>
    <row r="367">
      <c r="A367" s="467"/>
      <c r="B367" s="504"/>
      <c r="C367" s="468"/>
      <c r="D367" s="616"/>
      <c r="E367" s="467"/>
      <c r="F367" s="504"/>
      <c r="G367" s="468"/>
      <c r="H367" s="616"/>
      <c r="I367" s="467"/>
      <c r="J367" s="504"/>
      <c r="K367" s="468"/>
      <c r="L367" s="616"/>
      <c r="M367" s="467"/>
      <c r="N367" s="504"/>
      <c r="O367" s="468"/>
      <c r="P367" s="616"/>
      <c r="Q367" s="635"/>
      <c r="R367" s="636"/>
      <c r="S367" s="637"/>
      <c r="T367" s="629"/>
      <c r="U367" s="635"/>
      <c r="V367" s="636"/>
      <c r="W367" s="637"/>
      <c r="X367" s="629"/>
      <c r="Y367" s="467"/>
      <c r="Z367" s="504"/>
      <c r="AA367" s="468"/>
      <c r="AB367" s="616"/>
      <c r="AC367" s="635"/>
      <c r="AD367" s="636"/>
      <c r="AE367" s="637"/>
      <c r="AF367" s="629"/>
      <c r="AG367" s="635"/>
      <c r="AH367" s="636"/>
      <c r="AI367" s="637"/>
      <c r="AJ367" s="629"/>
      <c r="AK367" s="435"/>
      <c r="AL367" s="435"/>
      <c r="AM367" s="435"/>
      <c r="AN367" s="435"/>
      <c r="AO367" s="467"/>
      <c r="AP367" s="504"/>
      <c r="AQ367" s="468"/>
      <c r="AR367" s="616"/>
      <c r="AS367" s="630"/>
      <c r="AT367" s="630"/>
    </row>
    <row r="368">
      <c r="A368" s="467"/>
      <c r="B368" s="504"/>
      <c r="C368" s="468"/>
      <c r="D368" s="616"/>
      <c r="E368" s="467"/>
      <c r="F368" s="504"/>
      <c r="G368" s="468"/>
      <c r="H368" s="616"/>
      <c r="I368" s="467"/>
      <c r="J368" s="504"/>
      <c r="K368" s="468"/>
      <c r="L368" s="616"/>
      <c r="M368" s="467"/>
      <c r="N368" s="504"/>
      <c r="O368" s="468"/>
      <c r="P368" s="616"/>
      <c r="Q368" s="635"/>
      <c r="R368" s="636"/>
      <c r="S368" s="637"/>
      <c r="T368" s="629"/>
      <c r="U368" s="635"/>
      <c r="V368" s="636"/>
      <c r="W368" s="637"/>
      <c r="X368" s="629"/>
      <c r="Y368" s="467"/>
      <c r="Z368" s="504"/>
      <c r="AA368" s="468"/>
      <c r="AB368" s="616"/>
      <c r="AC368" s="635"/>
      <c r="AD368" s="636"/>
      <c r="AE368" s="637"/>
      <c r="AF368" s="629"/>
      <c r="AG368" s="635"/>
      <c r="AH368" s="636"/>
      <c r="AI368" s="637"/>
      <c r="AJ368" s="629"/>
      <c r="AK368" s="435"/>
      <c r="AL368" s="435"/>
      <c r="AM368" s="435"/>
      <c r="AN368" s="435"/>
      <c r="AO368" s="467"/>
      <c r="AP368" s="504"/>
      <c r="AQ368" s="468"/>
      <c r="AR368" s="616"/>
      <c r="AS368" s="630"/>
      <c r="AT368" s="630"/>
    </row>
    <row r="369">
      <c r="A369" s="467"/>
      <c r="B369" s="504"/>
      <c r="C369" s="468"/>
      <c r="D369" s="616"/>
      <c r="E369" s="467"/>
      <c r="F369" s="504"/>
      <c r="G369" s="468"/>
      <c r="H369" s="616"/>
      <c r="I369" s="467"/>
      <c r="J369" s="504"/>
      <c r="K369" s="468"/>
      <c r="L369" s="616"/>
      <c r="M369" s="467"/>
      <c r="N369" s="504"/>
      <c r="O369" s="468"/>
      <c r="P369" s="616"/>
      <c r="Q369" s="635"/>
      <c r="R369" s="636"/>
      <c r="S369" s="637"/>
      <c r="T369" s="629"/>
      <c r="U369" s="635"/>
      <c r="V369" s="636"/>
      <c r="W369" s="637"/>
      <c r="X369" s="629"/>
      <c r="Y369" s="467"/>
      <c r="Z369" s="504"/>
      <c r="AA369" s="468"/>
      <c r="AB369" s="616"/>
      <c r="AC369" s="635"/>
      <c r="AD369" s="636"/>
      <c r="AE369" s="637"/>
      <c r="AF369" s="629"/>
      <c r="AG369" s="635"/>
      <c r="AH369" s="636"/>
      <c r="AI369" s="637"/>
      <c r="AJ369" s="629"/>
      <c r="AK369" s="435"/>
      <c r="AL369" s="435"/>
      <c r="AM369" s="435"/>
      <c r="AN369" s="435"/>
      <c r="AO369" s="467"/>
      <c r="AP369" s="504"/>
      <c r="AQ369" s="468"/>
      <c r="AR369" s="616"/>
      <c r="AS369" s="630"/>
      <c r="AT369" s="630"/>
    </row>
    <row r="370">
      <c r="A370" s="467"/>
      <c r="B370" s="504"/>
      <c r="C370" s="468"/>
      <c r="D370" s="616"/>
      <c r="E370" s="467"/>
      <c r="F370" s="504"/>
      <c r="G370" s="468"/>
      <c r="H370" s="616"/>
      <c r="I370" s="467"/>
      <c r="J370" s="504"/>
      <c r="K370" s="468"/>
      <c r="L370" s="616"/>
      <c r="M370" s="467"/>
      <c r="N370" s="504"/>
      <c r="O370" s="468"/>
      <c r="P370" s="616"/>
      <c r="Q370" s="635"/>
      <c r="R370" s="636"/>
      <c r="S370" s="637"/>
      <c r="T370" s="629"/>
      <c r="U370" s="635"/>
      <c r="V370" s="636"/>
      <c r="W370" s="637"/>
      <c r="X370" s="629"/>
      <c r="Y370" s="467"/>
      <c r="Z370" s="504"/>
      <c r="AA370" s="468"/>
      <c r="AB370" s="616"/>
      <c r="AC370" s="635"/>
      <c r="AD370" s="636"/>
      <c r="AE370" s="637"/>
      <c r="AF370" s="629"/>
      <c r="AG370" s="635"/>
      <c r="AH370" s="636"/>
      <c r="AI370" s="637"/>
      <c r="AJ370" s="629"/>
      <c r="AK370" s="435"/>
      <c r="AL370" s="435"/>
      <c r="AM370" s="435"/>
      <c r="AN370" s="435"/>
      <c r="AO370" s="467"/>
      <c r="AP370" s="504"/>
      <c r="AQ370" s="468"/>
      <c r="AR370" s="616"/>
      <c r="AS370" s="630"/>
      <c r="AT370" s="630"/>
    </row>
    <row r="371">
      <c r="A371" s="467"/>
      <c r="B371" s="504"/>
      <c r="C371" s="468"/>
      <c r="D371" s="616"/>
      <c r="E371" s="467"/>
      <c r="F371" s="504"/>
      <c r="G371" s="468"/>
      <c r="H371" s="616"/>
      <c r="I371" s="467"/>
      <c r="J371" s="504"/>
      <c r="K371" s="468"/>
      <c r="L371" s="616"/>
      <c r="M371" s="467"/>
      <c r="N371" s="504"/>
      <c r="O371" s="468"/>
      <c r="P371" s="616"/>
      <c r="Q371" s="635"/>
      <c r="R371" s="636"/>
      <c r="S371" s="637"/>
      <c r="T371" s="629"/>
      <c r="U371" s="635"/>
      <c r="V371" s="636"/>
      <c r="W371" s="637"/>
      <c r="X371" s="629"/>
      <c r="Y371" s="467"/>
      <c r="Z371" s="504"/>
      <c r="AA371" s="468"/>
      <c r="AB371" s="616"/>
      <c r="AC371" s="635"/>
      <c r="AD371" s="636"/>
      <c r="AE371" s="637"/>
      <c r="AF371" s="629"/>
      <c r="AG371" s="635"/>
      <c r="AH371" s="636"/>
      <c r="AI371" s="637"/>
      <c r="AJ371" s="629"/>
      <c r="AK371" s="435"/>
      <c r="AL371" s="435"/>
      <c r="AM371" s="435"/>
      <c r="AN371" s="435"/>
      <c r="AO371" s="467"/>
      <c r="AP371" s="504"/>
      <c r="AQ371" s="468"/>
      <c r="AR371" s="616"/>
      <c r="AS371" s="630"/>
      <c r="AT371" s="630"/>
    </row>
    <row r="372">
      <c r="A372" s="467"/>
      <c r="B372" s="504"/>
      <c r="C372" s="468"/>
      <c r="D372" s="616"/>
      <c r="E372" s="467"/>
      <c r="F372" s="504"/>
      <c r="G372" s="468"/>
      <c r="H372" s="616"/>
      <c r="I372" s="467"/>
      <c r="J372" s="504"/>
      <c r="K372" s="468"/>
      <c r="L372" s="616"/>
      <c r="M372" s="467"/>
      <c r="N372" s="504"/>
      <c r="O372" s="468"/>
      <c r="P372" s="616"/>
      <c r="Q372" s="635"/>
      <c r="R372" s="636"/>
      <c r="S372" s="637"/>
      <c r="T372" s="629"/>
      <c r="U372" s="635"/>
      <c r="V372" s="636"/>
      <c r="W372" s="637"/>
      <c r="X372" s="629"/>
      <c r="Y372" s="467"/>
      <c r="Z372" s="504"/>
      <c r="AA372" s="468"/>
      <c r="AB372" s="616"/>
      <c r="AC372" s="635"/>
      <c r="AD372" s="636"/>
      <c r="AE372" s="637"/>
      <c r="AF372" s="629"/>
      <c r="AG372" s="635"/>
      <c r="AH372" s="636"/>
      <c r="AI372" s="637"/>
      <c r="AJ372" s="629"/>
      <c r="AK372" s="435"/>
      <c r="AL372" s="435"/>
      <c r="AM372" s="435"/>
      <c r="AN372" s="435"/>
      <c r="AO372" s="467"/>
      <c r="AP372" s="504"/>
      <c r="AQ372" s="468"/>
      <c r="AR372" s="616"/>
      <c r="AS372" s="630"/>
      <c r="AT372" s="630"/>
    </row>
    <row r="373">
      <c r="A373" s="467"/>
      <c r="B373" s="504"/>
      <c r="C373" s="468"/>
      <c r="D373" s="616"/>
      <c r="E373" s="467"/>
      <c r="F373" s="504"/>
      <c r="G373" s="468"/>
      <c r="H373" s="616"/>
      <c r="I373" s="467"/>
      <c r="J373" s="504"/>
      <c r="K373" s="468"/>
      <c r="L373" s="616"/>
      <c r="M373" s="467"/>
      <c r="N373" s="504"/>
      <c r="O373" s="468"/>
      <c r="P373" s="616"/>
      <c r="Q373" s="635"/>
      <c r="R373" s="636"/>
      <c r="S373" s="637"/>
      <c r="T373" s="629"/>
      <c r="U373" s="635"/>
      <c r="V373" s="636"/>
      <c r="W373" s="637"/>
      <c r="X373" s="629"/>
      <c r="Y373" s="467"/>
      <c r="Z373" s="504"/>
      <c r="AA373" s="468"/>
      <c r="AB373" s="616"/>
      <c r="AC373" s="635"/>
      <c r="AD373" s="636"/>
      <c r="AE373" s="637"/>
      <c r="AF373" s="629"/>
      <c r="AG373" s="635"/>
      <c r="AH373" s="636"/>
      <c r="AI373" s="637"/>
      <c r="AJ373" s="629"/>
      <c r="AK373" s="435"/>
      <c r="AL373" s="435"/>
      <c r="AM373" s="435"/>
      <c r="AN373" s="435"/>
      <c r="AO373" s="467"/>
      <c r="AP373" s="504"/>
      <c r="AQ373" s="468"/>
      <c r="AR373" s="616"/>
      <c r="AS373" s="630"/>
      <c r="AT373" s="630"/>
    </row>
    <row r="374">
      <c r="A374" s="467"/>
      <c r="B374" s="504"/>
      <c r="C374" s="468"/>
      <c r="D374" s="616"/>
      <c r="E374" s="467"/>
      <c r="F374" s="504"/>
      <c r="G374" s="468"/>
      <c r="H374" s="616"/>
      <c r="I374" s="467"/>
      <c r="J374" s="504"/>
      <c r="K374" s="468"/>
      <c r="L374" s="616"/>
      <c r="M374" s="467"/>
      <c r="N374" s="504"/>
      <c r="O374" s="468"/>
      <c r="P374" s="616"/>
      <c r="Q374" s="635"/>
      <c r="R374" s="636"/>
      <c r="S374" s="637"/>
      <c r="T374" s="629"/>
      <c r="U374" s="635"/>
      <c r="V374" s="636"/>
      <c r="W374" s="637"/>
      <c r="X374" s="629"/>
      <c r="Y374" s="467"/>
      <c r="Z374" s="504"/>
      <c r="AA374" s="468"/>
      <c r="AB374" s="616"/>
      <c r="AC374" s="635"/>
      <c r="AD374" s="636"/>
      <c r="AE374" s="637"/>
      <c r="AF374" s="629"/>
      <c r="AG374" s="635"/>
      <c r="AH374" s="636"/>
      <c r="AI374" s="637"/>
      <c r="AJ374" s="629"/>
      <c r="AK374" s="435"/>
      <c r="AL374" s="435"/>
      <c r="AM374" s="435"/>
      <c r="AN374" s="435"/>
      <c r="AO374" s="467"/>
      <c r="AP374" s="504"/>
      <c r="AQ374" s="468"/>
      <c r="AR374" s="616"/>
      <c r="AS374" s="630"/>
      <c r="AT374" s="630"/>
    </row>
    <row r="375">
      <c r="A375" s="467"/>
      <c r="B375" s="504"/>
      <c r="C375" s="468"/>
      <c r="D375" s="616"/>
      <c r="E375" s="467"/>
      <c r="F375" s="504"/>
      <c r="G375" s="468"/>
      <c r="H375" s="616"/>
      <c r="I375" s="467"/>
      <c r="J375" s="504"/>
      <c r="K375" s="468"/>
      <c r="L375" s="616"/>
      <c r="M375" s="467"/>
      <c r="N375" s="504"/>
      <c r="O375" s="468"/>
      <c r="P375" s="616"/>
      <c r="Q375" s="635"/>
      <c r="R375" s="636"/>
      <c r="S375" s="637"/>
      <c r="T375" s="629"/>
      <c r="U375" s="635"/>
      <c r="V375" s="636"/>
      <c r="W375" s="637"/>
      <c r="X375" s="629"/>
      <c r="Y375" s="467"/>
      <c r="Z375" s="504"/>
      <c r="AA375" s="468"/>
      <c r="AB375" s="616"/>
      <c r="AC375" s="635"/>
      <c r="AD375" s="636"/>
      <c r="AE375" s="637"/>
      <c r="AF375" s="629"/>
      <c r="AG375" s="635"/>
      <c r="AH375" s="636"/>
      <c r="AI375" s="637"/>
      <c r="AJ375" s="629"/>
      <c r="AK375" s="435"/>
      <c r="AL375" s="435"/>
      <c r="AM375" s="435"/>
      <c r="AN375" s="435"/>
      <c r="AO375" s="467"/>
      <c r="AP375" s="504"/>
      <c r="AQ375" s="468"/>
      <c r="AR375" s="616"/>
      <c r="AS375" s="630"/>
      <c r="AT375" s="630"/>
    </row>
    <row r="376">
      <c r="A376" s="467"/>
      <c r="B376" s="504"/>
      <c r="C376" s="468"/>
      <c r="D376" s="616"/>
      <c r="E376" s="467"/>
      <c r="F376" s="504"/>
      <c r="G376" s="468"/>
      <c r="H376" s="616"/>
      <c r="I376" s="467"/>
      <c r="J376" s="504"/>
      <c r="K376" s="468"/>
      <c r="L376" s="616"/>
      <c r="M376" s="467"/>
      <c r="N376" s="504"/>
      <c r="O376" s="468"/>
      <c r="P376" s="616"/>
      <c r="Q376" s="635"/>
      <c r="R376" s="636"/>
      <c r="S376" s="637"/>
      <c r="T376" s="629"/>
      <c r="U376" s="635"/>
      <c r="V376" s="636"/>
      <c r="W376" s="637"/>
      <c r="X376" s="629"/>
      <c r="Y376" s="467"/>
      <c r="Z376" s="504"/>
      <c r="AA376" s="468"/>
      <c r="AB376" s="616"/>
      <c r="AC376" s="635"/>
      <c r="AD376" s="636"/>
      <c r="AE376" s="637"/>
      <c r="AF376" s="629"/>
      <c r="AG376" s="635"/>
      <c r="AH376" s="636"/>
      <c r="AI376" s="637"/>
      <c r="AJ376" s="629"/>
      <c r="AK376" s="435"/>
      <c r="AL376" s="435"/>
      <c r="AM376" s="435"/>
      <c r="AN376" s="435"/>
      <c r="AO376" s="467"/>
      <c r="AP376" s="504"/>
      <c r="AQ376" s="468"/>
      <c r="AR376" s="616"/>
      <c r="AS376" s="630"/>
      <c r="AT376" s="630"/>
    </row>
    <row r="377">
      <c r="A377" s="467"/>
      <c r="B377" s="504"/>
      <c r="C377" s="468"/>
      <c r="D377" s="616"/>
      <c r="E377" s="467"/>
      <c r="F377" s="504"/>
      <c r="G377" s="468"/>
      <c r="H377" s="616"/>
      <c r="I377" s="467"/>
      <c r="J377" s="504"/>
      <c r="K377" s="468"/>
      <c r="L377" s="616"/>
      <c r="M377" s="467"/>
      <c r="N377" s="504"/>
      <c r="O377" s="468"/>
      <c r="P377" s="616"/>
      <c r="Q377" s="635"/>
      <c r="R377" s="636"/>
      <c r="S377" s="637"/>
      <c r="T377" s="629"/>
      <c r="U377" s="635"/>
      <c r="V377" s="636"/>
      <c r="W377" s="637"/>
      <c r="X377" s="629"/>
      <c r="Y377" s="467"/>
      <c r="Z377" s="504"/>
      <c r="AA377" s="468"/>
      <c r="AB377" s="616"/>
      <c r="AC377" s="635"/>
      <c r="AD377" s="636"/>
      <c r="AE377" s="637"/>
      <c r="AF377" s="629"/>
      <c r="AG377" s="635"/>
      <c r="AH377" s="636"/>
      <c r="AI377" s="637"/>
      <c r="AJ377" s="629"/>
      <c r="AK377" s="435"/>
      <c r="AL377" s="435"/>
      <c r="AM377" s="435"/>
      <c r="AN377" s="435"/>
      <c r="AO377" s="467"/>
      <c r="AP377" s="504"/>
      <c r="AQ377" s="468"/>
      <c r="AR377" s="616"/>
      <c r="AS377" s="630"/>
      <c r="AT377" s="630"/>
    </row>
    <row r="378">
      <c r="A378" s="467"/>
      <c r="B378" s="504"/>
      <c r="C378" s="468"/>
      <c r="D378" s="616"/>
      <c r="E378" s="467"/>
      <c r="F378" s="504"/>
      <c r="G378" s="468"/>
      <c r="H378" s="616"/>
      <c r="I378" s="467"/>
      <c r="J378" s="504"/>
      <c r="K378" s="468"/>
      <c r="L378" s="616"/>
      <c r="M378" s="467"/>
      <c r="N378" s="504"/>
      <c r="O378" s="468"/>
      <c r="P378" s="616"/>
      <c r="Q378" s="635"/>
      <c r="R378" s="636"/>
      <c r="S378" s="637"/>
      <c r="T378" s="629"/>
      <c r="U378" s="635"/>
      <c r="V378" s="636"/>
      <c r="W378" s="637"/>
      <c r="X378" s="629"/>
      <c r="Y378" s="467"/>
      <c r="Z378" s="504"/>
      <c r="AA378" s="468"/>
      <c r="AB378" s="616"/>
      <c r="AC378" s="635"/>
      <c r="AD378" s="636"/>
      <c r="AE378" s="637"/>
      <c r="AF378" s="629"/>
      <c r="AG378" s="635"/>
      <c r="AH378" s="636"/>
      <c r="AI378" s="637"/>
      <c r="AJ378" s="629"/>
      <c r="AK378" s="435"/>
      <c r="AL378" s="435"/>
      <c r="AM378" s="435"/>
      <c r="AN378" s="435"/>
      <c r="AO378" s="467"/>
      <c r="AP378" s="504"/>
      <c r="AQ378" s="468"/>
      <c r="AR378" s="616"/>
      <c r="AS378" s="630"/>
      <c r="AT378" s="630"/>
    </row>
    <row r="379">
      <c r="A379" s="467"/>
      <c r="B379" s="504"/>
      <c r="C379" s="468"/>
      <c r="D379" s="616"/>
      <c r="E379" s="467"/>
      <c r="F379" s="504"/>
      <c r="G379" s="468"/>
      <c r="H379" s="616"/>
      <c r="I379" s="467"/>
      <c r="J379" s="504"/>
      <c r="K379" s="468"/>
      <c r="L379" s="616"/>
      <c r="M379" s="467"/>
      <c r="N379" s="504"/>
      <c r="O379" s="468"/>
      <c r="P379" s="616"/>
      <c r="Q379" s="635"/>
      <c r="R379" s="636"/>
      <c r="S379" s="637"/>
      <c r="T379" s="629"/>
      <c r="U379" s="635"/>
      <c r="V379" s="636"/>
      <c r="W379" s="637"/>
      <c r="X379" s="629"/>
      <c r="Y379" s="467"/>
      <c r="Z379" s="504"/>
      <c r="AA379" s="468"/>
      <c r="AB379" s="616"/>
      <c r="AC379" s="635"/>
      <c r="AD379" s="636"/>
      <c r="AE379" s="637"/>
      <c r="AF379" s="629"/>
      <c r="AG379" s="635"/>
      <c r="AH379" s="636"/>
      <c r="AI379" s="637"/>
      <c r="AJ379" s="629"/>
      <c r="AK379" s="435"/>
      <c r="AL379" s="435"/>
      <c r="AM379" s="435"/>
      <c r="AN379" s="435"/>
      <c r="AO379" s="467"/>
      <c r="AP379" s="504"/>
      <c r="AQ379" s="468"/>
      <c r="AR379" s="616"/>
      <c r="AS379" s="630"/>
      <c r="AT379" s="630"/>
    </row>
    <row r="380">
      <c r="A380" s="467"/>
      <c r="B380" s="504"/>
      <c r="C380" s="468"/>
      <c r="D380" s="616"/>
      <c r="E380" s="467"/>
      <c r="F380" s="504"/>
      <c r="G380" s="468"/>
      <c r="H380" s="616"/>
      <c r="I380" s="467"/>
      <c r="J380" s="504"/>
      <c r="K380" s="468"/>
      <c r="L380" s="616"/>
      <c r="M380" s="467"/>
      <c r="N380" s="504"/>
      <c r="O380" s="468"/>
      <c r="P380" s="616"/>
      <c r="Q380" s="635"/>
      <c r="R380" s="636"/>
      <c r="S380" s="637"/>
      <c r="T380" s="629"/>
      <c r="U380" s="635"/>
      <c r="V380" s="636"/>
      <c r="W380" s="637"/>
      <c r="X380" s="629"/>
      <c r="Y380" s="467"/>
      <c r="Z380" s="504"/>
      <c r="AA380" s="468"/>
      <c r="AB380" s="616"/>
      <c r="AC380" s="635"/>
      <c r="AD380" s="636"/>
      <c r="AE380" s="637"/>
      <c r="AF380" s="629"/>
      <c r="AG380" s="635"/>
      <c r="AH380" s="636"/>
      <c r="AI380" s="637"/>
      <c r="AJ380" s="629"/>
      <c r="AK380" s="435"/>
      <c r="AL380" s="435"/>
      <c r="AM380" s="435"/>
      <c r="AN380" s="435"/>
      <c r="AO380" s="467"/>
      <c r="AP380" s="504"/>
      <c r="AQ380" s="468"/>
      <c r="AR380" s="616"/>
      <c r="AS380" s="630"/>
      <c r="AT380" s="630"/>
    </row>
    <row r="381">
      <c r="A381" s="467"/>
      <c r="B381" s="504"/>
      <c r="C381" s="468"/>
      <c r="D381" s="616"/>
      <c r="E381" s="467"/>
      <c r="F381" s="504"/>
      <c r="G381" s="468"/>
      <c r="H381" s="616"/>
      <c r="I381" s="467"/>
      <c r="J381" s="504"/>
      <c r="K381" s="468"/>
      <c r="L381" s="616"/>
      <c r="M381" s="467"/>
      <c r="N381" s="504"/>
      <c r="O381" s="468"/>
      <c r="P381" s="616"/>
      <c r="Q381" s="635"/>
      <c r="R381" s="636"/>
      <c r="S381" s="637"/>
      <c r="T381" s="629"/>
      <c r="U381" s="635"/>
      <c r="V381" s="636"/>
      <c r="W381" s="637"/>
      <c r="X381" s="629"/>
      <c r="Y381" s="467"/>
      <c r="Z381" s="504"/>
      <c r="AA381" s="468"/>
      <c r="AB381" s="616"/>
      <c r="AC381" s="635"/>
      <c r="AD381" s="636"/>
      <c r="AE381" s="637"/>
      <c r="AF381" s="629"/>
      <c r="AG381" s="635"/>
      <c r="AH381" s="636"/>
      <c r="AI381" s="637"/>
      <c r="AJ381" s="629"/>
      <c r="AK381" s="435"/>
      <c r="AL381" s="435"/>
      <c r="AM381" s="435"/>
      <c r="AN381" s="435"/>
      <c r="AO381" s="467"/>
      <c r="AP381" s="504"/>
      <c r="AQ381" s="468"/>
      <c r="AR381" s="616"/>
      <c r="AS381" s="630"/>
      <c r="AT381" s="630"/>
    </row>
    <row r="382">
      <c r="A382" s="467"/>
      <c r="B382" s="504"/>
      <c r="C382" s="468"/>
      <c r="D382" s="616"/>
      <c r="E382" s="467"/>
      <c r="F382" s="504"/>
      <c r="G382" s="468"/>
      <c r="H382" s="616"/>
      <c r="I382" s="467"/>
      <c r="J382" s="504"/>
      <c r="K382" s="468"/>
      <c r="L382" s="616"/>
      <c r="M382" s="467"/>
      <c r="N382" s="504"/>
      <c r="O382" s="468"/>
      <c r="P382" s="616"/>
      <c r="Q382" s="635"/>
      <c r="R382" s="636"/>
      <c r="S382" s="637"/>
      <c r="T382" s="629"/>
      <c r="U382" s="635"/>
      <c r="V382" s="636"/>
      <c r="W382" s="637"/>
      <c r="X382" s="629"/>
      <c r="Y382" s="467"/>
      <c r="Z382" s="504"/>
      <c r="AA382" s="468"/>
      <c r="AB382" s="616"/>
      <c r="AC382" s="635"/>
      <c r="AD382" s="636"/>
      <c r="AE382" s="637"/>
      <c r="AF382" s="629"/>
      <c r="AG382" s="635"/>
      <c r="AH382" s="636"/>
      <c r="AI382" s="637"/>
      <c r="AJ382" s="629"/>
      <c r="AK382" s="435"/>
      <c r="AL382" s="435"/>
      <c r="AM382" s="435"/>
      <c r="AN382" s="435"/>
      <c r="AO382" s="467"/>
      <c r="AP382" s="504"/>
      <c r="AQ382" s="468"/>
      <c r="AR382" s="616"/>
      <c r="AS382" s="630"/>
      <c r="AT382" s="630"/>
    </row>
    <row r="383">
      <c r="A383" s="467"/>
      <c r="B383" s="504"/>
      <c r="C383" s="468"/>
      <c r="D383" s="616"/>
      <c r="E383" s="467"/>
      <c r="F383" s="504"/>
      <c r="G383" s="468"/>
      <c r="H383" s="616"/>
      <c r="I383" s="467"/>
      <c r="J383" s="504"/>
      <c r="K383" s="468"/>
      <c r="L383" s="616"/>
      <c r="M383" s="467"/>
      <c r="N383" s="504"/>
      <c r="O383" s="468"/>
      <c r="P383" s="616"/>
      <c r="Q383" s="635"/>
      <c r="R383" s="636"/>
      <c r="S383" s="637"/>
      <c r="T383" s="629"/>
      <c r="U383" s="635"/>
      <c r="V383" s="636"/>
      <c r="W383" s="637"/>
      <c r="X383" s="629"/>
      <c r="Y383" s="467"/>
      <c r="Z383" s="504"/>
      <c r="AA383" s="468"/>
      <c r="AB383" s="616"/>
      <c r="AC383" s="635"/>
      <c r="AD383" s="636"/>
      <c r="AE383" s="637"/>
      <c r="AF383" s="629"/>
      <c r="AG383" s="635"/>
      <c r="AH383" s="636"/>
      <c r="AI383" s="637"/>
      <c r="AJ383" s="629"/>
      <c r="AK383" s="435"/>
      <c r="AL383" s="435"/>
      <c r="AM383" s="435"/>
      <c r="AN383" s="435"/>
      <c r="AO383" s="467"/>
      <c r="AP383" s="504"/>
      <c r="AQ383" s="468"/>
      <c r="AR383" s="616"/>
      <c r="AS383" s="630"/>
      <c r="AT383" s="630"/>
    </row>
    <row r="384">
      <c r="A384" s="467"/>
      <c r="B384" s="504"/>
      <c r="C384" s="468"/>
      <c r="D384" s="616"/>
      <c r="E384" s="467"/>
      <c r="F384" s="504"/>
      <c r="G384" s="468"/>
      <c r="H384" s="616"/>
      <c r="I384" s="467"/>
      <c r="J384" s="504"/>
      <c r="K384" s="468"/>
      <c r="L384" s="616"/>
      <c r="M384" s="467"/>
      <c r="N384" s="504"/>
      <c r="O384" s="468"/>
      <c r="P384" s="616"/>
      <c r="Q384" s="635"/>
      <c r="R384" s="636"/>
      <c r="S384" s="637"/>
      <c r="T384" s="629"/>
      <c r="U384" s="635"/>
      <c r="V384" s="636"/>
      <c r="W384" s="637"/>
      <c r="X384" s="629"/>
      <c r="Y384" s="467"/>
      <c r="Z384" s="504"/>
      <c r="AA384" s="468"/>
      <c r="AB384" s="616"/>
      <c r="AC384" s="635"/>
      <c r="AD384" s="636"/>
      <c r="AE384" s="637"/>
      <c r="AF384" s="629"/>
      <c r="AG384" s="635"/>
      <c r="AH384" s="636"/>
      <c r="AI384" s="637"/>
      <c r="AJ384" s="629"/>
      <c r="AK384" s="435"/>
      <c r="AL384" s="435"/>
      <c r="AM384" s="435"/>
      <c r="AN384" s="435"/>
      <c r="AO384" s="467"/>
      <c r="AP384" s="504"/>
      <c r="AQ384" s="468"/>
      <c r="AR384" s="616"/>
      <c r="AS384" s="630"/>
      <c r="AT384" s="630"/>
    </row>
    <row r="385">
      <c r="A385" s="467"/>
      <c r="B385" s="504"/>
      <c r="C385" s="468"/>
      <c r="D385" s="616"/>
      <c r="E385" s="467"/>
      <c r="F385" s="504"/>
      <c r="G385" s="468"/>
      <c r="H385" s="616"/>
      <c r="I385" s="467"/>
      <c r="J385" s="504"/>
      <c r="K385" s="468"/>
      <c r="L385" s="616"/>
      <c r="M385" s="467"/>
      <c r="N385" s="504"/>
      <c r="O385" s="468"/>
      <c r="P385" s="616"/>
      <c r="Q385" s="635"/>
      <c r="R385" s="636"/>
      <c r="S385" s="637"/>
      <c r="T385" s="629"/>
      <c r="U385" s="635"/>
      <c r="V385" s="636"/>
      <c r="W385" s="637"/>
      <c r="X385" s="629"/>
      <c r="Y385" s="467"/>
      <c r="Z385" s="504"/>
      <c r="AA385" s="468"/>
      <c r="AB385" s="616"/>
      <c r="AC385" s="635"/>
      <c r="AD385" s="636"/>
      <c r="AE385" s="637"/>
      <c r="AF385" s="629"/>
      <c r="AG385" s="635"/>
      <c r="AH385" s="636"/>
      <c r="AI385" s="637"/>
      <c r="AJ385" s="629"/>
      <c r="AK385" s="435"/>
      <c r="AL385" s="435"/>
      <c r="AM385" s="435"/>
      <c r="AN385" s="435"/>
      <c r="AO385" s="467"/>
      <c r="AP385" s="504"/>
      <c r="AQ385" s="468"/>
      <c r="AR385" s="616"/>
      <c r="AS385" s="630"/>
      <c r="AT385" s="630"/>
    </row>
    <row r="386">
      <c r="A386" s="467"/>
      <c r="B386" s="504"/>
      <c r="C386" s="468"/>
      <c r="D386" s="616"/>
      <c r="E386" s="467"/>
      <c r="F386" s="504"/>
      <c r="G386" s="468"/>
      <c r="H386" s="616"/>
      <c r="I386" s="467"/>
      <c r="J386" s="504"/>
      <c r="K386" s="468"/>
      <c r="L386" s="616"/>
      <c r="M386" s="467"/>
      <c r="N386" s="504"/>
      <c r="O386" s="468"/>
      <c r="P386" s="616"/>
      <c r="Q386" s="635"/>
      <c r="R386" s="636"/>
      <c r="S386" s="637"/>
      <c r="T386" s="629"/>
      <c r="U386" s="635"/>
      <c r="V386" s="636"/>
      <c r="W386" s="637"/>
      <c r="X386" s="629"/>
      <c r="Y386" s="467"/>
      <c r="Z386" s="504"/>
      <c r="AA386" s="468"/>
      <c r="AB386" s="616"/>
      <c r="AC386" s="635"/>
      <c r="AD386" s="636"/>
      <c r="AE386" s="637"/>
      <c r="AF386" s="629"/>
      <c r="AG386" s="635"/>
      <c r="AH386" s="636"/>
      <c r="AI386" s="637"/>
      <c r="AJ386" s="629"/>
      <c r="AK386" s="435"/>
      <c r="AL386" s="435"/>
      <c r="AM386" s="435"/>
      <c r="AN386" s="435"/>
      <c r="AO386" s="467"/>
      <c r="AP386" s="504"/>
      <c r="AQ386" s="468"/>
      <c r="AR386" s="616"/>
      <c r="AS386" s="630"/>
      <c r="AT386" s="630"/>
    </row>
    <row r="387">
      <c r="A387" s="467"/>
      <c r="B387" s="504"/>
      <c r="C387" s="468"/>
      <c r="D387" s="616"/>
      <c r="E387" s="467"/>
      <c r="F387" s="504"/>
      <c r="G387" s="468"/>
      <c r="H387" s="616"/>
      <c r="I387" s="467"/>
      <c r="J387" s="504"/>
      <c r="K387" s="468"/>
      <c r="L387" s="616"/>
      <c r="M387" s="467"/>
      <c r="N387" s="504"/>
      <c r="O387" s="468"/>
      <c r="P387" s="616"/>
      <c r="Q387" s="635"/>
      <c r="R387" s="636"/>
      <c r="S387" s="637"/>
      <c r="T387" s="629"/>
      <c r="U387" s="635"/>
      <c r="V387" s="636"/>
      <c r="W387" s="637"/>
      <c r="X387" s="629"/>
      <c r="Y387" s="467"/>
      <c r="Z387" s="504"/>
      <c r="AA387" s="468"/>
      <c r="AB387" s="616"/>
      <c r="AC387" s="635"/>
      <c r="AD387" s="636"/>
      <c r="AE387" s="637"/>
      <c r="AF387" s="629"/>
      <c r="AG387" s="635"/>
      <c r="AH387" s="636"/>
      <c r="AI387" s="637"/>
      <c r="AJ387" s="629"/>
      <c r="AK387" s="435"/>
      <c r="AL387" s="435"/>
      <c r="AM387" s="435"/>
      <c r="AN387" s="435"/>
      <c r="AO387" s="467"/>
      <c r="AP387" s="504"/>
      <c r="AQ387" s="468"/>
      <c r="AR387" s="616"/>
      <c r="AS387" s="630"/>
      <c r="AT387" s="630"/>
    </row>
    <row r="388">
      <c r="A388" s="467"/>
      <c r="B388" s="504"/>
      <c r="C388" s="468"/>
      <c r="D388" s="616"/>
      <c r="E388" s="467"/>
      <c r="F388" s="504"/>
      <c r="G388" s="468"/>
      <c r="H388" s="616"/>
      <c r="I388" s="467"/>
      <c r="J388" s="504"/>
      <c r="K388" s="468"/>
      <c r="L388" s="616"/>
      <c r="M388" s="467"/>
      <c r="N388" s="504"/>
      <c r="O388" s="468"/>
      <c r="P388" s="616"/>
      <c r="Q388" s="635"/>
      <c r="R388" s="636"/>
      <c r="S388" s="637"/>
      <c r="T388" s="629"/>
      <c r="U388" s="635"/>
      <c r="V388" s="636"/>
      <c r="W388" s="637"/>
      <c r="X388" s="629"/>
      <c r="Y388" s="467"/>
      <c r="Z388" s="504"/>
      <c r="AA388" s="468"/>
      <c r="AB388" s="616"/>
      <c r="AC388" s="635"/>
      <c r="AD388" s="636"/>
      <c r="AE388" s="637"/>
      <c r="AF388" s="629"/>
      <c r="AG388" s="635"/>
      <c r="AH388" s="636"/>
      <c r="AI388" s="637"/>
      <c r="AJ388" s="629"/>
      <c r="AK388" s="435"/>
      <c r="AL388" s="435"/>
      <c r="AM388" s="435"/>
      <c r="AN388" s="435"/>
      <c r="AO388" s="467"/>
      <c r="AP388" s="504"/>
      <c r="AQ388" s="468"/>
      <c r="AR388" s="616"/>
      <c r="AS388" s="630"/>
      <c r="AT388" s="630"/>
    </row>
    <row r="389">
      <c r="A389" s="467"/>
      <c r="B389" s="504"/>
      <c r="C389" s="468"/>
      <c r="D389" s="616"/>
      <c r="E389" s="467"/>
      <c r="F389" s="504"/>
      <c r="G389" s="468"/>
      <c r="H389" s="616"/>
      <c r="I389" s="467"/>
      <c r="J389" s="504"/>
      <c r="K389" s="468"/>
      <c r="L389" s="616"/>
      <c r="M389" s="467"/>
      <c r="N389" s="504"/>
      <c r="O389" s="468"/>
      <c r="P389" s="616"/>
      <c r="Q389" s="635"/>
      <c r="R389" s="636"/>
      <c r="S389" s="637"/>
      <c r="T389" s="629"/>
      <c r="U389" s="635"/>
      <c r="V389" s="636"/>
      <c r="W389" s="637"/>
      <c r="X389" s="629"/>
      <c r="Y389" s="467"/>
      <c r="Z389" s="504"/>
      <c r="AA389" s="468"/>
      <c r="AB389" s="616"/>
      <c r="AC389" s="635"/>
      <c r="AD389" s="636"/>
      <c r="AE389" s="637"/>
      <c r="AF389" s="629"/>
      <c r="AG389" s="635"/>
      <c r="AH389" s="636"/>
      <c r="AI389" s="637"/>
      <c r="AJ389" s="629"/>
      <c r="AK389" s="435"/>
      <c r="AL389" s="435"/>
      <c r="AM389" s="435"/>
      <c r="AN389" s="435"/>
      <c r="AO389" s="467"/>
      <c r="AP389" s="504"/>
      <c r="AQ389" s="468"/>
      <c r="AR389" s="616"/>
      <c r="AS389" s="630"/>
      <c r="AT389" s="630"/>
    </row>
    <row r="390">
      <c r="A390" s="467"/>
      <c r="B390" s="504"/>
      <c r="C390" s="468"/>
      <c r="D390" s="616"/>
      <c r="E390" s="467"/>
      <c r="F390" s="504"/>
      <c r="G390" s="468"/>
      <c r="H390" s="616"/>
      <c r="I390" s="467"/>
      <c r="J390" s="504"/>
      <c r="K390" s="468"/>
      <c r="L390" s="616"/>
      <c r="M390" s="467"/>
      <c r="N390" s="504"/>
      <c r="O390" s="468"/>
      <c r="P390" s="616"/>
      <c r="Q390" s="635"/>
      <c r="R390" s="636"/>
      <c r="S390" s="637"/>
      <c r="T390" s="629"/>
      <c r="U390" s="635"/>
      <c r="V390" s="636"/>
      <c r="W390" s="637"/>
      <c r="X390" s="629"/>
      <c r="Y390" s="467"/>
      <c r="Z390" s="504"/>
      <c r="AA390" s="468"/>
      <c r="AB390" s="616"/>
      <c r="AC390" s="635"/>
      <c r="AD390" s="636"/>
      <c r="AE390" s="637"/>
      <c r="AF390" s="629"/>
      <c r="AG390" s="635"/>
      <c r="AH390" s="636"/>
      <c r="AI390" s="637"/>
      <c r="AJ390" s="629"/>
      <c r="AK390" s="435"/>
      <c r="AL390" s="435"/>
      <c r="AM390" s="435"/>
      <c r="AN390" s="435"/>
      <c r="AO390" s="467"/>
      <c r="AP390" s="504"/>
      <c r="AQ390" s="468"/>
      <c r="AR390" s="616"/>
      <c r="AS390" s="630"/>
      <c r="AT390" s="630"/>
    </row>
    <row r="391">
      <c r="A391" s="467"/>
      <c r="B391" s="504"/>
      <c r="C391" s="468"/>
      <c r="D391" s="616"/>
      <c r="E391" s="467"/>
      <c r="F391" s="504"/>
      <c r="G391" s="468"/>
      <c r="H391" s="616"/>
      <c r="I391" s="467"/>
      <c r="J391" s="504"/>
      <c r="K391" s="468"/>
      <c r="L391" s="616"/>
      <c r="M391" s="467"/>
      <c r="N391" s="504"/>
      <c r="O391" s="468"/>
      <c r="P391" s="616"/>
      <c r="Q391" s="635"/>
      <c r="R391" s="636"/>
      <c r="S391" s="637"/>
      <c r="T391" s="629"/>
      <c r="U391" s="635"/>
      <c r="V391" s="636"/>
      <c r="W391" s="637"/>
      <c r="X391" s="629"/>
      <c r="Y391" s="467"/>
      <c r="Z391" s="504"/>
      <c r="AA391" s="468"/>
      <c r="AB391" s="616"/>
      <c r="AC391" s="635"/>
      <c r="AD391" s="636"/>
      <c r="AE391" s="637"/>
      <c r="AF391" s="629"/>
      <c r="AG391" s="635"/>
      <c r="AH391" s="636"/>
      <c r="AI391" s="637"/>
      <c r="AJ391" s="629"/>
      <c r="AK391" s="435"/>
      <c r="AL391" s="435"/>
      <c r="AM391" s="435"/>
      <c r="AN391" s="435"/>
      <c r="AO391" s="467"/>
      <c r="AP391" s="504"/>
      <c r="AQ391" s="468"/>
      <c r="AR391" s="616"/>
      <c r="AS391" s="630"/>
      <c r="AT391" s="630"/>
    </row>
    <row r="392">
      <c r="A392" s="467"/>
      <c r="B392" s="504"/>
      <c r="C392" s="468"/>
      <c r="D392" s="616"/>
      <c r="E392" s="467"/>
      <c r="F392" s="504"/>
      <c r="G392" s="468"/>
      <c r="H392" s="616"/>
      <c r="I392" s="467"/>
      <c r="J392" s="504"/>
      <c r="K392" s="468"/>
      <c r="L392" s="616"/>
      <c r="M392" s="467"/>
      <c r="N392" s="504"/>
      <c r="O392" s="468"/>
      <c r="P392" s="616"/>
      <c r="Q392" s="635"/>
      <c r="R392" s="636"/>
      <c r="S392" s="637"/>
      <c r="T392" s="629"/>
      <c r="U392" s="635"/>
      <c r="V392" s="636"/>
      <c r="W392" s="637"/>
      <c r="X392" s="629"/>
      <c r="Y392" s="467"/>
      <c r="Z392" s="504"/>
      <c r="AA392" s="468"/>
      <c r="AB392" s="616"/>
      <c r="AC392" s="635"/>
      <c r="AD392" s="636"/>
      <c r="AE392" s="637"/>
      <c r="AF392" s="629"/>
      <c r="AG392" s="635"/>
      <c r="AH392" s="636"/>
      <c r="AI392" s="637"/>
      <c r="AJ392" s="629"/>
      <c r="AK392" s="435"/>
      <c r="AL392" s="435"/>
      <c r="AM392" s="435"/>
      <c r="AN392" s="435"/>
      <c r="AO392" s="467"/>
      <c r="AP392" s="504"/>
      <c r="AQ392" s="468"/>
      <c r="AR392" s="616"/>
      <c r="AS392" s="630"/>
      <c r="AT392" s="630"/>
    </row>
    <row r="393">
      <c r="A393" s="467"/>
      <c r="B393" s="504"/>
      <c r="C393" s="468"/>
      <c r="D393" s="616"/>
      <c r="E393" s="467"/>
      <c r="F393" s="504"/>
      <c r="G393" s="468"/>
      <c r="H393" s="616"/>
      <c r="I393" s="467"/>
      <c r="J393" s="504"/>
      <c r="K393" s="468"/>
      <c r="L393" s="616"/>
      <c r="M393" s="467"/>
      <c r="N393" s="504"/>
      <c r="O393" s="468"/>
      <c r="P393" s="616"/>
      <c r="Q393" s="635"/>
      <c r="R393" s="636"/>
      <c r="S393" s="637"/>
      <c r="T393" s="629"/>
      <c r="U393" s="635"/>
      <c r="V393" s="636"/>
      <c r="W393" s="637"/>
      <c r="X393" s="629"/>
      <c r="Y393" s="467"/>
      <c r="Z393" s="504"/>
      <c r="AA393" s="468"/>
      <c r="AB393" s="616"/>
      <c r="AC393" s="635"/>
      <c r="AD393" s="636"/>
      <c r="AE393" s="637"/>
      <c r="AF393" s="629"/>
      <c r="AG393" s="635"/>
      <c r="AH393" s="636"/>
      <c r="AI393" s="637"/>
      <c r="AJ393" s="629"/>
      <c r="AK393" s="435"/>
      <c r="AL393" s="435"/>
      <c r="AM393" s="435"/>
      <c r="AN393" s="435"/>
      <c r="AO393" s="467"/>
      <c r="AP393" s="504"/>
      <c r="AQ393" s="468"/>
      <c r="AR393" s="616"/>
      <c r="AS393" s="630"/>
      <c r="AT393" s="630"/>
    </row>
    <row r="394">
      <c r="A394" s="467"/>
      <c r="B394" s="504"/>
      <c r="C394" s="468"/>
      <c r="D394" s="616"/>
      <c r="E394" s="467"/>
      <c r="F394" s="504"/>
      <c r="G394" s="468"/>
      <c r="H394" s="616"/>
      <c r="I394" s="467"/>
      <c r="J394" s="504"/>
      <c r="K394" s="468"/>
      <c r="L394" s="616"/>
      <c r="M394" s="467"/>
      <c r="N394" s="504"/>
      <c r="O394" s="468"/>
      <c r="P394" s="616"/>
      <c r="Q394" s="635"/>
      <c r="R394" s="636"/>
      <c r="S394" s="637"/>
      <c r="T394" s="629"/>
      <c r="U394" s="635"/>
      <c r="V394" s="636"/>
      <c r="W394" s="637"/>
      <c r="X394" s="629"/>
      <c r="Y394" s="467"/>
      <c r="Z394" s="504"/>
      <c r="AA394" s="468"/>
      <c r="AB394" s="616"/>
      <c r="AC394" s="635"/>
      <c r="AD394" s="636"/>
      <c r="AE394" s="637"/>
      <c r="AF394" s="629"/>
      <c r="AG394" s="635"/>
      <c r="AH394" s="636"/>
      <c r="AI394" s="637"/>
      <c r="AJ394" s="629"/>
      <c r="AK394" s="435"/>
      <c r="AL394" s="435"/>
      <c r="AM394" s="435"/>
      <c r="AN394" s="435"/>
      <c r="AO394" s="467"/>
      <c r="AP394" s="504"/>
      <c r="AQ394" s="468"/>
      <c r="AR394" s="616"/>
      <c r="AS394" s="630"/>
      <c r="AT394" s="630"/>
    </row>
    <row r="395">
      <c r="A395" s="467"/>
      <c r="B395" s="504"/>
      <c r="C395" s="468"/>
      <c r="D395" s="616"/>
      <c r="E395" s="467"/>
      <c r="F395" s="504"/>
      <c r="G395" s="468"/>
      <c r="H395" s="616"/>
      <c r="I395" s="467"/>
      <c r="J395" s="504"/>
      <c r="K395" s="468"/>
      <c r="L395" s="616"/>
      <c r="M395" s="467"/>
      <c r="N395" s="504"/>
      <c r="O395" s="468"/>
      <c r="P395" s="616"/>
      <c r="Q395" s="635"/>
      <c r="R395" s="636"/>
      <c r="S395" s="637"/>
      <c r="T395" s="629"/>
      <c r="U395" s="635"/>
      <c r="V395" s="636"/>
      <c r="W395" s="637"/>
      <c r="X395" s="629"/>
      <c r="Y395" s="467"/>
      <c r="Z395" s="504"/>
      <c r="AA395" s="468"/>
      <c r="AB395" s="616"/>
      <c r="AC395" s="635"/>
      <c r="AD395" s="636"/>
      <c r="AE395" s="637"/>
      <c r="AF395" s="629"/>
      <c r="AG395" s="635"/>
      <c r="AH395" s="636"/>
      <c r="AI395" s="637"/>
      <c r="AJ395" s="629"/>
      <c r="AK395" s="435"/>
      <c r="AL395" s="435"/>
      <c r="AM395" s="435"/>
      <c r="AN395" s="435"/>
      <c r="AO395" s="467"/>
      <c r="AP395" s="504"/>
      <c r="AQ395" s="468"/>
      <c r="AR395" s="616"/>
      <c r="AS395" s="630"/>
      <c r="AT395" s="630"/>
    </row>
    <row r="396">
      <c r="A396" s="467"/>
      <c r="B396" s="504"/>
      <c r="C396" s="468"/>
      <c r="D396" s="616"/>
      <c r="E396" s="467"/>
      <c r="F396" s="504"/>
      <c r="G396" s="468"/>
      <c r="H396" s="616"/>
      <c r="I396" s="467"/>
      <c r="J396" s="504"/>
      <c r="K396" s="468"/>
      <c r="L396" s="616"/>
      <c r="M396" s="467"/>
      <c r="N396" s="504"/>
      <c r="O396" s="468"/>
      <c r="P396" s="616"/>
      <c r="Q396" s="635"/>
      <c r="R396" s="636"/>
      <c r="S396" s="637"/>
      <c r="T396" s="629"/>
      <c r="U396" s="635"/>
      <c r="V396" s="636"/>
      <c r="W396" s="637"/>
      <c r="X396" s="629"/>
      <c r="Y396" s="467"/>
      <c r="Z396" s="504"/>
      <c r="AA396" s="468"/>
      <c r="AB396" s="616"/>
      <c r="AC396" s="635"/>
      <c r="AD396" s="636"/>
      <c r="AE396" s="637"/>
      <c r="AF396" s="629"/>
      <c r="AG396" s="635"/>
      <c r="AH396" s="636"/>
      <c r="AI396" s="637"/>
      <c r="AJ396" s="629"/>
      <c r="AK396" s="435"/>
      <c r="AL396" s="435"/>
      <c r="AM396" s="435"/>
      <c r="AN396" s="435"/>
      <c r="AO396" s="467"/>
      <c r="AP396" s="504"/>
      <c r="AQ396" s="468"/>
      <c r="AR396" s="616"/>
      <c r="AS396" s="630"/>
      <c r="AT396" s="630"/>
    </row>
    <row r="397">
      <c r="A397" s="467"/>
      <c r="B397" s="504"/>
      <c r="C397" s="468"/>
      <c r="D397" s="616"/>
      <c r="E397" s="467"/>
      <c r="F397" s="504"/>
      <c r="G397" s="468"/>
      <c r="H397" s="616"/>
      <c r="I397" s="467"/>
      <c r="J397" s="504"/>
      <c r="K397" s="468"/>
      <c r="L397" s="616"/>
      <c r="M397" s="467"/>
      <c r="N397" s="504"/>
      <c r="O397" s="468"/>
      <c r="P397" s="616"/>
      <c r="Q397" s="635"/>
      <c r="R397" s="636"/>
      <c r="S397" s="637"/>
      <c r="T397" s="629"/>
      <c r="U397" s="635"/>
      <c r="V397" s="636"/>
      <c r="W397" s="637"/>
      <c r="X397" s="629"/>
      <c r="Y397" s="467"/>
      <c r="Z397" s="504"/>
      <c r="AA397" s="468"/>
      <c r="AB397" s="616"/>
      <c r="AC397" s="635"/>
      <c r="AD397" s="636"/>
      <c r="AE397" s="637"/>
      <c r="AF397" s="629"/>
      <c r="AG397" s="635"/>
      <c r="AH397" s="636"/>
      <c r="AI397" s="637"/>
      <c r="AJ397" s="629"/>
      <c r="AK397" s="435"/>
      <c r="AL397" s="435"/>
      <c r="AM397" s="435"/>
      <c r="AN397" s="435"/>
      <c r="AO397" s="467"/>
      <c r="AP397" s="504"/>
      <c r="AQ397" s="468"/>
      <c r="AR397" s="616"/>
      <c r="AS397" s="630"/>
      <c r="AT397" s="630"/>
    </row>
    <row r="398">
      <c r="A398" s="467"/>
      <c r="B398" s="504"/>
      <c r="C398" s="468"/>
      <c r="D398" s="616"/>
      <c r="E398" s="467"/>
      <c r="F398" s="504"/>
      <c r="G398" s="468"/>
      <c r="H398" s="616"/>
      <c r="I398" s="467"/>
      <c r="J398" s="504"/>
      <c r="K398" s="468"/>
      <c r="L398" s="616"/>
      <c r="M398" s="467"/>
      <c r="N398" s="504"/>
      <c r="O398" s="468"/>
      <c r="P398" s="616"/>
      <c r="Q398" s="635"/>
      <c r="R398" s="636"/>
      <c r="S398" s="637"/>
      <c r="T398" s="629"/>
      <c r="U398" s="635"/>
      <c r="V398" s="636"/>
      <c r="W398" s="637"/>
      <c r="X398" s="629"/>
      <c r="Y398" s="467"/>
      <c r="Z398" s="504"/>
      <c r="AA398" s="468"/>
      <c r="AB398" s="616"/>
      <c r="AC398" s="635"/>
      <c r="AD398" s="636"/>
      <c r="AE398" s="637"/>
      <c r="AF398" s="629"/>
      <c r="AG398" s="635"/>
      <c r="AH398" s="636"/>
      <c r="AI398" s="637"/>
      <c r="AJ398" s="629"/>
      <c r="AK398" s="435"/>
      <c r="AL398" s="435"/>
      <c r="AM398" s="435"/>
      <c r="AN398" s="435"/>
      <c r="AO398" s="467"/>
      <c r="AP398" s="504"/>
      <c r="AQ398" s="468"/>
      <c r="AR398" s="616"/>
      <c r="AS398" s="630"/>
      <c r="AT398" s="630"/>
    </row>
    <row r="399">
      <c r="A399" s="467"/>
      <c r="B399" s="504"/>
      <c r="C399" s="468"/>
      <c r="D399" s="616"/>
      <c r="E399" s="467"/>
      <c r="F399" s="504"/>
      <c r="G399" s="468"/>
      <c r="H399" s="616"/>
      <c r="I399" s="467"/>
      <c r="J399" s="504"/>
      <c r="K399" s="468"/>
      <c r="L399" s="616"/>
      <c r="M399" s="467"/>
      <c r="N399" s="504"/>
      <c r="O399" s="468"/>
      <c r="P399" s="616"/>
      <c r="Q399" s="635"/>
      <c r="R399" s="636"/>
      <c r="S399" s="637"/>
      <c r="T399" s="629"/>
      <c r="U399" s="635"/>
      <c r="V399" s="636"/>
      <c r="W399" s="637"/>
      <c r="X399" s="629"/>
      <c r="Y399" s="467"/>
      <c r="Z399" s="504"/>
      <c r="AA399" s="468"/>
      <c r="AB399" s="616"/>
      <c r="AC399" s="635"/>
      <c r="AD399" s="636"/>
      <c r="AE399" s="637"/>
      <c r="AF399" s="629"/>
      <c r="AG399" s="635"/>
      <c r="AH399" s="636"/>
      <c r="AI399" s="637"/>
      <c r="AJ399" s="629"/>
      <c r="AK399" s="435"/>
      <c r="AL399" s="435"/>
      <c r="AM399" s="435"/>
      <c r="AN399" s="435"/>
      <c r="AO399" s="467"/>
      <c r="AP399" s="504"/>
      <c r="AQ399" s="468"/>
      <c r="AR399" s="616"/>
      <c r="AS399" s="630"/>
      <c r="AT399" s="630"/>
    </row>
    <row r="400">
      <c r="A400" s="467"/>
      <c r="B400" s="504"/>
      <c r="C400" s="468"/>
      <c r="D400" s="616"/>
      <c r="E400" s="467"/>
      <c r="F400" s="504"/>
      <c r="G400" s="468"/>
      <c r="H400" s="616"/>
      <c r="I400" s="467"/>
      <c r="J400" s="504"/>
      <c r="K400" s="468"/>
      <c r="L400" s="616"/>
      <c r="M400" s="467"/>
      <c r="N400" s="504"/>
      <c r="O400" s="468"/>
      <c r="P400" s="616"/>
      <c r="Q400" s="635"/>
      <c r="R400" s="636"/>
      <c r="S400" s="637"/>
      <c r="T400" s="629"/>
      <c r="U400" s="635"/>
      <c r="V400" s="636"/>
      <c r="W400" s="637"/>
      <c r="X400" s="629"/>
      <c r="Y400" s="467"/>
      <c r="Z400" s="504"/>
      <c r="AA400" s="468"/>
      <c r="AB400" s="616"/>
      <c r="AC400" s="635"/>
      <c r="AD400" s="636"/>
      <c r="AE400" s="637"/>
      <c r="AF400" s="629"/>
      <c r="AG400" s="635"/>
      <c r="AH400" s="636"/>
      <c r="AI400" s="637"/>
      <c r="AJ400" s="629"/>
      <c r="AK400" s="435"/>
      <c r="AL400" s="435"/>
      <c r="AM400" s="435"/>
      <c r="AN400" s="435"/>
      <c r="AO400" s="467"/>
      <c r="AP400" s="504"/>
      <c r="AQ400" s="468"/>
      <c r="AR400" s="616"/>
      <c r="AS400" s="630"/>
      <c r="AT400" s="630"/>
    </row>
    <row r="401">
      <c r="A401" s="467"/>
      <c r="B401" s="504"/>
      <c r="C401" s="468"/>
      <c r="D401" s="616"/>
      <c r="E401" s="467"/>
      <c r="F401" s="504"/>
      <c r="G401" s="468"/>
      <c r="H401" s="616"/>
      <c r="I401" s="467"/>
      <c r="J401" s="504"/>
      <c r="K401" s="468"/>
      <c r="L401" s="616"/>
      <c r="M401" s="467"/>
      <c r="N401" s="504"/>
      <c r="O401" s="468"/>
      <c r="P401" s="616"/>
      <c r="Q401" s="635"/>
      <c r="R401" s="636"/>
      <c r="S401" s="637"/>
      <c r="T401" s="629"/>
      <c r="U401" s="635"/>
      <c r="V401" s="636"/>
      <c r="W401" s="637"/>
      <c r="X401" s="629"/>
      <c r="Y401" s="467"/>
      <c r="Z401" s="504"/>
      <c r="AA401" s="468"/>
      <c r="AB401" s="616"/>
      <c r="AC401" s="635"/>
      <c r="AD401" s="636"/>
      <c r="AE401" s="637"/>
      <c r="AF401" s="629"/>
      <c r="AG401" s="635"/>
      <c r="AH401" s="636"/>
      <c r="AI401" s="637"/>
      <c r="AJ401" s="629"/>
      <c r="AK401" s="435"/>
      <c r="AL401" s="435"/>
      <c r="AM401" s="435"/>
      <c r="AN401" s="435"/>
      <c r="AO401" s="467"/>
      <c r="AP401" s="504"/>
      <c r="AQ401" s="468"/>
      <c r="AR401" s="616"/>
      <c r="AS401" s="630"/>
      <c r="AT401" s="630"/>
    </row>
    <row r="402">
      <c r="A402" s="467"/>
      <c r="B402" s="504"/>
      <c r="C402" s="468"/>
      <c r="D402" s="616"/>
      <c r="E402" s="467"/>
      <c r="F402" s="504"/>
      <c r="G402" s="468"/>
      <c r="H402" s="616"/>
      <c r="I402" s="467"/>
      <c r="J402" s="504"/>
      <c r="K402" s="468"/>
      <c r="L402" s="616"/>
      <c r="M402" s="467"/>
      <c r="N402" s="504"/>
      <c r="O402" s="468"/>
      <c r="P402" s="616"/>
      <c r="Q402" s="635"/>
      <c r="R402" s="636"/>
      <c r="S402" s="637"/>
      <c r="T402" s="629"/>
      <c r="U402" s="635"/>
      <c r="V402" s="636"/>
      <c r="W402" s="637"/>
      <c r="X402" s="629"/>
      <c r="Y402" s="467"/>
      <c r="Z402" s="504"/>
      <c r="AA402" s="468"/>
      <c r="AB402" s="616"/>
      <c r="AC402" s="635"/>
      <c r="AD402" s="636"/>
      <c r="AE402" s="637"/>
      <c r="AF402" s="629"/>
      <c r="AG402" s="635"/>
      <c r="AH402" s="636"/>
      <c r="AI402" s="637"/>
      <c r="AJ402" s="629"/>
      <c r="AK402" s="435"/>
      <c r="AL402" s="435"/>
      <c r="AM402" s="435"/>
      <c r="AN402" s="435"/>
      <c r="AO402" s="467"/>
      <c r="AP402" s="504"/>
      <c r="AQ402" s="468"/>
      <c r="AR402" s="616"/>
      <c r="AS402" s="630"/>
      <c r="AT402" s="630"/>
    </row>
    <row r="403">
      <c r="A403" s="467"/>
      <c r="B403" s="504"/>
      <c r="C403" s="468"/>
      <c r="D403" s="616"/>
      <c r="E403" s="467"/>
      <c r="F403" s="504"/>
      <c r="G403" s="468"/>
      <c r="H403" s="616"/>
      <c r="I403" s="467"/>
      <c r="J403" s="504"/>
      <c r="K403" s="468"/>
      <c r="L403" s="616"/>
      <c r="M403" s="467"/>
      <c r="N403" s="504"/>
      <c r="O403" s="468"/>
      <c r="P403" s="616"/>
      <c r="Q403" s="635"/>
      <c r="R403" s="636"/>
      <c r="S403" s="637"/>
      <c r="T403" s="629"/>
      <c r="U403" s="635"/>
      <c r="V403" s="636"/>
      <c r="W403" s="637"/>
      <c r="X403" s="629"/>
      <c r="Y403" s="467"/>
      <c r="Z403" s="504"/>
      <c r="AA403" s="468"/>
      <c r="AB403" s="616"/>
      <c r="AC403" s="635"/>
      <c r="AD403" s="636"/>
      <c r="AE403" s="637"/>
      <c r="AF403" s="629"/>
      <c r="AG403" s="635"/>
      <c r="AH403" s="636"/>
      <c r="AI403" s="637"/>
      <c r="AJ403" s="629"/>
      <c r="AK403" s="435"/>
      <c r="AL403" s="435"/>
      <c r="AM403" s="435"/>
      <c r="AN403" s="435"/>
      <c r="AO403" s="467"/>
      <c r="AP403" s="504"/>
      <c r="AQ403" s="468"/>
      <c r="AR403" s="616"/>
      <c r="AS403" s="630"/>
      <c r="AT403" s="630"/>
    </row>
    <row r="404">
      <c r="A404" s="467"/>
      <c r="B404" s="504"/>
      <c r="C404" s="468"/>
      <c r="D404" s="616"/>
      <c r="E404" s="467"/>
      <c r="F404" s="504"/>
      <c r="G404" s="468"/>
      <c r="H404" s="616"/>
      <c r="I404" s="467"/>
      <c r="J404" s="504"/>
      <c r="K404" s="468"/>
      <c r="L404" s="616"/>
      <c r="M404" s="467"/>
      <c r="N404" s="504"/>
      <c r="O404" s="468"/>
      <c r="P404" s="616"/>
      <c r="Q404" s="635"/>
      <c r="R404" s="636"/>
      <c r="S404" s="637"/>
      <c r="T404" s="629"/>
      <c r="U404" s="635"/>
      <c r="V404" s="636"/>
      <c r="W404" s="637"/>
      <c r="X404" s="629"/>
      <c r="Y404" s="467"/>
      <c r="Z404" s="504"/>
      <c r="AA404" s="468"/>
      <c r="AB404" s="616"/>
      <c r="AC404" s="635"/>
      <c r="AD404" s="636"/>
      <c r="AE404" s="637"/>
      <c r="AF404" s="629"/>
      <c r="AG404" s="635"/>
      <c r="AH404" s="636"/>
      <c r="AI404" s="637"/>
      <c r="AJ404" s="629"/>
      <c r="AK404" s="435"/>
      <c r="AL404" s="435"/>
      <c r="AM404" s="435"/>
      <c r="AN404" s="435"/>
      <c r="AO404" s="467"/>
      <c r="AP404" s="504"/>
      <c r="AQ404" s="468"/>
      <c r="AR404" s="616"/>
      <c r="AS404" s="630"/>
      <c r="AT404" s="630"/>
    </row>
    <row r="405">
      <c r="A405" s="467"/>
      <c r="B405" s="504"/>
      <c r="C405" s="468"/>
      <c r="D405" s="616"/>
      <c r="E405" s="467"/>
      <c r="F405" s="504"/>
      <c r="G405" s="468"/>
      <c r="H405" s="616"/>
      <c r="I405" s="467"/>
      <c r="J405" s="504"/>
      <c r="K405" s="468"/>
      <c r="L405" s="616"/>
      <c r="M405" s="467"/>
      <c r="N405" s="504"/>
      <c r="O405" s="468"/>
      <c r="P405" s="616"/>
      <c r="Q405" s="635"/>
      <c r="R405" s="636"/>
      <c r="S405" s="637"/>
      <c r="T405" s="629"/>
      <c r="U405" s="635"/>
      <c r="V405" s="636"/>
      <c r="W405" s="637"/>
      <c r="X405" s="629"/>
      <c r="Y405" s="467"/>
      <c r="Z405" s="504"/>
      <c r="AA405" s="468"/>
      <c r="AB405" s="616"/>
      <c r="AC405" s="635"/>
      <c r="AD405" s="636"/>
      <c r="AE405" s="637"/>
      <c r="AF405" s="629"/>
      <c r="AG405" s="635"/>
      <c r="AH405" s="636"/>
      <c r="AI405" s="637"/>
      <c r="AJ405" s="629"/>
      <c r="AK405" s="435"/>
      <c r="AL405" s="435"/>
      <c r="AM405" s="435"/>
      <c r="AN405" s="435"/>
      <c r="AO405" s="467"/>
      <c r="AP405" s="504"/>
      <c r="AQ405" s="468"/>
      <c r="AR405" s="616"/>
      <c r="AS405" s="630"/>
      <c r="AT405" s="630"/>
    </row>
    <row r="406">
      <c r="A406" s="467"/>
      <c r="B406" s="504"/>
      <c r="C406" s="468"/>
      <c r="D406" s="616"/>
      <c r="E406" s="467"/>
      <c r="F406" s="504"/>
      <c r="G406" s="468"/>
      <c r="H406" s="616"/>
      <c r="I406" s="467"/>
      <c r="J406" s="504"/>
      <c r="K406" s="468"/>
      <c r="L406" s="616"/>
      <c r="M406" s="467"/>
      <c r="N406" s="504"/>
      <c r="O406" s="468"/>
      <c r="P406" s="616"/>
      <c r="Q406" s="635"/>
      <c r="R406" s="636"/>
      <c r="S406" s="637"/>
      <c r="T406" s="629"/>
      <c r="U406" s="635"/>
      <c r="V406" s="636"/>
      <c r="W406" s="637"/>
      <c r="X406" s="629"/>
      <c r="Y406" s="467"/>
      <c r="Z406" s="504"/>
      <c r="AA406" s="468"/>
      <c r="AB406" s="616"/>
      <c r="AC406" s="635"/>
      <c r="AD406" s="636"/>
      <c r="AE406" s="637"/>
      <c r="AF406" s="629"/>
      <c r="AG406" s="635"/>
      <c r="AH406" s="636"/>
      <c r="AI406" s="637"/>
      <c r="AJ406" s="629"/>
      <c r="AK406" s="435"/>
      <c r="AL406" s="435"/>
      <c r="AM406" s="435"/>
      <c r="AN406" s="435"/>
      <c r="AO406" s="467"/>
      <c r="AP406" s="504"/>
      <c r="AQ406" s="468"/>
      <c r="AR406" s="616"/>
      <c r="AS406" s="630"/>
      <c r="AT406" s="630"/>
    </row>
    <row r="407">
      <c r="A407" s="467"/>
      <c r="B407" s="504"/>
      <c r="C407" s="468"/>
      <c r="D407" s="616"/>
      <c r="E407" s="467"/>
      <c r="F407" s="504"/>
      <c r="G407" s="468"/>
      <c r="H407" s="616"/>
      <c r="I407" s="467"/>
      <c r="J407" s="504"/>
      <c r="K407" s="468"/>
      <c r="L407" s="616"/>
      <c r="M407" s="467"/>
      <c r="N407" s="504"/>
      <c r="O407" s="468"/>
      <c r="P407" s="616"/>
      <c r="Q407" s="635"/>
      <c r="R407" s="636"/>
      <c r="S407" s="637"/>
      <c r="T407" s="629"/>
      <c r="U407" s="635"/>
      <c r="V407" s="636"/>
      <c r="W407" s="637"/>
      <c r="X407" s="629"/>
      <c r="Y407" s="467"/>
      <c r="Z407" s="504"/>
      <c r="AA407" s="468"/>
      <c r="AB407" s="616"/>
      <c r="AC407" s="635"/>
      <c r="AD407" s="636"/>
      <c r="AE407" s="637"/>
      <c r="AF407" s="629"/>
      <c r="AG407" s="635"/>
      <c r="AH407" s="636"/>
      <c r="AI407" s="637"/>
      <c r="AJ407" s="629"/>
      <c r="AK407" s="435"/>
      <c r="AL407" s="435"/>
      <c r="AM407" s="435"/>
      <c r="AN407" s="435"/>
      <c r="AO407" s="467"/>
      <c r="AP407" s="504"/>
      <c r="AQ407" s="468"/>
      <c r="AR407" s="616"/>
      <c r="AS407" s="630"/>
      <c r="AT407" s="630"/>
    </row>
    <row r="408">
      <c r="A408" s="467"/>
      <c r="B408" s="504"/>
      <c r="C408" s="468"/>
      <c r="D408" s="616"/>
      <c r="E408" s="467"/>
      <c r="F408" s="504"/>
      <c r="G408" s="468"/>
      <c r="H408" s="616"/>
      <c r="I408" s="467"/>
      <c r="J408" s="504"/>
      <c r="K408" s="468"/>
      <c r="L408" s="616"/>
      <c r="M408" s="467"/>
      <c r="N408" s="504"/>
      <c r="O408" s="468"/>
      <c r="P408" s="616"/>
      <c r="Q408" s="635"/>
      <c r="R408" s="636"/>
      <c r="S408" s="637"/>
      <c r="T408" s="629"/>
      <c r="U408" s="635"/>
      <c r="V408" s="636"/>
      <c r="W408" s="637"/>
      <c r="X408" s="629"/>
      <c r="Y408" s="467"/>
      <c r="Z408" s="504"/>
      <c r="AA408" s="468"/>
      <c r="AB408" s="616"/>
      <c r="AC408" s="635"/>
      <c r="AD408" s="636"/>
      <c r="AE408" s="637"/>
      <c r="AF408" s="629"/>
      <c r="AG408" s="635"/>
      <c r="AH408" s="636"/>
      <c r="AI408" s="637"/>
      <c r="AJ408" s="629"/>
      <c r="AK408" s="435"/>
      <c r="AL408" s="435"/>
      <c r="AM408" s="435"/>
      <c r="AN408" s="435"/>
      <c r="AO408" s="467"/>
      <c r="AP408" s="504"/>
      <c r="AQ408" s="468"/>
      <c r="AR408" s="616"/>
      <c r="AS408" s="630"/>
      <c r="AT408" s="630"/>
    </row>
    <row r="409">
      <c r="A409" s="467"/>
      <c r="B409" s="504"/>
      <c r="C409" s="468"/>
      <c r="D409" s="616"/>
      <c r="E409" s="467"/>
      <c r="F409" s="504"/>
      <c r="G409" s="468"/>
      <c r="H409" s="616"/>
      <c r="I409" s="467"/>
      <c r="J409" s="504"/>
      <c r="K409" s="468"/>
      <c r="L409" s="616"/>
      <c r="M409" s="467"/>
      <c r="N409" s="504"/>
      <c r="O409" s="468"/>
      <c r="P409" s="616"/>
      <c r="Q409" s="635"/>
      <c r="R409" s="636"/>
      <c r="S409" s="637"/>
      <c r="T409" s="629"/>
      <c r="U409" s="635"/>
      <c r="V409" s="636"/>
      <c r="W409" s="637"/>
      <c r="X409" s="629"/>
      <c r="Y409" s="467"/>
      <c r="Z409" s="504"/>
      <c r="AA409" s="468"/>
      <c r="AB409" s="616"/>
      <c r="AC409" s="635"/>
      <c r="AD409" s="636"/>
      <c r="AE409" s="637"/>
      <c r="AF409" s="629"/>
      <c r="AG409" s="635"/>
      <c r="AH409" s="636"/>
      <c r="AI409" s="637"/>
      <c r="AJ409" s="629"/>
      <c r="AK409" s="435"/>
      <c r="AL409" s="435"/>
      <c r="AM409" s="435"/>
      <c r="AN409" s="435"/>
      <c r="AO409" s="467"/>
      <c r="AP409" s="504"/>
      <c r="AQ409" s="468"/>
      <c r="AR409" s="616"/>
      <c r="AS409" s="630"/>
      <c r="AT409" s="630"/>
    </row>
    <row r="410">
      <c r="A410" s="467"/>
      <c r="B410" s="504"/>
      <c r="C410" s="468"/>
      <c r="D410" s="616"/>
      <c r="E410" s="467"/>
      <c r="F410" s="504"/>
      <c r="G410" s="468"/>
      <c r="H410" s="616"/>
      <c r="I410" s="467"/>
      <c r="J410" s="504"/>
      <c r="K410" s="468"/>
      <c r="L410" s="616"/>
      <c r="M410" s="467"/>
      <c r="N410" s="504"/>
      <c r="O410" s="468"/>
      <c r="P410" s="616"/>
      <c r="Q410" s="635"/>
      <c r="R410" s="636"/>
      <c r="S410" s="637"/>
      <c r="T410" s="629"/>
      <c r="U410" s="635"/>
      <c r="V410" s="636"/>
      <c r="W410" s="637"/>
      <c r="X410" s="629"/>
      <c r="Y410" s="467"/>
      <c r="Z410" s="504"/>
      <c r="AA410" s="468"/>
      <c r="AB410" s="616"/>
      <c r="AC410" s="635"/>
      <c r="AD410" s="636"/>
      <c r="AE410" s="637"/>
      <c r="AF410" s="629"/>
      <c r="AG410" s="635"/>
      <c r="AH410" s="636"/>
      <c r="AI410" s="637"/>
      <c r="AJ410" s="629"/>
      <c r="AK410" s="435"/>
      <c r="AL410" s="435"/>
      <c r="AM410" s="435"/>
      <c r="AN410" s="435"/>
      <c r="AO410" s="467"/>
      <c r="AP410" s="504"/>
      <c r="AQ410" s="468"/>
      <c r="AR410" s="616"/>
      <c r="AS410" s="630"/>
      <c r="AT410" s="630"/>
    </row>
    <row r="411">
      <c r="A411" s="467"/>
      <c r="B411" s="504"/>
      <c r="C411" s="468"/>
      <c r="D411" s="616"/>
      <c r="E411" s="467"/>
      <c r="F411" s="504"/>
      <c r="G411" s="468"/>
      <c r="H411" s="616"/>
      <c r="I411" s="467"/>
      <c r="J411" s="504"/>
      <c r="K411" s="468"/>
      <c r="L411" s="616"/>
      <c r="M411" s="467"/>
      <c r="N411" s="504"/>
      <c r="O411" s="468"/>
      <c r="P411" s="616"/>
      <c r="Q411" s="635"/>
      <c r="R411" s="636"/>
      <c r="S411" s="637"/>
      <c r="T411" s="629"/>
      <c r="U411" s="635"/>
      <c r="V411" s="636"/>
      <c r="W411" s="637"/>
      <c r="X411" s="629"/>
      <c r="Y411" s="467"/>
      <c r="Z411" s="504"/>
      <c r="AA411" s="468"/>
      <c r="AB411" s="616"/>
      <c r="AC411" s="635"/>
      <c r="AD411" s="636"/>
      <c r="AE411" s="637"/>
      <c r="AF411" s="629"/>
      <c r="AG411" s="635"/>
      <c r="AH411" s="636"/>
      <c r="AI411" s="637"/>
      <c r="AJ411" s="629"/>
      <c r="AK411" s="435"/>
      <c r="AL411" s="435"/>
      <c r="AM411" s="435"/>
      <c r="AN411" s="435"/>
      <c r="AO411" s="467"/>
      <c r="AP411" s="504"/>
      <c r="AQ411" s="468"/>
      <c r="AR411" s="616"/>
      <c r="AS411" s="630"/>
      <c r="AT411" s="630"/>
    </row>
    <row r="412">
      <c r="A412" s="467"/>
      <c r="B412" s="504"/>
      <c r="C412" s="468"/>
      <c r="D412" s="616"/>
      <c r="E412" s="467"/>
      <c r="F412" s="504"/>
      <c r="G412" s="468"/>
      <c r="H412" s="616"/>
      <c r="I412" s="467"/>
      <c r="J412" s="504"/>
      <c r="K412" s="468"/>
      <c r="L412" s="616"/>
      <c r="M412" s="467"/>
      <c r="N412" s="504"/>
      <c r="O412" s="468"/>
      <c r="P412" s="616"/>
      <c r="Q412" s="635"/>
      <c r="R412" s="636"/>
      <c r="S412" s="637"/>
      <c r="T412" s="629"/>
      <c r="U412" s="635"/>
      <c r="V412" s="636"/>
      <c r="W412" s="637"/>
      <c r="X412" s="629"/>
      <c r="Y412" s="467"/>
      <c r="Z412" s="504"/>
      <c r="AA412" s="468"/>
      <c r="AB412" s="616"/>
      <c r="AC412" s="635"/>
      <c r="AD412" s="636"/>
      <c r="AE412" s="637"/>
      <c r="AF412" s="629"/>
      <c r="AG412" s="635"/>
      <c r="AH412" s="636"/>
      <c r="AI412" s="637"/>
      <c r="AJ412" s="629"/>
      <c r="AK412" s="435"/>
      <c r="AL412" s="435"/>
      <c r="AM412" s="435"/>
      <c r="AN412" s="435"/>
      <c r="AO412" s="467"/>
      <c r="AP412" s="504"/>
      <c r="AQ412" s="468"/>
      <c r="AR412" s="616"/>
      <c r="AS412" s="630"/>
      <c r="AT412" s="630"/>
    </row>
    <row r="413">
      <c r="A413" s="467"/>
      <c r="B413" s="504"/>
      <c r="C413" s="468"/>
      <c r="D413" s="616"/>
      <c r="E413" s="467"/>
      <c r="F413" s="504"/>
      <c r="G413" s="468"/>
      <c r="H413" s="616"/>
      <c r="I413" s="467"/>
      <c r="J413" s="504"/>
      <c r="K413" s="468"/>
      <c r="L413" s="616"/>
      <c r="M413" s="467"/>
      <c r="N413" s="504"/>
      <c r="O413" s="468"/>
      <c r="P413" s="616"/>
      <c r="Q413" s="635"/>
      <c r="R413" s="636"/>
      <c r="S413" s="637"/>
      <c r="T413" s="629"/>
      <c r="U413" s="635"/>
      <c r="V413" s="636"/>
      <c r="W413" s="637"/>
      <c r="X413" s="629"/>
      <c r="Y413" s="467"/>
      <c r="Z413" s="504"/>
      <c r="AA413" s="468"/>
      <c r="AB413" s="616"/>
      <c r="AC413" s="635"/>
      <c r="AD413" s="636"/>
      <c r="AE413" s="637"/>
      <c r="AF413" s="629"/>
      <c r="AG413" s="635"/>
      <c r="AH413" s="636"/>
      <c r="AI413" s="637"/>
      <c r="AJ413" s="629"/>
      <c r="AK413" s="435"/>
      <c r="AL413" s="435"/>
      <c r="AM413" s="435"/>
      <c r="AN413" s="435"/>
      <c r="AO413" s="467"/>
      <c r="AP413" s="504"/>
      <c r="AQ413" s="468"/>
      <c r="AR413" s="616"/>
      <c r="AS413" s="630"/>
      <c r="AT413" s="630"/>
    </row>
    <row r="414">
      <c r="A414" s="467"/>
      <c r="B414" s="504"/>
      <c r="C414" s="468"/>
      <c r="D414" s="616"/>
      <c r="E414" s="467"/>
      <c r="F414" s="504"/>
      <c r="G414" s="468"/>
      <c r="H414" s="616"/>
      <c r="I414" s="467"/>
      <c r="J414" s="504"/>
      <c r="K414" s="468"/>
      <c r="L414" s="616"/>
      <c r="M414" s="467"/>
      <c r="N414" s="504"/>
      <c r="O414" s="468"/>
      <c r="P414" s="616"/>
      <c r="Q414" s="635"/>
      <c r="R414" s="636"/>
      <c r="S414" s="637"/>
      <c r="T414" s="629"/>
      <c r="U414" s="635"/>
      <c r="V414" s="636"/>
      <c r="W414" s="637"/>
      <c r="X414" s="629"/>
      <c r="Y414" s="467"/>
      <c r="Z414" s="504"/>
      <c r="AA414" s="468"/>
      <c r="AB414" s="616"/>
      <c r="AC414" s="635"/>
      <c r="AD414" s="636"/>
      <c r="AE414" s="637"/>
      <c r="AF414" s="629"/>
      <c r="AG414" s="635"/>
      <c r="AH414" s="636"/>
      <c r="AI414" s="637"/>
      <c r="AJ414" s="629"/>
      <c r="AK414" s="435"/>
      <c r="AL414" s="435"/>
      <c r="AM414" s="435"/>
      <c r="AN414" s="435"/>
      <c r="AO414" s="467"/>
      <c r="AP414" s="504"/>
      <c r="AQ414" s="468"/>
      <c r="AR414" s="616"/>
      <c r="AS414" s="630"/>
      <c r="AT414" s="630"/>
    </row>
    <row r="415">
      <c r="A415" s="467"/>
      <c r="B415" s="504"/>
      <c r="C415" s="468"/>
      <c r="D415" s="616"/>
      <c r="E415" s="467"/>
      <c r="F415" s="504"/>
      <c r="G415" s="468"/>
      <c r="H415" s="616"/>
      <c r="I415" s="467"/>
      <c r="J415" s="504"/>
      <c r="K415" s="468"/>
      <c r="L415" s="616"/>
      <c r="M415" s="467"/>
      <c r="N415" s="504"/>
      <c r="O415" s="468"/>
      <c r="P415" s="616"/>
      <c r="Q415" s="635"/>
      <c r="R415" s="636"/>
      <c r="S415" s="637"/>
      <c r="T415" s="629"/>
      <c r="U415" s="635"/>
      <c r="V415" s="636"/>
      <c r="W415" s="637"/>
      <c r="X415" s="629"/>
      <c r="Y415" s="467"/>
      <c r="Z415" s="504"/>
      <c r="AA415" s="468"/>
      <c r="AB415" s="616"/>
      <c r="AC415" s="635"/>
      <c r="AD415" s="636"/>
      <c r="AE415" s="637"/>
      <c r="AF415" s="629"/>
      <c r="AG415" s="635"/>
      <c r="AH415" s="636"/>
      <c r="AI415" s="637"/>
      <c r="AJ415" s="629"/>
      <c r="AK415" s="435"/>
      <c r="AL415" s="435"/>
      <c r="AM415" s="435"/>
      <c r="AN415" s="435"/>
      <c r="AO415" s="467"/>
      <c r="AP415" s="504"/>
      <c r="AQ415" s="468"/>
      <c r="AR415" s="616"/>
      <c r="AS415" s="630"/>
      <c r="AT415" s="630"/>
    </row>
    <row r="416">
      <c r="A416" s="467"/>
      <c r="B416" s="504"/>
      <c r="C416" s="468"/>
      <c r="D416" s="616"/>
      <c r="E416" s="467"/>
      <c r="F416" s="504"/>
      <c r="G416" s="468"/>
      <c r="H416" s="616"/>
      <c r="I416" s="467"/>
      <c r="J416" s="504"/>
      <c r="K416" s="468"/>
      <c r="L416" s="616"/>
      <c r="M416" s="467"/>
      <c r="N416" s="504"/>
      <c r="O416" s="468"/>
      <c r="P416" s="616"/>
      <c r="Q416" s="635"/>
      <c r="R416" s="636"/>
      <c r="S416" s="637"/>
      <c r="T416" s="629"/>
      <c r="U416" s="635"/>
      <c r="V416" s="636"/>
      <c r="W416" s="637"/>
      <c r="X416" s="629"/>
      <c r="Y416" s="467"/>
      <c r="Z416" s="504"/>
      <c r="AA416" s="468"/>
      <c r="AB416" s="616"/>
      <c r="AC416" s="635"/>
      <c r="AD416" s="636"/>
      <c r="AE416" s="637"/>
      <c r="AF416" s="629"/>
      <c r="AG416" s="635"/>
      <c r="AH416" s="636"/>
      <c r="AI416" s="637"/>
      <c r="AJ416" s="629"/>
      <c r="AK416" s="435"/>
      <c r="AL416" s="435"/>
      <c r="AM416" s="435"/>
      <c r="AN416" s="435"/>
      <c r="AO416" s="467"/>
      <c r="AP416" s="504"/>
      <c r="AQ416" s="468"/>
      <c r="AR416" s="616"/>
      <c r="AS416" s="630"/>
      <c r="AT416" s="630"/>
    </row>
    <row r="417">
      <c r="A417" s="467"/>
      <c r="B417" s="504"/>
      <c r="C417" s="468"/>
      <c r="D417" s="616"/>
      <c r="E417" s="467"/>
      <c r="F417" s="504"/>
      <c r="G417" s="468"/>
      <c r="H417" s="616"/>
      <c r="I417" s="467"/>
      <c r="J417" s="504"/>
      <c r="K417" s="468"/>
      <c r="L417" s="616"/>
      <c r="M417" s="467"/>
      <c r="N417" s="504"/>
      <c r="O417" s="468"/>
      <c r="P417" s="616"/>
      <c r="Q417" s="635"/>
      <c r="R417" s="636"/>
      <c r="S417" s="637"/>
      <c r="T417" s="629"/>
      <c r="U417" s="635"/>
      <c r="V417" s="636"/>
      <c r="W417" s="637"/>
      <c r="X417" s="629"/>
      <c r="Y417" s="467"/>
      <c r="Z417" s="504"/>
      <c r="AA417" s="468"/>
      <c r="AB417" s="616"/>
      <c r="AC417" s="635"/>
      <c r="AD417" s="636"/>
      <c r="AE417" s="637"/>
      <c r="AF417" s="629"/>
      <c r="AG417" s="635"/>
      <c r="AH417" s="636"/>
      <c r="AI417" s="637"/>
      <c r="AJ417" s="629"/>
      <c r="AK417" s="435"/>
      <c r="AL417" s="435"/>
      <c r="AM417" s="435"/>
      <c r="AN417" s="435"/>
      <c r="AO417" s="467"/>
      <c r="AP417" s="504"/>
      <c r="AQ417" s="468"/>
      <c r="AR417" s="616"/>
      <c r="AS417" s="630"/>
      <c r="AT417" s="630"/>
    </row>
    <row r="418">
      <c r="A418" s="467"/>
      <c r="B418" s="504"/>
      <c r="C418" s="468"/>
      <c r="D418" s="616"/>
      <c r="E418" s="467"/>
      <c r="F418" s="504"/>
      <c r="G418" s="468"/>
      <c r="H418" s="616"/>
      <c r="I418" s="467"/>
      <c r="J418" s="504"/>
      <c r="K418" s="468"/>
      <c r="L418" s="616"/>
      <c r="M418" s="467"/>
      <c r="N418" s="504"/>
      <c r="O418" s="468"/>
      <c r="P418" s="616"/>
      <c r="Q418" s="635"/>
      <c r="R418" s="636"/>
      <c r="S418" s="637"/>
      <c r="T418" s="629"/>
      <c r="U418" s="635"/>
      <c r="V418" s="636"/>
      <c r="W418" s="637"/>
      <c r="X418" s="629"/>
      <c r="Y418" s="467"/>
      <c r="Z418" s="504"/>
      <c r="AA418" s="468"/>
      <c r="AB418" s="616"/>
      <c r="AC418" s="635"/>
      <c r="AD418" s="636"/>
      <c r="AE418" s="637"/>
      <c r="AF418" s="629"/>
      <c r="AG418" s="635"/>
      <c r="AH418" s="636"/>
      <c r="AI418" s="637"/>
      <c r="AJ418" s="629"/>
      <c r="AK418" s="435"/>
      <c r="AL418" s="435"/>
      <c r="AM418" s="435"/>
      <c r="AN418" s="435"/>
      <c r="AO418" s="467"/>
      <c r="AP418" s="504"/>
      <c r="AQ418" s="468"/>
      <c r="AR418" s="616"/>
      <c r="AS418" s="630"/>
      <c r="AT418" s="630"/>
    </row>
    <row r="419">
      <c r="A419" s="467"/>
      <c r="B419" s="504"/>
      <c r="C419" s="468"/>
      <c r="D419" s="616"/>
      <c r="E419" s="467"/>
      <c r="F419" s="504"/>
      <c r="G419" s="468"/>
      <c r="H419" s="616"/>
      <c r="I419" s="467"/>
      <c r="J419" s="504"/>
      <c r="K419" s="468"/>
      <c r="L419" s="616"/>
      <c r="M419" s="467"/>
      <c r="N419" s="504"/>
      <c r="O419" s="468"/>
      <c r="P419" s="616"/>
      <c r="Q419" s="635"/>
      <c r="R419" s="636"/>
      <c r="S419" s="637"/>
      <c r="T419" s="629"/>
      <c r="U419" s="635"/>
      <c r="V419" s="636"/>
      <c r="W419" s="637"/>
      <c r="X419" s="629"/>
      <c r="Y419" s="467"/>
      <c r="Z419" s="504"/>
      <c r="AA419" s="468"/>
      <c r="AB419" s="616"/>
      <c r="AC419" s="635"/>
      <c r="AD419" s="636"/>
      <c r="AE419" s="637"/>
      <c r="AF419" s="629"/>
      <c r="AG419" s="635"/>
      <c r="AH419" s="636"/>
      <c r="AI419" s="637"/>
      <c r="AJ419" s="629"/>
      <c r="AK419" s="435"/>
      <c r="AL419" s="435"/>
      <c r="AM419" s="435"/>
      <c r="AN419" s="435"/>
      <c r="AO419" s="467"/>
      <c r="AP419" s="504"/>
      <c r="AQ419" s="468"/>
      <c r="AR419" s="616"/>
      <c r="AS419" s="630"/>
      <c r="AT419" s="630"/>
    </row>
    <row r="420">
      <c r="A420" s="467"/>
      <c r="B420" s="504"/>
      <c r="C420" s="468"/>
      <c r="D420" s="616"/>
      <c r="E420" s="467"/>
      <c r="F420" s="504"/>
      <c r="G420" s="468"/>
      <c r="H420" s="616"/>
      <c r="I420" s="467"/>
      <c r="J420" s="504"/>
      <c r="K420" s="468"/>
      <c r="L420" s="616"/>
      <c r="M420" s="467"/>
      <c r="N420" s="504"/>
      <c r="O420" s="468"/>
      <c r="P420" s="616"/>
      <c r="Q420" s="635"/>
      <c r="R420" s="636"/>
      <c r="S420" s="637"/>
      <c r="T420" s="629"/>
      <c r="U420" s="635"/>
      <c r="V420" s="636"/>
      <c r="W420" s="637"/>
      <c r="X420" s="629"/>
      <c r="Y420" s="467"/>
      <c r="Z420" s="504"/>
      <c r="AA420" s="468"/>
      <c r="AB420" s="616"/>
      <c r="AC420" s="635"/>
      <c r="AD420" s="636"/>
      <c r="AE420" s="637"/>
      <c r="AF420" s="629"/>
      <c r="AG420" s="635"/>
      <c r="AH420" s="636"/>
      <c r="AI420" s="637"/>
      <c r="AJ420" s="629"/>
      <c r="AK420" s="435"/>
      <c r="AL420" s="435"/>
      <c r="AM420" s="435"/>
      <c r="AN420" s="435"/>
      <c r="AO420" s="467"/>
      <c r="AP420" s="504"/>
      <c r="AQ420" s="468"/>
      <c r="AR420" s="616"/>
      <c r="AS420" s="630"/>
      <c r="AT420" s="630"/>
    </row>
    <row r="421">
      <c r="A421" s="467"/>
      <c r="B421" s="504"/>
      <c r="C421" s="468"/>
      <c r="D421" s="616"/>
      <c r="E421" s="467"/>
      <c r="F421" s="504"/>
      <c r="G421" s="468"/>
      <c r="H421" s="616"/>
      <c r="I421" s="467"/>
      <c r="J421" s="504"/>
      <c r="K421" s="468"/>
      <c r="L421" s="616"/>
      <c r="M421" s="467"/>
      <c r="N421" s="504"/>
      <c r="O421" s="468"/>
      <c r="P421" s="616"/>
      <c r="Q421" s="635"/>
      <c r="R421" s="636"/>
      <c r="S421" s="637"/>
      <c r="T421" s="629"/>
      <c r="U421" s="635"/>
      <c r="V421" s="636"/>
      <c r="W421" s="637"/>
      <c r="X421" s="629"/>
      <c r="Y421" s="467"/>
      <c r="Z421" s="504"/>
      <c r="AA421" s="468"/>
      <c r="AB421" s="616"/>
      <c r="AC421" s="635"/>
      <c r="AD421" s="636"/>
      <c r="AE421" s="637"/>
      <c r="AF421" s="629"/>
      <c r="AG421" s="635"/>
      <c r="AH421" s="636"/>
      <c r="AI421" s="637"/>
      <c r="AJ421" s="629"/>
      <c r="AK421" s="435"/>
      <c r="AL421" s="435"/>
      <c r="AM421" s="435"/>
      <c r="AN421" s="435"/>
      <c r="AO421" s="467"/>
      <c r="AP421" s="504"/>
      <c r="AQ421" s="468"/>
      <c r="AR421" s="616"/>
      <c r="AS421" s="630"/>
      <c r="AT421" s="630"/>
    </row>
    <row r="422">
      <c r="A422" s="467"/>
      <c r="B422" s="504"/>
      <c r="C422" s="468"/>
      <c r="D422" s="616"/>
      <c r="E422" s="467"/>
      <c r="F422" s="504"/>
      <c r="G422" s="468"/>
      <c r="H422" s="616"/>
      <c r="I422" s="467"/>
      <c r="J422" s="504"/>
      <c r="K422" s="468"/>
      <c r="L422" s="616"/>
      <c r="M422" s="467"/>
      <c r="N422" s="504"/>
      <c r="O422" s="468"/>
      <c r="P422" s="616"/>
      <c r="Q422" s="635"/>
      <c r="R422" s="636"/>
      <c r="S422" s="637"/>
      <c r="T422" s="629"/>
      <c r="U422" s="635"/>
      <c r="V422" s="636"/>
      <c r="W422" s="637"/>
      <c r="X422" s="629"/>
      <c r="Y422" s="467"/>
      <c r="Z422" s="504"/>
      <c r="AA422" s="468"/>
      <c r="AB422" s="616"/>
      <c r="AC422" s="635"/>
      <c r="AD422" s="636"/>
      <c r="AE422" s="637"/>
      <c r="AF422" s="629"/>
      <c r="AG422" s="635"/>
      <c r="AH422" s="636"/>
      <c r="AI422" s="637"/>
      <c r="AJ422" s="629"/>
      <c r="AK422" s="435"/>
      <c r="AL422" s="435"/>
      <c r="AM422" s="435"/>
      <c r="AN422" s="435"/>
      <c r="AO422" s="467"/>
      <c r="AP422" s="504"/>
      <c r="AQ422" s="468"/>
      <c r="AR422" s="616"/>
      <c r="AS422" s="630"/>
      <c r="AT422" s="630"/>
    </row>
    <row r="423">
      <c r="A423" s="467"/>
      <c r="B423" s="504"/>
      <c r="C423" s="468"/>
      <c r="D423" s="616"/>
      <c r="E423" s="467"/>
      <c r="F423" s="504"/>
      <c r="G423" s="468"/>
      <c r="H423" s="616"/>
      <c r="I423" s="467"/>
      <c r="J423" s="504"/>
      <c r="K423" s="468"/>
      <c r="L423" s="616"/>
      <c r="M423" s="467"/>
      <c r="N423" s="504"/>
      <c r="O423" s="468"/>
      <c r="P423" s="616"/>
      <c r="Q423" s="635"/>
      <c r="R423" s="636"/>
      <c r="S423" s="637"/>
      <c r="T423" s="629"/>
      <c r="U423" s="635"/>
      <c r="V423" s="636"/>
      <c r="W423" s="637"/>
      <c r="X423" s="629"/>
      <c r="Y423" s="467"/>
      <c r="Z423" s="504"/>
      <c r="AA423" s="468"/>
      <c r="AB423" s="616"/>
      <c r="AC423" s="635"/>
      <c r="AD423" s="636"/>
      <c r="AE423" s="637"/>
      <c r="AF423" s="629"/>
      <c r="AG423" s="635"/>
      <c r="AH423" s="636"/>
      <c r="AI423" s="637"/>
      <c r="AJ423" s="629"/>
      <c r="AK423" s="435"/>
      <c r="AL423" s="435"/>
      <c r="AM423" s="435"/>
      <c r="AN423" s="435"/>
      <c r="AO423" s="467"/>
      <c r="AP423" s="504"/>
      <c r="AQ423" s="468"/>
      <c r="AR423" s="616"/>
      <c r="AS423" s="630"/>
      <c r="AT423" s="630"/>
    </row>
    <row r="424">
      <c r="A424" s="467"/>
      <c r="B424" s="504"/>
      <c r="C424" s="468"/>
      <c r="D424" s="616"/>
      <c r="E424" s="467"/>
      <c r="F424" s="504"/>
      <c r="G424" s="468"/>
      <c r="H424" s="616"/>
      <c r="I424" s="467"/>
      <c r="J424" s="504"/>
      <c r="K424" s="468"/>
      <c r="L424" s="616"/>
      <c r="M424" s="467"/>
      <c r="N424" s="504"/>
      <c r="O424" s="468"/>
      <c r="P424" s="616"/>
      <c r="Q424" s="635"/>
      <c r="R424" s="636"/>
      <c r="S424" s="637"/>
      <c r="T424" s="629"/>
      <c r="U424" s="635"/>
      <c r="V424" s="636"/>
      <c r="W424" s="637"/>
      <c r="X424" s="629"/>
      <c r="Y424" s="467"/>
      <c r="Z424" s="504"/>
      <c r="AA424" s="468"/>
      <c r="AB424" s="616"/>
      <c r="AC424" s="635"/>
      <c r="AD424" s="636"/>
      <c r="AE424" s="637"/>
      <c r="AF424" s="629"/>
      <c r="AG424" s="635"/>
      <c r="AH424" s="636"/>
      <c r="AI424" s="637"/>
      <c r="AJ424" s="629"/>
      <c r="AK424" s="435"/>
      <c r="AL424" s="435"/>
      <c r="AM424" s="435"/>
      <c r="AN424" s="435"/>
      <c r="AO424" s="467"/>
      <c r="AP424" s="504"/>
      <c r="AQ424" s="468"/>
      <c r="AR424" s="616"/>
      <c r="AS424" s="630"/>
      <c r="AT424" s="630"/>
    </row>
    <row r="425">
      <c r="A425" s="467"/>
      <c r="B425" s="504"/>
      <c r="C425" s="468"/>
      <c r="D425" s="616"/>
      <c r="E425" s="467"/>
      <c r="F425" s="504"/>
      <c r="G425" s="468"/>
      <c r="H425" s="616"/>
      <c r="I425" s="467"/>
      <c r="J425" s="504"/>
      <c r="K425" s="468"/>
      <c r="L425" s="616"/>
      <c r="M425" s="467"/>
      <c r="N425" s="504"/>
      <c r="O425" s="468"/>
      <c r="P425" s="616"/>
      <c r="Q425" s="635"/>
      <c r="R425" s="636"/>
      <c r="S425" s="637"/>
      <c r="T425" s="629"/>
      <c r="U425" s="635"/>
      <c r="V425" s="636"/>
      <c r="W425" s="637"/>
      <c r="X425" s="629"/>
      <c r="Y425" s="467"/>
      <c r="Z425" s="504"/>
      <c r="AA425" s="468"/>
      <c r="AB425" s="616"/>
      <c r="AC425" s="635"/>
      <c r="AD425" s="636"/>
      <c r="AE425" s="637"/>
      <c r="AF425" s="629"/>
      <c r="AG425" s="635"/>
      <c r="AH425" s="636"/>
      <c r="AI425" s="637"/>
      <c r="AJ425" s="629"/>
      <c r="AK425" s="435"/>
      <c r="AL425" s="435"/>
      <c r="AM425" s="435"/>
      <c r="AN425" s="435"/>
      <c r="AO425" s="467"/>
      <c r="AP425" s="504"/>
      <c r="AQ425" s="468"/>
      <c r="AR425" s="616"/>
      <c r="AS425" s="630"/>
      <c r="AT425" s="630"/>
    </row>
    <row r="426">
      <c r="A426" s="467"/>
      <c r="B426" s="504"/>
      <c r="C426" s="468"/>
      <c r="D426" s="616"/>
      <c r="E426" s="467"/>
      <c r="F426" s="504"/>
      <c r="G426" s="468"/>
      <c r="H426" s="616"/>
      <c r="I426" s="467"/>
      <c r="J426" s="504"/>
      <c r="K426" s="468"/>
      <c r="L426" s="616"/>
      <c r="M426" s="467"/>
      <c r="N426" s="504"/>
      <c r="O426" s="468"/>
      <c r="P426" s="616"/>
      <c r="Q426" s="635"/>
      <c r="R426" s="636"/>
      <c r="S426" s="637"/>
      <c r="T426" s="629"/>
      <c r="U426" s="635"/>
      <c r="V426" s="636"/>
      <c r="W426" s="637"/>
      <c r="X426" s="629"/>
      <c r="Y426" s="467"/>
      <c r="Z426" s="504"/>
      <c r="AA426" s="468"/>
      <c r="AB426" s="616"/>
      <c r="AC426" s="635"/>
      <c r="AD426" s="636"/>
      <c r="AE426" s="637"/>
      <c r="AF426" s="629"/>
      <c r="AG426" s="635"/>
      <c r="AH426" s="636"/>
      <c r="AI426" s="637"/>
      <c r="AJ426" s="629"/>
      <c r="AK426" s="435"/>
      <c r="AL426" s="435"/>
      <c r="AM426" s="435"/>
      <c r="AN426" s="435"/>
      <c r="AO426" s="467"/>
      <c r="AP426" s="504"/>
      <c r="AQ426" s="468"/>
      <c r="AR426" s="616"/>
      <c r="AS426" s="630"/>
      <c r="AT426" s="630"/>
    </row>
    <row r="427">
      <c r="A427" s="467"/>
      <c r="B427" s="504"/>
      <c r="C427" s="468"/>
      <c r="D427" s="616"/>
      <c r="E427" s="467"/>
      <c r="F427" s="504"/>
      <c r="G427" s="468"/>
      <c r="H427" s="616"/>
      <c r="I427" s="467"/>
      <c r="J427" s="504"/>
      <c r="K427" s="468"/>
      <c r="L427" s="616"/>
      <c r="M427" s="467"/>
      <c r="N427" s="504"/>
      <c r="O427" s="468"/>
      <c r="P427" s="616"/>
      <c r="Q427" s="635"/>
      <c r="R427" s="636"/>
      <c r="S427" s="637"/>
      <c r="T427" s="629"/>
      <c r="U427" s="635"/>
      <c r="V427" s="636"/>
      <c r="W427" s="637"/>
      <c r="X427" s="629"/>
      <c r="Y427" s="467"/>
      <c r="Z427" s="504"/>
      <c r="AA427" s="468"/>
      <c r="AB427" s="616"/>
      <c r="AC427" s="635"/>
      <c r="AD427" s="636"/>
      <c r="AE427" s="637"/>
      <c r="AF427" s="629"/>
      <c r="AG427" s="635"/>
      <c r="AH427" s="636"/>
      <c r="AI427" s="637"/>
      <c r="AJ427" s="629"/>
      <c r="AK427" s="435"/>
      <c r="AL427" s="435"/>
      <c r="AM427" s="435"/>
      <c r="AN427" s="435"/>
      <c r="AO427" s="467"/>
      <c r="AP427" s="504"/>
      <c r="AQ427" s="468"/>
      <c r="AR427" s="616"/>
      <c r="AS427" s="630"/>
      <c r="AT427" s="630"/>
    </row>
    <row r="428">
      <c r="A428" s="467"/>
      <c r="B428" s="504"/>
      <c r="C428" s="468"/>
      <c r="D428" s="616"/>
      <c r="E428" s="467"/>
      <c r="F428" s="504"/>
      <c r="G428" s="468"/>
      <c r="H428" s="616"/>
      <c r="I428" s="467"/>
      <c r="J428" s="504"/>
      <c r="K428" s="468"/>
      <c r="L428" s="616"/>
      <c r="M428" s="467"/>
      <c r="N428" s="504"/>
      <c r="O428" s="468"/>
      <c r="P428" s="616"/>
      <c r="Q428" s="635"/>
      <c r="R428" s="636"/>
      <c r="S428" s="637"/>
      <c r="T428" s="629"/>
      <c r="U428" s="635"/>
      <c r="V428" s="636"/>
      <c r="W428" s="637"/>
      <c r="X428" s="629"/>
      <c r="Y428" s="467"/>
      <c r="Z428" s="504"/>
      <c r="AA428" s="468"/>
      <c r="AB428" s="616"/>
      <c r="AC428" s="635"/>
      <c r="AD428" s="636"/>
      <c r="AE428" s="637"/>
      <c r="AF428" s="629"/>
      <c r="AG428" s="635"/>
      <c r="AH428" s="636"/>
      <c r="AI428" s="637"/>
      <c r="AJ428" s="629"/>
      <c r="AK428" s="435"/>
      <c r="AL428" s="435"/>
      <c r="AM428" s="435"/>
      <c r="AN428" s="435"/>
      <c r="AO428" s="467"/>
      <c r="AP428" s="504"/>
      <c r="AQ428" s="468"/>
      <c r="AR428" s="616"/>
      <c r="AS428" s="630"/>
      <c r="AT428" s="630"/>
    </row>
    <row r="429">
      <c r="A429" s="467"/>
      <c r="B429" s="504"/>
      <c r="C429" s="468"/>
      <c r="D429" s="616"/>
      <c r="E429" s="467"/>
      <c r="F429" s="504"/>
      <c r="G429" s="468"/>
      <c r="H429" s="616"/>
      <c r="I429" s="467"/>
      <c r="J429" s="504"/>
      <c r="K429" s="468"/>
      <c r="L429" s="616"/>
      <c r="M429" s="467"/>
      <c r="N429" s="504"/>
      <c r="O429" s="468"/>
      <c r="P429" s="616"/>
      <c r="Q429" s="635"/>
      <c r="R429" s="636"/>
      <c r="S429" s="637"/>
      <c r="T429" s="629"/>
      <c r="U429" s="635"/>
      <c r="V429" s="636"/>
      <c r="W429" s="637"/>
      <c r="X429" s="629"/>
      <c r="Y429" s="467"/>
      <c r="Z429" s="504"/>
      <c r="AA429" s="468"/>
      <c r="AB429" s="616"/>
      <c r="AC429" s="635"/>
      <c r="AD429" s="636"/>
      <c r="AE429" s="637"/>
      <c r="AF429" s="629"/>
      <c r="AG429" s="635"/>
      <c r="AH429" s="636"/>
      <c r="AI429" s="637"/>
      <c r="AJ429" s="629"/>
      <c r="AK429" s="435"/>
      <c r="AL429" s="435"/>
      <c r="AM429" s="435"/>
      <c r="AN429" s="435"/>
      <c r="AO429" s="467"/>
      <c r="AP429" s="504"/>
      <c r="AQ429" s="468"/>
      <c r="AR429" s="616"/>
      <c r="AS429" s="630"/>
      <c r="AT429" s="630"/>
    </row>
    <row r="430">
      <c r="A430" s="467"/>
      <c r="B430" s="504"/>
      <c r="C430" s="468"/>
      <c r="D430" s="616"/>
      <c r="E430" s="467"/>
      <c r="F430" s="504"/>
      <c r="G430" s="468"/>
      <c r="H430" s="616"/>
      <c r="I430" s="467"/>
      <c r="J430" s="504"/>
      <c r="K430" s="468"/>
      <c r="L430" s="616"/>
      <c r="M430" s="467"/>
      <c r="N430" s="504"/>
      <c r="O430" s="468"/>
      <c r="P430" s="616"/>
      <c r="Q430" s="635"/>
      <c r="R430" s="636"/>
      <c r="S430" s="637"/>
      <c r="T430" s="629"/>
      <c r="U430" s="635"/>
      <c r="V430" s="636"/>
      <c r="W430" s="637"/>
      <c r="X430" s="629"/>
      <c r="Y430" s="467"/>
      <c r="Z430" s="504"/>
      <c r="AA430" s="468"/>
      <c r="AB430" s="616"/>
      <c r="AC430" s="635"/>
      <c r="AD430" s="636"/>
      <c r="AE430" s="637"/>
      <c r="AF430" s="629"/>
      <c r="AG430" s="635"/>
      <c r="AH430" s="636"/>
      <c r="AI430" s="637"/>
      <c r="AJ430" s="629"/>
      <c r="AK430" s="435"/>
      <c r="AL430" s="435"/>
      <c r="AM430" s="435"/>
      <c r="AN430" s="435"/>
      <c r="AO430" s="467"/>
      <c r="AP430" s="504"/>
      <c r="AQ430" s="468"/>
      <c r="AR430" s="616"/>
      <c r="AS430" s="630"/>
      <c r="AT430" s="630"/>
    </row>
    <row r="431">
      <c r="A431" s="467"/>
      <c r="B431" s="504"/>
      <c r="C431" s="468"/>
      <c r="D431" s="616"/>
      <c r="E431" s="467"/>
      <c r="F431" s="504"/>
      <c r="G431" s="468"/>
      <c r="H431" s="616"/>
      <c r="I431" s="467"/>
      <c r="J431" s="504"/>
      <c r="K431" s="468"/>
      <c r="L431" s="616"/>
      <c r="M431" s="467"/>
      <c r="N431" s="504"/>
      <c r="O431" s="468"/>
      <c r="P431" s="616"/>
      <c r="Q431" s="635"/>
      <c r="R431" s="636"/>
      <c r="S431" s="637"/>
      <c r="T431" s="629"/>
      <c r="U431" s="635"/>
      <c r="V431" s="636"/>
      <c r="W431" s="637"/>
      <c r="X431" s="629"/>
      <c r="Y431" s="467"/>
      <c r="Z431" s="504"/>
      <c r="AA431" s="468"/>
      <c r="AB431" s="616"/>
      <c r="AC431" s="635"/>
      <c r="AD431" s="636"/>
      <c r="AE431" s="637"/>
      <c r="AF431" s="629"/>
      <c r="AG431" s="635"/>
      <c r="AH431" s="636"/>
      <c r="AI431" s="637"/>
      <c r="AJ431" s="629"/>
      <c r="AK431" s="435"/>
      <c r="AL431" s="435"/>
      <c r="AM431" s="435"/>
      <c r="AN431" s="435"/>
      <c r="AO431" s="467"/>
      <c r="AP431" s="504"/>
      <c r="AQ431" s="468"/>
      <c r="AR431" s="616"/>
      <c r="AS431" s="630"/>
      <c r="AT431" s="630"/>
    </row>
    <row r="432">
      <c r="A432" s="467"/>
      <c r="B432" s="504"/>
      <c r="C432" s="468"/>
      <c r="D432" s="616"/>
      <c r="E432" s="467"/>
      <c r="F432" s="504"/>
      <c r="G432" s="468"/>
      <c r="H432" s="616"/>
      <c r="I432" s="467"/>
      <c r="J432" s="504"/>
      <c r="K432" s="468"/>
      <c r="L432" s="616"/>
      <c r="M432" s="467"/>
      <c r="N432" s="504"/>
      <c r="O432" s="468"/>
      <c r="P432" s="616"/>
      <c r="Q432" s="635"/>
      <c r="R432" s="636"/>
      <c r="S432" s="637"/>
      <c r="T432" s="629"/>
      <c r="U432" s="635"/>
      <c r="V432" s="636"/>
      <c r="W432" s="637"/>
      <c r="X432" s="629"/>
      <c r="Y432" s="467"/>
      <c r="Z432" s="504"/>
      <c r="AA432" s="468"/>
      <c r="AB432" s="616"/>
      <c r="AC432" s="635"/>
      <c r="AD432" s="636"/>
      <c r="AE432" s="637"/>
      <c r="AF432" s="629"/>
      <c r="AG432" s="635"/>
      <c r="AH432" s="636"/>
      <c r="AI432" s="637"/>
      <c r="AJ432" s="629"/>
      <c r="AK432" s="435"/>
      <c r="AL432" s="435"/>
      <c r="AM432" s="435"/>
      <c r="AN432" s="435"/>
      <c r="AO432" s="467"/>
      <c r="AP432" s="504"/>
      <c r="AQ432" s="468"/>
      <c r="AR432" s="616"/>
      <c r="AS432" s="630"/>
      <c r="AT432" s="630"/>
    </row>
    <row r="433">
      <c r="A433" s="467"/>
      <c r="B433" s="504"/>
      <c r="C433" s="468"/>
      <c r="D433" s="616"/>
      <c r="E433" s="467"/>
      <c r="F433" s="504"/>
      <c r="G433" s="468"/>
      <c r="H433" s="616"/>
      <c r="I433" s="467"/>
      <c r="J433" s="504"/>
      <c r="K433" s="468"/>
      <c r="L433" s="616"/>
      <c r="M433" s="467"/>
      <c r="N433" s="504"/>
      <c r="O433" s="468"/>
      <c r="P433" s="616"/>
      <c r="Q433" s="635"/>
      <c r="R433" s="636"/>
      <c r="S433" s="637"/>
      <c r="T433" s="629"/>
      <c r="U433" s="635"/>
      <c r="V433" s="636"/>
      <c r="W433" s="637"/>
      <c r="X433" s="629"/>
      <c r="Y433" s="467"/>
      <c r="Z433" s="504"/>
      <c r="AA433" s="468"/>
      <c r="AB433" s="616"/>
      <c r="AC433" s="635"/>
      <c r="AD433" s="636"/>
      <c r="AE433" s="637"/>
      <c r="AF433" s="629"/>
      <c r="AG433" s="635"/>
      <c r="AH433" s="636"/>
      <c r="AI433" s="637"/>
      <c r="AJ433" s="629"/>
      <c r="AK433" s="435"/>
      <c r="AL433" s="435"/>
      <c r="AM433" s="435"/>
      <c r="AN433" s="435"/>
      <c r="AO433" s="467"/>
      <c r="AP433" s="504"/>
      <c r="AQ433" s="468"/>
      <c r="AR433" s="616"/>
      <c r="AS433" s="630"/>
      <c r="AT433" s="630"/>
    </row>
    <row r="434">
      <c r="A434" s="467"/>
      <c r="B434" s="504"/>
      <c r="C434" s="468"/>
      <c r="D434" s="616"/>
      <c r="E434" s="467"/>
      <c r="F434" s="504"/>
      <c r="G434" s="468"/>
      <c r="H434" s="616"/>
      <c r="I434" s="467"/>
      <c r="J434" s="504"/>
      <c r="K434" s="468"/>
      <c r="L434" s="616"/>
      <c r="M434" s="467"/>
      <c r="N434" s="504"/>
      <c r="O434" s="468"/>
      <c r="P434" s="616"/>
      <c r="Q434" s="635"/>
      <c r="R434" s="636"/>
      <c r="S434" s="637"/>
      <c r="T434" s="629"/>
      <c r="U434" s="635"/>
      <c r="V434" s="636"/>
      <c r="W434" s="637"/>
      <c r="X434" s="629"/>
      <c r="Y434" s="467"/>
      <c r="Z434" s="504"/>
      <c r="AA434" s="468"/>
      <c r="AB434" s="616"/>
      <c r="AC434" s="635"/>
      <c r="AD434" s="636"/>
      <c r="AE434" s="637"/>
      <c r="AF434" s="629"/>
      <c r="AG434" s="635"/>
      <c r="AH434" s="636"/>
      <c r="AI434" s="637"/>
      <c r="AJ434" s="629"/>
      <c r="AK434" s="435"/>
      <c r="AL434" s="435"/>
      <c r="AM434" s="435"/>
      <c r="AN434" s="435"/>
      <c r="AO434" s="467"/>
      <c r="AP434" s="504"/>
      <c r="AQ434" s="468"/>
      <c r="AR434" s="616"/>
      <c r="AS434" s="630"/>
      <c r="AT434" s="630"/>
    </row>
    <row r="435">
      <c r="A435" s="467"/>
      <c r="B435" s="504"/>
      <c r="C435" s="468"/>
      <c r="D435" s="616"/>
      <c r="E435" s="467"/>
      <c r="F435" s="504"/>
      <c r="G435" s="468"/>
      <c r="H435" s="616"/>
      <c r="I435" s="467"/>
      <c r="J435" s="504"/>
      <c r="K435" s="468"/>
      <c r="L435" s="616"/>
      <c r="M435" s="467"/>
      <c r="N435" s="504"/>
      <c r="O435" s="468"/>
      <c r="P435" s="616"/>
      <c r="Q435" s="635"/>
      <c r="R435" s="636"/>
      <c r="S435" s="637"/>
      <c r="T435" s="629"/>
      <c r="U435" s="635"/>
      <c r="V435" s="636"/>
      <c r="W435" s="637"/>
      <c r="X435" s="629"/>
      <c r="Y435" s="467"/>
      <c r="Z435" s="504"/>
      <c r="AA435" s="468"/>
      <c r="AB435" s="616"/>
      <c r="AC435" s="635"/>
      <c r="AD435" s="636"/>
      <c r="AE435" s="637"/>
      <c r="AF435" s="629"/>
      <c r="AG435" s="635"/>
      <c r="AH435" s="636"/>
      <c r="AI435" s="637"/>
      <c r="AJ435" s="629"/>
      <c r="AK435" s="435"/>
      <c r="AL435" s="435"/>
      <c r="AM435" s="435"/>
      <c r="AN435" s="435"/>
      <c r="AO435" s="467"/>
      <c r="AP435" s="504"/>
      <c r="AQ435" s="468"/>
      <c r="AR435" s="616"/>
      <c r="AS435" s="630"/>
      <c r="AT435" s="630"/>
    </row>
    <row r="436">
      <c r="A436" s="467"/>
      <c r="B436" s="504"/>
      <c r="C436" s="468"/>
      <c r="D436" s="616"/>
      <c r="E436" s="467"/>
      <c r="F436" s="504"/>
      <c r="G436" s="468"/>
      <c r="H436" s="616"/>
      <c r="I436" s="467"/>
      <c r="J436" s="504"/>
      <c r="K436" s="468"/>
      <c r="L436" s="616"/>
      <c r="M436" s="467"/>
      <c r="N436" s="504"/>
      <c r="O436" s="468"/>
      <c r="P436" s="616"/>
      <c r="Q436" s="635"/>
      <c r="R436" s="636"/>
      <c r="S436" s="637"/>
      <c r="T436" s="629"/>
      <c r="U436" s="635"/>
      <c r="V436" s="636"/>
      <c r="W436" s="637"/>
      <c r="X436" s="629"/>
      <c r="Y436" s="467"/>
      <c r="Z436" s="504"/>
      <c r="AA436" s="468"/>
      <c r="AB436" s="616"/>
      <c r="AC436" s="635"/>
      <c r="AD436" s="636"/>
      <c r="AE436" s="637"/>
      <c r="AF436" s="629"/>
      <c r="AG436" s="635"/>
      <c r="AH436" s="636"/>
      <c r="AI436" s="637"/>
      <c r="AJ436" s="629"/>
      <c r="AK436" s="435"/>
      <c r="AL436" s="435"/>
      <c r="AM436" s="435"/>
      <c r="AN436" s="435"/>
      <c r="AO436" s="467"/>
      <c r="AP436" s="504"/>
      <c r="AQ436" s="468"/>
      <c r="AR436" s="616"/>
      <c r="AS436" s="630"/>
      <c r="AT436" s="630"/>
    </row>
    <row r="437">
      <c r="A437" s="467"/>
      <c r="B437" s="504"/>
      <c r="C437" s="468"/>
      <c r="D437" s="616"/>
      <c r="E437" s="467"/>
      <c r="F437" s="504"/>
      <c r="G437" s="468"/>
      <c r="H437" s="616"/>
      <c r="I437" s="467"/>
      <c r="J437" s="504"/>
      <c r="K437" s="468"/>
      <c r="L437" s="616"/>
      <c r="M437" s="467"/>
      <c r="N437" s="504"/>
      <c r="O437" s="468"/>
      <c r="P437" s="616"/>
      <c r="Q437" s="635"/>
      <c r="R437" s="636"/>
      <c r="S437" s="637"/>
      <c r="T437" s="629"/>
      <c r="U437" s="635"/>
      <c r="V437" s="636"/>
      <c r="W437" s="637"/>
      <c r="X437" s="629"/>
      <c r="Y437" s="467"/>
      <c r="Z437" s="504"/>
      <c r="AA437" s="468"/>
      <c r="AB437" s="616"/>
      <c r="AC437" s="635"/>
      <c r="AD437" s="636"/>
      <c r="AE437" s="637"/>
      <c r="AF437" s="629"/>
      <c r="AG437" s="635"/>
      <c r="AH437" s="636"/>
      <c r="AI437" s="637"/>
      <c r="AJ437" s="629"/>
      <c r="AK437" s="435"/>
      <c r="AL437" s="435"/>
      <c r="AM437" s="435"/>
      <c r="AN437" s="435"/>
      <c r="AO437" s="467"/>
      <c r="AP437" s="504"/>
      <c r="AQ437" s="468"/>
      <c r="AR437" s="616"/>
      <c r="AS437" s="630"/>
      <c r="AT437" s="630"/>
    </row>
    <row r="438">
      <c r="A438" s="467"/>
      <c r="B438" s="504"/>
      <c r="C438" s="468"/>
      <c r="D438" s="616"/>
      <c r="E438" s="467"/>
      <c r="F438" s="504"/>
      <c r="G438" s="468"/>
      <c r="H438" s="616"/>
      <c r="I438" s="467"/>
      <c r="J438" s="504"/>
      <c r="K438" s="468"/>
      <c r="L438" s="616"/>
      <c r="M438" s="467"/>
      <c r="N438" s="504"/>
      <c r="O438" s="468"/>
      <c r="P438" s="616"/>
      <c r="Q438" s="635"/>
      <c r="R438" s="636"/>
      <c r="S438" s="637"/>
      <c r="T438" s="629"/>
      <c r="U438" s="635"/>
      <c r="V438" s="636"/>
      <c r="W438" s="637"/>
      <c r="X438" s="629"/>
      <c r="Y438" s="467"/>
      <c r="Z438" s="504"/>
      <c r="AA438" s="468"/>
      <c r="AB438" s="616"/>
      <c r="AC438" s="635"/>
      <c r="AD438" s="636"/>
      <c r="AE438" s="637"/>
      <c r="AF438" s="629"/>
      <c r="AG438" s="635"/>
      <c r="AH438" s="636"/>
      <c r="AI438" s="637"/>
      <c r="AJ438" s="629"/>
      <c r="AK438" s="435"/>
      <c r="AL438" s="435"/>
      <c r="AM438" s="435"/>
      <c r="AN438" s="435"/>
      <c r="AO438" s="467"/>
      <c r="AP438" s="504"/>
      <c r="AQ438" s="468"/>
      <c r="AR438" s="616"/>
      <c r="AS438" s="630"/>
      <c r="AT438" s="630"/>
    </row>
    <row r="439">
      <c r="A439" s="467"/>
      <c r="B439" s="504"/>
      <c r="C439" s="468"/>
      <c r="D439" s="616"/>
      <c r="E439" s="467"/>
      <c r="F439" s="504"/>
      <c r="G439" s="468"/>
      <c r="H439" s="616"/>
      <c r="I439" s="467"/>
      <c r="J439" s="504"/>
      <c r="K439" s="468"/>
      <c r="L439" s="616"/>
      <c r="M439" s="467"/>
      <c r="N439" s="504"/>
      <c r="O439" s="468"/>
      <c r="P439" s="616"/>
      <c r="Q439" s="635"/>
      <c r="R439" s="636"/>
      <c r="S439" s="637"/>
      <c r="T439" s="629"/>
      <c r="U439" s="635"/>
      <c r="V439" s="636"/>
      <c r="W439" s="637"/>
      <c r="X439" s="629"/>
      <c r="Y439" s="467"/>
      <c r="Z439" s="504"/>
      <c r="AA439" s="468"/>
      <c r="AB439" s="616"/>
      <c r="AC439" s="635"/>
      <c r="AD439" s="636"/>
      <c r="AE439" s="637"/>
      <c r="AF439" s="629"/>
      <c r="AG439" s="635"/>
      <c r="AH439" s="636"/>
      <c r="AI439" s="637"/>
      <c r="AJ439" s="629"/>
      <c r="AK439" s="435"/>
      <c r="AL439" s="435"/>
      <c r="AM439" s="435"/>
      <c r="AN439" s="435"/>
      <c r="AO439" s="467"/>
      <c r="AP439" s="504"/>
      <c r="AQ439" s="468"/>
      <c r="AR439" s="616"/>
      <c r="AS439" s="630"/>
      <c r="AT439" s="630"/>
    </row>
    <row r="440">
      <c r="A440" s="467"/>
      <c r="B440" s="504"/>
      <c r="C440" s="468"/>
      <c r="D440" s="616"/>
      <c r="E440" s="467"/>
      <c r="F440" s="504"/>
      <c r="G440" s="468"/>
      <c r="H440" s="616"/>
      <c r="I440" s="467"/>
      <c r="J440" s="504"/>
      <c r="K440" s="468"/>
      <c r="L440" s="616"/>
      <c r="M440" s="467"/>
      <c r="N440" s="504"/>
      <c r="O440" s="468"/>
      <c r="P440" s="616"/>
      <c r="Q440" s="635"/>
      <c r="R440" s="636"/>
      <c r="S440" s="637"/>
      <c r="T440" s="629"/>
      <c r="U440" s="635"/>
      <c r="V440" s="636"/>
      <c r="W440" s="637"/>
      <c r="X440" s="629"/>
      <c r="Y440" s="467"/>
      <c r="Z440" s="504"/>
      <c r="AA440" s="468"/>
      <c r="AB440" s="616"/>
      <c r="AC440" s="635"/>
      <c r="AD440" s="636"/>
      <c r="AE440" s="637"/>
      <c r="AF440" s="629"/>
      <c r="AG440" s="635"/>
      <c r="AH440" s="636"/>
      <c r="AI440" s="637"/>
      <c r="AJ440" s="629"/>
      <c r="AK440" s="435"/>
      <c r="AL440" s="435"/>
      <c r="AM440" s="435"/>
      <c r="AN440" s="435"/>
      <c r="AO440" s="467"/>
      <c r="AP440" s="504"/>
      <c r="AQ440" s="468"/>
      <c r="AR440" s="616"/>
      <c r="AS440" s="630"/>
      <c r="AT440" s="630"/>
    </row>
    <row r="441">
      <c r="A441" s="467"/>
      <c r="B441" s="504"/>
      <c r="C441" s="468"/>
      <c r="D441" s="616"/>
      <c r="E441" s="467"/>
      <c r="F441" s="504"/>
      <c r="G441" s="468"/>
      <c r="H441" s="616"/>
      <c r="I441" s="467"/>
      <c r="J441" s="504"/>
      <c r="K441" s="468"/>
      <c r="L441" s="616"/>
      <c r="M441" s="467"/>
      <c r="N441" s="504"/>
      <c r="O441" s="468"/>
      <c r="P441" s="616"/>
      <c r="Q441" s="635"/>
      <c r="R441" s="636"/>
      <c r="S441" s="637"/>
      <c r="T441" s="629"/>
      <c r="U441" s="635"/>
      <c r="V441" s="636"/>
      <c r="W441" s="637"/>
      <c r="X441" s="629"/>
      <c r="Y441" s="467"/>
      <c r="Z441" s="504"/>
      <c r="AA441" s="468"/>
      <c r="AB441" s="616"/>
      <c r="AC441" s="635"/>
      <c r="AD441" s="636"/>
      <c r="AE441" s="637"/>
      <c r="AF441" s="629"/>
      <c r="AG441" s="635"/>
      <c r="AH441" s="636"/>
      <c r="AI441" s="637"/>
      <c r="AJ441" s="629"/>
      <c r="AK441" s="435"/>
      <c r="AL441" s="435"/>
      <c r="AM441" s="435"/>
      <c r="AN441" s="435"/>
      <c r="AO441" s="467"/>
      <c r="AP441" s="504"/>
      <c r="AQ441" s="468"/>
      <c r="AR441" s="616"/>
      <c r="AS441" s="630"/>
      <c r="AT441" s="630"/>
    </row>
    <row r="442">
      <c r="A442" s="467"/>
      <c r="B442" s="504"/>
      <c r="C442" s="468"/>
      <c r="D442" s="616"/>
      <c r="E442" s="467"/>
      <c r="F442" s="504"/>
      <c r="G442" s="468"/>
      <c r="H442" s="616"/>
      <c r="I442" s="467"/>
      <c r="J442" s="504"/>
      <c r="K442" s="468"/>
      <c r="L442" s="616"/>
      <c r="M442" s="467"/>
      <c r="N442" s="504"/>
      <c r="O442" s="468"/>
      <c r="P442" s="616"/>
      <c r="Q442" s="635"/>
      <c r="R442" s="636"/>
      <c r="S442" s="637"/>
      <c r="T442" s="629"/>
      <c r="U442" s="635"/>
      <c r="V442" s="636"/>
      <c r="W442" s="637"/>
      <c r="X442" s="629"/>
      <c r="Y442" s="467"/>
      <c r="Z442" s="504"/>
      <c r="AA442" s="468"/>
      <c r="AB442" s="616"/>
      <c r="AC442" s="635"/>
      <c r="AD442" s="636"/>
      <c r="AE442" s="637"/>
      <c r="AF442" s="629"/>
      <c r="AG442" s="635"/>
      <c r="AH442" s="636"/>
      <c r="AI442" s="637"/>
      <c r="AJ442" s="629"/>
      <c r="AK442" s="435"/>
      <c r="AL442" s="435"/>
      <c r="AM442" s="435"/>
      <c r="AN442" s="435"/>
      <c r="AO442" s="467"/>
      <c r="AP442" s="504"/>
      <c r="AQ442" s="468"/>
      <c r="AR442" s="616"/>
      <c r="AS442" s="630"/>
      <c r="AT442" s="630"/>
    </row>
    <row r="443">
      <c r="A443" s="467"/>
      <c r="B443" s="504"/>
      <c r="C443" s="468"/>
      <c r="D443" s="616"/>
      <c r="E443" s="467"/>
      <c r="F443" s="504"/>
      <c r="G443" s="468"/>
      <c r="H443" s="616"/>
      <c r="I443" s="467"/>
      <c r="J443" s="504"/>
      <c r="K443" s="468"/>
      <c r="L443" s="616"/>
      <c r="M443" s="467"/>
      <c r="N443" s="504"/>
      <c r="O443" s="468"/>
      <c r="P443" s="616"/>
      <c r="Q443" s="635"/>
      <c r="R443" s="636"/>
      <c r="S443" s="637"/>
      <c r="T443" s="629"/>
      <c r="U443" s="635"/>
      <c r="V443" s="636"/>
      <c r="W443" s="637"/>
      <c r="X443" s="629"/>
      <c r="Y443" s="467"/>
      <c r="Z443" s="504"/>
      <c r="AA443" s="468"/>
      <c r="AB443" s="616"/>
      <c r="AC443" s="635"/>
      <c r="AD443" s="636"/>
      <c r="AE443" s="637"/>
      <c r="AF443" s="629"/>
      <c r="AG443" s="635"/>
      <c r="AH443" s="636"/>
      <c r="AI443" s="637"/>
      <c r="AJ443" s="629"/>
      <c r="AK443" s="435"/>
      <c r="AL443" s="435"/>
      <c r="AM443" s="435"/>
      <c r="AN443" s="435"/>
      <c r="AO443" s="467"/>
      <c r="AP443" s="504"/>
      <c r="AQ443" s="468"/>
      <c r="AR443" s="616"/>
      <c r="AS443" s="630"/>
      <c r="AT443" s="630"/>
    </row>
    <row r="444">
      <c r="A444" s="467"/>
      <c r="B444" s="504"/>
      <c r="C444" s="468"/>
      <c r="D444" s="616"/>
      <c r="E444" s="467"/>
      <c r="F444" s="504"/>
      <c r="G444" s="468"/>
      <c r="H444" s="616"/>
      <c r="I444" s="467"/>
      <c r="J444" s="504"/>
      <c r="K444" s="468"/>
      <c r="L444" s="616"/>
      <c r="M444" s="467"/>
      <c r="N444" s="504"/>
      <c r="O444" s="468"/>
      <c r="P444" s="616"/>
      <c r="Q444" s="635"/>
      <c r="R444" s="636"/>
      <c r="S444" s="637"/>
      <c r="T444" s="629"/>
      <c r="U444" s="635"/>
      <c r="V444" s="636"/>
      <c r="W444" s="637"/>
      <c r="X444" s="629"/>
      <c r="Y444" s="467"/>
      <c r="Z444" s="504"/>
      <c r="AA444" s="468"/>
      <c r="AB444" s="616"/>
      <c r="AC444" s="635"/>
      <c r="AD444" s="636"/>
      <c r="AE444" s="637"/>
      <c r="AF444" s="629"/>
      <c r="AG444" s="635"/>
      <c r="AH444" s="636"/>
      <c r="AI444" s="637"/>
      <c r="AJ444" s="629"/>
      <c r="AK444" s="435"/>
      <c r="AL444" s="435"/>
      <c r="AM444" s="435"/>
      <c r="AN444" s="435"/>
      <c r="AO444" s="467"/>
      <c r="AP444" s="504"/>
      <c r="AQ444" s="468"/>
      <c r="AR444" s="616"/>
      <c r="AS444" s="630"/>
      <c r="AT444" s="630"/>
    </row>
    <row r="445">
      <c r="A445" s="467"/>
      <c r="B445" s="504"/>
      <c r="C445" s="468"/>
      <c r="D445" s="616"/>
      <c r="E445" s="467"/>
      <c r="F445" s="504"/>
      <c r="G445" s="468"/>
      <c r="H445" s="616"/>
      <c r="I445" s="467"/>
      <c r="J445" s="504"/>
      <c r="K445" s="468"/>
      <c r="L445" s="616"/>
      <c r="M445" s="467"/>
      <c r="N445" s="504"/>
      <c r="O445" s="468"/>
      <c r="P445" s="616"/>
      <c r="Q445" s="635"/>
      <c r="R445" s="636"/>
      <c r="S445" s="637"/>
      <c r="T445" s="629"/>
      <c r="U445" s="635"/>
      <c r="V445" s="636"/>
      <c r="W445" s="637"/>
      <c r="X445" s="629"/>
      <c r="Y445" s="467"/>
      <c r="Z445" s="504"/>
      <c r="AA445" s="468"/>
      <c r="AB445" s="616"/>
      <c r="AC445" s="635"/>
      <c r="AD445" s="636"/>
      <c r="AE445" s="637"/>
      <c r="AF445" s="629"/>
      <c r="AG445" s="635"/>
      <c r="AH445" s="636"/>
      <c r="AI445" s="637"/>
      <c r="AJ445" s="629"/>
      <c r="AK445" s="435"/>
      <c r="AL445" s="435"/>
      <c r="AM445" s="435"/>
      <c r="AN445" s="435"/>
      <c r="AO445" s="467"/>
      <c r="AP445" s="504"/>
      <c r="AQ445" s="468"/>
      <c r="AR445" s="616"/>
      <c r="AS445" s="630"/>
      <c r="AT445" s="630"/>
    </row>
    <row r="446">
      <c r="A446" s="467"/>
      <c r="B446" s="504"/>
      <c r="C446" s="468"/>
      <c r="D446" s="616"/>
      <c r="E446" s="467"/>
      <c r="F446" s="504"/>
      <c r="G446" s="468"/>
      <c r="H446" s="616"/>
      <c r="I446" s="467"/>
      <c r="J446" s="504"/>
      <c r="K446" s="468"/>
      <c r="L446" s="616"/>
      <c r="M446" s="467"/>
      <c r="N446" s="504"/>
      <c r="O446" s="468"/>
      <c r="P446" s="616"/>
      <c r="Q446" s="635"/>
      <c r="R446" s="636"/>
      <c r="S446" s="637"/>
      <c r="T446" s="629"/>
      <c r="U446" s="635"/>
      <c r="V446" s="636"/>
      <c r="W446" s="637"/>
      <c r="X446" s="629"/>
      <c r="Y446" s="467"/>
      <c r="Z446" s="504"/>
      <c r="AA446" s="468"/>
      <c r="AB446" s="616"/>
      <c r="AC446" s="635"/>
      <c r="AD446" s="636"/>
      <c r="AE446" s="637"/>
      <c r="AF446" s="629"/>
      <c r="AG446" s="635"/>
      <c r="AH446" s="636"/>
      <c r="AI446" s="637"/>
      <c r="AJ446" s="629"/>
      <c r="AK446" s="435"/>
      <c r="AL446" s="435"/>
      <c r="AM446" s="435"/>
      <c r="AN446" s="435"/>
      <c r="AO446" s="467"/>
      <c r="AP446" s="504"/>
      <c r="AQ446" s="468"/>
      <c r="AR446" s="616"/>
      <c r="AS446" s="630"/>
      <c r="AT446" s="630"/>
    </row>
    <row r="447">
      <c r="A447" s="467"/>
      <c r="B447" s="504"/>
      <c r="C447" s="468"/>
      <c r="D447" s="616"/>
      <c r="E447" s="467"/>
      <c r="F447" s="504"/>
      <c r="G447" s="468"/>
      <c r="H447" s="616"/>
      <c r="I447" s="467"/>
      <c r="J447" s="504"/>
      <c r="K447" s="468"/>
      <c r="L447" s="616"/>
      <c r="M447" s="467"/>
      <c r="N447" s="504"/>
      <c r="O447" s="468"/>
      <c r="P447" s="616"/>
      <c r="Q447" s="635"/>
      <c r="R447" s="636"/>
      <c r="S447" s="637"/>
      <c r="T447" s="629"/>
      <c r="U447" s="635"/>
      <c r="V447" s="636"/>
      <c r="W447" s="637"/>
      <c r="X447" s="629"/>
      <c r="Y447" s="467"/>
      <c r="Z447" s="504"/>
      <c r="AA447" s="468"/>
      <c r="AB447" s="616"/>
      <c r="AC447" s="635"/>
      <c r="AD447" s="636"/>
      <c r="AE447" s="637"/>
      <c r="AF447" s="629"/>
      <c r="AG447" s="635"/>
      <c r="AH447" s="636"/>
      <c r="AI447" s="637"/>
      <c r="AJ447" s="629"/>
      <c r="AK447" s="435"/>
      <c r="AL447" s="435"/>
      <c r="AM447" s="435"/>
      <c r="AN447" s="435"/>
      <c r="AO447" s="467"/>
      <c r="AP447" s="504"/>
      <c r="AQ447" s="468"/>
      <c r="AR447" s="616"/>
      <c r="AS447" s="630"/>
      <c r="AT447" s="630"/>
    </row>
    <row r="448">
      <c r="A448" s="467"/>
      <c r="B448" s="504"/>
      <c r="C448" s="468"/>
      <c r="D448" s="616"/>
      <c r="E448" s="467"/>
      <c r="F448" s="504"/>
      <c r="G448" s="468"/>
      <c r="H448" s="616"/>
      <c r="I448" s="467"/>
      <c r="J448" s="504"/>
      <c r="K448" s="468"/>
      <c r="L448" s="616"/>
      <c r="M448" s="467"/>
      <c r="N448" s="504"/>
      <c r="O448" s="468"/>
      <c r="P448" s="616"/>
      <c r="Q448" s="635"/>
      <c r="R448" s="636"/>
      <c r="S448" s="637"/>
      <c r="T448" s="629"/>
      <c r="U448" s="635"/>
      <c r="V448" s="636"/>
      <c r="W448" s="637"/>
      <c r="X448" s="629"/>
      <c r="Y448" s="467"/>
      <c r="Z448" s="504"/>
      <c r="AA448" s="468"/>
      <c r="AB448" s="616"/>
      <c r="AC448" s="635"/>
      <c r="AD448" s="636"/>
      <c r="AE448" s="637"/>
      <c r="AF448" s="629"/>
      <c r="AG448" s="635"/>
      <c r="AH448" s="636"/>
      <c r="AI448" s="637"/>
      <c r="AJ448" s="629"/>
      <c r="AK448" s="435"/>
      <c r="AL448" s="435"/>
      <c r="AM448" s="435"/>
      <c r="AN448" s="435"/>
      <c r="AO448" s="467"/>
      <c r="AP448" s="504"/>
      <c r="AQ448" s="468"/>
      <c r="AR448" s="616"/>
      <c r="AS448" s="630"/>
      <c r="AT448" s="630"/>
    </row>
    <row r="449">
      <c r="A449" s="467"/>
      <c r="B449" s="504"/>
      <c r="C449" s="468"/>
      <c r="D449" s="616"/>
      <c r="E449" s="467"/>
      <c r="F449" s="504"/>
      <c r="G449" s="468"/>
      <c r="H449" s="616"/>
      <c r="I449" s="467"/>
      <c r="J449" s="504"/>
      <c r="K449" s="468"/>
      <c r="L449" s="616"/>
      <c r="M449" s="467"/>
      <c r="N449" s="504"/>
      <c r="O449" s="468"/>
      <c r="P449" s="616"/>
      <c r="Q449" s="635"/>
      <c r="R449" s="636"/>
      <c r="S449" s="637"/>
      <c r="T449" s="629"/>
      <c r="U449" s="635"/>
      <c r="V449" s="636"/>
      <c r="W449" s="637"/>
      <c r="X449" s="629"/>
      <c r="Y449" s="467"/>
      <c r="Z449" s="504"/>
      <c r="AA449" s="468"/>
      <c r="AB449" s="616"/>
      <c r="AC449" s="635"/>
      <c r="AD449" s="636"/>
      <c r="AE449" s="637"/>
      <c r="AF449" s="629"/>
      <c r="AG449" s="635"/>
      <c r="AH449" s="636"/>
      <c r="AI449" s="637"/>
      <c r="AJ449" s="629"/>
      <c r="AK449" s="435"/>
      <c r="AL449" s="435"/>
      <c r="AM449" s="435"/>
      <c r="AN449" s="435"/>
      <c r="AO449" s="467"/>
      <c r="AP449" s="504"/>
      <c r="AQ449" s="468"/>
      <c r="AR449" s="616"/>
      <c r="AS449" s="630"/>
      <c r="AT449" s="630"/>
    </row>
    <row r="450">
      <c r="A450" s="467"/>
      <c r="B450" s="504"/>
      <c r="C450" s="468"/>
      <c r="D450" s="616"/>
      <c r="E450" s="467"/>
      <c r="F450" s="504"/>
      <c r="G450" s="468"/>
      <c r="H450" s="616"/>
      <c r="I450" s="467"/>
      <c r="J450" s="504"/>
      <c r="K450" s="468"/>
      <c r="L450" s="616"/>
      <c r="M450" s="467"/>
      <c r="N450" s="504"/>
      <c r="O450" s="468"/>
      <c r="P450" s="616"/>
      <c r="Q450" s="635"/>
      <c r="R450" s="636"/>
      <c r="S450" s="637"/>
      <c r="T450" s="629"/>
      <c r="U450" s="635"/>
      <c r="V450" s="636"/>
      <c r="W450" s="637"/>
      <c r="X450" s="629"/>
      <c r="Y450" s="467"/>
      <c r="Z450" s="504"/>
      <c r="AA450" s="468"/>
      <c r="AB450" s="616"/>
      <c r="AC450" s="635"/>
      <c r="AD450" s="636"/>
      <c r="AE450" s="637"/>
      <c r="AF450" s="629"/>
      <c r="AG450" s="635"/>
      <c r="AH450" s="636"/>
      <c r="AI450" s="637"/>
      <c r="AJ450" s="629"/>
      <c r="AK450" s="435"/>
      <c r="AL450" s="435"/>
      <c r="AM450" s="435"/>
      <c r="AN450" s="435"/>
      <c r="AO450" s="467"/>
      <c r="AP450" s="504"/>
      <c r="AQ450" s="468"/>
      <c r="AR450" s="616"/>
      <c r="AS450" s="630"/>
      <c r="AT450" s="630"/>
    </row>
    <row r="451">
      <c r="A451" s="467"/>
      <c r="B451" s="504"/>
      <c r="C451" s="468"/>
      <c r="D451" s="616"/>
      <c r="E451" s="467"/>
      <c r="F451" s="504"/>
      <c r="G451" s="468"/>
      <c r="H451" s="616"/>
      <c r="I451" s="467"/>
      <c r="J451" s="504"/>
      <c r="K451" s="468"/>
      <c r="L451" s="616"/>
      <c r="M451" s="467"/>
      <c r="N451" s="504"/>
      <c r="O451" s="468"/>
      <c r="P451" s="616"/>
      <c r="Q451" s="635"/>
      <c r="R451" s="636"/>
      <c r="S451" s="637"/>
      <c r="T451" s="629"/>
      <c r="U451" s="635"/>
      <c r="V451" s="636"/>
      <c r="W451" s="637"/>
      <c r="X451" s="629"/>
      <c r="Y451" s="467"/>
      <c r="Z451" s="504"/>
      <c r="AA451" s="468"/>
      <c r="AB451" s="616"/>
      <c r="AC451" s="635"/>
      <c r="AD451" s="636"/>
      <c r="AE451" s="637"/>
      <c r="AF451" s="629"/>
      <c r="AG451" s="635"/>
      <c r="AH451" s="636"/>
      <c r="AI451" s="637"/>
      <c r="AJ451" s="629"/>
      <c r="AK451" s="435"/>
      <c r="AL451" s="435"/>
      <c r="AM451" s="435"/>
      <c r="AN451" s="435"/>
      <c r="AO451" s="467"/>
      <c r="AP451" s="504"/>
      <c r="AQ451" s="468"/>
      <c r="AR451" s="616"/>
      <c r="AS451" s="630"/>
      <c r="AT451" s="630"/>
    </row>
    <row r="452">
      <c r="A452" s="467"/>
      <c r="B452" s="504"/>
      <c r="C452" s="468"/>
      <c r="D452" s="616"/>
      <c r="E452" s="467"/>
      <c r="F452" s="504"/>
      <c r="G452" s="468"/>
      <c r="H452" s="616"/>
      <c r="I452" s="467"/>
      <c r="J452" s="504"/>
      <c r="K452" s="468"/>
      <c r="L452" s="616"/>
      <c r="M452" s="467"/>
      <c r="N452" s="504"/>
      <c r="O452" s="468"/>
      <c r="P452" s="616"/>
      <c r="Q452" s="635"/>
      <c r="R452" s="636"/>
      <c r="S452" s="637"/>
      <c r="T452" s="629"/>
      <c r="U452" s="635"/>
      <c r="V452" s="636"/>
      <c r="W452" s="637"/>
      <c r="X452" s="629"/>
      <c r="Y452" s="467"/>
      <c r="Z452" s="504"/>
      <c r="AA452" s="468"/>
      <c r="AB452" s="616"/>
      <c r="AC452" s="635"/>
      <c r="AD452" s="636"/>
      <c r="AE452" s="637"/>
      <c r="AF452" s="629"/>
      <c r="AG452" s="635"/>
      <c r="AH452" s="636"/>
      <c r="AI452" s="637"/>
      <c r="AJ452" s="629"/>
      <c r="AK452" s="435"/>
      <c r="AL452" s="435"/>
      <c r="AM452" s="435"/>
      <c r="AN452" s="435"/>
      <c r="AO452" s="467"/>
      <c r="AP452" s="504"/>
      <c r="AQ452" s="468"/>
      <c r="AR452" s="616"/>
      <c r="AS452" s="630"/>
      <c r="AT452" s="630"/>
    </row>
    <row r="453">
      <c r="A453" s="467"/>
      <c r="B453" s="504"/>
      <c r="C453" s="468"/>
      <c r="D453" s="616"/>
      <c r="E453" s="467"/>
      <c r="F453" s="504"/>
      <c r="G453" s="468"/>
      <c r="H453" s="616"/>
      <c r="I453" s="467"/>
      <c r="J453" s="504"/>
      <c r="K453" s="468"/>
      <c r="L453" s="616"/>
      <c r="M453" s="467"/>
      <c r="N453" s="504"/>
      <c r="O453" s="468"/>
      <c r="P453" s="616"/>
      <c r="Q453" s="635"/>
      <c r="R453" s="636"/>
      <c r="S453" s="637"/>
      <c r="T453" s="629"/>
      <c r="U453" s="635"/>
      <c r="V453" s="636"/>
      <c r="W453" s="637"/>
      <c r="X453" s="629"/>
      <c r="Y453" s="467"/>
      <c r="Z453" s="504"/>
      <c r="AA453" s="468"/>
      <c r="AB453" s="616"/>
      <c r="AC453" s="635"/>
      <c r="AD453" s="636"/>
      <c r="AE453" s="637"/>
      <c r="AF453" s="629"/>
      <c r="AG453" s="635"/>
      <c r="AH453" s="636"/>
      <c r="AI453" s="637"/>
      <c r="AJ453" s="629"/>
      <c r="AK453" s="435"/>
      <c r="AL453" s="435"/>
      <c r="AM453" s="435"/>
      <c r="AN453" s="435"/>
      <c r="AO453" s="467"/>
      <c r="AP453" s="504"/>
      <c r="AQ453" s="468"/>
      <c r="AR453" s="616"/>
      <c r="AS453" s="630"/>
      <c r="AT453" s="630"/>
    </row>
    <row r="454">
      <c r="A454" s="467"/>
      <c r="B454" s="504"/>
      <c r="C454" s="468"/>
      <c r="D454" s="616"/>
      <c r="E454" s="467"/>
      <c r="F454" s="504"/>
      <c r="G454" s="468"/>
      <c r="H454" s="616"/>
      <c r="I454" s="467"/>
      <c r="J454" s="504"/>
      <c r="K454" s="468"/>
      <c r="L454" s="616"/>
      <c r="M454" s="467"/>
      <c r="N454" s="504"/>
      <c r="O454" s="468"/>
      <c r="P454" s="616"/>
      <c r="Q454" s="635"/>
      <c r="R454" s="636"/>
      <c r="S454" s="637"/>
      <c r="T454" s="629"/>
      <c r="U454" s="635"/>
      <c r="V454" s="636"/>
      <c r="W454" s="637"/>
      <c r="X454" s="629"/>
      <c r="Y454" s="467"/>
      <c r="Z454" s="504"/>
      <c r="AA454" s="468"/>
      <c r="AB454" s="616"/>
      <c r="AC454" s="635"/>
      <c r="AD454" s="636"/>
      <c r="AE454" s="637"/>
      <c r="AF454" s="629"/>
      <c r="AG454" s="635"/>
      <c r="AH454" s="636"/>
      <c r="AI454" s="637"/>
      <c r="AJ454" s="629"/>
      <c r="AK454" s="435"/>
      <c r="AL454" s="435"/>
      <c r="AM454" s="435"/>
      <c r="AN454" s="435"/>
      <c r="AO454" s="467"/>
      <c r="AP454" s="504"/>
      <c r="AQ454" s="468"/>
      <c r="AR454" s="616"/>
      <c r="AS454" s="630"/>
      <c r="AT454" s="630"/>
    </row>
    <row r="455">
      <c r="A455" s="467"/>
      <c r="B455" s="504"/>
      <c r="C455" s="468"/>
      <c r="D455" s="616"/>
      <c r="E455" s="467"/>
      <c r="F455" s="504"/>
      <c r="G455" s="468"/>
      <c r="H455" s="616"/>
      <c r="I455" s="467"/>
      <c r="J455" s="504"/>
      <c r="K455" s="468"/>
      <c r="L455" s="616"/>
      <c r="M455" s="467"/>
      <c r="N455" s="504"/>
      <c r="O455" s="468"/>
      <c r="P455" s="616"/>
      <c r="Q455" s="635"/>
      <c r="R455" s="636"/>
      <c r="S455" s="637"/>
      <c r="T455" s="629"/>
      <c r="U455" s="635"/>
      <c r="V455" s="636"/>
      <c r="W455" s="637"/>
      <c r="X455" s="629"/>
      <c r="Y455" s="467"/>
      <c r="Z455" s="504"/>
      <c r="AA455" s="468"/>
      <c r="AB455" s="616"/>
      <c r="AC455" s="635"/>
      <c r="AD455" s="636"/>
      <c r="AE455" s="637"/>
      <c r="AF455" s="629"/>
      <c r="AG455" s="635"/>
      <c r="AH455" s="636"/>
      <c r="AI455" s="637"/>
      <c r="AJ455" s="629"/>
      <c r="AK455" s="435"/>
      <c r="AL455" s="435"/>
      <c r="AM455" s="435"/>
      <c r="AN455" s="435"/>
      <c r="AO455" s="467"/>
      <c r="AP455" s="504"/>
      <c r="AQ455" s="468"/>
      <c r="AR455" s="616"/>
      <c r="AS455" s="630"/>
      <c r="AT455" s="630"/>
    </row>
    <row r="456">
      <c r="A456" s="467"/>
      <c r="B456" s="504"/>
      <c r="C456" s="468"/>
      <c r="D456" s="616"/>
      <c r="E456" s="467"/>
      <c r="F456" s="504"/>
      <c r="G456" s="468"/>
      <c r="H456" s="616"/>
      <c r="I456" s="467"/>
      <c r="J456" s="504"/>
      <c r="K456" s="468"/>
      <c r="L456" s="616"/>
      <c r="M456" s="467"/>
      <c r="N456" s="504"/>
      <c r="O456" s="468"/>
      <c r="P456" s="616"/>
      <c r="Q456" s="635"/>
      <c r="R456" s="636"/>
      <c r="S456" s="637"/>
      <c r="T456" s="629"/>
      <c r="U456" s="635"/>
      <c r="V456" s="636"/>
      <c r="W456" s="637"/>
      <c r="X456" s="629"/>
      <c r="Y456" s="467"/>
      <c r="Z456" s="504"/>
      <c r="AA456" s="468"/>
      <c r="AB456" s="616"/>
      <c r="AC456" s="635"/>
      <c r="AD456" s="636"/>
      <c r="AE456" s="637"/>
      <c r="AF456" s="629"/>
      <c r="AG456" s="635"/>
      <c r="AH456" s="636"/>
      <c r="AI456" s="637"/>
      <c r="AJ456" s="629"/>
      <c r="AK456" s="435"/>
      <c r="AL456" s="435"/>
      <c r="AM456" s="435"/>
      <c r="AN456" s="435"/>
      <c r="AO456" s="467"/>
      <c r="AP456" s="504"/>
      <c r="AQ456" s="468"/>
      <c r="AR456" s="616"/>
      <c r="AS456" s="630"/>
      <c r="AT456" s="630"/>
    </row>
    <row r="457">
      <c r="A457" s="467"/>
      <c r="B457" s="504"/>
      <c r="C457" s="468"/>
      <c r="D457" s="616"/>
      <c r="E457" s="467"/>
      <c r="F457" s="504"/>
      <c r="G457" s="468"/>
      <c r="H457" s="616"/>
      <c r="I457" s="467"/>
      <c r="J457" s="504"/>
      <c r="K457" s="468"/>
      <c r="L457" s="616"/>
      <c r="M457" s="467"/>
      <c r="N457" s="504"/>
      <c r="O457" s="468"/>
      <c r="P457" s="616"/>
      <c r="Q457" s="635"/>
      <c r="R457" s="636"/>
      <c r="S457" s="637"/>
      <c r="T457" s="629"/>
      <c r="U457" s="635"/>
      <c r="V457" s="636"/>
      <c r="W457" s="637"/>
      <c r="X457" s="629"/>
      <c r="Y457" s="467"/>
      <c r="Z457" s="504"/>
      <c r="AA457" s="468"/>
      <c r="AB457" s="616"/>
      <c r="AC457" s="635"/>
      <c r="AD457" s="636"/>
      <c r="AE457" s="637"/>
      <c r="AF457" s="629"/>
      <c r="AG457" s="635"/>
      <c r="AH457" s="636"/>
      <c r="AI457" s="637"/>
      <c r="AJ457" s="629"/>
      <c r="AK457" s="435"/>
      <c r="AL457" s="435"/>
      <c r="AM457" s="435"/>
      <c r="AN457" s="435"/>
      <c r="AO457" s="467"/>
      <c r="AP457" s="504"/>
      <c r="AQ457" s="468"/>
      <c r="AR457" s="616"/>
      <c r="AS457" s="630"/>
      <c r="AT457" s="630"/>
    </row>
    <row r="458">
      <c r="A458" s="467"/>
      <c r="B458" s="504"/>
      <c r="C458" s="468"/>
      <c r="D458" s="616"/>
      <c r="E458" s="467"/>
      <c r="F458" s="504"/>
      <c r="G458" s="468"/>
      <c r="H458" s="616"/>
      <c r="I458" s="467"/>
      <c r="J458" s="504"/>
      <c r="K458" s="468"/>
      <c r="L458" s="616"/>
      <c r="M458" s="467"/>
      <c r="N458" s="504"/>
      <c r="O458" s="468"/>
      <c r="P458" s="616"/>
      <c r="Q458" s="635"/>
      <c r="R458" s="636"/>
      <c r="S458" s="637"/>
      <c r="T458" s="629"/>
      <c r="U458" s="635"/>
      <c r="V458" s="636"/>
      <c r="W458" s="637"/>
      <c r="X458" s="629"/>
      <c r="Y458" s="467"/>
      <c r="Z458" s="504"/>
      <c r="AA458" s="468"/>
      <c r="AB458" s="616"/>
      <c r="AC458" s="635"/>
      <c r="AD458" s="636"/>
      <c r="AE458" s="637"/>
      <c r="AF458" s="629"/>
      <c r="AG458" s="635"/>
      <c r="AH458" s="636"/>
      <c r="AI458" s="637"/>
      <c r="AJ458" s="629"/>
      <c r="AK458" s="435"/>
      <c r="AL458" s="435"/>
      <c r="AM458" s="435"/>
      <c r="AN458" s="435"/>
      <c r="AO458" s="467"/>
      <c r="AP458" s="504"/>
      <c r="AQ458" s="468"/>
      <c r="AR458" s="616"/>
      <c r="AS458" s="630"/>
      <c r="AT458" s="630"/>
    </row>
    <row r="459">
      <c r="A459" s="467"/>
      <c r="B459" s="504"/>
      <c r="C459" s="468"/>
      <c r="D459" s="616"/>
      <c r="E459" s="467"/>
      <c r="F459" s="504"/>
      <c r="G459" s="468"/>
      <c r="H459" s="616"/>
      <c r="I459" s="467"/>
      <c r="J459" s="504"/>
      <c r="K459" s="468"/>
      <c r="L459" s="616"/>
      <c r="M459" s="467"/>
      <c r="N459" s="504"/>
      <c r="O459" s="468"/>
      <c r="P459" s="616"/>
      <c r="Q459" s="635"/>
      <c r="R459" s="636"/>
      <c r="S459" s="637"/>
      <c r="T459" s="629"/>
      <c r="U459" s="635"/>
      <c r="V459" s="636"/>
      <c r="W459" s="637"/>
      <c r="X459" s="629"/>
      <c r="Y459" s="467"/>
      <c r="Z459" s="504"/>
      <c r="AA459" s="468"/>
      <c r="AB459" s="616"/>
      <c r="AC459" s="635"/>
      <c r="AD459" s="636"/>
      <c r="AE459" s="637"/>
      <c r="AF459" s="629"/>
      <c r="AG459" s="635"/>
      <c r="AH459" s="636"/>
      <c r="AI459" s="637"/>
      <c r="AJ459" s="629"/>
      <c r="AK459" s="435"/>
      <c r="AL459" s="435"/>
      <c r="AM459" s="435"/>
      <c r="AN459" s="435"/>
      <c r="AO459" s="467"/>
      <c r="AP459" s="504"/>
      <c r="AQ459" s="468"/>
      <c r="AR459" s="616"/>
      <c r="AS459" s="630"/>
      <c r="AT459" s="630"/>
    </row>
    <row r="460">
      <c r="A460" s="467"/>
      <c r="B460" s="504"/>
      <c r="C460" s="468"/>
      <c r="D460" s="616"/>
      <c r="E460" s="467"/>
      <c r="F460" s="504"/>
      <c r="G460" s="468"/>
      <c r="H460" s="616"/>
      <c r="I460" s="467"/>
      <c r="J460" s="504"/>
      <c r="K460" s="468"/>
      <c r="L460" s="616"/>
      <c r="M460" s="467"/>
      <c r="N460" s="504"/>
      <c r="O460" s="468"/>
      <c r="P460" s="616"/>
      <c r="Q460" s="635"/>
      <c r="R460" s="636"/>
      <c r="S460" s="637"/>
      <c r="T460" s="629"/>
      <c r="U460" s="635"/>
      <c r="V460" s="636"/>
      <c r="W460" s="637"/>
      <c r="X460" s="629"/>
      <c r="Y460" s="467"/>
      <c r="Z460" s="504"/>
      <c r="AA460" s="468"/>
      <c r="AB460" s="616"/>
      <c r="AC460" s="635"/>
      <c r="AD460" s="636"/>
      <c r="AE460" s="637"/>
      <c r="AF460" s="629"/>
      <c r="AG460" s="635"/>
      <c r="AH460" s="636"/>
      <c r="AI460" s="637"/>
      <c r="AJ460" s="629"/>
      <c r="AK460" s="435"/>
      <c r="AL460" s="435"/>
      <c r="AM460" s="435"/>
      <c r="AN460" s="435"/>
      <c r="AO460" s="467"/>
      <c r="AP460" s="504"/>
      <c r="AQ460" s="468"/>
      <c r="AR460" s="616"/>
      <c r="AS460" s="630"/>
      <c r="AT460" s="630"/>
    </row>
    <row r="461">
      <c r="A461" s="467"/>
      <c r="B461" s="504"/>
      <c r="C461" s="468"/>
      <c r="D461" s="616"/>
      <c r="E461" s="467"/>
      <c r="F461" s="504"/>
      <c r="G461" s="468"/>
      <c r="H461" s="616"/>
      <c r="I461" s="467"/>
      <c r="J461" s="504"/>
      <c r="K461" s="468"/>
      <c r="L461" s="616"/>
      <c r="M461" s="467"/>
      <c r="N461" s="504"/>
      <c r="O461" s="468"/>
      <c r="P461" s="616"/>
      <c r="Q461" s="635"/>
      <c r="R461" s="636"/>
      <c r="S461" s="637"/>
      <c r="T461" s="629"/>
      <c r="U461" s="635"/>
      <c r="V461" s="636"/>
      <c r="W461" s="637"/>
      <c r="X461" s="629"/>
      <c r="Y461" s="467"/>
      <c r="Z461" s="504"/>
      <c r="AA461" s="468"/>
      <c r="AB461" s="616"/>
      <c r="AC461" s="635"/>
      <c r="AD461" s="636"/>
      <c r="AE461" s="637"/>
      <c r="AF461" s="629"/>
      <c r="AG461" s="635"/>
      <c r="AH461" s="636"/>
      <c r="AI461" s="637"/>
      <c r="AJ461" s="629"/>
      <c r="AK461" s="435"/>
      <c r="AL461" s="435"/>
      <c r="AM461" s="435"/>
      <c r="AN461" s="435"/>
      <c r="AO461" s="467"/>
      <c r="AP461" s="504"/>
      <c r="AQ461" s="468"/>
      <c r="AR461" s="616"/>
      <c r="AS461" s="630"/>
      <c r="AT461" s="630"/>
    </row>
    <row r="462">
      <c r="A462" s="467"/>
      <c r="B462" s="504"/>
      <c r="C462" s="468"/>
      <c r="D462" s="616"/>
      <c r="E462" s="467"/>
      <c r="F462" s="504"/>
      <c r="G462" s="468"/>
      <c r="H462" s="616"/>
      <c r="I462" s="467"/>
      <c r="J462" s="504"/>
      <c r="K462" s="468"/>
      <c r="L462" s="616"/>
      <c r="M462" s="467"/>
      <c r="N462" s="504"/>
      <c r="O462" s="468"/>
      <c r="P462" s="616"/>
      <c r="Q462" s="635"/>
      <c r="R462" s="636"/>
      <c r="S462" s="637"/>
      <c r="T462" s="629"/>
      <c r="U462" s="635"/>
      <c r="V462" s="636"/>
      <c r="W462" s="637"/>
      <c r="X462" s="629"/>
      <c r="Y462" s="467"/>
      <c r="Z462" s="504"/>
      <c r="AA462" s="468"/>
      <c r="AB462" s="616"/>
      <c r="AC462" s="635"/>
      <c r="AD462" s="636"/>
      <c r="AE462" s="637"/>
      <c r="AF462" s="629"/>
      <c r="AG462" s="635"/>
      <c r="AH462" s="636"/>
      <c r="AI462" s="637"/>
      <c r="AJ462" s="629"/>
      <c r="AK462" s="435"/>
      <c r="AL462" s="435"/>
      <c r="AM462" s="435"/>
      <c r="AN462" s="435"/>
      <c r="AO462" s="467"/>
      <c r="AP462" s="504"/>
      <c r="AQ462" s="468"/>
      <c r="AR462" s="616"/>
      <c r="AS462" s="630"/>
      <c r="AT462" s="630"/>
    </row>
    <row r="463">
      <c r="A463" s="467"/>
      <c r="B463" s="504"/>
      <c r="C463" s="468"/>
      <c r="D463" s="616"/>
      <c r="E463" s="467"/>
      <c r="F463" s="504"/>
      <c r="G463" s="468"/>
      <c r="H463" s="616"/>
      <c r="I463" s="467"/>
      <c r="J463" s="504"/>
      <c r="K463" s="468"/>
      <c r="L463" s="616"/>
      <c r="M463" s="467"/>
      <c r="N463" s="504"/>
      <c r="O463" s="468"/>
      <c r="P463" s="616"/>
      <c r="Q463" s="635"/>
      <c r="R463" s="636"/>
      <c r="S463" s="637"/>
      <c r="T463" s="629"/>
      <c r="U463" s="635"/>
      <c r="V463" s="636"/>
      <c r="W463" s="637"/>
      <c r="X463" s="629"/>
      <c r="Y463" s="467"/>
      <c r="Z463" s="504"/>
      <c r="AA463" s="468"/>
      <c r="AB463" s="616"/>
      <c r="AC463" s="635"/>
      <c r="AD463" s="636"/>
      <c r="AE463" s="637"/>
      <c r="AF463" s="629"/>
      <c r="AG463" s="635"/>
      <c r="AH463" s="636"/>
      <c r="AI463" s="637"/>
      <c r="AJ463" s="629"/>
      <c r="AK463" s="435"/>
      <c r="AL463" s="435"/>
      <c r="AM463" s="435"/>
      <c r="AN463" s="435"/>
      <c r="AO463" s="467"/>
      <c r="AP463" s="504"/>
      <c r="AQ463" s="468"/>
      <c r="AR463" s="616"/>
      <c r="AS463" s="630"/>
      <c r="AT463" s="630"/>
    </row>
    <row r="464">
      <c r="A464" s="467"/>
      <c r="B464" s="504"/>
      <c r="C464" s="468"/>
      <c r="D464" s="616"/>
      <c r="E464" s="467"/>
      <c r="F464" s="504"/>
      <c r="G464" s="468"/>
      <c r="H464" s="616"/>
      <c r="I464" s="467"/>
      <c r="J464" s="504"/>
      <c r="K464" s="468"/>
      <c r="L464" s="616"/>
      <c r="M464" s="467"/>
      <c r="N464" s="504"/>
      <c r="O464" s="468"/>
      <c r="P464" s="616"/>
      <c r="Q464" s="635"/>
      <c r="R464" s="636"/>
      <c r="S464" s="637"/>
      <c r="T464" s="629"/>
      <c r="U464" s="635"/>
      <c r="V464" s="636"/>
      <c r="W464" s="637"/>
      <c r="X464" s="629"/>
      <c r="Y464" s="467"/>
      <c r="Z464" s="504"/>
      <c r="AA464" s="468"/>
      <c r="AB464" s="616"/>
      <c r="AC464" s="635"/>
      <c r="AD464" s="636"/>
      <c r="AE464" s="637"/>
      <c r="AF464" s="629"/>
      <c r="AG464" s="635"/>
      <c r="AH464" s="636"/>
      <c r="AI464" s="637"/>
      <c r="AJ464" s="629"/>
      <c r="AK464" s="435"/>
      <c r="AL464" s="435"/>
      <c r="AM464" s="435"/>
      <c r="AN464" s="435"/>
      <c r="AO464" s="467"/>
      <c r="AP464" s="504"/>
      <c r="AQ464" s="468"/>
      <c r="AR464" s="616"/>
      <c r="AS464" s="630"/>
      <c r="AT464" s="630"/>
    </row>
    <row r="465">
      <c r="A465" s="467"/>
      <c r="B465" s="504"/>
      <c r="C465" s="468"/>
      <c r="D465" s="616"/>
      <c r="E465" s="467"/>
      <c r="F465" s="504"/>
      <c r="G465" s="468"/>
      <c r="H465" s="616"/>
      <c r="I465" s="467"/>
      <c r="J465" s="504"/>
      <c r="K465" s="468"/>
      <c r="L465" s="616"/>
      <c r="M465" s="467"/>
      <c r="N465" s="504"/>
      <c r="O465" s="468"/>
      <c r="P465" s="616"/>
      <c r="Q465" s="635"/>
      <c r="R465" s="636"/>
      <c r="S465" s="637"/>
      <c r="T465" s="629"/>
      <c r="U465" s="635"/>
      <c r="V465" s="636"/>
      <c r="W465" s="637"/>
      <c r="X465" s="629"/>
      <c r="Y465" s="467"/>
      <c r="Z465" s="504"/>
      <c r="AA465" s="468"/>
      <c r="AB465" s="616"/>
      <c r="AC465" s="635"/>
      <c r="AD465" s="636"/>
      <c r="AE465" s="637"/>
      <c r="AF465" s="629"/>
      <c r="AG465" s="635"/>
      <c r="AH465" s="636"/>
      <c r="AI465" s="637"/>
      <c r="AJ465" s="629"/>
      <c r="AK465" s="435"/>
      <c r="AL465" s="435"/>
      <c r="AM465" s="435"/>
      <c r="AN465" s="435"/>
      <c r="AO465" s="467"/>
      <c r="AP465" s="504"/>
      <c r="AQ465" s="468"/>
      <c r="AR465" s="616"/>
      <c r="AS465" s="630"/>
      <c r="AT465" s="630"/>
    </row>
    <row r="466">
      <c r="A466" s="467"/>
      <c r="B466" s="504"/>
      <c r="C466" s="468"/>
      <c r="D466" s="616"/>
      <c r="E466" s="467"/>
      <c r="F466" s="504"/>
      <c r="G466" s="468"/>
      <c r="H466" s="616"/>
      <c r="I466" s="467"/>
      <c r="J466" s="504"/>
      <c r="K466" s="468"/>
      <c r="L466" s="616"/>
      <c r="M466" s="467"/>
      <c r="N466" s="504"/>
      <c r="O466" s="468"/>
      <c r="P466" s="616"/>
      <c r="Q466" s="635"/>
      <c r="R466" s="636"/>
      <c r="S466" s="637"/>
      <c r="T466" s="629"/>
      <c r="U466" s="635"/>
      <c r="V466" s="636"/>
      <c r="W466" s="637"/>
      <c r="X466" s="629"/>
      <c r="Y466" s="467"/>
      <c r="Z466" s="504"/>
      <c r="AA466" s="468"/>
      <c r="AB466" s="616"/>
      <c r="AC466" s="635"/>
      <c r="AD466" s="636"/>
      <c r="AE466" s="637"/>
      <c r="AF466" s="629"/>
      <c r="AG466" s="635"/>
      <c r="AH466" s="636"/>
      <c r="AI466" s="637"/>
      <c r="AJ466" s="629"/>
      <c r="AK466" s="435"/>
      <c r="AL466" s="435"/>
      <c r="AM466" s="435"/>
      <c r="AN466" s="435"/>
      <c r="AO466" s="467"/>
      <c r="AP466" s="504"/>
      <c r="AQ466" s="468"/>
      <c r="AR466" s="616"/>
      <c r="AS466" s="630"/>
      <c r="AT466" s="630"/>
    </row>
    <row r="467">
      <c r="A467" s="467"/>
      <c r="B467" s="504"/>
      <c r="C467" s="468"/>
      <c r="D467" s="616"/>
      <c r="E467" s="467"/>
      <c r="F467" s="504"/>
      <c r="G467" s="468"/>
      <c r="H467" s="616"/>
      <c r="I467" s="467"/>
      <c r="J467" s="504"/>
      <c r="K467" s="468"/>
      <c r="L467" s="616"/>
      <c r="M467" s="467"/>
      <c r="N467" s="504"/>
      <c r="O467" s="468"/>
      <c r="P467" s="616"/>
      <c r="Q467" s="635"/>
      <c r="R467" s="636"/>
      <c r="S467" s="637"/>
      <c r="T467" s="629"/>
      <c r="U467" s="635"/>
      <c r="V467" s="636"/>
      <c r="W467" s="637"/>
      <c r="X467" s="629"/>
      <c r="Y467" s="467"/>
      <c r="Z467" s="504"/>
      <c r="AA467" s="468"/>
      <c r="AB467" s="616"/>
      <c r="AC467" s="635"/>
      <c r="AD467" s="636"/>
      <c r="AE467" s="637"/>
      <c r="AF467" s="629"/>
      <c r="AG467" s="635"/>
      <c r="AH467" s="636"/>
      <c r="AI467" s="637"/>
      <c r="AJ467" s="629"/>
      <c r="AK467" s="435"/>
      <c r="AL467" s="435"/>
      <c r="AM467" s="435"/>
      <c r="AN467" s="435"/>
      <c r="AO467" s="467"/>
      <c r="AP467" s="504"/>
      <c r="AQ467" s="468"/>
      <c r="AR467" s="616"/>
      <c r="AS467" s="630"/>
      <c r="AT467" s="630"/>
    </row>
    <row r="468">
      <c r="A468" s="467"/>
      <c r="B468" s="504"/>
      <c r="C468" s="468"/>
      <c r="D468" s="616"/>
      <c r="E468" s="467"/>
      <c r="F468" s="504"/>
      <c r="G468" s="468"/>
      <c r="H468" s="616"/>
      <c r="I468" s="467"/>
      <c r="J468" s="504"/>
      <c r="K468" s="468"/>
      <c r="L468" s="616"/>
      <c r="M468" s="467"/>
      <c r="N468" s="504"/>
      <c r="O468" s="468"/>
      <c r="P468" s="616"/>
      <c r="Q468" s="635"/>
      <c r="R468" s="636"/>
      <c r="S468" s="637"/>
      <c r="T468" s="629"/>
      <c r="U468" s="635"/>
      <c r="V468" s="636"/>
      <c r="W468" s="637"/>
      <c r="X468" s="629"/>
      <c r="Y468" s="467"/>
      <c r="Z468" s="504"/>
      <c r="AA468" s="468"/>
      <c r="AB468" s="616"/>
      <c r="AC468" s="635"/>
      <c r="AD468" s="636"/>
      <c r="AE468" s="637"/>
      <c r="AF468" s="629"/>
      <c r="AG468" s="635"/>
      <c r="AH468" s="636"/>
      <c r="AI468" s="637"/>
      <c r="AJ468" s="629"/>
      <c r="AK468" s="435"/>
      <c r="AL468" s="435"/>
      <c r="AM468" s="435"/>
      <c r="AN468" s="435"/>
      <c r="AO468" s="467"/>
      <c r="AP468" s="504"/>
      <c r="AQ468" s="468"/>
      <c r="AR468" s="616"/>
      <c r="AS468" s="630"/>
      <c r="AT468" s="630"/>
    </row>
    <row r="469">
      <c r="A469" s="467"/>
      <c r="B469" s="504"/>
      <c r="C469" s="468"/>
      <c r="D469" s="616"/>
      <c r="E469" s="467"/>
      <c r="F469" s="504"/>
      <c r="G469" s="468"/>
      <c r="H469" s="616"/>
      <c r="I469" s="467"/>
      <c r="J469" s="504"/>
      <c r="K469" s="468"/>
      <c r="L469" s="616"/>
      <c r="M469" s="467"/>
      <c r="N469" s="504"/>
      <c r="O469" s="468"/>
      <c r="P469" s="616"/>
      <c r="Q469" s="635"/>
      <c r="R469" s="636"/>
      <c r="S469" s="637"/>
      <c r="T469" s="629"/>
      <c r="U469" s="635"/>
      <c r="V469" s="636"/>
      <c r="W469" s="637"/>
      <c r="X469" s="629"/>
      <c r="Y469" s="467"/>
      <c r="Z469" s="504"/>
      <c r="AA469" s="468"/>
      <c r="AB469" s="616"/>
      <c r="AC469" s="635"/>
      <c r="AD469" s="636"/>
      <c r="AE469" s="637"/>
      <c r="AF469" s="629"/>
      <c r="AG469" s="635"/>
      <c r="AH469" s="636"/>
      <c r="AI469" s="637"/>
      <c r="AJ469" s="629"/>
      <c r="AK469" s="435"/>
      <c r="AL469" s="435"/>
      <c r="AM469" s="435"/>
      <c r="AN469" s="435"/>
      <c r="AO469" s="467"/>
      <c r="AP469" s="504"/>
      <c r="AQ469" s="468"/>
      <c r="AR469" s="616"/>
      <c r="AS469" s="630"/>
      <c r="AT469" s="630"/>
    </row>
    <row r="470">
      <c r="A470" s="467"/>
      <c r="B470" s="504"/>
      <c r="C470" s="468"/>
      <c r="D470" s="616"/>
      <c r="E470" s="467"/>
      <c r="F470" s="504"/>
      <c r="G470" s="468"/>
      <c r="H470" s="616"/>
      <c r="I470" s="467"/>
      <c r="J470" s="504"/>
      <c r="K470" s="468"/>
      <c r="L470" s="616"/>
      <c r="M470" s="467"/>
      <c r="N470" s="504"/>
      <c r="O470" s="468"/>
      <c r="P470" s="616"/>
      <c r="Q470" s="635"/>
      <c r="R470" s="636"/>
      <c r="S470" s="637"/>
      <c r="T470" s="629"/>
      <c r="U470" s="635"/>
      <c r="V470" s="636"/>
      <c r="W470" s="637"/>
      <c r="X470" s="629"/>
      <c r="Y470" s="467"/>
      <c r="Z470" s="504"/>
      <c r="AA470" s="468"/>
      <c r="AB470" s="616"/>
      <c r="AC470" s="635"/>
      <c r="AD470" s="636"/>
      <c r="AE470" s="637"/>
      <c r="AF470" s="629"/>
      <c r="AG470" s="635"/>
      <c r="AH470" s="636"/>
      <c r="AI470" s="637"/>
      <c r="AJ470" s="629"/>
      <c r="AK470" s="435"/>
      <c r="AL470" s="435"/>
      <c r="AM470" s="435"/>
      <c r="AN470" s="435"/>
      <c r="AO470" s="467"/>
      <c r="AP470" s="504"/>
      <c r="AQ470" s="468"/>
      <c r="AR470" s="616"/>
      <c r="AS470" s="630"/>
      <c r="AT470" s="630"/>
    </row>
    <row r="471">
      <c r="A471" s="467"/>
      <c r="B471" s="504"/>
      <c r="C471" s="468"/>
      <c r="D471" s="616"/>
      <c r="E471" s="467"/>
      <c r="F471" s="504"/>
      <c r="G471" s="468"/>
      <c r="H471" s="616"/>
      <c r="I471" s="467"/>
      <c r="J471" s="504"/>
      <c r="K471" s="468"/>
      <c r="L471" s="616"/>
      <c r="M471" s="467"/>
      <c r="N471" s="504"/>
      <c r="O471" s="468"/>
      <c r="P471" s="616"/>
      <c r="Q471" s="635"/>
      <c r="R471" s="636"/>
      <c r="S471" s="637"/>
      <c r="T471" s="629"/>
      <c r="U471" s="635"/>
      <c r="V471" s="636"/>
      <c r="W471" s="637"/>
      <c r="X471" s="629"/>
      <c r="Y471" s="467"/>
      <c r="Z471" s="504"/>
      <c r="AA471" s="468"/>
      <c r="AB471" s="616"/>
      <c r="AC471" s="635"/>
      <c r="AD471" s="636"/>
      <c r="AE471" s="637"/>
      <c r="AF471" s="629"/>
      <c r="AG471" s="635"/>
      <c r="AH471" s="636"/>
      <c r="AI471" s="637"/>
      <c r="AJ471" s="629"/>
      <c r="AK471" s="435"/>
      <c r="AL471" s="435"/>
      <c r="AM471" s="435"/>
      <c r="AN471" s="435"/>
      <c r="AO471" s="467"/>
      <c r="AP471" s="504"/>
      <c r="AQ471" s="468"/>
      <c r="AR471" s="616"/>
      <c r="AS471" s="630"/>
      <c r="AT471" s="630"/>
    </row>
    <row r="472">
      <c r="A472" s="467"/>
      <c r="B472" s="504"/>
      <c r="C472" s="468"/>
      <c r="D472" s="616"/>
      <c r="E472" s="467"/>
      <c r="F472" s="504"/>
      <c r="G472" s="468"/>
      <c r="H472" s="616"/>
      <c r="I472" s="467"/>
      <c r="J472" s="504"/>
      <c r="K472" s="468"/>
      <c r="L472" s="616"/>
      <c r="M472" s="467"/>
      <c r="N472" s="504"/>
      <c r="O472" s="468"/>
      <c r="P472" s="616"/>
      <c r="Q472" s="635"/>
      <c r="R472" s="636"/>
      <c r="S472" s="637"/>
      <c r="T472" s="629"/>
      <c r="U472" s="635"/>
      <c r="V472" s="636"/>
      <c r="W472" s="637"/>
      <c r="X472" s="629"/>
      <c r="Y472" s="467"/>
      <c r="Z472" s="504"/>
      <c r="AA472" s="468"/>
      <c r="AB472" s="616"/>
      <c r="AC472" s="635"/>
      <c r="AD472" s="636"/>
      <c r="AE472" s="637"/>
      <c r="AF472" s="629"/>
      <c r="AG472" s="635"/>
      <c r="AH472" s="636"/>
      <c r="AI472" s="637"/>
      <c r="AJ472" s="629"/>
      <c r="AK472" s="435"/>
      <c r="AL472" s="435"/>
      <c r="AM472" s="435"/>
      <c r="AN472" s="435"/>
      <c r="AO472" s="467"/>
      <c r="AP472" s="504"/>
      <c r="AQ472" s="468"/>
      <c r="AR472" s="616"/>
      <c r="AS472" s="630"/>
      <c r="AT472" s="630"/>
    </row>
    <row r="473">
      <c r="A473" s="467"/>
      <c r="B473" s="504"/>
      <c r="C473" s="468"/>
      <c r="D473" s="616"/>
      <c r="E473" s="467"/>
      <c r="F473" s="504"/>
      <c r="G473" s="468"/>
      <c r="H473" s="616"/>
      <c r="I473" s="467"/>
      <c r="J473" s="504"/>
      <c r="K473" s="468"/>
      <c r="L473" s="616"/>
      <c r="M473" s="467"/>
      <c r="N473" s="504"/>
      <c r="O473" s="468"/>
      <c r="P473" s="616"/>
      <c r="Q473" s="635"/>
      <c r="R473" s="636"/>
      <c r="S473" s="637"/>
      <c r="T473" s="629"/>
      <c r="U473" s="635"/>
      <c r="V473" s="636"/>
      <c r="W473" s="637"/>
      <c r="X473" s="629"/>
      <c r="Y473" s="467"/>
      <c r="Z473" s="504"/>
      <c r="AA473" s="468"/>
      <c r="AB473" s="616"/>
      <c r="AC473" s="635"/>
      <c r="AD473" s="636"/>
      <c r="AE473" s="637"/>
      <c r="AF473" s="629"/>
      <c r="AG473" s="635"/>
      <c r="AH473" s="636"/>
      <c r="AI473" s="637"/>
      <c r="AJ473" s="629"/>
      <c r="AK473" s="435"/>
      <c r="AL473" s="435"/>
      <c r="AM473" s="435"/>
      <c r="AN473" s="435"/>
      <c r="AO473" s="467"/>
      <c r="AP473" s="504"/>
      <c r="AQ473" s="468"/>
      <c r="AR473" s="616"/>
      <c r="AS473" s="630"/>
      <c r="AT473" s="630"/>
    </row>
    <row r="474">
      <c r="A474" s="467"/>
      <c r="B474" s="504"/>
      <c r="C474" s="468"/>
      <c r="D474" s="616"/>
      <c r="E474" s="467"/>
      <c r="F474" s="504"/>
      <c r="G474" s="468"/>
      <c r="H474" s="616"/>
      <c r="I474" s="467"/>
      <c r="J474" s="504"/>
      <c r="K474" s="468"/>
      <c r="L474" s="616"/>
      <c r="M474" s="467"/>
      <c r="N474" s="504"/>
      <c r="O474" s="468"/>
      <c r="P474" s="616"/>
      <c r="Q474" s="635"/>
      <c r="R474" s="636"/>
      <c r="S474" s="637"/>
      <c r="T474" s="629"/>
      <c r="U474" s="635"/>
      <c r="V474" s="636"/>
      <c r="W474" s="637"/>
      <c r="X474" s="629"/>
      <c r="Y474" s="467"/>
      <c r="Z474" s="504"/>
      <c r="AA474" s="468"/>
      <c r="AB474" s="616"/>
      <c r="AC474" s="635"/>
      <c r="AD474" s="636"/>
      <c r="AE474" s="637"/>
      <c r="AF474" s="629"/>
      <c r="AG474" s="635"/>
      <c r="AH474" s="636"/>
      <c r="AI474" s="637"/>
      <c r="AJ474" s="629"/>
      <c r="AK474" s="435"/>
      <c r="AL474" s="435"/>
      <c r="AM474" s="435"/>
      <c r="AN474" s="435"/>
      <c r="AO474" s="467"/>
      <c r="AP474" s="504"/>
      <c r="AQ474" s="468"/>
      <c r="AR474" s="616"/>
      <c r="AS474" s="630"/>
      <c r="AT474" s="630"/>
    </row>
    <row r="475">
      <c r="A475" s="467"/>
      <c r="B475" s="504"/>
      <c r="C475" s="468"/>
      <c r="D475" s="616"/>
      <c r="E475" s="467"/>
      <c r="F475" s="504"/>
      <c r="G475" s="468"/>
      <c r="H475" s="616"/>
      <c r="I475" s="467"/>
      <c r="J475" s="504"/>
      <c r="K475" s="468"/>
      <c r="L475" s="616"/>
      <c r="M475" s="467"/>
      <c r="N475" s="504"/>
      <c r="O475" s="468"/>
      <c r="P475" s="616"/>
      <c r="Q475" s="635"/>
      <c r="R475" s="636"/>
      <c r="S475" s="637"/>
      <c r="T475" s="629"/>
      <c r="U475" s="635"/>
      <c r="V475" s="636"/>
      <c r="W475" s="637"/>
      <c r="X475" s="629"/>
      <c r="Y475" s="467"/>
      <c r="Z475" s="504"/>
      <c r="AA475" s="468"/>
      <c r="AB475" s="616"/>
      <c r="AC475" s="635"/>
      <c r="AD475" s="636"/>
      <c r="AE475" s="637"/>
      <c r="AF475" s="629"/>
      <c r="AG475" s="635"/>
      <c r="AH475" s="636"/>
      <c r="AI475" s="637"/>
      <c r="AJ475" s="629"/>
      <c r="AK475" s="435"/>
      <c r="AL475" s="435"/>
      <c r="AM475" s="435"/>
      <c r="AN475" s="435"/>
      <c r="AO475" s="467"/>
      <c r="AP475" s="504"/>
      <c r="AQ475" s="468"/>
      <c r="AR475" s="616"/>
      <c r="AS475" s="630"/>
      <c r="AT475" s="630"/>
    </row>
    <row r="476">
      <c r="A476" s="467"/>
      <c r="B476" s="504"/>
      <c r="C476" s="468"/>
      <c r="D476" s="616"/>
      <c r="E476" s="467"/>
      <c r="F476" s="504"/>
      <c r="G476" s="468"/>
      <c r="H476" s="616"/>
      <c r="I476" s="467"/>
      <c r="J476" s="504"/>
      <c r="K476" s="468"/>
      <c r="L476" s="616"/>
      <c r="M476" s="467"/>
      <c r="N476" s="504"/>
      <c r="O476" s="468"/>
      <c r="P476" s="616"/>
      <c r="Q476" s="635"/>
      <c r="R476" s="636"/>
      <c r="S476" s="637"/>
      <c r="T476" s="629"/>
      <c r="U476" s="635"/>
      <c r="V476" s="636"/>
      <c r="W476" s="637"/>
      <c r="X476" s="629"/>
      <c r="Y476" s="467"/>
      <c r="Z476" s="504"/>
      <c r="AA476" s="468"/>
      <c r="AB476" s="616"/>
      <c r="AC476" s="635"/>
      <c r="AD476" s="636"/>
      <c r="AE476" s="637"/>
      <c r="AF476" s="629"/>
      <c r="AG476" s="635"/>
      <c r="AH476" s="636"/>
      <c r="AI476" s="637"/>
      <c r="AJ476" s="629"/>
      <c r="AK476" s="435"/>
      <c r="AL476" s="435"/>
      <c r="AM476" s="435"/>
      <c r="AN476" s="435"/>
      <c r="AO476" s="467"/>
      <c r="AP476" s="504"/>
      <c r="AQ476" s="468"/>
      <c r="AR476" s="616"/>
      <c r="AS476" s="630"/>
      <c r="AT476" s="630"/>
    </row>
    <row r="477">
      <c r="A477" s="467"/>
      <c r="B477" s="504"/>
      <c r="C477" s="468"/>
      <c r="D477" s="616"/>
      <c r="E477" s="467"/>
      <c r="F477" s="504"/>
      <c r="G477" s="468"/>
      <c r="H477" s="616"/>
      <c r="I477" s="467"/>
      <c r="J477" s="504"/>
      <c r="K477" s="468"/>
      <c r="L477" s="616"/>
      <c r="M477" s="467"/>
      <c r="N477" s="504"/>
      <c r="O477" s="468"/>
      <c r="P477" s="616"/>
      <c r="Q477" s="635"/>
      <c r="R477" s="636"/>
      <c r="S477" s="637"/>
      <c r="T477" s="629"/>
      <c r="U477" s="635"/>
      <c r="V477" s="636"/>
      <c r="W477" s="637"/>
      <c r="X477" s="629"/>
      <c r="Y477" s="467"/>
      <c r="Z477" s="504"/>
      <c r="AA477" s="468"/>
      <c r="AB477" s="616"/>
      <c r="AC477" s="635"/>
      <c r="AD477" s="636"/>
      <c r="AE477" s="637"/>
      <c r="AF477" s="629"/>
      <c r="AG477" s="635"/>
      <c r="AH477" s="636"/>
      <c r="AI477" s="637"/>
      <c r="AJ477" s="629"/>
      <c r="AK477" s="435"/>
      <c r="AL477" s="435"/>
      <c r="AM477" s="435"/>
      <c r="AN477" s="435"/>
      <c r="AO477" s="467"/>
      <c r="AP477" s="504"/>
      <c r="AQ477" s="468"/>
      <c r="AR477" s="616"/>
      <c r="AS477" s="630"/>
      <c r="AT477" s="630"/>
    </row>
    <row r="478">
      <c r="A478" s="467"/>
      <c r="B478" s="504"/>
      <c r="C478" s="468"/>
      <c r="D478" s="616"/>
      <c r="E478" s="467"/>
      <c r="F478" s="504"/>
      <c r="G478" s="468"/>
      <c r="H478" s="616"/>
      <c r="I478" s="467"/>
      <c r="J478" s="504"/>
      <c r="K478" s="468"/>
      <c r="L478" s="616"/>
      <c r="M478" s="467"/>
      <c r="N478" s="504"/>
      <c r="O478" s="468"/>
      <c r="P478" s="616"/>
      <c r="Q478" s="635"/>
      <c r="R478" s="636"/>
      <c r="S478" s="637"/>
      <c r="T478" s="629"/>
      <c r="U478" s="635"/>
      <c r="V478" s="636"/>
      <c r="W478" s="637"/>
      <c r="X478" s="629"/>
      <c r="Y478" s="467"/>
      <c r="Z478" s="504"/>
      <c r="AA478" s="468"/>
      <c r="AB478" s="616"/>
      <c r="AC478" s="635"/>
      <c r="AD478" s="636"/>
      <c r="AE478" s="637"/>
      <c r="AF478" s="629"/>
      <c r="AG478" s="635"/>
      <c r="AH478" s="636"/>
      <c r="AI478" s="637"/>
      <c r="AJ478" s="629"/>
      <c r="AK478" s="435"/>
      <c r="AL478" s="435"/>
      <c r="AM478" s="435"/>
      <c r="AN478" s="435"/>
      <c r="AO478" s="467"/>
      <c r="AP478" s="504"/>
      <c r="AQ478" s="468"/>
      <c r="AR478" s="616"/>
      <c r="AS478" s="630"/>
      <c r="AT478" s="630"/>
    </row>
    <row r="479">
      <c r="A479" s="467"/>
      <c r="B479" s="504"/>
      <c r="C479" s="468"/>
      <c r="D479" s="616"/>
      <c r="E479" s="467"/>
      <c r="F479" s="504"/>
      <c r="G479" s="468"/>
      <c r="H479" s="616"/>
      <c r="I479" s="467"/>
      <c r="J479" s="504"/>
      <c r="K479" s="468"/>
      <c r="L479" s="616"/>
      <c r="M479" s="467"/>
      <c r="N479" s="504"/>
      <c r="O479" s="468"/>
      <c r="P479" s="616"/>
      <c r="Q479" s="635"/>
      <c r="R479" s="636"/>
      <c r="S479" s="637"/>
      <c r="T479" s="629"/>
      <c r="U479" s="635"/>
      <c r="V479" s="636"/>
      <c r="W479" s="637"/>
      <c r="X479" s="629"/>
      <c r="Y479" s="467"/>
      <c r="Z479" s="504"/>
      <c r="AA479" s="468"/>
      <c r="AB479" s="616"/>
      <c r="AC479" s="635"/>
      <c r="AD479" s="636"/>
      <c r="AE479" s="637"/>
      <c r="AF479" s="629"/>
      <c r="AG479" s="635"/>
      <c r="AH479" s="636"/>
      <c r="AI479" s="637"/>
      <c r="AJ479" s="629"/>
      <c r="AK479" s="435"/>
      <c r="AL479" s="435"/>
      <c r="AM479" s="435"/>
      <c r="AN479" s="435"/>
      <c r="AO479" s="467"/>
      <c r="AP479" s="504"/>
      <c r="AQ479" s="468"/>
      <c r="AR479" s="616"/>
      <c r="AS479" s="630"/>
      <c r="AT479" s="630"/>
    </row>
    <row r="480">
      <c r="A480" s="467"/>
      <c r="B480" s="504"/>
      <c r="C480" s="468"/>
      <c r="D480" s="616"/>
      <c r="E480" s="467"/>
      <c r="F480" s="504"/>
      <c r="G480" s="468"/>
      <c r="H480" s="616"/>
      <c r="I480" s="467"/>
      <c r="J480" s="504"/>
      <c r="K480" s="468"/>
      <c r="L480" s="616"/>
      <c r="M480" s="467"/>
      <c r="N480" s="504"/>
      <c r="O480" s="468"/>
      <c r="P480" s="616"/>
      <c r="Q480" s="635"/>
      <c r="R480" s="636"/>
      <c r="S480" s="637"/>
      <c r="T480" s="629"/>
      <c r="U480" s="635"/>
      <c r="V480" s="636"/>
      <c r="W480" s="637"/>
      <c r="X480" s="629"/>
      <c r="Y480" s="467"/>
      <c r="Z480" s="504"/>
      <c r="AA480" s="468"/>
      <c r="AB480" s="616"/>
      <c r="AC480" s="635"/>
      <c r="AD480" s="636"/>
      <c r="AE480" s="637"/>
      <c r="AF480" s="629"/>
      <c r="AG480" s="635"/>
      <c r="AH480" s="636"/>
      <c r="AI480" s="637"/>
      <c r="AJ480" s="629"/>
      <c r="AK480" s="435"/>
      <c r="AL480" s="435"/>
      <c r="AM480" s="435"/>
      <c r="AN480" s="435"/>
      <c r="AO480" s="467"/>
      <c r="AP480" s="504"/>
      <c r="AQ480" s="468"/>
      <c r="AR480" s="616"/>
      <c r="AS480" s="630"/>
      <c r="AT480" s="630"/>
    </row>
    <row r="481">
      <c r="A481" s="467"/>
      <c r="B481" s="504"/>
      <c r="C481" s="468"/>
      <c r="D481" s="616"/>
      <c r="E481" s="467"/>
      <c r="F481" s="504"/>
      <c r="G481" s="468"/>
      <c r="H481" s="616"/>
      <c r="I481" s="467"/>
      <c r="J481" s="504"/>
      <c r="K481" s="468"/>
      <c r="L481" s="616"/>
      <c r="M481" s="467"/>
      <c r="N481" s="504"/>
      <c r="O481" s="468"/>
      <c r="P481" s="616"/>
      <c r="Q481" s="635"/>
      <c r="R481" s="636"/>
      <c r="S481" s="637"/>
      <c r="T481" s="629"/>
      <c r="U481" s="635"/>
      <c r="V481" s="636"/>
      <c r="W481" s="637"/>
      <c r="X481" s="629"/>
      <c r="Y481" s="467"/>
      <c r="Z481" s="504"/>
      <c r="AA481" s="468"/>
      <c r="AB481" s="616"/>
      <c r="AC481" s="635"/>
      <c r="AD481" s="636"/>
      <c r="AE481" s="637"/>
      <c r="AF481" s="629"/>
      <c r="AG481" s="635"/>
      <c r="AH481" s="636"/>
      <c r="AI481" s="637"/>
      <c r="AJ481" s="629"/>
      <c r="AK481" s="435"/>
      <c r="AL481" s="435"/>
      <c r="AM481" s="435"/>
      <c r="AN481" s="435"/>
      <c r="AO481" s="467"/>
      <c r="AP481" s="504"/>
      <c r="AQ481" s="468"/>
      <c r="AR481" s="616"/>
      <c r="AS481" s="630"/>
      <c r="AT481" s="630"/>
    </row>
    <row r="482">
      <c r="A482" s="467"/>
      <c r="B482" s="504"/>
      <c r="C482" s="468"/>
      <c r="D482" s="616"/>
      <c r="E482" s="467"/>
      <c r="F482" s="504"/>
      <c r="G482" s="468"/>
      <c r="H482" s="616"/>
      <c r="I482" s="467"/>
      <c r="J482" s="504"/>
      <c r="K482" s="468"/>
      <c r="L482" s="616"/>
      <c r="M482" s="467"/>
      <c r="N482" s="504"/>
      <c r="O482" s="468"/>
      <c r="P482" s="616"/>
      <c r="Q482" s="635"/>
      <c r="R482" s="636"/>
      <c r="S482" s="637"/>
      <c r="T482" s="629"/>
      <c r="U482" s="635"/>
      <c r="V482" s="636"/>
      <c r="W482" s="637"/>
      <c r="X482" s="629"/>
      <c r="Y482" s="467"/>
      <c r="Z482" s="504"/>
      <c r="AA482" s="468"/>
      <c r="AB482" s="616"/>
      <c r="AC482" s="635"/>
      <c r="AD482" s="636"/>
      <c r="AE482" s="637"/>
      <c r="AF482" s="629"/>
      <c r="AG482" s="635"/>
      <c r="AH482" s="636"/>
      <c r="AI482" s="637"/>
      <c r="AJ482" s="629"/>
      <c r="AK482" s="435"/>
      <c r="AL482" s="435"/>
      <c r="AM482" s="435"/>
      <c r="AN482" s="435"/>
      <c r="AO482" s="467"/>
      <c r="AP482" s="504"/>
      <c r="AQ482" s="468"/>
      <c r="AR482" s="616"/>
      <c r="AS482" s="630"/>
      <c r="AT482" s="630"/>
    </row>
    <row r="483">
      <c r="A483" s="467"/>
      <c r="B483" s="504"/>
      <c r="C483" s="468"/>
      <c r="D483" s="616"/>
      <c r="E483" s="467"/>
      <c r="F483" s="504"/>
      <c r="G483" s="468"/>
      <c r="H483" s="616"/>
      <c r="I483" s="467"/>
      <c r="J483" s="504"/>
      <c r="K483" s="468"/>
      <c r="L483" s="616"/>
      <c r="M483" s="467"/>
      <c r="N483" s="504"/>
      <c r="O483" s="468"/>
      <c r="P483" s="616"/>
      <c r="Q483" s="635"/>
      <c r="R483" s="636"/>
      <c r="S483" s="637"/>
      <c r="T483" s="629"/>
      <c r="U483" s="635"/>
      <c r="V483" s="636"/>
      <c r="W483" s="637"/>
      <c r="X483" s="629"/>
      <c r="Y483" s="467"/>
      <c r="Z483" s="504"/>
      <c r="AA483" s="468"/>
      <c r="AB483" s="616"/>
      <c r="AC483" s="635"/>
      <c r="AD483" s="636"/>
      <c r="AE483" s="637"/>
      <c r="AF483" s="629"/>
      <c r="AG483" s="635"/>
      <c r="AH483" s="636"/>
      <c r="AI483" s="637"/>
      <c r="AJ483" s="629"/>
      <c r="AK483" s="435"/>
      <c r="AL483" s="435"/>
      <c r="AM483" s="435"/>
      <c r="AN483" s="435"/>
      <c r="AO483" s="467"/>
      <c r="AP483" s="504"/>
      <c r="AQ483" s="468"/>
      <c r="AR483" s="616"/>
      <c r="AS483" s="630"/>
      <c r="AT483" s="630"/>
    </row>
    <row r="484">
      <c r="A484" s="467"/>
      <c r="B484" s="504"/>
      <c r="C484" s="468"/>
      <c r="D484" s="616"/>
      <c r="E484" s="467"/>
      <c r="F484" s="504"/>
      <c r="G484" s="468"/>
      <c r="H484" s="616"/>
      <c r="I484" s="467"/>
      <c r="J484" s="504"/>
      <c r="K484" s="468"/>
      <c r="L484" s="616"/>
      <c r="M484" s="467"/>
      <c r="N484" s="504"/>
      <c r="O484" s="468"/>
      <c r="P484" s="616"/>
      <c r="Q484" s="635"/>
      <c r="R484" s="636"/>
      <c r="S484" s="637"/>
      <c r="T484" s="629"/>
      <c r="U484" s="635"/>
      <c r="V484" s="636"/>
      <c r="W484" s="637"/>
      <c r="X484" s="629"/>
      <c r="Y484" s="467"/>
      <c r="Z484" s="504"/>
      <c r="AA484" s="468"/>
      <c r="AB484" s="616"/>
      <c r="AC484" s="635"/>
      <c r="AD484" s="636"/>
      <c r="AE484" s="637"/>
      <c r="AF484" s="629"/>
      <c r="AG484" s="635"/>
      <c r="AH484" s="636"/>
      <c r="AI484" s="637"/>
      <c r="AJ484" s="629"/>
      <c r="AK484" s="435"/>
      <c r="AL484" s="435"/>
      <c r="AM484" s="435"/>
      <c r="AN484" s="435"/>
      <c r="AO484" s="467"/>
      <c r="AP484" s="504"/>
      <c r="AQ484" s="468"/>
      <c r="AR484" s="616"/>
      <c r="AS484" s="630"/>
      <c r="AT484" s="630"/>
    </row>
    <row r="485">
      <c r="A485" s="467"/>
      <c r="B485" s="504"/>
      <c r="C485" s="468"/>
      <c r="D485" s="616"/>
      <c r="E485" s="467"/>
      <c r="F485" s="504"/>
      <c r="G485" s="468"/>
      <c r="H485" s="616"/>
      <c r="I485" s="467"/>
      <c r="J485" s="504"/>
      <c r="K485" s="468"/>
      <c r="L485" s="616"/>
      <c r="M485" s="467"/>
      <c r="N485" s="504"/>
      <c r="O485" s="468"/>
      <c r="P485" s="616"/>
      <c r="Q485" s="635"/>
      <c r="R485" s="636"/>
      <c r="S485" s="637"/>
      <c r="T485" s="629"/>
      <c r="U485" s="635"/>
      <c r="V485" s="636"/>
      <c r="W485" s="637"/>
      <c r="X485" s="629"/>
      <c r="Y485" s="467"/>
      <c r="Z485" s="504"/>
      <c r="AA485" s="468"/>
      <c r="AB485" s="616"/>
      <c r="AC485" s="635"/>
      <c r="AD485" s="636"/>
      <c r="AE485" s="637"/>
      <c r="AF485" s="629"/>
      <c r="AG485" s="635"/>
      <c r="AH485" s="636"/>
      <c r="AI485" s="637"/>
      <c r="AJ485" s="629"/>
      <c r="AK485" s="435"/>
      <c r="AL485" s="435"/>
      <c r="AM485" s="435"/>
      <c r="AN485" s="435"/>
      <c r="AO485" s="467"/>
      <c r="AP485" s="504"/>
      <c r="AQ485" s="468"/>
      <c r="AR485" s="616"/>
      <c r="AS485" s="630"/>
      <c r="AT485" s="630"/>
    </row>
    <row r="486">
      <c r="A486" s="467"/>
      <c r="B486" s="504"/>
      <c r="C486" s="468"/>
      <c r="D486" s="616"/>
      <c r="E486" s="467"/>
      <c r="F486" s="504"/>
      <c r="G486" s="468"/>
      <c r="H486" s="616"/>
      <c r="I486" s="467"/>
      <c r="J486" s="504"/>
      <c r="K486" s="468"/>
      <c r="L486" s="616"/>
      <c r="M486" s="467"/>
      <c r="N486" s="504"/>
      <c r="O486" s="468"/>
      <c r="P486" s="616"/>
      <c r="Q486" s="635"/>
      <c r="R486" s="636"/>
      <c r="S486" s="637"/>
      <c r="T486" s="629"/>
      <c r="U486" s="635"/>
      <c r="V486" s="636"/>
      <c r="W486" s="637"/>
      <c r="X486" s="629"/>
      <c r="Y486" s="467"/>
      <c r="Z486" s="504"/>
      <c r="AA486" s="468"/>
      <c r="AB486" s="616"/>
      <c r="AC486" s="635"/>
      <c r="AD486" s="636"/>
      <c r="AE486" s="637"/>
      <c r="AF486" s="629"/>
      <c r="AG486" s="635"/>
      <c r="AH486" s="636"/>
      <c r="AI486" s="637"/>
      <c r="AJ486" s="629"/>
      <c r="AK486" s="435"/>
      <c r="AL486" s="435"/>
      <c r="AM486" s="435"/>
      <c r="AN486" s="435"/>
      <c r="AO486" s="467"/>
      <c r="AP486" s="504"/>
      <c r="AQ486" s="468"/>
      <c r="AR486" s="616"/>
      <c r="AS486" s="630"/>
      <c r="AT486" s="630"/>
    </row>
    <row r="487">
      <c r="A487" s="467"/>
      <c r="B487" s="504"/>
      <c r="C487" s="468"/>
      <c r="D487" s="616"/>
      <c r="E487" s="467"/>
      <c r="F487" s="504"/>
      <c r="G487" s="468"/>
      <c r="H487" s="616"/>
      <c r="I487" s="467"/>
      <c r="J487" s="504"/>
      <c r="K487" s="468"/>
      <c r="L487" s="616"/>
      <c r="M487" s="467"/>
      <c r="N487" s="504"/>
      <c r="O487" s="468"/>
      <c r="P487" s="616"/>
      <c r="Q487" s="635"/>
      <c r="R487" s="636"/>
      <c r="S487" s="637"/>
      <c r="T487" s="629"/>
      <c r="U487" s="635"/>
      <c r="V487" s="636"/>
      <c r="W487" s="637"/>
      <c r="X487" s="629"/>
      <c r="Y487" s="467"/>
      <c r="Z487" s="504"/>
      <c r="AA487" s="468"/>
      <c r="AB487" s="616"/>
      <c r="AC487" s="635"/>
      <c r="AD487" s="636"/>
      <c r="AE487" s="637"/>
      <c r="AF487" s="629"/>
      <c r="AG487" s="635"/>
      <c r="AH487" s="636"/>
      <c r="AI487" s="637"/>
      <c r="AJ487" s="629"/>
      <c r="AK487" s="435"/>
      <c r="AL487" s="435"/>
      <c r="AM487" s="435"/>
      <c r="AN487" s="435"/>
      <c r="AO487" s="467"/>
      <c r="AP487" s="504"/>
      <c r="AQ487" s="468"/>
      <c r="AR487" s="616"/>
      <c r="AS487" s="630"/>
      <c r="AT487" s="630"/>
    </row>
    <row r="488">
      <c r="A488" s="467"/>
      <c r="B488" s="504"/>
      <c r="C488" s="468"/>
      <c r="D488" s="616"/>
      <c r="E488" s="467"/>
      <c r="F488" s="504"/>
      <c r="G488" s="468"/>
      <c r="H488" s="616"/>
      <c r="I488" s="467"/>
      <c r="J488" s="504"/>
      <c r="K488" s="468"/>
      <c r="L488" s="616"/>
      <c r="M488" s="467"/>
      <c r="N488" s="504"/>
      <c r="O488" s="468"/>
      <c r="P488" s="616"/>
      <c r="Q488" s="635"/>
      <c r="R488" s="636"/>
      <c r="S488" s="637"/>
      <c r="T488" s="629"/>
      <c r="U488" s="635"/>
      <c r="V488" s="636"/>
      <c r="W488" s="637"/>
      <c r="X488" s="629"/>
      <c r="Y488" s="467"/>
      <c r="Z488" s="504"/>
      <c r="AA488" s="468"/>
      <c r="AB488" s="616"/>
      <c r="AC488" s="635"/>
      <c r="AD488" s="636"/>
      <c r="AE488" s="637"/>
      <c r="AF488" s="629"/>
      <c r="AG488" s="635"/>
      <c r="AH488" s="636"/>
      <c r="AI488" s="637"/>
      <c r="AJ488" s="629"/>
      <c r="AK488" s="435"/>
      <c r="AL488" s="435"/>
      <c r="AM488" s="435"/>
      <c r="AN488" s="435"/>
      <c r="AO488" s="467"/>
      <c r="AP488" s="504"/>
      <c r="AQ488" s="468"/>
      <c r="AR488" s="616"/>
      <c r="AS488" s="630"/>
      <c r="AT488" s="630"/>
    </row>
    <row r="489">
      <c r="A489" s="467"/>
      <c r="B489" s="504"/>
      <c r="C489" s="468"/>
      <c r="D489" s="616"/>
      <c r="E489" s="467"/>
      <c r="F489" s="504"/>
      <c r="G489" s="468"/>
      <c r="H489" s="616"/>
      <c r="I489" s="467"/>
      <c r="J489" s="504"/>
      <c r="K489" s="468"/>
      <c r="L489" s="616"/>
      <c r="M489" s="467"/>
      <c r="N489" s="504"/>
      <c r="O489" s="468"/>
      <c r="P489" s="616"/>
      <c r="Q489" s="635"/>
      <c r="R489" s="636"/>
      <c r="S489" s="637"/>
      <c r="T489" s="629"/>
      <c r="U489" s="635"/>
      <c r="V489" s="636"/>
      <c r="W489" s="637"/>
      <c r="X489" s="629"/>
      <c r="Y489" s="467"/>
      <c r="Z489" s="504"/>
      <c r="AA489" s="468"/>
      <c r="AB489" s="616"/>
      <c r="AC489" s="635"/>
      <c r="AD489" s="636"/>
      <c r="AE489" s="637"/>
      <c r="AF489" s="629"/>
      <c r="AG489" s="635"/>
      <c r="AH489" s="636"/>
      <c r="AI489" s="637"/>
      <c r="AJ489" s="629"/>
      <c r="AK489" s="435"/>
      <c r="AL489" s="435"/>
      <c r="AM489" s="435"/>
      <c r="AN489" s="435"/>
      <c r="AO489" s="467"/>
      <c r="AP489" s="504"/>
      <c r="AQ489" s="468"/>
      <c r="AR489" s="616"/>
      <c r="AS489" s="630"/>
      <c r="AT489" s="630"/>
    </row>
    <row r="490">
      <c r="A490" s="467"/>
      <c r="B490" s="504"/>
      <c r="C490" s="468"/>
      <c r="D490" s="616"/>
      <c r="E490" s="467"/>
      <c r="F490" s="504"/>
      <c r="G490" s="468"/>
      <c r="H490" s="616"/>
      <c r="I490" s="467"/>
      <c r="J490" s="504"/>
      <c r="K490" s="468"/>
      <c r="L490" s="616"/>
      <c r="M490" s="467"/>
      <c r="N490" s="504"/>
      <c r="O490" s="468"/>
      <c r="P490" s="616"/>
      <c r="Q490" s="635"/>
      <c r="R490" s="636"/>
      <c r="S490" s="637"/>
      <c r="T490" s="629"/>
      <c r="U490" s="635"/>
      <c r="V490" s="636"/>
      <c r="W490" s="637"/>
      <c r="X490" s="629"/>
      <c r="Y490" s="467"/>
      <c r="Z490" s="504"/>
      <c r="AA490" s="468"/>
      <c r="AB490" s="616"/>
      <c r="AC490" s="635"/>
      <c r="AD490" s="636"/>
      <c r="AE490" s="637"/>
      <c r="AF490" s="629"/>
      <c r="AG490" s="635"/>
      <c r="AH490" s="636"/>
      <c r="AI490" s="637"/>
      <c r="AJ490" s="629"/>
      <c r="AK490" s="435"/>
      <c r="AL490" s="435"/>
      <c r="AM490" s="435"/>
      <c r="AN490" s="435"/>
      <c r="AO490" s="467"/>
      <c r="AP490" s="504"/>
      <c r="AQ490" s="468"/>
      <c r="AR490" s="616"/>
      <c r="AS490" s="630"/>
      <c r="AT490" s="630"/>
    </row>
    <row r="491">
      <c r="A491" s="467"/>
      <c r="B491" s="504"/>
      <c r="C491" s="468"/>
      <c r="D491" s="616"/>
      <c r="E491" s="467"/>
      <c r="F491" s="504"/>
      <c r="G491" s="468"/>
      <c r="H491" s="616"/>
      <c r="I491" s="467"/>
      <c r="J491" s="504"/>
      <c r="K491" s="468"/>
      <c r="L491" s="616"/>
      <c r="M491" s="467"/>
      <c r="N491" s="504"/>
      <c r="O491" s="468"/>
      <c r="P491" s="616"/>
      <c r="Q491" s="635"/>
      <c r="R491" s="636"/>
      <c r="S491" s="637"/>
      <c r="T491" s="629"/>
      <c r="U491" s="635"/>
      <c r="V491" s="636"/>
      <c r="W491" s="637"/>
      <c r="X491" s="629"/>
      <c r="Y491" s="467"/>
      <c r="Z491" s="504"/>
      <c r="AA491" s="468"/>
      <c r="AB491" s="616"/>
      <c r="AC491" s="635"/>
      <c r="AD491" s="636"/>
      <c r="AE491" s="637"/>
      <c r="AF491" s="629"/>
      <c r="AG491" s="635"/>
      <c r="AH491" s="636"/>
      <c r="AI491" s="637"/>
      <c r="AJ491" s="629"/>
      <c r="AK491" s="435"/>
      <c r="AL491" s="435"/>
      <c r="AM491" s="435"/>
      <c r="AN491" s="435"/>
      <c r="AO491" s="467"/>
      <c r="AP491" s="504"/>
      <c r="AQ491" s="468"/>
      <c r="AR491" s="616"/>
      <c r="AS491" s="630"/>
      <c r="AT491" s="630"/>
    </row>
    <row r="492">
      <c r="A492" s="467"/>
      <c r="B492" s="504"/>
      <c r="C492" s="468"/>
      <c r="D492" s="616"/>
      <c r="E492" s="467"/>
      <c r="F492" s="504"/>
      <c r="G492" s="468"/>
      <c r="H492" s="616"/>
      <c r="I492" s="467"/>
      <c r="J492" s="504"/>
      <c r="K492" s="468"/>
      <c r="L492" s="616"/>
      <c r="M492" s="467"/>
      <c r="N492" s="504"/>
      <c r="O492" s="468"/>
      <c r="P492" s="616"/>
      <c r="Q492" s="635"/>
      <c r="R492" s="636"/>
      <c r="S492" s="637"/>
      <c r="T492" s="629"/>
      <c r="U492" s="635"/>
      <c r="V492" s="636"/>
      <c r="W492" s="637"/>
      <c r="X492" s="629"/>
      <c r="Y492" s="467"/>
      <c r="Z492" s="504"/>
      <c r="AA492" s="468"/>
      <c r="AB492" s="616"/>
      <c r="AC492" s="635"/>
      <c r="AD492" s="636"/>
      <c r="AE492" s="637"/>
      <c r="AF492" s="629"/>
      <c r="AG492" s="635"/>
      <c r="AH492" s="636"/>
      <c r="AI492" s="637"/>
      <c r="AJ492" s="629"/>
      <c r="AK492" s="435"/>
      <c r="AL492" s="435"/>
      <c r="AM492" s="435"/>
      <c r="AN492" s="435"/>
      <c r="AO492" s="467"/>
      <c r="AP492" s="504"/>
      <c r="AQ492" s="468"/>
      <c r="AR492" s="616"/>
      <c r="AS492" s="630"/>
      <c r="AT492" s="630"/>
    </row>
    <row r="493">
      <c r="A493" s="467"/>
      <c r="B493" s="504"/>
      <c r="C493" s="468"/>
      <c r="D493" s="616"/>
      <c r="E493" s="467"/>
      <c r="F493" s="504"/>
      <c r="G493" s="468"/>
      <c r="H493" s="616"/>
      <c r="I493" s="467"/>
      <c r="J493" s="504"/>
      <c r="K493" s="468"/>
      <c r="L493" s="616"/>
      <c r="M493" s="467"/>
      <c r="N493" s="504"/>
      <c r="O493" s="468"/>
      <c r="P493" s="616"/>
      <c r="Q493" s="635"/>
      <c r="R493" s="636"/>
      <c r="S493" s="637"/>
      <c r="T493" s="629"/>
      <c r="U493" s="635"/>
      <c r="V493" s="636"/>
      <c r="W493" s="637"/>
      <c r="X493" s="629"/>
      <c r="Y493" s="467"/>
      <c r="Z493" s="504"/>
      <c r="AA493" s="468"/>
      <c r="AB493" s="616"/>
      <c r="AC493" s="635"/>
      <c r="AD493" s="636"/>
      <c r="AE493" s="637"/>
      <c r="AF493" s="629"/>
      <c r="AG493" s="635"/>
      <c r="AH493" s="636"/>
      <c r="AI493" s="637"/>
      <c r="AJ493" s="629"/>
      <c r="AK493" s="435"/>
      <c r="AL493" s="435"/>
      <c r="AM493" s="435"/>
      <c r="AN493" s="435"/>
      <c r="AO493" s="467"/>
      <c r="AP493" s="504"/>
      <c r="AQ493" s="468"/>
      <c r="AR493" s="616"/>
      <c r="AS493" s="630"/>
      <c r="AT493" s="630"/>
    </row>
    <row r="494">
      <c r="A494" s="467"/>
      <c r="B494" s="504"/>
      <c r="C494" s="468"/>
      <c r="D494" s="616"/>
      <c r="E494" s="467"/>
      <c r="F494" s="504"/>
      <c r="G494" s="468"/>
      <c r="H494" s="616"/>
      <c r="I494" s="467"/>
      <c r="J494" s="504"/>
      <c r="K494" s="468"/>
      <c r="L494" s="616"/>
      <c r="M494" s="467"/>
      <c r="N494" s="504"/>
      <c r="O494" s="468"/>
      <c r="P494" s="616"/>
      <c r="Q494" s="635"/>
      <c r="R494" s="636"/>
      <c r="S494" s="637"/>
      <c r="T494" s="629"/>
      <c r="U494" s="635"/>
      <c r="V494" s="636"/>
      <c r="W494" s="637"/>
      <c r="X494" s="629"/>
      <c r="Y494" s="467"/>
      <c r="Z494" s="504"/>
      <c r="AA494" s="468"/>
      <c r="AB494" s="616"/>
      <c r="AC494" s="635"/>
      <c r="AD494" s="636"/>
      <c r="AE494" s="637"/>
      <c r="AF494" s="629"/>
      <c r="AG494" s="635"/>
      <c r="AH494" s="636"/>
      <c r="AI494" s="637"/>
      <c r="AJ494" s="629"/>
      <c r="AK494" s="435"/>
      <c r="AL494" s="435"/>
      <c r="AM494" s="435"/>
      <c r="AN494" s="435"/>
      <c r="AO494" s="467"/>
      <c r="AP494" s="504"/>
      <c r="AQ494" s="468"/>
      <c r="AR494" s="616"/>
      <c r="AS494" s="630"/>
      <c r="AT494" s="630"/>
    </row>
    <row r="495">
      <c r="A495" s="467"/>
      <c r="B495" s="504"/>
      <c r="C495" s="468"/>
      <c r="D495" s="616"/>
      <c r="E495" s="467"/>
      <c r="F495" s="504"/>
      <c r="G495" s="468"/>
      <c r="H495" s="616"/>
      <c r="I495" s="467"/>
      <c r="J495" s="504"/>
      <c r="K495" s="468"/>
      <c r="L495" s="616"/>
      <c r="M495" s="467"/>
      <c r="N495" s="504"/>
      <c r="O495" s="468"/>
      <c r="P495" s="616"/>
      <c r="Q495" s="635"/>
      <c r="R495" s="636"/>
      <c r="S495" s="637"/>
      <c r="T495" s="629"/>
      <c r="U495" s="635"/>
      <c r="V495" s="636"/>
      <c r="W495" s="637"/>
      <c r="X495" s="629"/>
      <c r="Y495" s="467"/>
      <c r="Z495" s="504"/>
      <c r="AA495" s="468"/>
      <c r="AB495" s="616"/>
      <c r="AC495" s="635"/>
      <c r="AD495" s="636"/>
      <c r="AE495" s="637"/>
      <c r="AF495" s="629"/>
      <c r="AG495" s="635"/>
      <c r="AH495" s="636"/>
      <c r="AI495" s="637"/>
      <c r="AJ495" s="629"/>
      <c r="AK495" s="435"/>
      <c r="AL495" s="435"/>
      <c r="AM495" s="435"/>
      <c r="AN495" s="435"/>
      <c r="AO495" s="467"/>
      <c r="AP495" s="504"/>
      <c r="AQ495" s="468"/>
      <c r="AR495" s="616"/>
      <c r="AS495" s="630"/>
      <c r="AT495" s="630"/>
    </row>
    <row r="496">
      <c r="A496" s="467"/>
      <c r="B496" s="504"/>
      <c r="C496" s="468"/>
      <c r="D496" s="616"/>
      <c r="E496" s="467"/>
      <c r="F496" s="504"/>
      <c r="G496" s="468"/>
      <c r="H496" s="616"/>
      <c r="I496" s="467"/>
      <c r="J496" s="504"/>
      <c r="K496" s="468"/>
      <c r="L496" s="616"/>
      <c r="M496" s="467"/>
      <c r="N496" s="504"/>
      <c r="O496" s="468"/>
      <c r="P496" s="616"/>
      <c r="Q496" s="635"/>
      <c r="R496" s="636"/>
      <c r="S496" s="637"/>
      <c r="T496" s="629"/>
      <c r="U496" s="635"/>
      <c r="V496" s="636"/>
      <c r="W496" s="637"/>
      <c r="X496" s="629"/>
      <c r="Y496" s="467"/>
      <c r="Z496" s="504"/>
      <c r="AA496" s="468"/>
      <c r="AB496" s="616"/>
      <c r="AC496" s="635"/>
      <c r="AD496" s="636"/>
      <c r="AE496" s="637"/>
      <c r="AF496" s="629"/>
      <c r="AG496" s="635"/>
      <c r="AH496" s="636"/>
      <c r="AI496" s="637"/>
      <c r="AJ496" s="629"/>
      <c r="AK496" s="435"/>
      <c r="AL496" s="435"/>
      <c r="AM496" s="435"/>
      <c r="AN496" s="435"/>
      <c r="AO496" s="467"/>
      <c r="AP496" s="504"/>
      <c r="AQ496" s="468"/>
      <c r="AR496" s="616"/>
      <c r="AS496" s="630"/>
      <c r="AT496" s="630"/>
    </row>
    <row r="497">
      <c r="A497" s="467"/>
      <c r="B497" s="504"/>
      <c r="C497" s="468"/>
      <c r="D497" s="616"/>
      <c r="E497" s="467"/>
      <c r="F497" s="504"/>
      <c r="G497" s="468"/>
      <c r="H497" s="616"/>
      <c r="I497" s="467"/>
      <c r="J497" s="504"/>
      <c r="K497" s="468"/>
      <c r="L497" s="616"/>
      <c r="M497" s="467"/>
      <c r="N497" s="504"/>
      <c r="O497" s="468"/>
      <c r="P497" s="616"/>
      <c r="Q497" s="635"/>
      <c r="R497" s="636"/>
      <c r="S497" s="637"/>
      <c r="T497" s="629"/>
      <c r="U497" s="635"/>
      <c r="V497" s="636"/>
      <c r="W497" s="637"/>
      <c r="X497" s="629"/>
      <c r="Y497" s="467"/>
      <c r="Z497" s="504"/>
      <c r="AA497" s="468"/>
      <c r="AB497" s="616"/>
      <c r="AC497" s="635"/>
      <c r="AD497" s="636"/>
      <c r="AE497" s="637"/>
      <c r="AF497" s="629"/>
      <c r="AG497" s="635"/>
      <c r="AH497" s="636"/>
      <c r="AI497" s="637"/>
      <c r="AJ497" s="629"/>
      <c r="AK497" s="435"/>
      <c r="AL497" s="435"/>
      <c r="AM497" s="435"/>
      <c r="AN497" s="435"/>
      <c r="AO497" s="467"/>
      <c r="AP497" s="504"/>
      <c r="AQ497" s="468"/>
      <c r="AR497" s="616"/>
      <c r="AS497" s="630"/>
      <c r="AT497" s="630"/>
    </row>
    <row r="498">
      <c r="A498" s="467"/>
      <c r="B498" s="504"/>
      <c r="C498" s="468"/>
      <c r="D498" s="616"/>
      <c r="E498" s="467"/>
      <c r="F498" s="504"/>
      <c r="G498" s="468"/>
      <c r="H498" s="616"/>
      <c r="I498" s="467"/>
      <c r="J498" s="504"/>
      <c r="K498" s="468"/>
      <c r="L498" s="616"/>
      <c r="M498" s="467"/>
      <c r="N498" s="504"/>
      <c r="O498" s="468"/>
      <c r="P498" s="616"/>
      <c r="Q498" s="635"/>
      <c r="R498" s="636"/>
      <c r="S498" s="637"/>
      <c r="T498" s="629"/>
      <c r="U498" s="635"/>
      <c r="V498" s="636"/>
      <c r="W498" s="637"/>
      <c r="X498" s="629"/>
      <c r="Y498" s="467"/>
      <c r="Z498" s="504"/>
      <c r="AA498" s="468"/>
      <c r="AB498" s="616"/>
      <c r="AC498" s="635"/>
      <c r="AD498" s="636"/>
      <c r="AE498" s="637"/>
      <c r="AF498" s="629"/>
      <c r="AG498" s="635"/>
      <c r="AH498" s="636"/>
      <c r="AI498" s="637"/>
      <c r="AJ498" s="629"/>
      <c r="AK498" s="435"/>
      <c r="AL498" s="435"/>
      <c r="AM498" s="435"/>
      <c r="AN498" s="435"/>
      <c r="AO498" s="467"/>
      <c r="AP498" s="504"/>
      <c r="AQ498" s="468"/>
      <c r="AR498" s="616"/>
      <c r="AS498" s="630"/>
      <c r="AT498" s="630"/>
    </row>
    <row r="499">
      <c r="A499" s="467"/>
      <c r="B499" s="504"/>
      <c r="C499" s="468"/>
      <c r="D499" s="616"/>
      <c r="E499" s="467"/>
      <c r="F499" s="504"/>
      <c r="G499" s="468"/>
      <c r="H499" s="616"/>
      <c r="I499" s="467"/>
      <c r="J499" s="504"/>
      <c r="K499" s="468"/>
      <c r="L499" s="616"/>
      <c r="M499" s="467"/>
      <c r="N499" s="504"/>
      <c r="O499" s="468"/>
      <c r="P499" s="616"/>
      <c r="Q499" s="635"/>
      <c r="R499" s="636"/>
      <c r="S499" s="637"/>
      <c r="T499" s="629"/>
      <c r="U499" s="635"/>
      <c r="V499" s="636"/>
      <c r="W499" s="637"/>
      <c r="X499" s="629"/>
      <c r="Y499" s="467"/>
      <c r="Z499" s="504"/>
      <c r="AA499" s="468"/>
      <c r="AB499" s="616"/>
      <c r="AC499" s="635"/>
      <c r="AD499" s="636"/>
      <c r="AE499" s="637"/>
      <c r="AF499" s="629"/>
      <c r="AG499" s="635"/>
      <c r="AH499" s="636"/>
      <c r="AI499" s="637"/>
      <c r="AJ499" s="629"/>
      <c r="AK499" s="435"/>
      <c r="AL499" s="435"/>
      <c r="AM499" s="435"/>
      <c r="AN499" s="435"/>
      <c r="AO499" s="467"/>
      <c r="AP499" s="504"/>
      <c r="AQ499" s="468"/>
      <c r="AR499" s="616"/>
      <c r="AS499" s="630"/>
      <c r="AT499" s="630"/>
    </row>
    <row r="500">
      <c r="A500" s="467"/>
      <c r="B500" s="504"/>
      <c r="C500" s="468"/>
      <c r="D500" s="616"/>
      <c r="E500" s="467"/>
      <c r="F500" s="504"/>
      <c r="G500" s="468"/>
      <c r="H500" s="616"/>
      <c r="I500" s="467"/>
      <c r="J500" s="504"/>
      <c r="K500" s="468"/>
      <c r="L500" s="616"/>
      <c r="M500" s="467"/>
      <c r="N500" s="504"/>
      <c r="O500" s="468"/>
      <c r="P500" s="616"/>
      <c r="Q500" s="635"/>
      <c r="R500" s="636"/>
      <c r="S500" s="637"/>
      <c r="T500" s="629"/>
      <c r="U500" s="635"/>
      <c r="V500" s="636"/>
      <c r="W500" s="637"/>
      <c r="X500" s="629"/>
      <c r="Y500" s="467"/>
      <c r="Z500" s="504"/>
      <c r="AA500" s="468"/>
      <c r="AB500" s="616"/>
      <c r="AC500" s="635"/>
      <c r="AD500" s="636"/>
      <c r="AE500" s="637"/>
      <c r="AF500" s="629"/>
      <c r="AG500" s="635"/>
      <c r="AH500" s="636"/>
      <c r="AI500" s="637"/>
      <c r="AJ500" s="629"/>
      <c r="AK500" s="435"/>
      <c r="AL500" s="435"/>
      <c r="AM500" s="435"/>
      <c r="AN500" s="435"/>
      <c r="AO500" s="467"/>
      <c r="AP500" s="504"/>
      <c r="AQ500" s="468"/>
      <c r="AR500" s="616"/>
      <c r="AS500" s="630"/>
      <c r="AT500" s="630"/>
    </row>
    <row r="501">
      <c r="A501" s="467"/>
      <c r="B501" s="504"/>
      <c r="C501" s="468"/>
      <c r="D501" s="616"/>
      <c r="E501" s="467"/>
      <c r="F501" s="504"/>
      <c r="G501" s="468"/>
      <c r="H501" s="616"/>
      <c r="I501" s="467"/>
      <c r="J501" s="504"/>
      <c r="K501" s="468"/>
      <c r="L501" s="616"/>
      <c r="M501" s="467"/>
      <c r="N501" s="504"/>
      <c r="O501" s="468"/>
      <c r="P501" s="616"/>
      <c r="Q501" s="635"/>
      <c r="R501" s="636"/>
      <c r="S501" s="637"/>
      <c r="T501" s="629"/>
      <c r="U501" s="635"/>
      <c r="V501" s="636"/>
      <c r="W501" s="637"/>
      <c r="X501" s="629"/>
      <c r="Y501" s="467"/>
      <c r="Z501" s="504"/>
      <c r="AA501" s="468"/>
      <c r="AB501" s="616"/>
      <c r="AC501" s="635"/>
      <c r="AD501" s="636"/>
      <c r="AE501" s="637"/>
      <c r="AF501" s="629"/>
      <c r="AG501" s="635"/>
      <c r="AH501" s="636"/>
      <c r="AI501" s="637"/>
      <c r="AJ501" s="629"/>
      <c r="AK501" s="435"/>
      <c r="AL501" s="435"/>
      <c r="AM501" s="435"/>
      <c r="AN501" s="435"/>
      <c r="AO501" s="467"/>
      <c r="AP501" s="504"/>
      <c r="AQ501" s="468"/>
      <c r="AR501" s="616"/>
      <c r="AS501" s="630"/>
      <c r="AT501" s="630"/>
    </row>
    <row r="502">
      <c r="A502" s="467"/>
      <c r="B502" s="504"/>
      <c r="C502" s="468"/>
      <c r="D502" s="616"/>
      <c r="E502" s="467"/>
      <c r="F502" s="504"/>
      <c r="G502" s="468"/>
      <c r="H502" s="616"/>
      <c r="I502" s="467"/>
      <c r="J502" s="504"/>
      <c r="K502" s="468"/>
      <c r="L502" s="616"/>
      <c r="M502" s="467"/>
      <c r="N502" s="504"/>
      <c r="O502" s="468"/>
      <c r="P502" s="616"/>
      <c r="Q502" s="635"/>
      <c r="R502" s="636"/>
      <c r="S502" s="637"/>
      <c r="T502" s="629"/>
      <c r="U502" s="635"/>
      <c r="V502" s="636"/>
      <c r="W502" s="637"/>
      <c r="X502" s="629"/>
      <c r="Y502" s="467"/>
      <c r="Z502" s="504"/>
      <c r="AA502" s="468"/>
      <c r="AB502" s="616"/>
      <c r="AC502" s="635"/>
      <c r="AD502" s="636"/>
      <c r="AE502" s="637"/>
      <c r="AF502" s="629"/>
      <c r="AG502" s="635"/>
      <c r="AH502" s="636"/>
      <c r="AI502" s="637"/>
      <c r="AJ502" s="629"/>
      <c r="AK502" s="435"/>
      <c r="AL502" s="435"/>
      <c r="AM502" s="435"/>
      <c r="AN502" s="435"/>
      <c r="AO502" s="467"/>
      <c r="AP502" s="504"/>
      <c r="AQ502" s="468"/>
      <c r="AR502" s="616"/>
      <c r="AS502" s="630"/>
      <c r="AT502" s="630"/>
    </row>
    <row r="503">
      <c r="A503" s="467"/>
      <c r="B503" s="504"/>
      <c r="C503" s="468"/>
      <c r="D503" s="616"/>
      <c r="E503" s="467"/>
      <c r="F503" s="504"/>
      <c r="G503" s="468"/>
      <c r="H503" s="616"/>
      <c r="I503" s="467"/>
      <c r="J503" s="504"/>
      <c r="K503" s="468"/>
      <c r="L503" s="616"/>
      <c r="M503" s="467"/>
      <c r="N503" s="504"/>
      <c r="O503" s="468"/>
      <c r="P503" s="616"/>
      <c r="Q503" s="635"/>
      <c r="R503" s="636"/>
      <c r="S503" s="637"/>
      <c r="T503" s="629"/>
      <c r="U503" s="635"/>
      <c r="V503" s="636"/>
      <c r="W503" s="637"/>
      <c r="X503" s="629"/>
      <c r="Y503" s="467"/>
      <c r="Z503" s="504"/>
      <c r="AA503" s="468"/>
      <c r="AB503" s="616"/>
      <c r="AC503" s="635"/>
      <c r="AD503" s="636"/>
      <c r="AE503" s="637"/>
      <c r="AF503" s="629"/>
      <c r="AG503" s="635"/>
      <c r="AH503" s="636"/>
      <c r="AI503" s="637"/>
      <c r="AJ503" s="629"/>
      <c r="AK503" s="435"/>
      <c r="AL503" s="435"/>
      <c r="AM503" s="435"/>
      <c r="AN503" s="435"/>
      <c r="AO503" s="467"/>
      <c r="AP503" s="504"/>
      <c r="AQ503" s="468"/>
      <c r="AR503" s="616"/>
      <c r="AS503" s="630"/>
      <c r="AT503" s="630"/>
    </row>
    <row r="504">
      <c r="A504" s="467"/>
      <c r="B504" s="504"/>
      <c r="C504" s="468"/>
      <c r="D504" s="616"/>
      <c r="E504" s="467"/>
      <c r="F504" s="504"/>
      <c r="G504" s="468"/>
      <c r="H504" s="616"/>
      <c r="I504" s="467"/>
      <c r="J504" s="504"/>
      <c r="K504" s="468"/>
      <c r="L504" s="616"/>
      <c r="M504" s="467"/>
      <c r="N504" s="504"/>
      <c r="O504" s="468"/>
      <c r="P504" s="616"/>
      <c r="Q504" s="635"/>
      <c r="R504" s="636"/>
      <c r="S504" s="637"/>
      <c r="T504" s="629"/>
      <c r="U504" s="635"/>
      <c r="V504" s="636"/>
      <c r="W504" s="637"/>
      <c r="X504" s="629"/>
      <c r="Y504" s="467"/>
      <c r="Z504" s="504"/>
      <c r="AA504" s="468"/>
      <c r="AB504" s="616"/>
      <c r="AC504" s="635"/>
      <c r="AD504" s="636"/>
      <c r="AE504" s="637"/>
      <c r="AF504" s="629"/>
      <c r="AG504" s="635"/>
      <c r="AH504" s="636"/>
      <c r="AI504" s="637"/>
      <c r="AJ504" s="629"/>
      <c r="AK504" s="435"/>
      <c r="AL504" s="435"/>
      <c r="AM504" s="435"/>
      <c r="AN504" s="435"/>
      <c r="AO504" s="467"/>
      <c r="AP504" s="504"/>
      <c r="AQ504" s="468"/>
      <c r="AR504" s="616"/>
      <c r="AS504" s="630"/>
      <c r="AT504" s="630"/>
    </row>
    <row r="505">
      <c r="A505" s="467"/>
      <c r="B505" s="504"/>
      <c r="C505" s="468"/>
      <c r="D505" s="616"/>
      <c r="E505" s="467"/>
      <c r="F505" s="504"/>
      <c r="G505" s="468"/>
      <c r="H505" s="616"/>
      <c r="I505" s="467"/>
      <c r="J505" s="504"/>
      <c r="K505" s="468"/>
      <c r="L505" s="616"/>
      <c r="M505" s="467"/>
      <c r="N505" s="504"/>
      <c r="O505" s="468"/>
      <c r="P505" s="616"/>
      <c r="Q505" s="635"/>
      <c r="R505" s="636"/>
      <c r="S505" s="637"/>
      <c r="T505" s="629"/>
      <c r="U505" s="635"/>
      <c r="V505" s="636"/>
      <c r="W505" s="637"/>
      <c r="X505" s="629"/>
      <c r="Y505" s="467"/>
      <c r="Z505" s="504"/>
      <c r="AA505" s="468"/>
      <c r="AB505" s="616"/>
      <c r="AC505" s="635"/>
      <c r="AD505" s="636"/>
      <c r="AE505" s="637"/>
      <c r="AF505" s="629"/>
      <c r="AG505" s="635"/>
      <c r="AH505" s="636"/>
      <c r="AI505" s="637"/>
      <c r="AJ505" s="629"/>
      <c r="AK505" s="435"/>
      <c r="AL505" s="435"/>
      <c r="AM505" s="435"/>
      <c r="AN505" s="435"/>
      <c r="AO505" s="467"/>
      <c r="AP505" s="504"/>
      <c r="AQ505" s="468"/>
      <c r="AR505" s="616"/>
      <c r="AS505" s="630"/>
      <c r="AT505" s="630"/>
    </row>
    <row r="506">
      <c r="A506" s="467"/>
      <c r="B506" s="504"/>
      <c r="C506" s="468"/>
      <c r="D506" s="616"/>
      <c r="E506" s="467"/>
      <c r="F506" s="504"/>
      <c r="G506" s="468"/>
      <c r="H506" s="616"/>
      <c r="I506" s="467"/>
      <c r="J506" s="504"/>
      <c r="K506" s="468"/>
      <c r="L506" s="616"/>
      <c r="M506" s="467"/>
      <c r="N506" s="504"/>
      <c r="O506" s="468"/>
      <c r="P506" s="616"/>
      <c r="Q506" s="635"/>
      <c r="R506" s="636"/>
      <c r="S506" s="637"/>
      <c r="T506" s="629"/>
      <c r="U506" s="635"/>
      <c r="V506" s="636"/>
      <c r="W506" s="637"/>
      <c r="X506" s="629"/>
      <c r="Y506" s="467"/>
      <c r="Z506" s="504"/>
      <c r="AA506" s="468"/>
      <c r="AB506" s="616"/>
      <c r="AC506" s="635"/>
      <c r="AD506" s="636"/>
      <c r="AE506" s="637"/>
      <c r="AF506" s="629"/>
      <c r="AG506" s="635"/>
      <c r="AH506" s="636"/>
      <c r="AI506" s="637"/>
      <c r="AJ506" s="629"/>
      <c r="AK506" s="435"/>
      <c r="AL506" s="435"/>
      <c r="AM506" s="435"/>
      <c r="AN506" s="435"/>
      <c r="AO506" s="467"/>
      <c r="AP506" s="504"/>
      <c r="AQ506" s="468"/>
      <c r="AR506" s="616"/>
      <c r="AS506" s="630"/>
      <c r="AT506" s="630"/>
    </row>
    <row r="507">
      <c r="A507" s="467"/>
      <c r="B507" s="504"/>
      <c r="C507" s="468"/>
      <c r="D507" s="616"/>
      <c r="E507" s="467"/>
      <c r="F507" s="504"/>
      <c r="G507" s="468"/>
      <c r="H507" s="616"/>
      <c r="I507" s="467"/>
      <c r="J507" s="504"/>
      <c r="K507" s="468"/>
      <c r="L507" s="616"/>
      <c r="M507" s="467"/>
      <c r="N507" s="504"/>
      <c r="O507" s="468"/>
      <c r="P507" s="616"/>
      <c r="Q507" s="635"/>
      <c r="R507" s="636"/>
      <c r="S507" s="637"/>
      <c r="T507" s="629"/>
      <c r="U507" s="635"/>
      <c r="V507" s="636"/>
      <c r="W507" s="637"/>
      <c r="X507" s="629"/>
      <c r="Y507" s="467"/>
      <c r="Z507" s="504"/>
      <c r="AA507" s="468"/>
      <c r="AB507" s="616"/>
      <c r="AC507" s="635"/>
      <c r="AD507" s="636"/>
      <c r="AE507" s="637"/>
      <c r="AF507" s="629"/>
      <c r="AG507" s="635"/>
      <c r="AH507" s="636"/>
      <c r="AI507" s="637"/>
      <c r="AJ507" s="629"/>
      <c r="AK507" s="435"/>
      <c r="AL507" s="435"/>
      <c r="AM507" s="435"/>
      <c r="AN507" s="435"/>
      <c r="AO507" s="467"/>
      <c r="AP507" s="504"/>
      <c r="AQ507" s="468"/>
      <c r="AR507" s="616"/>
      <c r="AS507" s="630"/>
      <c r="AT507" s="630"/>
    </row>
    <row r="508">
      <c r="A508" s="467"/>
      <c r="B508" s="504"/>
      <c r="C508" s="468"/>
      <c r="D508" s="616"/>
      <c r="E508" s="467"/>
      <c r="F508" s="504"/>
      <c r="G508" s="468"/>
      <c r="H508" s="616"/>
      <c r="I508" s="467"/>
      <c r="J508" s="504"/>
      <c r="K508" s="468"/>
      <c r="L508" s="616"/>
      <c r="M508" s="467"/>
      <c r="N508" s="504"/>
      <c r="O508" s="468"/>
      <c r="P508" s="616"/>
      <c r="Q508" s="635"/>
      <c r="R508" s="636"/>
      <c r="S508" s="637"/>
      <c r="T508" s="629"/>
      <c r="U508" s="635"/>
      <c r="V508" s="636"/>
      <c r="W508" s="637"/>
      <c r="X508" s="629"/>
      <c r="Y508" s="467"/>
      <c r="Z508" s="504"/>
      <c r="AA508" s="468"/>
      <c r="AB508" s="616"/>
      <c r="AC508" s="635"/>
      <c r="AD508" s="636"/>
      <c r="AE508" s="637"/>
      <c r="AF508" s="629"/>
      <c r="AG508" s="635"/>
      <c r="AH508" s="636"/>
      <c r="AI508" s="637"/>
      <c r="AJ508" s="629"/>
      <c r="AK508" s="435"/>
      <c r="AL508" s="435"/>
      <c r="AM508" s="435"/>
      <c r="AN508" s="435"/>
      <c r="AO508" s="467"/>
      <c r="AP508" s="504"/>
      <c r="AQ508" s="468"/>
      <c r="AR508" s="616"/>
      <c r="AS508" s="630"/>
      <c r="AT508" s="630"/>
    </row>
    <row r="509">
      <c r="A509" s="467"/>
      <c r="B509" s="504"/>
      <c r="C509" s="468"/>
      <c r="D509" s="616"/>
      <c r="E509" s="467"/>
      <c r="F509" s="504"/>
      <c r="G509" s="468"/>
      <c r="H509" s="616"/>
      <c r="I509" s="467"/>
      <c r="J509" s="504"/>
      <c r="K509" s="468"/>
      <c r="L509" s="616"/>
      <c r="M509" s="467"/>
      <c r="N509" s="504"/>
      <c r="O509" s="468"/>
      <c r="P509" s="616"/>
      <c r="Q509" s="635"/>
      <c r="R509" s="636"/>
      <c r="S509" s="637"/>
      <c r="T509" s="629"/>
      <c r="U509" s="635"/>
      <c r="V509" s="636"/>
      <c r="W509" s="637"/>
      <c r="X509" s="629"/>
      <c r="Y509" s="467"/>
      <c r="Z509" s="504"/>
      <c r="AA509" s="468"/>
      <c r="AB509" s="616"/>
      <c r="AC509" s="635"/>
      <c r="AD509" s="636"/>
      <c r="AE509" s="637"/>
      <c r="AF509" s="629"/>
      <c r="AG509" s="635"/>
      <c r="AH509" s="636"/>
      <c r="AI509" s="637"/>
      <c r="AJ509" s="629"/>
      <c r="AK509" s="435"/>
      <c r="AL509" s="435"/>
      <c r="AM509" s="435"/>
      <c r="AN509" s="435"/>
      <c r="AO509" s="467"/>
      <c r="AP509" s="504"/>
      <c r="AQ509" s="468"/>
      <c r="AR509" s="616"/>
      <c r="AS509" s="630"/>
      <c r="AT509" s="630"/>
    </row>
    <row r="510">
      <c r="A510" s="467"/>
      <c r="B510" s="504"/>
      <c r="C510" s="468"/>
      <c r="D510" s="616"/>
      <c r="E510" s="467"/>
      <c r="F510" s="504"/>
      <c r="G510" s="468"/>
      <c r="H510" s="616"/>
      <c r="I510" s="467"/>
      <c r="J510" s="504"/>
      <c r="K510" s="468"/>
      <c r="L510" s="616"/>
      <c r="M510" s="467"/>
      <c r="N510" s="504"/>
      <c r="O510" s="468"/>
      <c r="P510" s="616"/>
      <c r="Q510" s="635"/>
      <c r="R510" s="636"/>
      <c r="S510" s="637"/>
      <c r="T510" s="629"/>
      <c r="U510" s="635"/>
      <c r="V510" s="636"/>
      <c r="W510" s="637"/>
      <c r="X510" s="629"/>
      <c r="Y510" s="467"/>
      <c r="Z510" s="504"/>
      <c r="AA510" s="468"/>
      <c r="AB510" s="616"/>
      <c r="AC510" s="635"/>
      <c r="AD510" s="636"/>
      <c r="AE510" s="637"/>
      <c r="AF510" s="629"/>
      <c r="AG510" s="635"/>
      <c r="AH510" s="636"/>
      <c r="AI510" s="637"/>
      <c r="AJ510" s="629"/>
      <c r="AK510" s="435"/>
      <c r="AL510" s="435"/>
      <c r="AM510" s="435"/>
      <c r="AN510" s="435"/>
      <c r="AO510" s="467"/>
      <c r="AP510" s="504"/>
      <c r="AQ510" s="468"/>
      <c r="AR510" s="616"/>
      <c r="AS510" s="630"/>
      <c r="AT510" s="630"/>
    </row>
    <row r="511">
      <c r="A511" s="467"/>
      <c r="B511" s="504"/>
      <c r="C511" s="468"/>
      <c r="D511" s="616"/>
      <c r="E511" s="467"/>
      <c r="F511" s="504"/>
      <c r="G511" s="468"/>
      <c r="H511" s="616"/>
      <c r="I511" s="467"/>
      <c r="J511" s="504"/>
      <c r="K511" s="468"/>
      <c r="L511" s="616"/>
      <c r="M511" s="467"/>
      <c r="N511" s="504"/>
      <c r="O511" s="468"/>
      <c r="P511" s="616"/>
      <c r="Q511" s="635"/>
      <c r="R511" s="636"/>
      <c r="S511" s="637"/>
      <c r="T511" s="629"/>
      <c r="U511" s="635"/>
      <c r="V511" s="636"/>
      <c r="W511" s="637"/>
      <c r="X511" s="629"/>
      <c r="Y511" s="467"/>
      <c r="Z511" s="504"/>
      <c r="AA511" s="468"/>
      <c r="AB511" s="616"/>
      <c r="AC511" s="635"/>
      <c r="AD511" s="636"/>
      <c r="AE511" s="637"/>
      <c r="AF511" s="629"/>
      <c r="AG511" s="635"/>
      <c r="AH511" s="636"/>
      <c r="AI511" s="637"/>
      <c r="AJ511" s="629"/>
      <c r="AK511" s="435"/>
      <c r="AL511" s="435"/>
      <c r="AM511" s="435"/>
      <c r="AN511" s="435"/>
      <c r="AO511" s="467"/>
      <c r="AP511" s="504"/>
      <c r="AQ511" s="468"/>
      <c r="AR511" s="616"/>
      <c r="AS511" s="630"/>
      <c r="AT511" s="630"/>
    </row>
    <row r="512">
      <c r="A512" s="467"/>
      <c r="B512" s="504"/>
      <c r="C512" s="468"/>
      <c r="D512" s="616"/>
      <c r="E512" s="467"/>
      <c r="F512" s="504"/>
      <c r="G512" s="468"/>
      <c r="H512" s="616"/>
      <c r="I512" s="467"/>
      <c r="J512" s="504"/>
      <c r="K512" s="468"/>
      <c r="L512" s="616"/>
      <c r="M512" s="467"/>
      <c r="N512" s="504"/>
      <c r="O512" s="468"/>
      <c r="P512" s="616"/>
      <c r="Q512" s="635"/>
      <c r="R512" s="636"/>
      <c r="S512" s="637"/>
      <c r="T512" s="629"/>
      <c r="U512" s="635"/>
      <c r="V512" s="636"/>
      <c r="W512" s="637"/>
      <c r="X512" s="629"/>
      <c r="Y512" s="467"/>
      <c r="Z512" s="504"/>
      <c r="AA512" s="468"/>
      <c r="AB512" s="616"/>
      <c r="AC512" s="635"/>
      <c r="AD512" s="636"/>
      <c r="AE512" s="637"/>
      <c r="AF512" s="629"/>
      <c r="AG512" s="635"/>
      <c r="AH512" s="636"/>
      <c r="AI512" s="637"/>
      <c r="AJ512" s="629"/>
      <c r="AK512" s="435"/>
      <c r="AL512" s="435"/>
      <c r="AM512" s="435"/>
      <c r="AN512" s="435"/>
      <c r="AO512" s="467"/>
      <c r="AP512" s="504"/>
      <c r="AQ512" s="468"/>
      <c r="AR512" s="616"/>
      <c r="AS512" s="630"/>
      <c r="AT512" s="630"/>
    </row>
    <row r="513">
      <c r="A513" s="467"/>
      <c r="B513" s="504"/>
      <c r="C513" s="468"/>
      <c r="D513" s="616"/>
      <c r="E513" s="467"/>
      <c r="F513" s="504"/>
      <c r="G513" s="468"/>
      <c r="H513" s="616"/>
      <c r="I513" s="467"/>
      <c r="J513" s="504"/>
      <c r="K513" s="468"/>
      <c r="L513" s="616"/>
      <c r="M513" s="467"/>
      <c r="N513" s="504"/>
      <c r="O513" s="468"/>
      <c r="P513" s="616"/>
      <c r="Q513" s="635"/>
      <c r="R513" s="636"/>
      <c r="S513" s="637"/>
      <c r="T513" s="629"/>
      <c r="U513" s="635"/>
      <c r="V513" s="636"/>
      <c r="W513" s="637"/>
      <c r="X513" s="629"/>
      <c r="Y513" s="467"/>
      <c r="Z513" s="504"/>
      <c r="AA513" s="468"/>
      <c r="AB513" s="616"/>
      <c r="AC513" s="635"/>
      <c r="AD513" s="636"/>
      <c r="AE513" s="637"/>
      <c r="AF513" s="629"/>
      <c r="AG513" s="635"/>
      <c r="AH513" s="636"/>
      <c r="AI513" s="637"/>
      <c r="AJ513" s="629"/>
      <c r="AK513" s="435"/>
      <c r="AL513" s="435"/>
      <c r="AM513" s="435"/>
      <c r="AN513" s="435"/>
      <c r="AO513" s="467"/>
      <c r="AP513" s="504"/>
      <c r="AQ513" s="468"/>
      <c r="AR513" s="616"/>
      <c r="AS513" s="630"/>
      <c r="AT513" s="630"/>
    </row>
    <row r="514">
      <c r="A514" s="467"/>
      <c r="B514" s="504"/>
      <c r="C514" s="468"/>
      <c r="D514" s="616"/>
      <c r="E514" s="467"/>
      <c r="F514" s="504"/>
      <c r="G514" s="468"/>
      <c r="H514" s="616"/>
      <c r="I514" s="467"/>
      <c r="J514" s="504"/>
      <c r="K514" s="468"/>
      <c r="L514" s="616"/>
      <c r="M514" s="467"/>
      <c r="N514" s="504"/>
      <c r="O514" s="468"/>
      <c r="P514" s="616"/>
      <c r="Q514" s="635"/>
      <c r="R514" s="636"/>
      <c r="S514" s="637"/>
      <c r="T514" s="629"/>
      <c r="U514" s="635"/>
      <c r="V514" s="636"/>
      <c r="W514" s="637"/>
      <c r="X514" s="629"/>
      <c r="Y514" s="467"/>
      <c r="Z514" s="504"/>
      <c r="AA514" s="468"/>
      <c r="AB514" s="616"/>
      <c r="AC514" s="635"/>
      <c r="AD514" s="636"/>
      <c r="AE514" s="637"/>
      <c r="AF514" s="629"/>
      <c r="AG514" s="635"/>
      <c r="AH514" s="636"/>
      <c r="AI514" s="637"/>
      <c r="AJ514" s="629"/>
      <c r="AK514" s="435"/>
      <c r="AL514" s="435"/>
      <c r="AM514" s="435"/>
      <c r="AN514" s="435"/>
      <c r="AO514" s="467"/>
      <c r="AP514" s="504"/>
      <c r="AQ514" s="468"/>
      <c r="AR514" s="616"/>
      <c r="AS514" s="630"/>
      <c r="AT514" s="630"/>
    </row>
    <row r="515">
      <c r="A515" s="467"/>
      <c r="B515" s="504"/>
      <c r="C515" s="468"/>
      <c r="D515" s="616"/>
      <c r="E515" s="467"/>
      <c r="F515" s="504"/>
      <c r="G515" s="468"/>
      <c r="H515" s="616"/>
      <c r="I515" s="467"/>
      <c r="J515" s="504"/>
      <c r="K515" s="468"/>
      <c r="L515" s="616"/>
      <c r="M515" s="467"/>
      <c r="N515" s="504"/>
      <c r="O515" s="468"/>
      <c r="P515" s="616"/>
      <c r="Q515" s="635"/>
      <c r="R515" s="636"/>
      <c r="S515" s="637"/>
      <c r="T515" s="629"/>
      <c r="U515" s="635"/>
      <c r="V515" s="636"/>
      <c r="W515" s="637"/>
      <c r="X515" s="629"/>
      <c r="Y515" s="467"/>
      <c r="Z515" s="504"/>
      <c r="AA515" s="468"/>
      <c r="AB515" s="616"/>
      <c r="AC515" s="635"/>
      <c r="AD515" s="636"/>
      <c r="AE515" s="637"/>
      <c r="AF515" s="629"/>
      <c r="AG515" s="635"/>
      <c r="AH515" s="636"/>
      <c r="AI515" s="637"/>
      <c r="AJ515" s="629"/>
      <c r="AK515" s="435"/>
      <c r="AL515" s="435"/>
      <c r="AM515" s="435"/>
      <c r="AN515" s="435"/>
      <c r="AO515" s="467"/>
      <c r="AP515" s="504"/>
      <c r="AQ515" s="468"/>
      <c r="AR515" s="616"/>
      <c r="AS515" s="630"/>
      <c r="AT515" s="630"/>
    </row>
    <row r="516">
      <c r="A516" s="467"/>
      <c r="B516" s="504"/>
      <c r="C516" s="468"/>
      <c r="D516" s="616"/>
      <c r="E516" s="467"/>
      <c r="F516" s="504"/>
      <c r="G516" s="468"/>
      <c r="H516" s="616"/>
      <c r="I516" s="467"/>
      <c r="J516" s="504"/>
      <c r="K516" s="468"/>
      <c r="L516" s="616"/>
      <c r="M516" s="467"/>
      <c r="N516" s="504"/>
      <c r="O516" s="468"/>
      <c r="P516" s="616"/>
      <c r="Q516" s="635"/>
      <c r="R516" s="636"/>
      <c r="S516" s="637"/>
      <c r="T516" s="629"/>
      <c r="U516" s="635"/>
      <c r="V516" s="636"/>
      <c r="W516" s="637"/>
      <c r="X516" s="629"/>
      <c r="Y516" s="467"/>
      <c r="Z516" s="504"/>
      <c r="AA516" s="468"/>
      <c r="AB516" s="616"/>
      <c r="AC516" s="635"/>
      <c r="AD516" s="636"/>
      <c r="AE516" s="637"/>
      <c r="AF516" s="629"/>
      <c r="AG516" s="635"/>
      <c r="AH516" s="636"/>
      <c r="AI516" s="637"/>
      <c r="AJ516" s="629"/>
      <c r="AK516" s="435"/>
      <c r="AL516" s="435"/>
      <c r="AM516" s="435"/>
      <c r="AN516" s="435"/>
      <c r="AO516" s="467"/>
      <c r="AP516" s="504"/>
      <c r="AQ516" s="468"/>
      <c r="AR516" s="616"/>
      <c r="AS516" s="630"/>
      <c r="AT516" s="630"/>
    </row>
    <row r="517">
      <c r="A517" s="467"/>
      <c r="B517" s="504"/>
      <c r="C517" s="468"/>
      <c r="D517" s="616"/>
      <c r="E517" s="467"/>
      <c r="F517" s="504"/>
      <c r="G517" s="468"/>
      <c r="H517" s="616"/>
      <c r="I517" s="467"/>
      <c r="J517" s="504"/>
      <c r="K517" s="468"/>
      <c r="L517" s="616"/>
      <c r="M517" s="467"/>
      <c r="N517" s="504"/>
      <c r="O517" s="468"/>
      <c r="P517" s="616"/>
      <c r="Q517" s="635"/>
      <c r="R517" s="636"/>
      <c r="S517" s="637"/>
      <c r="T517" s="629"/>
      <c r="U517" s="635"/>
      <c r="V517" s="636"/>
      <c r="W517" s="637"/>
      <c r="X517" s="629"/>
      <c r="Y517" s="467"/>
      <c r="Z517" s="504"/>
      <c r="AA517" s="468"/>
      <c r="AB517" s="616"/>
      <c r="AC517" s="635"/>
      <c r="AD517" s="636"/>
      <c r="AE517" s="637"/>
      <c r="AF517" s="629"/>
      <c r="AG517" s="635"/>
      <c r="AH517" s="636"/>
      <c r="AI517" s="637"/>
      <c r="AJ517" s="629"/>
      <c r="AK517" s="435"/>
      <c r="AL517" s="435"/>
      <c r="AM517" s="435"/>
      <c r="AN517" s="435"/>
      <c r="AO517" s="467"/>
      <c r="AP517" s="504"/>
      <c r="AQ517" s="468"/>
      <c r="AR517" s="616"/>
      <c r="AS517" s="630"/>
      <c r="AT517" s="630"/>
    </row>
    <row r="518">
      <c r="A518" s="467"/>
      <c r="B518" s="504"/>
      <c r="C518" s="468"/>
      <c r="D518" s="616"/>
      <c r="E518" s="467"/>
      <c r="F518" s="504"/>
      <c r="G518" s="468"/>
      <c r="H518" s="616"/>
      <c r="I518" s="467"/>
      <c r="J518" s="504"/>
      <c r="K518" s="468"/>
      <c r="L518" s="616"/>
      <c r="M518" s="467"/>
      <c r="N518" s="504"/>
      <c r="O518" s="468"/>
      <c r="P518" s="616"/>
      <c r="Q518" s="635"/>
      <c r="R518" s="636"/>
      <c r="S518" s="637"/>
      <c r="T518" s="629"/>
      <c r="U518" s="635"/>
      <c r="V518" s="636"/>
      <c r="W518" s="637"/>
      <c r="X518" s="629"/>
      <c r="Y518" s="467"/>
      <c r="Z518" s="504"/>
      <c r="AA518" s="468"/>
      <c r="AB518" s="616"/>
      <c r="AC518" s="635"/>
      <c r="AD518" s="636"/>
      <c r="AE518" s="637"/>
      <c r="AF518" s="629"/>
      <c r="AG518" s="635"/>
      <c r="AH518" s="636"/>
      <c r="AI518" s="637"/>
      <c r="AJ518" s="629"/>
      <c r="AK518" s="435"/>
      <c r="AL518" s="435"/>
      <c r="AM518" s="435"/>
      <c r="AN518" s="435"/>
      <c r="AO518" s="467"/>
      <c r="AP518" s="504"/>
      <c r="AQ518" s="468"/>
      <c r="AR518" s="616"/>
      <c r="AS518" s="630"/>
      <c r="AT518" s="630"/>
    </row>
    <row r="519">
      <c r="A519" s="467"/>
      <c r="B519" s="504"/>
      <c r="C519" s="468"/>
      <c r="D519" s="616"/>
      <c r="E519" s="467"/>
      <c r="F519" s="504"/>
      <c r="G519" s="468"/>
      <c r="H519" s="616"/>
      <c r="I519" s="467"/>
      <c r="J519" s="504"/>
      <c r="K519" s="468"/>
      <c r="L519" s="616"/>
      <c r="M519" s="467"/>
      <c r="N519" s="504"/>
      <c r="O519" s="468"/>
      <c r="P519" s="616"/>
      <c r="Q519" s="635"/>
      <c r="R519" s="636"/>
      <c r="S519" s="637"/>
      <c r="T519" s="629"/>
      <c r="U519" s="635"/>
      <c r="V519" s="636"/>
      <c r="W519" s="637"/>
      <c r="X519" s="629"/>
      <c r="Y519" s="467"/>
      <c r="Z519" s="504"/>
      <c r="AA519" s="468"/>
      <c r="AB519" s="616"/>
      <c r="AC519" s="635"/>
      <c r="AD519" s="636"/>
      <c r="AE519" s="637"/>
      <c r="AF519" s="629"/>
      <c r="AG519" s="635"/>
      <c r="AH519" s="636"/>
      <c r="AI519" s="637"/>
      <c r="AJ519" s="629"/>
      <c r="AK519" s="435"/>
      <c r="AL519" s="435"/>
      <c r="AM519" s="435"/>
      <c r="AN519" s="435"/>
      <c r="AO519" s="467"/>
      <c r="AP519" s="504"/>
      <c r="AQ519" s="468"/>
      <c r="AR519" s="616"/>
      <c r="AS519" s="630"/>
      <c r="AT519" s="630"/>
    </row>
    <row r="520">
      <c r="A520" s="467"/>
      <c r="B520" s="504"/>
      <c r="C520" s="468"/>
      <c r="D520" s="616"/>
      <c r="E520" s="467"/>
      <c r="F520" s="504"/>
      <c r="G520" s="468"/>
      <c r="H520" s="616"/>
      <c r="I520" s="467"/>
      <c r="J520" s="504"/>
      <c r="K520" s="468"/>
      <c r="L520" s="616"/>
      <c r="M520" s="467"/>
      <c r="N520" s="504"/>
      <c r="O520" s="468"/>
      <c r="P520" s="616"/>
      <c r="Q520" s="635"/>
      <c r="R520" s="636"/>
      <c r="S520" s="637"/>
      <c r="T520" s="629"/>
      <c r="U520" s="635"/>
      <c r="V520" s="636"/>
      <c r="W520" s="637"/>
      <c r="X520" s="629"/>
      <c r="Y520" s="467"/>
      <c r="Z520" s="504"/>
      <c r="AA520" s="468"/>
      <c r="AB520" s="616"/>
      <c r="AC520" s="635"/>
      <c r="AD520" s="636"/>
      <c r="AE520" s="637"/>
      <c r="AF520" s="629"/>
      <c r="AG520" s="635"/>
      <c r="AH520" s="636"/>
      <c r="AI520" s="637"/>
      <c r="AJ520" s="629"/>
      <c r="AK520" s="435"/>
      <c r="AL520" s="435"/>
      <c r="AM520" s="435"/>
      <c r="AN520" s="435"/>
      <c r="AO520" s="467"/>
      <c r="AP520" s="504"/>
      <c r="AQ520" s="468"/>
      <c r="AR520" s="616"/>
      <c r="AS520" s="630"/>
      <c r="AT520" s="630"/>
    </row>
    <row r="521">
      <c r="A521" s="467"/>
      <c r="B521" s="504"/>
      <c r="C521" s="468"/>
      <c r="D521" s="616"/>
      <c r="E521" s="467"/>
      <c r="F521" s="504"/>
      <c r="G521" s="468"/>
      <c r="H521" s="616"/>
      <c r="I521" s="467"/>
      <c r="J521" s="504"/>
      <c r="K521" s="468"/>
      <c r="L521" s="616"/>
      <c r="M521" s="467"/>
      <c r="N521" s="504"/>
      <c r="O521" s="468"/>
      <c r="P521" s="616"/>
      <c r="Q521" s="635"/>
      <c r="R521" s="636"/>
      <c r="S521" s="637"/>
      <c r="T521" s="629"/>
      <c r="U521" s="635"/>
      <c r="V521" s="636"/>
      <c r="W521" s="637"/>
      <c r="X521" s="629"/>
      <c r="Y521" s="467"/>
      <c r="Z521" s="504"/>
      <c r="AA521" s="468"/>
      <c r="AB521" s="616"/>
      <c r="AC521" s="635"/>
      <c r="AD521" s="636"/>
      <c r="AE521" s="637"/>
      <c r="AF521" s="629"/>
      <c r="AG521" s="635"/>
      <c r="AH521" s="636"/>
      <c r="AI521" s="637"/>
      <c r="AJ521" s="629"/>
      <c r="AK521" s="435"/>
      <c r="AL521" s="435"/>
      <c r="AM521" s="435"/>
      <c r="AN521" s="435"/>
      <c r="AO521" s="467"/>
      <c r="AP521" s="504"/>
      <c r="AQ521" s="468"/>
      <c r="AR521" s="616"/>
      <c r="AS521" s="630"/>
      <c r="AT521" s="630"/>
    </row>
    <row r="522">
      <c r="A522" s="467"/>
      <c r="B522" s="504"/>
      <c r="C522" s="468"/>
      <c r="D522" s="616"/>
      <c r="E522" s="467"/>
      <c r="F522" s="504"/>
      <c r="G522" s="468"/>
      <c r="H522" s="616"/>
      <c r="I522" s="467"/>
      <c r="J522" s="504"/>
      <c r="K522" s="468"/>
      <c r="L522" s="616"/>
      <c r="M522" s="467"/>
      <c r="N522" s="504"/>
      <c r="O522" s="468"/>
      <c r="P522" s="616"/>
      <c r="Q522" s="635"/>
      <c r="R522" s="636"/>
      <c r="S522" s="637"/>
      <c r="T522" s="629"/>
      <c r="U522" s="635"/>
      <c r="V522" s="636"/>
      <c r="W522" s="637"/>
      <c r="X522" s="629"/>
      <c r="Y522" s="467"/>
      <c r="Z522" s="504"/>
      <c r="AA522" s="468"/>
      <c r="AB522" s="616"/>
      <c r="AC522" s="635"/>
      <c r="AD522" s="636"/>
      <c r="AE522" s="637"/>
      <c r="AF522" s="629"/>
      <c r="AG522" s="635"/>
      <c r="AH522" s="636"/>
      <c r="AI522" s="637"/>
      <c r="AJ522" s="629"/>
      <c r="AK522" s="435"/>
      <c r="AL522" s="435"/>
      <c r="AM522" s="435"/>
      <c r="AN522" s="435"/>
      <c r="AO522" s="467"/>
      <c r="AP522" s="504"/>
      <c r="AQ522" s="468"/>
      <c r="AR522" s="616"/>
      <c r="AS522" s="630"/>
      <c r="AT522" s="630"/>
    </row>
    <row r="523">
      <c r="A523" s="467"/>
      <c r="B523" s="504"/>
      <c r="C523" s="468"/>
      <c r="D523" s="616"/>
      <c r="E523" s="467"/>
      <c r="F523" s="504"/>
      <c r="G523" s="468"/>
      <c r="H523" s="616"/>
      <c r="I523" s="467"/>
      <c r="J523" s="504"/>
      <c r="K523" s="468"/>
      <c r="L523" s="616"/>
      <c r="M523" s="467"/>
      <c r="N523" s="504"/>
      <c r="O523" s="468"/>
      <c r="P523" s="616"/>
      <c r="Q523" s="635"/>
      <c r="R523" s="636"/>
      <c r="S523" s="637"/>
      <c r="T523" s="629"/>
      <c r="U523" s="635"/>
      <c r="V523" s="636"/>
      <c r="W523" s="637"/>
      <c r="X523" s="629"/>
      <c r="Y523" s="467"/>
      <c r="Z523" s="504"/>
      <c r="AA523" s="468"/>
      <c r="AB523" s="616"/>
      <c r="AC523" s="635"/>
      <c r="AD523" s="636"/>
      <c r="AE523" s="637"/>
      <c r="AF523" s="629"/>
      <c r="AG523" s="635"/>
      <c r="AH523" s="636"/>
      <c r="AI523" s="637"/>
      <c r="AJ523" s="629"/>
      <c r="AK523" s="435"/>
      <c r="AL523" s="435"/>
      <c r="AM523" s="435"/>
      <c r="AN523" s="435"/>
      <c r="AO523" s="467"/>
      <c r="AP523" s="504"/>
      <c r="AQ523" s="468"/>
      <c r="AR523" s="616"/>
      <c r="AS523" s="630"/>
      <c r="AT523" s="630"/>
    </row>
    <row r="524">
      <c r="A524" s="467"/>
      <c r="B524" s="504"/>
      <c r="C524" s="468"/>
      <c r="D524" s="616"/>
      <c r="E524" s="467"/>
      <c r="F524" s="504"/>
      <c r="G524" s="468"/>
      <c r="H524" s="616"/>
      <c r="I524" s="467"/>
      <c r="J524" s="504"/>
      <c r="K524" s="468"/>
      <c r="L524" s="616"/>
      <c r="M524" s="467"/>
      <c r="N524" s="504"/>
      <c r="O524" s="468"/>
      <c r="P524" s="616"/>
      <c r="Q524" s="635"/>
      <c r="R524" s="636"/>
      <c r="S524" s="637"/>
      <c r="T524" s="629"/>
      <c r="U524" s="635"/>
      <c r="V524" s="636"/>
      <c r="W524" s="637"/>
      <c r="X524" s="629"/>
      <c r="Y524" s="467"/>
      <c r="Z524" s="504"/>
      <c r="AA524" s="468"/>
      <c r="AB524" s="616"/>
      <c r="AC524" s="635"/>
      <c r="AD524" s="636"/>
      <c r="AE524" s="637"/>
      <c r="AF524" s="629"/>
      <c r="AG524" s="635"/>
      <c r="AH524" s="636"/>
      <c r="AI524" s="637"/>
      <c r="AJ524" s="629"/>
      <c r="AK524" s="435"/>
      <c r="AL524" s="435"/>
      <c r="AM524" s="435"/>
      <c r="AN524" s="435"/>
      <c r="AO524" s="467"/>
      <c r="AP524" s="504"/>
      <c r="AQ524" s="468"/>
      <c r="AR524" s="616"/>
      <c r="AS524" s="630"/>
      <c r="AT524" s="630"/>
    </row>
    <row r="525">
      <c r="A525" s="467"/>
      <c r="B525" s="504"/>
      <c r="C525" s="468"/>
      <c r="D525" s="616"/>
      <c r="E525" s="467"/>
      <c r="F525" s="504"/>
      <c r="G525" s="468"/>
      <c r="H525" s="616"/>
      <c r="I525" s="467"/>
      <c r="J525" s="504"/>
      <c r="K525" s="468"/>
      <c r="L525" s="616"/>
      <c r="M525" s="467"/>
      <c r="N525" s="504"/>
      <c r="O525" s="468"/>
      <c r="P525" s="616"/>
      <c r="Q525" s="635"/>
      <c r="R525" s="636"/>
      <c r="S525" s="637"/>
      <c r="T525" s="629"/>
      <c r="U525" s="635"/>
      <c r="V525" s="636"/>
      <c r="W525" s="637"/>
      <c r="X525" s="629"/>
      <c r="Y525" s="467"/>
      <c r="Z525" s="504"/>
      <c r="AA525" s="468"/>
      <c r="AB525" s="616"/>
      <c r="AC525" s="635"/>
      <c r="AD525" s="636"/>
      <c r="AE525" s="637"/>
      <c r="AF525" s="629"/>
      <c r="AG525" s="635"/>
      <c r="AH525" s="636"/>
      <c r="AI525" s="637"/>
      <c r="AJ525" s="629"/>
      <c r="AK525" s="435"/>
      <c r="AL525" s="435"/>
      <c r="AM525" s="435"/>
      <c r="AN525" s="435"/>
      <c r="AO525" s="467"/>
      <c r="AP525" s="504"/>
      <c r="AQ525" s="468"/>
      <c r="AR525" s="616"/>
      <c r="AS525" s="630"/>
      <c r="AT525" s="630"/>
    </row>
    <row r="526">
      <c r="A526" s="467"/>
      <c r="B526" s="504"/>
      <c r="C526" s="468"/>
      <c r="D526" s="616"/>
      <c r="E526" s="467"/>
      <c r="F526" s="504"/>
      <c r="G526" s="468"/>
      <c r="H526" s="616"/>
      <c r="I526" s="467"/>
      <c r="J526" s="504"/>
      <c r="K526" s="468"/>
      <c r="L526" s="616"/>
      <c r="M526" s="467"/>
      <c r="N526" s="504"/>
      <c r="O526" s="468"/>
      <c r="P526" s="616"/>
      <c r="Q526" s="635"/>
      <c r="R526" s="636"/>
      <c r="S526" s="637"/>
      <c r="T526" s="629"/>
      <c r="U526" s="635"/>
      <c r="V526" s="636"/>
      <c r="W526" s="637"/>
      <c r="X526" s="629"/>
      <c r="Y526" s="467"/>
      <c r="Z526" s="504"/>
      <c r="AA526" s="468"/>
      <c r="AB526" s="616"/>
      <c r="AC526" s="635"/>
      <c r="AD526" s="636"/>
      <c r="AE526" s="637"/>
      <c r="AF526" s="629"/>
      <c r="AG526" s="635"/>
      <c r="AH526" s="636"/>
      <c r="AI526" s="637"/>
      <c r="AJ526" s="629"/>
      <c r="AK526" s="435"/>
      <c r="AL526" s="435"/>
      <c r="AM526" s="435"/>
      <c r="AN526" s="435"/>
      <c r="AO526" s="467"/>
      <c r="AP526" s="504"/>
      <c r="AQ526" s="468"/>
      <c r="AR526" s="616"/>
      <c r="AS526" s="630"/>
      <c r="AT526" s="630"/>
    </row>
    <row r="527">
      <c r="A527" s="467"/>
      <c r="B527" s="504"/>
      <c r="C527" s="468"/>
      <c r="D527" s="616"/>
      <c r="E527" s="467"/>
      <c r="F527" s="504"/>
      <c r="G527" s="468"/>
      <c r="H527" s="616"/>
      <c r="I527" s="467"/>
      <c r="J527" s="504"/>
      <c r="K527" s="468"/>
      <c r="L527" s="616"/>
      <c r="M527" s="467"/>
      <c r="N527" s="504"/>
      <c r="O527" s="468"/>
      <c r="P527" s="616"/>
      <c r="Q527" s="635"/>
      <c r="R527" s="636"/>
      <c r="S527" s="637"/>
      <c r="T527" s="629"/>
      <c r="U527" s="635"/>
      <c r="V527" s="636"/>
      <c r="W527" s="637"/>
      <c r="X527" s="629"/>
      <c r="Y527" s="467"/>
      <c r="Z527" s="504"/>
      <c r="AA527" s="468"/>
      <c r="AB527" s="616"/>
      <c r="AC527" s="635"/>
      <c r="AD527" s="636"/>
      <c r="AE527" s="637"/>
      <c r="AF527" s="629"/>
      <c r="AG527" s="635"/>
      <c r="AH527" s="636"/>
      <c r="AI527" s="637"/>
      <c r="AJ527" s="629"/>
      <c r="AK527" s="435"/>
      <c r="AL527" s="435"/>
      <c r="AM527" s="435"/>
      <c r="AN527" s="435"/>
      <c r="AO527" s="467"/>
      <c r="AP527" s="504"/>
      <c r="AQ527" s="468"/>
      <c r="AR527" s="616"/>
      <c r="AS527" s="630"/>
      <c r="AT527" s="630"/>
    </row>
    <row r="528">
      <c r="A528" s="467"/>
      <c r="B528" s="504"/>
      <c r="C528" s="468"/>
      <c r="D528" s="616"/>
      <c r="E528" s="467"/>
      <c r="F528" s="504"/>
      <c r="G528" s="468"/>
      <c r="H528" s="616"/>
      <c r="I528" s="467"/>
      <c r="J528" s="504"/>
      <c r="K528" s="468"/>
      <c r="L528" s="616"/>
      <c r="M528" s="467"/>
      <c r="N528" s="504"/>
      <c r="O528" s="468"/>
      <c r="P528" s="616"/>
      <c r="Q528" s="635"/>
      <c r="R528" s="636"/>
      <c r="S528" s="637"/>
      <c r="T528" s="629"/>
      <c r="U528" s="635"/>
      <c r="V528" s="636"/>
      <c r="W528" s="637"/>
      <c r="X528" s="629"/>
      <c r="Y528" s="467"/>
      <c r="Z528" s="504"/>
      <c r="AA528" s="468"/>
      <c r="AB528" s="616"/>
      <c r="AC528" s="635"/>
      <c r="AD528" s="636"/>
      <c r="AE528" s="637"/>
      <c r="AF528" s="629"/>
      <c r="AG528" s="635"/>
      <c r="AH528" s="636"/>
      <c r="AI528" s="637"/>
      <c r="AJ528" s="629"/>
      <c r="AK528" s="435"/>
      <c r="AL528" s="435"/>
      <c r="AM528" s="435"/>
      <c r="AN528" s="435"/>
      <c r="AO528" s="467"/>
      <c r="AP528" s="504"/>
      <c r="AQ528" s="468"/>
      <c r="AR528" s="616"/>
      <c r="AS528" s="630"/>
      <c r="AT528" s="630"/>
    </row>
    <row r="529">
      <c r="A529" s="467"/>
      <c r="B529" s="504"/>
      <c r="C529" s="468"/>
      <c r="D529" s="616"/>
      <c r="E529" s="467"/>
      <c r="F529" s="504"/>
      <c r="G529" s="468"/>
      <c r="H529" s="616"/>
      <c r="I529" s="467"/>
      <c r="J529" s="504"/>
      <c r="K529" s="468"/>
      <c r="L529" s="616"/>
      <c r="M529" s="467"/>
      <c r="N529" s="504"/>
      <c r="O529" s="468"/>
      <c r="P529" s="616"/>
      <c r="Q529" s="635"/>
      <c r="R529" s="636"/>
      <c r="S529" s="637"/>
      <c r="T529" s="629"/>
      <c r="U529" s="635"/>
      <c r="V529" s="636"/>
      <c r="W529" s="637"/>
      <c r="X529" s="629"/>
      <c r="Y529" s="467"/>
      <c r="Z529" s="504"/>
      <c r="AA529" s="468"/>
      <c r="AB529" s="616"/>
      <c r="AC529" s="635"/>
      <c r="AD529" s="636"/>
      <c r="AE529" s="637"/>
      <c r="AF529" s="629"/>
      <c r="AG529" s="635"/>
      <c r="AH529" s="636"/>
      <c r="AI529" s="637"/>
      <c r="AJ529" s="629"/>
      <c r="AK529" s="435"/>
      <c r="AL529" s="435"/>
      <c r="AM529" s="435"/>
      <c r="AN529" s="435"/>
      <c r="AO529" s="467"/>
      <c r="AP529" s="504"/>
      <c r="AQ529" s="468"/>
      <c r="AR529" s="616"/>
      <c r="AS529" s="630"/>
      <c r="AT529" s="630"/>
    </row>
    <row r="530">
      <c r="A530" s="467"/>
      <c r="B530" s="504"/>
      <c r="C530" s="468"/>
      <c r="D530" s="616"/>
      <c r="E530" s="467"/>
      <c r="F530" s="504"/>
      <c r="G530" s="468"/>
      <c r="H530" s="616"/>
      <c r="I530" s="467"/>
      <c r="J530" s="504"/>
      <c r="K530" s="468"/>
      <c r="L530" s="616"/>
      <c r="M530" s="467"/>
      <c r="N530" s="504"/>
      <c r="O530" s="468"/>
      <c r="P530" s="616"/>
      <c r="Q530" s="635"/>
      <c r="R530" s="636"/>
      <c r="S530" s="637"/>
      <c r="T530" s="629"/>
      <c r="U530" s="635"/>
      <c r="V530" s="636"/>
      <c r="W530" s="637"/>
      <c r="X530" s="629"/>
      <c r="Y530" s="467"/>
      <c r="Z530" s="504"/>
      <c r="AA530" s="468"/>
      <c r="AB530" s="616"/>
      <c r="AC530" s="635"/>
      <c r="AD530" s="636"/>
      <c r="AE530" s="637"/>
      <c r="AF530" s="629"/>
      <c r="AG530" s="635"/>
      <c r="AH530" s="636"/>
      <c r="AI530" s="637"/>
      <c r="AJ530" s="629"/>
      <c r="AK530" s="435"/>
      <c r="AL530" s="435"/>
      <c r="AM530" s="435"/>
      <c r="AN530" s="435"/>
      <c r="AO530" s="467"/>
      <c r="AP530" s="504"/>
      <c r="AQ530" s="468"/>
      <c r="AR530" s="616"/>
      <c r="AS530" s="630"/>
      <c r="AT530" s="630"/>
    </row>
    <row r="531">
      <c r="A531" s="467"/>
      <c r="B531" s="504"/>
      <c r="C531" s="468"/>
      <c r="D531" s="616"/>
      <c r="E531" s="467"/>
      <c r="F531" s="504"/>
      <c r="G531" s="468"/>
      <c r="H531" s="616"/>
      <c r="I531" s="467"/>
      <c r="J531" s="504"/>
      <c r="K531" s="468"/>
      <c r="L531" s="616"/>
      <c r="M531" s="467"/>
      <c r="N531" s="504"/>
      <c r="O531" s="468"/>
      <c r="P531" s="616"/>
      <c r="Q531" s="635"/>
      <c r="R531" s="636"/>
      <c r="S531" s="637"/>
      <c r="T531" s="629"/>
      <c r="U531" s="635"/>
      <c r="V531" s="636"/>
      <c r="W531" s="637"/>
      <c r="X531" s="629"/>
      <c r="Y531" s="467"/>
      <c r="Z531" s="504"/>
      <c r="AA531" s="468"/>
      <c r="AB531" s="616"/>
      <c r="AC531" s="635"/>
      <c r="AD531" s="636"/>
      <c r="AE531" s="637"/>
      <c r="AF531" s="629"/>
      <c r="AG531" s="635"/>
      <c r="AH531" s="636"/>
      <c r="AI531" s="637"/>
      <c r="AJ531" s="629"/>
      <c r="AK531" s="435"/>
      <c r="AL531" s="435"/>
      <c r="AM531" s="435"/>
      <c r="AN531" s="435"/>
      <c r="AO531" s="467"/>
      <c r="AP531" s="504"/>
      <c r="AQ531" s="468"/>
      <c r="AR531" s="616"/>
      <c r="AS531" s="630"/>
      <c r="AT531" s="630"/>
    </row>
    <row r="532">
      <c r="A532" s="467"/>
      <c r="B532" s="504"/>
      <c r="C532" s="468"/>
      <c r="D532" s="616"/>
      <c r="E532" s="467"/>
      <c r="F532" s="504"/>
      <c r="G532" s="468"/>
      <c r="H532" s="616"/>
      <c r="I532" s="467"/>
      <c r="J532" s="504"/>
      <c r="K532" s="468"/>
      <c r="L532" s="616"/>
      <c r="M532" s="467"/>
      <c r="N532" s="504"/>
      <c r="O532" s="468"/>
      <c r="P532" s="616"/>
      <c r="Q532" s="635"/>
      <c r="R532" s="636"/>
      <c r="S532" s="637"/>
      <c r="T532" s="629"/>
      <c r="U532" s="635"/>
      <c r="V532" s="636"/>
      <c r="W532" s="637"/>
      <c r="X532" s="629"/>
      <c r="Y532" s="467"/>
      <c r="Z532" s="504"/>
      <c r="AA532" s="468"/>
      <c r="AB532" s="616"/>
      <c r="AC532" s="635"/>
      <c r="AD532" s="636"/>
      <c r="AE532" s="637"/>
      <c r="AF532" s="629"/>
      <c r="AG532" s="635"/>
      <c r="AH532" s="636"/>
      <c r="AI532" s="637"/>
      <c r="AJ532" s="629"/>
      <c r="AK532" s="435"/>
      <c r="AL532" s="435"/>
      <c r="AM532" s="435"/>
      <c r="AN532" s="435"/>
      <c r="AO532" s="467"/>
      <c r="AP532" s="504"/>
      <c r="AQ532" s="468"/>
      <c r="AR532" s="616"/>
      <c r="AS532" s="630"/>
      <c r="AT532" s="630"/>
    </row>
    <row r="533">
      <c r="A533" s="467"/>
      <c r="B533" s="504"/>
      <c r="C533" s="468"/>
      <c r="D533" s="616"/>
      <c r="E533" s="467"/>
      <c r="F533" s="504"/>
      <c r="G533" s="468"/>
      <c r="H533" s="616"/>
      <c r="I533" s="467"/>
      <c r="J533" s="504"/>
      <c r="K533" s="468"/>
      <c r="L533" s="616"/>
      <c r="M533" s="467"/>
      <c r="N533" s="504"/>
      <c r="O533" s="468"/>
      <c r="P533" s="616"/>
      <c r="Q533" s="635"/>
      <c r="R533" s="636"/>
      <c r="S533" s="637"/>
      <c r="T533" s="629"/>
      <c r="U533" s="635"/>
      <c r="V533" s="636"/>
      <c r="W533" s="637"/>
      <c r="X533" s="629"/>
      <c r="Y533" s="467"/>
      <c r="Z533" s="504"/>
      <c r="AA533" s="468"/>
      <c r="AB533" s="616"/>
      <c r="AC533" s="635"/>
      <c r="AD533" s="636"/>
      <c r="AE533" s="637"/>
      <c r="AF533" s="629"/>
      <c r="AG533" s="635"/>
      <c r="AH533" s="636"/>
      <c r="AI533" s="637"/>
      <c r="AJ533" s="629"/>
      <c r="AK533" s="435"/>
      <c r="AL533" s="435"/>
      <c r="AM533" s="435"/>
      <c r="AN533" s="435"/>
      <c r="AO533" s="467"/>
      <c r="AP533" s="504"/>
      <c r="AQ533" s="468"/>
      <c r="AR533" s="616"/>
      <c r="AS533" s="630"/>
      <c r="AT533" s="630"/>
    </row>
    <row r="534">
      <c r="A534" s="467"/>
      <c r="B534" s="504"/>
      <c r="C534" s="468"/>
      <c r="D534" s="616"/>
      <c r="E534" s="467"/>
      <c r="F534" s="504"/>
      <c r="G534" s="468"/>
      <c r="H534" s="616"/>
      <c r="I534" s="467"/>
      <c r="J534" s="504"/>
      <c r="K534" s="468"/>
      <c r="L534" s="616"/>
      <c r="M534" s="467"/>
      <c r="N534" s="504"/>
      <c r="O534" s="468"/>
      <c r="P534" s="616"/>
      <c r="Q534" s="635"/>
      <c r="R534" s="636"/>
      <c r="S534" s="637"/>
      <c r="T534" s="629"/>
      <c r="U534" s="635"/>
      <c r="V534" s="636"/>
      <c r="W534" s="637"/>
      <c r="X534" s="629"/>
      <c r="Y534" s="467"/>
      <c r="Z534" s="504"/>
      <c r="AA534" s="468"/>
      <c r="AB534" s="616"/>
      <c r="AC534" s="635"/>
      <c r="AD534" s="636"/>
      <c r="AE534" s="637"/>
      <c r="AF534" s="629"/>
      <c r="AG534" s="635"/>
      <c r="AH534" s="636"/>
      <c r="AI534" s="637"/>
      <c r="AJ534" s="629"/>
      <c r="AK534" s="435"/>
      <c r="AL534" s="435"/>
      <c r="AM534" s="435"/>
      <c r="AN534" s="435"/>
      <c r="AO534" s="467"/>
      <c r="AP534" s="504"/>
      <c r="AQ534" s="468"/>
      <c r="AR534" s="616"/>
      <c r="AS534" s="630"/>
      <c r="AT534" s="630"/>
    </row>
    <row r="535">
      <c r="A535" s="467"/>
      <c r="B535" s="504"/>
      <c r="C535" s="468"/>
      <c r="D535" s="616"/>
      <c r="E535" s="467"/>
      <c r="F535" s="504"/>
      <c r="G535" s="468"/>
      <c r="H535" s="616"/>
      <c r="I535" s="467"/>
      <c r="J535" s="504"/>
      <c r="K535" s="468"/>
      <c r="L535" s="616"/>
      <c r="M535" s="467"/>
      <c r="N535" s="504"/>
      <c r="O535" s="468"/>
      <c r="P535" s="616"/>
      <c r="Q535" s="635"/>
      <c r="R535" s="636"/>
      <c r="S535" s="637"/>
      <c r="T535" s="629"/>
      <c r="U535" s="635"/>
      <c r="V535" s="636"/>
      <c r="W535" s="637"/>
      <c r="X535" s="629"/>
      <c r="Y535" s="467"/>
      <c r="Z535" s="504"/>
      <c r="AA535" s="468"/>
      <c r="AB535" s="616"/>
      <c r="AC535" s="635"/>
      <c r="AD535" s="636"/>
      <c r="AE535" s="637"/>
      <c r="AF535" s="629"/>
      <c r="AG535" s="635"/>
      <c r="AH535" s="636"/>
      <c r="AI535" s="637"/>
      <c r="AJ535" s="629"/>
      <c r="AK535" s="435"/>
      <c r="AL535" s="435"/>
      <c r="AM535" s="435"/>
      <c r="AN535" s="435"/>
      <c r="AO535" s="467"/>
      <c r="AP535" s="504"/>
      <c r="AQ535" s="468"/>
      <c r="AR535" s="616"/>
      <c r="AS535" s="630"/>
      <c r="AT535" s="630"/>
    </row>
    <row r="536">
      <c r="A536" s="467"/>
      <c r="B536" s="504"/>
      <c r="C536" s="468"/>
      <c r="D536" s="616"/>
      <c r="E536" s="467"/>
      <c r="F536" s="504"/>
      <c r="G536" s="468"/>
      <c r="H536" s="616"/>
      <c r="I536" s="467"/>
      <c r="J536" s="504"/>
      <c r="K536" s="468"/>
      <c r="L536" s="616"/>
      <c r="M536" s="467"/>
      <c r="N536" s="504"/>
      <c r="O536" s="468"/>
      <c r="P536" s="616"/>
      <c r="Q536" s="635"/>
      <c r="R536" s="636"/>
      <c r="S536" s="637"/>
      <c r="T536" s="629"/>
      <c r="U536" s="635"/>
      <c r="V536" s="636"/>
      <c r="W536" s="637"/>
      <c r="X536" s="629"/>
      <c r="Y536" s="467"/>
      <c r="Z536" s="504"/>
      <c r="AA536" s="468"/>
      <c r="AB536" s="616"/>
      <c r="AC536" s="635"/>
      <c r="AD536" s="636"/>
      <c r="AE536" s="637"/>
      <c r="AF536" s="629"/>
      <c r="AG536" s="635"/>
      <c r="AH536" s="636"/>
      <c r="AI536" s="637"/>
      <c r="AJ536" s="629"/>
      <c r="AK536" s="435"/>
      <c r="AL536" s="435"/>
      <c r="AM536" s="435"/>
      <c r="AN536" s="435"/>
      <c r="AO536" s="467"/>
      <c r="AP536" s="504"/>
      <c r="AQ536" s="468"/>
      <c r="AR536" s="616"/>
      <c r="AS536" s="630"/>
      <c r="AT536" s="630"/>
    </row>
    <row r="537">
      <c r="A537" s="467"/>
      <c r="B537" s="504"/>
      <c r="C537" s="468"/>
      <c r="D537" s="616"/>
      <c r="E537" s="467"/>
      <c r="F537" s="504"/>
      <c r="G537" s="468"/>
      <c r="H537" s="616"/>
      <c r="I537" s="467"/>
      <c r="J537" s="504"/>
      <c r="K537" s="468"/>
      <c r="L537" s="616"/>
      <c r="M537" s="467"/>
      <c r="N537" s="504"/>
      <c r="O537" s="468"/>
      <c r="P537" s="616"/>
      <c r="Q537" s="635"/>
      <c r="R537" s="636"/>
      <c r="S537" s="637"/>
      <c r="T537" s="629"/>
      <c r="U537" s="635"/>
      <c r="V537" s="636"/>
      <c r="W537" s="637"/>
      <c r="X537" s="629"/>
      <c r="Y537" s="467"/>
      <c r="Z537" s="504"/>
      <c r="AA537" s="468"/>
      <c r="AB537" s="616"/>
      <c r="AC537" s="635"/>
      <c r="AD537" s="636"/>
      <c r="AE537" s="637"/>
      <c r="AF537" s="629"/>
      <c r="AG537" s="635"/>
      <c r="AH537" s="636"/>
      <c r="AI537" s="637"/>
      <c r="AJ537" s="629"/>
      <c r="AK537" s="435"/>
      <c r="AL537" s="435"/>
      <c r="AM537" s="435"/>
      <c r="AN537" s="435"/>
      <c r="AO537" s="467"/>
      <c r="AP537" s="504"/>
      <c r="AQ537" s="468"/>
      <c r="AR537" s="616"/>
      <c r="AS537" s="630"/>
      <c r="AT537" s="630"/>
    </row>
    <row r="538">
      <c r="A538" s="467"/>
      <c r="B538" s="504"/>
      <c r="C538" s="468"/>
      <c r="D538" s="616"/>
      <c r="E538" s="467"/>
      <c r="F538" s="504"/>
      <c r="G538" s="468"/>
      <c r="H538" s="616"/>
      <c r="I538" s="467"/>
      <c r="J538" s="504"/>
      <c r="K538" s="468"/>
      <c r="L538" s="616"/>
      <c r="M538" s="467"/>
      <c r="N538" s="504"/>
      <c r="O538" s="468"/>
      <c r="P538" s="616"/>
      <c r="Q538" s="635"/>
      <c r="R538" s="636"/>
      <c r="S538" s="637"/>
      <c r="T538" s="629"/>
      <c r="U538" s="635"/>
      <c r="V538" s="636"/>
      <c r="W538" s="637"/>
      <c r="X538" s="629"/>
      <c r="Y538" s="467"/>
      <c r="Z538" s="504"/>
      <c r="AA538" s="468"/>
      <c r="AB538" s="616"/>
      <c r="AC538" s="635"/>
      <c r="AD538" s="636"/>
      <c r="AE538" s="637"/>
      <c r="AF538" s="629"/>
      <c r="AG538" s="635"/>
      <c r="AH538" s="636"/>
      <c r="AI538" s="637"/>
      <c r="AJ538" s="629"/>
      <c r="AK538" s="435"/>
      <c r="AL538" s="435"/>
      <c r="AM538" s="435"/>
      <c r="AN538" s="435"/>
      <c r="AO538" s="467"/>
      <c r="AP538" s="504"/>
      <c r="AQ538" s="468"/>
      <c r="AR538" s="616"/>
      <c r="AS538" s="630"/>
      <c r="AT538" s="630"/>
    </row>
    <row r="539">
      <c r="A539" s="467"/>
      <c r="B539" s="504"/>
      <c r="C539" s="468"/>
      <c r="D539" s="616"/>
      <c r="E539" s="467"/>
      <c r="F539" s="504"/>
      <c r="G539" s="468"/>
      <c r="H539" s="616"/>
      <c r="I539" s="467"/>
      <c r="J539" s="504"/>
      <c r="K539" s="468"/>
      <c r="L539" s="616"/>
      <c r="M539" s="467"/>
      <c r="N539" s="504"/>
      <c r="O539" s="468"/>
      <c r="P539" s="616"/>
      <c r="Q539" s="635"/>
      <c r="R539" s="636"/>
      <c r="S539" s="637"/>
      <c r="T539" s="629"/>
      <c r="U539" s="635"/>
      <c r="V539" s="636"/>
      <c r="W539" s="637"/>
      <c r="X539" s="629"/>
      <c r="Y539" s="467"/>
      <c r="Z539" s="504"/>
      <c r="AA539" s="468"/>
      <c r="AB539" s="616"/>
      <c r="AC539" s="635"/>
      <c r="AD539" s="636"/>
      <c r="AE539" s="637"/>
      <c r="AF539" s="629"/>
      <c r="AG539" s="635"/>
      <c r="AH539" s="636"/>
      <c r="AI539" s="637"/>
      <c r="AJ539" s="629"/>
      <c r="AK539" s="435"/>
      <c r="AL539" s="435"/>
      <c r="AM539" s="435"/>
      <c r="AN539" s="435"/>
      <c r="AO539" s="467"/>
      <c r="AP539" s="504"/>
      <c r="AQ539" s="468"/>
      <c r="AR539" s="616"/>
      <c r="AS539" s="630"/>
      <c r="AT539" s="630"/>
    </row>
    <row r="540">
      <c r="A540" s="467"/>
      <c r="B540" s="504"/>
      <c r="C540" s="468"/>
      <c r="D540" s="616"/>
      <c r="E540" s="467"/>
      <c r="F540" s="504"/>
      <c r="G540" s="468"/>
      <c r="H540" s="616"/>
      <c r="I540" s="467"/>
      <c r="J540" s="504"/>
      <c r="K540" s="468"/>
      <c r="L540" s="616"/>
      <c r="M540" s="467"/>
      <c r="N540" s="504"/>
      <c r="O540" s="468"/>
      <c r="P540" s="616"/>
      <c r="Q540" s="635"/>
      <c r="R540" s="636"/>
      <c r="S540" s="637"/>
      <c r="T540" s="629"/>
      <c r="U540" s="635"/>
      <c r="V540" s="636"/>
      <c r="W540" s="637"/>
      <c r="X540" s="629"/>
      <c r="Y540" s="467"/>
      <c r="Z540" s="504"/>
      <c r="AA540" s="468"/>
      <c r="AB540" s="616"/>
      <c r="AC540" s="635"/>
      <c r="AD540" s="636"/>
      <c r="AE540" s="637"/>
      <c r="AF540" s="629"/>
      <c r="AG540" s="635"/>
      <c r="AH540" s="636"/>
      <c r="AI540" s="637"/>
      <c r="AJ540" s="629"/>
      <c r="AK540" s="435"/>
      <c r="AL540" s="435"/>
      <c r="AM540" s="435"/>
      <c r="AN540" s="435"/>
      <c r="AO540" s="467"/>
      <c r="AP540" s="504"/>
      <c r="AQ540" s="468"/>
      <c r="AR540" s="616"/>
      <c r="AS540" s="630"/>
      <c r="AT540" s="630"/>
    </row>
    <row r="541">
      <c r="A541" s="467"/>
      <c r="B541" s="504"/>
      <c r="C541" s="468"/>
      <c r="D541" s="616"/>
      <c r="E541" s="467"/>
      <c r="F541" s="504"/>
      <c r="G541" s="468"/>
      <c r="H541" s="616"/>
      <c r="I541" s="467"/>
      <c r="J541" s="504"/>
      <c r="K541" s="468"/>
      <c r="L541" s="616"/>
      <c r="M541" s="467"/>
      <c r="N541" s="504"/>
      <c r="O541" s="468"/>
      <c r="P541" s="616"/>
      <c r="Q541" s="635"/>
      <c r="R541" s="636"/>
      <c r="S541" s="637"/>
      <c r="T541" s="629"/>
      <c r="U541" s="635"/>
      <c r="V541" s="636"/>
      <c r="W541" s="637"/>
      <c r="X541" s="629"/>
      <c r="Y541" s="467"/>
      <c r="Z541" s="504"/>
      <c r="AA541" s="468"/>
      <c r="AB541" s="616"/>
      <c r="AC541" s="635"/>
      <c r="AD541" s="636"/>
      <c r="AE541" s="637"/>
      <c r="AF541" s="629"/>
      <c r="AG541" s="635"/>
      <c r="AH541" s="636"/>
      <c r="AI541" s="637"/>
      <c r="AJ541" s="629"/>
      <c r="AK541" s="435"/>
      <c r="AL541" s="435"/>
      <c r="AM541" s="435"/>
      <c r="AN541" s="435"/>
      <c r="AO541" s="467"/>
      <c r="AP541" s="504"/>
      <c r="AQ541" s="468"/>
      <c r="AR541" s="616"/>
      <c r="AS541" s="630"/>
      <c r="AT541" s="630"/>
    </row>
    <row r="542">
      <c r="A542" s="467"/>
      <c r="B542" s="504"/>
      <c r="C542" s="468"/>
      <c r="D542" s="616"/>
      <c r="E542" s="467"/>
      <c r="F542" s="504"/>
      <c r="G542" s="468"/>
      <c r="H542" s="616"/>
      <c r="I542" s="467"/>
      <c r="J542" s="504"/>
      <c r="K542" s="468"/>
      <c r="L542" s="616"/>
      <c r="M542" s="467"/>
      <c r="N542" s="504"/>
      <c r="O542" s="468"/>
      <c r="P542" s="616"/>
      <c r="Q542" s="635"/>
      <c r="R542" s="636"/>
      <c r="S542" s="637"/>
      <c r="T542" s="629"/>
      <c r="U542" s="635"/>
      <c r="V542" s="636"/>
      <c r="W542" s="637"/>
      <c r="X542" s="629"/>
      <c r="Y542" s="467"/>
      <c r="Z542" s="504"/>
      <c r="AA542" s="468"/>
      <c r="AB542" s="616"/>
      <c r="AC542" s="635"/>
      <c r="AD542" s="636"/>
      <c r="AE542" s="637"/>
      <c r="AF542" s="629"/>
      <c r="AG542" s="635"/>
      <c r="AH542" s="636"/>
      <c r="AI542" s="637"/>
      <c r="AJ542" s="629"/>
      <c r="AK542" s="435"/>
      <c r="AL542" s="435"/>
      <c r="AM542" s="435"/>
      <c r="AN542" s="435"/>
      <c r="AO542" s="467"/>
      <c r="AP542" s="504"/>
      <c r="AQ542" s="468"/>
      <c r="AR542" s="616"/>
      <c r="AS542" s="630"/>
      <c r="AT542" s="630"/>
    </row>
    <row r="543">
      <c r="A543" s="467"/>
      <c r="B543" s="504"/>
      <c r="C543" s="468"/>
      <c r="D543" s="616"/>
      <c r="E543" s="467"/>
      <c r="F543" s="504"/>
      <c r="G543" s="468"/>
      <c r="H543" s="616"/>
      <c r="I543" s="467"/>
      <c r="J543" s="504"/>
      <c r="K543" s="468"/>
      <c r="L543" s="616"/>
      <c r="M543" s="467"/>
      <c r="N543" s="504"/>
      <c r="O543" s="468"/>
      <c r="P543" s="616"/>
      <c r="Q543" s="635"/>
      <c r="R543" s="636"/>
      <c r="S543" s="637"/>
      <c r="T543" s="629"/>
      <c r="U543" s="635"/>
      <c r="V543" s="636"/>
      <c r="W543" s="637"/>
      <c r="X543" s="629"/>
      <c r="Y543" s="467"/>
      <c r="Z543" s="504"/>
      <c r="AA543" s="468"/>
      <c r="AB543" s="616"/>
      <c r="AC543" s="635"/>
      <c r="AD543" s="636"/>
      <c r="AE543" s="637"/>
      <c r="AF543" s="629"/>
      <c r="AG543" s="635"/>
      <c r="AH543" s="636"/>
      <c r="AI543" s="637"/>
      <c r="AJ543" s="629"/>
      <c r="AK543" s="435"/>
      <c r="AL543" s="435"/>
      <c r="AM543" s="435"/>
      <c r="AN543" s="435"/>
      <c r="AO543" s="467"/>
      <c r="AP543" s="504"/>
      <c r="AQ543" s="468"/>
      <c r="AR543" s="616"/>
      <c r="AS543" s="630"/>
      <c r="AT543" s="630"/>
    </row>
    <row r="544">
      <c r="A544" s="467"/>
      <c r="B544" s="504"/>
      <c r="C544" s="468"/>
      <c r="D544" s="616"/>
      <c r="E544" s="467"/>
      <c r="F544" s="504"/>
      <c r="G544" s="468"/>
      <c r="H544" s="616"/>
      <c r="I544" s="467"/>
      <c r="J544" s="504"/>
      <c r="K544" s="468"/>
      <c r="L544" s="616"/>
      <c r="M544" s="467"/>
      <c r="N544" s="504"/>
      <c r="O544" s="468"/>
      <c r="P544" s="616"/>
      <c r="Q544" s="635"/>
      <c r="R544" s="636"/>
      <c r="S544" s="637"/>
      <c r="T544" s="629"/>
      <c r="U544" s="635"/>
      <c r="V544" s="636"/>
      <c r="W544" s="637"/>
      <c r="X544" s="629"/>
      <c r="Y544" s="467"/>
      <c r="Z544" s="504"/>
      <c r="AA544" s="468"/>
      <c r="AB544" s="616"/>
      <c r="AC544" s="635"/>
      <c r="AD544" s="636"/>
      <c r="AE544" s="637"/>
      <c r="AF544" s="629"/>
      <c r="AG544" s="635"/>
      <c r="AH544" s="636"/>
      <c r="AI544" s="637"/>
      <c r="AJ544" s="629"/>
      <c r="AK544" s="435"/>
      <c r="AL544" s="435"/>
      <c r="AM544" s="435"/>
      <c r="AN544" s="435"/>
      <c r="AO544" s="467"/>
      <c r="AP544" s="504"/>
      <c r="AQ544" s="468"/>
      <c r="AR544" s="616"/>
      <c r="AS544" s="630"/>
      <c r="AT544" s="630"/>
    </row>
    <row r="545">
      <c r="A545" s="467"/>
      <c r="B545" s="504"/>
      <c r="C545" s="468"/>
      <c r="D545" s="616"/>
      <c r="E545" s="467"/>
      <c r="F545" s="504"/>
      <c r="G545" s="468"/>
      <c r="H545" s="616"/>
      <c r="I545" s="467"/>
      <c r="J545" s="504"/>
      <c r="K545" s="468"/>
      <c r="L545" s="616"/>
      <c r="M545" s="467"/>
      <c r="N545" s="504"/>
      <c r="O545" s="468"/>
      <c r="P545" s="616"/>
      <c r="Q545" s="635"/>
      <c r="R545" s="636"/>
      <c r="S545" s="637"/>
      <c r="T545" s="629"/>
      <c r="U545" s="635"/>
      <c r="V545" s="636"/>
      <c r="W545" s="637"/>
      <c r="X545" s="629"/>
      <c r="Y545" s="467"/>
      <c r="Z545" s="504"/>
      <c r="AA545" s="468"/>
      <c r="AB545" s="616"/>
      <c r="AC545" s="635"/>
      <c r="AD545" s="636"/>
      <c r="AE545" s="637"/>
      <c r="AF545" s="629"/>
      <c r="AG545" s="635"/>
      <c r="AH545" s="636"/>
      <c r="AI545" s="637"/>
      <c r="AJ545" s="629"/>
      <c r="AK545" s="435"/>
      <c r="AL545" s="435"/>
      <c r="AM545" s="435"/>
      <c r="AN545" s="435"/>
      <c r="AO545" s="467"/>
      <c r="AP545" s="504"/>
      <c r="AQ545" s="468"/>
      <c r="AR545" s="616"/>
      <c r="AS545" s="630"/>
      <c r="AT545" s="630"/>
    </row>
    <row r="546">
      <c r="A546" s="467"/>
      <c r="B546" s="504"/>
      <c r="C546" s="468"/>
      <c r="D546" s="616"/>
      <c r="E546" s="467"/>
      <c r="F546" s="504"/>
      <c r="G546" s="468"/>
      <c r="H546" s="616"/>
      <c r="I546" s="467"/>
      <c r="J546" s="504"/>
      <c r="K546" s="468"/>
      <c r="L546" s="616"/>
      <c r="M546" s="467"/>
      <c r="N546" s="504"/>
      <c r="O546" s="468"/>
      <c r="P546" s="616"/>
      <c r="Q546" s="635"/>
      <c r="R546" s="636"/>
      <c r="S546" s="637"/>
      <c r="T546" s="629"/>
      <c r="U546" s="635"/>
      <c r="V546" s="636"/>
      <c r="W546" s="637"/>
      <c r="X546" s="629"/>
      <c r="Y546" s="467"/>
      <c r="Z546" s="504"/>
      <c r="AA546" s="468"/>
      <c r="AB546" s="616"/>
      <c r="AC546" s="635"/>
      <c r="AD546" s="636"/>
      <c r="AE546" s="637"/>
      <c r="AF546" s="629"/>
      <c r="AG546" s="635"/>
      <c r="AH546" s="636"/>
      <c r="AI546" s="637"/>
      <c r="AJ546" s="629"/>
      <c r="AK546" s="435"/>
      <c r="AL546" s="435"/>
      <c r="AM546" s="435"/>
      <c r="AN546" s="435"/>
      <c r="AO546" s="467"/>
      <c r="AP546" s="504"/>
      <c r="AQ546" s="468"/>
      <c r="AR546" s="616"/>
      <c r="AS546" s="630"/>
      <c r="AT546" s="630"/>
    </row>
    <row r="547">
      <c r="A547" s="467"/>
      <c r="B547" s="504"/>
      <c r="C547" s="468"/>
      <c r="D547" s="616"/>
      <c r="E547" s="467"/>
      <c r="F547" s="504"/>
      <c r="G547" s="468"/>
      <c r="H547" s="616"/>
      <c r="I547" s="467"/>
      <c r="J547" s="504"/>
      <c r="K547" s="468"/>
      <c r="L547" s="616"/>
      <c r="M547" s="467"/>
      <c r="N547" s="504"/>
      <c r="O547" s="468"/>
      <c r="P547" s="616"/>
      <c r="Q547" s="635"/>
      <c r="R547" s="636"/>
      <c r="S547" s="637"/>
      <c r="T547" s="629"/>
      <c r="U547" s="635"/>
      <c r="V547" s="636"/>
      <c r="W547" s="637"/>
      <c r="X547" s="629"/>
      <c r="Y547" s="467"/>
      <c r="Z547" s="504"/>
      <c r="AA547" s="468"/>
      <c r="AB547" s="616"/>
      <c r="AC547" s="635"/>
      <c r="AD547" s="636"/>
      <c r="AE547" s="637"/>
      <c r="AF547" s="629"/>
      <c r="AG547" s="635"/>
      <c r="AH547" s="636"/>
      <c r="AI547" s="637"/>
      <c r="AJ547" s="629"/>
      <c r="AK547" s="435"/>
      <c r="AL547" s="435"/>
      <c r="AM547" s="435"/>
      <c r="AN547" s="435"/>
      <c r="AO547" s="467"/>
      <c r="AP547" s="504"/>
      <c r="AQ547" s="468"/>
      <c r="AR547" s="616"/>
      <c r="AS547" s="630"/>
      <c r="AT547" s="630"/>
    </row>
    <row r="548">
      <c r="A548" s="467"/>
      <c r="B548" s="504"/>
      <c r="C548" s="468"/>
      <c r="D548" s="616"/>
      <c r="E548" s="467"/>
      <c r="F548" s="504"/>
      <c r="G548" s="468"/>
      <c r="H548" s="616"/>
      <c r="I548" s="467"/>
      <c r="J548" s="504"/>
      <c r="K548" s="468"/>
      <c r="L548" s="616"/>
      <c r="M548" s="467"/>
      <c r="N548" s="504"/>
      <c r="O548" s="468"/>
      <c r="P548" s="616"/>
      <c r="Q548" s="635"/>
      <c r="R548" s="636"/>
      <c r="S548" s="637"/>
      <c r="T548" s="629"/>
      <c r="U548" s="635"/>
      <c r="V548" s="636"/>
      <c r="W548" s="637"/>
      <c r="X548" s="629"/>
      <c r="Y548" s="467"/>
      <c r="Z548" s="504"/>
      <c r="AA548" s="468"/>
      <c r="AB548" s="616"/>
      <c r="AC548" s="635"/>
      <c r="AD548" s="636"/>
      <c r="AE548" s="637"/>
      <c r="AF548" s="629"/>
      <c r="AG548" s="635"/>
      <c r="AH548" s="636"/>
      <c r="AI548" s="637"/>
      <c r="AJ548" s="629"/>
      <c r="AK548" s="435"/>
      <c r="AL548" s="435"/>
      <c r="AM548" s="435"/>
      <c r="AN548" s="435"/>
      <c r="AO548" s="467"/>
      <c r="AP548" s="504"/>
      <c r="AQ548" s="468"/>
      <c r="AR548" s="616"/>
      <c r="AS548" s="630"/>
      <c r="AT548" s="630"/>
    </row>
    <row r="549">
      <c r="A549" s="467"/>
      <c r="B549" s="504"/>
      <c r="C549" s="468"/>
      <c r="D549" s="616"/>
      <c r="E549" s="467"/>
      <c r="F549" s="504"/>
      <c r="G549" s="468"/>
      <c r="H549" s="616"/>
      <c r="I549" s="467"/>
      <c r="J549" s="504"/>
      <c r="K549" s="468"/>
      <c r="L549" s="616"/>
      <c r="M549" s="467"/>
      <c r="N549" s="504"/>
      <c r="O549" s="468"/>
      <c r="P549" s="616"/>
      <c r="Q549" s="635"/>
      <c r="R549" s="636"/>
      <c r="S549" s="637"/>
      <c r="T549" s="629"/>
      <c r="U549" s="635"/>
      <c r="V549" s="636"/>
      <c r="W549" s="637"/>
      <c r="X549" s="629"/>
      <c r="Y549" s="467"/>
      <c r="Z549" s="504"/>
      <c r="AA549" s="468"/>
      <c r="AB549" s="616"/>
      <c r="AC549" s="635"/>
      <c r="AD549" s="636"/>
      <c r="AE549" s="637"/>
      <c r="AF549" s="629"/>
      <c r="AG549" s="635"/>
      <c r="AH549" s="636"/>
      <c r="AI549" s="637"/>
      <c r="AJ549" s="629"/>
      <c r="AK549" s="435"/>
      <c r="AL549" s="435"/>
      <c r="AM549" s="435"/>
      <c r="AN549" s="435"/>
      <c r="AO549" s="467"/>
      <c r="AP549" s="504"/>
      <c r="AQ549" s="468"/>
      <c r="AR549" s="616"/>
      <c r="AS549" s="630"/>
      <c r="AT549" s="630"/>
    </row>
    <row r="550">
      <c r="A550" s="467"/>
      <c r="B550" s="504"/>
      <c r="C550" s="468"/>
      <c r="D550" s="616"/>
      <c r="E550" s="467"/>
      <c r="F550" s="504"/>
      <c r="G550" s="468"/>
      <c r="H550" s="616"/>
      <c r="I550" s="467"/>
      <c r="J550" s="504"/>
      <c r="K550" s="468"/>
      <c r="L550" s="616"/>
      <c r="M550" s="467"/>
      <c r="N550" s="504"/>
      <c r="O550" s="468"/>
      <c r="P550" s="616"/>
      <c r="Q550" s="635"/>
      <c r="R550" s="636"/>
      <c r="S550" s="637"/>
      <c r="T550" s="629"/>
      <c r="U550" s="635"/>
      <c r="V550" s="636"/>
      <c r="W550" s="637"/>
      <c r="X550" s="629"/>
      <c r="Y550" s="467"/>
      <c r="Z550" s="504"/>
      <c r="AA550" s="468"/>
      <c r="AB550" s="616"/>
      <c r="AC550" s="635"/>
      <c r="AD550" s="636"/>
      <c r="AE550" s="637"/>
      <c r="AF550" s="629"/>
      <c r="AG550" s="635"/>
      <c r="AH550" s="636"/>
      <c r="AI550" s="637"/>
      <c r="AJ550" s="629"/>
      <c r="AK550" s="435"/>
      <c r="AL550" s="435"/>
      <c r="AM550" s="435"/>
      <c r="AN550" s="435"/>
      <c r="AO550" s="467"/>
      <c r="AP550" s="504"/>
      <c r="AQ550" s="468"/>
      <c r="AR550" s="616"/>
      <c r="AS550" s="630"/>
      <c r="AT550" s="630"/>
    </row>
    <row r="551">
      <c r="A551" s="467"/>
      <c r="B551" s="504"/>
      <c r="C551" s="468"/>
      <c r="D551" s="616"/>
      <c r="E551" s="467"/>
      <c r="F551" s="504"/>
      <c r="G551" s="468"/>
      <c r="H551" s="616"/>
      <c r="I551" s="467"/>
      <c r="J551" s="504"/>
      <c r="K551" s="468"/>
      <c r="L551" s="616"/>
      <c r="M551" s="467"/>
      <c r="N551" s="504"/>
      <c r="O551" s="468"/>
      <c r="P551" s="616"/>
      <c r="Q551" s="635"/>
      <c r="R551" s="636"/>
      <c r="S551" s="637"/>
      <c r="T551" s="629"/>
      <c r="U551" s="635"/>
      <c r="V551" s="636"/>
      <c r="W551" s="637"/>
      <c r="X551" s="629"/>
      <c r="Y551" s="467"/>
      <c r="Z551" s="504"/>
      <c r="AA551" s="468"/>
      <c r="AB551" s="616"/>
      <c r="AC551" s="635"/>
      <c r="AD551" s="636"/>
      <c r="AE551" s="637"/>
      <c r="AF551" s="629"/>
      <c r="AG551" s="635"/>
      <c r="AH551" s="636"/>
      <c r="AI551" s="637"/>
      <c r="AJ551" s="629"/>
      <c r="AK551" s="435"/>
      <c r="AL551" s="435"/>
      <c r="AM551" s="435"/>
      <c r="AN551" s="435"/>
      <c r="AO551" s="467"/>
      <c r="AP551" s="504"/>
      <c r="AQ551" s="468"/>
      <c r="AR551" s="616"/>
      <c r="AS551" s="630"/>
      <c r="AT551" s="630"/>
    </row>
    <row r="552">
      <c r="A552" s="467"/>
      <c r="B552" s="504"/>
      <c r="C552" s="468"/>
      <c r="D552" s="616"/>
      <c r="E552" s="467"/>
      <c r="F552" s="504"/>
      <c r="G552" s="468"/>
      <c r="H552" s="616"/>
      <c r="I552" s="467"/>
      <c r="J552" s="504"/>
      <c r="K552" s="468"/>
      <c r="L552" s="616"/>
      <c r="M552" s="467"/>
      <c r="N552" s="504"/>
      <c r="O552" s="468"/>
      <c r="P552" s="616"/>
      <c r="Q552" s="635"/>
      <c r="R552" s="636"/>
      <c r="S552" s="637"/>
      <c r="T552" s="629"/>
      <c r="U552" s="635"/>
      <c r="V552" s="636"/>
      <c r="W552" s="637"/>
      <c r="X552" s="629"/>
      <c r="Y552" s="467"/>
      <c r="Z552" s="504"/>
      <c r="AA552" s="468"/>
      <c r="AB552" s="616"/>
      <c r="AC552" s="635"/>
      <c r="AD552" s="636"/>
      <c r="AE552" s="637"/>
      <c r="AF552" s="629"/>
      <c r="AG552" s="635"/>
      <c r="AH552" s="636"/>
      <c r="AI552" s="637"/>
      <c r="AJ552" s="629"/>
      <c r="AK552" s="435"/>
      <c r="AL552" s="435"/>
      <c r="AM552" s="435"/>
      <c r="AN552" s="435"/>
      <c r="AO552" s="467"/>
      <c r="AP552" s="504"/>
      <c r="AQ552" s="468"/>
      <c r="AR552" s="616"/>
      <c r="AS552" s="630"/>
      <c r="AT552" s="630"/>
    </row>
    <row r="553">
      <c r="A553" s="467"/>
      <c r="B553" s="504"/>
      <c r="C553" s="468"/>
      <c r="D553" s="616"/>
      <c r="E553" s="467"/>
      <c r="F553" s="504"/>
      <c r="G553" s="468"/>
      <c r="H553" s="616"/>
      <c r="I553" s="467"/>
      <c r="J553" s="504"/>
      <c r="K553" s="468"/>
      <c r="L553" s="616"/>
      <c r="M553" s="467"/>
      <c r="N553" s="504"/>
      <c r="O553" s="468"/>
      <c r="P553" s="616"/>
      <c r="Q553" s="635"/>
      <c r="R553" s="636"/>
      <c r="S553" s="637"/>
      <c r="T553" s="629"/>
      <c r="U553" s="635"/>
      <c r="V553" s="636"/>
      <c r="W553" s="637"/>
      <c r="X553" s="629"/>
      <c r="Y553" s="467"/>
      <c r="Z553" s="504"/>
      <c r="AA553" s="468"/>
      <c r="AB553" s="616"/>
      <c r="AC553" s="635"/>
      <c r="AD553" s="636"/>
      <c r="AE553" s="637"/>
      <c r="AF553" s="629"/>
      <c r="AG553" s="635"/>
      <c r="AH553" s="636"/>
      <c r="AI553" s="637"/>
      <c r="AJ553" s="629"/>
      <c r="AK553" s="435"/>
      <c r="AL553" s="435"/>
      <c r="AM553" s="435"/>
      <c r="AN553" s="435"/>
      <c r="AO553" s="467"/>
      <c r="AP553" s="504"/>
      <c r="AQ553" s="468"/>
      <c r="AR553" s="616"/>
      <c r="AS553" s="630"/>
      <c r="AT553" s="630"/>
    </row>
    <row r="554">
      <c r="A554" s="467"/>
      <c r="B554" s="504"/>
      <c r="C554" s="468"/>
      <c r="D554" s="616"/>
      <c r="E554" s="467"/>
      <c r="F554" s="504"/>
      <c r="G554" s="468"/>
      <c r="H554" s="616"/>
      <c r="I554" s="467"/>
      <c r="J554" s="504"/>
      <c r="K554" s="468"/>
      <c r="L554" s="616"/>
      <c r="M554" s="467"/>
      <c r="N554" s="504"/>
      <c r="O554" s="468"/>
      <c r="P554" s="616"/>
      <c r="Q554" s="635"/>
      <c r="R554" s="636"/>
      <c r="S554" s="637"/>
      <c r="T554" s="629"/>
      <c r="U554" s="635"/>
      <c r="V554" s="636"/>
      <c r="W554" s="637"/>
      <c r="X554" s="629"/>
      <c r="Y554" s="467"/>
      <c r="Z554" s="504"/>
      <c r="AA554" s="468"/>
      <c r="AB554" s="616"/>
      <c r="AC554" s="635"/>
      <c r="AD554" s="636"/>
      <c r="AE554" s="637"/>
      <c r="AF554" s="629"/>
      <c r="AG554" s="635"/>
      <c r="AH554" s="636"/>
      <c r="AI554" s="637"/>
      <c r="AJ554" s="629"/>
      <c r="AK554" s="435"/>
      <c r="AL554" s="435"/>
      <c r="AM554" s="435"/>
      <c r="AN554" s="435"/>
      <c r="AO554" s="467"/>
      <c r="AP554" s="504"/>
      <c r="AQ554" s="468"/>
      <c r="AR554" s="616"/>
      <c r="AS554" s="630"/>
      <c r="AT554" s="630"/>
    </row>
    <row r="555">
      <c r="A555" s="467"/>
      <c r="B555" s="504"/>
      <c r="C555" s="468"/>
      <c r="D555" s="616"/>
      <c r="E555" s="467"/>
      <c r="F555" s="504"/>
      <c r="G555" s="468"/>
      <c r="H555" s="616"/>
      <c r="I555" s="467"/>
      <c r="J555" s="504"/>
      <c r="K555" s="468"/>
      <c r="L555" s="616"/>
      <c r="M555" s="467"/>
      <c r="N555" s="504"/>
      <c r="O555" s="468"/>
      <c r="P555" s="616"/>
      <c r="Q555" s="635"/>
      <c r="R555" s="636"/>
      <c r="S555" s="637"/>
      <c r="T555" s="629"/>
      <c r="U555" s="635"/>
      <c r="V555" s="636"/>
      <c r="W555" s="637"/>
      <c r="X555" s="629"/>
      <c r="Y555" s="467"/>
      <c r="Z555" s="504"/>
      <c r="AA555" s="468"/>
      <c r="AB555" s="616"/>
      <c r="AC555" s="635"/>
      <c r="AD555" s="636"/>
      <c r="AE555" s="637"/>
      <c r="AF555" s="629"/>
      <c r="AG555" s="635"/>
      <c r="AH555" s="636"/>
      <c r="AI555" s="637"/>
      <c r="AJ555" s="629"/>
      <c r="AK555" s="435"/>
      <c r="AL555" s="435"/>
      <c r="AM555" s="435"/>
      <c r="AN555" s="435"/>
      <c r="AO555" s="467"/>
      <c r="AP555" s="504"/>
      <c r="AQ555" s="468"/>
      <c r="AR555" s="616"/>
      <c r="AS555" s="630"/>
      <c r="AT555" s="630"/>
    </row>
    <row r="556">
      <c r="A556" s="467"/>
      <c r="B556" s="504"/>
      <c r="C556" s="468"/>
      <c r="D556" s="616"/>
      <c r="E556" s="467"/>
      <c r="F556" s="504"/>
      <c r="G556" s="468"/>
      <c r="H556" s="616"/>
      <c r="I556" s="467"/>
      <c r="J556" s="504"/>
      <c r="K556" s="468"/>
      <c r="L556" s="616"/>
      <c r="M556" s="467"/>
      <c r="N556" s="504"/>
      <c r="O556" s="468"/>
      <c r="P556" s="616"/>
      <c r="Q556" s="635"/>
      <c r="R556" s="636"/>
      <c r="S556" s="637"/>
      <c r="T556" s="629"/>
      <c r="U556" s="635"/>
      <c r="V556" s="636"/>
      <c r="W556" s="637"/>
      <c r="X556" s="629"/>
      <c r="Y556" s="467"/>
      <c r="Z556" s="504"/>
      <c r="AA556" s="468"/>
      <c r="AB556" s="616"/>
      <c r="AC556" s="635"/>
      <c r="AD556" s="636"/>
      <c r="AE556" s="637"/>
      <c r="AF556" s="629"/>
      <c r="AG556" s="635"/>
      <c r="AH556" s="636"/>
      <c r="AI556" s="637"/>
      <c r="AJ556" s="629"/>
      <c r="AK556" s="435"/>
      <c r="AL556" s="435"/>
      <c r="AM556" s="435"/>
      <c r="AN556" s="435"/>
      <c r="AO556" s="467"/>
      <c r="AP556" s="504"/>
      <c r="AQ556" s="468"/>
      <c r="AR556" s="616"/>
      <c r="AS556" s="630"/>
      <c r="AT556" s="630"/>
    </row>
    <row r="557">
      <c r="A557" s="467"/>
      <c r="B557" s="504"/>
      <c r="C557" s="468"/>
      <c r="D557" s="616"/>
      <c r="E557" s="467"/>
      <c r="F557" s="504"/>
      <c r="G557" s="468"/>
      <c r="H557" s="616"/>
      <c r="I557" s="467"/>
      <c r="J557" s="504"/>
      <c r="K557" s="468"/>
      <c r="L557" s="616"/>
      <c r="M557" s="467"/>
      <c r="N557" s="504"/>
      <c r="O557" s="468"/>
      <c r="P557" s="616"/>
      <c r="Q557" s="635"/>
      <c r="R557" s="636"/>
      <c r="S557" s="637"/>
      <c r="T557" s="629"/>
      <c r="U557" s="635"/>
      <c r="V557" s="636"/>
      <c r="W557" s="637"/>
      <c r="X557" s="629"/>
      <c r="Y557" s="467"/>
      <c r="Z557" s="504"/>
      <c r="AA557" s="468"/>
      <c r="AB557" s="616"/>
      <c r="AC557" s="635"/>
      <c r="AD557" s="636"/>
      <c r="AE557" s="637"/>
      <c r="AF557" s="629"/>
      <c r="AG557" s="635"/>
      <c r="AH557" s="636"/>
      <c r="AI557" s="637"/>
      <c r="AJ557" s="629"/>
      <c r="AK557" s="435"/>
      <c r="AL557" s="435"/>
      <c r="AM557" s="435"/>
      <c r="AN557" s="435"/>
      <c r="AO557" s="467"/>
      <c r="AP557" s="504"/>
      <c r="AQ557" s="468"/>
      <c r="AR557" s="616"/>
      <c r="AS557" s="630"/>
      <c r="AT557" s="630"/>
    </row>
    <row r="558">
      <c r="A558" s="467"/>
      <c r="B558" s="504"/>
      <c r="C558" s="468"/>
      <c r="D558" s="616"/>
      <c r="E558" s="467"/>
      <c r="F558" s="504"/>
      <c r="G558" s="468"/>
      <c r="H558" s="616"/>
      <c r="I558" s="467"/>
      <c r="J558" s="504"/>
      <c r="K558" s="468"/>
      <c r="L558" s="616"/>
      <c r="M558" s="467"/>
      <c r="N558" s="504"/>
      <c r="O558" s="468"/>
      <c r="P558" s="616"/>
      <c r="Q558" s="635"/>
      <c r="R558" s="636"/>
      <c r="S558" s="637"/>
      <c r="T558" s="629"/>
      <c r="U558" s="635"/>
      <c r="V558" s="636"/>
      <c r="W558" s="637"/>
      <c r="X558" s="629"/>
      <c r="Y558" s="467"/>
      <c r="Z558" s="504"/>
      <c r="AA558" s="468"/>
      <c r="AB558" s="616"/>
      <c r="AC558" s="635"/>
      <c r="AD558" s="636"/>
      <c r="AE558" s="637"/>
      <c r="AF558" s="629"/>
      <c r="AG558" s="635"/>
      <c r="AH558" s="636"/>
      <c r="AI558" s="637"/>
      <c r="AJ558" s="629"/>
      <c r="AK558" s="435"/>
      <c r="AL558" s="435"/>
      <c r="AM558" s="435"/>
      <c r="AN558" s="435"/>
      <c r="AO558" s="467"/>
      <c r="AP558" s="504"/>
      <c r="AQ558" s="468"/>
      <c r="AR558" s="616"/>
      <c r="AS558" s="630"/>
      <c r="AT558" s="630"/>
    </row>
    <row r="559">
      <c r="A559" s="467"/>
      <c r="B559" s="504"/>
      <c r="C559" s="468"/>
      <c r="D559" s="616"/>
      <c r="E559" s="467"/>
      <c r="F559" s="504"/>
      <c r="G559" s="468"/>
      <c r="H559" s="616"/>
      <c r="I559" s="467"/>
      <c r="J559" s="504"/>
      <c r="K559" s="468"/>
      <c r="L559" s="616"/>
      <c r="M559" s="467"/>
      <c r="N559" s="504"/>
      <c r="O559" s="468"/>
      <c r="P559" s="616"/>
      <c r="Q559" s="635"/>
      <c r="R559" s="636"/>
      <c r="S559" s="637"/>
      <c r="T559" s="629"/>
      <c r="U559" s="635"/>
      <c r="V559" s="636"/>
      <c r="W559" s="637"/>
      <c r="X559" s="629"/>
      <c r="Y559" s="467"/>
      <c r="Z559" s="504"/>
      <c r="AA559" s="468"/>
      <c r="AB559" s="616"/>
      <c r="AC559" s="635"/>
      <c r="AD559" s="636"/>
      <c r="AE559" s="637"/>
      <c r="AF559" s="629"/>
      <c r="AG559" s="635"/>
      <c r="AH559" s="636"/>
      <c r="AI559" s="637"/>
      <c r="AJ559" s="629"/>
      <c r="AK559" s="435"/>
      <c r="AL559" s="435"/>
      <c r="AM559" s="435"/>
      <c r="AN559" s="435"/>
      <c r="AO559" s="467"/>
      <c r="AP559" s="504"/>
      <c r="AQ559" s="468"/>
      <c r="AR559" s="616"/>
      <c r="AS559" s="630"/>
      <c r="AT559" s="630"/>
    </row>
    <row r="560">
      <c r="A560" s="467"/>
      <c r="B560" s="504"/>
      <c r="C560" s="468"/>
      <c r="D560" s="616"/>
      <c r="E560" s="467"/>
      <c r="F560" s="504"/>
      <c r="G560" s="468"/>
      <c r="H560" s="616"/>
      <c r="I560" s="467"/>
      <c r="J560" s="504"/>
      <c r="K560" s="468"/>
      <c r="L560" s="616"/>
      <c r="M560" s="467"/>
      <c r="N560" s="504"/>
      <c r="O560" s="468"/>
      <c r="P560" s="616"/>
      <c r="Q560" s="635"/>
      <c r="R560" s="636"/>
      <c r="S560" s="637"/>
      <c r="T560" s="629"/>
      <c r="U560" s="635"/>
      <c r="V560" s="636"/>
      <c r="W560" s="637"/>
      <c r="X560" s="629"/>
      <c r="Y560" s="467"/>
      <c r="Z560" s="504"/>
      <c r="AA560" s="468"/>
      <c r="AB560" s="616"/>
      <c r="AC560" s="635"/>
      <c r="AD560" s="636"/>
      <c r="AE560" s="637"/>
      <c r="AF560" s="629"/>
      <c r="AG560" s="635"/>
      <c r="AH560" s="636"/>
      <c r="AI560" s="637"/>
      <c r="AJ560" s="629"/>
      <c r="AK560" s="435"/>
      <c r="AL560" s="435"/>
      <c r="AM560" s="435"/>
      <c r="AN560" s="435"/>
      <c r="AO560" s="467"/>
      <c r="AP560" s="504"/>
      <c r="AQ560" s="468"/>
      <c r="AR560" s="616"/>
      <c r="AS560" s="630"/>
      <c r="AT560" s="630"/>
    </row>
    <row r="561">
      <c r="A561" s="467"/>
      <c r="B561" s="504"/>
      <c r="C561" s="468"/>
      <c r="D561" s="616"/>
      <c r="E561" s="467"/>
      <c r="F561" s="504"/>
      <c r="G561" s="468"/>
      <c r="H561" s="616"/>
      <c r="I561" s="467"/>
      <c r="J561" s="504"/>
      <c r="K561" s="468"/>
      <c r="L561" s="616"/>
      <c r="M561" s="467"/>
      <c r="N561" s="504"/>
      <c r="O561" s="468"/>
      <c r="P561" s="616"/>
      <c r="Q561" s="635"/>
      <c r="R561" s="636"/>
      <c r="S561" s="637"/>
      <c r="T561" s="629"/>
      <c r="U561" s="635"/>
      <c r="V561" s="636"/>
      <c r="W561" s="637"/>
      <c r="X561" s="629"/>
      <c r="Y561" s="467"/>
      <c r="Z561" s="504"/>
      <c r="AA561" s="468"/>
      <c r="AB561" s="616"/>
      <c r="AC561" s="635"/>
      <c r="AD561" s="636"/>
      <c r="AE561" s="637"/>
      <c r="AF561" s="629"/>
      <c r="AG561" s="635"/>
      <c r="AH561" s="636"/>
      <c r="AI561" s="637"/>
      <c r="AJ561" s="629"/>
      <c r="AK561" s="435"/>
      <c r="AL561" s="435"/>
      <c r="AM561" s="435"/>
      <c r="AN561" s="435"/>
      <c r="AO561" s="467"/>
      <c r="AP561" s="504"/>
      <c r="AQ561" s="468"/>
      <c r="AR561" s="616"/>
      <c r="AS561" s="630"/>
      <c r="AT561" s="630"/>
    </row>
    <row r="562">
      <c r="A562" s="467"/>
      <c r="B562" s="504"/>
      <c r="C562" s="468"/>
      <c r="D562" s="616"/>
      <c r="E562" s="467"/>
      <c r="F562" s="504"/>
      <c r="G562" s="468"/>
      <c r="H562" s="616"/>
      <c r="I562" s="467"/>
      <c r="J562" s="504"/>
      <c r="K562" s="468"/>
      <c r="L562" s="616"/>
      <c r="M562" s="467"/>
      <c r="N562" s="504"/>
      <c r="O562" s="468"/>
      <c r="P562" s="616"/>
      <c r="Q562" s="635"/>
      <c r="R562" s="636"/>
      <c r="S562" s="637"/>
      <c r="T562" s="629"/>
      <c r="U562" s="635"/>
      <c r="V562" s="636"/>
      <c r="W562" s="637"/>
      <c r="X562" s="629"/>
      <c r="Y562" s="467"/>
      <c r="Z562" s="504"/>
      <c r="AA562" s="468"/>
      <c r="AB562" s="616"/>
      <c r="AC562" s="635"/>
      <c r="AD562" s="636"/>
      <c r="AE562" s="637"/>
      <c r="AF562" s="629"/>
      <c r="AG562" s="635"/>
      <c r="AH562" s="636"/>
      <c r="AI562" s="637"/>
      <c r="AJ562" s="629"/>
      <c r="AK562" s="435"/>
      <c r="AL562" s="435"/>
      <c r="AM562" s="435"/>
      <c r="AN562" s="435"/>
      <c r="AO562" s="467"/>
      <c r="AP562" s="504"/>
      <c r="AQ562" s="468"/>
      <c r="AR562" s="616"/>
      <c r="AS562" s="630"/>
      <c r="AT562" s="630"/>
    </row>
    <row r="563">
      <c r="A563" s="467"/>
      <c r="B563" s="504"/>
      <c r="C563" s="468"/>
      <c r="D563" s="616"/>
      <c r="E563" s="467"/>
      <c r="F563" s="504"/>
      <c r="G563" s="468"/>
      <c r="H563" s="616"/>
      <c r="I563" s="467"/>
      <c r="J563" s="504"/>
      <c r="K563" s="468"/>
      <c r="L563" s="616"/>
      <c r="M563" s="467"/>
      <c r="N563" s="504"/>
      <c r="O563" s="468"/>
      <c r="P563" s="616"/>
      <c r="Q563" s="635"/>
      <c r="R563" s="636"/>
      <c r="S563" s="637"/>
      <c r="T563" s="629"/>
      <c r="U563" s="635"/>
      <c r="V563" s="636"/>
      <c r="W563" s="637"/>
      <c r="X563" s="629"/>
      <c r="Y563" s="467"/>
      <c r="Z563" s="504"/>
      <c r="AA563" s="468"/>
      <c r="AB563" s="616"/>
      <c r="AC563" s="635"/>
      <c r="AD563" s="636"/>
      <c r="AE563" s="637"/>
      <c r="AF563" s="629"/>
      <c r="AG563" s="635"/>
      <c r="AH563" s="636"/>
      <c r="AI563" s="637"/>
      <c r="AJ563" s="629"/>
      <c r="AK563" s="435"/>
      <c r="AL563" s="435"/>
      <c r="AM563" s="435"/>
      <c r="AN563" s="435"/>
      <c r="AO563" s="467"/>
      <c r="AP563" s="504"/>
      <c r="AQ563" s="468"/>
      <c r="AR563" s="616"/>
      <c r="AS563" s="630"/>
      <c r="AT563" s="630"/>
    </row>
    <row r="564">
      <c r="A564" s="467"/>
      <c r="B564" s="504"/>
      <c r="C564" s="468"/>
      <c r="D564" s="616"/>
      <c r="E564" s="467"/>
      <c r="F564" s="504"/>
      <c r="G564" s="468"/>
      <c r="H564" s="616"/>
      <c r="I564" s="467"/>
      <c r="J564" s="504"/>
      <c r="K564" s="468"/>
      <c r="L564" s="616"/>
      <c r="M564" s="467"/>
      <c r="N564" s="504"/>
      <c r="O564" s="468"/>
      <c r="P564" s="616"/>
      <c r="Q564" s="635"/>
      <c r="R564" s="636"/>
      <c r="S564" s="637"/>
      <c r="T564" s="629"/>
      <c r="U564" s="635"/>
      <c r="V564" s="636"/>
      <c r="W564" s="637"/>
      <c r="X564" s="629"/>
      <c r="Y564" s="467"/>
      <c r="Z564" s="504"/>
      <c r="AA564" s="468"/>
      <c r="AB564" s="616"/>
      <c r="AC564" s="635"/>
      <c r="AD564" s="636"/>
      <c r="AE564" s="637"/>
      <c r="AF564" s="629"/>
      <c r="AG564" s="635"/>
      <c r="AH564" s="636"/>
      <c r="AI564" s="637"/>
      <c r="AJ564" s="629"/>
      <c r="AK564" s="435"/>
      <c r="AL564" s="435"/>
      <c r="AM564" s="435"/>
      <c r="AN564" s="435"/>
      <c r="AO564" s="467"/>
      <c r="AP564" s="504"/>
      <c r="AQ564" s="468"/>
      <c r="AR564" s="616"/>
      <c r="AS564" s="630"/>
      <c r="AT564" s="630"/>
    </row>
    <row r="565">
      <c r="A565" s="467"/>
      <c r="B565" s="504"/>
      <c r="C565" s="468"/>
      <c r="D565" s="616"/>
      <c r="E565" s="467"/>
      <c r="F565" s="504"/>
      <c r="G565" s="468"/>
      <c r="H565" s="616"/>
      <c r="I565" s="467"/>
      <c r="J565" s="504"/>
      <c r="K565" s="468"/>
      <c r="L565" s="616"/>
      <c r="M565" s="467"/>
      <c r="N565" s="504"/>
      <c r="O565" s="468"/>
      <c r="P565" s="616"/>
      <c r="Q565" s="635"/>
      <c r="R565" s="636"/>
      <c r="S565" s="637"/>
      <c r="T565" s="629"/>
      <c r="U565" s="635"/>
      <c r="V565" s="636"/>
      <c r="W565" s="637"/>
      <c r="X565" s="629"/>
      <c r="Y565" s="467"/>
      <c r="Z565" s="504"/>
      <c r="AA565" s="468"/>
      <c r="AB565" s="616"/>
      <c r="AC565" s="635"/>
      <c r="AD565" s="636"/>
      <c r="AE565" s="637"/>
      <c r="AF565" s="629"/>
      <c r="AG565" s="635"/>
      <c r="AH565" s="636"/>
      <c r="AI565" s="637"/>
      <c r="AJ565" s="629"/>
      <c r="AK565" s="435"/>
      <c r="AL565" s="435"/>
      <c r="AM565" s="435"/>
      <c r="AN565" s="435"/>
      <c r="AO565" s="467"/>
      <c r="AP565" s="504"/>
      <c r="AQ565" s="468"/>
      <c r="AR565" s="616"/>
      <c r="AS565" s="630"/>
      <c r="AT565" s="630"/>
    </row>
    <row r="566">
      <c r="A566" s="467"/>
      <c r="B566" s="504"/>
      <c r="C566" s="468"/>
      <c r="D566" s="616"/>
      <c r="E566" s="467"/>
      <c r="F566" s="504"/>
      <c r="G566" s="468"/>
      <c r="H566" s="616"/>
      <c r="I566" s="467"/>
      <c r="J566" s="504"/>
      <c r="K566" s="468"/>
      <c r="L566" s="616"/>
      <c r="M566" s="467"/>
      <c r="N566" s="504"/>
      <c r="O566" s="468"/>
      <c r="P566" s="616"/>
      <c r="Q566" s="635"/>
      <c r="R566" s="636"/>
      <c r="S566" s="637"/>
      <c r="T566" s="629"/>
      <c r="U566" s="635"/>
      <c r="V566" s="636"/>
      <c r="W566" s="637"/>
      <c r="X566" s="629"/>
      <c r="Y566" s="467"/>
      <c r="Z566" s="504"/>
      <c r="AA566" s="468"/>
      <c r="AB566" s="616"/>
      <c r="AC566" s="635"/>
      <c r="AD566" s="636"/>
      <c r="AE566" s="637"/>
      <c r="AF566" s="629"/>
      <c r="AG566" s="635"/>
      <c r="AH566" s="636"/>
      <c r="AI566" s="637"/>
      <c r="AJ566" s="629"/>
      <c r="AK566" s="435"/>
      <c r="AL566" s="435"/>
      <c r="AM566" s="435"/>
      <c r="AN566" s="435"/>
      <c r="AO566" s="467"/>
      <c r="AP566" s="504"/>
      <c r="AQ566" s="468"/>
      <c r="AR566" s="616"/>
      <c r="AS566" s="630"/>
      <c r="AT566" s="630"/>
    </row>
    <row r="567">
      <c r="A567" s="467"/>
      <c r="B567" s="504"/>
      <c r="C567" s="468"/>
      <c r="D567" s="616"/>
      <c r="E567" s="467"/>
      <c r="F567" s="504"/>
      <c r="G567" s="468"/>
      <c r="H567" s="616"/>
      <c r="I567" s="467"/>
      <c r="J567" s="504"/>
      <c r="K567" s="468"/>
      <c r="L567" s="616"/>
      <c r="M567" s="467"/>
      <c r="N567" s="504"/>
      <c r="O567" s="468"/>
      <c r="P567" s="616"/>
      <c r="Q567" s="635"/>
      <c r="R567" s="636"/>
      <c r="S567" s="637"/>
      <c r="T567" s="629"/>
      <c r="U567" s="635"/>
      <c r="V567" s="636"/>
      <c r="W567" s="637"/>
      <c r="X567" s="629"/>
      <c r="Y567" s="467"/>
      <c r="Z567" s="504"/>
      <c r="AA567" s="468"/>
      <c r="AB567" s="616"/>
      <c r="AC567" s="635"/>
      <c r="AD567" s="636"/>
      <c r="AE567" s="637"/>
      <c r="AF567" s="629"/>
      <c r="AG567" s="635"/>
      <c r="AH567" s="636"/>
      <c r="AI567" s="637"/>
      <c r="AJ567" s="629"/>
      <c r="AK567" s="435"/>
      <c r="AL567" s="435"/>
      <c r="AM567" s="435"/>
      <c r="AN567" s="435"/>
      <c r="AO567" s="467"/>
      <c r="AP567" s="504"/>
      <c r="AQ567" s="468"/>
      <c r="AR567" s="616"/>
      <c r="AS567" s="630"/>
      <c r="AT567" s="630"/>
    </row>
    <row r="568">
      <c r="A568" s="467"/>
      <c r="B568" s="504"/>
      <c r="C568" s="468"/>
      <c r="D568" s="616"/>
      <c r="E568" s="467"/>
      <c r="F568" s="504"/>
      <c r="G568" s="468"/>
      <c r="H568" s="616"/>
      <c r="I568" s="467"/>
      <c r="J568" s="504"/>
      <c r="K568" s="468"/>
      <c r="L568" s="616"/>
      <c r="M568" s="467"/>
      <c r="N568" s="504"/>
      <c r="O568" s="468"/>
      <c r="P568" s="616"/>
      <c r="Q568" s="635"/>
      <c r="R568" s="636"/>
      <c r="S568" s="637"/>
      <c r="T568" s="629"/>
      <c r="U568" s="635"/>
      <c r="V568" s="636"/>
      <c r="W568" s="637"/>
      <c r="X568" s="629"/>
      <c r="Y568" s="467"/>
      <c r="Z568" s="504"/>
      <c r="AA568" s="468"/>
      <c r="AB568" s="616"/>
      <c r="AC568" s="635"/>
      <c r="AD568" s="636"/>
      <c r="AE568" s="637"/>
      <c r="AF568" s="629"/>
      <c r="AG568" s="635"/>
      <c r="AH568" s="636"/>
      <c r="AI568" s="637"/>
      <c r="AJ568" s="629"/>
      <c r="AK568" s="435"/>
      <c r="AL568" s="435"/>
      <c r="AM568" s="435"/>
      <c r="AN568" s="435"/>
      <c r="AO568" s="467"/>
      <c r="AP568" s="504"/>
      <c r="AQ568" s="468"/>
      <c r="AR568" s="616"/>
      <c r="AS568" s="630"/>
      <c r="AT568" s="630"/>
    </row>
    <row r="569">
      <c r="A569" s="467"/>
      <c r="B569" s="504"/>
      <c r="C569" s="468"/>
      <c r="D569" s="616"/>
      <c r="E569" s="467"/>
      <c r="F569" s="504"/>
      <c r="G569" s="468"/>
      <c r="H569" s="616"/>
      <c r="I569" s="467"/>
      <c r="J569" s="504"/>
      <c r="K569" s="468"/>
      <c r="L569" s="616"/>
      <c r="M569" s="467"/>
      <c r="N569" s="504"/>
      <c r="O569" s="468"/>
      <c r="P569" s="616"/>
      <c r="Q569" s="635"/>
      <c r="R569" s="636"/>
      <c r="S569" s="637"/>
      <c r="T569" s="629"/>
      <c r="U569" s="635"/>
      <c r="V569" s="636"/>
      <c r="W569" s="637"/>
      <c r="X569" s="629"/>
      <c r="Y569" s="467"/>
      <c r="Z569" s="504"/>
      <c r="AA569" s="468"/>
      <c r="AB569" s="616"/>
      <c r="AC569" s="635"/>
      <c r="AD569" s="636"/>
      <c r="AE569" s="637"/>
      <c r="AF569" s="629"/>
      <c r="AG569" s="635"/>
      <c r="AH569" s="636"/>
      <c r="AI569" s="637"/>
      <c r="AJ569" s="629"/>
      <c r="AK569" s="435"/>
      <c r="AL569" s="435"/>
      <c r="AM569" s="435"/>
      <c r="AN569" s="435"/>
      <c r="AO569" s="467"/>
      <c r="AP569" s="504"/>
      <c r="AQ569" s="468"/>
      <c r="AR569" s="616"/>
      <c r="AS569" s="630"/>
      <c r="AT569" s="630"/>
    </row>
    <row r="570">
      <c r="A570" s="467"/>
      <c r="B570" s="504"/>
      <c r="C570" s="468"/>
      <c r="D570" s="616"/>
      <c r="E570" s="467"/>
      <c r="F570" s="504"/>
      <c r="G570" s="468"/>
      <c r="H570" s="616"/>
      <c r="I570" s="467"/>
      <c r="J570" s="504"/>
      <c r="K570" s="468"/>
      <c r="L570" s="616"/>
      <c r="M570" s="467"/>
      <c r="N570" s="504"/>
      <c r="O570" s="468"/>
      <c r="P570" s="616"/>
      <c r="Q570" s="635"/>
      <c r="R570" s="636"/>
      <c r="S570" s="637"/>
      <c r="T570" s="629"/>
      <c r="U570" s="635"/>
      <c r="V570" s="636"/>
      <c r="W570" s="637"/>
      <c r="X570" s="629"/>
      <c r="Y570" s="467"/>
      <c r="Z570" s="504"/>
      <c r="AA570" s="468"/>
      <c r="AB570" s="616"/>
      <c r="AC570" s="635"/>
      <c r="AD570" s="636"/>
      <c r="AE570" s="637"/>
      <c r="AF570" s="629"/>
      <c r="AG570" s="635"/>
      <c r="AH570" s="636"/>
      <c r="AI570" s="637"/>
      <c r="AJ570" s="629"/>
      <c r="AK570" s="435"/>
      <c r="AL570" s="435"/>
      <c r="AM570" s="435"/>
      <c r="AN570" s="435"/>
      <c r="AO570" s="467"/>
      <c r="AP570" s="504"/>
      <c r="AQ570" s="468"/>
      <c r="AR570" s="616"/>
      <c r="AS570" s="630"/>
      <c r="AT570" s="630"/>
    </row>
    <row r="571">
      <c r="A571" s="467"/>
      <c r="B571" s="504"/>
      <c r="C571" s="468"/>
      <c r="D571" s="616"/>
      <c r="E571" s="467"/>
      <c r="F571" s="504"/>
      <c r="G571" s="468"/>
      <c r="H571" s="616"/>
      <c r="I571" s="467"/>
      <c r="J571" s="504"/>
      <c r="K571" s="468"/>
      <c r="L571" s="616"/>
      <c r="M571" s="467"/>
      <c r="N571" s="504"/>
      <c r="O571" s="468"/>
      <c r="P571" s="616"/>
      <c r="Q571" s="635"/>
      <c r="R571" s="636"/>
      <c r="S571" s="637"/>
      <c r="T571" s="629"/>
      <c r="U571" s="635"/>
      <c r="V571" s="636"/>
      <c r="W571" s="637"/>
      <c r="X571" s="629"/>
      <c r="Y571" s="467"/>
      <c r="Z571" s="504"/>
      <c r="AA571" s="468"/>
      <c r="AB571" s="616"/>
      <c r="AC571" s="635"/>
      <c r="AD571" s="636"/>
      <c r="AE571" s="637"/>
      <c r="AF571" s="629"/>
      <c r="AG571" s="635"/>
      <c r="AH571" s="636"/>
      <c r="AI571" s="637"/>
      <c r="AJ571" s="629"/>
      <c r="AK571" s="435"/>
      <c r="AL571" s="435"/>
      <c r="AM571" s="435"/>
      <c r="AN571" s="435"/>
      <c r="AO571" s="467"/>
      <c r="AP571" s="504"/>
      <c r="AQ571" s="468"/>
      <c r="AR571" s="616"/>
      <c r="AS571" s="630"/>
      <c r="AT571" s="630"/>
    </row>
    <row r="572">
      <c r="A572" s="467"/>
      <c r="B572" s="504"/>
      <c r="C572" s="468"/>
      <c r="D572" s="616"/>
      <c r="E572" s="467"/>
      <c r="F572" s="504"/>
      <c r="G572" s="468"/>
      <c r="H572" s="616"/>
      <c r="I572" s="467"/>
      <c r="J572" s="504"/>
      <c r="K572" s="468"/>
      <c r="L572" s="616"/>
      <c r="M572" s="467"/>
      <c r="N572" s="504"/>
      <c r="O572" s="468"/>
      <c r="P572" s="616"/>
      <c r="Q572" s="635"/>
      <c r="R572" s="636"/>
      <c r="S572" s="637"/>
      <c r="T572" s="629"/>
      <c r="U572" s="635"/>
      <c r="V572" s="636"/>
      <c r="W572" s="637"/>
      <c r="X572" s="629"/>
      <c r="Y572" s="467"/>
      <c r="Z572" s="504"/>
      <c r="AA572" s="468"/>
      <c r="AB572" s="616"/>
      <c r="AC572" s="635"/>
      <c r="AD572" s="636"/>
      <c r="AE572" s="637"/>
      <c r="AF572" s="629"/>
      <c r="AG572" s="635"/>
      <c r="AH572" s="636"/>
      <c r="AI572" s="637"/>
      <c r="AJ572" s="629"/>
      <c r="AK572" s="435"/>
      <c r="AL572" s="435"/>
      <c r="AM572" s="435"/>
      <c r="AN572" s="435"/>
      <c r="AO572" s="467"/>
      <c r="AP572" s="504"/>
      <c r="AQ572" s="468"/>
      <c r="AR572" s="616"/>
      <c r="AS572" s="630"/>
      <c r="AT572" s="630"/>
    </row>
    <row r="573">
      <c r="A573" s="467"/>
      <c r="B573" s="504"/>
      <c r="C573" s="468"/>
      <c r="D573" s="616"/>
      <c r="E573" s="467"/>
      <c r="F573" s="504"/>
      <c r="G573" s="468"/>
      <c r="H573" s="616"/>
      <c r="I573" s="467"/>
      <c r="J573" s="504"/>
      <c r="K573" s="468"/>
      <c r="L573" s="616"/>
      <c r="M573" s="467"/>
      <c r="N573" s="504"/>
      <c r="O573" s="468"/>
      <c r="P573" s="616"/>
      <c r="Q573" s="635"/>
      <c r="R573" s="636"/>
      <c r="S573" s="637"/>
      <c r="T573" s="629"/>
      <c r="U573" s="635"/>
      <c r="V573" s="636"/>
      <c r="W573" s="637"/>
      <c r="X573" s="629"/>
      <c r="Y573" s="467"/>
      <c r="Z573" s="504"/>
      <c r="AA573" s="468"/>
      <c r="AB573" s="616"/>
      <c r="AC573" s="635"/>
      <c r="AD573" s="636"/>
      <c r="AE573" s="637"/>
      <c r="AF573" s="629"/>
      <c r="AG573" s="635"/>
      <c r="AH573" s="636"/>
      <c r="AI573" s="637"/>
      <c r="AJ573" s="629"/>
      <c r="AK573" s="435"/>
      <c r="AL573" s="435"/>
      <c r="AM573" s="435"/>
      <c r="AN573" s="435"/>
      <c r="AO573" s="467"/>
      <c r="AP573" s="504"/>
      <c r="AQ573" s="468"/>
      <c r="AR573" s="616"/>
      <c r="AS573" s="630"/>
      <c r="AT573" s="630"/>
    </row>
    <row r="574">
      <c r="A574" s="467"/>
      <c r="B574" s="504"/>
      <c r="C574" s="468"/>
      <c r="D574" s="616"/>
      <c r="E574" s="467"/>
      <c r="F574" s="504"/>
      <c r="G574" s="468"/>
      <c r="H574" s="616"/>
      <c r="I574" s="467"/>
      <c r="J574" s="504"/>
      <c r="K574" s="468"/>
      <c r="L574" s="616"/>
      <c r="M574" s="467"/>
      <c r="N574" s="504"/>
      <c r="O574" s="468"/>
      <c r="P574" s="616"/>
      <c r="Q574" s="635"/>
      <c r="R574" s="636"/>
      <c r="S574" s="637"/>
      <c r="T574" s="629"/>
      <c r="U574" s="635"/>
      <c r="V574" s="636"/>
      <c r="W574" s="637"/>
      <c r="X574" s="629"/>
      <c r="Y574" s="467"/>
      <c r="Z574" s="504"/>
      <c r="AA574" s="468"/>
      <c r="AB574" s="616"/>
      <c r="AC574" s="635"/>
      <c r="AD574" s="636"/>
      <c r="AE574" s="637"/>
      <c r="AF574" s="629"/>
      <c r="AG574" s="635"/>
      <c r="AH574" s="636"/>
      <c r="AI574" s="637"/>
      <c r="AJ574" s="629"/>
      <c r="AK574" s="435"/>
      <c r="AL574" s="435"/>
      <c r="AM574" s="435"/>
      <c r="AN574" s="435"/>
      <c r="AO574" s="467"/>
      <c r="AP574" s="504"/>
      <c r="AQ574" s="468"/>
      <c r="AR574" s="616"/>
      <c r="AS574" s="630"/>
      <c r="AT574" s="630"/>
    </row>
    <row r="575">
      <c r="A575" s="467"/>
      <c r="B575" s="504"/>
      <c r="C575" s="468"/>
      <c r="D575" s="616"/>
      <c r="E575" s="467"/>
      <c r="F575" s="504"/>
      <c r="G575" s="468"/>
      <c r="H575" s="616"/>
      <c r="I575" s="467"/>
      <c r="J575" s="504"/>
      <c r="K575" s="468"/>
      <c r="L575" s="616"/>
      <c r="M575" s="467"/>
      <c r="N575" s="504"/>
      <c r="O575" s="468"/>
      <c r="P575" s="616"/>
      <c r="Q575" s="635"/>
      <c r="R575" s="636"/>
      <c r="S575" s="637"/>
      <c r="T575" s="629"/>
      <c r="U575" s="635"/>
      <c r="V575" s="636"/>
      <c r="W575" s="637"/>
      <c r="X575" s="629"/>
      <c r="Y575" s="467"/>
      <c r="Z575" s="504"/>
      <c r="AA575" s="468"/>
      <c r="AB575" s="616"/>
      <c r="AC575" s="635"/>
      <c r="AD575" s="636"/>
      <c r="AE575" s="637"/>
      <c r="AF575" s="629"/>
      <c r="AG575" s="635"/>
      <c r="AH575" s="636"/>
      <c r="AI575" s="637"/>
      <c r="AJ575" s="629"/>
      <c r="AK575" s="435"/>
      <c r="AL575" s="435"/>
      <c r="AM575" s="435"/>
      <c r="AN575" s="435"/>
      <c r="AO575" s="467"/>
      <c r="AP575" s="504"/>
      <c r="AQ575" s="468"/>
      <c r="AR575" s="616"/>
      <c r="AS575" s="630"/>
      <c r="AT575" s="630"/>
    </row>
    <row r="576">
      <c r="A576" s="467"/>
      <c r="B576" s="504"/>
      <c r="C576" s="468"/>
      <c r="D576" s="616"/>
      <c r="E576" s="467"/>
      <c r="F576" s="504"/>
      <c r="G576" s="468"/>
      <c r="H576" s="616"/>
      <c r="I576" s="467"/>
      <c r="J576" s="504"/>
      <c r="K576" s="468"/>
      <c r="L576" s="616"/>
      <c r="M576" s="467"/>
      <c r="N576" s="504"/>
      <c r="O576" s="468"/>
      <c r="P576" s="616"/>
      <c r="Q576" s="635"/>
      <c r="R576" s="636"/>
      <c r="S576" s="637"/>
      <c r="T576" s="629"/>
      <c r="U576" s="635"/>
      <c r="V576" s="636"/>
      <c r="W576" s="637"/>
      <c r="X576" s="629"/>
      <c r="Y576" s="467"/>
      <c r="Z576" s="504"/>
      <c r="AA576" s="468"/>
      <c r="AB576" s="616"/>
      <c r="AC576" s="635"/>
      <c r="AD576" s="636"/>
      <c r="AE576" s="637"/>
      <c r="AF576" s="629"/>
      <c r="AG576" s="635"/>
      <c r="AH576" s="636"/>
      <c r="AI576" s="637"/>
      <c r="AJ576" s="629"/>
      <c r="AK576" s="435"/>
      <c r="AL576" s="435"/>
      <c r="AM576" s="435"/>
      <c r="AN576" s="435"/>
      <c r="AO576" s="467"/>
      <c r="AP576" s="504"/>
      <c r="AQ576" s="468"/>
      <c r="AR576" s="616"/>
      <c r="AS576" s="630"/>
      <c r="AT576" s="630"/>
    </row>
    <row r="577">
      <c r="A577" s="467"/>
      <c r="B577" s="504"/>
      <c r="C577" s="468"/>
      <c r="D577" s="616"/>
      <c r="E577" s="467"/>
      <c r="F577" s="504"/>
      <c r="G577" s="468"/>
      <c r="H577" s="616"/>
      <c r="I577" s="467"/>
      <c r="J577" s="504"/>
      <c r="K577" s="468"/>
      <c r="L577" s="616"/>
      <c r="M577" s="467"/>
      <c r="N577" s="504"/>
      <c r="O577" s="468"/>
      <c r="P577" s="616"/>
      <c r="Q577" s="635"/>
      <c r="R577" s="636"/>
      <c r="S577" s="637"/>
      <c r="T577" s="629"/>
      <c r="U577" s="635"/>
      <c r="V577" s="636"/>
      <c r="W577" s="637"/>
      <c r="X577" s="629"/>
      <c r="Y577" s="467"/>
      <c r="Z577" s="504"/>
      <c r="AA577" s="468"/>
      <c r="AB577" s="616"/>
      <c r="AC577" s="635"/>
      <c r="AD577" s="636"/>
      <c r="AE577" s="637"/>
      <c r="AF577" s="629"/>
      <c r="AG577" s="635"/>
      <c r="AH577" s="636"/>
      <c r="AI577" s="637"/>
      <c r="AJ577" s="629"/>
      <c r="AK577" s="435"/>
      <c r="AL577" s="435"/>
      <c r="AM577" s="435"/>
      <c r="AN577" s="435"/>
      <c r="AO577" s="467"/>
      <c r="AP577" s="504"/>
      <c r="AQ577" s="468"/>
      <c r="AR577" s="616"/>
      <c r="AS577" s="630"/>
      <c r="AT577" s="630"/>
    </row>
    <row r="578">
      <c r="A578" s="467"/>
      <c r="B578" s="504"/>
      <c r="C578" s="468"/>
      <c r="D578" s="616"/>
      <c r="E578" s="467"/>
      <c r="F578" s="504"/>
      <c r="G578" s="468"/>
      <c r="H578" s="616"/>
      <c r="I578" s="467"/>
      <c r="J578" s="504"/>
      <c r="K578" s="468"/>
      <c r="L578" s="616"/>
      <c r="M578" s="467"/>
      <c r="N578" s="504"/>
      <c r="O578" s="468"/>
      <c r="P578" s="616"/>
      <c r="Q578" s="635"/>
      <c r="R578" s="636"/>
      <c r="S578" s="637"/>
      <c r="T578" s="629"/>
      <c r="U578" s="635"/>
      <c r="V578" s="636"/>
      <c r="W578" s="637"/>
      <c r="X578" s="629"/>
      <c r="Y578" s="467"/>
      <c r="Z578" s="504"/>
      <c r="AA578" s="468"/>
      <c r="AB578" s="616"/>
      <c r="AC578" s="635"/>
      <c r="AD578" s="636"/>
      <c r="AE578" s="637"/>
      <c r="AF578" s="629"/>
      <c r="AG578" s="635"/>
      <c r="AH578" s="636"/>
      <c r="AI578" s="637"/>
      <c r="AJ578" s="629"/>
      <c r="AK578" s="435"/>
      <c r="AL578" s="435"/>
      <c r="AM578" s="435"/>
      <c r="AN578" s="435"/>
      <c r="AO578" s="467"/>
      <c r="AP578" s="504"/>
      <c r="AQ578" s="468"/>
      <c r="AR578" s="616"/>
      <c r="AS578" s="630"/>
      <c r="AT578" s="630"/>
    </row>
    <row r="579">
      <c r="A579" s="467"/>
      <c r="B579" s="504"/>
      <c r="C579" s="468"/>
      <c r="D579" s="616"/>
      <c r="E579" s="467"/>
      <c r="F579" s="504"/>
      <c r="G579" s="468"/>
      <c r="H579" s="616"/>
      <c r="I579" s="467"/>
      <c r="J579" s="504"/>
      <c r="K579" s="468"/>
      <c r="L579" s="616"/>
      <c r="M579" s="467"/>
      <c r="N579" s="504"/>
      <c r="O579" s="468"/>
      <c r="P579" s="616"/>
      <c r="Q579" s="635"/>
      <c r="R579" s="636"/>
      <c r="S579" s="637"/>
      <c r="T579" s="629"/>
      <c r="U579" s="635"/>
      <c r="V579" s="636"/>
      <c r="W579" s="637"/>
      <c r="X579" s="629"/>
      <c r="Y579" s="467"/>
      <c r="Z579" s="504"/>
      <c r="AA579" s="468"/>
      <c r="AB579" s="616"/>
      <c r="AC579" s="635"/>
      <c r="AD579" s="636"/>
      <c r="AE579" s="637"/>
      <c r="AF579" s="629"/>
      <c r="AG579" s="635"/>
      <c r="AH579" s="636"/>
      <c r="AI579" s="637"/>
      <c r="AJ579" s="629"/>
      <c r="AK579" s="435"/>
      <c r="AL579" s="435"/>
      <c r="AM579" s="435"/>
      <c r="AN579" s="435"/>
      <c r="AO579" s="467"/>
      <c r="AP579" s="504"/>
      <c r="AQ579" s="468"/>
      <c r="AR579" s="616"/>
      <c r="AS579" s="630"/>
      <c r="AT579" s="630"/>
    </row>
    <row r="580">
      <c r="A580" s="467"/>
      <c r="B580" s="504"/>
      <c r="C580" s="468"/>
      <c r="D580" s="616"/>
      <c r="E580" s="467"/>
      <c r="F580" s="504"/>
      <c r="G580" s="468"/>
      <c r="H580" s="616"/>
      <c r="I580" s="467"/>
      <c r="J580" s="504"/>
      <c r="K580" s="468"/>
      <c r="L580" s="616"/>
      <c r="M580" s="467"/>
      <c r="N580" s="504"/>
      <c r="O580" s="468"/>
      <c r="P580" s="616"/>
      <c r="Q580" s="635"/>
      <c r="R580" s="636"/>
      <c r="S580" s="637"/>
      <c r="T580" s="629"/>
      <c r="U580" s="635"/>
      <c r="V580" s="636"/>
      <c r="W580" s="637"/>
      <c r="X580" s="629"/>
      <c r="Y580" s="467"/>
      <c r="Z580" s="504"/>
      <c r="AA580" s="468"/>
      <c r="AB580" s="616"/>
      <c r="AC580" s="635"/>
      <c r="AD580" s="636"/>
      <c r="AE580" s="637"/>
      <c r="AF580" s="629"/>
      <c r="AG580" s="635"/>
      <c r="AH580" s="636"/>
      <c r="AI580" s="637"/>
      <c r="AJ580" s="629"/>
      <c r="AK580" s="435"/>
      <c r="AL580" s="435"/>
      <c r="AM580" s="435"/>
      <c r="AN580" s="435"/>
      <c r="AO580" s="467"/>
      <c r="AP580" s="504"/>
      <c r="AQ580" s="468"/>
      <c r="AR580" s="616"/>
      <c r="AS580" s="630"/>
      <c r="AT580" s="630"/>
    </row>
    <row r="581">
      <c r="A581" s="467"/>
      <c r="B581" s="504"/>
      <c r="C581" s="468"/>
      <c r="D581" s="616"/>
      <c r="E581" s="467"/>
      <c r="F581" s="504"/>
      <c r="G581" s="468"/>
      <c r="H581" s="616"/>
      <c r="I581" s="467"/>
      <c r="J581" s="504"/>
      <c r="K581" s="468"/>
      <c r="L581" s="616"/>
      <c r="M581" s="467"/>
      <c r="N581" s="504"/>
      <c r="O581" s="468"/>
      <c r="P581" s="616"/>
      <c r="Q581" s="635"/>
      <c r="R581" s="636"/>
      <c r="S581" s="637"/>
      <c r="T581" s="629"/>
      <c r="U581" s="635"/>
      <c r="V581" s="636"/>
      <c r="W581" s="637"/>
      <c r="X581" s="629"/>
      <c r="Y581" s="467"/>
      <c r="Z581" s="504"/>
      <c r="AA581" s="468"/>
      <c r="AB581" s="616"/>
      <c r="AC581" s="635"/>
      <c r="AD581" s="636"/>
      <c r="AE581" s="637"/>
      <c r="AF581" s="629"/>
      <c r="AG581" s="635"/>
      <c r="AH581" s="636"/>
      <c r="AI581" s="637"/>
      <c r="AJ581" s="629"/>
      <c r="AK581" s="435"/>
      <c r="AL581" s="435"/>
      <c r="AM581" s="435"/>
      <c r="AN581" s="435"/>
      <c r="AO581" s="467"/>
      <c r="AP581" s="504"/>
      <c r="AQ581" s="468"/>
      <c r="AR581" s="616"/>
      <c r="AS581" s="630"/>
      <c r="AT581" s="630"/>
    </row>
    <row r="582">
      <c r="A582" s="467"/>
      <c r="B582" s="504"/>
      <c r="C582" s="468"/>
      <c r="D582" s="616"/>
      <c r="E582" s="467"/>
      <c r="F582" s="504"/>
      <c r="G582" s="468"/>
      <c r="H582" s="616"/>
      <c r="I582" s="467"/>
      <c r="J582" s="504"/>
      <c r="K582" s="468"/>
      <c r="L582" s="616"/>
      <c r="M582" s="467"/>
      <c r="N582" s="504"/>
      <c r="O582" s="468"/>
      <c r="P582" s="616"/>
      <c r="Q582" s="635"/>
      <c r="R582" s="636"/>
      <c r="S582" s="637"/>
      <c r="T582" s="629"/>
      <c r="U582" s="635"/>
      <c r="V582" s="636"/>
      <c r="W582" s="637"/>
      <c r="X582" s="629"/>
      <c r="Y582" s="467"/>
      <c r="Z582" s="504"/>
      <c r="AA582" s="468"/>
      <c r="AB582" s="616"/>
      <c r="AC582" s="635"/>
      <c r="AD582" s="636"/>
      <c r="AE582" s="637"/>
      <c r="AF582" s="629"/>
      <c r="AG582" s="635"/>
      <c r="AH582" s="636"/>
      <c r="AI582" s="637"/>
      <c r="AJ582" s="629"/>
      <c r="AK582" s="435"/>
      <c r="AL582" s="435"/>
      <c r="AM582" s="435"/>
      <c r="AN582" s="435"/>
      <c r="AO582" s="467"/>
      <c r="AP582" s="504"/>
      <c r="AQ582" s="468"/>
      <c r="AR582" s="616"/>
      <c r="AS582" s="630"/>
      <c r="AT582" s="630"/>
    </row>
    <row r="583">
      <c r="A583" s="467"/>
      <c r="B583" s="504"/>
      <c r="C583" s="468"/>
      <c r="D583" s="616"/>
      <c r="E583" s="467"/>
      <c r="F583" s="504"/>
      <c r="G583" s="468"/>
      <c r="H583" s="616"/>
      <c r="I583" s="467"/>
      <c r="J583" s="504"/>
      <c r="K583" s="468"/>
      <c r="L583" s="616"/>
      <c r="M583" s="467"/>
      <c r="N583" s="504"/>
      <c r="O583" s="468"/>
      <c r="P583" s="616"/>
      <c r="Q583" s="635"/>
      <c r="R583" s="636"/>
      <c r="S583" s="637"/>
      <c r="T583" s="629"/>
      <c r="U583" s="635"/>
      <c r="V583" s="636"/>
      <c r="W583" s="637"/>
      <c r="X583" s="629"/>
      <c r="Y583" s="467"/>
      <c r="Z583" s="504"/>
      <c r="AA583" s="468"/>
      <c r="AB583" s="616"/>
      <c r="AC583" s="635"/>
      <c r="AD583" s="636"/>
      <c r="AE583" s="637"/>
      <c r="AF583" s="629"/>
      <c r="AG583" s="635"/>
      <c r="AH583" s="636"/>
      <c r="AI583" s="637"/>
      <c r="AJ583" s="629"/>
      <c r="AK583" s="435"/>
      <c r="AL583" s="435"/>
      <c r="AM583" s="435"/>
      <c r="AN583" s="435"/>
      <c r="AO583" s="467"/>
      <c r="AP583" s="504"/>
      <c r="AQ583" s="468"/>
      <c r="AR583" s="616"/>
      <c r="AS583" s="630"/>
      <c r="AT583" s="630"/>
    </row>
    <row r="584">
      <c r="A584" s="467"/>
      <c r="B584" s="504"/>
      <c r="C584" s="468"/>
      <c r="D584" s="616"/>
      <c r="E584" s="467"/>
      <c r="F584" s="504"/>
      <c r="G584" s="468"/>
      <c r="H584" s="616"/>
      <c r="I584" s="467"/>
      <c r="J584" s="504"/>
      <c r="K584" s="468"/>
      <c r="L584" s="616"/>
      <c r="M584" s="467"/>
      <c r="N584" s="504"/>
      <c r="O584" s="468"/>
      <c r="P584" s="616"/>
      <c r="Q584" s="635"/>
      <c r="R584" s="636"/>
      <c r="S584" s="637"/>
      <c r="T584" s="629"/>
      <c r="U584" s="635"/>
      <c r="V584" s="636"/>
      <c r="W584" s="637"/>
      <c r="X584" s="629"/>
      <c r="Y584" s="467"/>
      <c r="Z584" s="504"/>
      <c r="AA584" s="468"/>
      <c r="AB584" s="616"/>
      <c r="AC584" s="635"/>
      <c r="AD584" s="636"/>
      <c r="AE584" s="637"/>
      <c r="AF584" s="629"/>
      <c r="AG584" s="635"/>
      <c r="AH584" s="636"/>
      <c r="AI584" s="637"/>
      <c r="AJ584" s="629"/>
      <c r="AK584" s="435"/>
      <c r="AL584" s="435"/>
      <c r="AM584" s="435"/>
      <c r="AN584" s="435"/>
      <c r="AO584" s="467"/>
      <c r="AP584" s="504"/>
      <c r="AQ584" s="468"/>
      <c r="AR584" s="616"/>
      <c r="AS584" s="630"/>
      <c r="AT584" s="630"/>
    </row>
    <row r="585">
      <c r="A585" s="467"/>
      <c r="B585" s="504"/>
      <c r="C585" s="468"/>
      <c r="D585" s="616"/>
      <c r="E585" s="467"/>
      <c r="F585" s="504"/>
      <c r="G585" s="468"/>
      <c r="H585" s="616"/>
      <c r="I585" s="467"/>
      <c r="J585" s="504"/>
      <c r="K585" s="468"/>
      <c r="L585" s="616"/>
      <c r="M585" s="467"/>
      <c r="N585" s="504"/>
      <c r="O585" s="468"/>
      <c r="P585" s="616"/>
      <c r="Q585" s="635"/>
      <c r="R585" s="636"/>
      <c r="S585" s="637"/>
      <c r="T585" s="629"/>
      <c r="U585" s="635"/>
      <c r="V585" s="636"/>
      <c r="W585" s="637"/>
      <c r="X585" s="629"/>
      <c r="Y585" s="467"/>
      <c r="Z585" s="504"/>
      <c r="AA585" s="468"/>
      <c r="AB585" s="616"/>
      <c r="AC585" s="635"/>
      <c r="AD585" s="636"/>
      <c r="AE585" s="637"/>
      <c r="AF585" s="629"/>
      <c r="AG585" s="635"/>
      <c r="AH585" s="636"/>
      <c r="AI585" s="637"/>
      <c r="AJ585" s="629"/>
      <c r="AK585" s="435"/>
      <c r="AL585" s="435"/>
      <c r="AM585" s="435"/>
      <c r="AN585" s="435"/>
      <c r="AO585" s="467"/>
      <c r="AP585" s="504"/>
      <c r="AQ585" s="468"/>
      <c r="AR585" s="616"/>
      <c r="AS585" s="630"/>
      <c r="AT585" s="630"/>
    </row>
    <row r="586">
      <c r="A586" s="467"/>
      <c r="B586" s="504"/>
      <c r="C586" s="468"/>
      <c r="D586" s="616"/>
      <c r="E586" s="467"/>
      <c r="F586" s="504"/>
      <c r="G586" s="468"/>
      <c r="H586" s="616"/>
      <c r="I586" s="467"/>
      <c r="J586" s="504"/>
      <c r="K586" s="468"/>
      <c r="L586" s="616"/>
      <c r="M586" s="467"/>
      <c r="N586" s="504"/>
      <c r="O586" s="468"/>
      <c r="P586" s="616"/>
      <c r="Q586" s="635"/>
      <c r="R586" s="636"/>
      <c r="S586" s="637"/>
      <c r="T586" s="629"/>
      <c r="U586" s="635"/>
      <c r="V586" s="636"/>
      <c r="W586" s="637"/>
      <c r="X586" s="629"/>
      <c r="Y586" s="467"/>
      <c r="Z586" s="504"/>
      <c r="AA586" s="468"/>
      <c r="AB586" s="616"/>
      <c r="AC586" s="635"/>
      <c r="AD586" s="636"/>
      <c r="AE586" s="637"/>
      <c r="AF586" s="629"/>
      <c r="AG586" s="635"/>
      <c r="AH586" s="636"/>
      <c r="AI586" s="637"/>
      <c r="AJ586" s="629"/>
      <c r="AK586" s="435"/>
      <c r="AL586" s="435"/>
      <c r="AM586" s="435"/>
      <c r="AN586" s="435"/>
      <c r="AO586" s="467"/>
      <c r="AP586" s="504"/>
      <c r="AQ586" s="468"/>
      <c r="AR586" s="616"/>
      <c r="AS586" s="630"/>
      <c r="AT586" s="630"/>
    </row>
    <row r="587">
      <c r="A587" s="467"/>
      <c r="B587" s="504"/>
      <c r="C587" s="468"/>
      <c r="D587" s="616"/>
      <c r="E587" s="467"/>
      <c r="F587" s="504"/>
      <c r="G587" s="468"/>
      <c r="H587" s="616"/>
      <c r="I587" s="467"/>
      <c r="J587" s="504"/>
      <c r="K587" s="468"/>
      <c r="L587" s="616"/>
      <c r="M587" s="467"/>
      <c r="N587" s="504"/>
      <c r="O587" s="468"/>
      <c r="P587" s="616"/>
      <c r="Q587" s="635"/>
      <c r="R587" s="636"/>
      <c r="S587" s="637"/>
      <c r="T587" s="629"/>
      <c r="U587" s="635"/>
      <c r="V587" s="636"/>
      <c r="W587" s="637"/>
      <c r="X587" s="629"/>
      <c r="Y587" s="467"/>
      <c r="Z587" s="504"/>
      <c r="AA587" s="468"/>
      <c r="AB587" s="616"/>
      <c r="AC587" s="635"/>
      <c r="AD587" s="636"/>
      <c r="AE587" s="637"/>
      <c r="AF587" s="629"/>
      <c r="AG587" s="635"/>
      <c r="AH587" s="636"/>
      <c r="AI587" s="637"/>
      <c r="AJ587" s="629"/>
      <c r="AK587" s="435"/>
      <c r="AL587" s="435"/>
      <c r="AM587" s="435"/>
      <c r="AN587" s="435"/>
      <c r="AO587" s="467"/>
      <c r="AP587" s="504"/>
      <c r="AQ587" s="468"/>
      <c r="AR587" s="616"/>
      <c r="AS587" s="630"/>
      <c r="AT587" s="630"/>
    </row>
    <row r="588">
      <c r="A588" s="467"/>
      <c r="B588" s="504"/>
      <c r="C588" s="468"/>
      <c r="D588" s="616"/>
      <c r="E588" s="467"/>
      <c r="F588" s="504"/>
      <c r="G588" s="468"/>
      <c r="H588" s="616"/>
      <c r="I588" s="467"/>
      <c r="J588" s="504"/>
      <c r="K588" s="468"/>
      <c r="L588" s="616"/>
      <c r="M588" s="467"/>
      <c r="N588" s="504"/>
      <c r="O588" s="468"/>
      <c r="P588" s="616"/>
      <c r="Q588" s="635"/>
      <c r="R588" s="636"/>
      <c r="S588" s="637"/>
      <c r="T588" s="629"/>
      <c r="U588" s="635"/>
      <c r="V588" s="636"/>
      <c r="W588" s="637"/>
      <c r="X588" s="629"/>
      <c r="Y588" s="467"/>
      <c r="Z588" s="504"/>
      <c r="AA588" s="468"/>
      <c r="AB588" s="616"/>
      <c r="AC588" s="635"/>
      <c r="AD588" s="636"/>
      <c r="AE588" s="637"/>
      <c r="AF588" s="629"/>
      <c r="AG588" s="635"/>
      <c r="AH588" s="636"/>
      <c r="AI588" s="637"/>
      <c r="AJ588" s="629"/>
      <c r="AK588" s="435"/>
      <c r="AL588" s="435"/>
      <c r="AM588" s="435"/>
      <c r="AN588" s="435"/>
      <c r="AO588" s="467"/>
      <c r="AP588" s="504"/>
      <c r="AQ588" s="468"/>
      <c r="AR588" s="616"/>
      <c r="AS588" s="630"/>
      <c r="AT588" s="630"/>
    </row>
    <row r="589">
      <c r="A589" s="467"/>
      <c r="B589" s="504"/>
      <c r="C589" s="468"/>
      <c r="D589" s="616"/>
      <c r="E589" s="467"/>
      <c r="F589" s="504"/>
      <c r="G589" s="468"/>
      <c r="H589" s="616"/>
      <c r="I589" s="467"/>
      <c r="J589" s="504"/>
      <c r="K589" s="468"/>
      <c r="L589" s="616"/>
      <c r="M589" s="467"/>
      <c r="N589" s="504"/>
      <c r="O589" s="468"/>
      <c r="P589" s="616"/>
      <c r="Q589" s="635"/>
      <c r="R589" s="636"/>
      <c r="S589" s="637"/>
      <c r="T589" s="629"/>
      <c r="U589" s="635"/>
      <c r="V589" s="636"/>
      <c r="W589" s="637"/>
      <c r="X589" s="629"/>
      <c r="Y589" s="467"/>
      <c r="Z589" s="504"/>
      <c r="AA589" s="468"/>
      <c r="AB589" s="616"/>
      <c r="AC589" s="635"/>
      <c r="AD589" s="636"/>
      <c r="AE589" s="637"/>
      <c r="AF589" s="629"/>
      <c r="AG589" s="635"/>
      <c r="AH589" s="636"/>
      <c r="AI589" s="637"/>
      <c r="AJ589" s="629"/>
      <c r="AK589" s="435"/>
      <c r="AL589" s="435"/>
      <c r="AM589" s="435"/>
      <c r="AN589" s="435"/>
      <c r="AO589" s="467"/>
      <c r="AP589" s="504"/>
      <c r="AQ589" s="468"/>
      <c r="AR589" s="616"/>
      <c r="AS589" s="630"/>
      <c r="AT589" s="630"/>
    </row>
    <row r="590">
      <c r="A590" s="467"/>
      <c r="B590" s="504"/>
      <c r="C590" s="468"/>
      <c r="D590" s="616"/>
      <c r="E590" s="467"/>
      <c r="F590" s="504"/>
      <c r="G590" s="468"/>
      <c r="H590" s="616"/>
      <c r="I590" s="467"/>
      <c r="J590" s="504"/>
      <c r="K590" s="468"/>
      <c r="L590" s="616"/>
      <c r="M590" s="467"/>
      <c r="N590" s="504"/>
      <c r="O590" s="468"/>
      <c r="P590" s="616"/>
      <c r="Q590" s="635"/>
      <c r="R590" s="636"/>
      <c r="S590" s="637"/>
      <c r="T590" s="629"/>
      <c r="U590" s="635"/>
      <c r="V590" s="636"/>
      <c r="W590" s="637"/>
      <c r="X590" s="629"/>
      <c r="Y590" s="467"/>
      <c r="Z590" s="504"/>
      <c r="AA590" s="468"/>
      <c r="AB590" s="616"/>
      <c r="AC590" s="635"/>
      <c r="AD590" s="636"/>
      <c r="AE590" s="637"/>
      <c r="AF590" s="629"/>
      <c r="AG590" s="635"/>
      <c r="AH590" s="636"/>
      <c r="AI590" s="637"/>
      <c r="AJ590" s="629"/>
      <c r="AK590" s="435"/>
      <c r="AL590" s="435"/>
      <c r="AM590" s="435"/>
      <c r="AN590" s="435"/>
      <c r="AO590" s="467"/>
      <c r="AP590" s="504"/>
      <c r="AQ590" s="468"/>
      <c r="AR590" s="616"/>
      <c r="AS590" s="630"/>
      <c r="AT590" s="630"/>
    </row>
    <row r="591">
      <c r="A591" s="467"/>
      <c r="B591" s="504"/>
      <c r="C591" s="468"/>
      <c r="D591" s="616"/>
      <c r="E591" s="467"/>
      <c r="F591" s="504"/>
      <c r="G591" s="468"/>
      <c r="H591" s="616"/>
      <c r="I591" s="467"/>
      <c r="J591" s="504"/>
      <c r="K591" s="468"/>
      <c r="L591" s="616"/>
      <c r="M591" s="467"/>
      <c r="N591" s="504"/>
      <c r="O591" s="468"/>
      <c r="P591" s="616"/>
      <c r="Q591" s="635"/>
      <c r="R591" s="636"/>
      <c r="S591" s="637"/>
      <c r="T591" s="629"/>
      <c r="U591" s="635"/>
      <c r="V591" s="636"/>
      <c r="W591" s="637"/>
      <c r="X591" s="629"/>
      <c r="Y591" s="467"/>
      <c r="Z591" s="504"/>
      <c r="AA591" s="468"/>
      <c r="AB591" s="616"/>
      <c r="AC591" s="635"/>
      <c r="AD591" s="636"/>
      <c r="AE591" s="637"/>
      <c r="AF591" s="629"/>
      <c r="AG591" s="635"/>
      <c r="AH591" s="636"/>
      <c r="AI591" s="637"/>
      <c r="AJ591" s="629"/>
      <c r="AK591" s="435"/>
      <c r="AL591" s="435"/>
      <c r="AM591" s="435"/>
      <c r="AN591" s="435"/>
      <c r="AO591" s="467"/>
      <c r="AP591" s="504"/>
      <c r="AQ591" s="468"/>
      <c r="AR591" s="616"/>
      <c r="AS591" s="630"/>
      <c r="AT591" s="630"/>
    </row>
    <row r="592">
      <c r="A592" s="467"/>
      <c r="B592" s="504"/>
      <c r="C592" s="468"/>
      <c r="D592" s="616"/>
      <c r="E592" s="467"/>
      <c r="F592" s="504"/>
      <c r="G592" s="468"/>
      <c r="H592" s="616"/>
      <c r="I592" s="467"/>
      <c r="J592" s="504"/>
      <c r="K592" s="468"/>
      <c r="L592" s="616"/>
      <c r="M592" s="467"/>
      <c r="N592" s="504"/>
      <c r="O592" s="468"/>
      <c r="P592" s="616"/>
      <c r="Q592" s="635"/>
      <c r="R592" s="636"/>
      <c r="S592" s="637"/>
      <c r="T592" s="629"/>
      <c r="U592" s="635"/>
      <c r="V592" s="636"/>
      <c r="W592" s="637"/>
      <c r="X592" s="629"/>
      <c r="Y592" s="467"/>
      <c r="Z592" s="504"/>
      <c r="AA592" s="468"/>
      <c r="AB592" s="616"/>
      <c r="AC592" s="635"/>
      <c r="AD592" s="636"/>
      <c r="AE592" s="637"/>
      <c r="AF592" s="629"/>
      <c r="AG592" s="635"/>
      <c r="AH592" s="636"/>
      <c r="AI592" s="637"/>
      <c r="AJ592" s="629"/>
      <c r="AK592" s="435"/>
      <c r="AL592" s="435"/>
      <c r="AM592" s="435"/>
      <c r="AN592" s="435"/>
      <c r="AO592" s="467"/>
      <c r="AP592" s="504"/>
      <c r="AQ592" s="468"/>
      <c r="AR592" s="616"/>
      <c r="AS592" s="630"/>
      <c r="AT592" s="630"/>
    </row>
    <row r="593">
      <c r="A593" s="467"/>
      <c r="B593" s="504"/>
      <c r="C593" s="468"/>
      <c r="D593" s="616"/>
      <c r="E593" s="467"/>
      <c r="F593" s="504"/>
      <c r="G593" s="468"/>
      <c r="H593" s="616"/>
      <c r="I593" s="467"/>
      <c r="J593" s="504"/>
      <c r="K593" s="468"/>
      <c r="L593" s="616"/>
      <c r="M593" s="467"/>
      <c r="N593" s="504"/>
      <c r="O593" s="468"/>
      <c r="P593" s="616"/>
      <c r="Q593" s="635"/>
      <c r="R593" s="636"/>
      <c r="S593" s="637"/>
      <c r="T593" s="629"/>
      <c r="U593" s="635"/>
      <c r="V593" s="636"/>
      <c r="W593" s="637"/>
      <c r="X593" s="629"/>
      <c r="Y593" s="467"/>
      <c r="Z593" s="504"/>
      <c r="AA593" s="468"/>
      <c r="AB593" s="616"/>
      <c r="AC593" s="635"/>
      <c r="AD593" s="636"/>
      <c r="AE593" s="637"/>
      <c r="AF593" s="629"/>
      <c r="AG593" s="635"/>
      <c r="AH593" s="636"/>
      <c r="AI593" s="637"/>
      <c r="AJ593" s="629"/>
      <c r="AK593" s="435"/>
      <c r="AL593" s="435"/>
      <c r="AM593" s="435"/>
      <c r="AN593" s="435"/>
      <c r="AO593" s="467"/>
      <c r="AP593" s="504"/>
      <c r="AQ593" s="468"/>
      <c r="AR593" s="616"/>
      <c r="AS593" s="630"/>
      <c r="AT593" s="630"/>
    </row>
    <row r="594">
      <c r="A594" s="467"/>
      <c r="B594" s="504"/>
      <c r="C594" s="468"/>
      <c r="D594" s="616"/>
      <c r="E594" s="467"/>
      <c r="F594" s="504"/>
      <c r="G594" s="468"/>
      <c r="H594" s="616"/>
      <c r="I594" s="467"/>
      <c r="J594" s="504"/>
      <c r="K594" s="468"/>
      <c r="L594" s="616"/>
      <c r="M594" s="467"/>
      <c r="N594" s="504"/>
      <c r="O594" s="468"/>
      <c r="P594" s="616"/>
      <c r="Q594" s="635"/>
      <c r="R594" s="636"/>
      <c r="S594" s="637"/>
      <c r="T594" s="629"/>
      <c r="U594" s="635"/>
      <c r="V594" s="636"/>
      <c r="W594" s="637"/>
      <c r="X594" s="629"/>
      <c r="Y594" s="467"/>
      <c r="Z594" s="504"/>
      <c r="AA594" s="468"/>
      <c r="AB594" s="616"/>
      <c r="AC594" s="635"/>
      <c r="AD594" s="636"/>
      <c r="AE594" s="637"/>
      <c r="AF594" s="629"/>
      <c r="AG594" s="635"/>
      <c r="AH594" s="636"/>
      <c r="AI594" s="637"/>
      <c r="AJ594" s="629"/>
      <c r="AK594" s="435"/>
      <c r="AL594" s="435"/>
      <c r="AM594" s="435"/>
      <c r="AN594" s="435"/>
      <c r="AO594" s="467"/>
      <c r="AP594" s="504"/>
      <c r="AQ594" s="468"/>
      <c r="AR594" s="616"/>
      <c r="AS594" s="630"/>
      <c r="AT594" s="630"/>
    </row>
    <row r="595">
      <c r="A595" s="467"/>
      <c r="B595" s="504"/>
      <c r="C595" s="468"/>
      <c r="D595" s="616"/>
      <c r="E595" s="467"/>
      <c r="F595" s="504"/>
      <c r="G595" s="468"/>
      <c r="H595" s="616"/>
      <c r="I595" s="467"/>
      <c r="J595" s="504"/>
      <c r="K595" s="468"/>
      <c r="L595" s="616"/>
      <c r="M595" s="467"/>
      <c r="N595" s="504"/>
      <c r="O595" s="468"/>
      <c r="P595" s="616"/>
      <c r="Q595" s="635"/>
      <c r="R595" s="636"/>
      <c r="S595" s="637"/>
      <c r="T595" s="629"/>
      <c r="U595" s="635"/>
      <c r="V595" s="636"/>
      <c r="W595" s="637"/>
      <c r="X595" s="629"/>
      <c r="Y595" s="467"/>
      <c r="Z595" s="504"/>
      <c r="AA595" s="468"/>
      <c r="AB595" s="616"/>
      <c r="AC595" s="635"/>
      <c r="AD595" s="636"/>
      <c r="AE595" s="637"/>
      <c r="AF595" s="629"/>
      <c r="AG595" s="635"/>
      <c r="AH595" s="636"/>
      <c r="AI595" s="637"/>
      <c r="AJ595" s="629"/>
      <c r="AK595" s="435"/>
      <c r="AL595" s="435"/>
      <c r="AM595" s="435"/>
      <c r="AN595" s="435"/>
      <c r="AO595" s="467"/>
      <c r="AP595" s="504"/>
      <c r="AQ595" s="468"/>
      <c r="AR595" s="616"/>
      <c r="AS595" s="630"/>
      <c r="AT595" s="630"/>
    </row>
    <row r="596">
      <c r="A596" s="467"/>
      <c r="B596" s="504"/>
      <c r="C596" s="468"/>
      <c r="D596" s="616"/>
      <c r="E596" s="467"/>
      <c r="F596" s="504"/>
      <c r="G596" s="468"/>
      <c r="H596" s="616"/>
      <c r="I596" s="467"/>
      <c r="J596" s="504"/>
      <c r="K596" s="468"/>
      <c r="L596" s="616"/>
      <c r="M596" s="467"/>
      <c r="N596" s="504"/>
      <c r="O596" s="468"/>
      <c r="P596" s="616"/>
      <c r="Q596" s="635"/>
      <c r="R596" s="636"/>
      <c r="S596" s="637"/>
      <c r="T596" s="629"/>
      <c r="U596" s="635"/>
      <c r="V596" s="636"/>
      <c r="W596" s="637"/>
      <c r="X596" s="629"/>
      <c r="Y596" s="467"/>
      <c r="Z596" s="504"/>
      <c r="AA596" s="468"/>
      <c r="AB596" s="616"/>
      <c r="AC596" s="635"/>
      <c r="AD596" s="636"/>
      <c r="AE596" s="637"/>
      <c r="AF596" s="629"/>
      <c r="AG596" s="635"/>
      <c r="AH596" s="636"/>
      <c r="AI596" s="637"/>
      <c r="AJ596" s="629"/>
      <c r="AK596" s="435"/>
      <c r="AL596" s="435"/>
      <c r="AM596" s="435"/>
      <c r="AN596" s="435"/>
      <c r="AO596" s="467"/>
      <c r="AP596" s="504"/>
      <c r="AQ596" s="468"/>
      <c r="AR596" s="616"/>
      <c r="AS596" s="630"/>
      <c r="AT596" s="630"/>
    </row>
    <row r="597">
      <c r="A597" s="467"/>
      <c r="B597" s="504"/>
      <c r="C597" s="468"/>
      <c r="D597" s="616"/>
      <c r="E597" s="467"/>
      <c r="F597" s="504"/>
      <c r="G597" s="468"/>
      <c r="H597" s="616"/>
      <c r="I597" s="467"/>
      <c r="J597" s="504"/>
      <c r="K597" s="468"/>
      <c r="L597" s="616"/>
      <c r="M597" s="467"/>
      <c r="N597" s="504"/>
      <c r="O597" s="468"/>
      <c r="P597" s="616"/>
      <c r="Q597" s="635"/>
      <c r="R597" s="636"/>
      <c r="S597" s="637"/>
      <c r="T597" s="629"/>
      <c r="U597" s="635"/>
      <c r="V597" s="636"/>
      <c r="W597" s="637"/>
      <c r="X597" s="629"/>
      <c r="Y597" s="467"/>
      <c r="Z597" s="504"/>
      <c r="AA597" s="468"/>
      <c r="AB597" s="616"/>
      <c r="AC597" s="635"/>
      <c r="AD597" s="636"/>
      <c r="AE597" s="637"/>
      <c r="AF597" s="629"/>
      <c r="AG597" s="635"/>
      <c r="AH597" s="636"/>
      <c r="AI597" s="637"/>
      <c r="AJ597" s="629"/>
      <c r="AK597" s="435"/>
      <c r="AL597" s="435"/>
      <c r="AM597" s="435"/>
      <c r="AN597" s="435"/>
      <c r="AO597" s="467"/>
      <c r="AP597" s="504"/>
      <c r="AQ597" s="468"/>
      <c r="AR597" s="616"/>
      <c r="AS597" s="630"/>
      <c r="AT597" s="630"/>
    </row>
    <row r="598">
      <c r="A598" s="467"/>
      <c r="B598" s="504"/>
      <c r="C598" s="468"/>
      <c r="D598" s="616"/>
      <c r="E598" s="467"/>
      <c r="F598" s="504"/>
      <c r="G598" s="468"/>
      <c r="H598" s="616"/>
      <c r="I598" s="467"/>
      <c r="J598" s="504"/>
      <c r="K598" s="468"/>
      <c r="L598" s="616"/>
      <c r="M598" s="467"/>
      <c r="N598" s="504"/>
      <c r="O598" s="468"/>
      <c r="P598" s="616"/>
      <c r="Q598" s="635"/>
      <c r="R598" s="636"/>
      <c r="S598" s="637"/>
      <c r="T598" s="629"/>
      <c r="U598" s="635"/>
      <c r="V598" s="636"/>
      <c r="W598" s="637"/>
      <c r="X598" s="629"/>
      <c r="Y598" s="467"/>
      <c r="Z598" s="504"/>
      <c r="AA598" s="468"/>
      <c r="AB598" s="616"/>
      <c r="AC598" s="635"/>
      <c r="AD598" s="636"/>
      <c r="AE598" s="637"/>
      <c r="AF598" s="629"/>
      <c r="AG598" s="635"/>
      <c r="AH598" s="636"/>
      <c r="AI598" s="637"/>
      <c r="AJ598" s="629"/>
      <c r="AK598" s="435"/>
      <c r="AL598" s="435"/>
      <c r="AM598" s="435"/>
      <c r="AN598" s="435"/>
      <c r="AO598" s="467"/>
      <c r="AP598" s="504"/>
      <c r="AQ598" s="468"/>
      <c r="AR598" s="616"/>
      <c r="AS598" s="630"/>
      <c r="AT598" s="630"/>
    </row>
    <row r="599">
      <c r="A599" s="467"/>
      <c r="B599" s="504"/>
      <c r="C599" s="468"/>
      <c r="D599" s="616"/>
      <c r="E599" s="467"/>
      <c r="F599" s="504"/>
      <c r="G599" s="468"/>
      <c r="H599" s="616"/>
      <c r="I599" s="467"/>
      <c r="J599" s="504"/>
      <c r="K599" s="468"/>
      <c r="L599" s="616"/>
      <c r="M599" s="467"/>
      <c r="N599" s="504"/>
      <c r="O599" s="468"/>
      <c r="P599" s="616"/>
      <c r="Q599" s="635"/>
      <c r="R599" s="636"/>
      <c r="S599" s="637"/>
      <c r="T599" s="629"/>
      <c r="U599" s="635"/>
      <c r="V599" s="636"/>
      <c r="W599" s="637"/>
      <c r="X599" s="629"/>
      <c r="Y599" s="467"/>
      <c r="Z599" s="504"/>
      <c r="AA599" s="468"/>
      <c r="AB599" s="616"/>
      <c r="AC599" s="635"/>
      <c r="AD599" s="636"/>
      <c r="AE599" s="637"/>
      <c r="AF599" s="629"/>
      <c r="AG599" s="635"/>
      <c r="AH599" s="636"/>
      <c r="AI599" s="637"/>
      <c r="AJ599" s="629"/>
      <c r="AK599" s="435"/>
      <c r="AL599" s="435"/>
      <c r="AM599" s="435"/>
      <c r="AN599" s="435"/>
      <c r="AO599" s="467"/>
      <c r="AP599" s="504"/>
      <c r="AQ599" s="468"/>
      <c r="AR599" s="616"/>
      <c r="AS599" s="630"/>
      <c r="AT599" s="630"/>
    </row>
    <row r="600">
      <c r="A600" s="467"/>
      <c r="B600" s="504"/>
      <c r="C600" s="468"/>
      <c r="D600" s="616"/>
      <c r="E600" s="467"/>
      <c r="F600" s="504"/>
      <c r="G600" s="468"/>
      <c r="H600" s="616"/>
      <c r="I600" s="467"/>
      <c r="J600" s="504"/>
      <c r="K600" s="468"/>
      <c r="L600" s="616"/>
      <c r="M600" s="467"/>
      <c r="N600" s="504"/>
      <c r="O600" s="468"/>
      <c r="P600" s="616"/>
      <c r="Q600" s="635"/>
      <c r="R600" s="636"/>
      <c r="S600" s="637"/>
      <c r="T600" s="629"/>
      <c r="U600" s="635"/>
      <c r="V600" s="636"/>
      <c r="W600" s="637"/>
      <c r="X600" s="629"/>
      <c r="Y600" s="467"/>
      <c r="Z600" s="504"/>
      <c r="AA600" s="468"/>
      <c r="AB600" s="616"/>
      <c r="AC600" s="635"/>
      <c r="AD600" s="636"/>
      <c r="AE600" s="637"/>
      <c r="AF600" s="629"/>
      <c r="AG600" s="635"/>
      <c r="AH600" s="636"/>
      <c r="AI600" s="637"/>
      <c r="AJ600" s="629"/>
      <c r="AK600" s="435"/>
      <c r="AL600" s="435"/>
      <c r="AM600" s="435"/>
      <c r="AN600" s="435"/>
      <c r="AO600" s="467"/>
      <c r="AP600" s="504"/>
      <c r="AQ600" s="468"/>
      <c r="AR600" s="616"/>
      <c r="AS600" s="630"/>
      <c r="AT600" s="630"/>
    </row>
    <row r="601">
      <c r="A601" s="467"/>
      <c r="B601" s="504"/>
      <c r="C601" s="468"/>
      <c r="D601" s="616"/>
      <c r="E601" s="467"/>
      <c r="F601" s="504"/>
      <c r="G601" s="468"/>
      <c r="H601" s="616"/>
      <c r="I601" s="467"/>
      <c r="J601" s="504"/>
      <c r="K601" s="468"/>
      <c r="L601" s="616"/>
      <c r="M601" s="467"/>
      <c r="N601" s="504"/>
      <c r="O601" s="468"/>
      <c r="P601" s="616"/>
      <c r="Q601" s="635"/>
      <c r="R601" s="636"/>
      <c r="S601" s="637"/>
      <c r="T601" s="629"/>
      <c r="U601" s="635"/>
      <c r="V601" s="636"/>
      <c r="W601" s="637"/>
      <c r="X601" s="629"/>
      <c r="Y601" s="467"/>
      <c r="Z601" s="504"/>
      <c r="AA601" s="468"/>
      <c r="AB601" s="616"/>
      <c r="AC601" s="635"/>
      <c r="AD601" s="636"/>
      <c r="AE601" s="637"/>
      <c r="AF601" s="629"/>
      <c r="AG601" s="635"/>
      <c r="AH601" s="636"/>
      <c r="AI601" s="637"/>
      <c r="AJ601" s="629"/>
      <c r="AK601" s="435"/>
      <c r="AL601" s="435"/>
      <c r="AM601" s="435"/>
      <c r="AN601" s="435"/>
      <c r="AO601" s="467"/>
      <c r="AP601" s="504"/>
      <c r="AQ601" s="468"/>
      <c r="AR601" s="616"/>
      <c r="AS601" s="630"/>
      <c r="AT601" s="630"/>
    </row>
    <row r="602">
      <c r="A602" s="467"/>
      <c r="B602" s="504"/>
      <c r="C602" s="468"/>
      <c r="D602" s="616"/>
      <c r="E602" s="467"/>
      <c r="F602" s="504"/>
      <c r="G602" s="468"/>
      <c r="H602" s="616"/>
      <c r="I602" s="467"/>
      <c r="J602" s="504"/>
      <c r="K602" s="468"/>
      <c r="L602" s="616"/>
      <c r="M602" s="467"/>
      <c r="N602" s="504"/>
      <c r="O602" s="468"/>
      <c r="P602" s="616"/>
      <c r="Q602" s="635"/>
      <c r="R602" s="636"/>
      <c r="S602" s="637"/>
      <c r="T602" s="629"/>
      <c r="U602" s="635"/>
      <c r="V602" s="636"/>
      <c r="W602" s="637"/>
      <c r="X602" s="629"/>
      <c r="Y602" s="467"/>
      <c r="Z602" s="504"/>
      <c r="AA602" s="468"/>
      <c r="AB602" s="616"/>
      <c r="AC602" s="635"/>
      <c r="AD602" s="636"/>
      <c r="AE602" s="637"/>
      <c r="AF602" s="629"/>
      <c r="AG602" s="635"/>
      <c r="AH602" s="636"/>
      <c r="AI602" s="637"/>
      <c r="AJ602" s="629"/>
      <c r="AK602" s="435"/>
      <c r="AL602" s="435"/>
      <c r="AM602" s="435"/>
      <c r="AN602" s="435"/>
      <c r="AO602" s="467"/>
      <c r="AP602" s="504"/>
      <c r="AQ602" s="468"/>
      <c r="AR602" s="616"/>
      <c r="AS602" s="630"/>
      <c r="AT602" s="630"/>
    </row>
    <row r="603">
      <c r="A603" s="467"/>
      <c r="B603" s="504"/>
      <c r="C603" s="468"/>
      <c r="D603" s="616"/>
      <c r="E603" s="467"/>
      <c r="F603" s="504"/>
      <c r="G603" s="468"/>
      <c r="H603" s="616"/>
      <c r="I603" s="467"/>
      <c r="J603" s="504"/>
      <c r="K603" s="468"/>
      <c r="L603" s="616"/>
      <c r="M603" s="467"/>
      <c r="N603" s="504"/>
      <c r="O603" s="468"/>
      <c r="P603" s="616"/>
      <c r="Q603" s="635"/>
      <c r="R603" s="636"/>
      <c r="S603" s="637"/>
      <c r="T603" s="629"/>
      <c r="U603" s="635"/>
      <c r="V603" s="636"/>
      <c r="W603" s="637"/>
      <c r="X603" s="629"/>
      <c r="Y603" s="467"/>
      <c r="Z603" s="504"/>
      <c r="AA603" s="468"/>
      <c r="AB603" s="616"/>
      <c r="AC603" s="635"/>
      <c r="AD603" s="636"/>
      <c r="AE603" s="637"/>
      <c r="AF603" s="629"/>
      <c r="AG603" s="635"/>
      <c r="AH603" s="636"/>
      <c r="AI603" s="637"/>
      <c r="AJ603" s="629"/>
      <c r="AK603" s="435"/>
      <c r="AL603" s="435"/>
      <c r="AM603" s="435"/>
      <c r="AN603" s="435"/>
      <c r="AO603" s="467"/>
      <c r="AP603" s="504"/>
      <c r="AQ603" s="468"/>
      <c r="AR603" s="616"/>
      <c r="AS603" s="630"/>
      <c r="AT603" s="630"/>
    </row>
    <row r="604">
      <c r="A604" s="467"/>
      <c r="B604" s="504"/>
      <c r="C604" s="468"/>
      <c r="D604" s="616"/>
      <c r="E604" s="467"/>
      <c r="F604" s="504"/>
      <c r="G604" s="468"/>
      <c r="H604" s="616"/>
      <c r="I604" s="467"/>
      <c r="J604" s="504"/>
      <c r="K604" s="468"/>
      <c r="L604" s="616"/>
      <c r="M604" s="467"/>
      <c r="N604" s="504"/>
      <c r="O604" s="468"/>
      <c r="P604" s="616"/>
      <c r="Q604" s="635"/>
      <c r="R604" s="636"/>
      <c r="S604" s="637"/>
      <c r="T604" s="629"/>
      <c r="U604" s="635"/>
      <c r="V604" s="636"/>
      <c r="W604" s="637"/>
      <c r="X604" s="629"/>
      <c r="Y604" s="467"/>
      <c r="Z604" s="504"/>
      <c r="AA604" s="468"/>
      <c r="AB604" s="616"/>
      <c r="AC604" s="635"/>
      <c r="AD604" s="636"/>
      <c r="AE604" s="637"/>
      <c r="AF604" s="629"/>
      <c r="AG604" s="635"/>
      <c r="AH604" s="636"/>
      <c r="AI604" s="637"/>
      <c r="AJ604" s="629"/>
      <c r="AK604" s="435"/>
      <c r="AL604" s="435"/>
      <c r="AM604" s="435"/>
      <c r="AN604" s="435"/>
      <c r="AO604" s="467"/>
      <c r="AP604" s="504"/>
      <c r="AQ604" s="468"/>
      <c r="AR604" s="616"/>
      <c r="AS604" s="630"/>
      <c r="AT604" s="630"/>
    </row>
    <row r="605">
      <c r="A605" s="467"/>
      <c r="B605" s="504"/>
      <c r="C605" s="468"/>
      <c r="D605" s="616"/>
      <c r="E605" s="467"/>
      <c r="F605" s="504"/>
      <c r="G605" s="468"/>
      <c r="H605" s="616"/>
      <c r="I605" s="467"/>
      <c r="J605" s="504"/>
      <c r="K605" s="468"/>
      <c r="L605" s="616"/>
      <c r="M605" s="467"/>
      <c r="N605" s="504"/>
      <c r="O605" s="468"/>
      <c r="P605" s="616"/>
      <c r="Q605" s="635"/>
      <c r="R605" s="636"/>
      <c r="S605" s="637"/>
      <c r="T605" s="629"/>
      <c r="U605" s="635"/>
      <c r="V605" s="636"/>
      <c r="W605" s="637"/>
      <c r="X605" s="629"/>
      <c r="Y605" s="467"/>
      <c r="Z605" s="504"/>
      <c r="AA605" s="468"/>
      <c r="AB605" s="616"/>
      <c r="AC605" s="635"/>
      <c r="AD605" s="636"/>
      <c r="AE605" s="637"/>
      <c r="AF605" s="629"/>
      <c r="AG605" s="635"/>
      <c r="AH605" s="636"/>
      <c r="AI605" s="637"/>
      <c r="AJ605" s="629"/>
      <c r="AK605" s="435"/>
      <c r="AL605" s="435"/>
      <c r="AM605" s="435"/>
      <c r="AN605" s="435"/>
      <c r="AO605" s="467"/>
      <c r="AP605" s="504"/>
      <c r="AQ605" s="468"/>
      <c r="AR605" s="616"/>
      <c r="AS605" s="630"/>
      <c r="AT605" s="630"/>
    </row>
    <row r="606">
      <c r="A606" s="467"/>
      <c r="B606" s="504"/>
      <c r="C606" s="468"/>
      <c r="D606" s="616"/>
      <c r="E606" s="467"/>
      <c r="F606" s="504"/>
      <c r="G606" s="468"/>
      <c r="H606" s="616"/>
      <c r="I606" s="467"/>
      <c r="J606" s="504"/>
      <c r="K606" s="468"/>
      <c r="L606" s="616"/>
      <c r="M606" s="467"/>
      <c r="N606" s="504"/>
      <c r="O606" s="468"/>
      <c r="P606" s="616"/>
      <c r="Q606" s="635"/>
      <c r="R606" s="636"/>
      <c r="S606" s="637"/>
      <c r="T606" s="629"/>
      <c r="U606" s="635"/>
      <c r="V606" s="636"/>
      <c r="W606" s="637"/>
      <c r="X606" s="629"/>
      <c r="Y606" s="467"/>
      <c r="Z606" s="504"/>
      <c r="AA606" s="468"/>
      <c r="AB606" s="616"/>
      <c r="AC606" s="635"/>
      <c r="AD606" s="636"/>
      <c r="AE606" s="637"/>
      <c r="AF606" s="629"/>
      <c r="AG606" s="635"/>
      <c r="AH606" s="636"/>
      <c r="AI606" s="637"/>
      <c r="AJ606" s="629"/>
      <c r="AK606" s="435"/>
      <c r="AL606" s="435"/>
      <c r="AM606" s="435"/>
      <c r="AN606" s="435"/>
      <c r="AO606" s="467"/>
      <c r="AP606" s="504"/>
      <c r="AQ606" s="468"/>
      <c r="AR606" s="616"/>
      <c r="AS606" s="630"/>
      <c r="AT606" s="630"/>
    </row>
    <row r="607">
      <c r="A607" s="467"/>
      <c r="B607" s="504"/>
      <c r="C607" s="468"/>
      <c r="D607" s="616"/>
      <c r="E607" s="467"/>
      <c r="F607" s="504"/>
      <c r="G607" s="468"/>
      <c r="H607" s="616"/>
      <c r="I607" s="467"/>
      <c r="J607" s="504"/>
      <c r="K607" s="468"/>
      <c r="L607" s="616"/>
      <c r="M607" s="467"/>
      <c r="N607" s="504"/>
      <c r="O607" s="468"/>
      <c r="P607" s="616"/>
      <c r="Q607" s="635"/>
      <c r="R607" s="636"/>
      <c r="S607" s="637"/>
      <c r="T607" s="629"/>
      <c r="U607" s="635"/>
      <c r="V607" s="636"/>
      <c r="W607" s="637"/>
      <c r="X607" s="629"/>
      <c r="Y607" s="467"/>
      <c r="Z607" s="504"/>
      <c r="AA607" s="468"/>
      <c r="AB607" s="616"/>
      <c r="AC607" s="635"/>
      <c r="AD607" s="636"/>
      <c r="AE607" s="637"/>
      <c r="AF607" s="629"/>
      <c r="AG607" s="635"/>
      <c r="AH607" s="636"/>
      <c r="AI607" s="637"/>
      <c r="AJ607" s="629"/>
      <c r="AK607" s="435"/>
      <c r="AL607" s="435"/>
      <c r="AM607" s="435"/>
      <c r="AN607" s="435"/>
      <c r="AO607" s="467"/>
      <c r="AP607" s="504"/>
      <c r="AQ607" s="468"/>
      <c r="AR607" s="616"/>
      <c r="AS607" s="630"/>
      <c r="AT607" s="630"/>
    </row>
    <row r="608">
      <c r="A608" s="467"/>
      <c r="B608" s="504"/>
      <c r="C608" s="468"/>
      <c r="D608" s="616"/>
      <c r="E608" s="467"/>
      <c r="F608" s="504"/>
      <c r="G608" s="468"/>
      <c r="H608" s="616"/>
      <c r="I608" s="467"/>
      <c r="J608" s="504"/>
      <c r="K608" s="468"/>
      <c r="L608" s="616"/>
      <c r="M608" s="467"/>
      <c r="N608" s="504"/>
      <c r="O608" s="468"/>
      <c r="P608" s="616"/>
      <c r="Q608" s="635"/>
      <c r="R608" s="636"/>
      <c r="S608" s="637"/>
      <c r="T608" s="629"/>
      <c r="U608" s="635"/>
      <c r="V608" s="636"/>
      <c r="W608" s="637"/>
      <c r="X608" s="629"/>
      <c r="Y608" s="467"/>
      <c r="Z608" s="504"/>
      <c r="AA608" s="468"/>
      <c r="AB608" s="616"/>
      <c r="AC608" s="635"/>
      <c r="AD608" s="636"/>
      <c r="AE608" s="637"/>
      <c r="AF608" s="629"/>
      <c r="AG608" s="635"/>
      <c r="AH608" s="636"/>
      <c r="AI608" s="637"/>
      <c r="AJ608" s="629"/>
      <c r="AK608" s="435"/>
      <c r="AL608" s="435"/>
      <c r="AM608" s="435"/>
      <c r="AN608" s="435"/>
      <c r="AO608" s="467"/>
      <c r="AP608" s="504"/>
      <c r="AQ608" s="468"/>
      <c r="AR608" s="616"/>
      <c r="AS608" s="630"/>
      <c r="AT608" s="630"/>
    </row>
    <row r="609">
      <c r="A609" s="467"/>
      <c r="B609" s="504"/>
      <c r="C609" s="468"/>
      <c r="D609" s="616"/>
      <c r="E609" s="467"/>
      <c r="F609" s="504"/>
      <c r="G609" s="468"/>
      <c r="H609" s="616"/>
      <c r="I609" s="467"/>
      <c r="J609" s="504"/>
      <c r="K609" s="468"/>
      <c r="L609" s="616"/>
      <c r="M609" s="467"/>
      <c r="N609" s="504"/>
      <c r="O609" s="468"/>
      <c r="P609" s="616"/>
      <c r="Q609" s="635"/>
      <c r="R609" s="636"/>
      <c r="S609" s="637"/>
      <c r="T609" s="629"/>
      <c r="U609" s="635"/>
      <c r="V609" s="636"/>
      <c r="W609" s="637"/>
      <c r="X609" s="629"/>
      <c r="Y609" s="467"/>
      <c r="Z609" s="504"/>
      <c r="AA609" s="468"/>
      <c r="AB609" s="616"/>
      <c r="AC609" s="635"/>
      <c r="AD609" s="636"/>
      <c r="AE609" s="637"/>
      <c r="AF609" s="629"/>
      <c r="AG609" s="635"/>
      <c r="AH609" s="636"/>
      <c r="AI609" s="637"/>
      <c r="AJ609" s="629"/>
      <c r="AK609" s="435"/>
      <c r="AL609" s="435"/>
      <c r="AM609" s="435"/>
      <c r="AN609" s="435"/>
      <c r="AO609" s="467"/>
      <c r="AP609" s="504"/>
      <c r="AQ609" s="468"/>
      <c r="AR609" s="616"/>
      <c r="AS609" s="630"/>
      <c r="AT609" s="630"/>
    </row>
    <row r="610">
      <c r="A610" s="467"/>
      <c r="B610" s="504"/>
      <c r="C610" s="468"/>
      <c r="D610" s="616"/>
      <c r="E610" s="467"/>
      <c r="F610" s="504"/>
      <c r="G610" s="468"/>
      <c r="H610" s="616"/>
      <c r="I610" s="467"/>
      <c r="J610" s="504"/>
      <c r="K610" s="468"/>
      <c r="L610" s="616"/>
      <c r="M610" s="467"/>
      <c r="N610" s="504"/>
      <c r="O610" s="468"/>
      <c r="P610" s="616"/>
      <c r="Q610" s="635"/>
      <c r="R610" s="636"/>
      <c r="S610" s="637"/>
      <c r="T610" s="629"/>
      <c r="U610" s="635"/>
      <c r="V610" s="636"/>
      <c r="W610" s="637"/>
      <c r="X610" s="629"/>
      <c r="Y610" s="467"/>
      <c r="Z610" s="504"/>
      <c r="AA610" s="468"/>
      <c r="AB610" s="616"/>
      <c r="AC610" s="635"/>
      <c r="AD610" s="636"/>
      <c r="AE610" s="637"/>
      <c r="AF610" s="629"/>
      <c r="AG610" s="635"/>
      <c r="AH610" s="636"/>
      <c r="AI610" s="637"/>
      <c r="AJ610" s="629"/>
      <c r="AK610" s="435"/>
      <c r="AL610" s="435"/>
      <c r="AM610" s="435"/>
      <c r="AN610" s="435"/>
      <c r="AO610" s="467"/>
      <c r="AP610" s="504"/>
      <c r="AQ610" s="468"/>
      <c r="AR610" s="616"/>
      <c r="AS610" s="630"/>
      <c r="AT610" s="630"/>
    </row>
    <row r="611">
      <c r="A611" s="467"/>
      <c r="B611" s="504"/>
      <c r="C611" s="468"/>
      <c r="D611" s="616"/>
      <c r="E611" s="467"/>
      <c r="F611" s="504"/>
      <c r="G611" s="468"/>
      <c r="H611" s="616"/>
      <c r="I611" s="467"/>
      <c r="J611" s="504"/>
      <c r="K611" s="468"/>
      <c r="L611" s="616"/>
      <c r="M611" s="467"/>
      <c r="N611" s="504"/>
      <c r="O611" s="468"/>
      <c r="P611" s="616"/>
      <c r="Q611" s="635"/>
      <c r="R611" s="636"/>
      <c r="S611" s="637"/>
      <c r="T611" s="629"/>
      <c r="U611" s="635"/>
      <c r="V611" s="636"/>
      <c r="W611" s="637"/>
      <c r="X611" s="629"/>
      <c r="Y611" s="467"/>
      <c r="Z611" s="504"/>
      <c r="AA611" s="468"/>
      <c r="AB611" s="616"/>
      <c r="AC611" s="635"/>
      <c r="AD611" s="636"/>
      <c r="AE611" s="637"/>
      <c r="AF611" s="629"/>
      <c r="AG611" s="635"/>
      <c r="AH611" s="636"/>
      <c r="AI611" s="637"/>
      <c r="AJ611" s="629"/>
      <c r="AK611" s="435"/>
      <c r="AL611" s="435"/>
      <c r="AM611" s="435"/>
      <c r="AN611" s="435"/>
      <c r="AO611" s="467"/>
      <c r="AP611" s="504"/>
      <c r="AQ611" s="468"/>
      <c r="AR611" s="616"/>
      <c r="AS611" s="630"/>
      <c r="AT611" s="630"/>
    </row>
    <row r="612">
      <c r="A612" s="467"/>
      <c r="B612" s="504"/>
      <c r="C612" s="468"/>
      <c r="D612" s="616"/>
      <c r="E612" s="467"/>
      <c r="F612" s="504"/>
      <c r="G612" s="468"/>
      <c r="H612" s="616"/>
      <c r="I612" s="467"/>
      <c r="J612" s="504"/>
      <c r="K612" s="468"/>
      <c r="L612" s="616"/>
      <c r="M612" s="467"/>
      <c r="N612" s="504"/>
      <c r="O612" s="468"/>
      <c r="P612" s="616"/>
      <c r="Q612" s="635"/>
      <c r="R612" s="636"/>
      <c r="S612" s="637"/>
      <c r="T612" s="629"/>
      <c r="U612" s="635"/>
      <c r="V612" s="636"/>
      <c r="W612" s="637"/>
      <c r="X612" s="629"/>
      <c r="Y612" s="467"/>
      <c r="Z612" s="504"/>
      <c r="AA612" s="468"/>
      <c r="AB612" s="616"/>
      <c r="AC612" s="635"/>
      <c r="AD612" s="636"/>
      <c r="AE612" s="637"/>
      <c r="AF612" s="629"/>
      <c r="AG612" s="635"/>
      <c r="AH612" s="636"/>
      <c r="AI612" s="637"/>
      <c r="AJ612" s="629"/>
      <c r="AK612" s="435"/>
      <c r="AL612" s="435"/>
      <c r="AM612" s="435"/>
      <c r="AN612" s="435"/>
      <c r="AO612" s="467"/>
      <c r="AP612" s="504"/>
      <c r="AQ612" s="468"/>
      <c r="AR612" s="616"/>
      <c r="AS612" s="630"/>
      <c r="AT612" s="630"/>
    </row>
    <row r="613">
      <c r="A613" s="467"/>
      <c r="B613" s="504"/>
      <c r="C613" s="468"/>
      <c r="D613" s="616"/>
      <c r="E613" s="467"/>
      <c r="F613" s="504"/>
      <c r="G613" s="468"/>
      <c r="H613" s="616"/>
      <c r="I613" s="467"/>
      <c r="J613" s="504"/>
      <c r="K613" s="468"/>
      <c r="L613" s="616"/>
      <c r="M613" s="467"/>
      <c r="N613" s="504"/>
      <c r="O613" s="468"/>
      <c r="P613" s="616"/>
      <c r="Q613" s="635"/>
      <c r="R613" s="636"/>
      <c r="S613" s="637"/>
      <c r="T613" s="629"/>
      <c r="U613" s="635"/>
      <c r="V613" s="636"/>
      <c r="W613" s="637"/>
      <c r="X613" s="629"/>
      <c r="Y613" s="467"/>
      <c r="Z613" s="504"/>
      <c r="AA613" s="468"/>
      <c r="AB613" s="616"/>
      <c r="AC613" s="635"/>
      <c r="AD613" s="636"/>
      <c r="AE613" s="637"/>
      <c r="AF613" s="629"/>
      <c r="AG613" s="635"/>
      <c r="AH613" s="636"/>
      <c r="AI613" s="637"/>
      <c r="AJ613" s="629"/>
      <c r="AK613" s="435"/>
      <c r="AL613" s="435"/>
      <c r="AM613" s="435"/>
      <c r="AN613" s="435"/>
      <c r="AO613" s="467"/>
      <c r="AP613" s="504"/>
      <c r="AQ613" s="468"/>
      <c r="AR613" s="616"/>
      <c r="AS613" s="630"/>
      <c r="AT613" s="630"/>
    </row>
    <row r="614">
      <c r="A614" s="467"/>
      <c r="B614" s="504"/>
      <c r="C614" s="468"/>
      <c r="D614" s="616"/>
      <c r="E614" s="467"/>
      <c r="F614" s="504"/>
      <c r="G614" s="468"/>
      <c r="H614" s="616"/>
      <c r="I614" s="467"/>
      <c r="J614" s="504"/>
      <c r="K614" s="468"/>
      <c r="L614" s="616"/>
      <c r="M614" s="467"/>
      <c r="N614" s="504"/>
      <c r="O614" s="468"/>
      <c r="P614" s="616"/>
      <c r="Q614" s="635"/>
      <c r="R614" s="636"/>
      <c r="S614" s="637"/>
      <c r="T614" s="629"/>
      <c r="U614" s="635"/>
      <c r="V614" s="636"/>
      <c r="W614" s="637"/>
      <c r="X614" s="629"/>
      <c r="Y614" s="467"/>
      <c r="Z614" s="504"/>
      <c r="AA614" s="468"/>
      <c r="AB614" s="616"/>
      <c r="AC614" s="635"/>
      <c r="AD614" s="636"/>
      <c r="AE614" s="637"/>
      <c r="AF614" s="629"/>
      <c r="AG614" s="635"/>
      <c r="AH614" s="636"/>
      <c r="AI614" s="637"/>
      <c r="AJ614" s="629"/>
      <c r="AK614" s="435"/>
      <c r="AL614" s="435"/>
      <c r="AM614" s="435"/>
      <c r="AN614" s="435"/>
      <c r="AO614" s="467"/>
      <c r="AP614" s="504"/>
      <c r="AQ614" s="468"/>
      <c r="AR614" s="616"/>
      <c r="AS614" s="630"/>
      <c r="AT614" s="630"/>
    </row>
    <row r="615">
      <c r="A615" s="467"/>
      <c r="B615" s="504"/>
      <c r="C615" s="468"/>
      <c r="D615" s="616"/>
      <c r="E615" s="467"/>
      <c r="F615" s="504"/>
      <c r="G615" s="468"/>
      <c r="H615" s="616"/>
      <c r="I615" s="467"/>
      <c r="J615" s="504"/>
      <c r="K615" s="468"/>
      <c r="L615" s="616"/>
      <c r="M615" s="467"/>
      <c r="N615" s="504"/>
      <c r="O615" s="468"/>
      <c r="P615" s="616"/>
      <c r="Q615" s="635"/>
      <c r="R615" s="636"/>
      <c r="S615" s="637"/>
      <c r="T615" s="629"/>
      <c r="U615" s="635"/>
      <c r="V615" s="636"/>
      <c r="W615" s="637"/>
      <c r="X615" s="629"/>
      <c r="Y615" s="467"/>
      <c r="Z615" s="504"/>
      <c r="AA615" s="468"/>
      <c r="AB615" s="616"/>
      <c r="AC615" s="635"/>
      <c r="AD615" s="636"/>
      <c r="AE615" s="637"/>
      <c r="AF615" s="629"/>
      <c r="AG615" s="635"/>
      <c r="AH615" s="636"/>
      <c r="AI615" s="637"/>
      <c r="AJ615" s="629"/>
      <c r="AK615" s="435"/>
      <c r="AL615" s="435"/>
      <c r="AM615" s="435"/>
      <c r="AN615" s="435"/>
      <c r="AO615" s="467"/>
      <c r="AP615" s="504"/>
      <c r="AQ615" s="468"/>
      <c r="AR615" s="616"/>
      <c r="AS615" s="630"/>
      <c r="AT615" s="630"/>
    </row>
    <row r="616">
      <c r="A616" s="467"/>
      <c r="B616" s="504"/>
      <c r="C616" s="468"/>
      <c r="D616" s="616"/>
      <c r="E616" s="467"/>
      <c r="F616" s="504"/>
      <c r="G616" s="468"/>
      <c r="H616" s="616"/>
      <c r="I616" s="467"/>
      <c r="J616" s="504"/>
      <c r="K616" s="468"/>
      <c r="L616" s="616"/>
      <c r="M616" s="467"/>
      <c r="N616" s="504"/>
      <c r="O616" s="468"/>
      <c r="P616" s="616"/>
      <c r="Q616" s="635"/>
      <c r="R616" s="636"/>
      <c r="S616" s="637"/>
      <c r="T616" s="629"/>
      <c r="U616" s="635"/>
      <c r="V616" s="636"/>
      <c r="W616" s="637"/>
      <c r="X616" s="629"/>
      <c r="Y616" s="467"/>
      <c r="Z616" s="504"/>
      <c r="AA616" s="468"/>
      <c r="AB616" s="616"/>
      <c r="AC616" s="635"/>
      <c r="AD616" s="636"/>
      <c r="AE616" s="637"/>
      <c r="AF616" s="629"/>
      <c r="AG616" s="635"/>
      <c r="AH616" s="636"/>
      <c r="AI616" s="637"/>
      <c r="AJ616" s="629"/>
      <c r="AK616" s="435"/>
      <c r="AL616" s="435"/>
      <c r="AM616" s="435"/>
      <c r="AN616" s="435"/>
      <c r="AO616" s="467"/>
      <c r="AP616" s="504"/>
      <c r="AQ616" s="468"/>
      <c r="AR616" s="616"/>
      <c r="AS616" s="630"/>
      <c r="AT616" s="630"/>
    </row>
    <row r="617">
      <c r="A617" s="467"/>
      <c r="B617" s="504"/>
      <c r="C617" s="468"/>
      <c r="D617" s="616"/>
      <c r="E617" s="467"/>
      <c r="F617" s="504"/>
      <c r="G617" s="468"/>
      <c r="H617" s="616"/>
      <c r="I617" s="467"/>
      <c r="J617" s="504"/>
      <c r="K617" s="468"/>
      <c r="L617" s="616"/>
      <c r="M617" s="467"/>
      <c r="N617" s="504"/>
      <c r="O617" s="468"/>
      <c r="P617" s="616"/>
      <c r="Q617" s="635"/>
      <c r="R617" s="636"/>
      <c r="S617" s="637"/>
      <c r="T617" s="629"/>
      <c r="U617" s="635"/>
      <c r="V617" s="636"/>
      <c r="W617" s="637"/>
      <c r="X617" s="629"/>
      <c r="Y617" s="467"/>
      <c r="Z617" s="504"/>
      <c r="AA617" s="468"/>
      <c r="AB617" s="616"/>
      <c r="AC617" s="635"/>
      <c r="AD617" s="636"/>
      <c r="AE617" s="637"/>
      <c r="AF617" s="629"/>
      <c r="AG617" s="635"/>
      <c r="AH617" s="636"/>
      <c r="AI617" s="637"/>
      <c r="AJ617" s="629"/>
      <c r="AK617" s="435"/>
      <c r="AL617" s="435"/>
      <c r="AM617" s="435"/>
      <c r="AN617" s="435"/>
      <c r="AO617" s="467"/>
      <c r="AP617" s="504"/>
      <c r="AQ617" s="468"/>
      <c r="AR617" s="616"/>
      <c r="AS617" s="630"/>
      <c r="AT617" s="630"/>
    </row>
    <row r="618">
      <c r="A618" s="467"/>
      <c r="B618" s="504"/>
      <c r="C618" s="468"/>
      <c r="D618" s="616"/>
      <c r="E618" s="467"/>
      <c r="F618" s="504"/>
      <c r="G618" s="468"/>
      <c r="H618" s="616"/>
      <c r="I618" s="467"/>
      <c r="J618" s="504"/>
      <c r="K618" s="468"/>
      <c r="L618" s="616"/>
      <c r="M618" s="467"/>
      <c r="N618" s="504"/>
      <c r="O618" s="468"/>
      <c r="P618" s="616"/>
      <c r="Q618" s="635"/>
      <c r="R618" s="636"/>
      <c r="S618" s="637"/>
      <c r="T618" s="629"/>
      <c r="U618" s="635"/>
      <c r="V618" s="636"/>
      <c r="W618" s="637"/>
      <c r="X618" s="629"/>
      <c r="Y618" s="467"/>
      <c r="Z618" s="504"/>
      <c r="AA618" s="468"/>
      <c r="AB618" s="616"/>
      <c r="AC618" s="635"/>
      <c r="AD618" s="636"/>
      <c r="AE618" s="637"/>
      <c r="AF618" s="629"/>
      <c r="AG618" s="635"/>
      <c r="AH618" s="636"/>
      <c r="AI618" s="637"/>
      <c r="AJ618" s="629"/>
      <c r="AK618" s="435"/>
      <c r="AL618" s="435"/>
      <c r="AM618" s="435"/>
      <c r="AN618" s="435"/>
      <c r="AO618" s="467"/>
      <c r="AP618" s="504"/>
      <c r="AQ618" s="468"/>
      <c r="AR618" s="616"/>
      <c r="AS618" s="630"/>
      <c r="AT618" s="630"/>
    </row>
    <row r="619">
      <c r="A619" s="467"/>
      <c r="B619" s="504"/>
      <c r="C619" s="468"/>
      <c r="D619" s="616"/>
      <c r="E619" s="467"/>
      <c r="F619" s="504"/>
      <c r="G619" s="468"/>
      <c r="H619" s="616"/>
      <c r="I619" s="467"/>
      <c r="J619" s="504"/>
      <c r="K619" s="468"/>
      <c r="L619" s="616"/>
      <c r="M619" s="467"/>
      <c r="N619" s="504"/>
      <c r="O619" s="468"/>
      <c r="P619" s="616"/>
      <c r="Q619" s="635"/>
      <c r="R619" s="636"/>
      <c r="S619" s="637"/>
      <c r="T619" s="629"/>
      <c r="U619" s="635"/>
      <c r="V619" s="636"/>
      <c r="W619" s="637"/>
      <c r="X619" s="629"/>
      <c r="Y619" s="467"/>
      <c r="Z619" s="504"/>
      <c r="AA619" s="468"/>
      <c r="AB619" s="616"/>
      <c r="AC619" s="635"/>
      <c r="AD619" s="636"/>
      <c r="AE619" s="637"/>
      <c r="AF619" s="629"/>
      <c r="AG619" s="635"/>
      <c r="AH619" s="636"/>
      <c r="AI619" s="637"/>
      <c r="AJ619" s="629"/>
      <c r="AK619" s="435"/>
      <c r="AL619" s="435"/>
      <c r="AM619" s="435"/>
      <c r="AN619" s="435"/>
      <c r="AO619" s="467"/>
      <c r="AP619" s="504"/>
      <c r="AQ619" s="468"/>
      <c r="AR619" s="616"/>
      <c r="AS619" s="630"/>
      <c r="AT619" s="630"/>
    </row>
    <row r="620">
      <c r="A620" s="467"/>
      <c r="B620" s="504"/>
      <c r="C620" s="468"/>
      <c r="D620" s="616"/>
      <c r="E620" s="467"/>
      <c r="F620" s="504"/>
      <c r="G620" s="468"/>
      <c r="H620" s="616"/>
      <c r="I620" s="467"/>
      <c r="J620" s="504"/>
      <c r="K620" s="468"/>
      <c r="L620" s="616"/>
      <c r="M620" s="467"/>
      <c r="N620" s="504"/>
      <c r="O620" s="468"/>
      <c r="P620" s="616"/>
      <c r="Q620" s="635"/>
      <c r="R620" s="636"/>
      <c r="S620" s="637"/>
      <c r="T620" s="629"/>
      <c r="U620" s="635"/>
      <c r="V620" s="636"/>
      <c r="W620" s="637"/>
      <c r="X620" s="629"/>
      <c r="Y620" s="467"/>
      <c r="Z620" s="504"/>
      <c r="AA620" s="468"/>
      <c r="AB620" s="616"/>
      <c r="AC620" s="635"/>
      <c r="AD620" s="636"/>
      <c r="AE620" s="637"/>
      <c r="AF620" s="629"/>
      <c r="AG620" s="635"/>
      <c r="AH620" s="636"/>
      <c r="AI620" s="637"/>
      <c r="AJ620" s="629"/>
      <c r="AK620" s="435"/>
      <c r="AL620" s="435"/>
      <c r="AM620" s="435"/>
      <c r="AN620" s="435"/>
      <c r="AO620" s="467"/>
      <c r="AP620" s="504"/>
      <c r="AQ620" s="468"/>
      <c r="AR620" s="616"/>
      <c r="AS620" s="630"/>
      <c r="AT620" s="630"/>
    </row>
    <row r="621">
      <c r="A621" s="467"/>
      <c r="B621" s="504"/>
      <c r="C621" s="468"/>
      <c r="D621" s="616"/>
      <c r="E621" s="467"/>
      <c r="F621" s="504"/>
      <c r="G621" s="468"/>
      <c r="H621" s="616"/>
      <c r="I621" s="467"/>
      <c r="J621" s="504"/>
      <c r="K621" s="468"/>
      <c r="L621" s="616"/>
      <c r="M621" s="467"/>
      <c r="N621" s="504"/>
      <c r="O621" s="468"/>
      <c r="P621" s="616"/>
      <c r="Q621" s="635"/>
      <c r="R621" s="636"/>
      <c r="S621" s="637"/>
      <c r="T621" s="629"/>
      <c r="U621" s="635"/>
      <c r="V621" s="636"/>
      <c r="W621" s="637"/>
      <c r="X621" s="629"/>
      <c r="Y621" s="467"/>
      <c r="Z621" s="504"/>
      <c r="AA621" s="468"/>
      <c r="AB621" s="616"/>
      <c r="AC621" s="635"/>
      <c r="AD621" s="636"/>
      <c r="AE621" s="637"/>
      <c r="AF621" s="629"/>
      <c r="AG621" s="635"/>
      <c r="AH621" s="636"/>
      <c r="AI621" s="637"/>
      <c r="AJ621" s="629"/>
      <c r="AK621" s="435"/>
      <c r="AL621" s="435"/>
      <c r="AM621" s="435"/>
      <c r="AN621" s="435"/>
      <c r="AO621" s="467"/>
      <c r="AP621" s="504"/>
      <c r="AQ621" s="468"/>
      <c r="AR621" s="616"/>
      <c r="AS621" s="630"/>
      <c r="AT621" s="630"/>
    </row>
    <row r="622">
      <c r="A622" s="467"/>
      <c r="B622" s="504"/>
      <c r="C622" s="468"/>
      <c r="D622" s="616"/>
      <c r="E622" s="467"/>
      <c r="F622" s="504"/>
      <c r="G622" s="468"/>
      <c r="H622" s="616"/>
      <c r="I622" s="467"/>
      <c r="J622" s="504"/>
      <c r="K622" s="468"/>
      <c r="L622" s="616"/>
      <c r="M622" s="467"/>
      <c r="N622" s="504"/>
      <c r="O622" s="468"/>
      <c r="P622" s="616"/>
      <c r="Q622" s="635"/>
      <c r="R622" s="636"/>
      <c r="S622" s="637"/>
      <c r="T622" s="629"/>
      <c r="U622" s="635"/>
      <c r="V622" s="636"/>
      <c r="W622" s="637"/>
      <c r="X622" s="629"/>
      <c r="Y622" s="467"/>
      <c r="Z622" s="504"/>
      <c r="AA622" s="468"/>
      <c r="AB622" s="616"/>
      <c r="AC622" s="635"/>
      <c r="AD622" s="636"/>
      <c r="AE622" s="637"/>
      <c r="AF622" s="629"/>
      <c r="AG622" s="635"/>
      <c r="AH622" s="636"/>
      <c r="AI622" s="637"/>
      <c r="AJ622" s="629"/>
      <c r="AK622" s="435"/>
      <c r="AL622" s="435"/>
      <c r="AM622" s="435"/>
      <c r="AN622" s="435"/>
      <c r="AO622" s="467"/>
      <c r="AP622" s="504"/>
      <c r="AQ622" s="468"/>
      <c r="AR622" s="616"/>
      <c r="AS622" s="630"/>
      <c r="AT622" s="630"/>
    </row>
    <row r="623">
      <c r="A623" s="467"/>
      <c r="B623" s="504"/>
      <c r="C623" s="468"/>
      <c r="D623" s="616"/>
      <c r="E623" s="467"/>
      <c r="F623" s="504"/>
      <c r="G623" s="468"/>
      <c r="H623" s="616"/>
      <c r="I623" s="467"/>
      <c r="J623" s="504"/>
      <c r="K623" s="468"/>
      <c r="L623" s="616"/>
      <c r="M623" s="467"/>
      <c r="N623" s="504"/>
      <c r="O623" s="468"/>
      <c r="P623" s="616"/>
      <c r="Q623" s="635"/>
      <c r="R623" s="636"/>
      <c r="S623" s="637"/>
      <c r="T623" s="629"/>
      <c r="U623" s="635"/>
      <c r="V623" s="636"/>
      <c r="W623" s="637"/>
      <c r="X623" s="629"/>
      <c r="Y623" s="467"/>
      <c r="Z623" s="504"/>
      <c r="AA623" s="468"/>
      <c r="AB623" s="616"/>
      <c r="AC623" s="635"/>
      <c r="AD623" s="636"/>
      <c r="AE623" s="637"/>
      <c r="AF623" s="629"/>
      <c r="AG623" s="635"/>
      <c r="AH623" s="636"/>
      <c r="AI623" s="637"/>
      <c r="AJ623" s="629"/>
      <c r="AK623" s="435"/>
      <c r="AL623" s="435"/>
      <c r="AM623" s="435"/>
      <c r="AN623" s="435"/>
      <c r="AO623" s="467"/>
      <c r="AP623" s="504"/>
      <c r="AQ623" s="468"/>
      <c r="AR623" s="616"/>
      <c r="AS623" s="630"/>
      <c r="AT623" s="630"/>
    </row>
    <row r="624">
      <c r="A624" s="467"/>
      <c r="B624" s="504"/>
      <c r="C624" s="468"/>
      <c r="D624" s="616"/>
      <c r="E624" s="467"/>
      <c r="F624" s="504"/>
      <c r="G624" s="468"/>
      <c r="H624" s="616"/>
      <c r="I624" s="467"/>
      <c r="J624" s="504"/>
      <c r="K624" s="468"/>
      <c r="L624" s="616"/>
      <c r="M624" s="467"/>
      <c r="N624" s="504"/>
      <c r="O624" s="468"/>
      <c r="P624" s="616"/>
      <c r="Q624" s="635"/>
      <c r="R624" s="636"/>
      <c r="S624" s="637"/>
      <c r="T624" s="629"/>
      <c r="U624" s="635"/>
      <c r="V624" s="636"/>
      <c r="W624" s="637"/>
      <c r="X624" s="629"/>
      <c r="Y624" s="467"/>
      <c r="Z624" s="504"/>
      <c r="AA624" s="468"/>
      <c r="AB624" s="616"/>
      <c r="AC624" s="635"/>
      <c r="AD624" s="636"/>
      <c r="AE624" s="637"/>
      <c r="AF624" s="629"/>
      <c r="AG624" s="635"/>
      <c r="AH624" s="636"/>
      <c r="AI624" s="637"/>
      <c r="AJ624" s="629"/>
      <c r="AK624" s="435"/>
      <c r="AL624" s="435"/>
      <c r="AM624" s="435"/>
      <c r="AN624" s="435"/>
      <c r="AO624" s="467"/>
      <c r="AP624" s="504"/>
      <c r="AQ624" s="468"/>
      <c r="AR624" s="616"/>
      <c r="AS624" s="630"/>
      <c r="AT624" s="630"/>
    </row>
    <row r="625">
      <c r="A625" s="467"/>
      <c r="B625" s="504"/>
      <c r="C625" s="468"/>
      <c r="D625" s="616"/>
      <c r="E625" s="467"/>
      <c r="F625" s="504"/>
      <c r="G625" s="468"/>
      <c r="H625" s="616"/>
      <c r="I625" s="467"/>
      <c r="J625" s="504"/>
      <c r="K625" s="468"/>
      <c r="L625" s="616"/>
      <c r="M625" s="467"/>
      <c r="N625" s="504"/>
      <c r="O625" s="468"/>
      <c r="P625" s="616"/>
      <c r="Q625" s="635"/>
      <c r="R625" s="636"/>
      <c r="S625" s="637"/>
      <c r="T625" s="629"/>
      <c r="U625" s="635"/>
      <c r="V625" s="636"/>
      <c r="W625" s="637"/>
      <c r="X625" s="629"/>
      <c r="Y625" s="467"/>
      <c r="Z625" s="504"/>
      <c r="AA625" s="468"/>
      <c r="AB625" s="616"/>
      <c r="AC625" s="635"/>
      <c r="AD625" s="636"/>
      <c r="AE625" s="637"/>
      <c r="AF625" s="629"/>
      <c r="AG625" s="635"/>
      <c r="AH625" s="636"/>
      <c r="AI625" s="637"/>
      <c r="AJ625" s="629"/>
      <c r="AK625" s="435"/>
      <c r="AL625" s="435"/>
      <c r="AM625" s="435"/>
      <c r="AN625" s="435"/>
      <c r="AO625" s="467"/>
      <c r="AP625" s="504"/>
      <c r="AQ625" s="468"/>
      <c r="AR625" s="616"/>
      <c r="AS625" s="630"/>
      <c r="AT625" s="630"/>
    </row>
    <row r="626">
      <c r="A626" s="467"/>
      <c r="B626" s="504"/>
      <c r="C626" s="468"/>
      <c r="D626" s="616"/>
      <c r="E626" s="467"/>
      <c r="F626" s="504"/>
      <c r="G626" s="468"/>
      <c r="H626" s="616"/>
      <c r="I626" s="467"/>
      <c r="J626" s="504"/>
      <c r="K626" s="468"/>
      <c r="L626" s="616"/>
      <c r="M626" s="467"/>
      <c r="N626" s="504"/>
      <c r="O626" s="468"/>
      <c r="P626" s="616"/>
      <c r="Q626" s="635"/>
      <c r="R626" s="636"/>
      <c r="S626" s="637"/>
      <c r="T626" s="629"/>
      <c r="U626" s="635"/>
      <c r="V626" s="636"/>
      <c r="W626" s="637"/>
      <c r="X626" s="629"/>
      <c r="Y626" s="467"/>
      <c r="Z626" s="504"/>
      <c r="AA626" s="468"/>
      <c r="AB626" s="616"/>
      <c r="AC626" s="635"/>
      <c r="AD626" s="636"/>
      <c r="AE626" s="637"/>
      <c r="AF626" s="629"/>
      <c r="AG626" s="635"/>
      <c r="AH626" s="636"/>
      <c r="AI626" s="637"/>
      <c r="AJ626" s="629"/>
      <c r="AK626" s="435"/>
      <c r="AL626" s="435"/>
      <c r="AM626" s="435"/>
      <c r="AN626" s="435"/>
      <c r="AO626" s="467"/>
      <c r="AP626" s="504"/>
      <c r="AQ626" s="468"/>
      <c r="AR626" s="616"/>
      <c r="AS626" s="630"/>
      <c r="AT626" s="630"/>
    </row>
    <row r="627">
      <c r="A627" s="467"/>
      <c r="B627" s="504"/>
      <c r="C627" s="468"/>
      <c r="D627" s="616"/>
      <c r="E627" s="467"/>
      <c r="F627" s="504"/>
      <c r="G627" s="468"/>
      <c r="H627" s="616"/>
      <c r="I627" s="467"/>
      <c r="J627" s="504"/>
      <c r="K627" s="468"/>
      <c r="L627" s="616"/>
      <c r="M627" s="467"/>
      <c r="N627" s="504"/>
      <c r="O627" s="468"/>
      <c r="P627" s="616"/>
      <c r="Q627" s="635"/>
      <c r="R627" s="636"/>
      <c r="S627" s="637"/>
      <c r="T627" s="629"/>
      <c r="U627" s="635"/>
      <c r="V627" s="636"/>
      <c r="W627" s="637"/>
      <c r="X627" s="629"/>
      <c r="Y627" s="467"/>
      <c r="Z627" s="504"/>
      <c r="AA627" s="468"/>
      <c r="AB627" s="616"/>
      <c r="AC627" s="635"/>
      <c r="AD627" s="636"/>
      <c r="AE627" s="637"/>
      <c r="AF627" s="629"/>
      <c r="AG627" s="635"/>
      <c r="AH627" s="636"/>
      <c r="AI627" s="637"/>
      <c r="AJ627" s="629"/>
      <c r="AK627" s="435"/>
      <c r="AL627" s="435"/>
      <c r="AM627" s="435"/>
      <c r="AN627" s="435"/>
      <c r="AO627" s="467"/>
      <c r="AP627" s="504"/>
      <c r="AQ627" s="468"/>
      <c r="AR627" s="616"/>
      <c r="AS627" s="630"/>
      <c r="AT627" s="630"/>
    </row>
    <row r="628">
      <c r="A628" s="467"/>
      <c r="B628" s="504"/>
      <c r="C628" s="468"/>
      <c r="D628" s="616"/>
      <c r="E628" s="467"/>
      <c r="F628" s="504"/>
      <c r="G628" s="468"/>
      <c r="H628" s="616"/>
      <c r="I628" s="467"/>
      <c r="J628" s="504"/>
      <c r="K628" s="468"/>
      <c r="L628" s="616"/>
      <c r="M628" s="467"/>
      <c r="N628" s="504"/>
      <c r="O628" s="468"/>
      <c r="P628" s="616"/>
      <c r="Q628" s="635"/>
      <c r="R628" s="636"/>
      <c r="S628" s="637"/>
      <c r="T628" s="629"/>
      <c r="U628" s="635"/>
      <c r="V628" s="636"/>
      <c r="W628" s="637"/>
      <c r="X628" s="629"/>
      <c r="Y628" s="467"/>
      <c r="Z628" s="504"/>
      <c r="AA628" s="468"/>
      <c r="AB628" s="616"/>
      <c r="AC628" s="635"/>
      <c r="AD628" s="636"/>
      <c r="AE628" s="637"/>
      <c r="AF628" s="629"/>
      <c r="AG628" s="635"/>
      <c r="AH628" s="636"/>
      <c r="AI628" s="637"/>
      <c r="AJ628" s="629"/>
      <c r="AK628" s="435"/>
      <c r="AL628" s="435"/>
      <c r="AM628" s="435"/>
      <c r="AN628" s="435"/>
      <c r="AO628" s="467"/>
      <c r="AP628" s="504"/>
      <c r="AQ628" s="468"/>
      <c r="AR628" s="616"/>
      <c r="AS628" s="630"/>
      <c r="AT628" s="630"/>
    </row>
    <row r="629">
      <c r="A629" s="467"/>
      <c r="B629" s="504"/>
      <c r="C629" s="468"/>
      <c r="D629" s="616"/>
      <c r="E629" s="467"/>
      <c r="F629" s="504"/>
      <c r="G629" s="468"/>
      <c r="H629" s="616"/>
      <c r="I629" s="467"/>
      <c r="J629" s="504"/>
      <c r="K629" s="468"/>
      <c r="L629" s="616"/>
      <c r="M629" s="467"/>
      <c r="N629" s="504"/>
      <c r="O629" s="468"/>
      <c r="P629" s="616"/>
      <c r="Q629" s="635"/>
      <c r="R629" s="636"/>
      <c r="S629" s="637"/>
      <c r="T629" s="629"/>
      <c r="U629" s="635"/>
      <c r="V629" s="636"/>
      <c r="W629" s="637"/>
      <c r="X629" s="629"/>
      <c r="Y629" s="467"/>
      <c r="Z629" s="504"/>
      <c r="AA629" s="468"/>
      <c r="AB629" s="616"/>
      <c r="AC629" s="635"/>
      <c r="AD629" s="636"/>
      <c r="AE629" s="637"/>
      <c r="AF629" s="629"/>
      <c r="AG629" s="635"/>
      <c r="AH629" s="636"/>
      <c r="AI629" s="637"/>
      <c r="AJ629" s="629"/>
      <c r="AK629" s="435"/>
      <c r="AL629" s="435"/>
      <c r="AM629" s="435"/>
      <c r="AN629" s="435"/>
      <c r="AO629" s="467"/>
      <c r="AP629" s="504"/>
      <c r="AQ629" s="468"/>
      <c r="AR629" s="616"/>
      <c r="AS629" s="630"/>
      <c r="AT629" s="630"/>
    </row>
    <row r="630">
      <c r="A630" s="467"/>
      <c r="B630" s="504"/>
      <c r="C630" s="468"/>
      <c r="D630" s="616"/>
      <c r="E630" s="467"/>
      <c r="F630" s="504"/>
      <c r="G630" s="468"/>
      <c r="H630" s="616"/>
      <c r="I630" s="467"/>
      <c r="J630" s="504"/>
      <c r="K630" s="468"/>
      <c r="L630" s="616"/>
      <c r="M630" s="467"/>
      <c r="N630" s="504"/>
      <c r="O630" s="468"/>
      <c r="P630" s="616"/>
      <c r="Q630" s="635"/>
      <c r="R630" s="636"/>
      <c r="S630" s="637"/>
      <c r="T630" s="629"/>
      <c r="U630" s="635"/>
      <c r="V630" s="636"/>
      <c r="W630" s="637"/>
      <c r="X630" s="629"/>
      <c r="Y630" s="467"/>
      <c r="Z630" s="504"/>
      <c r="AA630" s="468"/>
      <c r="AB630" s="616"/>
      <c r="AC630" s="635"/>
      <c r="AD630" s="636"/>
      <c r="AE630" s="637"/>
      <c r="AF630" s="629"/>
      <c r="AG630" s="635"/>
      <c r="AH630" s="636"/>
      <c r="AI630" s="637"/>
      <c r="AJ630" s="629"/>
      <c r="AK630" s="435"/>
      <c r="AL630" s="435"/>
      <c r="AM630" s="435"/>
      <c r="AN630" s="435"/>
      <c r="AO630" s="467"/>
      <c r="AP630" s="504"/>
      <c r="AQ630" s="468"/>
      <c r="AR630" s="616"/>
      <c r="AS630" s="630"/>
      <c r="AT630" s="630"/>
    </row>
    <row r="631">
      <c r="A631" s="467"/>
      <c r="B631" s="504"/>
      <c r="C631" s="468"/>
      <c r="D631" s="616"/>
      <c r="E631" s="467"/>
      <c r="F631" s="504"/>
      <c r="G631" s="468"/>
      <c r="H631" s="616"/>
      <c r="I631" s="467"/>
      <c r="J631" s="504"/>
      <c r="K631" s="468"/>
      <c r="L631" s="616"/>
      <c r="M631" s="467"/>
      <c r="N631" s="504"/>
      <c r="O631" s="468"/>
      <c r="P631" s="616"/>
      <c r="Q631" s="635"/>
      <c r="R631" s="636"/>
      <c r="S631" s="637"/>
      <c r="T631" s="629"/>
      <c r="U631" s="635"/>
      <c r="V631" s="636"/>
      <c r="W631" s="637"/>
      <c r="X631" s="629"/>
      <c r="Y631" s="467"/>
      <c r="Z631" s="504"/>
      <c r="AA631" s="468"/>
      <c r="AB631" s="616"/>
      <c r="AC631" s="635"/>
      <c r="AD631" s="636"/>
      <c r="AE631" s="637"/>
      <c r="AF631" s="629"/>
      <c r="AG631" s="635"/>
      <c r="AH631" s="636"/>
      <c r="AI631" s="637"/>
      <c r="AJ631" s="629"/>
      <c r="AK631" s="435"/>
      <c r="AL631" s="435"/>
      <c r="AM631" s="435"/>
      <c r="AN631" s="435"/>
      <c r="AO631" s="467"/>
      <c r="AP631" s="504"/>
      <c r="AQ631" s="468"/>
      <c r="AR631" s="616"/>
      <c r="AS631" s="630"/>
      <c r="AT631" s="630"/>
    </row>
    <row r="632">
      <c r="A632" s="467"/>
      <c r="B632" s="504"/>
      <c r="C632" s="468"/>
      <c r="D632" s="616"/>
      <c r="E632" s="467"/>
      <c r="F632" s="504"/>
      <c r="G632" s="468"/>
      <c r="H632" s="616"/>
      <c r="I632" s="467"/>
      <c r="J632" s="504"/>
      <c r="K632" s="468"/>
      <c r="L632" s="616"/>
      <c r="M632" s="467"/>
      <c r="N632" s="504"/>
      <c r="O632" s="468"/>
      <c r="P632" s="616"/>
      <c r="Q632" s="635"/>
      <c r="R632" s="636"/>
      <c r="S632" s="637"/>
      <c r="T632" s="629"/>
      <c r="U632" s="635"/>
      <c r="V632" s="636"/>
      <c r="W632" s="637"/>
      <c r="X632" s="629"/>
      <c r="Y632" s="467"/>
      <c r="Z632" s="504"/>
      <c r="AA632" s="468"/>
      <c r="AB632" s="616"/>
      <c r="AC632" s="635"/>
      <c r="AD632" s="636"/>
      <c r="AE632" s="637"/>
      <c r="AF632" s="629"/>
      <c r="AG632" s="635"/>
      <c r="AH632" s="636"/>
      <c r="AI632" s="637"/>
      <c r="AJ632" s="629"/>
      <c r="AK632" s="435"/>
      <c r="AL632" s="435"/>
      <c r="AM632" s="435"/>
      <c r="AN632" s="435"/>
      <c r="AO632" s="467"/>
      <c r="AP632" s="504"/>
      <c r="AQ632" s="468"/>
      <c r="AR632" s="616"/>
      <c r="AS632" s="630"/>
      <c r="AT632" s="630"/>
    </row>
    <row r="633">
      <c r="A633" s="467"/>
      <c r="B633" s="504"/>
      <c r="C633" s="468"/>
      <c r="D633" s="616"/>
      <c r="E633" s="467"/>
      <c r="F633" s="504"/>
      <c r="G633" s="468"/>
      <c r="H633" s="616"/>
      <c r="I633" s="467"/>
      <c r="J633" s="504"/>
      <c r="K633" s="468"/>
      <c r="L633" s="616"/>
      <c r="M633" s="467"/>
      <c r="N633" s="504"/>
      <c r="O633" s="468"/>
      <c r="P633" s="616"/>
      <c r="Q633" s="635"/>
      <c r="R633" s="636"/>
      <c r="S633" s="637"/>
      <c r="T633" s="629"/>
      <c r="U633" s="635"/>
      <c r="V633" s="636"/>
      <c r="W633" s="637"/>
      <c r="X633" s="629"/>
      <c r="Y633" s="467"/>
      <c r="Z633" s="504"/>
      <c r="AA633" s="468"/>
      <c r="AB633" s="616"/>
      <c r="AC633" s="635"/>
      <c r="AD633" s="636"/>
      <c r="AE633" s="637"/>
      <c r="AF633" s="629"/>
      <c r="AG633" s="635"/>
      <c r="AH633" s="636"/>
      <c r="AI633" s="637"/>
      <c r="AJ633" s="629"/>
      <c r="AK633" s="435"/>
      <c r="AL633" s="435"/>
      <c r="AM633" s="435"/>
      <c r="AN633" s="435"/>
      <c r="AO633" s="467"/>
      <c r="AP633" s="504"/>
      <c r="AQ633" s="468"/>
      <c r="AR633" s="616"/>
      <c r="AS633" s="630"/>
      <c r="AT633" s="630"/>
    </row>
    <row r="634">
      <c r="A634" s="467"/>
      <c r="B634" s="504"/>
      <c r="C634" s="468"/>
      <c r="D634" s="616"/>
      <c r="E634" s="467"/>
      <c r="F634" s="504"/>
      <c r="G634" s="468"/>
      <c r="H634" s="616"/>
      <c r="I634" s="467"/>
      <c r="J634" s="504"/>
      <c r="K634" s="468"/>
      <c r="L634" s="616"/>
      <c r="M634" s="467"/>
      <c r="N634" s="504"/>
      <c r="O634" s="468"/>
      <c r="P634" s="616"/>
      <c r="Q634" s="635"/>
      <c r="R634" s="636"/>
      <c r="S634" s="637"/>
      <c r="T634" s="629"/>
      <c r="U634" s="635"/>
      <c r="V634" s="636"/>
      <c r="W634" s="637"/>
      <c r="X634" s="629"/>
      <c r="Y634" s="467"/>
      <c r="Z634" s="504"/>
      <c r="AA634" s="468"/>
      <c r="AB634" s="616"/>
      <c r="AC634" s="635"/>
      <c r="AD634" s="636"/>
      <c r="AE634" s="637"/>
      <c r="AF634" s="629"/>
      <c r="AG634" s="635"/>
      <c r="AH634" s="636"/>
      <c r="AI634" s="637"/>
      <c r="AJ634" s="629"/>
      <c r="AK634" s="435"/>
      <c r="AL634" s="435"/>
      <c r="AM634" s="435"/>
      <c r="AN634" s="435"/>
      <c r="AO634" s="467"/>
      <c r="AP634" s="504"/>
      <c r="AQ634" s="468"/>
      <c r="AR634" s="616"/>
      <c r="AS634" s="630"/>
      <c r="AT634" s="630"/>
    </row>
    <row r="635">
      <c r="A635" s="467"/>
      <c r="B635" s="504"/>
      <c r="C635" s="468"/>
      <c r="D635" s="616"/>
      <c r="E635" s="467"/>
      <c r="F635" s="504"/>
      <c r="G635" s="468"/>
      <c r="H635" s="616"/>
      <c r="I635" s="467"/>
      <c r="J635" s="504"/>
      <c r="K635" s="468"/>
      <c r="L635" s="616"/>
      <c r="M635" s="467"/>
      <c r="N635" s="504"/>
      <c r="O635" s="468"/>
      <c r="P635" s="616"/>
      <c r="Q635" s="635"/>
      <c r="R635" s="636"/>
      <c r="S635" s="637"/>
      <c r="T635" s="629"/>
      <c r="U635" s="635"/>
      <c r="V635" s="636"/>
      <c r="W635" s="637"/>
      <c r="X635" s="629"/>
      <c r="Y635" s="467"/>
      <c r="Z635" s="504"/>
      <c r="AA635" s="468"/>
      <c r="AB635" s="616"/>
      <c r="AC635" s="635"/>
      <c r="AD635" s="636"/>
      <c r="AE635" s="637"/>
      <c r="AF635" s="629"/>
      <c r="AG635" s="635"/>
      <c r="AH635" s="636"/>
      <c r="AI635" s="637"/>
      <c r="AJ635" s="629"/>
      <c r="AK635" s="435"/>
      <c r="AL635" s="435"/>
      <c r="AM635" s="435"/>
      <c r="AN635" s="435"/>
      <c r="AO635" s="467"/>
      <c r="AP635" s="504"/>
      <c r="AQ635" s="468"/>
      <c r="AR635" s="616"/>
      <c r="AS635" s="630"/>
      <c r="AT635" s="630"/>
    </row>
    <row r="636">
      <c r="A636" s="467"/>
      <c r="B636" s="504"/>
      <c r="C636" s="468"/>
      <c r="D636" s="616"/>
      <c r="E636" s="467"/>
      <c r="F636" s="504"/>
      <c r="G636" s="468"/>
      <c r="H636" s="616"/>
      <c r="I636" s="467"/>
      <c r="J636" s="504"/>
      <c r="K636" s="468"/>
      <c r="L636" s="616"/>
      <c r="M636" s="467"/>
      <c r="N636" s="504"/>
      <c r="O636" s="468"/>
      <c r="P636" s="616"/>
      <c r="Q636" s="635"/>
      <c r="R636" s="636"/>
      <c r="S636" s="637"/>
      <c r="T636" s="629"/>
      <c r="U636" s="635"/>
      <c r="V636" s="636"/>
      <c r="W636" s="637"/>
      <c r="X636" s="629"/>
      <c r="Y636" s="467"/>
      <c r="Z636" s="504"/>
      <c r="AA636" s="468"/>
      <c r="AB636" s="616"/>
      <c r="AC636" s="635"/>
      <c r="AD636" s="636"/>
      <c r="AE636" s="637"/>
      <c r="AF636" s="629"/>
      <c r="AG636" s="635"/>
      <c r="AH636" s="636"/>
      <c r="AI636" s="637"/>
      <c r="AJ636" s="629"/>
      <c r="AK636" s="435"/>
      <c r="AL636" s="435"/>
      <c r="AM636" s="435"/>
      <c r="AN636" s="435"/>
      <c r="AO636" s="467"/>
      <c r="AP636" s="504"/>
      <c r="AQ636" s="468"/>
      <c r="AR636" s="616"/>
      <c r="AS636" s="630"/>
      <c r="AT636" s="630"/>
    </row>
    <row r="637">
      <c r="A637" s="467"/>
      <c r="B637" s="504"/>
      <c r="C637" s="468"/>
      <c r="D637" s="616"/>
      <c r="E637" s="467"/>
      <c r="F637" s="504"/>
      <c r="G637" s="468"/>
      <c r="H637" s="616"/>
      <c r="I637" s="467"/>
      <c r="J637" s="504"/>
      <c r="K637" s="468"/>
      <c r="L637" s="616"/>
      <c r="M637" s="467"/>
      <c r="N637" s="504"/>
      <c r="O637" s="468"/>
      <c r="P637" s="616"/>
      <c r="Q637" s="635"/>
      <c r="R637" s="636"/>
      <c r="S637" s="637"/>
      <c r="T637" s="629"/>
      <c r="U637" s="635"/>
      <c r="V637" s="636"/>
      <c r="W637" s="637"/>
      <c r="X637" s="629"/>
      <c r="Y637" s="467"/>
      <c r="Z637" s="504"/>
      <c r="AA637" s="468"/>
      <c r="AB637" s="616"/>
      <c r="AC637" s="635"/>
      <c r="AD637" s="636"/>
      <c r="AE637" s="637"/>
      <c r="AF637" s="629"/>
      <c r="AG637" s="635"/>
      <c r="AH637" s="636"/>
      <c r="AI637" s="637"/>
      <c r="AJ637" s="629"/>
      <c r="AK637" s="435"/>
      <c r="AL637" s="435"/>
      <c r="AM637" s="435"/>
      <c r="AN637" s="435"/>
      <c r="AO637" s="467"/>
      <c r="AP637" s="504"/>
      <c r="AQ637" s="468"/>
      <c r="AR637" s="616"/>
      <c r="AS637" s="630"/>
      <c r="AT637" s="630"/>
    </row>
    <row r="638">
      <c r="A638" s="467"/>
      <c r="B638" s="504"/>
      <c r="C638" s="468"/>
      <c r="D638" s="616"/>
      <c r="E638" s="467"/>
      <c r="F638" s="504"/>
      <c r="G638" s="468"/>
      <c r="H638" s="616"/>
      <c r="I638" s="467"/>
      <c r="J638" s="504"/>
      <c r="K638" s="468"/>
      <c r="L638" s="616"/>
      <c r="M638" s="467"/>
      <c r="N638" s="504"/>
      <c r="O638" s="468"/>
      <c r="P638" s="616"/>
      <c r="Q638" s="635"/>
      <c r="R638" s="636"/>
      <c r="S638" s="637"/>
      <c r="T638" s="629"/>
      <c r="U638" s="635"/>
      <c r="V638" s="636"/>
      <c r="W638" s="637"/>
      <c r="X638" s="629"/>
      <c r="Y638" s="467"/>
      <c r="Z638" s="504"/>
      <c r="AA638" s="468"/>
      <c r="AB638" s="616"/>
      <c r="AC638" s="635"/>
      <c r="AD638" s="636"/>
      <c r="AE638" s="637"/>
      <c r="AF638" s="629"/>
      <c r="AG638" s="635"/>
      <c r="AH638" s="636"/>
      <c r="AI638" s="637"/>
      <c r="AJ638" s="629"/>
      <c r="AK638" s="435"/>
      <c r="AL638" s="435"/>
      <c r="AM638" s="435"/>
      <c r="AN638" s="435"/>
      <c r="AO638" s="467"/>
      <c r="AP638" s="504"/>
      <c r="AQ638" s="468"/>
      <c r="AR638" s="616"/>
      <c r="AS638" s="630"/>
      <c r="AT638" s="630"/>
    </row>
    <row r="639">
      <c r="A639" s="467"/>
      <c r="B639" s="504"/>
      <c r="C639" s="468"/>
      <c r="D639" s="616"/>
      <c r="E639" s="467"/>
      <c r="F639" s="504"/>
      <c r="G639" s="468"/>
      <c r="H639" s="616"/>
      <c r="I639" s="467"/>
      <c r="J639" s="504"/>
      <c r="K639" s="468"/>
      <c r="L639" s="616"/>
      <c r="M639" s="467"/>
      <c r="N639" s="504"/>
      <c r="O639" s="468"/>
      <c r="P639" s="616"/>
      <c r="Q639" s="635"/>
      <c r="R639" s="636"/>
      <c r="S639" s="637"/>
      <c r="T639" s="629"/>
      <c r="U639" s="635"/>
      <c r="V639" s="636"/>
      <c r="W639" s="637"/>
      <c r="X639" s="629"/>
      <c r="Y639" s="467"/>
      <c r="Z639" s="504"/>
      <c r="AA639" s="468"/>
      <c r="AB639" s="616"/>
      <c r="AC639" s="635"/>
      <c r="AD639" s="636"/>
      <c r="AE639" s="637"/>
      <c r="AF639" s="629"/>
      <c r="AG639" s="635"/>
      <c r="AH639" s="636"/>
      <c r="AI639" s="637"/>
      <c r="AJ639" s="629"/>
      <c r="AK639" s="435"/>
      <c r="AL639" s="435"/>
      <c r="AM639" s="435"/>
      <c r="AN639" s="435"/>
      <c r="AO639" s="467"/>
      <c r="AP639" s="504"/>
      <c r="AQ639" s="468"/>
      <c r="AR639" s="616"/>
      <c r="AS639" s="630"/>
      <c r="AT639" s="630"/>
    </row>
    <row r="640">
      <c r="A640" s="467"/>
      <c r="B640" s="504"/>
      <c r="C640" s="468"/>
      <c r="D640" s="616"/>
      <c r="E640" s="467"/>
      <c r="F640" s="504"/>
      <c r="G640" s="468"/>
      <c r="H640" s="616"/>
      <c r="I640" s="467"/>
      <c r="J640" s="504"/>
      <c r="K640" s="468"/>
      <c r="L640" s="616"/>
      <c r="M640" s="467"/>
      <c r="N640" s="504"/>
      <c r="O640" s="468"/>
      <c r="P640" s="616"/>
      <c r="Q640" s="635"/>
      <c r="R640" s="636"/>
      <c r="S640" s="637"/>
      <c r="T640" s="629"/>
      <c r="U640" s="635"/>
      <c r="V640" s="636"/>
      <c r="W640" s="637"/>
      <c r="X640" s="629"/>
      <c r="Y640" s="467"/>
      <c r="Z640" s="504"/>
      <c r="AA640" s="468"/>
      <c r="AB640" s="616"/>
      <c r="AC640" s="635"/>
      <c r="AD640" s="636"/>
      <c r="AE640" s="637"/>
      <c r="AF640" s="629"/>
      <c r="AG640" s="635"/>
      <c r="AH640" s="636"/>
      <c r="AI640" s="637"/>
      <c r="AJ640" s="629"/>
      <c r="AK640" s="435"/>
      <c r="AL640" s="435"/>
      <c r="AM640" s="435"/>
      <c r="AN640" s="435"/>
      <c r="AO640" s="467"/>
      <c r="AP640" s="504"/>
      <c r="AQ640" s="468"/>
      <c r="AR640" s="616"/>
      <c r="AS640" s="630"/>
      <c r="AT640" s="630"/>
    </row>
    <row r="641">
      <c r="A641" s="467"/>
      <c r="B641" s="504"/>
      <c r="C641" s="468"/>
      <c r="D641" s="616"/>
      <c r="E641" s="467"/>
      <c r="F641" s="504"/>
      <c r="G641" s="468"/>
      <c r="H641" s="616"/>
      <c r="I641" s="467"/>
      <c r="J641" s="504"/>
      <c r="K641" s="468"/>
      <c r="L641" s="616"/>
      <c r="M641" s="467"/>
      <c r="N641" s="504"/>
      <c r="O641" s="468"/>
      <c r="P641" s="616"/>
      <c r="Q641" s="635"/>
      <c r="R641" s="636"/>
      <c r="S641" s="637"/>
      <c r="T641" s="629"/>
      <c r="U641" s="635"/>
      <c r="V641" s="636"/>
      <c r="W641" s="637"/>
      <c r="X641" s="629"/>
      <c r="Y641" s="467"/>
      <c r="Z641" s="504"/>
      <c r="AA641" s="468"/>
      <c r="AB641" s="616"/>
      <c r="AC641" s="635"/>
      <c r="AD641" s="636"/>
      <c r="AE641" s="637"/>
      <c r="AF641" s="629"/>
      <c r="AG641" s="635"/>
      <c r="AH641" s="636"/>
      <c r="AI641" s="637"/>
      <c r="AJ641" s="629"/>
      <c r="AK641" s="435"/>
      <c r="AL641" s="435"/>
      <c r="AM641" s="435"/>
      <c r="AN641" s="435"/>
      <c r="AO641" s="467"/>
      <c r="AP641" s="504"/>
      <c r="AQ641" s="468"/>
      <c r="AR641" s="616"/>
      <c r="AS641" s="630"/>
      <c r="AT641" s="630"/>
    </row>
    <row r="642">
      <c r="A642" s="467"/>
      <c r="B642" s="504"/>
      <c r="C642" s="468"/>
      <c r="D642" s="616"/>
      <c r="E642" s="467"/>
      <c r="F642" s="504"/>
      <c r="G642" s="468"/>
      <c r="H642" s="616"/>
      <c r="I642" s="467"/>
      <c r="J642" s="504"/>
      <c r="K642" s="468"/>
      <c r="L642" s="616"/>
      <c r="M642" s="467"/>
      <c r="N642" s="504"/>
      <c r="O642" s="468"/>
      <c r="P642" s="616"/>
      <c r="Q642" s="635"/>
      <c r="R642" s="636"/>
      <c r="S642" s="637"/>
      <c r="T642" s="629"/>
      <c r="U642" s="635"/>
      <c r="V642" s="636"/>
      <c r="W642" s="637"/>
      <c r="X642" s="629"/>
      <c r="Y642" s="467"/>
      <c r="Z642" s="504"/>
      <c r="AA642" s="468"/>
      <c r="AB642" s="616"/>
      <c r="AC642" s="635"/>
      <c r="AD642" s="636"/>
      <c r="AE642" s="637"/>
      <c r="AF642" s="629"/>
      <c r="AG642" s="635"/>
      <c r="AH642" s="636"/>
      <c r="AI642" s="637"/>
      <c r="AJ642" s="629"/>
      <c r="AK642" s="435"/>
      <c r="AL642" s="435"/>
      <c r="AM642" s="435"/>
      <c r="AN642" s="435"/>
      <c r="AO642" s="467"/>
      <c r="AP642" s="504"/>
      <c r="AQ642" s="468"/>
      <c r="AR642" s="616"/>
      <c r="AS642" s="630"/>
      <c r="AT642" s="630"/>
    </row>
    <row r="643">
      <c r="A643" s="467"/>
      <c r="B643" s="504"/>
      <c r="C643" s="468"/>
      <c r="D643" s="616"/>
      <c r="E643" s="467"/>
      <c r="F643" s="504"/>
      <c r="G643" s="468"/>
      <c r="H643" s="616"/>
      <c r="I643" s="467"/>
      <c r="J643" s="504"/>
      <c r="K643" s="468"/>
      <c r="L643" s="616"/>
      <c r="M643" s="467"/>
      <c r="N643" s="504"/>
      <c r="O643" s="468"/>
      <c r="P643" s="616"/>
      <c r="Q643" s="635"/>
      <c r="R643" s="636"/>
      <c r="S643" s="637"/>
      <c r="T643" s="629"/>
      <c r="U643" s="635"/>
      <c r="V643" s="636"/>
      <c r="W643" s="637"/>
      <c r="X643" s="629"/>
      <c r="Y643" s="467"/>
      <c r="Z643" s="504"/>
      <c r="AA643" s="468"/>
      <c r="AB643" s="616"/>
      <c r="AC643" s="635"/>
      <c r="AD643" s="636"/>
      <c r="AE643" s="637"/>
      <c r="AF643" s="629"/>
      <c r="AG643" s="635"/>
      <c r="AH643" s="636"/>
      <c r="AI643" s="637"/>
      <c r="AJ643" s="629"/>
      <c r="AK643" s="435"/>
      <c r="AL643" s="435"/>
      <c r="AM643" s="435"/>
      <c r="AN643" s="435"/>
      <c r="AO643" s="467"/>
      <c r="AP643" s="504"/>
      <c r="AQ643" s="468"/>
      <c r="AR643" s="616"/>
      <c r="AS643" s="630"/>
      <c r="AT643" s="630"/>
    </row>
    <row r="644">
      <c r="A644" s="467"/>
      <c r="B644" s="504"/>
      <c r="C644" s="468"/>
      <c r="D644" s="616"/>
      <c r="E644" s="467"/>
      <c r="F644" s="504"/>
      <c r="G644" s="468"/>
      <c r="H644" s="616"/>
      <c r="I644" s="467"/>
      <c r="J644" s="504"/>
      <c r="K644" s="468"/>
      <c r="L644" s="616"/>
      <c r="M644" s="467"/>
      <c r="N644" s="504"/>
      <c r="O644" s="468"/>
      <c r="P644" s="616"/>
      <c r="Q644" s="635"/>
      <c r="R644" s="636"/>
      <c r="S644" s="637"/>
      <c r="T644" s="629"/>
      <c r="U644" s="635"/>
      <c r="V644" s="636"/>
      <c r="W644" s="637"/>
      <c r="X644" s="629"/>
      <c r="Y644" s="467"/>
      <c r="Z644" s="504"/>
      <c r="AA644" s="468"/>
      <c r="AB644" s="616"/>
      <c r="AC644" s="635"/>
      <c r="AD644" s="636"/>
      <c r="AE644" s="637"/>
      <c r="AF644" s="629"/>
      <c r="AG644" s="635"/>
      <c r="AH644" s="636"/>
      <c r="AI644" s="637"/>
      <c r="AJ644" s="629"/>
      <c r="AK644" s="435"/>
      <c r="AL644" s="435"/>
      <c r="AM644" s="435"/>
      <c r="AN644" s="435"/>
      <c r="AO644" s="467"/>
      <c r="AP644" s="504"/>
      <c r="AQ644" s="468"/>
      <c r="AR644" s="616"/>
      <c r="AS644" s="630"/>
      <c r="AT644" s="630"/>
    </row>
    <row r="645">
      <c r="A645" s="467"/>
      <c r="B645" s="504"/>
      <c r="C645" s="468"/>
      <c r="D645" s="616"/>
      <c r="E645" s="467"/>
      <c r="F645" s="504"/>
      <c r="G645" s="468"/>
      <c r="H645" s="616"/>
      <c r="I645" s="467"/>
      <c r="J645" s="504"/>
      <c r="K645" s="468"/>
      <c r="L645" s="616"/>
      <c r="M645" s="467"/>
      <c r="N645" s="504"/>
      <c r="O645" s="468"/>
      <c r="P645" s="616"/>
      <c r="Q645" s="635"/>
      <c r="R645" s="636"/>
      <c r="S645" s="637"/>
      <c r="T645" s="629"/>
      <c r="U645" s="635"/>
      <c r="V645" s="636"/>
      <c r="W645" s="637"/>
      <c r="X645" s="629"/>
      <c r="Y645" s="467"/>
      <c r="Z645" s="504"/>
      <c r="AA645" s="468"/>
      <c r="AB645" s="616"/>
      <c r="AC645" s="635"/>
      <c r="AD645" s="636"/>
      <c r="AE645" s="637"/>
      <c r="AF645" s="629"/>
      <c r="AG645" s="635"/>
      <c r="AH645" s="636"/>
      <c r="AI645" s="637"/>
      <c r="AJ645" s="629"/>
      <c r="AK645" s="435"/>
      <c r="AL645" s="435"/>
      <c r="AM645" s="435"/>
      <c r="AN645" s="435"/>
      <c r="AO645" s="467"/>
      <c r="AP645" s="504"/>
      <c r="AQ645" s="468"/>
      <c r="AR645" s="616"/>
      <c r="AS645" s="630"/>
      <c r="AT645" s="630"/>
    </row>
    <row r="646">
      <c r="A646" s="467"/>
      <c r="B646" s="504"/>
      <c r="C646" s="468"/>
      <c r="D646" s="616"/>
      <c r="E646" s="467"/>
      <c r="F646" s="504"/>
      <c r="G646" s="468"/>
      <c r="H646" s="616"/>
      <c r="I646" s="467"/>
      <c r="J646" s="504"/>
      <c r="K646" s="468"/>
      <c r="L646" s="616"/>
      <c r="M646" s="467"/>
      <c r="N646" s="504"/>
      <c r="O646" s="468"/>
      <c r="P646" s="616"/>
      <c r="Q646" s="635"/>
      <c r="R646" s="636"/>
      <c r="S646" s="637"/>
      <c r="T646" s="629"/>
      <c r="U646" s="635"/>
      <c r="V646" s="636"/>
      <c r="W646" s="637"/>
      <c r="X646" s="629"/>
      <c r="Y646" s="467"/>
      <c r="Z646" s="504"/>
      <c r="AA646" s="468"/>
      <c r="AB646" s="616"/>
      <c r="AC646" s="635"/>
      <c r="AD646" s="636"/>
      <c r="AE646" s="637"/>
      <c r="AF646" s="629"/>
      <c r="AG646" s="635"/>
      <c r="AH646" s="636"/>
      <c r="AI646" s="637"/>
      <c r="AJ646" s="629"/>
      <c r="AK646" s="435"/>
      <c r="AL646" s="435"/>
      <c r="AM646" s="435"/>
      <c r="AN646" s="435"/>
      <c r="AO646" s="467"/>
      <c r="AP646" s="504"/>
      <c r="AQ646" s="468"/>
      <c r="AR646" s="616"/>
      <c r="AS646" s="630"/>
      <c r="AT646" s="630"/>
    </row>
    <row r="647">
      <c r="A647" s="467"/>
      <c r="B647" s="504"/>
      <c r="C647" s="468"/>
      <c r="D647" s="616"/>
      <c r="E647" s="467"/>
      <c r="F647" s="504"/>
      <c r="G647" s="468"/>
      <c r="H647" s="616"/>
      <c r="I647" s="467"/>
      <c r="J647" s="504"/>
      <c r="K647" s="468"/>
      <c r="L647" s="616"/>
      <c r="M647" s="467"/>
      <c r="N647" s="504"/>
      <c r="O647" s="468"/>
      <c r="P647" s="616"/>
      <c r="Q647" s="635"/>
      <c r="R647" s="636"/>
      <c r="S647" s="637"/>
      <c r="T647" s="629"/>
      <c r="U647" s="635"/>
      <c r="V647" s="636"/>
      <c r="W647" s="637"/>
      <c r="X647" s="629"/>
      <c r="Y647" s="467"/>
      <c r="Z647" s="504"/>
      <c r="AA647" s="468"/>
      <c r="AB647" s="616"/>
      <c r="AC647" s="635"/>
      <c r="AD647" s="636"/>
      <c r="AE647" s="637"/>
      <c r="AF647" s="629"/>
      <c r="AG647" s="635"/>
      <c r="AH647" s="636"/>
      <c r="AI647" s="637"/>
      <c r="AJ647" s="629"/>
      <c r="AK647" s="435"/>
      <c r="AL647" s="435"/>
      <c r="AM647" s="435"/>
      <c r="AN647" s="435"/>
      <c r="AO647" s="467"/>
      <c r="AP647" s="504"/>
      <c r="AQ647" s="468"/>
      <c r="AR647" s="616"/>
      <c r="AS647" s="630"/>
      <c r="AT647" s="630"/>
    </row>
    <row r="648">
      <c r="A648" s="467"/>
      <c r="B648" s="504"/>
      <c r="C648" s="468"/>
      <c r="D648" s="616"/>
      <c r="E648" s="467"/>
      <c r="F648" s="504"/>
      <c r="G648" s="468"/>
      <c r="H648" s="616"/>
      <c r="I648" s="467"/>
      <c r="J648" s="504"/>
      <c r="K648" s="468"/>
      <c r="L648" s="616"/>
      <c r="M648" s="467"/>
      <c r="N648" s="504"/>
      <c r="O648" s="468"/>
      <c r="P648" s="616"/>
      <c r="Q648" s="635"/>
      <c r="R648" s="636"/>
      <c r="S648" s="637"/>
      <c r="T648" s="629"/>
      <c r="U648" s="635"/>
      <c r="V648" s="636"/>
      <c r="W648" s="637"/>
      <c r="X648" s="629"/>
      <c r="Y648" s="467"/>
      <c r="Z648" s="504"/>
      <c r="AA648" s="468"/>
      <c r="AB648" s="616"/>
      <c r="AC648" s="635"/>
      <c r="AD648" s="636"/>
      <c r="AE648" s="637"/>
      <c r="AF648" s="629"/>
      <c r="AG648" s="635"/>
      <c r="AH648" s="636"/>
      <c r="AI648" s="637"/>
      <c r="AJ648" s="629"/>
      <c r="AK648" s="435"/>
      <c r="AL648" s="435"/>
      <c r="AM648" s="435"/>
      <c r="AN648" s="435"/>
      <c r="AO648" s="467"/>
      <c r="AP648" s="504"/>
      <c r="AQ648" s="468"/>
      <c r="AR648" s="616"/>
      <c r="AS648" s="630"/>
      <c r="AT648" s="630"/>
    </row>
    <row r="649">
      <c r="A649" s="467"/>
      <c r="B649" s="504"/>
      <c r="C649" s="468"/>
      <c r="D649" s="616"/>
      <c r="E649" s="467"/>
      <c r="F649" s="504"/>
      <c r="G649" s="468"/>
      <c r="H649" s="616"/>
      <c r="I649" s="467"/>
      <c r="J649" s="504"/>
      <c r="K649" s="468"/>
      <c r="L649" s="616"/>
      <c r="M649" s="467"/>
      <c r="N649" s="504"/>
      <c r="O649" s="468"/>
      <c r="P649" s="616"/>
      <c r="Q649" s="635"/>
      <c r="R649" s="636"/>
      <c r="S649" s="637"/>
      <c r="T649" s="629"/>
      <c r="U649" s="635"/>
      <c r="V649" s="636"/>
      <c r="W649" s="637"/>
      <c r="X649" s="629"/>
      <c r="Y649" s="467"/>
      <c r="Z649" s="504"/>
      <c r="AA649" s="468"/>
      <c r="AB649" s="616"/>
      <c r="AC649" s="635"/>
      <c r="AD649" s="636"/>
      <c r="AE649" s="637"/>
      <c r="AF649" s="629"/>
      <c r="AG649" s="635"/>
      <c r="AH649" s="636"/>
      <c r="AI649" s="637"/>
      <c r="AJ649" s="629"/>
      <c r="AK649" s="435"/>
      <c r="AL649" s="435"/>
      <c r="AM649" s="435"/>
      <c r="AN649" s="435"/>
      <c r="AO649" s="467"/>
      <c r="AP649" s="504"/>
      <c r="AQ649" s="468"/>
      <c r="AR649" s="616"/>
      <c r="AS649" s="630"/>
      <c r="AT649" s="630"/>
    </row>
    <row r="650">
      <c r="A650" s="467"/>
      <c r="B650" s="504"/>
      <c r="C650" s="468"/>
      <c r="D650" s="616"/>
      <c r="E650" s="467"/>
      <c r="F650" s="504"/>
      <c r="G650" s="468"/>
      <c r="H650" s="616"/>
      <c r="I650" s="467"/>
      <c r="J650" s="504"/>
      <c r="K650" s="468"/>
      <c r="L650" s="616"/>
      <c r="M650" s="467"/>
      <c r="N650" s="504"/>
      <c r="O650" s="468"/>
      <c r="P650" s="616"/>
      <c r="Q650" s="635"/>
      <c r="R650" s="636"/>
      <c r="S650" s="637"/>
      <c r="T650" s="629"/>
      <c r="U650" s="635"/>
      <c r="V650" s="636"/>
      <c r="W650" s="637"/>
      <c r="X650" s="629"/>
      <c r="Y650" s="467"/>
      <c r="Z650" s="504"/>
      <c r="AA650" s="468"/>
      <c r="AB650" s="616"/>
      <c r="AC650" s="635"/>
      <c r="AD650" s="636"/>
      <c r="AE650" s="637"/>
      <c r="AF650" s="629"/>
      <c r="AG650" s="635"/>
      <c r="AH650" s="636"/>
      <c r="AI650" s="637"/>
      <c r="AJ650" s="629"/>
      <c r="AK650" s="435"/>
      <c r="AL650" s="435"/>
      <c r="AM650" s="435"/>
      <c r="AN650" s="435"/>
      <c r="AO650" s="467"/>
      <c r="AP650" s="504"/>
      <c r="AQ650" s="468"/>
      <c r="AR650" s="616"/>
      <c r="AS650" s="630"/>
      <c r="AT650" s="630"/>
    </row>
    <row r="651">
      <c r="A651" s="467"/>
      <c r="B651" s="504"/>
      <c r="C651" s="468"/>
      <c r="D651" s="616"/>
      <c r="E651" s="467"/>
      <c r="F651" s="504"/>
      <c r="G651" s="468"/>
      <c r="H651" s="616"/>
      <c r="I651" s="467"/>
      <c r="J651" s="504"/>
      <c r="K651" s="468"/>
      <c r="L651" s="616"/>
      <c r="M651" s="467"/>
      <c r="N651" s="504"/>
      <c r="O651" s="468"/>
      <c r="P651" s="616"/>
      <c r="Q651" s="635"/>
      <c r="R651" s="636"/>
      <c r="S651" s="637"/>
      <c r="T651" s="629"/>
      <c r="U651" s="635"/>
      <c r="V651" s="636"/>
      <c r="W651" s="637"/>
      <c r="X651" s="629"/>
      <c r="Y651" s="467"/>
      <c r="Z651" s="504"/>
      <c r="AA651" s="468"/>
      <c r="AB651" s="616"/>
      <c r="AC651" s="635"/>
      <c r="AD651" s="636"/>
      <c r="AE651" s="637"/>
      <c r="AF651" s="629"/>
      <c r="AG651" s="635"/>
      <c r="AH651" s="636"/>
      <c r="AI651" s="637"/>
      <c r="AJ651" s="629"/>
      <c r="AK651" s="435"/>
      <c r="AL651" s="435"/>
      <c r="AM651" s="435"/>
      <c r="AN651" s="435"/>
      <c r="AO651" s="467"/>
      <c r="AP651" s="504"/>
      <c r="AQ651" s="468"/>
      <c r="AR651" s="616"/>
      <c r="AS651" s="630"/>
      <c r="AT651" s="630"/>
    </row>
    <row r="652">
      <c r="A652" s="467"/>
      <c r="B652" s="504"/>
      <c r="C652" s="468"/>
      <c r="D652" s="616"/>
      <c r="E652" s="467"/>
      <c r="F652" s="504"/>
      <c r="G652" s="468"/>
      <c r="H652" s="616"/>
      <c r="I652" s="467"/>
      <c r="J652" s="504"/>
      <c r="K652" s="468"/>
      <c r="L652" s="616"/>
      <c r="M652" s="467"/>
      <c r="N652" s="504"/>
      <c r="O652" s="468"/>
      <c r="P652" s="616"/>
      <c r="Q652" s="635"/>
      <c r="R652" s="636"/>
      <c r="S652" s="637"/>
      <c r="T652" s="629"/>
      <c r="U652" s="635"/>
      <c r="V652" s="636"/>
      <c r="W652" s="637"/>
      <c r="X652" s="629"/>
      <c r="Y652" s="467"/>
      <c r="Z652" s="504"/>
      <c r="AA652" s="468"/>
      <c r="AB652" s="616"/>
      <c r="AC652" s="635"/>
      <c r="AD652" s="636"/>
      <c r="AE652" s="637"/>
      <c r="AF652" s="629"/>
      <c r="AG652" s="635"/>
      <c r="AH652" s="636"/>
      <c r="AI652" s="637"/>
      <c r="AJ652" s="629"/>
      <c r="AK652" s="435"/>
      <c r="AL652" s="435"/>
      <c r="AM652" s="435"/>
      <c r="AN652" s="435"/>
      <c r="AO652" s="467"/>
      <c r="AP652" s="504"/>
      <c r="AQ652" s="468"/>
      <c r="AR652" s="616"/>
      <c r="AS652" s="630"/>
      <c r="AT652" s="630"/>
    </row>
    <row r="653">
      <c r="A653" s="467"/>
      <c r="B653" s="504"/>
      <c r="C653" s="468"/>
      <c r="D653" s="616"/>
      <c r="E653" s="467"/>
      <c r="F653" s="504"/>
      <c r="G653" s="468"/>
      <c r="H653" s="616"/>
      <c r="I653" s="467"/>
      <c r="J653" s="504"/>
      <c r="K653" s="468"/>
      <c r="L653" s="616"/>
      <c r="M653" s="467"/>
      <c r="N653" s="504"/>
      <c r="O653" s="468"/>
      <c r="P653" s="616"/>
      <c r="Q653" s="635"/>
      <c r="R653" s="636"/>
      <c r="S653" s="637"/>
      <c r="T653" s="629"/>
      <c r="U653" s="635"/>
      <c r="V653" s="636"/>
      <c r="W653" s="637"/>
      <c r="X653" s="629"/>
      <c r="Y653" s="467"/>
      <c r="Z653" s="504"/>
      <c r="AA653" s="468"/>
      <c r="AB653" s="616"/>
      <c r="AC653" s="635"/>
      <c r="AD653" s="636"/>
      <c r="AE653" s="637"/>
      <c r="AF653" s="629"/>
      <c r="AG653" s="635"/>
      <c r="AH653" s="636"/>
      <c r="AI653" s="637"/>
      <c r="AJ653" s="629"/>
      <c r="AK653" s="435"/>
      <c r="AL653" s="435"/>
      <c r="AM653" s="435"/>
      <c r="AN653" s="435"/>
      <c r="AO653" s="467"/>
      <c r="AP653" s="504"/>
      <c r="AQ653" s="468"/>
      <c r="AR653" s="616"/>
      <c r="AS653" s="630"/>
      <c r="AT653" s="630"/>
    </row>
    <row r="654">
      <c r="A654" s="467"/>
      <c r="B654" s="504"/>
      <c r="C654" s="468"/>
      <c r="D654" s="616"/>
      <c r="E654" s="467"/>
      <c r="F654" s="504"/>
      <c r="G654" s="468"/>
      <c r="H654" s="616"/>
      <c r="I654" s="467"/>
      <c r="J654" s="504"/>
      <c r="K654" s="468"/>
      <c r="L654" s="616"/>
      <c r="M654" s="467"/>
      <c r="N654" s="504"/>
      <c r="O654" s="468"/>
      <c r="P654" s="616"/>
      <c r="Q654" s="635"/>
      <c r="R654" s="636"/>
      <c r="S654" s="637"/>
      <c r="T654" s="629"/>
      <c r="U654" s="635"/>
      <c r="V654" s="636"/>
      <c r="W654" s="637"/>
      <c r="X654" s="629"/>
      <c r="Y654" s="467"/>
      <c r="Z654" s="504"/>
      <c r="AA654" s="468"/>
      <c r="AB654" s="616"/>
      <c r="AC654" s="635"/>
      <c r="AD654" s="636"/>
      <c r="AE654" s="637"/>
      <c r="AF654" s="629"/>
      <c r="AG654" s="635"/>
      <c r="AH654" s="636"/>
      <c r="AI654" s="637"/>
      <c r="AJ654" s="629"/>
      <c r="AK654" s="435"/>
      <c r="AL654" s="435"/>
      <c r="AM654" s="435"/>
      <c r="AN654" s="435"/>
      <c r="AO654" s="467"/>
      <c r="AP654" s="504"/>
      <c r="AQ654" s="468"/>
      <c r="AR654" s="616"/>
      <c r="AS654" s="630"/>
      <c r="AT654" s="630"/>
    </row>
    <row r="655">
      <c r="A655" s="467"/>
      <c r="B655" s="504"/>
      <c r="C655" s="468"/>
      <c r="D655" s="616"/>
      <c r="E655" s="467"/>
      <c r="F655" s="504"/>
      <c r="G655" s="468"/>
      <c r="H655" s="616"/>
      <c r="I655" s="467"/>
      <c r="J655" s="504"/>
      <c r="K655" s="468"/>
      <c r="L655" s="616"/>
      <c r="M655" s="467"/>
      <c r="N655" s="504"/>
      <c r="O655" s="468"/>
      <c r="P655" s="616"/>
      <c r="Q655" s="635"/>
      <c r="R655" s="636"/>
      <c r="S655" s="637"/>
      <c r="T655" s="629"/>
      <c r="U655" s="635"/>
      <c r="V655" s="636"/>
      <c r="W655" s="637"/>
      <c r="X655" s="629"/>
      <c r="Y655" s="467"/>
      <c r="Z655" s="504"/>
      <c r="AA655" s="468"/>
      <c r="AB655" s="616"/>
      <c r="AC655" s="635"/>
      <c r="AD655" s="636"/>
      <c r="AE655" s="637"/>
      <c r="AF655" s="629"/>
      <c r="AG655" s="635"/>
      <c r="AH655" s="636"/>
      <c r="AI655" s="637"/>
      <c r="AJ655" s="629"/>
      <c r="AK655" s="435"/>
      <c r="AL655" s="435"/>
      <c r="AM655" s="435"/>
      <c r="AN655" s="435"/>
      <c r="AO655" s="467"/>
      <c r="AP655" s="504"/>
      <c r="AQ655" s="468"/>
      <c r="AR655" s="616"/>
      <c r="AS655" s="630"/>
      <c r="AT655" s="630"/>
    </row>
    <row r="656">
      <c r="A656" s="467"/>
      <c r="B656" s="504"/>
      <c r="C656" s="468"/>
      <c r="D656" s="616"/>
      <c r="E656" s="467"/>
      <c r="F656" s="504"/>
      <c r="G656" s="468"/>
      <c r="H656" s="616"/>
      <c r="I656" s="467"/>
      <c r="J656" s="504"/>
      <c r="K656" s="468"/>
      <c r="L656" s="616"/>
      <c r="M656" s="467"/>
      <c r="N656" s="504"/>
      <c r="O656" s="468"/>
      <c r="P656" s="616"/>
      <c r="Q656" s="635"/>
      <c r="R656" s="636"/>
      <c r="S656" s="637"/>
      <c r="T656" s="629"/>
      <c r="U656" s="635"/>
      <c r="V656" s="636"/>
      <c r="W656" s="637"/>
      <c r="X656" s="629"/>
      <c r="Y656" s="467"/>
      <c r="Z656" s="504"/>
      <c r="AA656" s="468"/>
      <c r="AB656" s="616"/>
      <c r="AC656" s="635"/>
      <c r="AD656" s="636"/>
      <c r="AE656" s="637"/>
      <c r="AF656" s="629"/>
      <c r="AG656" s="635"/>
      <c r="AH656" s="636"/>
      <c r="AI656" s="637"/>
      <c r="AJ656" s="629"/>
      <c r="AK656" s="435"/>
      <c r="AL656" s="435"/>
      <c r="AM656" s="435"/>
      <c r="AN656" s="435"/>
      <c r="AO656" s="467"/>
      <c r="AP656" s="504"/>
      <c r="AQ656" s="468"/>
      <c r="AR656" s="616"/>
      <c r="AS656" s="630"/>
      <c r="AT656" s="630"/>
    </row>
    <row r="657">
      <c r="A657" s="467"/>
      <c r="B657" s="504"/>
      <c r="C657" s="468"/>
      <c r="D657" s="616"/>
      <c r="E657" s="467"/>
      <c r="F657" s="504"/>
      <c r="G657" s="468"/>
      <c r="H657" s="616"/>
      <c r="I657" s="467"/>
      <c r="J657" s="504"/>
      <c r="K657" s="468"/>
      <c r="L657" s="616"/>
      <c r="M657" s="467"/>
      <c r="N657" s="504"/>
      <c r="O657" s="468"/>
      <c r="P657" s="616"/>
      <c r="Q657" s="635"/>
      <c r="R657" s="636"/>
      <c r="S657" s="637"/>
      <c r="T657" s="629"/>
      <c r="U657" s="635"/>
      <c r="V657" s="636"/>
      <c r="W657" s="637"/>
      <c r="X657" s="629"/>
      <c r="Y657" s="467"/>
      <c r="Z657" s="504"/>
      <c r="AA657" s="468"/>
      <c r="AB657" s="616"/>
      <c r="AC657" s="635"/>
      <c r="AD657" s="636"/>
      <c r="AE657" s="637"/>
      <c r="AF657" s="629"/>
      <c r="AG657" s="635"/>
      <c r="AH657" s="636"/>
      <c r="AI657" s="637"/>
      <c r="AJ657" s="629"/>
      <c r="AK657" s="435"/>
      <c r="AL657" s="435"/>
      <c r="AM657" s="435"/>
      <c r="AN657" s="435"/>
      <c r="AO657" s="467"/>
      <c r="AP657" s="504"/>
      <c r="AQ657" s="468"/>
      <c r="AR657" s="616"/>
      <c r="AS657" s="630"/>
      <c r="AT657" s="630"/>
    </row>
    <row r="658">
      <c r="A658" s="467"/>
      <c r="B658" s="504"/>
      <c r="C658" s="468"/>
      <c r="D658" s="616"/>
      <c r="E658" s="467"/>
      <c r="F658" s="504"/>
      <c r="G658" s="468"/>
      <c r="H658" s="616"/>
      <c r="I658" s="467"/>
      <c r="J658" s="504"/>
      <c r="K658" s="468"/>
      <c r="L658" s="616"/>
      <c r="M658" s="467"/>
      <c r="N658" s="504"/>
      <c r="O658" s="468"/>
      <c r="P658" s="616"/>
      <c r="Q658" s="635"/>
      <c r="R658" s="636"/>
      <c r="S658" s="637"/>
      <c r="T658" s="629"/>
      <c r="U658" s="635"/>
      <c r="V658" s="636"/>
      <c r="W658" s="637"/>
      <c r="X658" s="629"/>
      <c r="Y658" s="467"/>
      <c r="Z658" s="504"/>
      <c r="AA658" s="468"/>
      <c r="AB658" s="616"/>
      <c r="AC658" s="635"/>
      <c r="AD658" s="636"/>
      <c r="AE658" s="637"/>
      <c r="AF658" s="629"/>
      <c r="AG658" s="635"/>
      <c r="AH658" s="636"/>
      <c r="AI658" s="637"/>
      <c r="AJ658" s="629"/>
      <c r="AK658" s="435"/>
      <c r="AL658" s="435"/>
      <c r="AM658" s="435"/>
      <c r="AN658" s="435"/>
      <c r="AO658" s="467"/>
      <c r="AP658" s="504"/>
      <c r="AQ658" s="468"/>
      <c r="AR658" s="616"/>
      <c r="AS658" s="630"/>
      <c r="AT658" s="630"/>
    </row>
    <row r="659">
      <c r="A659" s="467"/>
      <c r="B659" s="504"/>
      <c r="C659" s="468"/>
      <c r="D659" s="616"/>
      <c r="E659" s="467"/>
      <c r="F659" s="504"/>
      <c r="G659" s="468"/>
      <c r="H659" s="616"/>
      <c r="I659" s="467"/>
      <c r="J659" s="504"/>
      <c r="K659" s="468"/>
      <c r="L659" s="616"/>
      <c r="M659" s="467"/>
      <c r="N659" s="504"/>
      <c r="O659" s="468"/>
      <c r="P659" s="616"/>
      <c r="Q659" s="635"/>
      <c r="R659" s="636"/>
      <c r="S659" s="637"/>
      <c r="T659" s="629"/>
      <c r="U659" s="635"/>
      <c r="V659" s="636"/>
      <c r="W659" s="637"/>
      <c r="X659" s="629"/>
      <c r="Y659" s="467"/>
      <c r="Z659" s="504"/>
      <c r="AA659" s="468"/>
      <c r="AB659" s="616"/>
      <c r="AC659" s="635"/>
      <c r="AD659" s="636"/>
      <c r="AE659" s="637"/>
      <c r="AF659" s="629"/>
      <c r="AG659" s="635"/>
      <c r="AH659" s="636"/>
      <c r="AI659" s="637"/>
      <c r="AJ659" s="629"/>
      <c r="AK659" s="435"/>
      <c r="AL659" s="435"/>
      <c r="AM659" s="435"/>
      <c r="AN659" s="435"/>
      <c r="AO659" s="467"/>
      <c r="AP659" s="504"/>
      <c r="AQ659" s="468"/>
      <c r="AR659" s="616"/>
      <c r="AS659" s="630"/>
      <c r="AT659" s="630"/>
    </row>
    <row r="660">
      <c r="A660" s="467"/>
      <c r="B660" s="504"/>
      <c r="C660" s="468"/>
      <c r="D660" s="616"/>
      <c r="E660" s="467"/>
      <c r="F660" s="504"/>
      <c r="G660" s="468"/>
      <c r="H660" s="616"/>
      <c r="I660" s="467"/>
      <c r="J660" s="504"/>
      <c r="K660" s="468"/>
      <c r="L660" s="616"/>
      <c r="M660" s="467"/>
      <c r="N660" s="504"/>
      <c r="O660" s="468"/>
      <c r="P660" s="616"/>
      <c r="Q660" s="635"/>
      <c r="R660" s="636"/>
      <c r="S660" s="637"/>
      <c r="T660" s="629"/>
      <c r="U660" s="635"/>
      <c r="V660" s="636"/>
      <c r="W660" s="637"/>
      <c r="X660" s="629"/>
      <c r="Y660" s="467"/>
      <c r="Z660" s="504"/>
      <c r="AA660" s="468"/>
      <c r="AB660" s="616"/>
      <c r="AC660" s="635"/>
      <c r="AD660" s="636"/>
      <c r="AE660" s="637"/>
      <c r="AF660" s="629"/>
      <c r="AG660" s="635"/>
      <c r="AH660" s="636"/>
      <c r="AI660" s="637"/>
      <c r="AJ660" s="629"/>
      <c r="AK660" s="435"/>
      <c r="AL660" s="435"/>
      <c r="AM660" s="435"/>
      <c r="AN660" s="435"/>
      <c r="AO660" s="467"/>
      <c r="AP660" s="504"/>
      <c r="AQ660" s="468"/>
      <c r="AR660" s="616"/>
      <c r="AS660" s="630"/>
      <c r="AT660" s="630"/>
    </row>
    <row r="661">
      <c r="A661" s="467"/>
      <c r="B661" s="504"/>
      <c r="C661" s="468"/>
      <c r="D661" s="616"/>
      <c r="E661" s="467"/>
      <c r="F661" s="504"/>
      <c r="G661" s="468"/>
      <c r="H661" s="616"/>
      <c r="I661" s="467"/>
      <c r="J661" s="504"/>
      <c r="K661" s="468"/>
      <c r="L661" s="616"/>
      <c r="M661" s="467"/>
      <c r="N661" s="504"/>
      <c r="O661" s="468"/>
      <c r="P661" s="616"/>
      <c r="Q661" s="635"/>
      <c r="R661" s="636"/>
      <c r="S661" s="637"/>
      <c r="T661" s="629"/>
      <c r="U661" s="635"/>
      <c r="V661" s="636"/>
      <c r="W661" s="637"/>
      <c r="X661" s="629"/>
      <c r="Y661" s="467"/>
      <c r="Z661" s="504"/>
      <c r="AA661" s="468"/>
      <c r="AB661" s="616"/>
      <c r="AC661" s="635"/>
      <c r="AD661" s="636"/>
      <c r="AE661" s="637"/>
      <c r="AF661" s="629"/>
      <c r="AG661" s="635"/>
      <c r="AH661" s="636"/>
      <c r="AI661" s="637"/>
      <c r="AJ661" s="629"/>
      <c r="AK661" s="435"/>
      <c r="AL661" s="435"/>
      <c r="AM661" s="435"/>
      <c r="AN661" s="435"/>
      <c r="AO661" s="467"/>
      <c r="AP661" s="504"/>
      <c r="AQ661" s="468"/>
      <c r="AR661" s="616"/>
      <c r="AS661" s="630"/>
      <c r="AT661" s="630"/>
    </row>
    <row r="662">
      <c r="A662" s="467"/>
      <c r="B662" s="504"/>
      <c r="C662" s="468"/>
      <c r="D662" s="616"/>
      <c r="E662" s="467"/>
      <c r="F662" s="504"/>
      <c r="G662" s="468"/>
      <c r="H662" s="616"/>
      <c r="I662" s="467"/>
      <c r="J662" s="504"/>
      <c r="K662" s="468"/>
      <c r="L662" s="616"/>
      <c r="M662" s="467"/>
      <c r="N662" s="504"/>
      <c r="O662" s="468"/>
      <c r="P662" s="616"/>
      <c r="Q662" s="635"/>
      <c r="R662" s="636"/>
      <c r="S662" s="637"/>
      <c r="T662" s="629"/>
      <c r="U662" s="635"/>
      <c r="V662" s="636"/>
      <c r="W662" s="637"/>
      <c r="X662" s="629"/>
      <c r="Y662" s="467"/>
      <c r="Z662" s="504"/>
      <c r="AA662" s="468"/>
      <c r="AB662" s="616"/>
      <c r="AC662" s="635"/>
      <c r="AD662" s="636"/>
      <c r="AE662" s="637"/>
      <c r="AF662" s="629"/>
      <c r="AG662" s="635"/>
      <c r="AH662" s="636"/>
      <c r="AI662" s="637"/>
      <c r="AJ662" s="629"/>
      <c r="AK662" s="435"/>
      <c r="AL662" s="435"/>
      <c r="AM662" s="435"/>
      <c r="AN662" s="435"/>
      <c r="AO662" s="467"/>
      <c r="AP662" s="504"/>
      <c r="AQ662" s="468"/>
      <c r="AR662" s="616"/>
      <c r="AS662" s="630"/>
      <c r="AT662" s="630"/>
    </row>
    <row r="663">
      <c r="A663" s="467"/>
      <c r="B663" s="504"/>
      <c r="C663" s="468"/>
      <c r="D663" s="616"/>
      <c r="E663" s="467"/>
      <c r="F663" s="504"/>
      <c r="G663" s="468"/>
      <c r="H663" s="616"/>
      <c r="I663" s="467"/>
      <c r="J663" s="504"/>
      <c r="K663" s="468"/>
      <c r="L663" s="616"/>
      <c r="M663" s="467"/>
      <c r="N663" s="504"/>
      <c r="O663" s="468"/>
      <c r="P663" s="616"/>
      <c r="Q663" s="635"/>
      <c r="R663" s="636"/>
      <c r="S663" s="637"/>
      <c r="T663" s="629"/>
      <c r="U663" s="635"/>
      <c r="V663" s="636"/>
      <c r="W663" s="637"/>
      <c r="X663" s="629"/>
      <c r="Y663" s="467"/>
      <c r="Z663" s="504"/>
      <c r="AA663" s="468"/>
      <c r="AB663" s="616"/>
      <c r="AC663" s="635"/>
      <c r="AD663" s="636"/>
      <c r="AE663" s="637"/>
      <c r="AF663" s="629"/>
      <c r="AG663" s="635"/>
      <c r="AH663" s="636"/>
      <c r="AI663" s="637"/>
      <c r="AJ663" s="629"/>
      <c r="AK663" s="435"/>
      <c r="AL663" s="435"/>
      <c r="AM663" s="435"/>
      <c r="AN663" s="435"/>
      <c r="AO663" s="467"/>
      <c r="AP663" s="504"/>
      <c r="AQ663" s="468"/>
      <c r="AR663" s="616"/>
      <c r="AS663" s="630"/>
      <c r="AT663" s="630"/>
    </row>
    <row r="664">
      <c r="A664" s="467"/>
      <c r="B664" s="504"/>
      <c r="C664" s="468"/>
      <c r="D664" s="616"/>
      <c r="E664" s="467"/>
      <c r="F664" s="504"/>
      <c r="G664" s="468"/>
      <c r="H664" s="616"/>
      <c r="I664" s="467"/>
      <c r="J664" s="504"/>
      <c r="K664" s="468"/>
      <c r="L664" s="616"/>
      <c r="M664" s="467"/>
      <c r="N664" s="504"/>
      <c r="O664" s="468"/>
      <c r="P664" s="616"/>
      <c r="Q664" s="635"/>
      <c r="R664" s="636"/>
      <c r="S664" s="637"/>
      <c r="T664" s="629"/>
      <c r="U664" s="635"/>
      <c r="V664" s="636"/>
      <c r="W664" s="637"/>
      <c r="X664" s="629"/>
      <c r="Y664" s="467"/>
      <c r="Z664" s="504"/>
      <c r="AA664" s="468"/>
      <c r="AB664" s="616"/>
      <c r="AC664" s="635"/>
      <c r="AD664" s="636"/>
      <c r="AE664" s="637"/>
      <c r="AF664" s="629"/>
      <c r="AG664" s="635"/>
      <c r="AH664" s="636"/>
      <c r="AI664" s="637"/>
      <c r="AJ664" s="629"/>
      <c r="AK664" s="435"/>
      <c r="AL664" s="435"/>
      <c r="AM664" s="435"/>
      <c r="AN664" s="435"/>
      <c r="AO664" s="467"/>
      <c r="AP664" s="504"/>
      <c r="AQ664" s="468"/>
      <c r="AR664" s="616"/>
      <c r="AS664" s="630"/>
      <c r="AT664" s="630"/>
    </row>
    <row r="665">
      <c r="A665" s="467"/>
      <c r="B665" s="504"/>
      <c r="C665" s="468"/>
      <c r="D665" s="616"/>
      <c r="E665" s="467"/>
      <c r="F665" s="504"/>
      <c r="G665" s="468"/>
      <c r="H665" s="616"/>
      <c r="I665" s="467"/>
      <c r="J665" s="504"/>
      <c r="K665" s="468"/>
      <c r="L665" s="616"/>
      <c r="M665" s="467"/>
      <c r="N665" s="504"/>
      <c r="O665" s="468"/>
      <c r="P665" s="616"/>
      <c r="Q665" s="635"/>
      <c r="R665" s="636"/>
      <c r="S665" s="637"/>
      <c r="T665" s="629"/>
      <c r="U665" s="635"/>
      <c r="V665" s="636"/>
      <c r="W665" s="637"/>
      <c r="X665" s="629"/>
      <c r="Y665" s="467"/>
      <c r="Z665" s="504"/>
      <c r="AA665" s="468"/>
      <c r="AB665" s="616"/>
      <c r="AC665" s="635"/>
      <c r="AD665" s="636"/>
      <c r="AE665" s="637"/>
      <c r="AF665" s="629"/>
      <c r="AG665" s="635"/>
      <c r="AH665" s="636"/>
      <c r="AI665" s="637"/>
      <c r="AJ665" s="629"/>
      <c r="AK665" s="435"/>
      <c r="AL665" s="435"/>
      <c r="AM665" s="435"/>
      <c r="AN665" s="435"/>
      <c r="AO665" s="467"/>
      <c r="AP665" s="504"/>
      <c r="AQ665" s="468"/>
      <c r="AR665" s="616"/>
      <c r="AS665" s="630"/>
      <c r="AT665" s="630"/>
    </row>
    <row r="666">
      <c r="A666" s="467"/>
      <c r="B666" s="504"/>
      <c r="C666" s="468"/>
      <c r="D666" s="616"/>
      <c r="E666" s="467"/>
      <c r="F666" s="504"/>
      <c r="G666" s="468"/>
      <c r="H666" s="616"/>
      <c r="I666" s="467"/>
      <c r="J666" s="504"/>
      <c r="K666" s="468"/>
      <c r="L666" s="616"/>
      <c r="M666" s="467"/>
      <c r="N666" s="504"/>
      <c r="O666" s="468"/>
      <c r="P666" s="616"/>
      <c r="Q666" s="635"/>
      <c r="R666" s="636"/>
      <c r="S666" s="637"/>
      <c r="T666" s="629"/>
      <c r="U666" s="635"/>
      <c r="V666" s="636"/>
      <c r="W666" s="637"/>
      <c r="X666" s="629"/>
      <c r="Y666" s="467"/>
      <c r="Z666" s="504"/>
      <c r="AA666" s="468"/>
      <c r="AB666" s="616"/>
      <c r="AC666" s="635"/>
      <c r="AD666" s="636"/>
      <c r="AE666" s="637"/>
      <c r="AF666" s="629"/>
      <c r="AG666" s="635"/>
      <c r="AH666" s="636"/>
      <c r="AI666" s="637"/>
      <c r="AJ666" s="629"/>
      <c r="AK666" s="435"/>
      <c r="AL666" s="435"/>
      <c r="AM666" s="435"/>
      <c r="AN666" s="435"/>
      <c r="AO666" s="467"/>
      <c r="AP666" s="504"/>
      <c r="AQ666" s="468"/>
      <c r="AR666" s="616"/>
      <c r="AS666" s="630"/>
      <c r="AT666" s="630"/>
    </row>
    <row r="667">
      <c r="A667" s="467"/>
      <c r="B667" s="504"/>
      <c r="C667" s="468"/>
      <c r="D667" s="616"/>
      <c r="E667" s="467"/>
      <c r="F667" s="504"/>
      <c r="G667" s="468"/>
      <c r="H667" s="616"/>
      <c r="I667" s="467"/>
      <c r="J667" s="504"/>
      <c r="K667" s="468"/>
      <c r="L667" s="616"/>
      <c r="M667" s="467"/>
      <c r="N667" s="504"/>
      <c r="O667" s="468"/>
      <c r="P667" s="616"/>
      <c r="Q667" s="635"/>
      <c r="R667" s="636"/>
      <c r="S667" s="637"/>
      <c r="T667" s="629"/>
      <c r="U667" s="635"/>
      <c r="V667" s="636"/>
      <c r="W667" s="637"/>
      <c r="X667" s="629"/>
      <c r="Y667" s="467"/>
      <c r="Z667" s="504"/>
      <c r="AA667" s="468"/>
      <c r="AB667" s="616"/>
      <c r="AC667" s="635"/>
      <c r="AD667" s="636"/>
      <c r="AE667" s="637"/>
      <c r="AF667" s="629"/>
      <c r="AG667" s="635"/>
      <c r="AH667" s="636"/>
      <c r="AI667" s="637"/>
      <c r="AJ667" s="629"/>
      <c r="AK667" s="435"/>
      <c r="AL667" s="435"/>
      <c r="AM667" s="435"/>
      <c r="AN667" s="435"/>
      <c r="AO667" s="467"/>
      <c r="AP667" s="504"/>
      <c r="AQ667" s="468"/>
      <c r="AR667" s="616"/>
      <c r="AS667" s="630"/>
      <c r="AT667" s="630"/>
    </row>
    <row r="668">
      <c r="A668" s="467"/>
      <c r="B668" s="504"/>
      <c r="C668" s="468"/>
      <c r="D668" s="616"/>
      <c r="E668" s="467"/>
      <c r="F668" s="504"/>
      <c r="G668" s="468"/>
      <c r="H668" s="616"/>
      <c r="I668" s="467"/>
      <c r="J668" s="504"/>
      <c r="K668" s="468"/>
      <c r="L668" s="616"/>
      <c r="M668" s="467"/>
      <c r="N668" s="504"/>
      <c r="O668" s="468"/>
      <c r="P668" s="616"/>
      <c r="Q668" s="635"/>
      <c r="R668" s="636"/>
      <c r="S668" s="637"/>
      <c r="T668" s="629"/>
      <c r="U668" s="635"/>
      <c r="V668" s="636"/>
      <c r="W668" s="637"/>
      <c r="X668" s="629"/>
      <c r="Y668" s="467"/>
      <c r="Z668" s="504"/>
      <c r="AA668" s="468"/>
      <c r="AB668" s="616"/>
      <c r="AC668" s="635"/>
      <c r="AD668" s="636"/>
      <c r="AE668" s="637"/>
      <c r="AF668" s="629"/>
      <c r="AG668" s="635"/>
      <c r="AH668" s="636"/>
      <c r="AI668" s="637"/>
      <c r="AJ668" s="629"/>
      <c r="AK668" s="435"/>
      <c r="AL668" s="435"/>
      <c r="AM668" s="435"/>
      <c r="AN668" s="435"/>
      <c r="AO668" s="467"/>
      <c r="AP668" s="504"/>
      <c r="AQ668" s="468"/>
      <c r="AR668" s="616"/>
      <c r="AS668" s="630"/>
      <c r="AT668" s="630"/>
    </row>
    <row r="669">
      <c r="A669" s="467"/>
      <c r="B669" s="504"/>
      <c r="C669" s="468"/>
      <c r="D669" s="616"/>
      <c r="E669" s="467"/>
      <c r="F669" s="504"/>
      <c r="G669" s="468"/>
      <c r="H669" s="616"/>
      <c r="I669" s="467"/>
      <c r="J669" s="504"/>
      <c r="K669" s="468"/>
      <c r="L669" s="616"/>
      <c r="M669" s="467"/>
      <c r="N669" s="504"/>
      <c r="O669" s="468"/>
      <c r="P669" s="616"/>
      <c r="Q669" s="635"/>
      <c r="R669" s="636"/>
      <c r="S669" s="637"/>
      <c r="T669" s="629"/>
      <c r="U669" s="635"/>
      <c r="V669" s="636"/>
      <c r="W669" s="637"/>
      <c r="X669" s="629"/>
      <c r="Y669" s="467"/>
      <c r="Z669" s="504"/>
      <c r="AA669" s="468"/>
      <c r="AB669" s="616"/>
      <c r="AC669" s="635"/>
      <c r="AD669" s="636"/>
      <c r="AE669" s="637"/>
      <c r="AF669" s="629"/>
      <c r="AG669" s="635"/>
      <c r="AH669" s="636"/>
      <c r="AI669" s="637"/>
      <c r="AJ669" s="629"/>
      <c r="AK669" s="435"/>
      <c r="AL669" s="435"/>
      <c r="AM669" s="435"/>
      <c r="AN669" s="435"/>
      <c r="AO669" s="467"/>
      <c r="AP669" s="504"/>
      <c r="AQ669" s="468"/>
      <c r="AR669" s="616"/>
      <c r="AS669" s="630"/>
      <c r="AT669" s="630"/>
    </row>
    <row r="670">
      <c r="A670" s="467"/>
      <c r="B670" s="504"/>
      <c r="C670" s="468"/>
      <c r="D670" s="616"/>
      <c r="E670" s="467"/>
      <c r="F670" s="504"/>
      <c r="G670" s="468"/>
      <c r="H670" s="616"/>
      <c r="I670" s="467"/>
      <c r="J670" s="504"/>
      <c r="K670" s="468"/>
      <c r="L670" s="616"/>
      <c r="M670" s="467"/>
      <c r="N670" s="504"/>
      <c r="O670" s="468"/>
      <c r="P670" s="616"/>
      <c r="Q670" s="635"/>
      <c r="R670" s="636"/>
      <c r="S670" s="637"/>
      <c r="T670" s="629"/>
      <c r="U670" s="635"/>
      <c r="V670" s="636"/>
      <c r="W670" s="637"/>
      <c r="X670" s="629"/>
      <c r="Y670" s="467"/>
      <c r="Z670" s="504"/>
      <c r="AA670" s="468"/>
      <c r="AB670" s="616"/>
      <c r="AC670" s="635"/>
      <c r="AD670" s="636"/>
      <c r="AE670" s="637"/>
      <c r="AF670" s="629"/>
      <c r="AG670" s="635"/>
      <c r="AH670" s="636"/>
      <c r="AI670" s="637"/>
      <c r="AJ670" s="629"/>
      <c r="AK670" s="435"/>
      <c r="AL670" s="435"/>
      <c r="AM670" s="435"/>
      <c r="AN670" s="435"/>
      <c r="AO670" s="467"/>
      <c r="AP670" s="504"/>
      <c r="AQ670" s="468"/>
      <c r="AR670" s="616"/>
      <c r="AS670" s="630"/>
      <c r="AT670" s="630"/>
    </row>
    <row r="671">
      <c r="A671" s="467"/>
      <c r="B671" s="504"/>
      <c r="C671" s="468"/>
      <c r="D671" s="616"/>
      <c r="E671" s="467"/>
      <c r="F671" s="504"/>
      <c r="G671" s="468"/>
      <c r="H671" s="616"/>
      <c r="I671" s="467"/>
      <c r="J671" s="504"/>
      <c r="K671" s="468"/>
      <c r="L671" s="616"/>
      <c r="M671" s="467"/>
      <c r="N671" s="504"/>
      <c r="O671" s="468"/>
      <c r="P671" s="616"/>
      <c r="Q671" s="635"/>
      <c r="R671" s="636"/>
      <c r="S671" s="637"/>
      <c r="T671" s="629"/>
      <c r="U671" s="635"/>
      <c r="V671" s="636"/>
      <c r="W671" s="637"/>
      <c r="X671" s="629"/>
      <c r="Y671" s="467"/>
      <c r="Z671" s="504"/>
      <c r="AA671" s="468"/>
      <c r="AB671" s="616"/>
      <c r="AC671" s="635"/>
      <c r="AD671" s="636"/>
      <c r="AE671" s="637"/>
      <c r="AF671" s="629"/>
      <c r="AG671" s="635"/>
      <c r="AH671" s="636"/>
      <c r="AI671" s="637"/>
      <c r="AJ671" s="629"/>
      <c r="AK671" s="435"/>
      <c r="AL671" s="435"/>
      <c r="AM671" s="435"/>
      <c r="AN671" s="435"/>
      <c r="AO671" s="467"/>
      <c r="AP671" s="504"/>
      <c r="AQ671" s="468"/>
      <c r="AR671" s="616"/>
      <c r="AS671" s="630"/>
      <c r="AT671" s="630"/>
    </row>
    <row r="672">
      <c r="A672" s="467"/>
      <c r="B672" s="504"/>
      <c r="C672" s="468"/>
      <c r="D672" s="616"/>
      <c r="E672" s="467"/>
      <c r="F672" s="504"/>
      <c r="G672" s="468"/>
      <c r="H672" s="616"/>
      <c r="I672" s="467"/>
      <c r="J672" s="504"/>
      <c r="K672" s="468"/>
      <c r="L672" s="616"/>
      <c r="M672" s="467"/>
      <c r="N672" s="504"/>
      <c r="O672" s="468"/>
      <c r="P672" s="616"/>
      <c r="Q672" s="635"/>
      <c r="R672" s="636"/>
      <c r="S672" s="637"/>
      <c r="T672" s="629"/>
      <c r="U672" s="635"/>
      <c r="V672" s="636"/>
      <c r="W672" s="637"/>
      <c r="X672" s="629"/>
      <c r="Y672" s="467"/>
      <c r="Z672" s="504"/>
      <c r="AA672" s="468"/>
      <c r="AB672" s="616"/>
      <c r="AC672" s="635"/>
      <c r="AD672" s="636"/>
      <c r="AE672" s="637"/>
      <c r="AF672" s="629"/>
      <c r="AG672" s="635"/>
      <c r="AH672" s="636"/>
      <c r="AI672" s="637"/>
      <c r="AJ672" s="629"/>
      <c r="AK672" s="435"/>
      <c r="AL672" s="435"/>
      <c r="AM672" s="435"/>
      <c r="AN672" s="435"/>
      <c r="AO672" s="467"/>
      <c r="AP672" s="504"/>
      <c r="AQ672" s="468"/>
      <c r="AR672" s="616"/>
      <c r="AS672" s="630"/>
      <c r="AT672" s="630"/>
    </row>
    <row r="673">
      <c r="A673" s="467"/>
      <c r="B673" s="504"/>
      <c r="C673" s="468"/>
      <c r="D673" s="616"/>
      <c r="E673" s="467"/>
      <c r="F673" s="504"/>
      <c r="G673" s="468"/>
      <c r="H673" s="616"/>
      <c r="I673" s="467"/>
      <c r="J673" s="504"/>
      <c r="K673" s="468"/>
      <c r="L673" s="616"/>
      <c r="M673" s="467"/>
      <c r="N673" s="504"/>
      <c r="O673" s="468"/>
      <c r="P673" s="616"/>
      <c r="Q673" s="635"/>
      <c r="R673" s="636"/>
      <c r="S673" s="637"/>
      <c r="T673" s="629"/>
      <c r="U673" s="635"/>
      <c r="V673" s="636"/>
      <c r="W673" s="637"/>
      <c r="X673" s="629"/>
      <c r="Y673" s="467"/>
      <c r="Z673" s="504"/>
      <c r="AA673" s="468"/>
      <c r="AB673" s="616"/>
      <c r="AC673" s="635"/>
      <c r="AD673" s="636"/>
      <c r="AE673" s="637"/>
      <c r="AF673" s="629"/>
      <c r="AG673" s="635"/>
      <c r="AH673" s="636"/>
      <c r="AI673" s="637"/>
      <c r="AJ673" s="629"/>
      <c r="AK673" s="435"/>
      <c r="AL673" s="435"/>
      <c r="AM673" s="435"/>
      <c r="AN673" s="435"/>
      <c r="AO673" s="467"/>
      <c r="AP673" s="504"/>
      <c r="AQ673" s="468"/>
      <c r="AR673" s="616"/>
      <c r="AS673" s="630"/>
      <c r="AT673" s="630"/>
    </row>
    <row r="674">
      <c r="A674" s="467"/>
      <c r="B674" s="504"/>
      <c r="C674" s="468"/>
      <c r="D674" s="616"/>
      <c r="E674" s="467"/>
      <c r="F674" s="504"/>
      <c r="G674" s="468"/>
      <c r="H674" s="616"/>
      <c r="I674" s="467"/>
      <c r="J674" s="504"/>
      <c r="K674" s="468"/>
      <c r="L674" s="616"/>
      <c r="M674" s="467"/>
      <c r="N674" s="504"/>
      <c r="O674" s="468"/>
      <c r="P674" s="616"/>
      <c r="Q674" s="635"/>
      <c r="R674" s="636"/>
      <c r="S674" s="637"/>
      <c r="T674" s="629"/>
      <c r="U674" s="635"/>
      <c r="V674" s="636"/>
      <c r="W674" s="637"/>
      <c r="X674" s="629"/>
      <c r="Y674" s="467"/>
      <c r="Z674" s="504"/>
      <c r="AA674" s="468"/>
      <c r="AB674" s="616"/>
      <c r="AC674" s="635"/>
      <c r="AD674" s="636"/>
      <c r="AE674" s="637"/>
      <c r="AF674" s="629"/>
      <c r="AG674" s="635"/>
      <c r="AH674" s="636"/>
      <c r="AI674" s="637"/>
      <c r="AJ674" s="629"/>
      <c r="AK674" s="435"/>
      <c r="AL674" s="435"/>
      <c r="AM674" s="435"/>
      <c r="AN674" s="435"/>
      <c r="AO674" s="467"/>
      <c r="AP674" s="504"/>
      <c r="AQ674" s="468"/>
      <c r="AR674" s="616"/>
      <c r="AS674" s="630"/>
      <c r="AT674" s="630"/>
    </row>
    <row r="675">
      <c r="A675" s="467"/>
      <c r="B675" s="504"/>
      <c r="C675" s="468"/>
      <c r="D675" s="616"/>
      <c r="E675" s="467"/>
      <c r="F675" s="504"/>
      <c r="G675" s="468"/>
      <c r="H675" s="616"/>
      <c r="I675" s="467"/>
      <c r="J675" s="504"/>
      <c r="K675" s="468"/>
      <c r="L675" s="616"/>
      <c r="M675" s="467"/>
      <c r="N675" s="504"/>
      <c r="O675" s="468"/>
      <c r="P675" s="616"/>
      <c r="Q675" s="635"/>
      <c r="R675" s="636"/>
      <c r="S675" s="637"/>
      <c r="T675" s="629"/>
      <c r="U675" s="635"/>
      <c r="V675" s="636"/>
      <c r="W675" s="637"/>
      <c r="X675" s="629"/>
      <c r="Y675" s="467"/>
      <c r="Z675" s="504"/>
      <c r="AA675" s="468"/>
      <c r="AB675" s="616"/>
      <c r="AC675" s="635"/>
      <c r="AD675" s="636"/>
      <c r="AE675" s="637"/>
      <c r="AF675" s="629"/>
      <c r="AG675" s="635"/>
      <c r="AH675" s="636"/>
      <c r="AI675" s="637"/>
      <c r="AJ675" s="629"/>
      <c r="AK675" s="435"/>
      <c r="AL675" s="435"/>
      <c r="AM675" s="435"/>
      <c r="AN675" s="435"/>
      <c r="AO675" s="467"/>
      <c r="AP675" s="504"/>
      <c r="AQ675" s="468"/>
      <c r="AR675" s="616"/>
      <c r="AS675" s="630"/>
      <c r="AT675" s="630"/>
    </row>
    <row r="676">
      <c r="A676" s="467"/>
      <c r="B676" s="504"/>
      <c r="C676" s="468"/>
      <c r="D676" s="616"/>
      <c r="E676" s="467"/>
      <c r="F676" s="504"/>
      <c r="G676" s="468"/>
      <c r="H676" s="616"/>
      <c r="I676" s="467"/>
      <c r="J676" s="504"/>
      <c r="K676" s="468"/>
      <c r="L676" s="616"/>
      <c r="M676" s="467"/>
      <c r="N676" s="504"/>
      <c r="O676" s="468"/>
      <c r="P676" s="616"/>
      <c r="Q676" s="635"/>
      <c r="R676" s="636"/>
      <c r="S676" s="637"/>
      <c r="T676" s="629"/>
      <c r="U676" s="635"/>
      <c r="V676" s="636"/>
      <c r="W676" s="637"/>
      <c r="X676" s="629"/>
      <c r="Y676" s="467"/>
      <c r="Z676" s="504"/>
      <c r="AA676" s="468"/>
      <c r="AB676" s="616"/>
      <c r="AC676" s="635"/>
      <c r="AD676" s="636"/>
      <c r="AE676" s="637"/>
      <c r="AF676" s="629"/>
      <c r="AG676" s="635"/>
      <c r="AH676" s="636"/>
      <c r="AI676" s="637"/>
      <c r="AJ676" s="629"/>
      <c r="AK676" s="435"/>
      <c r="AL676" s="435"/>
      <c r="AM676" s="435"/>
      <c r="AN676" s="435"/>
      <c r="AO676" s="467"/>
      <c r="AP676" s="504"/>
      <c r="AQ676" s="468"/>
      <c r="AR676" s="616"/>
      <c r="AS676" s="630"/>
      <c r="AT676" s="630"/>
    </row>
    <row r="677">
      <c r="A677" s="467"/>
      <c r="B677" s="504"/>
      <c r="C677" s="468"/>
      <c r="D677" s="616"/>
      <c r="E677" s="467"/>
      <c r="F677" s="504"/>
      <c r="G677" s="468"/>
      <c r="H677" s="616"/>
      <c r="I677" s="467"/>
      <c r="J677" s="504"/>
      <c r="K677" s="468"/>
      <c r="L677" s="616"/>
      <c r="M677" s="467"/>
      <c r="N677" s="504"/>
      <c r="O677" s="468"/>
      <c r="P677" s="616"/>
      <c r="Q677" s="635"/>
      <c r="R677" s="636"/>
      <c r="S677" s="637"/>
      <c r="T677" s="629"/>
      <c r="U677" s="635"/>
      <c r="V677" s="636"/>
      <c r="W677" s="637"/>
      <c r="X677" s="629"/>
      <c r="Y677" s="467"/>
      <c r="Z677" s="504"/>
      <c r="AA677" s="468"/>
      <c r="AB677" s="616"/>
      <c r="AC677" s="635"/>
      <c r="AD677" s="636"/>
      <c r="AE677" s="637"/>
      <c r="AF677" s="629"/>
      <c r="AG677" s="635"/>
      <c r="AH677" s="636"/>
      <c r="AI677" s="637"/>
      <c r="AJ677" s="629"/>
      <c r="AK677" s="435"/>
      <c r="AL677" s="435"/>
      <c r="AM677" s="435"/>
      <c r="AN677" s="435"/>
      <c r="AO677" s="467"/>
      <c r="AP677" s="504"/>
      <c r="AQ677" s="468"/>
      <c r="AR677" s="616"/>
      <c r="AS677" s="630"/>
      <c r="AT677" s="630"/>
    </row>
    <row r="678">
      <c r="A678" s="467"/>
      <c r="B678" s="504"/>
      <c r="C678" s="468"/>
      <c r="D678" s="616"/>
      <c r="E678" s="467"/>
      <c r="F678" s="504"/>
      <c r="G678" s="468"/>
      <c r="H678" s="616"/>
      <c r="I678" s="467"/>
      <c r="J678" s="504"/>
      <c r="K678" s="468"/>
      <c r="L678" s="616"/>
      <c r="M678" s="467"/>
      <c r="N678" s="504"/>
      <c r="O678" s="468"/>
      <c r="P678" s="616"/>
      <c r="Q678" s="635"/>
      <c r="R678" s="636"/>
      <c r="S678" s="637"/>
      <c r="T678" s="629"/>
      <c r="U678" s="635"/>
      <c r="V678" s="636"/>
      <c r="W678" s="637"/>
      <c r="X678" s="629"/>
      <c r="Y678" s="467"/>
      <c r="Z678" s="504"/>
      <c r="AA678" s="468"/>
      <c r="AB678" s="616"/>
      <c r="AC678" s="635"/>
      <c r="AD678" s="636"/>
      <c r="AE678" s="637"/>
      <c r="AF678" s="629"/>
      <c r="AG678" s="635"/>
      <c r="AH678" s="636"/>
      <c r="AI678" s="637"/>
      <c r="AJ678" s="629"/>
      <c r="AK678" s="435"/>
      <c r="AL678" s="435"/>
      <c r="AM678" s="435"/>
      <c r="AN678" s="435"/>
      <c r="AO678" s="467"/>
      <c r="AP678" s="504"/>
      <c r="AQ678" s="468"/>
      <c r="AR678" s="616"/>
      <c r="AS678" s="630"/>
      <c r="AT678" s="630"/>
    </row>
    <row r="679">
      <c r="A679" s="467"/>
      <c r="B679" s="504"/>
      <c r="C679" s="468"/>
      <c r="D679" s="616"/>
      <c r="E679" s="467"/>
      <c r="F679" s="504"/>
      <c r="G679" s="468"/>
      <c r="H679" s="616"/>
      <c r="I679" s="467"/>
      <c r="J679" s="504"/>
      <c r="K679" s="468"/>
      <c r="L679" s="616"/>
      <c r="M679" s="467"/>
      <c r="N679" s="504"/>
      <c r="O679" s="468"/>
      <c r="P679" s="616"/>
      <c r="Q679" s="635"/>
      <c r="R679" s="636"/>
      <c r="S679" s="637"/>
      <c r="T679" s="629"/>
      <c r="U679" s="635"/>
      <c r="V679" s="636"/>
      <c r="W679" s="637"/>
      <c r="X679" s="629"/>
      <c r="Y679" s="467"/>
      <c r="Z679" s="504"/>
      <c r="AA679" s="468"/>
      <c r="AB679" s="616"/>
      <c r="AC679" s="635"/>
      <c r="AD679" s="636"/>
      <c r="AE679" s="637"/>
      <c r="AF679" s="629"/>
      <c r="AG679" s="635"/>
      <c r="AH679" s="636"/>
      <c r="AI679" s="637"/>
      <c r="AJ679" s="629"/>
      <c r="AK679" s="435"/>
      <c r="AL679" s="435"/>
      <c r="AM679" s="435"/>
      <c r="AN679" s="435"/>
      <c r="AO679" s="467"/>
      <c r="AP679" s="504"/>
      <c r="AQ679" s="468"/>
      <c r="AR679" s="616"/>
      <c r="AS679" s="630"/>
      <c r="AT679" s="630"/>
    </row>
    <row r="680">
      <c r="A680" s="467"/>
      <c r="B680" s="504"/>
      <c r="C680" s="468"/>
      <c r="D680" s="616"/>
      <c r="E680" s="467"/>
      <c r="F680" s="504"/>
      <c r="G680" s="468"/>
      <c r="H680" s="616"/>
      <c r="I680" s="467"/>
      <c r="J680" s="504"/>
      <c r="K680" s="468"/>
      <c r="L680" s="616"/>
      <c r="M680" s="467"/>
      <c r="N680" s="504"/>
      <c r="O680" s="468"/>
      <c r="P680" s="616"/>
      <c r="Q680" s="635"/>
      <c r="R680" s="636"/>
      <c r="S680" s="637"/>
      <c r="T680" s="629"/>
      <c r="U680" s="635"/>
      <c r="V680" s="636"/>
      <c r="W680" s="637"/>
      <c r="X680" s="629"/>
      <c r="Y680" s="467"/>
      <c r="Z680" s="504"/>
      <c r="AA680" s="468"/>
      <c r="AB680" s="616"/>
      <c r="AC680" s="635"/>
      <c r="AD680" s="636"/>
      <c r="AE680" s="637"/>
      <c r="AF680" s="629"/>
      <c r="AG680" s="635"/>
      <c r="AH680" s="636"/>
      <c r="AI680" s="637"/>
      <c r="AJ680" s="629"/>
      <c r="AK680" s="435"/>
      <c r="AL680" s="435"/>
      <c r="AM680" s="435"/>
      <c r="AN680" s="435"/>
      <c r="AO680" s="467"/>
      <c r="AP680" s="504"/>
      <c r="AQ680" s="468"/>
      <c r="AR680" s="616"/>
      <c r="AS680" s="630"/>
      <c r="AT680" s="630"/>
    </row>
    <row r="681">
      <c r="A681" s="467"/>
      <c r="B681" s="504"/>
      <c r="C681" s="468"/>
      <c r="D681" s="616"/>
      <c r="E681" s="467"/>
      <c r="F681" s="504"/>
      <c r="G681" s="468"/>
      <c r="H681" s="616"/>
      <c r="I681" s="467"/>
      <c r="J681" s="504"/>
      <c r="K681" s="468"/>
      <c r="L681" s="616"/>
      <c r="M681" s="467"/>
      <c r="N681" s="504"/>
      <c r="O681" s="468"/>
      <c r="P681" s="616"/>
      <c r="Q681" s="635"/>
      <c r="R681" s="636"/>
      <c r="S681" s="637"/>
      <c r="T681" s="629"/>
      <c r="U681" s="635"/>
      <c r="V681" s="636"/>
      <c r="W681" s="637"/>
      <c r="X681" s="629"/>
      <c r="Y681" s="467"/>
      <c r="Z681" s="504"/>
      <c r="AA681" s="468"/>
      <c r="AB681" s="616"/>
      <c r="AC681" s="635"/>
      <c r="AD681" s="636"/>
      <c r="AE681" s="637"/>
      <c r="AF681" s="629"/>
      <c r="AG681" s="635"/>
      <c r="AH681" s="636"/>
      <c r="AI681" s="637"/>
      <c r="AJ681" s="629"/>
      <c r="AK681" s="435"/>
      <c r="AL681" s="435"/>
      <c r="AM681" s="435"/>
      <c r="AN681" s="435"/>
      <c r="AO681" s="467"/>
      <c r="AP681" s="504"/>
      <c r="AQ681" s="468"/>
      <c r="AR681" s="616"/>
      <c r="AS681" s="630"/>
      <c r="AT681" s="630"/>
    </row>
    <row r="682">
      <c r="A682" s="467"/>
      <c r="B682" s="504"/>
      <c r="C682" s="468"/>
      <c r="D682" s="616"/>
      <c r="E682" s="467"/>
      <c r="F682" s="504"/>
      <c r="G682" s="468"/>
      <c r="H682" s="616"/>
      <c r="I682" s="467"/>
      <c r="J682" s="504"/>
      <c r="K682" s="468"/>
      <c r="L682" s="616"/>
      <c r="M682" s="467"/>
      <c r="N682" s="504"/>
      <c r="O682" s="468"/>
      <c r="P682" s="616"/>
      <c r="Q682" s="635"/>
      <c r="R682" s="636"/>
      <c r="S682" s="637"/>
      <c r="T682" s="629"/>
      <c r="U682" s="635"/>
      <c r="V682" s="636"/>
      <c r="W682" s="637"/>
      <c r="X682" s="629"/>
      <c r="Y682" s="467"/>
      <c r="Z682" s="504"/>
      <c r="AA682" s="468"/>
      <c r="AB682" s="616"/>
      <c r="AC682" s="635"/>
      <c r="AD682" s="636"/>
      <c r="AE682" s="637"/>
      <c r="AF682" s="629"/>
      <c r="AG682" s="635"/>
      <c r="AH682" s="636"/>
      <c r="AI682" s="637"/>
      <c r="AJ682" s="629"/>
      <c r="AK682" s="435"/>
      <c r="AL682" s="435"/>
      <c r="AM682" s="435"/>
      <c r="AN682" s="435"/>
      <c r="AO682" s="467"/>
      <c r="AP682" s="504"/>
      <c r="AQ682" s="468"/>
      <c r="AR682" s="616"/>
      <c r="AS682" s="630"/>
      <c r="AT682" s="630"/>
    </row>
    <row r="683">
      <c r="A683" s="467"/>
      <c r="B683" s="504"/>
      <c r="C683" s="468"/>
      <c r="D683" s="616"/>
      <c r="E683" s="467"/>
      <c r="F683" s="504"/>
      <c r="G683" s="468"/>
      <c r="H683" s="616"/>
      <c r="I683" s="467"/>
      <c r="J683" s="504"/>
      <c r="K683" s="468"/>
      <c r="L683" s="616"/>
      <c r="M683" s="467"/>
      <c r="N683" s="504"/>
      <c r="O683" s="468"/>
      <c r="P683" s="616"/>
      <c r="Q683" s="635"/>
      <c r="R683" s="636"/>
      <c r="S683" s="637"/>
      <c r="T683" s="629"/>
      <c r="U683" s="635"/>
      <c r="V683" s="636"/>
      <c r="W683" s="637"/>
      <c r="X683" s="629"/>
      <c r="Y683" s="467"/>
      <c r="Z683" s="504"/>
      <c r="AA683" s="468"/>
      <c r="AB683" s="616"/>
      <c r="AC683" s="635"/>
      <c r="AD683" s="636"/>
      <c r="AE683" s="637"/>
      <c r="AF683" s="629"/>
      <c r="AG683" s="635"/>
      <c r="AH683" s="636"/>
      <c r="AI683" s="637"/>
      <c r="AJ683" s="629"/>
      <c r="AK683" s="435"/>
      <c r="AL683" s="435"/>
      <c r="AM683" s="435"/>
      <c r="AN683" s="435"/>
      <c r="AO683" s="467"/>
      <c r="AP683" s="504"/>
      <c r="AQ683" s="468"/>
      <c r="AR683" s="616"/>
      <c r="AS683" s="630"/>
      <c r="AT683" s="630"/>
    </row>
    <row r="684">
      <c r="A684" s="467"/>
      <c r="B684" s="504"/>
      <c r="C684" s="468"/>
      <c r="D684" s="616"/>
      <c r="E684" s="467"/>
      <c r="F684" s="504"/>
      <c r="G684" s="468"/>
      <c r="H684" s="616"/>
      <c r="I684" s="467"/>
      <c r="J684" s="504"/>
      <c r="K684" s="468"/>
      <c r="L684" s="616"/>
      <c r="M684" s="467"/>
      <c r="N684" s="504"/>
      <c r="O684" s="468"/>
      <c r="P684" s="616"/>
      <c r="Q684" s="635"/>
      <c r="R684" s="636"/>
      <c r="S684" s="637"/>
      <c r="T684" s="629"/>
      <c r="U684" s="635"/>
      <c r="V684" s="636"/>
      <c r="W684" s="637"/>
      <c r="X684" s="629"/>
      <c r="Y684" s="467"/>
      <c r="Z684" s="504"/>
      <c r="AA684" s="468"/>
      <c r="AB684" s="616"/>
      <c r="AC684" s="635"/>
      <c r="AD684" s="636"/>
      <c r="AE684" s="637"/>
      <c r="AF684" s="629"/>
      <c r="AG684" s="635"/>
      <c r="AH684" s="636"/>
      <c r="AI684" s="637"/>
      <c r="AJ684" s="629"/>
      <c r="AK684" s="435"/>
      <c r="AL684" s="435"/>
      <c r="AM684" s="435"/>
      <c r="AN684" s="435"/>
      <c r="AO684" s="467"/>
      <c r="AP684" s="504"/>
      <c r="AQ684" s="468"/>
      <c r="AR684" s="616"/>
      <c r="AS684" s="630"/>
      <c r="AT684" s="630"/>
    </row>
    <row r="685">
      <c r="A685" s="467"/>
      <c r="B685" s="504"/>
      <c r="C685" s="468"/>
      <c r="D685" s="616"/>
      <c r="E685" s="467"/>
      <c r="F685" s="504"/>
      <c r="G685" s="468"/>
      <c r="H685" s="616"/>
      <c r="I685" s="467"/>
      <c r="J685" s="504"/>
      <c r="K685" s="468"/>
      <c r="L685" s="616"/>
      <c r="M685" s="467"/>
      <c r="N685" s="504"/>
      <c r="O685" s="468"/>
      <c r="P685" s="616"/>
      <c r="Q685" s="635"/>
      <c r="R685" s="636"/>
      <c r="S685" s="637"/>
      <c r="T685" s="629"/>
      <c r="U685" s="635"/>
      <c r="V685" s="636"/>
      <c r="W685" s="637"/>
      <c r="X685" s="629"/>
      <c r="Y685" s="467"/>
      <c r="Z685" s="504"/>
      <c r="AA685" s="468"/>
      <c r="AB685" s="616"/>
      <c r="AC685" s="635"/>
      <c r="AD685" s="636"/>
      <c r="AE685" s="637"/>
      <c r="AF685" s="629"/>
      <c r="AG685" s="635"/>
      <c r="AH685" s="636"/>
      <c r="AI685" s="637"/>
      <c r="AJ685" s="629"/>
      <c r="AK685" s="435"/>
      <c r="AL685" s="435"/>
      <c r="AM685" s="435"/>
      <c r="AN685" s="435"/>
      <c r="AO685" s="467"/>
      <c r="AP685" s="504"/>
      <c r="AQ685" s="468"/>
      <c r="AR685" s="616"/>
      <c r="AS685" s="630"/>
      <c r="AT685" s="630"/>
    </row>
    <row r="686">
      <c r="A686" s="467"/>
      <c r="B686" s="504"/>
      <c r="C686" s="468"/>
      <c r="D686" s="616"/>
      <c r="E686" s="467"/>
      <c r="F686" s="504"/>
      <c r="G686" s="468"/>
      <c r="H686" s="616"/>
      <c r="I686" s="467"/>
      <c r="J686" s="504"/>
      <c r="K686" s="468"/>
      <c r="L686" s="616"/>
      <c r="M686" s="467"/>
      <c r="N686" s="504"/>
      <c r="O686" s="468"/>
      <c r="P686" s="616"/>
      <c r="Q686" s="635"/>
      <c r="R686" s="636"/>
      <c r="S686" s="637"/>
      <c r="T686" s="629"/>
      <c r="U686" s="635"/>
      <c r="V686" s="636"/>
      <c r="W686" s="637"/>
      <c r="X686" s="629"/>
      <c r="Y686" s="467"/>
      <c r="Z686" s="504"/>
      <c r="AA686" s="468"/>
      <c r="AB686" s="616"/>
      <c r="AC686" s="635"/>
      <c r="AD686" s="636"/>
      <c r="AE686" s="637"/>
      <c r="AF686" s="629"/>
      <c r="AG686" s="635"/>
      <c r="AH686" s="636"/>
      <c r="AI686" s="637"/>
      <c r="AJ686" s="629"/>
      <c r="AK686" s="435"/>
      <c r="AL686" s="435"/>
      <c r="AM686" s="435"/>
      <c r="AN686" s="435"/>
      <c r="AO686" s="467"/>
      <c r="AP686" s="504"/>
      <c r="AQ686" s="468"/>
      <c r="AR686" s="616"/>
      <c r="AS686" s="630"/>
      <c r="AT686" s="630"/>
    </row>
    <row r="687">
      <c r="A687" s="467"/>
      <c r="B687" s="504"/>
      <c r="C687" s="468"/>
      <c r="D687" s="616"/>
      <c r="E687" s="467"/>
      <c r="F687" s="504"/>
      <c r="G687" s="468"/>
      <c r="H687" s="616"/>
      <c r="I687" s="467"/>
      <c r="J687" s="504"/>
      <c r="K687" s="468"/>
      <c r="L687" s="616"/>
      <c r="M687" s="467"/>
      <c r="N687" s="504"/>
      <c r="O687" s="468"/>
      <c r="P687" s="616"/>
      <c r="Q687" s="635"/>
      <c r="R687" s="636"/>
      <c r="S687" s="637"/>
      <c r="T687" s="629"/>
      <c r="U687" s="635"/>
      <c r="V687" s="636"/>
      <c r="W687" s="637"/>
      <c r="X687" s="629"/>
      <c r="Y687" s="467"/>
      <c r="Z687" s="504"/>
      <c r="AA687" s="468"/>
      <c r="AB687" s="616"/>
      <c r="AC687" s="635"/>
      <c r="AD687" s="636"/>
      <c r="AE687" s="637"/>
      <c r="AF687" s="629"/>
      <c r="AG687" s="635"/>
      <c r="AH687" s="636"/>
      <c r="AI687" s="637"/>
      <c r="AJ687" s="629"/>
      <c r="AK687" s="435"/>
      <c r="AL687" s="435"/>
      <c r="AM687" s="435"/>
      <c r="AN687" s="435"/>
      <c r="AO687" s="467"/>
      <c r="AP687" s="504"/>
      <c r="AQ687" s="468"/>
      <c r="AR687" s="616"/>
      <c r="AS687" s="630"/>
      <c r="AT687" s="630"/>
    </row>
    <row r="688">
      <c r="A688" s="467"/>
      <c r="B688" s="504"/>
      <c r="C688" s="468"/>
      <c r="D688" s="616"/>
      <c r="E688" s="467"/>
      <c r="F688" s="504"/>
      <c r="G688" s="468"/>
      <c r="H688" s="616"/>
      <c r="I688" s="467"/>
      <c r="J688" s="504"/>
      <c r="K688" s="468"/>
      <c r="L688" s="616"/>
      <c r="M688" s="467"/>
      <c r="N688" s="504"/>
      <c r="O688" s="468"/>
      <c r="P688" s="616"/>
      <c r="Q688" s="635"/>
      <c r="R688" s="636"/>
      <c r="S688" s="637"/>
      <c r="T688" s="629"/>
      <c r="U688" s="635"/>
      <c r="V688" s="636"/>
      <c r="W688" s="637"/>
      <c r="X688" s="629"/>
      <c r="Y688" s="467"/>
      <c r="Z688" s="504"/>
      <c r="AA688" s="468"/>
      <c r="AB688" s="616"/>
      <c r="AC688" s="635"/>
      <c r="AD688" s="636"/>
      <c r="AE688" s="637"/>
      <c r="AF688" s="629"/>
      <c r="AG688" s="635"/>
      <c r="AH688" s="636"/>
      <c r="AI688" s="637"/>
      <c r="AJ688" s="629"/>
      <c r="AK688" s="435"/>
      <c r="AL688" s="435"/>
      <c r="AM688" s="435"/>
      <c r="AN688" s="435"/>
      <c r="AO688" s="467"/>
      <c r="AP688" s="504"/>
      <c r="AQ688" s="468"/>
      <c r="AR688" s="616"/>
      <c r="AS688" s="630"/>
      <c r="AT688" s="630"/>
    </row>
    <row r="689">
      <c r="A689" s="467"/>
      <c r="B689" s="504"/>
      <c r="C689" s="468"/>
      <c r="D689" s="616"/>
      <c r="E689" s="467"/>
      <c r="F689" s="504"/>
      <c r="G689" s="468"/>
      <c r="H689" s="616"/>
      <c r="I689" s="467"/>
      <c r="J689" s="504"/>
      <c r="K689" s="468"/>
      <c r="L689" s="616"/>
      <c r="M689" s="467"/>
      <c r="N689" s="504"/>
      <c r="O689" s="468"/>
      <c r="P689" s="616"/>
      <c r="Q689" s="635"/>
      <c r="R689" s="636"/>
      <c r="S689" s="637"/>
      <c r="T689" s="629"/>
      <c r="U689" s="635"/>
      <c r="V689" s="636"/>
      <c r="W689" s="637"/>
      <c r="X689" s="629"/>
      <c r="Y689" s="467"/>
      <c r="Z689" s="504"/>
      <c r="AA689" s="468"/>
      <c r="AB689" s="616"/>
      <c r="AC689" s="635"/>
      <c r="AD689" s="636"/>
      <c r="AE689" s="637"/>
      <c r="AF689" s="629"/>
      <c r="AG689" s="635"/>
      <c r="AH689" s="636"/>
      <c r="AI689" s="637"/>
      <c r="AJ689" s="629"/>
      <c r="AK689" s="435"/>
      <c r="AL689" s="435"/>
      <c r="AM689" s="435"/>
      <c r="AN689" s="435"/>
      <c r="AO689" s="467"/>
      <c r="AP689" s="504"/>
      <c r="AQ689" s="468"/>
      <c r="AR689" s="616"/>
      <c r="AS689" s="630"/>
      <c r="AT689" s="630"/>
    </row>
    <row r="690">
      <c r="A690" s="467"/>
      <c r="B690" s="504"/>
      <c r="C690" s="468"/>
      <c r="D690" s="616"/>
      <c r="E690" s="467"/>
      <c r="F690" s="504"/>
      <c r="G690" s="468"/>
      <c r="H690" s="616"/>
      <c r="I690" s="467"/>
      <c r="J690" s="504"/>
      <c r="K690" s="468"/>
      <c r="L690" s="616"/>
      <c r="M690" s="467"/>
      <c r="N690" s="504"/>
      <c r="O690" s="468"/>
      <c r="P690" s="616"/>
      <c r="Q690" s="635"/>
      <c r="R690" s="636"/>
      <c r="S690" s="637"/>
      <c r="T690" s="629"/>
      <c r="U690" s="635"/>
      <c r="V690" s="636"/>
      <c r="W690" s="637"/>
      <c r="X690" s="629"/>
      <c r="Y690" s="467"/>
      <c r="Z690" s="504"/>
      <c r="AA690" s="468"/>
      <c r="AB690" s="616"/>
      <c r="AC690" s="635"/>
      <c r="AD690" s="636"/>
      <c r="AE690" s="637"/>
      <c r="AF690" s="629"/>
      <c r="AG690" s="635"/>
      <c r="AH690" s="636"/>
      <c r="AI690" s="637"/>
      <c r="AJ690" s="629"/>
      <c r="AK690" s="435"/>
      <c r="AL690" s="435"/>
      <c r="AM690" s="435"/>
      <c r="AN690" s="435"/>
      <c r="AO690" s="467"/>
      <c r="AP690" s="504"/>
      <c r="AQ690" s="468"/>
      <c r="AR690" s="616"/>
      <c r="AS690" s="630"/>
      <c r="AT690" s="630"/>
    </row>
    <row r="691">
      <c r="A691" s="467"/>
      <c r="B691" s="504"/>
      <c r="C691" s="468"/>
      <c r="D691" s="616"/>
      <c r="E691" s="467"/>
      <c r="F691" s="504"/>
      <c r="G691" s="468"/>
      <c r="H691" s="616"/>
      <c r="I691" s="467"/>
      <c r="J691" s="504"/>
      <c r="K691" s="468"/>
      <c r="L691" s="616"/>
      <c r="M691" s="467"/>
      <c r="N691" s="504"/>
      <c r="O691" s="468"/>
      <c r="P691" s="616"/>
      <c r="Q691" s="635"/>
      <c r="R691" s="636"/>
      <c r="S691" s="637"/>
      <c r="T691" s="629"/>
      <c r="U691" s="635"/>
      <c r="V691" s="636"/>
      <c r="W691" s="637"/>
      <c r="X691" s="629"/>
      <c r="Y691" s="467"/>
      <c r="Z691" s="504"/>
      <c r="AA691" s="468"/>
      <c r="AB691" s="616"/>
      <c r="AC691" s="635"/>
      <c r="AD691" s="636"/>
      <c r="AE691" s="637"/>
      <c r="AF691" s="629"/>
      <c r="AG691" s="635"/>
      <c r="AH691" s="636"/>
      <c r="AI691" s="637"/>
      <c r="AJ691" s="629"/>
      <c r="AK691" s="435"/>
      <c r="AL691" s="435"/>
      <c r="AM691" s="435"/>
      <c r="AN691" s="435"/>
      <c r="AO691" s="467"/>
      <c r="AP691" s="504"/>
      <c r="AQ691" s="468"/>
      <c r="AR691" s="616"/>
      <c r="AS691" s="630"/>
      <c r="AT691" s="630"/>
    </row>
    <row r="692">
      <c r="A692" s="467"/>
      <c r="B692" s="504"/>
      <c r="C692" s="468"/>
      <c r="D692" s="616"/>
      <c r="E692" s="467"/>
      <c r="F692" s="504"/>
      <c r="G692" s="468"/>
      <c r="H692" s="616"/>
      <c r="I692" s="467"/>
      <c r="J692" s="504"/>
      <c r="K692" s="468"/>
      <c r="L692" s="616"/>
      <c r="M692" s="467"/>
      <c r="N692" s="504"/>
      <c r="O692" s="468"/>
      <c r="P692" s="616"/>
      <c r="Q692" s="635"/>
      <c r="R692" s="636"/>
      <c r="S692" s="637"/>
      <c r="T692" s="629"/>
      <c r="U692" s="635"/>
      <c r="V692" s="636"/>
      <c r="W692" s="637"/>
      <c r="X692" s="629"/>
      <c r="Y692" s="467"/>
      <c r="Z692" s="504"/>
      <c r="AA692" s="468"/>
      <c r="AB692" s="616"/>
      <c r="AC692" s="635"/>
      <c r="AD692" s="636"/>
      <c r="AE692" s="637"/>
      <c r="AF692" s="629"/>
      <c r="AG692" s="635"/>
      <c r="AH692" s="636"/>
      <c r="AI692" s="637"/>
      <c r="AJ692" s="629"/>
      <c r="AK692" s="435"/>
      <c r="AL692" s="435"/>
      <c r="AM692" s="435"/>
      <c r="AN692" s="435"/>
      <c r="AO692" s="467"/>
      <c r="AP692" s="504"/>
      <c r="AQ692" s="468"/>
      <c r="AR692" s="616"/>
      <c r="AS692" s="630"/>
      <c r="AT692" s="630"/>
    </row>
    <row r="693">
      <c r="A693" s="467"/>
      <c r="B693" s="504"/>
      <c r="C693" s="468"/>
      <c r="D693" s="616"/>
      <c r="E693" s="467"/>
      <c r="F693" s="504"/>
      <c r="G693" s="468"/>
      <c r="H693" s="616"/>
      <c r="I693" s="467"/>
      <c r="J693" s="504"/>
      <c r="K693" s="468"/>
      <c r="L693" s="616"/>
      <c r="M693" s="467"/>
      <c r="N693" s="504"/>
      <c r="O693" s="468"/>
      <c r="P693" s="616"/>
      <c r="Q693" s="635"/>
      <c r="R693" s="636"/>
      <c r="S693" s="637"/>
      <c r="T693" s="629"/>
      <c r="U693" s="635"/>
      <c r="V693" s="636"/>
      <c r="W693" s="637"/>
      <c r="X693" s="629"/>
      <c r="Y693" s="467"/>
      <c r="Z693" s="504"/>
      <c r="AA693" s="468"/>
      <c r="AB693" s="616"/>
      <c r="AC693" s="635"/>
      <c r="AD693" s="636"/>
      <c r="AE693" s="637"/>
      <c r="AF693" s="629"/>
      <c r="AG693" s="635"/>
      <c r="AH693" s="636"/>
      <c r="AI693" s="637"/>
      <c r="AJ693" s="629"/>
      <c r="AK693" s="435"/>
      <c r="AL693" s="435"/>
      <c r="AM693" s="435"/>
      <c r="AN693" s="435"/>
      <c r="AO693" s="467"/>
      <c r="AP693" s="504"/>
      <c r="AQ693" s="468"/>
      <c r="AR693" s="616"/>
      <c r="AS693" s="630"/>
      <c r="AT693" s="630"/>
    </row>
    <row r="694">
      <c r="A694" s="467"/>
      <c r="B694" s="504"/>
      <c r="C694" s="468"/>
      <c r="D694" s="616"/>
      <c r="E694" s="467"/>
      <c r="F694" s="504"/>
      <c r="G694" s="468"/>
      <c r="H694" s="616"/>
      <c r="I694" s="467"/>
      <c r="J694" s="504"/>
      <c r="K694" s="468"/>
      <c r="L694" s="616"/>
      <c r="M694" s="467"/>
      <c r="N694" s="504"/>
      <c r="O694" s="468"/>
      <c r="P694" s="616"/>
      <c r="Q694" s="635"/>
      <c r="R694" s="636"/>
      <c r="S694" s="637"/>
      <c r="T694" s="629"/>
      <c r="U694" s="635"/>
      <c r="V694" s="636"/>
      <c r="W694" s="637"/>
      <c r="X694" s="629"/>
      <c r="Y694" s="467"/>
      <c r="Z694" s="504"/>
      <c r="AA694" s="468"/>
      <c r="AB694" s="616"/>
      <c r="AC694" s="635"/>
      <c r="AD694" s="636"/>
      <c r="AE694" s="637"/>
      <c r="AF694" s="629"/>
      <c r="AG694" s="635"/>
      <c r="AH694" s="636"/>
      <c r="AI694" s="637"/>
      <c r="AJ694" s="629"/>
      <c r="AK694" s="435"/>
      <c r="AL694" s="435"/>
      <c r="AM694" s="435"/>
      <c r="AN694" s="435"/>
      <c r="AO694" s="467"/>
      <c r="AP694" s="504"/>
      <c r="AQ694" s="468"/>
      <c r="AR694" s="616"/>
      <c r="AS694" s="630"/>
      <c r="AT694" s="630"/>
    </row>
    <row r="695">
      <c r="A695" s="467"/>
      <c r="B695" s="504"/>
      <c r="C695" s="468"/>
      <c r="D695" s="616"/>
      <c r="E695" s="467"/>
      <c r="F695" s="504"/>
      <c r="G695" s="468"/>
      <c r="H695" s="616"/>
      <c r="I695" s="467"/>
      <c r="J695" s="504"/>
      <c r="K695" s="468"/>
      <c r="L695" s="616"/>
      <c r="M695" s="467"/>
      <c r="N695" s="504"/>
      <c r="O695" s="468"/>
      <c r="P695" s="616"/>
      <c r="Q695" s="635"/>
      <c r="R695" s="636"/>
      <c r="S695" s="637"/>
      <c r="T695" s="629"/>
      <c r="U695" s="635"/>
      <c r="V695" s="636"/>
      <c r="W695" s="637"/>
      <c r="X695" s="629"/>
      <c r="Y695" s="467"/>
      <c r="Z695" s="504"/>
      <c r="AA695" s="468"/>
      <c r="AB695" s="616"/>
      <c r="AC695" s="635"/>
      <c r="AD695" s="636"/>
      <c r="AE695" s="637"/>
      <c r="AF695" s="629"/>
      <c r="AG695" s="635"/>
      <c r="AH695" s="636"/>
      <c r="AI695" s="637"/>
      <c r="AJ695" s="629"/>
      <c r="AK695" s="435"/>
      <c r="AL695" s="435"/>
      <c r="AM695" s="435"/>
      <c r="AN695" s="435"/>
      <c r="AO695" s="467"/>
      <c r="AP695" s="504"/>
      <c r="AQ695" s="468"/>
      <c r="AR695" s="616"/>
      <c r="AS695" s="630"/>
      <c r="AT695" s="630"/>
    </row>
    <row r="696">
      <c r="A696" s="467"/>
      <c r="B696" s="504"/>
      <c r="C696" s="468"/>
      <c r="D696" s="616"/>
      <c r="E696" s="467"/>
      <c r="F696" s="504"/>
      <c r="G696" s="468"/>
      <c r="H696" s="616"/>
      <c r="I696" s="467"/>
      <c r="J696" s="504"/>
      <c r="K696" s="468"/>
      <c r="L696" s="616"/>
      <c r="M696" s="467"/>
      <c r="N696" s="504"/>
      <c r="O696" s="468"/>
      <c r="P696" s="616"/>
      <c r="Q696" s="635"/>
      <c r="R696" s="636"/>
      <c r="S696" s="637"/>
      <c r="T696" s="629"/>
      <c r="U696" s="635"/>
      <c r="V696" s="636"/>
      <c r="W696" s="637"/>
      <c r="X696" s="629"/>
      <c r="Y696" s="467"/>
      <c r="Z696" s="504"/>
      <c r="AA696" s="468"/>
      <c r="AB696" s="616"/>
      <c r="AC696" s="635"/>
      <c r="AD696" s="636"/>
      <c r="AE696" s="637"/>
      <c r="AF696" s="629"/>
      <c r="AG696" s="635"/>
      <c r="AH696" s="636"/>
      <c r="AI696" s="637"/>
      <c r="AJ696" s="629"/>
      <c r="AK696" s="435"/>
      <c r="AL696" s="435"/>
      <c r="AM696" s="435"/>
      <c r="AN696" s="435"/>
      <c r="AO696" s="467"/>
      <c r="AP696" s="504"/>
      <c r="AQ696" s="468"/>
      <c r="AR696" s="616"/>
      <c r="AS696" s="630"/>
      <c r="AT696" s="630"/>
    </row>
    <row r="697">
      <c r="A697" s="467"/>
      <c r="B697" s="504"/>
      <c r="C697" s="468"/>
      <c r="D697" s="616"/>
      <c r="E697" s="467"/>
      <c r="F697" s="504"/>
      <c r="G697" s="468"/>
      <c r="H697" s="616"/>
      <c r="I697" s="467"/>
      <c r="J697" s="504"/>
      <c r="K697" s="468"/>
      <c r="L697" s="616"/>
      <c r="M697" s="467"/>
      <c r="N697" s="504"/>
      <c r="O697" s="468"/>
      <c r="P697" s="616"/>
      <c r="Q697" s="635"/>
      <c r="R697" s="636"/>
      <c r="S697" s="637"/>
      <c r="T697" s="629"/>
      <c r="U697" s="635"/>
      <c r="V697" s="636"/>
      <c r="W697" s="637"/>
      <c r="X697" s="629"/>
      <c r="Y697" s="467"/>
      <c r="Z697" s="504"/>
      <c r="AA697" s="468"/>
      <c r="AB697" s="616"/>
      <c r="AC697" s="635"/>
      <c r="AD697" s="636"/>
      <c r="AE697" s="637"/>
      <c r="AF697" s="629"/>
      <c r="AG697" s="635"/>
      <c r="AH697" s="636"/>
      <c r="AI697" s="637"/>
      <c r="AJ697" s="629"/>
      <c r="AK697" s="435"/>
      <c r="AL697" s="435"/>
      <c r="AM697" s="435"/>
      <c r="AN697" s="435"/>
      <c r="AO697" s="467"/>
      <c r="AP697" s="504"/>
      <c r="AQ697" s="468"/>
      <c r="AR697" s="616"/>
      <c r="AS697" s="630"/>
      <c r="AT697" s="630"/>
    </row>
    <row r="698">
      <c r="A698" s="467"/>
      <c r="B698" s="504"/>
      <c r="C698" s="468"/>
      <c r="D698" s="616"/>
      <c r="E698" s="467"/>
      <c r="F698" s="504"/>
      <c r="G698" s="468"/>
      <c r="H698" s="616"/>
      <c r="I698" s="467"/>
      <c r="J698" s="504"/>
      <c r="K698" s="468"/>
      <c r="L698" s="616"/>
      <c r="M698" s="467"/>
      <c r="N698" s="504"/>
      <c r="O698" s="468"/>
      <c r="P698" s="616"/>
      <c r="Q698" s="635"/>
      <c r="R698" s="636"/>
      <c r="S698" s="637"/>
      <c r="T698" s="629"/>
      <c r="U698" s="635"/>
      <c r="V698" s="636"/>
      <c r="W698" s="637"/>
      <c r="X698" s="629"/>
      <c r="Y698" s="467"/>
      <c r="Z698" s="504"/>
      <c r="AA698" s="468"/>
      <c r="AB698" s="616"/>
      <c r="AC698" s="635"/>
      <c r="AD698" s="636"/>
      <c r="AE698" s="637"/>
      <c r="AF698" s="629"/>
      <c r="AG698" s="635"/>
      <c r="AH698" s="636"/>
      <c r="AI698" s="637"/>
      <c r="AJ698" s="629"/>
      <c r="AK698" s="435"/>
      <c r="AL698" s="435"/>
      <c r="AM698" s="435"/>
      <c r="AN698" s="435"/>
      <c r="AO698" s="467"/>
      <c r="AP698" s="504"/>
      <c r="AQ698" s="468"/>
      <c r="AR698" s="616"/>
      <c r="AS698" s="630"/>
      <c r="AT698" s="630"/>
    </row>
    <row r="699">
      <c r="A699" s="467"/>
      <c r="B699" s="504"/>
      <c r="C699" s="468"/>
      <c r="D699" s="616"/>
      <c r="E699" s="467"/>
      <c r="F699" s="504"/>
      <c r="G699" s="468"/>
      <c r="H699" s="616"/>
      <c r="I699" s="467"/>
      <c r="J699" s="504"/>
      <c r="K699" s="468"/>
      <c r="L699" s="616"/>
      <c r="M699" s="467"/>
      <c r="N699" s="504"/>
      <c r="O699" s="468"/>
      <c r="P699" s="616"/>
      <c r="Q699" s="635"/>
      <c r="R699" s="636"/>
      <c r="S699" s="637"/>
      <c r="T699" s="629"/>
      <c r="U699" s="635"/>
      <c r="V699" s="636"/>
      <c r="W699" s="637"/>
      <c r="X699" s="629"/>
      <c r="Y699" s="467"/>
      <c r="Z699" s="504"/>
      <c r="AA699" s="468"/>
      <c r="AB699" s="616"/>
      <c r="AC699" s="635"/>
      <c r="AD699" s="636"/>
      <c r="AE699" s="637"/>
      <c r="AF699" s="629"/>
      <c r="AG699" s="635"/>
      <c r="AH699" s="636"/>
      <c r="AI699" s="637"/>
      <c r="AJ699" s="629"/>
      <c r="AK699" s="435"/>
      <c r="AL699" s="435"/>
      <c r="AM699" s="435"/>
      <c r="AN699" s="435"/>
      <c r="AO699" s="467"/>
      <c r="AP699" s="504"/>
      <c r="AQ699" s="468"/>
      <c r="AR699" s="616"/>
      <c r="AS699" s="630"/>
      <c r="AT699" s="630"/>
    </row>
    <row r="700">
      <c r="A700" s="467"/>
      <c r="B700" s="504"/>
      <c r="C700" s="468"/>
      <c r="D700" s="616"/>
      <c r="E700" s="467"/>
      <c r="F700" s="504"/>
      <c r="G700" s="468"/>
      <c r="H700" s="616"/>
      <c r="I700" s="467"/>
      <c r="J700" s="504"/>
      <c r="K700" s="468"/>
      <c r="L700" s="616"/>
      <c r="M700" s="467"/>
      <c r="N700" s="504"/>
      <c r="O700" s="468"/>
      <c r="P700" s="616"/>
      <c r="Q700" s="635"/>
      <c r="R700" s="636"/>
      <c r="S700" s="637"/>
      <c r="T700" s="629"/>
      <c r="U700" s="635"/>
      <c r="V700" s="636"/>
      <c r="W700" s="637"/>
      <c r="X700" s="629"/>
      <c r="Y700" s="467"/>
      <c r="Z700" s="504"/>
      <c r="AA700" s="468"/>
      <c r="AB700" s="616"/>
      <c r="AC700" s="635"/>
      <c r="AD700" s="636"/>
      <c r="AE700" s="637"/>
      <c r="AF700" s="629"/>
      <c r="AG700" s="635"/>
      <c r="AH700" s="636"/>
      <c r="AI700" s="637"/>
      <c r="AJ700" s="629"/>
      <c r="AK700" s="435"/>
      <c r="AL700" s="435"/>
      <c r="AM700" s="435"/>
      <c r="AN700" s="435"/>
      <c r="AO700" s="467"/>
      <c r="AP700" s="504"/>
      <c r="AQ700" s="468"/>
      <c r="AR700" s="616"/>
      <c r="AS700" s="630"/>
      <c r="AT700" s="630"/>
    </row>
    <row r="701">
      <c r="A701" s="467"/>
      <c r="B701" s="504"/>
      <c r="C701" s="468"/>
      <c r="D701" s="616"/>
      <c r="E701" s="467"/>
      <c r="F701" s="504"/>
      <c r="G701" s="468"/>
      <c r="H701" s="616"/>
      <c r="I701" s="467"/>
      <c r="J701" s="504"/>
      <c r="K701" s="468"/>
      <c r="L701" s="616"/>
      <c r="M701" s="467"/>
      <c r="N701" s="504"/>
      <c r="O701" s="468"/>
      <c r="P701" s="616"/>
      <c r="Q701" s="635"/>
      <c r="R701" s="636"/>
      <c r="S701" s="637"/>
      <c r="T701" s="629"/>
      <c r="U701" s="635"/>
      <c r="V701" s="636"/>
      <c r="W701" s="637"/>
      <c r="X701" s="629"/>
      <c r="Y701" s="467"/>
      <c r="Z701" s="504"/>
      <c r="AA701" s="468"/>
      <c r="AB701" s="616"/>
      <c r="AC701" s="635"/>
      <c r="AD701" s="636"/>
      <c r="AE701" s="637"/>
      <c r="AF701" s="629"/>
      <c r="AG701" s="635"/>
      <c r="AH701" s="636"/>
      <c r="AI701" s="637"/>
      <c r="AJ701" s="629"/>
      <c r="AK701" s="435"/>
      <c r="AL701" s="435"/>
      <c r="AM701" s="435"/>
      <c r="AN701" s="435"/>
      <c r="AO701" s="467"/>
      <c r="AP701" s="504"/>
      <c r="AQ701" s="468"/>
      <c r="AR701" s="616"/>
      <c r="AS701" s="630"/>
      <c r="AT701" s="630"/>
    </row>
    <row r="702">
      <c r="A702" s="467"/>
      <c r="B702" s="504"/>
      <c r="C702" s="468"/>
      <c r="D702" s="616"/>
      <c r="E702" s="467"/>
      <c r="F702" s="504"/>
      <c r="G702" s="468"/>
      <c r="H702" s="616"/>
      <c r="I702" s="467"/>
      <c r="J702" s="504"/>
      <c r="K702" s="468"/>
      <c r="L702" s="616"/>
      <c r="M702" s="467"/>
      <c r="N702" s="504"/>
      <c r="O702" s="468"/>
      <c r="P702" s="616"/>
      <c r="Q702" s="635"/>
      <c r="R702" s="636"/>
      <c r="S702" s="637"/>
      <c r="T702" s="629"/>
      <c r="U702" s="635"/>
      <c r="V702" s="636"/>
      <c r="W702" s="637"/>
      <c r="X702" s="629"/>
      <c r="Y702" s="467"/>
      <c r="Z702" s="504"/>
      <c r="AA702" s="468"/>
      <c r="AB702" s="616"/>
      <c r="AC702" s="635"/>
      <c r="AD702" s="636"/>
      <c r="AE702" s="637"/>
      <c r="AF702" s="629"/>
      <c r="AG702" s="635"/>
      <c r="AH702" s="636"/>
      <c r="AI702" s="637"/>
      <c r="AJ702" s="629"/>
      <c r="AK702" s="435"/>
      <c r="AL702" s="435"/>
      <c r="AM702" s="435"/>
      <c r="AN702" s="435"/>
      <c r="AO702" s="467"/>
      <c r="AP702" s="504"/>
      <c r="AQ702" s="468"/>
      <c r="AR702" s="616"/>
      <c r="AS702" s="630"/>
      <c r="AT702" s="630"/>
    </row>
    <row r="703">
      <c r="A703" s="467"/>
      <c r="B703" s="504"/>
      <c r="C703" s="468"/>
      <c r="D703" s="616"/>
      <c r="E703" s="467"/>
      <c r="F703" s="504"/>
      <c r="G703" s="468"/>
      <c r="H703" s="616"/>
      <c r="I703" s="467"/>
      <c r="J703" s="504"/>
      <c r="K703" s="468"/>
      <c r="L703" s="616"/>
      <c r="M703" s="467"/>
      <c r="N703" s="504"/>
      <c r="O703" s="468"/>
      <c r="P703" s="616"/>
      <c r="Q703" s="635"/>
      <c r="R703" s="636"/>
      <c r="S703" s="637"/>
      <c r="T703" s="629"/>
      <c r="U703" s="635"/>
      <c r="V703" s="636"/>
      <c r="W703" s="637"/>
      <c r="X703" s="629"/>
      <c r="Y703" s="467"/>
      <c r="Z703" s="504"/>
      <c r="AA703" s="468"/>
      <c r="AB703" s="616"/>
      <c r="AC703" s="635"/>
      <c r="AD703" s="636"/>
      <c r="AE703" s="637"/>
      <c r="AF703" s="629"/>
      <c r="AG703" s="635"/>
      <c r="AH703" s="636"/>
      <c r="AI703" s="637"/>
      <c r="AJ703" s="629"/>
      <c r="AK703" s="435"/>
      <c r="AL703" s="435"/>
      <c r="AM703" s="435"/>
      <c r="AN703" s="435"/>
      <c r="AO703" s="467"/>
      <c r="AP703" s="504"/>
      <c r="AQ703" s="468"/>
      <c r="AR703" s="616"/>
      <c r="AS703" s="630"/>
      <c r="AT703" s="630"/>
    </row>
    <row r="704">
      <c r="A704" s="467"/>
      <c r="B704" s="504"/>
      <c r="C704" s="468"/>
      <c r="D704" s="616"/>
      <c r="E704" s="467"/>
      <c r="F704" s="504"/>
      <c r="G704" s="468"/>
      <c r="H704" s="616"/>
      <c r="I704" s="467"/>
      <c r="J704" s="504"/>
      <c r="K704" s="468"/>
      <c r="L704" s="616"/>
      <c r="M704" s="467"/>
      <c r="N704" s="504"/>
      <c r="O704" s="468"/>
      <c r="P704" s="616"/>
      <c r="Q704" s="635"/>
      <c r="R704" s="636"/>
      <c r="S704" s="637"/>
      <c r="T704" s="629"/>
      <c r="U704" s="635"/>
      <c r="V704" s="636"/>
      <c r="W704" s="637"/>
      <c r="X704" s="629"/>
      <c r="Y704" s="467"/>
      <c r="Z704" s="504"/>
      <c r="AA704" s="468"/>
      <c r="AB704" s="616"/>
      <c r="AC704" s="635"/>
      <c r="AD704" s="636"/>
      <c r="AE704" s="637"/>
      <c r="AF704" s="629"/>
      <c r="AG704" s="635"/>
      <c r="AH704" s="636"/>
      <c r="AI704" s="637"/>
      <c r="AJ704" s="629"/>
      <c r="AK704" s="435"/>
      <c r="AL704" s="435"/>
      <c r="AM704" s="435"/>
      <c r="AN704" s="435"/>
      <c r="AO704" s="467"/>
      <c r="AP704" s="504"/>
      <c r="AQ704" s="468"/>
      <c r="AR704" s="616"/>
      <c r="AS704" s="630"/>
      <c r="AT704" s="630"/>
    </row>
    <row r="705">
      <c r="A705" s="467"/>
      <c r="B705" s="504"/>
      <c r="C705" s="468"/>
      <c r="D705" s="616"/>
      <c r="E705" s="467"/>
      <c r="F705" s="504"/>
      <c r="G705" s="468"/>
      <c r="H705" s="616"/>
      <c r="I705" s="467"/>
      <c r="J705" s="504"/>
      <c r="K705" s="468"/>
      <c r="L705" s="616"/>
      <c r="M705" s="467"/>
      <c r="N705" s="504"/>
      <c r="O705" s="468"/>
      <c r="P705" s="616"/>
      <c r="Q705" s="635"/>
      <c r="R705" s="636"/>
      <c r="S705" s="637"/>
      <c r="T705" s="629"/>
      <c r="U705" s="635"/>
      <c r="V705" s="636"/>
      <c r="W705" s="637"/>
      <c r="X705" s="629"/>
      <c r="Y705" s="467"/>
      <c r="Z705" s="504"/>
      <c r="AA705" s="468"/>
      <c r="AB705" s="616"/>
      <c r="AC705" s="635"/>
      <c r="AD705" s="636"/>
      <c r="AE705" s="637"/>
      <c r="AF705" s="629"/>
      <c r="AG705" s="635"/>
      <c r="AH705" s="636"/>
      <c r="AI705" s="637"/>
      <c r="AJ705" s="629"/>
      <c r="AK705" s="435"/>
      <c r="AL705" s="435"/>
      <c r="AM705" s="435"/>
      <c r="AN705" s="435"/>
      <c r="AO705" s="467"/>
      <c r="AP705" s="504"/>
      <c r="AQ705" s="468"/>
      <c r="AR705" s="616"/>
      <c r="AS705" s="630"/>
      <c r="AT705" s="630"/>
    </row>
    <row r="706">
      <c r="A706" s="467"/>
      <c r="B706" s="504"/>
      <c r="C706" s="468"/>
      <c r="D706" s="616"/>
      <c r="E706" s="467"/>
      <c r="F706" s="504"/>
      <c r="G706" s="468"/>
      <c r="H706" s="616"/>
      <c r="I706" s="467"/>
      <c r="J706" s="504"/>
      <c r="K706" s="468"/>
      <c r="L706" s="616"/>
      <c r="M706" s="467"/>
      <c r="N706" s="504"/>
      <c r="O706" s="468"/>
      <c r="P706" s="616"/>
      <c r="Q706" s="635"/>
      <c r="R706" s="636"/>
      <c r="S706" s="637"/>
      <c r="T706" s="629"/>
      <c r="U706" s="635"/>
      <c r="V706" s="636"/>
      <c r="W706" s="637"/>
      <c r="X706" s="629"/>
      <c r="Y706" s="467"/>
      <c r="Z706" s="504"/>
      <c r="AA706" s="468"/>
      <c r="AB706" s="616"/>
      <c r="AC706" s="635"/>
      <c r="AD706" s="636"/>
      <c r="AE706" s="637"/>
      <c r="AF706" s="629"/>
      <c r="AG706" s="635"/>
      <c r="AH706" s="636"/>
      <c r="AI706" s="637"/>
      <c r="AJ706" s="629"/>
      <c r="AK706" s="435"/>
      <c r="AL706" s="435"/>
      <c r="AM706" s="435"/>
      <c r="AN706" s="435"/>
      <c r="AO706" s="467"/>
      <c r="AP706" s="504"/>
      <c r="AQ706" s="468"/>
      <c r="AR706" s="616"/>
      <c r="AS706" s="630"/>
      <c r="AT706" s="630"/>
    </row>
    <row r="707">
      <c r="A707" s="467"/>
      <c r="B707" s="504"/>
      <c r="C707" s="468"/>
      <c r="D707" s="616"/>
      <c r="E707" s="467"/>
      <c r="F707" s="504"/>
      <c r="G707" s="468"/>
      <c r="H707" s="616"/>
      <c r="I707" s="467"/>
      <c r="J707" s="504"/>
      <c r="K707" s="468"/>
      <c r="L707" s="616"/>
      <c r="M707" s="467"/>
      <c r="N707" s="504"/>
      <c r="O707" s="468"/>
      <c r="P707" s="616"/>
      <c r="Q707" s="635"/>
      <c r="R707" s="636"/>
      <c r="S707" s="637"/>
      <c r="T707" s="629"/>
      <c r="U707" s="635"/>
      <c r="V707" s="636"/>
      <c r="W707" s="637"/>
      <c r="X707" s="629"/>
      <c r="Y707" s="467"/>
      <c r="Z707" s="504"/>
      <c r="AA707" s="468"/>
      <c r="AB707" s="616"/>
      <c r="AC707" s="635"/>
      <c r="AD707" s="636"/>
      <c r="AE707" s="637"/>
      <c r="AF707" s="629"/>
      <c r="AG707" s="635"/>
      <c r="AH707" s="636"/>
      <c r="AI707" s="637"/>
      <c r="AJ707" s="629"/>
      <c r="AK707" s="435"/>
      <c r="AL707" s="435"/>
      <c r="AM707" s="435"/>
      <c r="AN707" s="435"/>
      <c r="AO707" s="467"/>
      <c r="AP707" s="504"/>
      <c r="AQ707" s="468"/>
      <c r="AR707" s="616"/>
      <c r="AS707" s="630"/>
      <c r="AT707" s="630"/>
    </row>
    <row r="708">
      <c r="A708" s="467"/>
      <c r="B708" s="504"/>
      <c r="C708" s="468"/>
      <c r="D708" s="616"/>
      <c r="E708" s="467"/>
      <c r="F708" s="504"/>
      <c r="G708" s="468"/>
      <c r="H708" s="616"/>
      <c r="I708" s="467"/>
      <c r="J708" s="504"/>
      <c r="K708" s="468"/>
      <c r="L708" s="616"/>
      <c r="M708" s="467"/>
      <c r="N708" s="504"/>
      <c r="O708" s="468"/>
      <c r="P708" s="616"/>
      <c r="Q708" s="635"/>
      <c r="R708" s="636"/>
      <c r="S708" s="637"/>
      <c r="T708" s="629"/>
      <c r="U708" s="635"/>
      <c r="V708" s="636"/>
      <c r="W708" s="637"/>
      <c r="X708" s="629"/>
      <c r="Y708" s="467"/>
      <c r="Z708" s="504"/>
      <c r="AA708" s="468"/>
      <c r="AB708" s="616"/>
      <c r="AC708" s="635"/>
      <c r="AD708" s="636"/>
      <c r="AE708" s="637"/>
      <c r="AF708" s="629"/>
      <c r="AG708" s="635"/>
      <c r="AH708" s="636"/>
      <c r="AI708" s="637"/>
      <c r="AJ708" s="629"/>
      <c r="AK708" s="435"/>
      <c r="AL708" s="435"/>
      <c r="AM708" s="435"/>
      <c r="AN708" s="435"/>
      <c r="AO708" s="467"/>
      <c r="AP708" s="504"/>
      <c r="AQ708" s="468"/>
      <c r="AR708" s="616"/>
      <c r="AS708" s="630"/>
      <c r="AT708" s="630"/>
    </row>
    <row r="709">
      <c r="A709" s="467"/>
      <c r="B709" s="504"/>
      <c r="C709" s="468"/>
      <c r="D709" s="616"/>
      <c r="E709" s="467"/>
      <c r="F709" s="504"/>
      <c r="G709" s="468"/>
      <c r="H709" s="616"/>
      <c r="I709" s="467"/>
      <c r="J709" s="504"/>
      <c r="K709" s="468"/>
      <c r="L709" s="616"/>
      <c r="M709" s="467"/>
      <c r="N709" s="504"/>
      <c r="O709" s="468"/>
      <c r="P709" s="616"/>
      <c r="Q709" s="635"/>
      <c r="R709" s="636"/>
      <c r="S709" s="637"/>
      <c r="T709" s="629"/>
      <c r="U709" s="635"/>
      <c r="V709" s="636"/>
      <c r="W709" s="637"/>
      <c r="X709" s="629"/>
      <c r="Y709" s="467"/>
      <c r="Z709" s="504"/>
      <c r="AA709" s="468"/>
      <c r="AB709" s="616"/>
      <c r="AC709" s="635"/>
      <c r="AD709" s="636"/>
      <c r="AE709" s="637"/>
      <c r="AF709" s="629"/>
      <c r="AG709" s="635"/>
      <c r="AH709" s="636"/>
      <c r="AI709" s="637"/>
      <c r="AJ709" s="629"/>
      <c r="AK709" s="435"/>
      <c r="AL709" s="435"/>
      <c r="AM709" s="435"/>
      <c r="AN709" s="435"/>
      <c r="AO709" s="467"/>
      <c r="AP709" s="504"/>
      <c r="AQ709" s="468"/>
      <c r="AR709" s="616"/>
      <c r="AS709" s="630"/>
      <c r="AT709" s="630"/>
    </row>
    <row r="710">
      <c r="A710" s="467"/>
      <c r="B710" s="504"/>
      <c r="C710" s="468"/>
      <c r="D710" s="616"/>
      <c r="E710" s="467"/>
      <c r="F710" s="504"/>
      <c r="G710" s="468"/>
      <c r="H710" s="616"/>
      <c r="I710" s="467"/>
      <c r="J710" s="504"/>
      <c r="K710" s="468"/>
      <c r="L710" s="616"/>
      <c r="M710" s="467"/>
      <c r="N710" s="504"/>
      <c r="O710" s="468"/>
      <c r="P710" s="616"/>
      <c r="Q710" s="635"/>
      <c r="R710" s="636"/>
      <c r="S710" s="637"/>
      <c r="T710" s="629"/>
      <c r="U710" s="635"/>
      <c r="V710" s="636"/>
      <c r="W710" s="637"/>
      <c r="X710" s="629"/>
      <c r="Y710" s="467"/>
      <c r="Z710" s="504"/>
      <c r="AA710" s="468"/>
      <c r="AB710" s="616"/>
      <c r="AC710" s="635"/>
      <c r="AD710" s="636"/>
      <c r="AE710" s="637"/>
      <c r="AF710" s="629"/>
      <c r="AG710" s="635"/>
      <c r="AH710" s="636"/>
      <c r="AI710" s="637"/>
      <c r="AJ710" s="629"/>
      <c r="AK710" s="435"/>
      <c r="AL710" s="435"/>
      <c r="AM710" s="435"/>
      <c r="AN710" s="435"/>
      <c r="AO710" s="467"/>
      <c r="AP710" s="504"/>
      <c r="AQ710" s="468"/>
      <c r="AR710" s="616"/>
      <c r="AS710" s="630"/>
      <c r="AT710" s="630"/>
    </row>
    <row r="711">
      <c r="A711" s="467"/>
      <c r="B711" s="504"/>
      <c r="C711" s="468"/>
      <c r="D711" s="616"/>
      <c r="E711" s="467"/>
      <c r="F711" s="504"/>
      <c r="G711" s="468"/>
      <c r="H711" s="616"/>
      <c r="I711" s="467"/>
      <c r="J711" s="504"/>
      <c r="K711" s="468"/>
      <c r="L711" s="616"/>
      <c r="M711" s="467"/>
      <c r="N711" s="504"/>
      <c r="O711" s="468"/>
      <c r="P711" s="616"/>
      <c r="Q711" s="635"/>
      <c r="R711" s="636"/>
      <c r="S711" s="637"/>
      <c r="T711" s="629"/>
      <c r="U711" s="635"/>
      <c r="V711" s="636"/>
      <c r="W711" s="637"/>
      <c r="X711" s="629"/>
      <c r="Y711" s="467"/>
      <c r="Z711" s="504"/>
      <c r="AA711" s="468"/>
      <c r="AB711" s="616"/>
      <c r="AC711" s="635"/>
      <c r="AD711" s="636"/>
      <c r="AE711" s="637"/>
      <c r="AF711" s="629"/>
      <c r="AG711" s="635"/>
      <c r="AH711" s="636"/>
      <c r="AI711" s="637"/>
      <c r="AJ711" s="629"/>
      <c r="AK711" s="435"/>
      <c r="AL711" s="435"/>
      <c r="AM711" s="435"/>
      <c r="AN711" s="435"/>
      <c r="AO711" s="467"/>
      <c r="AP711" s="504"/>
      <c r="AQ711" s="468"/>
      <c r="AR711" s="616"/>
      <c r="AS711" s="630"/>
      <c r="AT711" s="630"/>
    </row>
    <row r="712">
      <c r="A712" s="467"/>
      <c r="B712" s="504"/>
      <c r="C712" s="468"/>
      <c r="D712" s="616"/>
      <c r="E712" s="467"/>
      <c r="F712" s="504"/>
      <c r="G712" s="468"/>
      <c r="H712" s="616"/>
      <c r="I712" s="467"/>
      <c r="J712" s="504"/>
      <c r="K712" s="468"/>
      <c r="L712" s="616"/>
      <c r="M712" s="467"/>
      <c r="N712" s="504"/>
      <c r="O712" s="468"/>
      <c r="P712" s="616"/>
      <c r="Q712" s="635"/>
      <c r="R712" s="636"/>
      <c r="S712" s="637"/>
      <c r="T712" s="629"/>
      <c r="U712" s="635"/>
      <c r="V712" s="636"/>
      <c r="W712" s="637"/>
      <c r="X712" s="629"/>
      <c r="Y712" s="467"/>
      <c r="Z712" s="504"/>
      <c r="AA712" s="468"/>
      <c r="AB712" s="616"/>
      <c r="AC712" s="635"/>
      <c r="AD712" s="636"/>
      <c r="AE712" s="637"/>
      <c r="AF712" s="629"/>
      <c r="AG712" s="635"/>
      <c r="AH712" s="636"/>
      <c r="AI712" s="637"/>
      <c r="AJ712" s="629"/>
      <c r="AK712" s="435"/>
      <c r="AL712" s="435"/>
      <c r="AM712" s="435"/>
      <c r="AN712" s="435"/>
      <c r="AO712" s="467"/>
      <c r="AP712" s="504"/>
      <c r="AQ712" s="468"/>
      <c r="AR712" s="616"/>
      <c r="AS712" s="630"/>
      <c r="AT712" s="630"/>
    </row>
    <row r="713">
      <c r="A713" s="467"/>
      <c r="B713" s="504"/>
      <c r="C713" s="468"/>
      <c r="D713" s="616"/>
      <c r="E713" s="467"/>
      <c r="F713" s="504"/>
      <c r="G713" s="468"/>
      <c r="H713" s="616"/>
      <c r="I713" s="467"/>
      <c r="J713" s="504"/>
      <c r="K713" s="468"/>
      <c r="L713" s="616"/>
      <c r="M713" s="467"/>
      <c r="N713" s="504"/>
      <c r="O713" s="468"/>
      <c r="P713" s="616"/>
      <c r="Q713" s="635"/>
      <c r="R713" s="636"/>
      <c r="S713" s="637"/>
      <c r="T713" s="629"/>
      <c r="U713" s="635"/>
      <c r="V713" s="636"/>
      <c r="W713" s="637"/>
      <c r="X713" s="629"/>
      <c r="Y713" s="467"/>
      <c r="Z713" s="504"/>
      <c r="AA713" s="468"/>
      <c r="AB713" s="616"/>
      <c r="AC713" s="635"/>
      <c r="AD713" s="636"/>
      <c r="AE713" s="637"/>
      <c r="AF713" s="629"/>
      <c r="AG713" s="635"/>
      <c r="AH713" s="636"/>
      <c r="AI713" s="637"/>
      <c r="AJ713" s="629"/>
      <c r="AK713" s="435"/>
      <c r="AL713" s="435"/>
      <c r="AM713" s="435"/>
      <c r="AN713" s="435"/>
      <c r="AO713" s="467"/>
      <c r="AP713" s="504"/>
      <c r="AQ713" s="468"/>
      <c r="AR713" s="616"/>
      <c r="AS713" s="630"/>
      <c r="AT713" s="630"/>
    </row>
    <row r="714">
      <c r="A714" s="467"/>
      <c r="B714" s="504"/>
      <c r="C714" s="468"/>
      <c r="D714" s="616"/>
      <c r="E714" s="467"/>
      <c r="F714" s="504"/>
      <c r="G714" s="468"/>
      <c r="H714" s="616"/>
      <c r="I714" s="467"/>
      <c r="J714" s="504"/>
      <c r="K714" s="468"/>
      <c r="L714" s="616"/>
      <c r="M714" s="467"/>
      <c r="N714" s="504"/>
      <c r="O714" s="468"/>
      <c r="P714" s="616"/>
      <c r="Q714" s="635"/>
      <c r="R714" s="636"/>
      <c r="S714" s="637"/>
      <c r="T714" s="629"/>
      <c r="U714" s="635"/>
      <c r="V714" s="636"/>
      <c r="W714" s="637"/>
      <c r="X714" s="629"/>
      <c r="Y714" s="467"/>
      <c r="Z714" s="504"/>
      <c r="AA714" s="468"/>
      <c r="AB714" s="616"/>
      <c r="AC714" s="635"/>
      <c r="AD714" s="636"/>
      <c r="AE714" s="637"/>
      <c r="AF714" s="629"/>
      <c r="AG714" s="635"/>
      <c r="AH714" s="636"/>
      <c r="AI714" s="637"/>
      <c r="AJ714" s="629"/>
      <c r="AK714" s="435"/>
      <c r="AL714" s="435"/>
      <c r="AM714" s="435"/>
      <c r="AN714" s="435"/>
      <c r="AO714" s="467"/>
      <c r="AP714" s="504"/>
      <c r="AQ714" s="468"/>
      <c r="AR714" s="616"/>
      <c r="AS714" s="630"/>
      <c r="AT714" s="630"/>
    </row>
    <row r="715">
      <c r="A715" s="467"/>
      <c r="B715" s="504"/>
      <c r="C715" s="468"/>
      <c r="D715" s="616"/>
      <c r="E715" s="467"/>
      <c r="F715" s="504"/>
      <c r="G715" s="468"/>
      <c r="H715" s="616"/>
      <c r="I715" s="467"/>
      <c r="J715" s="504"/>
      <c r="K715" s="468"/>
      <c r="L715" s="616"/>
      <c r="M715" s="467"/>
      <c r="N715" s="504"/>
      <c r="O715" s="468"/>
      <c r="P715" s="616"/>
      <c r="Q715" s="635"/>
      <c r="R715" s="636"/>
      <c r="S715" s="637"/>
      <c r="T715" s="629"/>
      <c r="U715" s="635"/>
      <c r="V715" s="636"/>
      <c r="W715" s="637"/>
      <c r="X715" s="629"/>
      <c r="Y715" s="467"/>
      <c r="Z715" s="504"/>
      <c r="AA715" s="468"/>
      <c r="AB715" s="616"/>
      <c r="AC715" s="635"/>
      <c r="AD715" s="636"/>
      <c r="AE715" s="637"/>
      <c r="AF715" s="629"/>
      <c r="AG715" s="635"/>
      <c r="AH715" s="636"/>
      <c r="AI715" s="637"/>
      <c r="AJ715" s="629"/>
      <c r="AK715" s="435"/>
      <c r="AL715" s="435"/>
      <c r="AM715" s="435"/>
      <c r="AN715" s="435"/>
      <c r="AO715" s="467"/>
      <c r="AP715" s="504"/>
      <c r="AQ715" s="468"/>
      <c r="AR715" s="616"/>
      <c r="AS715" s="630"/>
      <c r="AT715" s="630"/>
    </row>
    <row r="716">
      <c r="A716" s="467"/>
      <c r="B716" s="504"/>
      <c r="C716" s="468"/>
      <c r="D716" s="616"/>
      <c r="E716" s="467"/>
      <c r="F716" s="504"/>
      <c r="G716" s="468"/>
      <c r="H716" s="616"/>
      <c r="I716" s="467"/>
      <c r="J716" s="504"/>
      <c r="K716" s="468"/>
      <c r="L716" s="616"/>
      <c r="M716" s="467"/>
      <c r="N716" s="504"/>
      <c r="O716" s="468"/>
      <c r="P716" s="616"/>
      <c r="Q716" s="635"/>
      <c r="R716" s="636"/>
      <c r="S716" s="637"/>
      <c r="T716" s="629"/>
      <c r="U716" s="635"/>
      <c r="V716" s="636"/>
      <c r="W716" s="637"/>
      <c r="X716" s="629"/>
      <c r="Y716" s="467"/>
      <c r="Z716" s="504"/>
      <c r="AA716" s="468"/>
      <c r="AB716" s="616"/>
      <c r="AC716" s="635"/>
      <c r="AD716" s="636"/>
      <c r="AE716" s="637"/>
      <c r="AF716" s="629"/>
      <c r="AG716" s="635"/>
      <c r="AH716" s="636"/>
      <c r="AI716" s="637"/>
      <c r="AJ716" s="629"/>
      <c r="AK716" s="435"/>
      <c r="AL716" s="435"/>
      <c r="AM716" s="435"/>
      <c r="AN716" s="435"/>
      <c r="AO716" s="467"/>
      <c r="AP716" s="504"/>
      <c r="AQ716" s="468"/>
      <c r="AR716" s="616"/>
      <c r="AS716" s="630"/>
      <c r="AT716" s="630"/>
    </row>
    <row r="717">
      <c r="A717" s="467"/>
      <c r="B717" s="504"/>
      <c r="C717" s="468"/>
      <c r="D717" s="616"/>
      <c r="E717" s="467"/>
      <c r="F717" s="504"/>
      <c r="G717" s="468"/>
      <c r="H717" s="616"/>
      <c r="I717" s="467"/>
      <c r="J717" s="504"/>
      <c r="K717" s="468"/>
      <c r="L717" s="616"/>
      <c r="M717" s="467"/>
      <c r="N717" s="504"/>
      <c r="O717" s="468"/>
      <c r="P717" s="616"/>
      <c r="Q717" s="635"/>
      <c r="R717" s="636"/>
      <c r="S717" s="637"/>
      <c r="T717" s="629"/>
      <c r="U717" s="635"/>
      <c r="V717" s="636"/>
      <c r="W717" s="637"/>
      <c r="X717" s="629"/>
      <c r="Y717" s="467"/>
      <c r="Z717" s="504"/>
      <c r="AA717" s="468"/>
      <c r="AB717" s="616"/>
      <c r="AC717" s="635"/>
      <c r="AD717" s="636"/>
      <c r="AE717" s="637"/>
      <c r="AF717" s="629"/>
      <c r="AG717" s="635"/>
      <c r="AH717" s="636"/>
      <c r="AI717" s="637"/>
      <c r="AJ717" s="629"/>
      <c r="AK717" s="435"/>
      <c r="AL717" s="435"/>
      <c r="AM717" s="435"/>
      <c r="AN717" s="435"/>
      <c r="AO717" s="467"/>
      <c r="AP717" s="504"/>
      <c r="AQ717" s="468"/>
      <c r="AR717" s="616"/>
      <c r="AS717" s="630"/>
      <c r="AT717" s="630"/>
    </row>
    <row r="718">
      <c r="A718" s="467"/>
      <c r="B718" s="504"/>
      <c r="C718" s="468"/>
      <c r="D718" s="616"/>
      <c r="E718" s="467"/>
      <c r="F718" s="504"/>
      <c r="G718" s="468"/>
      <c r="H718" s="616"/>
      <c r="I718" s="467"/>
      <c r="J718" s="504"/>
      <c r="K718" s="468"/>
      <c r="L718" s="616"/>
      <c r="M718" s="467"/>
      <c r="N718" s="504"/>
      <c r="O718" s="468"/>
      <c r="P718" s="616"/>
      <c r="Q718" s="635"/>
      <c r="R718" s="636"/>
      <c r="S718" s="637"/>
      <c r="T718" s="629"/>
      <c r="U718" s="635"/>
      <c r="V718" s="636"/>
      <c r="W718" s="637"/>
      <c r="X718" s="629"/>
      <c r="Y718" s="467"/>
      <c r="Z718" s="504"/>
      <c r="AA718" s="468"/>
      <c r="AB718" s="616"/>
      <c r="AC718" s="635"/>
      <c r="AD718" s="636"/>
      <c r="AE718" s="637"/>
      <c r="AF718" s="629"/>
      <c r="AG718" s="635"/>
      <c r="AH718" s="636"/>
      <c r="AI718" s="637"/>
      <c r="AJ718" s="629"/>
      <c r="AK718" s="435"/>
      <c r="AL718" s="435"/>
      <c r="AM718" s="435"/>
      <c r="AN718" s="435"/>
      <c r="AO718" s="467"/>
      <c r="AP718" s="504"/>
      <c r="AQ718" s="468"/>
      <c r="AR718" s="616"/>
      <c r="AS718" s="630"/>
      <c r="AT718" s="630"/>
    </row>
    <row r="719">
      <c r="A719" s="467"/>
      <c r="B719" s="504"/>
      <c r="C719" s="468"/>
      <c r="D719" s="616"/>
      <c r="E719" s="467"/>
      <c r="F719" s="504"/>
      <c r="G719" s="468"/>
      <c r="H719" s="616"/>
      <c r="I719" s="467"/>
      <c r="J719" s="504"/>
      <c r="K719" s="468"/>
      <c r="L719" s="616"/>
      <c r="M719" s="467"/>
      <c r="N719" s="504"/>
      <c r="O719" s="468"/>
      <c r="P719" s="616"/>
      <c r="Q719" s="635"/>
      <c r="R719" s="636"/>
      <c r="S719" s="637"/>
      <c r="T719" s="629"/>
      <c r="U719" s="635"/>
      <c r="V719" s="636"/>
      <c r="W719" s="637"/>
      <c r="X719" s="629"/>
      <c r="Y719" s="467"/>
      <c r="Z719" s="504"/>
      <c r="AA719" s="468"/>
      <c r="AB719" s="616"/>
      <c r="AC719" s="635"/>
      <c r="AD719" s="636"/>
      <c r="AE719" s="637"/>
      <c r="AF719" s="629"/>
      <c r="AG719" s="635"/>
      <c r="AH719" s="636"/>
      <c r="AI719" s="637"/>
      <c r="AJ719" s="629"/>
      <c r="AK719" s="435"/>
      <c r="AL719" s="435"/>
      <c r="AM719" s="435"/>
      <c r="AN719" s="435"/>
      <c r="AO719" s="467"/>
      <c r="AP719" s="504"/>
      <c r="AQ719" s="468"/>
      <c r="AR719" s="616"/>
      <c r="AS719" s="630"/>
      <c r="AT719" s="630"/>
    </row>
    <row r="720">
      <c r="A720" s="467"/>
      <c r="B720" s="504"/>
      <c r="C720" s="468"/>
      <c r="D720" s="616"/>
      <c r="E720" s="467"/>
      <c r="F720" s="504"/>
      <c r="G720" s="468"/>
      <c r="H720" s="616"/>
      <c r="I720" s="467"/>
      <c r="J720" s="504"/>
      <c r="K720" s="468"/>
      <c r="L720" s="616"/>
      <c r="M720" s="467"/>
      <c r="N720" s="504"/>
      <c r="O720" s="468"/>
      <c r="P720" s="616"/>
      <c r="Q720" s="635"/>
      <c r="R720" s="636"/>
      <c r="S720" s="637"/>
      <c r="T720" s="629"/>
      <c r="U720" s="635"/>
      <c r="V720" s="636"/>
      <c r="W720" s="637"/>
      <c r="X720" s="629"/>
      <c r="Y720" s="467"/>
      <c r="Z720" s="504"/>
      <c r="AA720" s="468"/>
      <c r="AB720" s="616"/>
      <c r="AC720" s="635"/>
      <c r="AD720" s="636"/>
      <c r="AE720" s="637"/>
      <c r="AF720" s="629"/>
      <c r="AG720" s="635"/>
      <c r="AH720" s="636"/>
      <c r="AI720" s="637"/>
      <c r="AJ720" s="629"/>
      <c r="AK720" s="435"/>
      <c r="AL720" s="435"/>
      <c r="AM720" s="435"/>
      <c r="AN720" s="435"/>
      <c r="AO720" s="467"/>
      <c r="AP720" s="504"/>
      <c r="AQ720" s="468"/>
      <c r="AR720" s="616"/>
      <c r="AS720" s="630"/>
      <c r="AT720" s="630"/>
    </row>
    <row r="721">
      <c r="A721" s="467"/>
      <c r="B721" s="504"/>
      <c r="C721" s="468"/>
      <c r="D721" s="616"/>
      <c r="E721" s="467"/>
      <c r="F721" s="504"/>
      <c r="G721" s="468"/>
      <c r="H721" s="616"/>
      <c r="I721" s="467"/>
      <c r="J721" s="504"/>
      <c r="K721" s="468"/>
      <c r="L721" s="616"/>
      <c r="M721" s="467"/>
      <c r="N721" s="504"/>
      <c r="O721" s="468"/>
      <c r="P721" s="616"/>
      <c r="Q721" s="635"/>
      <c r="R721" s="636"/>
      <c r="S721" s="637"/>
      <c r="T721" s="629"/>
      <c r="U721" s="635"/>
      <c r="V721" s="636"/>
      <c r="W721" s="637"/>
      <c r="X721" s="629"/>
      <c r="Y721" s="467"/>
      <c r="Z721" s="504"/>
      <c r="AA721" s="468"/>
      <c r="AB721" s="616"/>
      <c r="AC721" s="635"/>
      <c r="AD721" s="636"/>
      <c r="AE721" s="637"/>
      <c r="AF721" s="629"/>
      <c r="AG721" s="635"/>
      <c r="AH721" s="636"/>
      <c r="AI721" s="637"/>
      <c r="AJ721" s="629"/>
      <c r="AK721" s="435"/>
      <c r="AL721" s="435"/>
      <c r="AM721" s="435"/>
      <c r="AN721" s="435"/>
      <c r="AO721" s="467"/>
      <c r="AP721" s="504"/>
      <c r="AQ721" s="468"/>
      <c r="AR721" s="616"/>
      <c r="AS721" s="630"/>
      <c r="AT721" s="630"/>
    </row>
    <row r="722">
      <c r="A722" s="467"/>
      <c r="B722" s="504"/>
      <c r="C722" s="468"/>
      <c r="D722" s="616"/>
      <c r="E722" s="467"/>
      <c r="F722" s="504"/>
      <c r="G722" s="468"/>
      <c r="H722" s="616"/>
      <c r="I722" s="467"/>
      <c r="J722" s="504"/>
      <c r="K722" s="468"/>
      <c r="L722" s="616"/>
      <c r="M722" s="467"/>
      <c r="N722" s="504"/>
      <c r="O722" s="468"/>
      <c r="P722" s="616"/>
      <c r="Q722" s="635"/>
      <c r="R722" s="636"/>
      <c r="S722" s="637"/>
      <c r="T722" s="629"/>
      <c r="U722" s="635"/>
      <c r="V722" s="636"/>
      <c r="W722" s="637"/>
      <c r="X722" s="629"/>
      <c r="Y722" s="467"/>
      <c r="Z722" s="504"/>
      <c r="AA722" s="468"/>
      <c r="AB722" s="616"/>
      <c r="AC722" s="635"/>
      <c r="AD722" s="636"/>
      <c r="AE722" s="637"/>
      <c r="AF722" s="629"/>
      <c r="AG722" s="635"/>
      <c r="AH722" s="636"/>
      <c r="AI722" s="637"/>
      <c r="AJ722" s="629"/>
      <c r="AK722" s="435"/>
      <c r="AL722" s="435"/>
      <c r="AM722" s="435"/>
      <c r="AN722" s="435"/>
      <c r="AO722" s="467"/>
      <c r="AP722" s="504"/>
      <c r="AQ722" s="468"/>
      <c r="AR722" s="616"/>
      <c r="AS722" s="630"/>
      <c r="AT722" s="630"/>
    </row>
    <row r="723">
      <c r="A723" s="467"/>
      <c r="B723" s="504"/>
      <c r="C723" s="468"/>
      <c r="D723" s="616"/>
      <c r="E723" s="467"/>
      <c r="F723" s="504"/>
      <c r="G723" s="468"/>
      <c r="H723" s="616"/>
      <c r="I723" s="467"/>
      <c r="J723" s="504"/>
      <c r="K723" s="468"/>
      <c r="L723" s="616"/>
      <c r="M723" s="467"/>
      <c r="N723" s="504"/>
      <c r="O723" s="468"/>
      <c r="P723" s="616"/>
      <c r="Q723" s="635"/>
      <c r="R723" s="636"/>
      <c r="S723" s="637"/>
      <c r="T723" s="629"/>
      <c r="U723" s="635"/>
      <c r="V723" s="636"/>
      <c r="W723" s="637"/>
      <c r="X723" s="629"/>
      <c r="Y723" s="467"/>
      <c r="Z723" s="504"/>
      <c r="AA723" s="468"/>
      <c r="AB723" s="616"/>
      <c r="AC723" s="635"/>
      <c r="AD723" s="636"/>
      <c r="AE723" s="637"/>
      <c r="AF723" s="629"/>
      <c r="AG723" s="635"/>
      <c r="AH723" s="636"/>
      <c r="AI723" s="637"/>
      <c r="AJ723" s="629"/>
      <c r="AK723" s="435"/>
      <c r="AL723" s="435"/>
      <c r="AM723" s="435"/>
      <c r="AN723" s="435"/>
      <c r="AO723" s="467"/>
      <c r="AP723" s="504"/>
      <c r="AQ723" s="468"/>
      <c r="AR723" s="616"/>
      <c r="AS723" s="630"/>
      <c r="AT723" s="630"/>
    </row>
    <row r="724">
      <c r="A724" s="467"/>
      <c r="B724" s="504"/>
      <c r="C724" s="468"/>
      <c r="D724" s="616"/>
      <c r="E724" s="467"/>
      <c r="F724" s="504"/>
      <c r="G724" s="468"/>
      <c r="H724" s="616"/>
      <c r="I724" s="467"/>
      <c r="J724" s="504"/>
      <c r="K724" s="468"/>
      <c r="L724" s="616"/>
      <c r="M724" s="467"/>
      <c r="N724" s="504"/>
      <c r="O724" s="468"/>
      <c r="P724" s="616"/>
      <c r="Q724" s="635"/>
      <c r="R724" s="636"/>
      <c r="S724" s="637"/>
      <c r="T724" s="629"/>
      <c r="U724" s="635"/>
      <c r="V724" s="636"/>
      <c r="W724" s="637"/>
      <c r="X724" s="629"/>
      <c r="Y724" s="467"/>
      <c r="Z724" s="504"/>
      <c r="AA724" s="468"/>
      <c r="AB724" s="616"/>
      <c r="AC724" s="635"/>
      <c r="AD724" s="636"/>
      <c r="AE724" s="637"/>
      <c r="AF724" s="629"/>
      <c r="AG724" s="635"/>
      <c r="AH724" s="636"/>
      <c r="AI724" s="637"/>
      <c r="AJ724" s="629"/>
      <c r="AK724" s="435"/>
      <c r="AL724" s="435"/>
      <c r="AM724" s="435"/>
      <c r="AN724" s="435"/>
      <c r="AO724" s="467"/>
      <c r="AP724" s="504"/>
      <c r="AQ724" s="468"/>
      <c r="AR724" s="616"/>
      <c r="AS724" s="630"/>
      <c r="AT724" s="630"/>
    </row>
    <row r="725">
      <c r="A725" s="467"/>
      <c r="B725" s="504"/>
      <c r="C725" s="468"/>
      <c r="D725" s="616"/>
      <c r="E725" s="467"/>
      <c r="F725" s="504"/>
      <c r="G725" s="468"/>
      <c r="H725" s="616"/>
      <c r="I725" s="467"/>
      <c r="J725" s="504"/>
      <c r="K725" s="468"/>
      <c r="L725" s="616"/>
      <c r="M725" s="467"/>
      <c r="N725" s="504"/>
      <c r="O725" s="468"/>
      <c r="P725" s="616"/>
      <c r="Q725" s="635"/>
      <c r="R725" s="636"/>
      <c r="S725" s="637"/>
      <c r="T725" s="629"/>
      <c r="U725" s="635"/>
      <c r="V725" s="636"/>
      <c r="W725" s="637"/>
      <c r="X725" s="629"/>
      <c r="Y725" s="467"/>
      <c r="Z725" s="504"/>
      <c r="AA725" s="468"/>
      <c r="AB725" s="616"/>
      <c r="AC725" s="635"/>
      <c r="AD725" s="636"/>
      <c r="AE725" s="637"/>
      <c r="AF725" s="629"/>
      <c r="AG725" s="635"/>
      <c r="AH725" s="636"/>
      <c r="AI725" s="637"/>
      <c r="AJ725" s="629"/>
      <c r="AK725" s="435"/>
      <c r="AL725" s="435"/>
      <c r="AM725" s="435"/>
      <c r="AN725" s="435"/>
      <c r="AO725" s="467"/>
      <c r="AP725" s="504"/>
      <c r="AQ725" s="468"/>
      <c r="AR725" s="616"/>
      <c r="AS725" s="630"/>
      <c r="AT725" s="630"/>
    </row>
    <row r="726">
      <c r="A726" s="467"/>
      <c r="B726" s="504"/>
      <c r="C726" s="468"/>
      <c r="D726" s="616"/>
      <c r="E726" s="467"/>
      <c r="F726" s="504"/>
      <c r="G726" s="468"/>
      <c r="H726" s="616"/>
      <c r="I726" s="467"/>
      <c r="J726" s="504"/>
      <c r="K726" s="468"/>
      <c r="L726" s="616"/>
      <c r="M726" s="467"/>
      <c r="N726" s="504"/>
      <c r="O726" s="468"/>
      <c r="P726" s="616"/>
      <c r="Q726" s="635"/>
      <c r="R726" s="636"/>
      <c r="S726" s="637"/>
      <c r="T726" s="629"/>
      <c r="U726" s="635"/>
      <c r="V726" s="636"/>
      <c r="W726" s="637"/>
      <c r="X726" s="629"/>
      <c r="Y726" s="467"/>
      <c r="Z726" s="504"/>
      <c r="AA726" s="468"/>
      <c r="AB726" s="616"/>
      <c r="AC726" s="635"/>
      <c r="AD726" s="636"/>
      <c r="AE726" s="637"/>
      <c r="AF726" s="629"/>
      <c r="AG726" s="635"/>
      <c r="AH726" s="636"/>
      <c r="AI726" s="637"/>
      <c r="AJ726" s="629"/>
      <c r="AK726" s="435"/>
      <c r="AL726" s="435"/>
      <c r="AM726" s="435"/>
      <c r="AN726" s="435"/>
      <c r="AO726" s="467"/>
      <c r="AP726" s="504"/>
      <c r="AQ726" s="468"/>
      <c r="AR726" s="616"/>
      <c r="AS726" s="630"/>
      <c r="AT726" s="630"/>
    </row>
    <row r="727">
      <c r="A727" s="467"/>
      <c r="B727" s="504"/>
      <c r="C727" s="468"/>
      <c r="D727" s="616"/>
      <c r="E727" s="467"/>
      <c r="F727" s="504"/>
      <c r="G727" s="468"/>
      <c r="H727" s="616"/>
      <c r="I727" s="467"/>
      <c r="J727" s="504"/>
      <c r="K727" s="468"/>
      <c r="L727" s="616"/>
      <c r="M727" s="467"/>
      <c r="N727" s="504"/>
      <c r="O727" s="468"/>
      <c r="P727" s="616"/>
      <c r="Q727" s="635"/>
      <c r="R727" s="636"/>
      <c r="S727" s="637"/>
      <c r="T727" s="629"/>
      <c r="U727" s="635"/>
      <c r="V727" s="636"/>
      <c r="W727" s="637"/>
      <c r="X727" s="629"/>
      <c r="Y727" s="467"/>
      <c r="Z727" s="504"/>
      <c r="AA727" s="468"/>
      <c r="AB727" s="616"/>
      <c r="AC727" s="635"/>
      <c r="AD727" s="636"/>
      <c r="AE727" s="637"/>
      <c r="AF727" s="629"/>
      <c r="AG727" s="635"/>
      <c r="AH727" s="636"/>
      <c r="AI727" s="637"/>
      <c r="AJ727" s="629"/>
      <c r="AK727" s="435"/>
      <c r="AL727" s="435"/>
      <c r="AM727" s="435"/>
      <c r="AN727" s="435"/>
      <c r="AO727" s="467"/>
      <c r="AP727" s="504"/>
      <c r="AQ727" s="468"/>
      <c r="AR727" s="616"/>
      <c r="AS727" s="630"/>
      <c r="AT727" s="630"/>
    </row>
    <row r="728">
      <c r="A728" s="467"/>
      <c r="B728" s="504"/>
      <c r="C728" s="468"/>
      <c r="D728" s="616"/>
      <c r="E728" s="467"/>
      <c r="F728" s="504"/>
      <c r="G728" s="468"/>
      <c r="H728" s="616"/>
      <c r="I728" s="467"/>
      <c r="J728" s="504"/>
      <c r="K728" s="468"/>
      <c r="L728" s="616"/>
      <c r="M728" s="467"/>
      <c r="N728" s="504"/>
      <c r="O728" s="468"/>
      <c r="P728" s="616"/>
      <c r="Q728" s="635"/>
      <c r="R728" s="636"/>
      <c r="S728" s="637"/>
      <c r="T728" s="629"/>
      <c r="U728" s="635"/>
      <c r="V728" s="636"/>
      <c r="W728" s="637"/>
      <c r="X728" s="629"/>
      <c r="Y728" s="467"/>
      <c r="Z728" s="504"/>
      <c r="AA728" s="468"/>
      <c r="AB728" s="616"/>
      <c r="AC728" s="635"/>
      <c r="AD728" s="636"/>
      <c r="AE728" s="637"/>
      <c r="AF728" s="629"/>
      <c r="AG728" s="635"/>
      <c r="AH728" s="636"/>
      <c r="AI728" s="637"/>
      <c r="AJ728" s="629"/>
      <c r="AK728" s="435"/>
      <c r="AL728" s="435"/>
      <c r="AM728" s="435"/>
      <c r="AN728" s="435"/>
      <c r="AO728" s="467"/>
      <c r="AP728" s="504"/>
      <c r="AQ728" s="468"/>
      <c r="AR728" s="616"/>
      <c r="AS728" s="630"/>
      <c r="AT728" s="630"/>
    </row>
    <row r="729">
      <c r="A729" s="467"/>
      <c r="B729" s="504"/>
      <c r="C729" s="468"/>
      <c r="D729" s="616"/>
      <c r="E729" s="467"/>
      <c r="F729" s="504"/>
      <c r="G729" s="468"/>
      <c r="H729" s="616"/>
      <c r="I729" s="467"/>
      <c r="J729" s="504"/>
      <c r="K729" s="468"/>
      <c r="L729" s="616"/>
      <c r="M729" s="467"/>
      <c r="N729" s="504"/>
      <c r="O729" s="468"/>
      <c r="P729" s="616"/>
      <c r="Q729" s="635"/>
      <c r="R729" s="636"/>
      <c r="S729" s="637"/>
      <c r="T729" s="629"/>
      <c r="U729" s="635"/>
      <c r="V729" s="636"/>
      <c r="W729" s="637"/>
      <c r="X729" s="629"/>
      <c r="Y729" s="467"/>
      <c r="Z729" s="504"/>
      <c r="AA729" s="468"/>
      <c r="AB729" s="616"/>
      <c r="AC729" s="635"/>
      <c r="AD729" s="636"/>
      <c r="AE729" s="637"/>
      <c r="AF729" s="629"/>
      <c r="AG729" s="635"/>
      <c r="AH729" s="636"/>
      <c r="AI729" s="637"/>
      <c r="AJ729" s="629"/>
      <c r="AK729" s="435"/>
      <c r="AL729" s="435"/>
      <c r="AM729" s="435"/>
      <c r="AN729" s="435"/>
      <c r="AO729" s="467"/>
      <c r="AP729" s="504"/>
      <c r="AQ729" s="468"/>
      <c r="AR729" s="616"/>
      <c r="AS729" s="630"/>
      <c r="AT729" s="630"/>
    </row>
    <row r="730">
      <c r="A730" s="467"/>
      <c r="B730" s="504"/>
      <c r="C730" s="468"/>
      <c r="D730" s="616"/>
      <c r="E730" s="467"/>
      <c r="F730" s="504"/>
      <c r="G730" s="468"/>
      <c r="H730" s="616"/>
      <c r="I730" s="467"/>
      <c r="J730" s="504"/>
      <c r="K730" s="468"/>
      <c r="L730" s="616"/>
      <c r="M730" s="467"/>
      <c r="N730" s="504"/>
      <c r="O730" s="468"/>
      <c r="P730" s="616"/>
      <c r="Q730" s="635"/>
      <c r="R730" s="636"/>
      <c r="S730" s="637"/>
      <c r="T730" s="629"/>
      <c r="U730" s="635"/>
      <c r="V730" s="636"/>
      <c r="W730" s="637"/>
      <c r="X730" s="629"/>
      <c r="Y730" s="467"/>
      <c r="Z730" s="504"/>
      <c r="AA730" s="468"/>
      <c r="AB730" s="616"/>
      <c r="AC730" s="635"/>
      <c r="AD730" s="636"/>
      <c r="AE730" s="637"/>
      <c r="AF730" s="629"/>
      <c r="AG730" s="635"/>
      <c r="AH730" s="636"/>
      <c r="AI730" s="637"/>
      <c r="AJ730" s="629"/>
      <c r="AK730" s="435"/>
      <c r="AL730" s="435"/>
      <c r="AM730" s="435"/>
      <c r="AN730" s="435"/>
      <c r="AO730" s="467"/>
      <c r="AP730" s="504"/>
      <c r="AQ730" s="468"/>
      <c r="AR730" s="616"/>
      <c r="AS730" s="630"/>
      <c r="AT730" s="630"/>
    </row>
    <row r="731">
      <c r="A731" s="467"/>
      <c r="B731" s="504"/>
      <c r="C731" s="468"/>
      <c r="D731" s="616"/>
      <c r="E731" s="467"/>
      <c r="F731" s="504"/>
      <c r="G731" s="468"/>
      <c r="H731" s="616"/>
      <c r="I731" s="467"/>
      <c r="J731" s="504"/>
      <c r="K731" s="468"/>
      <c r="L731" s="616"/>
      <c r="M731" s="467"/>
      <c r="N731" s="504"/>
      <c r="O731" s="468"/>
      <c r="P731" s="616"/>
      <c r="Q731" s="635"/>
      <c r="R731" s="636"/>
      <c r="S731" s="637"/>
      <c r="T731" s="629"/>
      <c r="U731" s="635"/>
      <c r="V731" s="636"/>
      <c r="W731" s="637"/>
      <c r="X731" s="629"/>
      <c r="Y731" s="467"/>
      <c r="Z731" s="504"/>
      <c r="AA731" s="468"/>
      <c r="AB731" s="616"/>
      <c r="AC731" s="635"/>
      <c r="AD731" s="636"/>
      <c r="AE731" s="637"/>
      <c r="AF731" s="629"/>
      <c r="AG731" s="635"/>
      <c r="AH731" s="636"/>
      <c r="AI731" s="637"/>
      <c r="AJ731" s="629"/>
      <c r="AK731" s="435"/>
      <c r="AL731" s="435"/>
      <c r="AM731" s="435"/>
      <c r="AN731" s="435"/>
      <c r="AO731" s="467"/>
      <c r="AP731" s="504"/>
      <c r="AQ731" s="468"/>
      <c r="AR731" s="616"/>
      <c r="AS731" s="630"/>
      <c r="AT731" s="630"/>
    </row>
    <row r="732">
      <c r="A732" s="467"/>
      <c r="B732" s="504"/>
      <c r="C732" s="468"/>
      <c r="D732" s="616"/>
      <c r="E732" s="467"/>
      <c r="F732" s="504"/>
      <c r="G732" s="468"/>
      <c r="H732" s="616"/>
      <c r="I732" s="467"/>
      <c r="J732" s="504"/>
      <c r="K732" s="468"/>
      <c r="L732" s="616"/>
      <c r="M732" s="467"/>
      <c r="N732" s="504"/>
      <c r="O732" s="468"/>
      <c r="P732" s="616"/>
      <c r="Q732" s="635"/>
      <c r="R732" s="636"/>
      <c r="S732" s="637"/>
      <c r="T732" s="629"/>
      <c r="U732" s="635"/>
      <c r="V732" s="636"/>
      <c r="W732" s="637"/>
      <c r="X732" s="629"/>
      <c r="Y732" s="467"/>
      <c r="Z732" s="504"/>
      <c r="AA732" s="468"/>
      <c r="AB732" s="616"/>
      <c r="AC732" s="635"/>
      <c r="AD732" s="636"/>
      <c r="AE732" s="637"/>
      <c r="AF732" s="629"/>
      <c r="AG732" s="635"/>
      <c r="AH732" s="636"/>
      <c r="AI732" s="637"/>
      <c r="AJ732" s="629"/>
      <c r="AK732" s="435"/>
      <c r="AL732" s="435"/>
      <c r="AM732" s="435"/>
      <c r="AN732" s="435"/>
      <c r="AO732" s="467"/>
      <c r="AP732" s="504"/>
      <c r="AQ732" s="468"/>
      <c r="AR732" s="616"/>
      <c r="AS732" s="630"/>
      <c r="AT732" s="630"/>
    </row>
    <row r="733">
      <c r="A733" s="467"/>
      <c r="B733" s="504"/>
      <c r="C733" s="468"/>
      <c r="D733" s="616"/>
      <c r="E733" s="467"/>
      <c r="F733" s="504"/>
      <c r="G733" s="468"/>
      <c r="H733" s="616"/>
      <c r="I733" s="467"/>
      <c r="J733" s="504"/>
      <c r="K733" s="468"/>
      <c r="L733" s="616"/>
      <c r="M733" s="467"/>
      <c r="N733" s="504"/>
      <c r="O733" s="468"/>
      <c r="P733" s="616"/>
      <c r="Q733" s="635"/>
      <c r="R733" s="636"/>
      <c r="S733" s="637"/>
      <c r="T733" s="629"/>
      <c r="U733" s="635"/>
      <c r="V733" s="636"/>
      <c r="W733" s="637"/>
      <c r="X733" s="629"/>
      <c r="Y733" s="467"/>
      <c r="Z733" s="504"/>
      <c r="AA733" s="468"/>
      <c r="AB733" s="616"/>
      <c r="AC733" s="635"/>
      <c r="AD733" s="636"/>
      <c r="AE733" s="637"/>
      <c r="AF733" s="629"/>
      <c r="AG733" s="635"/>
      <c r="AH733" s="636"/>
      <c r="AI733" s="637"/>
      <c r="AJ733" s="629"/>
      <c r="AK733" s="435"/>
      <c r="AL733" s="435"/>
      <c r="AM733" s="435"/>
      <c r="AN733" s="435"/>
      <c r="AO733" s="467"/>
      <c r="AP733" s="504"/>
      <c r="AQ733" s="468"/>
      <c r="AR733" s="616"/>
      <c r="AS733" s="630"/>
      <c r="AT733" s="630"/>
    </row>
    <row r="734">
      <c r="A734" s="467"/>
      <c r="B734" s="504"/>
      <c r="C734" s="468"/>
      <c r="D734" s="616"/>
      <c r="E734" s="467"/>
      <c r="F734" s="504"/>
      <c r="G734" s="468"/>
      <c r="H734" s="616"/>
      <c r="I734" s="467"/>
      <c r="J734" s="504"/>
      <c r="K734" s="468"/>
      <c r="L734" s="616"/>
      <c r="M734" s="467"/>
      <c r="N734" s="504"/>
      <c r="O734" s="468"/>
      <c r="P734" s="616"/>
      <c r="Q734" s="635"/>
      <c r="R734" s="636"/>
      <c r="S734" s="637"/>
      <c r="T734" s="629"/>
      <c r="U734" s="635"/>
      <c r="V734" s="636"/>
      <c r="W734" s="637"/>
      <c r="X734" s="629"/>
      <c r="Y734" s="467"/>
      <c r="Z734" s="504"/>
      <c r="AA734" s="468"/>
      <c r="AB734" s="616"/>
      <c r="AC734" s="635"/>
      <c r="AD734" s="636"/>
      <c r="AE734" s="637"/>
      <c r="AF734" s="629"/>
      <c r="AG734" s="635"/>
      <c r="AH734" s="636"/>
      <c r="AI734" s="637"/>
      <c r="AJ734" s="629"/>
      <c r="AK734" s="435"/>
      <c r="AL734" s="435"/>
      <c r="AM734" s="435"/>
      <c r="AN734" s="435"/>
      <c r="AO734" s="467"/>
      <c r="AP734" s="504"/>
      <c r="AQ734" s="468"/>
      <c r="AR734" s="616"/>
      <c r="AS734" s="630"/>
      <c r="AT734" s="630"/>
    </row>
    <row r="735">
      <c r="A735" s="467"/>
      <c r="B735" s="504"/>
      <c r="C735" s="468"/>
      <c r="D735" s="616"/>
      <c r="E735" s="467"/>
      <c r="F735" s="504"/>
      <c r="G735" s="468"/>
      <c r="H735" s="616"/>
      <c r="I735" s="467"/>
      <c r="J735" s="504"/>
      <c r="K735" s="468"/>
      <c r="L735" s="616"/>
      <c r="M735" s="467"/>
      <c r="N735" s="504"/>
      <c r="O735" s="468"/>
      <c r="P735" s="616"/>
      <c r="Q735" s="635"/>
      <c r="R735" s="636"/>
      <c r="S735" s="637"/>
      <c r="T735" s="629"/>
      <c r="U735" s="635"/>
      <c r="V735" s="636"/>
      <c r="W735" s="637"/>
      <c r="X735" s="629"/>
      <c r="Y735" s="467"/>
      <c r="Z735" s="504"/>
      <c r="AA735" s="468"/>
      <c r="AB735" s="616"/>
      <c r="AC735" s="635"/>
      <c r="AD735" s="636"/>
      <c r="AE735" s="637"/>
      <c r="AF735" s="629"/>
      <c r="AG735" s="635"/>
      <c r="AH735" s="636"/>
      <c r="AI735" s="637"/>
      <c r="AJ735" s="629"/>
      <c r="AK735" s="435"/>
      <c r="AL735" s="435"/>
      <c r="AM735" s="435"/>
      <c r="AN735" s="435"/>
      <c r="AO735" s="467"/>
      <c r="AP735" s="504"/>
      <c r="AQ735" s="468"/>
      <c r="AR735" s="616"/>
      <c r="AS735" s="630"/>
      <c r="AT735" s="630"/>
    </row>
    <row r="736">
      <c r="A736" s="467"/>
      <c r="B736" s="504"/>
      <c r="C736" s="468"/>
      <c r="D736" s="616"/>
      <c r="E736" s="467"/>
      <c r="F736" s="504"/>
      <c r="G736" s="468"/>
      <c r="H736" s="616"/>
      <c r="I736" s="467"/>
      <c r="J736" s="504"/>
      <c r="K736" s="468"/>
      <c r="L736" s="616"/>
      <c r="M736" s="467"/>
      <c r="N736" s="504"/>
      <c r="O736" s="468"/>
      <c r="P736" s="616"/>
      <c r="Q736" s="635"/>
      <c r="R736" s="636"/>
      <c r="S736" s="637"/>
      <c r="T736" s="629"/>
      <c r="U736" s="635"/>
      <c r="V736" s="636"/>
      <c r="W736" s="637"/>
      <c r="X736" s="629"/>
      <c r="Y736" s="467"/>
      <c r="Z736" s="504"/>
      <c r="AA736" s="468"/>
      <c r="AB736" s="616"/>
      <c r="AC736" s="635"/>
      <c r="AD736" s="636"/>
      <c r="AE736" s="637"/>
      <c r="AF736" s="629"/>
      <c r="AG736" s="635"/>
      <c r="AH736" s="636"/>
      <c r="AI736" s="637"/>
      <c r="AJ736" s="629"/>
      <c r="AK736" s="435"/>
      <c r="AL736" s="435"/>
      <c r="AM736" s="435"/>
      <c r="AN736" s="435"/>
      <c r="AO736" s="467"/>
      <c r="AP736" s="504"/>
      <c r="AQ736" s="468"/>
      <c r="AR736" s="616"/>
      <c r="AS736" s="630"/>
      <c r="AT736" s="630"/>
    </row>
    <row r="737">
      <c r="A737" s="467"/>
      <c r="B737" s="504"/>
      <c r="C737" s="468"/>
      <c r="D737" s="616"/>
      <c r="E737" s="467"/>
      <c r="F737" s="504"/>
      <c r="G737" s="468"/>
      <c r="H737" s="616"/>
      <c r="I737" s="467"/>
      <c r="J737" s="504"/>
      <c r="K737" s="468"/>
      <c r="L737" s="616"/>
      <c r="M737" s="467"/>
      <c r="N737" s="504"/>
      <c r="O737" s="468"/>
      <c r="P737" s="616"/>
      <c r="Q737" s="635"/>
      <c r="R737" s="636"/>
      <c r="S737" s="637"/>
      <c r="T737" s="629"/>
      <c r="U737" s="635"/>
      <c r="V737" s="636"/>
      <c r="W737" s="637"/>
      <c r="X737" s="629"/>
      <c r="Y737" s="467"/>
      <c r="Z737" s="504"/>
      <c r="AA737" s="468"/>
      <c r="AB737" s="616"/>
      <c r="AC737" s="635"/>
      <c r="AD737" s="636"/>
      <c r="AE737" s="637"/>
      <c r="AF737" s="629"/>
      <c r="AG737" s="635"/>
      <c r="AH737" s="636"/>
      <c r="AI737" s="637"/>
      <c r="AJ737" s="629"/>
      <c r="AK737" s="435"/>
      <c r="AL737" s="435"/>
      <c r="AM737" s="435"/>
      <c r="AN737" s="435"/>
      <c r="AO737" s="467"/>
      <c r="AP737" s="504"/>
      <c r="AQ737" s="468"/>
      <c r="AR737" s="616"/>
      <c r="AS737" s="630"/>
      <c r="AT737" s="630"/>
    </row>
    <row r="738">
      <c r="A738" s="467"/>
      <c r="B738" s="504"/>
      <c r="C738" s="468"/>
      <c r="D738" s="616"/>
      <c r="E738" s="467"/>
      <c r="F738" s="504"/>
      <c r="G738" s="468"/>
      <c r="H738" s="616"/>
      <c r="I738" s="467"/>
      <c r="J738" s="504"/>
      <c r="K738" s="468"/>
      <c r="L738" s="616"/>
      <c r="M738" s="467"/>
      <c r="N738" s="504"/>
      <c r="O738" s="468"/>
      <c r="P738" s="616"/>
      <c r="Q738" s="635"/>
      <c r="R738" s="636"/>
      <c r="S738" s="637"/>
      <c r="T738" s="629"/>
      <c r="U738" s="635"/>
      <c r="V738" s="636"/>
      <c r="W738" s="637"/>
      <c r="X738" s="629"/>
      <c r="Y738" s="467"/>
      <c r="Z738" s="504"/>
      <c r="AA738" s="468"/>
      <c r="AB738" s="616"/>
      <c r="AC738" s="635"/>
      <c r="AD738" s="636"/>
      <c r="AE738" s="637"/>
      <c r="AF738" s="629"/>
      <c r="AG738" s="635"/>
      <c r="AH738" s="636"/>
      <c r="AI738" s="637"/>
      <c r="AJ738" s="629"/>
      <c r="AK738" s="435"/>
      <c r="AL738" s="435"/>
      <c r="AM738" s="435"/>
      <c r="AN738" s="435"/>
      <c r="AO738" s="467"/>
      <c r="AP738" s="504"/>
      <c r="AQ738" s="468"/>
      <c r="AR738" s="616"/>
      <c r="AS738" s="630"/>
      <c r="AT738" s="630"/>
    </row>
    <row r="739">
      <c r="A739" s="467"/>
      <c r="B739" s="504"/>
      <c r="C739" s="468"/>
      <c r="D739" s="616"/>
      <c r="E739" s="467"/>
      <c r="F739" s="504"/>
      <c r="G739" s="468"/>
      <c r="H739" s="616"/>
      <c r="I739" s="467"/>
      <c r="J739" s="504"/>
      <c r="K739" s="468"/>
      <c r="L739" s="616"/>
      <c r="M739" s="467"/>
      <c r="N739" s="504"/>
      <c r="O739" s="468"/>
      <c r="P739" s="616"/>
      <c r="Q739" s="635"/>
      <c r="R739" s="636"/>
      <c r="S739" s="637"/>
      <c r="T739" s="629"/>
      <c r="U739" s="635"/>
      <c r="V739" s="636"/>
      <c r="W739" s="637"/>
      <c r="X739" s="629"/>
      <c r="Y739" s="467"/>
      <c r="Z739" s="504"/>
      <c r="AA739" s="468"/>
      <c r="AB739" s="616"/>
      <c r="AC739" s="635"/>
      <c r="AD739" s="636"/>
      <c r="AE739" s="637"/>
      <c r="AF739" s="629"/>
      <c r="AG739" s="635"/>
      <c r="AH739" s="636"/>
      <c r="AI739" s="637"/>
      <c r="AJ739" s="629"/>
      <c r="AK739" s="435"/>
      <c r="AL739" s="435"/>
      <c r="AM739" s="435"/>
      <c r="AN739" s="435"/>
      <c r="AO739" s="467"/>
      <c r="AP739" s="504"/>
      <c r="AQ739" s="468"/>
      <c r="AR739" s="616"/>
      <c r="AS739" s="630"/>
      <c r="AT739" s="630"/>
    </row>
    <row r="740">
      <c r="A740" s="467"/>
      <c r="B740" s="504"/>
      <c r="C740" s="468"/>
      <c r="D740" s="616"/>
      <c r="E740" s="467"/>
      <c r="F740" s="504"/>
      <c r="G740" s="468"/>
      <c r="H740" s="616"/>
      <c r="I740" s="467"/>
      <c r="J740" s="504"/>
      <c r="K740" s="468"/>
      <c r="L740" s="616"/>
      <c r="M740" s="467"/>
      <c r="N740" s="504"/>
      <c r="O740" s="468"/>
      <c r="P740" s="616"/>
      <c r="Q740" s="635"/>
      <c r="R740" s="636"/>
      <c r="S740" s="637"/>
      <c r="T740" s="629"/>
      <c r="U740" s="635"/>
      <c r="V740" s="636"/>
      <c r="W740" s="637"/>
      <c r="X740" s="629"/>
      <c r="Y740" s="467"/>
      <c r="Z740" s="504"/>
      <c r="AA740" s="468"/>
      <c r="AB740" s="616"/>
      <c r="AC740" s="635"/>
      <c r="AD740" s="636"/>
      <c r="AE740" s="637"/>
      <c r="AF740" s="629"/>
      <c r="AG740" s="635"/>
      <c r="AH740" s="636"/>
      <c r="AI740" s="637"/>
      <c r="AJ740" s="629"/>
      <c r="AK740" s="435"/>
      <c r="AL740" s="435"/>
      <c r="AM740" s="435"/>
      <c r="AN740" s="435"/>
      <c r="AO740" s="467"/>
      <c r="AP740" s="504"/>
      <c r="AQ740" s="468"/>
      <c r="AR740" s="616"/>
      <c r="AS740" s="630"/>
      <c r="AT740" s="630"/>
    </row>
    <row r="741">
      <c r="A741" s="467"/>
      <c r="B741" s="504"/>
      <c r="C741" s="468"/>
      <c r="D741" s="616"/>
      <c r="E741" s="467"/>
      <c r="F741" s="504"/>
      <c r="G741" s="468"/>
      <c r="H741" s="616"/>
      <c r="I741" s="467"/>
      <c r="J741" s="504"/>
      <c r="K741" s="468"/>
      <c r="L741" s="616"/>
      <c r="M741" s="467"/>
      <c r="N741" s="504"/>
      <c r="O741" s="468"/>
      <c r="P741" s="616"/>
      <c r="Q741" s="635"/>
      <c r="R741" s="636"/>
      <c r="S741" s="637"/>
      <c r="T741" s="629"/>
      <c r="U741" s="635"/>
      <c r="V741" s="636"/>
      <c r="W741" s="637"/>
      <c r="X741" s="629"/>
      <c r="Y741" s="467"/>
      <c r="Z741" s="504"/>
      <c r="AA741" s="468"/>
      <c r="AB741" s="616"/>
      <c r="AC741" s="635"/>
      <c r="AD741" s="636"/>
      <c r="AE741" s="637"/>
      <c r="AF741" s="629"/>
      <c r="AG741" s="635"/>
      <c r="AH741" s="636"/>
      <c r="AI741" s="637"/>
      <c r="AJ741" s="629"/>
      <c r="AK741" s="435"/>
      <c r="AL741" s="435"/>
      <c r="AM741" s="435"/>
      <c r="AN741" s="435"/>
      <c r="AO741" s="467"/>
      <c r="AP741" s="504"/>
      <c r="AQ741" s="468"/>
      <c r="AR741" s="616"/>
      <c r="AS741" s="630"/>
      <c r="AT741" s="630"/>
    </row>
    <row r="742">
      <c r="A742" s="467"/>
      <c r="B742" s="504"/>
      <c r="C742" s="468"/>
      <c r="D742" s="616"/>
      <c r="E742" s="467"/>
      <c r="F742" s="504"/>
      <c r="G742" s="468"/>
      <c r="H742" s="616"/>
      <c r="I742" s="467"/>
      <c r="J742" s="504"/>
      <c r="K742" s="468"/>
      <c r="L742" s="616"/>
      <c r="M742" s="467"/>
      <c r="N742" s="504"/>
      <c r="O742" s="468"/>
      <c r="P742" s="616"/>
      <c r="Q742" s="635"/>
      <c r="R742" s="636"/>
      <c r="S742" s="637"/>
      <c r="T742" s="629"/>
      <c r="U742" s="635"/>
      <c r="V742" s="636"/>
      <c r="W742" s="637"/>
      <c r="X742" s="629"/>
      <c r="Y742" s="467"/>
      <c r="Z742" s="504"/>
      <c r="AA742" s="468"/>
      <c r="AB742" s="616"/>
      <c r="AC742" s="635"/>
      <c r="AD742" s="636"/>
      <c r="AE742" s="637"/>
      <c r="AF742" s="629"/>
      <c r="AG742" s="635"/>
      <c r="AH742" s="636"/>
      <c r="AI742" s="637"/>
      <c r="AJ742" s="629"/>
      <c r="AK742" s="435"/>
      <c r="AL742" s="435"/>
      <c r="AM742" s="435"/>
      <c r="AN742" s="435"/>
      <c r="AO742" s="467"/>
      <c r="AP742" s="504"/>
      <c r="AQ742" s="468"/>
      <c r="AR742" s="616"/>
      <c r="AS742" s="630"/>
      <c r="AT742" s="630"/>
    </row>
    <row r="743">
      <c r="A743" s="467"/>
      <c r="B743" s="504"/>
      <c r="C743" s="468"/>
      <c r="D743" s="616"/>
      <c r="E743" s="467"/>
      <c r="F743" s="504"/>
      <c r="G743" s="468"/>
      <c r="H743" s="616"/>
      <c r="I743" s="467"/>
      <c r="J743" s="504"/>
      <c r="K743" s="468"/>
      <c r="L743" s="616"/>
      <c r="M743" s="467"/>
      <c r="N743" s="504"/>
      <c r="O743" s="468"/>
      <c r="P743" s="616"/>
      <c r="Q743" s="635"/>
      <c r="R743" s="636"/>
      <c r="S743" s="637"/>
      <c r="T743" s="629"/>
      <c r="U743" s="635"/>
      <c r="V743" s="636"/>
      <c r="W743" s="637"/>
      <c r="X743" s="629"/>
      <c r="Y743" s="467"/>
      <c r="Z743" s="504"/>
      <c r="AA743" s="468"/>
      <c r="AB743" s="616"/>
      <c r="AC743" s="635"/>
      <c r="AD743" s="636"/>
      <c r="AE743" s="637"/>
      <c r="AF743" s="629"/>
      <c r="AG743" s="635"/>
      <c r="AH743" s="636"/>
      <c r="AI743" s="637"/>
      <c r="AJ743" s="629"/>
      <c r="AK743" s="435"/>
      <c r="AL743" s="435"/>
      <c r="AM743" s="435"/>
      <c r="AN743" s="435"/>
      <c r="AO743" s="467"/>
      <c r="AP743" s="504"/>
      <c r="AQ743" s="468"/>
      <c r="AR743" s="616"/>
      <c r="AS743" s="630"/>
      <c r="AT743" s="630"/>
    </row>
    <row r="744">
      <c r="A744" s="467"/>
      <c r="B744" s="504"/>
      <c r="C744" s="468"/>
      <c r="D744" s="616"/>
      <c r="E744" s="467"/>
      <c r="F744" s="504"/>
      <c r="G744" s="468"/>
      <c r="H744" s="616"/>
      <c r="I744" s="467"/>
      <c r="J744" s="504"/>
      <c r="K744" s="468"/>
      <c r="L744" s="616"/>
      <c r="M744" s="467"/>
      <c r="N744" s="504"/>
      <c r="O744" s="468"/>
      <c r="P744" s="616"/>
      <c r="Q744" s="635"/>
      <c r="R744" s="636"/>
      <c r="S744" s="637"/>
      <c r="T744" s="629"/>
      <c r="U744" s="635"/>
      <c r="V744" s="636"/>
      <c r="W744" s="637"/>
      <c r="X744" s="629"/>
      <c r="Y744" s="467"/>
      <c r="Z744" s="504"/>
      <c r="AA744" s="468"/>
      <c r="AB744" s="616"/>
      <c r="AC744" s="635"/>
      <c r="AD744" s="636"/>
      <c r="AE744" s="637"/>
      <c r="AF744" s="629"/>
      <c r="AG744" s="635"/>
      <c r="AH744" s="636"/>
      <c r="AI744" s="637"/>
      <c r="AJ744" s="629"/>
      <c r="AK744" s="435"/>
      <c r="AL744" s="435"/>
      <c r="AM744" s="435"/>
      <c r="AN744" s="435"/>
      <c r="AO744" s="467"/>
      <c r="AP744" s="504"/>
      <c r="AQ744" s="468"/>
      <c r="AR744" s="616"/>
      <c r="AS744" s="630"/>
      <c r="AT744" s="630"/>
    </row>
    <row r="745">
      <c r="A745" s="467"/>
      <c r="B745" s="504"/>
      <c r="C745" s="468"/>
      <c r="D745" s="616"/>
      <c r="E745" s="467"/>
      <c r="F745" s="504"/>
      <c r="G745" s="468"/>
      <c r="H745" s="616"/>
      <c r="I745" s="467"/>
      <c r="J745" s="504"/>
      <c r="K745" s="468"/>
      <c r="L745" s="616"/>
      <c r="M745" s="467"/>
      <c r="N745" s="504"/>
      <c r="O745" s="468"/>
      <c r="P745" s="616"/>
      <c r="Q745" s="635"/>
      <c r="R745" s="636"/>
      <c r="S745" s="637"/>
      <c r="T745" s="629"/>
      <c r="U745" s="635"/>
      <c r="V745" s="636"/>
      <c r="W745" s="637"/>
      <c r="X745" s="629"/>
      <c r="Y745" s="467"/>
      <c r="Z745" s="504"/>
      <c r="AA745" s="468"/>
      <c r="AB745" s="616"/>
      <c r="AC745" s="635"/>
      <c r="AD745" s="636"/>
      <c r="AE745" s="637"/>
      <c r="AF745" s="629"/>
      <c r="AG745" s="635"/>
      <c r="AH745" s="636"/>
      <c r="AI745" s="637"/>
      <c r="AJ745" s="629"/>
      <c r="AK745" s="435"/>
      <c r="AL745" s="435"/>
      <c r="AM745" s="435"/>
      <c r="AN745" s="435"/>
      <c r="AO745" s="467"/>
      <c r="AP745" s="504"/>
      <c r="AQ745" s="468"/>
      <c r="AR745" s="616"/>
      <c r="AS745" s="630"/>
      <c r="AT745" s="630"/>
    </row>
    <row r="746">
      <c r="A746" s="467"/>
      <c r="B746" s="504"/>
      <c r="C746" s="468"/>
      <c r="D746" s="616"/>
      <c r="E746" s="467"/>
      <c r="F746" s="504"/>
      <c r="G746" s="468"/>
      <c r="H746" s="616"/>
      <c r="I746" s="467"/>
      <c r="J746" s="504"/>
      <c r="K746" s="468"/>
      <c r="L746" s="616"/>
      <c r="M746" s="467"/>
      <c r="N746" s="504"/>
      <c r="O746" s="468"/>
      <c r="P746" s="616"/>
      <c r="Q746" s="635"/>
      <c r="R746" s="636"/>
      <c r="S746" s="637"/>
      <c r="T746" s="629"/>
      <c r="U746" s="635"/>
      <c r="V746" s="636"/>
      <c r="W746" s="637"/>
      <c r="X746" s="629"/>
      <c r="Y746" s="467"/>
      <c r="Z746" s="504"/>
      <c r="AA746" s="468"/>
      <c r="AB746" s="616"/>
      <c r="AC746" s="635"/>
      <c r="AD746" s="636"/>
      <c r="AE746" s="637"/>
      <c r="AF746" s="629"/>
      <c r="AG746" s="635"/>
      <c r="AH746" s="636"/>
      <c r="AI746" s="637"/>
      <c r="AJ746" s="629"/>
      <c r="AK746" s="435"/>
      <c r="AL746" s="435"/>
      <c r="AM746" s="435"/>
      <c r="AN746" s="435"/>
      <c r="AO746" s="467"/>
      <c r="AP746" s="504"/>
      <c r="AQ746" s="468"/>
      <c r="AR746" s="616"/>
      <c r="AS746" s="630"/>
      <c r="AT746" s="630"/>
    </row>
    <row r="747">
      <c r="A747" s="467"/>
      <c r="B747" s="504"/>
      <c r="C747" s="468"/>
      <c r="D747" s="616"/>
      <c r="E747" s="467"/>
      <c r="F747" s="504"/>
      <c r="G747" s="468"/>
      <c r="H747" s="616"/>
      <c r="I747" s="467"/>
      <c r="J747" s="504"/>
      <c r="K747" s="468"/>
      <c r="L747" s="616"/>
      <c r="M747" s="467"/>
      <c r="N747" s="504"/>
      <c r="O747" s="468"/>
      <c r="P747" s="616"/>
      <c r="Q747" s="635"/>
      <c r="R747" s="636"/>
      <c r="S747" s="637"/>
      <c r="T747" s="629"/>
      <c r="U747" s="635"/>
      <c r="V747" s="636"/>
      <c r="W747" s="637"/>
      <c r="X747" s="629"/>
      <c r="Y747" s="467"/>
      <c r="Z747" s="504"/>
      <c r="AA747" s="468"/>
      <c r="AB747" s="616"/>
      <c r="AC747" s="635"/>
      <c r="AD747" s="636"/>
      <c r="AE747" s="637"/>
      <c r="AF747" s="629"/>
      <c r="AG747" s="635"/>
      <c r="AH747" s="636"/>
      <c r="AI747" s="637"/>
      <c r="AJ747" s="629"/>
      <c r="AK747" s="435"/>
      <c r="AL747" s="435"/>
      <c r="AM747" s="435"/>
      <c r="AN747" s="435"/>
      <c r="AO747" s="467"/>
      <c r="AP747" s="504"/>
      <c r="AQ747" s="468"/>
      <c r="AR747" s="616"/>
      <c r="AS747" s="630"/>
      <c r="AT747" s="630"/>
    </row>
    <row r="748">
      <c r="A748" s="467"/>
      <c r="B748" s="504"/>
      <c r="C748" s="468"/>
      <c r="D748" s="616"/>
      <c r="E748" s="467"/>
      <c r="F748" s="504"/>
      <c r="G748" s="468"/>
      <c r="H748" s="616"/>
      <c r="I748" s="467"/>
      <c r="J748" s="504"/>
      <c r="K748" s="468"/>
      <c r="L748" s="616"/>
      <c r="M748" s="467"/>
      <c r="N748" s="504"/>
      <c r="O748" s="468"/>
      <c r="P748" s="616"/>
      <c r="Q748" s="635"/>
      <c r="R748" s="636"/>
      <c r="S748" s="637"/>
      <c r="T748" s="629"/>
      <c r="U748" s="635"/>
      <c r="V748" s="636"/>
      <c r="W748" s="637"/>
      <c r="X748" s="629"/>
      <c r="Y748" s="467"/>
      <c r="Z748" s="504"/>
      <c r="AA748" s="468"/>
      <c r="AB748" s="616"/>
      <c r="AC748" s="635"/>
      <c r="AD748" s="636"/>
      <c r="AE748" s="637"/>
      <c r="AF748" s="629"/>
      <c r="AG748" s="635"/>
      <c r="AH748" s="636"/>
      <c r="AI748" s="637"/>
      <c r="AJ748" s="629"/>
      <c r="AK748" s="435"/>
      <c r="AL748" s="435"/>
      <c r="AM748" s="435"/>
      <c r="AN748" s="435"/>
      <c r="AO748" s="467"/>
      <c r="AP748" s="504"/>
      <c r="AQ748" s="468"/>
      <c r="AR748" s="616"/>
      <c r="AS748" s="630"/>
      <c r="AT748" s="630"/>
    </row>
    <row r="749">
      <c r="A749" s="467"/>
      <c r="B749" s="504"/>
      <c r="C749" s="468"/>
      <c r="D749" s="616"/>
      <c r="E749" s="467"/>
      <c r="F749" s="504"/>
      <c r="G749" s="468"/>
      <c r="H749" s="616"/>
      <c r="I749" s="467"/>
      <c r="J749" s="504"/>
      <c r="K749" s="468"/>
      <c r="L749" s="616"/>
      <c r="M749" s="467"/>
      <c r="N749" s="504"/>
      <c r="O749" s="468"/>
      <c r="P749" s="616"/>
      <c r="Q749" s="635"/>
      <c r="R749" s="636"/>
      <c r="S749" s="637"/>
      <c r="T749" s="629"/>
      <c r="U749" s="635"/>
      <c r="V749" s="636"/>
      <c r="W749" s="637"/>
      <c r="X749" s="629"/>
      <c r="Y749" s="467"/>
      <c r="Z749" s="504"/>
      <c r="AA749" s="468"/>
      <c r="AB749" s="616"/>
      <c r="AC749" s="635"/>
      <c r="AD749" s="636"/>
      <c r="AE749" s="637"/>
      <c r="AF749" s="629"/>
      <c r="AG749" s="635"/>
      <c r="AH749" s="636"/>
      <c r="AI749" s="637"/>
      <c r="AJ749" s="629"/>
      <c r="AK749" s="435"/>
      <c r="AL749" s="435"/>
      <c r="AM749" s="435"/>
      <c r="AN749" s="435"/>
      <c r="AO749" s="467"/>
      <c r="AP749" s="504"/>
      <c r="AQ749" s="468"/>
      <c r="AR749" s="616"/>
      <c r="AS749" s="630"/>
      <c r="AT749" s="630"/>
    </row>
    <row r="750">
      <c r="A750" s="467"/>
      <c r="B750" s="504"/>
      <c r="C750" s="468"/>
      <c r="D750" s="616"/>
      <c r="E750" s="467"/>
      <c r="F750" s="504"/>
      <c r="G750" s="468"/>
      <c r="H750" s="616"/>
      <c r="I750" s="467"/>
      <c r="J750" s="504"/>
      <c r="K750" s="468"/>
      <c r="L750" s="616"/>
      <c r="M750" s="467"/>
      <c r="N750" s="504"/>
      <c r="O750" s="468"/>
      <c r="P750" s="616"/>
      <c r="Q750" s="635"/>
      <c r="R750" s="636"/>
      <c r="S750" s="637"/>
      <c r="T750" s="629"/>
      <c r="U750" s="635"/>
      <c r="V750" s="636"/>
      <c r="W750" s="637"/>
      <c r="X750" s="629"/>
      <c r="Y750" s="467"/>
      <c r="Z750" s="504"/>
      <c r="AA750" s="468"/>
      <c r="AB750" s="616"/>
      <c r="AC750" s="635"/>
      <c r="AD750" s="636"/>
      <c r="AE750" s="637"/>
      <c r="AF750" s="629"/>
      <c r="AG750" s="635"/>
      <c r="AH750" s="636"/>
      <c r="AI750" s="637"/>
      <c r="AJ750" s="629"/>
      <c r="AK750" s="435"/>
      <c r="AL750" s="435"/>
      <c r="AM750" s="435"/>
      <c r="AN750" s="435"/>
      <c r="AO750" s="467"/>
      <c r="AP750" s="504"/>
      <c r="AQ750" s="468"/>
      <c r="AR750" s="616"/>
      <c r="AS750" s="630"/>
      <c r="AT750" s="630"/>
    </row>
    <row r="751">
      <c r="A751" s="467"/>
      <c r="B751" s="504"/>
      <c r="C751" s="468"/>
      <c r="D751" s="616"/>
      <c r="E751" s="467"/>
      <c r="F751" s="504"/>
      <c r="G751" s="468"/>
      <c r="H751" s="616"/>
      <c r="I751" s="467"/>
      <c r="J751" s="504"/>
      <c r="K751" s="468"/>
      <c r="L751" s="616"/>
      <c r="M751" s="467"/>
      <c r="N751" s="504"/>
      <c r="O751" s="468"/>
      <c r="P751" s="616"/>
      <c r="Q751" s="635"/>
      <c r="R751" s="636"/>
      <c r="S751" s="637"/>
      <c r="T751" s="629"/>
      <c r="U751" s="635"/>
      <c r="V751" s="636"/>
      <c r="W751" s="637"/>
      <c r="X751" s="629"/>
      <c r="Y751" s="467"/>
      <c r="Z751" s="504"/>
      <c r="AA751" s="468"/>
      <c r="AB751" s="616"/>
      <c r="AC751" s="635"/>
      <c r="AD751" s="636"/>
      <c r="AE751" s="637"/>
      <c r="AF751" s="629"/>
      <c r="AG751" s="635"/>
      <c r="AH751" s="636"/>
      <c r="AI751" s="637"/>
      <c r="AJ751" s="629"/>
      <c r="AK751" s="435"/>
      <c r="AL751" s="435"/>
      <c r="AM751" s="435"/>
      <c r="AN751" s="435"/>
      <c r="AO751" s="467"/>
      <c r="AP751" s="504"/>
      <c r="AQ751" s="468"/>
      <c r="AR751" s="616"/>
      <c r="AS751" s="630"/>
      <c r="AT751" s="630"/>
    </row>
    <row r="752">
      <c r="A752" s="467"/>
      <c r="B752" s="504"/>
      <c r="C752" s="468"/>
      <c r="D752" s="616"/>
      <c r="E752" s="467"/>
      <c r="F752" s="504"/>
      <c r="G752" s="468"/>
      <c r="H752" s="616"/>
      <c r="I752" s="467"/>
      <c r="J752" s="504"/>
      <c r="K752" s="468"/>
      <c r="L752" s="616"/>
      <c r="M752" s="467"/>
      <c r="N752" s="504"/>
      <c r="O752" s="468"/>
      <c r="P752" s="616"/>
      <c r="Q752" s="635"/>
      <c r="R752" s="636"/>
      <c r="S752" s="637"/>
      <c r="T752" s="629"/>
      <c r="U752" s="635"/>
      <c r="V752" s="636"/>
      <c r="W752" s="637"/>
      <c r="X752" s="629"/>
      <c r="Y752" s="467"/>
      <c r="Z752" s="504"/>
      <c r="AA752" s="468"/>
      <c r="AB752" s="616"/>
      <c r="AC752" s="635"/>
      <c r="AD752" s="636"/>
      <c r="AE752" s="637"/>
      <c r="AF752" s="629"/>
      <c r="AG752" s="635"/>
      <c r="AH752" s="636"/>
      <c r="AI752" s="637"/>
      <c r="AJ752" s="629"/>
      <c r="AK752" s="435"/>
      <c r="AL752" s="435"/>
      <c r="AM752" s="435"/>
      <c r="AN752" s="435"/>
      <c r="AO752" s="467"/>
      <c r="AP752" s="504"/>
      <c r="AQ752" s="468"/>
      <c r="AR752" s="616"/>
      <c r="AS752" s="630"/>
      <c r="AT752" s="630"/>
    </row>
    <row r="753">
      <c r="A753" s="467"/>
      <c r="B753" s="504"/>
      <c r="C753" s="468"/>
      <c r="D753" s="616"/>
      <c r="E753" s="467"/>
      <c r="F753" s="504"/>
      <c r="G753" s="468"/>
      <c r="H753" s="616"/>
      <c r="I753" s="467"/>
      <c r="J753" s="504"/>
      <c r="K753" s="468"/>
      <c r="L753" s="616"/>
      <c r="M753" s="467"/>
      <c r="N753" s="504"/>
      <c r="O753" s="468"/>
      <c r="P753" s="616"/>
      <c r="Q753" s="635"/>
      <c r="R753" s="636"/>
      <c r="S753" s="637"/>
      <c r="T753" s="629"/>
      <c r="U753" s="635"/>
      <c r="V753" s="636"/>
      <c r="W753" s="637"/>
      <c r="X753" s="629"/>
      <c r="Y753" s="467"/>
      <c r="Z753" s="504"/>
      <c r="AA753" s="468"/>
      <c r="AB753" s="616"/>
      <c r="AC753" s="635"/>
      <c r="AD753" s="636"/>
      <c r="AE753" s="637"/>
      <c r="AF753" s="629"/>
      <c r="AG753" s="635"/>
      <c r="AH753" s="636"/>
      <c r="AI753" s="637"/>
      <c r="AJ753" s="629"/>
      <c r="AK753" s="435"/>
      <c r="AL753" s="435"/>
      <c r="AM753" s="435"/>
      <c r="AN753" s="435"/>
      <c r="AO753" s="467"/>
      <c r="AP753" s="504"/>
      <c r="AQ753" s="468"/>
      <c r="AR753" s="616"/>
      <c r="AS753" s="630"/>
      <c r="AT753" s="630"/>
    </row>
    <row r="754">
      <c r="A754" s="467"/>
      <c r="B754" s="504"/>
      <c r="C754" s="468"/>
      <c r="D754" s="616"/>
      <c r="E754" s="467"/>
      <c r="F754" s="504"/>
      <c r="G754" s="468"/>
      <c r="H754" s="616"/>
      <c r="I754" s="467"/>
      <c r="J754" s="504"/>
      <c r="K754" s="468"/>
      <c r="L754" s="616"/>
      <c r="M754" s="467"/>
      <c r="N754" s="504"/>
      <c r="O754" s="468"/>
      <c r="P754" s="616"/>
      <c r="Q754" s="635"/>
      <c r="R754" s="636"/>
      <c r="S754" s="637"/>
      <c r="T754" s="629"/>
      <c r="U754" s="635"/>
      <c r="V754" s="636"/>
      <c r="W754" s="637"/>
      <c r="X754" s="629"/>
      <c r="Y754" s="467"/>
      <c r="Z754" s="504"/>
      <c r="AA754" s="468"/>
      <c r="AB754" s="616"/>
      <c r="AC754" s="635"/>
      <c r="AD754" s="636"/>
      <c r="AE754" s="637"/>
      <c r="AF754" s="629"/>
      <c r="AG754" s="635"/>
      <c r="AH754" s="636"/>
      <c r="AI754" s="637"/>
      <c r="AJ754" s="629"/>
      <c r="AK754" s="435"/>
      <c r="AL754" s="435"/>
      <c r="AM754" s="435"/>
      <c r="AN754" s="435"/>
      <c r="AO754" s="467"/>
      <c r="AP754" s="504"/>
      <c r="AQ754" s="468"/>
      <c r="AR754" s="616"/>
      <c r="AS754" s="630"/>
      <c r="AT754" s="630"/>
    </row>
    <row r="755">
      <c r="A755" s="467"/>
      <c r="B755" s="504"/>
      <c r="C755" s="468"/>
      <c r="D755" s="616"/>
      <c r="E755" s="467"/>
      <c r="F755" s="504"/>
      <c r="G755" s="468"/>
      <c r="H755" s="616"/>
      <c r="I755" s="467"/>
      <c r="J755" s="504"/>
      <c r="K755" s="468"/>
      <c r="L755" s="616"/>
      <c r="M755" s="467"/>
      <c r="N755" s="504"/>
      <c r="O755" s="468"/>
      <c r="P755" s="616"/>
      <c r="Q755" s="635"/>
      <c r="R755" s="636"/>
      <c r="S755" s="637"/>
      <c r="T755" s="629"/>
      <c r="U755" s="635"/>
      <c r="V755" s="636"/>
      <c r="W755" s="637"/>
      <c r="X755" s="629"/>
      <c r="Y755" s="467"/>
      <c r="Z755" s="504"/>
      <c r="AA755" s="468"/>
      <c r="AB755" s="616"/>
      <c r="AC755" s="635"/>
      <c r="AD755" s="636"/>
      <c r="AE755" s="637"/>
      <c r="AF755" s="629"/>
      <c r="AG755" s="635"/>
      <c r="AH755" s="636"/>
      <c r="AI755" s="637"/>
      <c r="AJ755" s="629"/>
      <c r="AK755" s="435"/>
      <c r="AL755" s="435"/>
      <c r="AM755" s="435"/>
      <c r="AN755" s="435"/>
      <c r="AO755" s="467"/>
      <c r="AP755" s="504"/>
      <c r="AQ755" s="468"/>
      <c r="AR755" s="616"/>
      <c r="AS755" s="630"/>
      <c r="AT755" s="630"/>
    </row>
    <row r="756">
      <c r="A756" s="467"/>
      <c r="B756" s="504"/>
      <c r="C756" s="468"/>
      <c r="D756" s="616"/>
      <c r="E756" s="467"/>
      <c r="F756" s="504"/>
      <c r="G756" s="468"/>
      <c r="H756" s="616"/>
      <c r="I756" s="467"/>
      <c r="J756" s="504"/>
      <c r="K756" s="468"/>
      <c r="L756" s="616"/>
      <c r="M756" s="467"/>
      <c r="N756" s="504"/>
      <c r="O756" s="468"/>
      <c r="P756" s="616"/>
      <c r="Q756" s="635"/>
      <c r="R756" s="636"/>
      <c r="S756" s="637"/>
      <c r="T756" s="629"/>
      <c r="U756" s="635"/>
      <c r="V756" s="636"/>
      <c r="W756" s="637"/>
      <c r="X756" s="629"/>
      <c r="Y756" s="467"/>
      <c r="Z756" s="504"/>
      <c r="AA756" s="468"/>
      <c r="AB756" s="616"/>
      <c r="AC756" s="635"/>
      <c r="AD756" s="636"/>
      <c r="AE756" s="637"/>
      <c r="AF756" s="629"/>
      <c r="AG756" s="635"/>
      <c r="AH756" s="636"/>
      <c r="AI756" s="637"/>
      <c r="AJ756" s="629"/>
      <c r="AK756" s="435"/>
      <c r="AL756" s="435"/>
      <c r="AM756" s="435"/>
      <c r="AN756" s="435"/>
      <c r="AO756" s="467"/>
      <c r="AP756" s="504"/>
      <c r="AQ756" s="468"/>
      <c r="AR756" s="616"/>
      <c r="AS756" s="630"/>
      <c r="AT756" s="630"/>
    </row>
    <row r="757">
      <c r="A757" s="467"/>
      <c r="B757" s="504"/>
      <c r="C757" s="468"/>
      <c r="D757" s="616"/>
      <c r="E757" s="467"/>
      <c r="F757" s="504"/>
      <c r="G757" s="468"/>
      <c r="H757" s="616"/>
      <c r="I757" s="467"/>
      <c r="J757" s="504"/>
      <c r="K757" s="468"/>
      <c r="L757" s="616"/>
      <c r="M757" s="467"/>
      <c r="N757" s="504"/>
      <c r="O757" s="468"/>
      <c r="P757" s="616"/>
      <c r="Q757" s="635"/>
      <c r="R757" s="636"/>
      <c r="S757" s="637"/>
      <c r="T757" s="629"/>
      <c r="U757" s="635"/>
      <c r="V757" s="636"/>
      <c r="W757" s="637"/>
      <c r="X757" s="629"/>
      <c r="Y757" s="467"/>
      <c r="Z757" s="504"/>
      <c r="AA757" s="468"/>
      <c r="AB757" s="616"/>
      <c r="AC757" s="635"/>
      <c r="AD757" s="636"/>
      <c r="AE757" s="637"/>
      <c r="AF757" s="629"/>
      <c r="AG757" s="635"/>
      <c r="AH757" s="636"/>
      <c r="AI757" s="637"/>
      <c r="AJ757" s="629"/>
      <c r="AK757" s="435"/>
      <c r="AL757" s="435"/>
      <c r="AM757" s="435"/>
      <c r="AN757" s="435"/>
      <c r="AO757" s="467"/>
      <c r="AP757" s="504"/>
      <c r="AQ757" s="468"/>
      <c r="AR757" s="616"/>
      <c r="AS757" s="630"/>
      <c r="AT757" s="630"/>
    </row>
    <row r="758">
      <c r="A758" s="467"/>
      <c r="B758" s="504"/>
      <c r="C758" s="468"/>
      <c r="D758" s="616"/>
      <c r="E758" s="467"/>
      <c r="F758" s="504"/>
      <c r="G758" s="468"/>
      <c r="H758" s="616"/>
      <c r="I758" s="467"/>
      <c r="J758" s="504"/>
      <c r="K758" s="468"/>
      <c r="L758" s="616"/>
      <c r="M758" s="467"/>
      <c r="N758" s="504"/>
      <c r="O758" s="468"/>
      <c r="P758" s="616"/>
      <c r="Q758" s="635"/>
      <c r="R758" s="636"/>
      <c r="S758" s="637"/>
      <c r="T758" s="629"/>
      <c r="U758" s="635"/>
      <c r="V758" s="636"/>
      <c r="W758" s="637"/>
      <c r="X758" s="629"/>
      <c r="Y758" s="467"/>
      <c r="Z758" s="504"/>
      <c r="AA758" s="468"/>
      <c r="AB758" s="616"/>
      <c r="AC758" s="635"/>
      <c r="AD758" s="636"/>
      <c r="AE758" s="637"/>
      <c r="AF758" s="629"/>
      <c r="AG758" s="635"/>
      <c r="AH758" s="636"/>
      <c r="AI758" s="637"/>
      <c r="AJ758" s="629"/>
      <c r="AK758" s="435"/>
      <c r="AL758" s="435"/>
      <c r="AM758" s="435"/>
      <c r="AN758" s="435"/>
      <c r="AO758" s="467"/>
      <c r="AP758" s="504"/>
      <c r="AQ758" s="468"/>
      <c r="AR758" s="616"/>
      <c r="AS758" s="630"/>
      <c r="AT758" s="630"/>
    </row>
    <row r="759">
      <c r="A759" s="467"/>
      <c r="B759" s="504"/>
      <c r="C759" s="468"/>
      <c r="D759" s="616"/>
      <c r="E759" s="467"/>
      <c r="F759" s="504"/>
      <c r="G759" s="468"/>
      <c r="H759" s="616"/>
      <c r="I759" s="467"/>
      <c r="J759" s="504"/>
      <c r="K759" s="468"/>
      <c r="L759" s="616"/>
      <c r="M759" s="467"/>
      <c r="N759" s="504"/>
      <c r="O759" s="468"/>
      <c r="P759" s="616"/>
      <c r="Q759" s="635"/>
      <c r="R759" s="636"/>
      <c r="S759" s="637"/>
      <c r="T759" s="629"/>
      <c r="U759" s="635"/>
      <c r="V759" s="636"/>
      <c r="W759" s="637"/>
      <c r="X759" s="629"/>
      <c r="Y759" s="467"/>
      <c r="Z759" s="504"/>
      <c r="AA759" s="468"/>
      <c r="AB759" s="616"/>
      <c r="AC759" s="635"/>
      <c r="AD759" s="636"/>
      <c r="AE759" s="637"/>
      <c r="AF759" s="629"/>
      <c r="AG759" s="635"/>
      <c r="AH759" s="636"/>
      <c r="AI759" s="637"/>
      <c r="AJ759" s="629"/>
      <c r="AK759" s="435"/>
      <c r="AL759" s="435"/>
      <c r="AM759" s="435"/>
      <c r="AN759" s="435"/>
      <c r="AO759" s="467"/>
      <c r="AP759" s="504"/>
      <c r="AQ759" s="468"/>
      <c r="AR759" s="616"/>
      <c r="AS759" s="630"/>
      <c r="AT759" s="630"/>
    </row>
    <row r="760">
      <c r="A760" s="467"/>
      <c r="B760" s="504"/>
      <c r="C760" s="468"/>
      <c r="D760" s="616"/>
      <c r="E760" s="467"/>
      <c r="F760" s="504"/>
      <c r="G760" s="468"/>
      <c r="H760" s="616"/>
      <c r="I760" s="467"/>
      <c r="J760" s="504"/>
      <c r="K760" s="468"/>
      <c r="L760" s="616"/>
      <c r="M760" s="467"/>
      <c r="N760" s="504"/>
      <c r="O760" s="468"/>
      <c r="P760" s="616"/>
      <c r="Q760" s="635"/>
      <c r="R760" s="636"/>
      <c r="S760" s="637"/>
      <c r="T760" s="629"/>
      <c r="U760" s="635"/>
      <c r="V760" s="636"/>
      <c r="W760" s="637"/>
      <c r="X760" s="629"/>
      <c r="Y760" s="467"/>
      <c r="Z760" s="504"/>
      <c r="AA760" s="468"/>
      <c r="AB760" s="616"/>
      <c r="AC760" s="635"/>
      <c r="AD760" s="636"/>
      <c r="AE760" s="637"/>
      <c r="AF760" s="629"/>
      <c r="AG760" s="635"/>
      <c r="AH760" s="636"/>
      <c r="AI760" s="637"/>
      <c r="AJ760" s="629"/>
      <c r="AK760" s="435"/>
      <c r="AL760" s="435"/>
      <c r="AM760" s="435"/>
      <c r="AN760" s="435"/>
      <c r="AO760" s="467"/>
      <c r="AP760" s="504"/>
      <c r="AQ760" s="468"/>
      <c r="AR760" s="616"/>
      <c r="AS760" s="630"/>
      <c r="AT760" s="630"/>
    </row>
    <row r="761">
      <c r="A761" s="467"/>
      <c r="B761" s="504"/>
      <c r="C761" s="468"/>
      <c r="D761" s="616"/>
      <c r="E761" s="467"/>
      <c r="F761" s="504"/>
      <c r="G761" s="468"/>
      <c r="H761" s="616"/>
      <c r="I761" s="467"/>
      <c r="J761" s="504"/>
      <c r="K761" s="468"/>
      <c r="L761" s="616"/>
      <c r="M761" s="467"/>
      <c r="N761" s="504"/>
      <c r="O761" s="468"/>
      <c r="P761" s="616"/>
      <c r="Q761" s="635"/>
      <c r="R761" s="636"/>
      <c r="S761" s="637"/>
      <c r="T761" s="629"/>
      <c r="U761" s="635"/>
      <c r="V761" s="636"/>
      <c r="W761" s="637"/>
      <c r="X761" s="629"/>
      <c r="Y761" s="467"/>
      <c r="Z761" s="504"/>
      <c r="AA761" s="468"/>
      <c r="AB761" s="616"/>
      <c r="AC761" s="635"/>
      <c r="AD761" s="636"/>
      <c r="AE761" s="637"/>
      <c r="AF761" s="629"/>
      <c r="AG761" s="635"/>
      <c r="AH761" s="636"/>
      <c r="AI761" s="637"/>
      <c r="AJ761" s="629"/>
      <c r="AK761" s="435"/>
      <c r="AL761" s="435"/>
      <c r="AM761" s="435"/>
      <c r="AN761" s="435"/>
      <c r="AO761" s="467"/>
      <c r="AP761" s="504"/>
      <c r="AQ761" s="468"/>
      <c r="AR761" s="616"/>
      <c r="AS761" s="630"/>
      <c r="AT761" s="630"/>
    </row>
    <row r="762">
      <c r="A762" s="467"/>
      <c r="B762" s="504"/>
      <c r="C762" s="468"/>
      <c r="D762" s="616"/>
      <c r="E762" s="467"/>
      <c r="F762" s="504"/>
      <c r="G762" s="468"/>
      <c r="H762" s="616"/>
      <c r="I762" s="467"/>
      <c r="J762" s="504"/>
      <c r="K762" s="468"/>
      <c r="L762" s="616"/>
      <c r="M762" s="467"/>
      <c r="N762" s="504"/>
      <c r="O762" s="468"/>
      <c r="P762" s="616"/>
      <c r="Q762" s="635"/>
      <c r="R762" s="636"/>
      <c r="S762" s="637"/>
      <c r="T762" s="629"/>
      <c r="U762" s="635"/>
      <c r="V762" s="636"/>
      <c r="W762" s="637"/>
      <c r="X762" s="629"/>
      <c r="Y762" s="467"/>
      <c r="Z762" s="504"/>
      <c r="AA762" s="468"/>
      <c r="AB762" s="616"/>
      <c r="AC762" s="635"/>
      <c r="AD762" s="636"/>
      <c r="AE762" s="637"/>
      <c r="AF762" s="629"/>
      <c r="AG762" s="635"/>
      <c r="AH762" s="636"/>
      <c r="AI762" s="637"/>
      <c r="AJ762" s="629"/>
      <c r="AK762" s="435"/>
      <c r="AL762" s="435"/>
      <c r="AM762" s="435"/>
      <c r="AN762" s="435"/>
      <c r="AO762" s="467"/>
      <c r="AP762" s="504"/>
      <c r="AQ762" s="468"/>
      <c r="AR762" s="616"/>
      <c r="AS762" s="630"/>
      <c r="AT762" s="630"/>
    </row>
    <row r="763">
      <c r="A763" s="467"/>
      <c r="B763" s="504"/>
      <c r="C763" s="468"/>
      <c r="D763" s="616"/>
      <c r="E763" s="467"/>
      <c r="F763" s="504"/>
      <c r="G763" s="468"/>
      <c r="H763" s="616"/>
      <c r="I763" s="467"/>
      <c r="J763" s="504"/>
      <c r="K763" s="468"/>
      <c r="L763" s="616"/>
      <c r="M763" s="467"/>
      <c r="N763" s="504"/>
      <c r="O763" s="468"/>
      <c r="P763" s="616"/>
      <c r="Q763" s="635"/>
      <c r="R763" s="636"/>
      <c r="S763" s="637"/>
      <c r="T763" s="629"/>
      <c r="U763" s="635"/>
      <c r="V763" s="636"/>
      <c r="W763" s="637"/>
      <c r="X763" s="629"/>
      <c r="Y763" s="467"/>
      <c r="Z763" s="504"/>
      <c r="AA763" s="468"/>
      <c r="AB763" s="616"/>
      <c r="AC763" s="635"/>
      <c r="AD763" s="636"/>
      <c r="AE763" s="637"/>
      <c r="AF763" s="629"/>
      <c r="AG763" s="635"/>
      <c r="AH763" s="636"/>
      <c r="AI763" s="637"/>
      <c r="AJ763" s="629"/>
      <c r="AK763" s="435"/>
      <c r="AL763" s="435"/>
      <c r="AM763" s="435"/>
      <c r="AN763" s="435"/>
      <c r="AO763" s="467"/>
      <c r="AP763" s="504"/>
      <c r="AQ763" s="468"/>
      <c r="AR763" s="616"/>
      <c r="AS763" s="630"/>
      <c r="AT763" s="630"/>
    </row>
    <row r="764">
      <c r="A764" s="467"/>
      <c r="B764" s="504"/>
      <c r="C764" s="468"/>
      <c r="D764" s="616"/>
      <c r="E764" s="467"/>
      <c r="F764" s="504"/>
      <c r="G764" s="468"/>
      <c r="H764" s="616"/>
      <c r="I764" s="467"/>
      <c r="J764" s="504"/>
      <c r="K764" s="468"/>
      <c r="L764" s="616"/>
      <c r="M764" s="467"/>
      <c r="N764" s="504"/>
      <c r="O764" s="468"/>
      <c r="P764" s="616"/>
      <c r="Q764" s="635"/>
      <c r="R764" s="636"/>
      <c r="S764" s="637"/>
      <c r="T764" s="629"/>
      <c r="U764" s="635"/>
      <c r="V764" s="636"/>
      <c r="W764" s="637"/>
      <c r="X764" s="629"/>
      <c r="Y764" s="467"/>
      <c r="Z764" s="504"/>
      <c r="AA764" s="468"/>
      <c r="AB764" s="616"/>
      <c r="AC764" s="635"/>
      <c r="AD764" s="636"/>
      <c r="AE764" s="637"/>
      <c r="AF764" s="629"/>
      <c r="AG764" s="635"/>
      <c r="AH764" s="636"/>
      <c r="AI764" s="637"/>
      <c r="AJ764" s="629"/>
      <c r="AK764" s="435"/>
      <c r="AL764" s="435"/>
      <c r="AM764" s="435"/>
      <c r="AN764" s="435"/>
      <c r="AO764" s="467"/>
      <c r="AP764" s="504"/>
      <c r="AQ764" s="468"/>
      <c r="AR764" s="616"/>
      <c r="AS764" s="630"/>
      <c r="AT764" s="630"/>
    </row>
    <row r="765">
      <c r="A765" s="467"/>
      <c r="B765" s="504"/>
      <c r="C765" s="468"/>
      <c r="D765" s="616"/>
      <c r="E765" s="467"/>
      <c r="F765" s="504"/>
      <c r="G765" s="468"/>
      <c r="H765" s="616"/>
      <c r="I765" s="467"/>
      <c r="J765" s="504"/>
      <c r="K765" s="468"/>
      <c r="L765" s="616"/>
      <c r="M765" s="467"/>
      <c r="N765" s="504"/>
      <c r="O765" s="468"/>
      <c r="P765" s="616"/>
      <c r="Q765" s="635"/>
      <c r="R765" s="636"/>
      <c r="S765" s="637"/>
      <c r="T765" s="629"/>
      <c r="U765" s="635"/>
      <c r="V765" s="636"/>
      <c r="W765" s="637"/>
      <c r="X765" s="629"/>
      <c r="Y765" s="467"/>
      <c r="Z765" s="504"/>
      <c r="AA765" s="468"/>
      <c r="AB765" s="616"/>
      <c r="AC765" s="635"/>
      <c r="AD765" s="636"/>
      <c r="AE765" s="637"/>
      <c r="AF765" s="629"/>
      <c r="AG765" s="635"/>
      <c r="AH765" s="636"/>
      <c r="AI765" s="637"/>
      <c r="AJ765" s="629"/>
      <c r="AK765" s="435"/>
      <c r="AL765" s="435"/>
      <c r="AM765" s="435"/>
      <c r="AN765" s="435"/>
      <c r="AO765" s="467"/>
      <c r="AP765" s="504"/>
      <c r="AQ765" s="468"/>
      <c r="AR765" s="616"/>
      <c r="AS765" s="630"/>
      <c r="AT765" s="630"/>
    </row>
    <row r="766">
      <c r="A766" s="467"/>
      <c r="B766" s="504"/>
      <c r="C766" s="468"/>
      <c r="D766" s="616"/>
      <c r="E766" s="467"/>
      <c r="F766" s="504"/>
      <c r="G766" s="468"/>
      <c r="H766" s="616"/>
      <c r="I766" s="467"/>
      <c r="J766" s="504"/>
      <c r="K766" s="468"/>
      <c r="L766" s="616"/>
      <c r="M766" s="467"/>
      <c r="N766" s="504"/>
      <c r="O766" s="468"/>
      <c r="P766" s="616"/>
      <c r="Q766" s="635"/>
      <c r="R766" s="636"/>
      <c r="S766" s="637"/>
      <c r="T766" s="629"/>
      <c r="U766" s="635"/>
      <c r="V766" s="636"/>
      <c r="W766" s="637"/>
      <c r="X766" s="629"/>
      <c r="Y766" s="467"/>
      <c r="Z766" s="504"/>
      <c r="AA766" s="468"/>
      <c r="AB766" s="616"/>
      <c r="AC766" s="635"/>
      <c r="AD766" s="636"/>
      <c r="AE766" s="637"/>
      <c r="AF766" s="629"/>
      <c r="AG766" s="635"/>
      <c r="AH766" s="636"/>
      <c r="AI766" s="637"/>
      <c r="AJ766" s="629"/>
      <c r="AK766" s="435"/>
      <c r="AL766" s="435"/>
      <c r="AM766" s="435"/>
      <c r="AN766" s="435"/>
      <c r="AO766" s="467"/>
      <c r="AP766" s="504"/>
      <c r="AQ766" s="468"/>
      <c r="AR766" s="616"/>
      <c r="AS766" s="630"/>
      <c r="AT766" s="630"/>
    </row>
    <row r="767">
      <c r="A767" s="467"/>
      <c r="B767" s="504"/>
      <c r="C767" s="468"/>
      <c r="D767" s="616"/>
      <c r="E767" s="467"/>
      <c r="F767" s="504"/>
      <c r="G767" s="468"/>
      <c r="H767" s="616"/>
      <c r="I767" s="467"/>
      <c r="J767" s="504"/>
      <c r="K767" s="468"/>
      <c r="L767" s="616"/>
      <c r="M767" s="467"/>
      <c r="N767" s="504"/>
      <c r="O767" s="468"/>
      <c r="P767" s="616"/>
      <c r="Q767" s="635"/>
      <c r="R767" s="636"/>
      <c r="S767" s="637"/>
      <c r="T767" s="629"/>
      <c r="U767" s="635"/>
      <c r="V767" s="636"/>
      <c r="W767" s="637"/>
      <c r="X767" s="629"/>
      <c r="Y767" s="467"/>
      <c r="Z767" s="504"/>
      <c r="AA767" s="468"/>
      <c r="AB767" s="616"/>
      <c r="AC767" s="635"/>
      <c r="AD767" s="636"/>
      <c r="AE767" s="637"/>
      <c r="AF767" s="629"/>
      <c r="AG767" s="635"/>
      <c r="AH767" s="636"/>
      <c r="AI767" s="637"/>
      <c r="AJ767" s="629"/>
      <c r="AK767" s="435"/>
      <c r="AL767" s="435"/>
      <c r="AM767" s="435"/>
      <c r="AN767" s="435"/>
      <c r="AO767" s="467"/>
      <c r="AP767" s="504"/>
      <c r="AQ767" s="468"/>
      <c r="AR767" s="616"/>
      <c r="AS767" s="630"/>
      <c r="AT767" s="630"/>
    </row>
    <row r="768">
      <c r="A768" s="467"/>
      <c r="B768" s="504"/>
      <c r="C768" s="468"/>
      <c r="D768" s="616"/>
      <c r="E768" s="467"/>
      <c r="F768" s="504"/>
      <c r="G768" s="468"/>
      <c r="H768" s="616"/>
      <c r="I768" s="467"/>
      <c r="J768" s="504"/>
      <c r="K768" s="468"/>
      <c r="L768" s="616"/>
      <c r="M768" s="467"/>
      <c r="N768" s="504"/>
      <c r="O768" s="468"/>
      <c r="P768" s="616"/>
      <c r="Q768" s="635"/>
      <c r="R768" s="636"/>
      <c r="S768" s="637"/>
      <c r="T768" s="629"/>
      <c r="U768" s="635"/>
      <c r="V768" s="636"/>
      <c r="W768" s="637"/>
      <c r="X768" s="629"/>
      <c r="Y768" s="467"/>
      <c r="Z768" s="504"/>
      <c r="AA768" s="468"/>
      <c r="AB768" s="616"/>
      <c r="AC768" s="635"/>
      <c r="AD768" s="636"/>
      <c r="AE768" s="637"/>
      <c r="AF768" s="629"/>
      <c r="AG768" s="635"/>
      <c r="AH768" s="636"/>
      <c r="AI768" s="637"/>
      <c r="AJ768" s="629"/>
      <c r="AK768" s="435"/>
      <c r="AL768" s="435"/>
      <c r="AM768" s="435"/>
      <c r="AN768" s="435"/>
      <c r="AO768" s="467"/>
      <c r="AP768" s="504"/>
      <c r="AQ768" s="468"/>
      <c r="AR768" s="616"/>
      <c r="AS768" s="630"/>
      <c r="AT768" s="630"/>
    </row>
    <row r="769">
      <c r="A769" s="467"/>
      <c r="B769" s="504"/>
      <c r="C769" s="468"/>
      <c r="D769" s="616"/>
      <c r="E769" s="467"/>
      <c r="F769" s="504"/>
      <c r="G769" s="468"/>
      <c r="H769" s="616"/>
      <c r="I769" s="467"/>
      <c r="J769" s="504"/>
      <c r="K769" s="468"/>
      <c r="L769" s="616"/>
      <c r="M769" s="467"/>
      <c r="N769" s="504"/>
      <c r="O769" s="468"/>
      <c r="P769" s="616"/>
      <c r="Q769" s="635"/>
      <c r="R769" s="636"/>
      <c r="S769" s="637"/>
      <c r="T769" s="629"/>
      <c r="U769" s="635"/>
      <c r="V769" s="636"/>
      <c r="W769" s="637"/>
      <c r="X769" s="629"/>
      <c r="Y769" s="467"/>
      <c r="Z769" s="504"/>
      <c r="AA769" s="468"/>
      <c r="AB769" s="616"/>
      <c r="AC769" s="635"/>
      <c r="AD769" s="636"/>
      <c r="AE769" s="637"/>
      <c r="AF769" s="629"/>
      <c r="AG769" s="635"/>
      <c r="AH769" s="636"/>
      <c r="AI769" s="637"/>
      <c r="AJ769" s="629"/>
      <c r="AK769" s="435"/>
      <c r="AL769" s="435"/>
      <c r="AM769" s="435"/>
      <c r="AN769" s="435"/>
      <c r="AO769" s="467"/>
      <c r="AP769" s="504"/>
      <c r="AQ769" s="468"/>
      <c r="AR769" s="616"/>
      <c r="AS769" s="630"/>
      <c r="AT769" s="630"/>
    </row>
    <row r="770">
      <c r="A770" s="467"/>
      <c r="B770" s="504"/>
      <c r="C770" s="468"/>
      <c r="D770" s="616"/>
      <c r="E770" s="467"/>
      <c r="F770" s="504"/>
      <c r="G770" s="468"/>
      <c r="H770" s="616"/>
      <c r="I770" s="467"/>
      <c r="J770" s="504"/>
      <c r="K770" s="468"/>
      <c r="L770" s="616"/>
      <c r="M770" s="467"/>
      <c r="N770" s="504"/>
      <c r="O770" s="468"/>
      <c r="P770" s="616"/>
      <c r="Q770" s="635"/>
      <c r="R770" s="636"/>
      <c r="S770" s="637"/>
      <c r="T770" s="629"/>
      <c r="U770" s="635"/>
      <c r="V770" s="636"/>
      <c r="W770" s="637"/>
      <c r="X770" s="629"/>
      <c r="Y770" s="467"/>
      <c r="Z770" s="504"/>
      <c r="AA770" s="468"/>
      <c r="AB770" s="616"/>
      <c r="AC770" s="635"/>
      <c r="AD770" s="636"/>
      <c r="AE770" s="637"/>
      <c r="AF770" s="629"/>
      <c r="AG770" s="635"/>
      <c r="AH770" s="636"/>
      <c r="AI770" s="637"/>
      <c r="AJ770" s="629"/>
      <c r="AK770" s="435"/>
      <c r="AL770" s="435"/>
      <c r="AM770" s="435"/>
      <c r="AN770" s="435"/>
      <c r="AO770" s="467"/>
      <c r="AP770" s="504"/>
      <c r="AQ770" s="468"/>
      <c r="AR770" s="616"/>
      <c r="AS770" s="630"/>
      <c r="AT770" s="630"/>
    </row>
    <row r="771">
      <c r="A771" s="467"/>
      <c r="B771" s="504"/>
      <c r="C771" s="468"/>
      <c r="D771" s="616"/>
      <c r="E771" s="467"/>
      <c r="F771" s="504"/>
      <c r="G771" s="468"/>
      <c r="H771" s="616"/>
      <c r="I771" s="467"/>
      <c r="J771" s="504"/>
      <c r="K771" s="468"/>
      <c r="L771" s="616"/>
      <c r="M771" s="467"/>
      <c r="N771" s="504"/>
      <c r="O771" s="468"/>
      <c r="P771" s="616"/>
      <c r="Q771" s="635"/>
      <c r="R771" s="636"/>
      <c r="S771" s="637"/>
      <c r="T771" s="629"/>
      <c r="U771" s="635"/>
      <c r="V771" s="636"/>
      <c r="W771" s="637"/>
      <c r="X771" s="629"/>
      <c r="Y771" s="467"/>
      <c r="Z771" s="504"/>
      <c r="AA771" s="468"/>
      <c r="AB771" s="616"/>
      <c r="AC771" s="635"/>
      <c r="AD771" s="636"/>
      <c r="AE771" s="637"/>
      <c r="AF771" s="629"/>
      <c r="AG771" s="635"/>
      <c r="AH771" s="636"/>
      <c r="AI771" s="637"/>
      <c r="AJ771" s="629"/>
      <c r="AK771" s="435"/>
      <c r="AL771" s="435"/>
      <c r="AM771" s="435"/>
      <c r="AN771" s="435"/>
      <c r="AO771" s="467"/>
      <c r="AP771" s="504"/>
      <c r="AQ771" s="468"/>
      <c r="AR771" s="616"/>
      <c r="AS771" s="630"/>
      <c r="AT771" s="630"/>
    </row>
    <row r="772">
      <c r="A772" s="467"/>
      <c r="B772" s="504"/>
      <c r="C772" s="468"/>
      <c r="D772" s="616"/>
      <c r="E772" s="467"/>
      <c r="F772" s="504"/>
      <c r="G772" s="468"/>
      <c r="H772" s="616"/>
      <c r="I772" s="467"/>
      <c r="J772" s="504"/>
      <c r="K772" s="468"/>
      <c r="L772" s="616"/>
      <c r="M772" s="467"/>
      <c r="N772" s="504"/>
      <c r="O772" s="468"/>
      <c r="P772" s="616"/>
      <c r="Q772" s="635"/>
      <c r="R772" s="636"/>
      <c r="S772" s="637"/>
      <c r="T772" s="629"/>
      <c r="U772" s="635"/>
      <c r="V772" s="636"/>
      <c r="W772" s="637"/>
      <c r="X772" s="629"/>
      <c r="Y772" s="467"/>
      <c r="Z772" s="504"/>
      <c r="AA772" s="468"/>
      <c r="AB772" s="616"/>
      <c r="AC772" s="635"/>
      <c r="AD772" s="636"/>
      <c r="AE772" s="637"/>
      <c r="AF772" s="629"/>
      <c r="AG772" s="635"/>
      <c r="AH772" s="636"/>
      <c r="AI772" s="637"/>
      <c r="AJ772" s="629"/>
      <c r="AK772" s="435"/>
      <c r="AL772" s="435"/>
      <c r="AM772" s="435"/>
      <c r="AN772" s="435"/>
      <c r="AO772" s="467"/>
      <c r="AP772" s="504"/>
      <c r="AQ772" s="468"/>
      <c r="AR772" s="616"/>
      <c r="AS772" s="630"/>
      <c r="AT772" s="630"/>
    </row>
    <row r="773">
      <c r="A773" s="467"/>
      <c r="B773" s="504"/>
      <c r="C773" s="468"/>
      <c r="D773" s="616"/>
      <c r="E773" s="467"/>
      <c r="F773" s="504"/>
      <c r="G773" s="468"/>
      <c r="H773" s="616"/>
      <c r="I773" s="467"/>
      <c r="J773" s="504"/>
      <c r="K773" s="468"/>
      <c r="L773" s="616"/>
      <c r="M773" s="467"/>
      <c r="N773" s="504"/>
      <c r="O773" s="468"/>
      <c r="P773" s="616"/>
      <c r="Q773" s="635"/>
      <c r="R773" s="636"/>
      <c r="S773" s="637"/>
      <c r="T773" s="629"/>
      <c r="U773" s="635"/>
      <c r="V773" s="636"/>
      <c r="W773" s="637"/>
      <c r="X773" s="629"/>
      <c r="Y773" s="467"/>
      <c r="Z773" s="504"/>
      <c r="AA773" s="468"/>
      <c r="AB773" s="616"/>
      <c r="AC773" s="635"/>
      <c r="AD773" s="636"/>
      <c r="AE773" s="637"/>
      <c r="AF773" s="629"/>
      <c r="AG773" s="635"/>
      <c r="AH773" s="636"/>
      <c r="AI773" s="637"/>
      <c r="AJ773" s="629"/>
      <c r="AK773" s="435"/>
      <c r="AL773" s="435"/>
      <c r="AM773" s="435"/>
      <c r="AN773" s="435"/>
      <c r="AO773" s="467"/>
      <c r="AP773" s="504"/>
      <c r="AQ773" s="468"/>
      <c r="AR773" s="616"/>
      <c r="AS773" s="630"/>
      <c r="AT773" s="630"/>
    </row>
    <row r="774">
      <c r="A774" s="467"/>
      <c r="B774" s="504"/>
      <c r="C774" s="468"/>
      <c r="D774" s="616"/>
      <c r="E774" s="467"/>
      <c r="F774" s="504"/>
      <c r="G774" s="468"/>
      <c r="H774" s="616"/>
      <c r="I774" s="467"/>
      <c r="J774" s="504"/>
      <c r="K774" s="468"/>
      <c r="L774" s="616"/>
      <c r="M774" s="467"/>
      <c r="N774" s="504"/>
      <c r="O774" s="468"/>
      <c r="P774" s="616"/>
      <c r="Q774" s="635"/>
      <c r="R774" s="636"/>
      <c r="S774" s="637"/>
      <c r="T774" s="629"/>
      <c r="U774" s="635"/>
      <c r="V774" s="636"/>
      <c r="W774" s="637"/>
      <c r="X774" s="629"/>
      <c r="Y774" s="467"/>
      <c r="Z774" s="504"/>
      <c r="AA774" s="468"/>
      <c r="AB774" s="616"/>
      <c r="AC774" s="635"/>
      <c r="AD774" s="636"/>
      <c r="AE774" s="637"/>
      <c r="AF774" s="629"/>
      <c r="AG774" s="635"/>
      <c r="AH774" s="636"/>
      <c r="AI774" s="637"/>
      <c r="AJ774" s="629"/>
      <c r="AK774" s="435"/>
      <c r="AL774" s="435"/>
      <c r="AM774" s="435"/>
      <c r="AN774" s="435"/>
      <c r="AO774" s="467"/>
      <c r="AP774" s="504"/>
      <c r="AQ774" s="468"/>
      <c r="AR774" s="616"/>
      <c r="AS774" s="630"/>
      <c r="AT774" s="630"/>
    </row>
    <row r="775">
      <c r="A775" s="467"/>
      <c r="B775" s="504"/>
      <c r="C775" s="468"/>
      <c r="D775" s="616"/>
      <c r="E775" s="467"/>
      <c r="F775" s="504"/>
      <c r="G775" s="468"/>
      <c r="H775" s="616"/>
      <c r="I775" s="467"/>
      <c r="J775" s="504"/>
      <c r="K775" s="468"/>
      <c r="L775" s="616"/>
      <c r="M775" s="467"/>
      <c r="N775" s="504"/>
      <c r="O775" s="468"/>
      <c r="P775" s="616"/>
      <c r="Q775" s="635"/>
      <c r="R775" s="636"/>
      <c r="S775" s="637"/>
      <c r="T775" s="629"/>
      <c r="U775" s="635"/>
      <c r="V775" s="636"/>
      <c r="W775" s="637"/>
      <c r="X775" s="629"/>
      <c r="Y775" s="467"/>
      <c r="Z775" s="504"/>
      <c r="AA775" s="468"/>
      <c r="AB775" s="616"/>
      <c r="AC775" s="635"/>
      <c r="AD775" s="636"/>
      <c r="AE775" s="637"/>
      <c r="AF775" s="629"/>
      <c r="AG775" s="635"/>
      <c r="AH775" s="636"/>
      <c r="AI775" s="637"/>
      <c r="AJ775" s="629"/>
      <c r="AK775" s="435"/>
      <c r="AL775" s="435"/>
      <c r="AM775" s="435"/>
      <c r="AN775" s="435"/>
      <c r="AO775" s="467"/>
      <c r="AP775" s="504"/>
      <c r="AQ775" s="468"/>
      <c r="AR775" s="616"/>
      <c r="AS775" s="630"/>
      <c r="AT775" s="630"/>
    </row>
    <row r="776">
      <c r="A776" s="467"/>
      <c r="B776" s="504"/>
      <c r="C776" s="468"/>
      <c r="D776" s="616"/>
      <c r="E776" s="467"/>
      <c r="F776" s="504"/>
      <c r="G776" s="468"/>
      <c r="H776" s="616"/>
      <c r="I776" s="467"/>
      <c r="J776" s="504"/>
      <c r="K776" s="468"/>
      <c r="L776" s="616"/>
      <c r="M776" s="467"/>
      <c r="N776" s="504"/>
      <c r="O776" s="468"/>
      <c r="P776" s="616"/>
      <c r="Q776" s="635"/>
      <c r="R776" s="636"/>
      <c r="S776" s="637"/>
      <c r="T776" s="629"/>
      <c r="U776" s="635"/>
      <c r="V776" s="636"/>
      <c r="W776" s="637"/>
      <c r="X776" s="629"/>
      <c r="Y776" s="467"/>
      <c r="Z776" s="504"/>
      <c r="AA776" s="468"/>
      <c r="AB776" s="616"/>
      <c r="AC776" s="635"/>
      <c r="AD776" s="636"/>
      <c r="AE776" s="637"/>
      <c r="AF776" s="629"/>
      <c r="AG776" s="635"/>
      <c r="AH776" s="636"/>
      <c r="AI776" s="637"/>
      <c r="AJ776" s="629"/>
      <c r="AK776" s="435"/>
      <c r="AL776" s="435"/>
      <c r="AM776" s="435"/>
      <c r="AN776" s="435"/>
      <c r="AO776" s="467"/>
      <c r="AP776" s="504"/>
      <c r="AQ776" s="468"/>
      <c r="AR776" s="616"/>
      <c r="AS776" s="630"/>
      <c r="AT776" s="630"/>
    </row>
    <row r="777">
      <c r="A777" s="467"/>
      <c r="B777" s="504"/>
      <c r="C777" s="468"/>
      <c r="D777" s="616"/>
      <c r="E777" s="467"/>
      <c r="F777" s="504"/>
      <c r="G777" s="468"/>
      <c r="H777" s="616"/>
      <c r="I777" s="467"/>
      <c r="J777" s="504"/>
      <c r="K777" s="468"/>
      <c r="L777" s="616"/>
      <c r="M777" s="467"/>
      <c r="N777" s="504"/>
      <c r="O777" s="468"/>
      <c r="P777" s="616"/>
      <c r="Q777" s="635"/>
      <c r="R777" s="636"/>
      <c r="S777" s="637"/>
      <c r="T777" s="629"/>
      <c r="U777" s="635"/>
      <c r="V777" s="636"/>
      <c r="W777" s="637"/>
      <c r="X777" s="629"/>
      <c r="Y777" s="467"/>
      <c r="Z777" s="504"/>
      <c r="AA777" s="468"/>
      <c r="AB777" s="616"/>
      <c r="AC777" s="635"/>
      <c r="AD777" s="636"/>
      <c r="AE777" s="637"/>
      <c r="AF777" s="629"/>
      <c r="AG777" s="635"/>
      <c r="AH777" s="636"/>
      <c r="AI777" s="637"/>
      <c r="AJ777" s="629"/>
      <c r="AK777" s="435"/>
      <c r="AL777" s="435"/>
      <c r="AM777" s="435"/>
      <c r="AN777" s="435"/>
      <c r="AO777" s="467"/>
      <c r="AP777" s="504"/>
      <c r="AQ777" s="468"/>
      <c r="AR777" s="616"/>
      <c r="AS777" s="630"/>
      <c r="AT777" s="630"/>
    </row>
    <row r="778">
      <c r="A778" s="467"/>
      <c r="B778" s="504"/>
      <c r="C778" s="468"/>
      <c r="D778" s="616"/>
      <c r="E778" s="467"/>
      <c r="F778" s="504"/>
      <c r="G778" s="468"/>
      <c r="H778" s="616"/>
      <c r="I778" s="467"/>
      <c r="J778" s="504"/>
      <c r="K778" s="468"/>
      <c r="L778" s="616"/>
      <c r="M778" s="467"/>
      <c r="N778" s="504"/>
      <c r="O778" s="468"/>
      <c r="P778" s="616"/>
      <c r="Q778" s="635"/>
      <c r="R778" s="636"/>
      <c r="S778" s="637"/>
      <c r="T778" s="629"/>
      <c r="U778" s="635"/>
      <c r="V778" s="636"/>
      <c r="W778" s="637"/>
      <c r="X778" s="629"/>
      <c r="Y778" s="467"/>
      <c r="Z778" s="504"/>
      <c r="AA778" s="468"/>
      <c r="AB778" s="616"/>
      <c r="AC778" s="635"/>
      <c r="AD778" s="636"/>
      <c r="AE778" s="637"/>
      <c r="AF778" s="629"/>
      <c r="AG778" s="635"/>
      <c r="AH778" s="636"/>
      <c r="AI778" s="637"/>
      <c r="AJ778" s="629"/>
      <c r="AK778" s="435"/>
      <c r="AL778" s="435"/>
      <c r="AM778" s="435"/>
      <c r="AN778" s="435"/>
      <c r="AO778" s="467"/>
      <c r="AP778" s="504"/>
      <c r="AQ778" s="468"/>
      <c r="AR778" s="616"/>
      <c r="AS778" s="630"/>
      <c r="AT778" s="630"/>
    </row>
    <row r="779">
      <c r="A779" s="467"/>
      <c r="B779" s="504"/>
      <c r="C779" s="468"/>
      <c r="D779" s="616"/>
      <c r="E779" s="467"/>
      <c r="F779" s="504"/>
      <c r="G779" s="468"/>
      <c r="H779" s="616"/>
      <c r="I779" s="467"/>
      <c r="J779" s="504"/>
      <c r="K779" s="468"/>
      <c r="L779" s="616"/>
      <c r="M779" s="467"/>
      <c r="N779" s="504"/>
      <c r="O779" s="468"/>
      <c r="P779" s="616"/>
      <c r="Q779" s="635"/>
      <c r="R779" s="636"/>
      <c r="S779" s="637"/>
      <c r="T779" s="629"/>
      <c r="U779" s="635"/>
      <c r="V779" s="636"/>
      <c r="W779" s="637"/>
      <c r="X779" s="629"/>
      <c r="Y779" s="467"/>
      <c r="Z779" s="504"/>
      <c r="AA779" s="468"/>
      <c r="AB779" s="616"/>
      <c r="AC779" s="635"/>
      <c r="AD779" s="636"/>
      <c r="AE779" s="637"/>
      <c r="AF779" s="629"/>
      <c r="AG779" s="635"/>
      <c r="AH779" s="636"/>
      <c r="AI779" s="637"/>
      <c r="AJ779" s="629"/>
      <c r="AK779" s="435"/>
      <c r="AL779" s="435"/>
      <c r="AM779" s="435"/>
      <c r="AN779" s="435"/>
      <c r="AO779" s="467"/>
      <c r="AP779" s="504"/>
      <c r="AQ779" s="468"/>
      <c r="AR779" s="616"/>
      <c r="AS779" s="630"/>
      <c r="AT779" s="630"/>
    </row>
    <row r="780">
      <c r="A780" s="467"/>
      <c r="B780" s="504"/>
      <c r="C780" s="468"/>
      <c r="D780" s="616"/>
      <c r="E780" s="467"/>
      <c r="F780" s="504"/>
      <c r="G780" s="468"/>
      <c r="H780" s="616"/>
      <c r="I780" s="467"/>
      <c r="J780" s="504"/>
      <c r="K780" s="468"/>
      <c r="L780" s="616"/>
      <c r="M780" s="467"/>
      <c r="N780" s="504"/>
      <c r="O780" s="468"/>
      <c r="P780" s="616"/>
      <c r="Q780" s="635"/>
      <c r="R780" s="636"/>
      <c r="S780" s="637"/>
      <c r="T780" s="629"/>
      <c r="U780" s="635"/>
      <c r="V780" s="636"/>
      <c r="W780" s="637"/>
      <c r="X780" s="629"/>
      <c r="Y780" s="467"/>
      <c r="Z780" s="504"/>
      <c r="AA780" s="468"/>
      <c r="AB780" s="616"/>
      <c r="AC780" s="635"/>
      <c r="AD780" s="636"/>
      <c r="AE780" s="637"/>
      <c r="AF780" s="629"/>
      <c r="AG780" s="635"/>
      <c r="AH780" s="636"/>
      <c r="AI780" s="637"/>
      <c r="AJ780" s="629"/>
      <c r="AK780" s="435"/>
      <c r="AL780" s="435"/>
      <c r="AM780" s="435"/>
      <c r="AN780" s="435"/>
      <c r="AO780" s="467"/>
      <c r="AP780" s="504"/>
      <c r="AQ780" s="468"/>
      <c r="AR780" s="616"/>
      <c r="AS780" s="630"/>
      <c r="AT780" s="630"/>
    </row>
    <row r="781">
      <c r="A781" s="467"/>
      <c r="B781" s="504"/>
      <c r="C781" s="468"/>
      <c r="D781" s="616"/>
      <c r="E781" s="467"/>
      <c r="F781" s="504"/>
      <c r="G781" s="468"/>
      <c r="H781" s="616"/>
      <c r="I781" s="467"/>
      <c r="J781" s="504"/>
      <c r="K781" s="468"/>
      <c r="L781" s="616"/>
      <c r="M781" s="467"/>
      <c r="N781" s="504"/>
      <c r="O781" s="468"/>
      <c r="P781" s="616"/>
      <c r="Q781" s="635"/>
      <c r="R781" s="636"/>
      <c r="S781" s="637"/>
      <c r="T781" s="629"/>
      <c r="U781" s="635"/>
      <c r="V781" s="636"/>
      <c r="W781" s="637"/>
      <c r="X781" s="629"/>
      <c r="Y781" s="467"/>
      <c r="Z781" s="504"/>
      <c r="AA781" s="468"/>
      <c r="AB781" s="616"/>
      <c r="AC781" s="635"/>
      <c r="AD781" s="636"/>
      <c r="AE781" s="637"/>
      <c r="AF781" s="629"/>
      <c r="AG781" s="635"/>
      <c r="AH781" s="636"/>
      <c r="AI781" s="637"/>
      <c r="AJ781" s="629"/>
      <c r="AK781" s="435"/>
      <c r="AL781" s="435"/>
      <c r="AM781" s="435"/>
      <c r="AN781" s="435"/>
      <c r="AO781" s="467"/>
      <c r="AP781" s="504"/>
      <c r="AQ781" s="468"/>
      <c r="AR781" s="616"/>
      <c r="AS781" s="630"/>
      <c r="AT781" s="630"/>
    </row>
    <row r="782">
      <c r="A782" s="467"/>
      <c r="B782" s="504"/>
      <c r="C782" s="468"/>
      <c r="D782" s="616"/>
      <c r="E782" s="467"/>
      <c r="F782" s="504"/>
      <c r="G782" s="468"/>
      <c r="H782" s="616"/>
      <c r="I782" s="467"/>
      <c r="J782" s="504"/>
      <c r="K782" s="468"/>
      <c r="L782" s="616"/>
      <c r="M782" s="467"/>
      <c r="N782" s="504"/>
      <c r="O782" s="468"/>
      <c r="P782" s="616"/>
      <c r="Q782" s="635"/>
      <c r="R782" s="636"/>
      <c r="S782" s="637"/>
      <c r="T782" s="629"/>
      <c r="U782" s="635"/>
      <c r="V782" s="636"/>
      <c r="W782" s="637"/>
      <c r="X782" s="629"/>
      <c r="Y782" s="467"/>
      <c r="Z782" s="504"/>
      <c r="AA782" s="468"/>
      <c r="AB782" s="616"/>
      <c r="AC782" s="635"/>
      <c r="AD782" s="636"/>
      <c r="AE782" s="637"/>
      <c r="AF782" s="629"/>
      <c r="AG782" s="635"/>
      <c r="AH782" s="636"/>
      <c r="AI782" s="637"/>
      <c r="AJ782" s="629"/>
      <c r="AK782" s="435"/>
      <c r="AL782" s="435"/>
      <c r="AM782" s="435"/>
      <c r="AN782" s="435"/>
      <c r="AO782" s="467"/>
      <c r="AP782" s="504"/>
      <c r="AQ782" s="468"/>
      <c r="AR782" s="616"/>
      <c r="AS782" s="630"/>
      <c r="AT782" s="630"/>
    </row>
    <row r="783">
      <c r="A783" s="467"/>
      <c r="B783" s="504"/>
      <c r="C783" s="468"/>
      <c r="D783" s="616"/>
      <c r="E783" s="467"/>
      <c r="F783" s="504"/>
      <c r="G783" s="468"/>
      <c r="H783" s="616"/>
      <c r="I783" s="467"/>
      <c r="J783" s="504"/>
      <c r="K783" s="468"/>
      <c r="L783" s="616"/>
      <c r="M783" s="467"/>
      <c r="N783" s="504"/>
      <c r="O783" s="468"/>
      <c r="P783" s="616"/>
      <c r="Q783" s="635"/>
      <c r="R783" s="636"/>
      <c r="S783" s="637"/>
      <c r="T783" s="629"/>
      <c r="U783" s="635"/>
      <c r="V783" s="636"/>
      <c r="W783" s="637"/>
      <c r="X783" s="629"/>
      <c r="Y783" s="467"/>
      <c r="Z783" s="504"/>
      <c r="AA783" s="468"/>
      <c r="AB783" s="616"/>
      <c r="AC783" s="635"/>
      <c r="AD783" s="636"/>
      <c r="AE783" s="637"/>
      <c r="AF783" s="629"/>
      <c r="AG783" s="635"/>
      <c r="AH783" s="636"/>
      <c r="AI783" s="637"/>
      <c r="AJ783" s="629"/>
      <c r="AK783" s="435"/>
      <c r="AL783" s="435"/>
      <c r="AM783" s="435"/>
      <c r="AN783" s="435"/>
      <c r="AO783" s="467"/>
      <c r="AP783" s="504"/>
      <c r="AQ783" s="468"/>
      <c r="AR783" s="616"/>
      <c r="AS783" s="630"/>
      <c r="AT783" s="630"/>
    </row>
    <row r="784">
      <c r="A784" s="467"/>
      <c r="B784" s="504"/>
      <c r="C784" s="468"/>
      <c r="D784" s="616"/>
      <c r="E784" s="467"/>
      <c r="F784" s="504"/>
      <c r="G784" s="468"/>
      <c r="H784" s="616"/>
      <c r="I784" s="467"/>
      <c r="J784" s="504"/>
      <c r="K784" s="468"/>
      <c r="L784" s="616"/>
      <c r="M784" s="467"/>
      <c r="N784" s="504"/>
      <c r="O784" s="468"/>
      <c r="P784" s="616"/>
      <c r="Q784" s="635"/>
      <c r="R784" s="636"/>
      <c r="S784" s="637"/>
      <c r="T784" s="629"/>
      <c r="U784" s="635"/>
      <c r="V784" s="636"/>
      <c r="W784" s="637"/>
      <c r="X784" s="629"/>
      <c r="Y784" s="467"/>
      <c r="Z784" s="504"/>
      <c r="AA784" s="468"/>
      <c r="AB784" s="616"/>
      <c r="AC784" s="635"/>
      <c r="AD784" s="636"/>
      <c r="AE784" s="637"/>
      <c r="AF784" s="629"/>
      <c r="AG784" s="635"/>
      <c r="AH784" s="636"/>
      <c r="AI784" s="637"/>
      <c r="AJ784" s="629"/>
      <c r="AK784" s="435"/>
      <c r="AL784" s="435"/>
      <c r="AM784" s="435"/>
      <c r="AN784" s="435"/>
      <c r="AO784" s="467"/>
      <c r="AP784" s="504"/>
      <c r="AQ784" s="468"/>
      <c r="AR784" s="616"/>
      <c r="AS784" s="630"/>
      <c r="AT784" s="630"/>
    </row>
    <row r="785">
      <c r="A785" s="467"/>
      <c r="B785" s="504"/>
      <c r="C785" s="468"/>
      <c r="D785" s="616"/>
      <c r="E785" s="467"/>
      <c r="F785" s="504"/>
      <c r="G785" s="468"/>
      <c r="H785" s="616"/>
      <c r="I785" s="467"/>
      <c r="J785" s="504"/>
      <c r="K785" s="468"/>
      <c r="L785" s="616"/>
      <c r="M785" s="467"/>
      <c r="N785" s="504"/>
      <c r="O785" s="468"/>
      <c r="P785" s="616"/>
      <c r="Q785" s="635"/>
      <c r="R785" s="636"/>
      <c r="S785" s="637"/>
      <c r="T785" s="629"/>
      <c r="U785" s="635"/>
      <c r="V785" s="636"/>
      <c r="W785" s="637"/>
      <c r="X785" s="629"/>
      <c r="Y785" s="467"/>
      <c r="Z785" s="504"/>
      <c r="AA785" s="468"/>
      <c r="AB785" s="616"/>
      <c r="AC785" s="635"/>
      <c r="AD785" s="636"/>
      <c r="AE785" s="637"/>
      <c r="AF785" s="629"/>
      <c r="AG785" s="635"/>
      <c r="AH785" s="636"/>
      <c r="AI785" s="637"/>
      <c r="AJ785" s="629"/>
      <c r="AK785" s="435"/>
      <c r="AL785" s="435"/>
      <c r="AM785" s="435"/>
      <c r="AN785" s="435"/>
      <c r="AO785" s="467"/>
      <c r="AP785" s="504"/>
      <c r="AQ785" s="468"/>
      <c r="AR785" s="616"/>
      <c r="AS785" s="630"/>
      <c r="AT785" s="630"/>
    </row>
    <row r="786">
      <c r="A786" s="467"/>
      <c r="B786" s="504"/>
      <c r="C786" s="468"/>
      <c r="D786" s="616"/>
      <c r="E786" s="467"/>
      <c r="F786" s="504"/>
      <c r="G786" s="468"/>
      <c r="H786" s="616"/>
      <c r="I786" s="467"/>
      <c r="J786" s="504"/>
      <c r="K786" s="468"/>
      <c r="L786" s="616"/>
      <c r="M786" s="467"/>
      <c r="N786" s="504"/>
      <c r="O786" s="468"/>
      <c r="P786" s="616"/>
      <c r="Q786" s="635"/>
      <c r="R786" s="636"/>
      <c r="S786" s="637"/>
      <c r="T786" s="629"/>
      <c r="U786" s="635"/>
      <c r="V786" s="636"/>
      <c r="W786" s="637"/>
      <c r="X786" s="629"/>
      <c r="Y786" s="467"/>
      <c r="Z786" s="504"/>
      <c r="AA786" s="468"/>
      <c r="AB786" s="616"/>
      <c r="AC786" s="635"/>
      <c r="AD786" s="636"/>
      <c r="AE786" s="637"/>
      <c r="AF786" s="629"/>
      <c r="AG786" s="635"/>
      <c r="AH786" s="636"/>
      <c r="AI786" s="637"/>
      <c r="AJ786" s="629"/>
      <c r="AK786" s="435"/>
      <c r="AL786" s="435"/>
      <c r="AM786" s="435"/>
      <c r="AN786" s="435"/>
      <c r="AO786" s="467"/>
      <c r="AP786" s="504"/>
      <c r="AQ786" s="468"/>
      <c r="AR786" s="616"/>
      <c r="AS786" s="630"/>
      <c r="AT786" s="630"/>
    </row>
    <row r="787">
      <c r="A787" s="467"/>
      <c r="B787" s="504"/>
      <c r="C787" s="468"/>
      <c r="D787" s="616"/>
      <c r="E787" s="467"/>
      <c r="F787" s="504"/>
      <c r="G787" s="468"/>
      <c r="H787" s="616"/>
      <c r="I787" s="467"/>
      <c r="J787" s="504"/>
      <c r="K787" s="468"/>
      <c r="L787" s="616"/>
      <c r="M787" s="467"/>
      <c r="N787" s="504"/>
      <c r="O787" s="468"/>
      <c r="P787" s="616"/>
      <c r="Q787" s="635"/>
      <c r="R787" s="636"/>
      <c r="S787" s="637"/>
      <c r="T787" s="629"/>
      <c r="U787" s="635"/>
      <c r="V787" s="636"/>
      <c r="W787" s="637"/>
      <c r="X787" s="629"/>
      <c r="Y787" s="467"/>
      <c r="Z787" s="504"/>
      <c r="AA787" s="468"/>
      <c r="AB787" s="616"/>
      <c r="AC787" s="635"/>
      <c r="AD787" s="636"/>
      <c r="AE787" s="637"/>
      <c r="AF787" s="629"/>
      <c r="AG787" s="635"/>
      <c r="AH787" s="636"/>
      <c r="AI787" s="637"/>
      <c r="AJ787" s="629"/>
      <c r="AK787" s="435"/>
      <c r="AL787" s="435"/>
      <c r="AM787" s="435"/>
      <c r="AN787" s="435"/>
      <c r="AO787" s="467"/>
      <c r="AP787" s="504"/>
      <c r="AQ787" s="468"/>
      <c r="AR787" s="616"/>
      <c r="AS787" s="630"/>
      <c r="AT787" s="630"/>
    </row>
    <row r="788">
      <c r="A788" s="467"/>
      <c r="B788" s="504"/>
      <c r="C788" s="468"/>
      <c r="D788" s="616"/>
      <c r="E788" s="467"/>
      <c r="F788" s="504"/>
      <c r="G788" s="468"/>
      <c r="H788" s="616"/>
      <c r="I788" s="467"/>
      <c r="J788" s="504"/>
      <c r="K788" s="468"/>
      <c r="L788" s="616"/>
      <c r="M788" s="467"/>
      <c r="N788" s="504"/>
      <c r="O788" s="468"/>
      <c r="P788" s="616"/>
      <c r="Q788" s="635"/>
      <c r="R788" s="636"/>
      <c r="S788" s="637"/>
      <c r="T788" s="629"/>
      <c r="U788" s="635"/>
      <c r="V788" s="636"/>
      <c r="W788" s="637"/>
      <c r="X788" s="629"/>
      <c r="Y788" s="467"/>
      <c r="Z788" s="504"/>
      <c r="AA788" s="468"/>
      <c r="AB788" s="616"/>
      <c r="AC788" s="635"/>
      <c r="AD788" s="636"/>
      <c r="AE788" s="637"/>
      <c r="AF788" s="629"/>
      <c r="AG788" s="635"/>
      <c r="AH788" s="636"/>
      <c r="AI788" s="637"/>
      <c r="AJ788" s="629"/>
      <c r="AK788" s="435"/>
      <c r="AL788" s="435"/>
      <c r="AM788" s="435"/>
      <c r="AN788" s="435"/>
      <c r="AO788" s="467"/>
      <c r="AP788" s="504"/>
      <c r="AQ788" s="468"/>
      <c r="AR788" s="616"/>
      <c r="AS788" s="630"/>
      <c r="AT788" s="630"/>
    </row>
    <row r="789">
      <c r="A789" s="467"/>
      <c r="B789" s="504"/>
      <c r="C789" s="468"/>
      <c r="D789" s="616"/>
      <c r="E789" s="467"/>
      <c r="F789" s="504"/>
      <c r="G789" s="468"/>
      <c r="H789" s="616"/>
      <c r="I789" s="467"/>
      <c r="J789" s="504"/>
      <c r="K789" s="468"/>
      <c r="L789" s="616"/>
      <c r="M789" s="467"/>
      <c r="N789" s="504"/>
      <c r="O789" s="468"/>
      <c r="P789" s="616"/>
      <c r="Q789" s="635"/>
      <c r="R789" s="636"/>
      <c r="S789" s="637"/>
      <c r="T789" s="629"/>
      <c r="U789" s="635"/>
      <c r="V789" s="636"/>
      <c r="W789" s="637"/>
      <c r="X789" s="629"/>
      <c r="Y789" s="467"/>
      <c r="Z789" s="504"/>
      <c r="AA789" s="468"/>
      <c r="AB789" s="616"/>
      <c r="AC789" s="635"/>
      <c r="AD789" s="636"/>
      <c r="AE789" s="637"/>
      <c r="AF789" s="629"/>
      <c r="AG789" s="635"/>
      <c r="AH789" s="636"/>
      <c r="AI789" s="637"/>
      <c r="AJ789" s="629"/>
      <c r="AK789" s="435"/>
      <c r="AL789" s="435"/>
      <c r="AM789" s="435"/>
      <c r="AN789" s="435"/>
      <c r="AO789" s="467"/>
      <c r="AP789" s="504"/>
      <c r="AQ789" s="468"/>
      <c r="AR789" s="616"/>
      <c r="AS789" s="630"/>
      <c r="AT789" s="630"/>
    </row>
    <row r="790">
      <c r="A790" s="467"/>
      <c r="B790" s="504"/>
      <c r="C790" s="468"/>
      <c r="D790" s="616"/>
      <c r="E790" s="467"/>
      <c r="F790" s="504"/>
      <c r="G790" s="468"/>
      <c r="H790" s="616"/>
      <c r="I790" s="467"/>
      <c r="J790" s="504"/>
      <c r="K790" s="468"/>
      <c r="L790" s="616"/>
      <c r="M790" s="467"/>
      <c r="N790" s="504"/>
      <c r="O790" s="468"/>
      <c r="P790" s="616"/>
      <c r="Q790" s="635"/>
      <c r="R790" s="636"/>
      <c r="S790" s="637"/>
      <c r="T790" s="629"/>
      <c r="U790" s="635"/>
      <c r="V790" s="636"/>
      <c r="W790" s="637"/>
      <c r="X790" s="629"/>
      <c r="Y790" s="467"/>
      <c r="Z790" s="504"/>
      <c r="AA790" s="468"/>
      <c r="AB790" s="616"/>
      <c r="AC790" s="635"/>
      <c r="AD790" s="636"/>
      <c r="AE790" s="637"/>
      <c r="AF790" s="629"/>
      <c r="AG790" s="635"/>
      <c r="AH790" s="636"/>
      <c r="AI790" s="637"/>
      <c r="AJ790" s="629"/>
      <c r="AK790" s="435"/>
      <c r="AL790" s="435"/>
      <c r="AM790" s="435"/>
      <c r="AN790" s="435"/>
      <c r="AO790" s="467"/>
      <c r="AP790" s="504"/>
      <c r="AQ790" s="468"/>
      <c r="AR790" s="616"/>
      <c r="AS790" s="630"/>
      <c r="AT790" s="630"/>
    </row>
    <row r="791">
      <c r="A791" s="467"/>
      <c r="B791" s="504"/>
      <c r="C791" s="468"/>
      <c r="D791" s="616"/>
      <c r="E791" s="467"/>
      <c r="F791" s="504"/>
      <c r="G791" s="468"/>
      <c r="H791" s="616"/>
      <c r="I791" s="467"/>
      <c r="J791" s="504"/>
      <c r="K791" s="468"/>
      <c r="L791" s="616"/>
      <c r="M791" s="467"/>
      <c r="N791" s="504"/>
      <c r="O791" s="468"/>
      <c r="P791" s="616"/>
      <c r="Q791" s="635"/>
      <c r="R791" s="636"/>
      <c r="S791" s="637"/>
      <c r="T791" s="629"/>
      <c r="U791" s="635"/>
      <c r="V791" s="636"/>
      <c r="W791" s="637"/>
      <c r="X791" s="629"/>
      <c r="Y791" s="467"/>
      <c r="Z791" s="504"/>
      <c r="AA791" s="468"/>
      <c r="AB791" s="616"/>
      <c r="AC791" s="635"/>
      <c r="AD791" s="636"/>
      <c r="AE791" s="637"/>
      <c r="AF791" s="629"/>
      <c r="AG791" s="635"/>
      <c r="AH791" s="636"/>
      <c r="AI791" s="637"/>
      <c r="AJ791" s="629"/>
      <c r="AK791" s="435"/>
      <c r="AL791" s="435"/>
      <c r="AM791" s="435"/>
      <c r="AN791" s="435"/>
      <c r="AO791" s="467"/>
      <c r="AP791" s="504"/>
      <c r="AQ791" s="468"/>
      <c r="AR791" s="616"/>
      <c r="AS791" s="630"/>
      <c r="AT791" s="630"/>
    </row>
    <row r="792">
      <c r="A792" s="467"/>
      <c r="B792" s="504"/>
      <c r="C792" s="468"/>
      <c r="D792" s="616"/>
      <c r="E792" s="467"/>
      <c r="F792" s="504"/>
      <c r="G792" s="468"/>
      <c r="H792" s="616"/>
      <c r="I792" s="467"/>
      <c r="J792" s="504"/>
      <c r="K792" s="468"/>
      <c r="L792" s="616"/>
      <c r="M792" s="467"/>
      <c r="N792" s="504"/>
      <c r="O792" s="468"/>
      <c r="P792" s="616"/>
      <c r="Q792" s="635"/>
      <c r="R792" s="636"/>
      <c r="S792" s="637"/>
      <c r="T792" s="629"/>
      <c r="U792" s="635"/>
      <c r="V792" s="636"/>
      <c r="W792" s="637"/>
      <c r="X792" s="629"/>
      <c r="Y792" s="467"/>
      <c r="Z792" s="504"/>
      <c r="AA792" s="468"/>
      <c r="AB792" s="616"/>
      <c r="AC792" s="635"/>
      <c r="AD792" s="636"/>
      <c r="AE792" s="637"/>
      <c r="AF792" s="629"/>
      <c r="AG792" s="635"/>
      <c r="AH792" s="636"/>
      <c r="AI792" s="637"/>
      <c r="AJ792" s="629"/>
      <c r="AK792" s="435"/>
      <c r="AL792" s="435"/>
      <c r="AM792" s="435"/>
      <c r="AN792" s="435"/>
      <c r="AO792" s="467"/>
      <c r="AP792" s="504"/>
      <c r="AQ792" s="468"/>
      <c r="AR792" s="616"/>
      <c r="AS792" s="630"/>
      <c r="AT792" s="630"/>
    </row>
    <row r="793">
      <c r="A793" s="467"/>
      <c r="B793" s="504"/>
      <c r="C793" s="468"/>
      <c r="D793" s="616"/>
      <c r="E793" s="467"/>
      <c r="F793" s="504"/>
      <c r="G793" s="468"/>
      <c r="H793" s="616"/>
      <c r="I793" s="467"/>
      <c r="J793" s="504"/>
      <c r="K793" s="468"/>
      <c r="L793" s="616"/>
      <c r="M793" s="467"/>
      <c r="N793" s="504"/>
      <c r="O793" s="468"/>
      <c r="P793" s="616"/>
      <c r="Q793" s="635"/>
      <c r="R793" s="636"/>
      <c r="S793" s="637"/>
      <c r="T793" s="629"/>
      <c r="U793" s="635"/>
      <c r="V793" s="636"/>
      <c r="W793" s="637"/>
      <c r="X793" s="629"/>
      <c r="Y793" s="467"/>
      <c r="Z793" s="504"/>
      <c r="AA793" s="468"/>
      <c r="AB793" s="616"/>
      <c r="AC793" s="635"/>
      <c r="AD793" s="636"/>
      <c r="AE793" s="637"/>
      <c r="AF793" s="629"/>
      <c r="AG793" s="635"/>
      <c r="AH793" s="636"/>
      <c r="AI793" s="637"/>
      <c r="AJ793" s="629"/>
      <c r="AK793" s="435"/>
      <c r="AL793" s="435"/>
      <c r="AM793" s="435"/>
      <c r="AN793" s="435"/>
      <c r="AO793" s="467"/>
      <c r="AP793" s="504"/>
      <c r="AQ793" s="468"/>
      <c r="AR793" s="616"/>
      <c r="AS793" s="630"/>
      <c r="AT793" s="630"/>
    </row>
    <row r="794">
      <c r="A794" s="467"/>
      <c r="B794" s="504"/>
      <c r="C794" s="468"/>
      <c r="D794" s="616"/>
      <c r="E794" s="467"/>
      <c r="F794" s="504"/>
      <c r="G794" s="468"/>
      <c r="H794" s="616"/>
      <c r="I794" s="467"/>
      <c r="J794" s="504"/>
      <c r="K794" s="468"/>
      <c r="L794" s="616"/>
      <c r="M794" s="467"/>
      <c r="N794" s="504"/>
      <c r="O794" s="468"/>
      <c r="P794" s="616"/>
      <c r="Q794" s="635"/>
      <c r="R794" s="636"/>
      <c r="S794" s="637"/>
      <c r="T794" s="629"/>
      <c r="U794" s="635"/>
      <c r="V794" s="636"/>
      <c r="W794" s="637"/>
      <c r="X794" s="629"/>
      <c r="Y794" s="467"/>
      <c r="Z794" s="504"/>
      <c r="AA794" s="468"/>
      <c r="AB794" s="616"/>
      <c r="AC794" s="635"/>
      <c r="AD794" s="636"/>
      <c r="AE794" s="637"/>
      <c r="AF794" s="629"/>
      <c r="AG794" s="635"/>
      <c r="AH794" s="636"/>
      <c r="AI794" s="637"/>
      <c r="AJ794" s="629"/>
      <c r="AK794" s="435"/>
      <c r="AL794" s="435"/>
      <c r="AM794" s="435"/>
      <c r="AN794" s="435"/>
      <c r="AO794" s="467"/>
      <c r="AP794" s="504"/>
      <c r="AQ794" s="468"/>
      <c r="AR794" s="616"/>
      <c r="AS794" s="630"/>
      <c r="AT794" s="630"/>
    </row>
    <row r="795">
      <c r="A795" s="467"/>
      <c r="B795" s="504"/>
      <c r="C795" s="468"/>
      <c r="D795" s="616"/>
      <c r="E795" s="467"/>
      <c r="F795" s="504"/>
      <c r="G795" s="468"/>
      <c r="H795" s="616"/>
      <c r="I795" s="467"/>
      <c r="J795" s="504"/>
      <c r="K795" s="468"/>
      <c r="L795" s="616"/>
      <c r="M795" s="467"/>
      <c r="N795" s="504"/>
      <c r="O795" s="468"/>
      <c r="P795" s="616"/>
      <c r="Q795" s="635"/>
      <c r="R795" s="636"/>
      <c r="S795" s="637"/>
      <c r="T795" s="629"/>
      <c r="U795" s="635"/>
      <c r="V795" s="636"/>
      <c r="W795" s="637"/>
      <c r="X795" s="629"/>
      <c r="Y795" s="467"/>
      <c r="Z795" s="504"/>
      <c r="AA795" s="468"/>
      <c r="AB795" s="616"/>
      <c r="AC795" s="635"/>
      <c r="AD795" s="636"/>
      <c r="AE795" s="637"/>
      <c r="AF795" s="629"/>
      <c r="AG795" s="635"/>
      <c r="AH795" s="636"/>
      <c r="AI795" s="637"/>
      <c r="AJ795" s="629"/>
      <c r="AK795" s="435"/>
      <c r="AL795" s="435"/>
      <c r="AM795" s="435"/>
      <c r="AN795" s="435"/>
      <c r="AO795" s="467"/>
      <c r="AP795" s="504"/>
      <c r="AQ795" s="468"/>
      <c r="AR795" s="616"/>
      <c r="AS795" s="630"/>
      <c r="AT795" s="630"/>
    </row>
    <row r="796">
      <c r="A796" s="467"/>
      <c r="B796" s="504"/>
      <c r="C796" s="468"/>
      <c r="D796" s="616"/>
      <c r="E796" s="467"/>
      <c r="F796" s="504"/>
      <c r="G796" s="468"/>
      <c r="H796" s="616"/>
      <c r="I796" s="467"/>
      <c r="J796" s="504"/>
      <c r="K796" s="468"/>
      <c r="L796" s="616"/>
      <c r="M796" s="467"/>
      <c r="N796" s="504"/>
      <c r="O796" s="468"/>
      <c r="P796" s="616"/>
      <c r="Q796" s="635"/>
      <c r="R796" s="636"/>
      <c r="S796" s="637"/>
      <c r="T796" s="629"/>
      <c r="U796" s="635"/>
      <c r="V796" s="636"/>
      <c r="W796" s="637"/>
      <c r="X796" s="629"/>
      <c r="Y796" s="467"/>
      <c r="Z796" s="504"/>
      <c r="AA796" s="468"/>
      <c r="AB796" s="616"/>
      <c r="AC796" s="635"/>
      <c r="AD796" s="636"/>
      <c r="AE796" s="637"/>
      <c r="AF796" s="629"/>
      <c r="AG796" s="635"/>
      <c r="AH796" s="636"/>
      <c r="AI796" s="637"/>
      <c r="AJ796" s="629"/>
      <c r="AK796" s="435"/>
      <c r="AL796" s="435"/>
      <c r="AM796" s="435"/>
      <c r="AN796" s="435"/>
      <c r="AO796" s="467"/>
      <c r="AP796" s="504"/>
      <c r="AQ796" s="468"/>
      <c r="AR796" s="616"/>
      <c r="AS796" s="630"/>
      <c r="AT796" s="630"/>
    </row>
    <row r="797">
      <c r="A797" s="467"/>
      <c r="B797" s="504"/>
      <c r="C797" s="468"/>
      <c r="D797" s="616"/>
      <c r="E797" s="467"/>
      <c r="F797" s="504"/>
      <c r="G797" s="468"/>
      <c r="H797" s="616"/>
      <c r="I797" s="467"/>
      <c r="J797" s="504"/>
      <c r="K797" s="468"/>
      <c r="L797" s="616"/>
      <c r="M797" s="467"/>
      <c r="N797" s="504"/>
      <c r="O797" s="468"/>
      <c r="P797" s="616"/>
      <c r="Q797" s="635"/>
      <c r="R797" s="636"/>
      <c r="S797" s="637"/>
      <c r="T797" s="629"/>
      <c r="U797" s="635"/>
      <c r="V797" s="636"/>
      <c r="W797" s="637"/>
      <c r="X797" s="629"/>
      <c r="Y797" s="467"/>
      <c r="Z797" s="504"/>
      <c r="AA797" s="468"/>
      <c r="AB797" s="616"/>
      <c r="AC797" s="635"/>
      <c r="AD797" s="636"/>
      <c r="AE797" s="637"/>
      <c r="AF797" s="629"/>
      <c r="AG797" s="635"/>
      <c r="AH797" s="636"/>
      <c r="AI797" s="637"/>
      <c r="AJ797" s="629"/>
      <c r="AK797" s="435"/>
      <c r="AL797" s="435"/>
      <c r="AM797" s="435"/>
      <c r="AN797" s="435"/>
      <c r="AO797" s="467"/>
      <c r="AP797" s="504"/>
      <c r="AQ797" s="468"/>
      <c r="AR797" s="616"/>
      <c r="AS797" s="630"/>
      <c r="AT797" s="630"/>
    </row>
    <row r="798">
      <c r="A798" s="467"/>
      <c r="B798" s="504"/>
      <c r="C798" s="468"/>
      <c r="D798" s="616"/>
      <c r="E798" s="467"/>
      <c r="F798" s="504"/>
      <c r="G798" s="468"/>
      <c r="H798" s="616"/>
      <c r="I798" s="467"/>
      <c r="J798" s="504"/>
      <c r="K798" s="468"/>
      <c r="L798" s="616"/>
      <c r="M798" s="467"/>
      <c r="N798" s="504"/>
      <c r="O798" s="468"/>
      <c r="P798" s="616"/>
      <c r="Q798" s="635"/>
      <c r="R798" s="636"/>
      <c r="S798" s="637"/>
      <c r="T798" s="629"/>
      <c r="U798" s="635"/>
      <c r="V798" s="636"/>
      <c r="W798" s="637"/>
      <c r="X798" s="629"/>
      <c r="Y798" s="467"/>
      <c r="Z798" s="504"/>
      <c r="AA798" s="468"/>
      <c r="AB798" s="616"/>
      <c r="AC798" s="635"/>
      <c r="AD798" s="636"/>
      <c r="AE798" s="637"/>
      <c r="AF798" s="629"/>
      <c r="AG798" s="635"/>
      <c r="AH798" s="636"/>
      <c r="AI798" s="637"/>
      <c r="AJ798" s="629"/>
      <c r="AK798" s="435"/>
      <c r="AL798" s="435"/>
      <c r="AM798" s="435"/>
      <c r="AN798" s="435"/>
      <c r="AO798" s="467"/>
      <c r="AP798" s="504"/>
      <c r="AQ798" s="468"/>
      <c r="AR798" s="616"/>
      <c r="AS798" s="630"/>
      <c r="AT798" s="630"/>
    </row>
    <row r="799">
      <c r="A799" s="467"/>
      <c r="B799" s="504"/>
      <c r="C799" s="468"/>
      <c r="D799" s="616"/>
      <c r="E799" s="467"/>
      <c r="F799" s="504"/>
      <c r="G799" s="468"/>
      <c r="H799" s="616"/>
      <c r="I799" s="467"/>
      <c r="J799" s="504"/>
      <c r="K799" s="468"/>
      <c r="L799" s="616"/>
      <c r="M799" s="467"/>
      <c r="N799" s="504"/>
      <c r="O799" s="468"/>
      <c r="P799" s="616"/>
      <c r="Q799" s="635"/>
      <c r="R799" s="636"/>
      <c r="S799" s="637"/>
      <c r="T799" s="629"/>
      <c r="U799" s="635"/>
      <c r="V799" s="636"/>
      <c r="W799" s="637"/>
      <c r="X799" s="629"/>
      <c r="Y799" s="467"/>
      <c r="Z799" s="504"/>
      <c r="AA799" s="468"/>
      <c r="AB799" s="616"/>
      <c r="AC799" s="635"/>
      <c r="AD799" s="636"/>
      <c r="AE799" s="637"/>
      <c r="AF799" s="629"/>
      <c r="AG799" s="635"/>
      <c r="AH799" s="636"/>
      <c r="AI799" s="637"/>
      <c r="AJ799" s="629"/>
      <c r="AK799" s="435"/>
      <c r="AL799" s="435"/>
      <c r="AM799" s="435"/>
      <c r="AN799" s="435"/>
      <c r="AO799" s="467"/>
      <c r="AP799" s="504"/>
      <c r="AQ799" s="468"/>
      <c r="AR799" s="616"/>
      <c r="AS799" s="630"/>
      <c r="AT799" s="630"/>
    </row>
    <row r="800">
      <c r="A800" s="467"/>
      <c r="B800" s="504"/>
      <c r="C800" s="468"/>
      <c r="D800" s="616"/>
      <c r="E800" s="467"/>
      <c r="F800" s="504"/>
      <c r="G800" s="468"/>
      <c r="H800" s="616"/>
      <c r="I800" s="467"/>
      <c r="J800" s="504"/>
      <c r="K800" s="468"/>
      <c r="L800" s="616"/>
      <c r="M800" s="467"/>
      <c r="N800" s="504"/>
      <c r="O800" s="468"/>
      <c r="P800" s="616"/>
      <c r="Q800" s="635"/>
      <c r="R800" s="636"/>
      <c r="S800" s="637"/>
      <c r="T800" s="629"/>
      <c r="U800" s="635"/>
      <c r="V800" s="636"/>
      <c r="W800" s="637"/>
      <c r="X800" s="629"/>
      <c r="Y800" s="467"/>
      <c r="Z800" s="504"/>
      <c r="AA800" s="468"/>
      <c r="AB800" s="616"/>
      <c r="AC800" s="635"/>
      <c r="AD800" s="636"/>
      <c r="AE800" s="637"/>
      <c r="AF800" s="629"/>
      <c r="AG800" s="635"/>
      <c r="AH800" s="636"/>
      <c r="AI800" s="637"/>
      <c r="AJ800" s="629"/>
      <c r="AK800" s="435"/>
      <c r="AL800" s="435"/>
      <c r="AM800" s="435"/>
      <c r="AN800" s="435"/>
      <c r="AO800" s="467"/>
      <c r="AP800" s="504"/>
      <c r="AQ800" s="468"/>
      <c r="AR800" s="616"/>
      <c r="AS800" s="630"/>
      <c r="AT800" s="630"/>
    </row>
    <row r="801">
      <c r="A801" s="467"/>
      <c r="B801" s="504"/>
      <c r="C801" s="468"/>
      <c r="D801" s="616"/>
      <c r="E801" s="467"/>
      <c r="F801" s="504"/>
      <c r="G801" s="468"/>
      <c r="H801" s="616"/>
      <c r="I801" s="467"/>
      <c r="J801" s="504"/>
      <c r="K801" s="468"/>
      <c r="L801" s="616"/>
      <c r="M801" s="467"/>
      <c r="N801" s="504"/>
      <c r="O801" s="468"/>
      <c r="P801" s="616"/>
      <c r="Q801" s="635"/>
      <c r="R801" s="636"/>
      <c r="S801" s="637"/>
      <c r="T801" s="629"/>
      <c r="U801" s="635"/>
      <c r="V801" s="636"/>
      <c r="W801" s="637"/>
      <c r="X801" s="629"/>
      <c r="Y801" s="467"/>
      <c r="Z801" s="504"/>
      <c r="AA801" s="468"/>
      <c r="AB801" s="616"/>
      <c r="AC801" s="635"/>
      <c r="AD801" s="636"/>
      <c r="AE801" s="637"/>
      <c r="AF801" s="629"/>
      <c r="AG801" s="635"/>
      <c r="AH801" s="636"/>
      <c r="AI801" s="637"/>
      <c r="AJ801" s="629"/>
      <c r="AK801" s="435"/>
      <c r="AL801" s="435"/>
      <c r="AM801" s="435"/>
      <c r="AN801" s="435"/>
      <c r="AO801" s="467"/>
      <c r="AP801" s="504"/>
      <c r="AQ801" s="468"/>
      <c r="AR801" s="616"/>
      <c r="AS801" s="630"/>
      <c r="AT801" s="630"/>
    </row>
    <row r="802">
      <c r="A802" s="467"/>
      <c r="B802" s="504"/>
      <c r="C802" s="468"/>
      <c r="D802" s="616"/>
      <c r="E802" s="467"/>
      <c r="F802" s="504"/>
      <c r="G802" s="468"/>
      <c r="H802" s="616"/>
      <c r="I802" s="467"/>
      <c r="J802" s="504"/>
      <c r="K802" s="468"/>
      <c r="L802" s="616"/>
      <c r="M802" s="467"/>
      <c r="N802" s="504"/>
      <c r="O802" s="468"/>
      <c r="P802" s="616"/>
      <c r="Q802" s="635"/>
      <c r="R802" s="636"/>
      <c r="S802" s="637"/>
      <c r="T802" s="629"/>
      <c r="U802" s="635"/>
      <c r="V802" s="636"/>
      <c r="W802" s="637"/>
      <c r="X802" s="629"/>
      <c r="Y802" s="467"/>
      <c r="Z802" s="504"/>
      <c r="AA802" s="468"/>
      <c r="AB802" s="616"/>
      <c r="AC802" s="635"/>
      <c r="AD802" s="636"/>
      <c r="AE802" s="637"/>
      <c r="AF802" s="629"/>
      <c r="AG802" s="635"/>
      <c r="AH802" s="636"/>
      <c r="AI802" s="637"/>
      <c r="AJ802" s="629"/>
      <c r="AK802" s="435"/>
      <c r="AL802" s="435"/>
      <c r="AM802" s="435"/>
      <c r="AN802" s="435"/>
      <c r="AO802" s="467"/>
      <c r="AP802" s="504"/>
      <c r="AQ802" s="468"/>
      <c r="AR802" s="616"/>
      <c r="AS802" s="630"/>
      <c r="AT802" s="630"/>
    </row>
    <row r="803">
      <c r="A803" s="467"/>
      <c r="B803" s="504"/>
      <c r="C803" s="468"/>
      <c r="D803" s="616"/>
      <c r="E803" s="467"/>
      <c r="F803" s="504"/>
      <c r="G803" s="468"/>
      <c r="H803" s="616"/>
      <c r="I803" s="467"/>
      <c r="J803" s="504"/>
      <c r="K803" s="468"/>
      <c r="L803" s="616"/>
      <c r="M803" s="467"/>
      <c r="N803" s="504"/>
      <c r="O803" s="468"/>
      <c r="P803" s="616"/>
      <c r="Q803" s="635"/>
      <c r="R803" s="636"/>
      <c r="S803" s="637"/>
      <c r="T803" s="629"/>
      <c r="U803" s="635"/>
      <c r="V803" s="636"/>
      <c r="W803" s="637"/>
      <c r="X803" s="629"/>
      <c r="Y803" s="467"/>
      <c r="Z803" s="504"/>
      <c r="AA803" s="468"/>
      <c r="AB803" s="616"/>
      <c r="AC803" s="635"/>
      <c r="AD803" s="636"/>
      <c r="AE803" s="637"/>
      <c r="AF803" s="629"/>
      <c r="AG803" s="635"/>
      <c r="AH803" s="636"/>
      <c r="AI803" s="637"/>
      <c r="AJ803" s="629"/>
      <c r="AK803" s="435"/>
      <c r="AL803" s="435"/>
      <c r="AM803" s="435"/>
      <c r="AN803" s="435"/>
      <c r="AO803" s="467"/>
      <c r="AP803" s="504"/>
      <c r="AQ803" s="468"/>
      <c r="AR803" s="616"/>
      <c r="AS803" s="630"/>
      <c r="AT803" s="630"/>
    </row>
    <row r="804">
      <c r="A804" s="467"/>
      <c r="B804" s="504"/>
      <c r="C804" s="468"/>
      <c r="D804" s="616"/>
      <c r="E804" s="467"/>
      <c r="F804" s="504"/>
      <c r="G804" s="468"/>
      <c r="H804" s="616"/>
      <c r="I804" s="467"/>
      <c r="J804" s="504"/>
      <c r="K804" s="468"/>
      <c r="L804" s="616"/>
      <c r="M804" s="467"/>
      <c r="N804" s="504"/>
      <c r="O804" s="468"/>
      <c r="P804" s="616"/>
      <c r="Q804" s="635"/>
      <c r="R804" s="636"/>
      <c r="S804" s="637"/>
      <c r="T804" s="629"/>
      <c r="U804" s="635"/>
      <c r="V804" s="636"/>
      <c r="W804" s="637"/>
      <c r="X804" s="629"/>
      <c r="Y804" s="467"/>
      <c r="Z804" s="504"/>
      <c r="AA804" s="468"/>
      <c r="AB804" s="616"/>
      <c r="AC804" s="635"/>
      <c r="AD804" s="636"/>
      <c r="AE804" s="637"/>
      <c r="AF804" s="629"/>
      <c r="AG804" s="635"/>
      <c r="AH804" s="636"/>
      <c r="AI804" s="637"/>
      <c r="AJ804" s="629"/>
      <c r="AK804" s="435"/>
      <c r="AL804" s="435"/>
      <c r="AM804" s="435"/>
      <c r="AN804" s="435"/>
      <c r="AO804" s="467"/>
      <c r="AP804" s="504"/>
      <c r="AQ804" s="468"/>
      <c r="AR804" s="616"/>
      <c r="AS804" s="630"/>
      <c r="AT804" s="630"/>
    </row>
    <row r="805">
      <c r="A805" s="467"/>
      <c r="B805" s="504"/>
      <c r="C805" s="468"/>
      <c r="D805" s="616"/>
      <c r="E805" s="467"/>
      <c r="F805" s="504"/>
      <c r="G805" s="468"/>
      <c r="H805" s="616"/>
      <c r="I805" s="467"/>
      <c r="J805" s="504"/>
      <c r="K805" s="468"/>
      <c r="L805" s="616"/>
      <c r="M805" s="467"/>
      <c r="N805" s="504"/>
      <c r="O805" s="468"/>
      <c r="P805" s="616"/>
      <c r="Q805" s="635"/>
      <c r="R805" s="636"/>
      <c r="S805" s="637"/>
      <c r="T805" s="629"/>
      <c r="U805" s="635"/>
      <c r="V805" s="636"/>
      <c r="W805" s="637"/>
      <c r="X805" s="629"/>
      <c r="Y805" s="467"/>
      <c r="Z805" s="504"/>
      <c r="AA805" s="468"/>
      <c r="AB805" s="616"/>
      <c r="AC805" s="635"/>
      <c r="AD805" s="636"/>
      <c r="AE805" s="637"/>
      <c r="AF805" s="629"/>
      <c r="AG805" s="635"/>
      <c r="AH805" s="636"/>
      <c r="AI805" s="637"/>
      <c r="AJ805" s="629"/>
      <c r="AK805" s="435"/>
      <c r="AL805" s="435"/>
      <c r="AM805" s="435"/>
      <c r="AN805" s="435"/>
      <c r="AO805" s="467"/>
      <c r="AP805" s="504"/>
      <c r="AQ805" s="468"/>
      <c r="AR805" s="616"/>
      <c r="AS805" s="630"/>
      <c r="AT805" s="630"/>
    </row>
    <row r="806">
      <c r="A806" s="467"/>
      <c r="B806" s="504"/>
      <c r="C806" s="468"/>
      <c r="D806" s="616"/>
      <c r="E806" s="467"/>
      <c r="F806" s="504"/>
      <c r="G806" s="468"/>
      <c r="H806" s="616"/>
      <c r="I806" s="467"/>
      <c r="J806" s="504"/>
      <c r="K806" s="468"/>
      <c r="L806" s="616"/>
      <c r="M806" s="467"/>
      <c r="N806" s="504"/>
      <c r="O806" s="468"/>
      <c r="P806" s="616"/>
      <c r="Q806" s="635"/>
      <c r="R806" s="636"/>
      <c r="S806" s="637"/>
      <c r="T806" s="629"/>
      <c r="U806" s="635"/>
      <c r="V806" s="636"/>
      <c r="W806" s="637"/>
      <c r="X806" s="629"/>
      <c r="Y806" s="467"/>
      <c r="Z806" s="504"/>
      <c r="AA806" s="468"/>
      <c r="AB806" s="616"/>
      <c r="AC806" s="635"/>
      <c r="AD806" s="636"/>
      <c r="AE806" s="637"/>
      <c r="AF806" s="629"/>
      <c r="AG806" s="635"/>
      <c r="AH806" s="636"/>
      <c r="AI806" s="637"/>
      <c r="AJ806" s="629"/>
      <c r="AK806" s="435"/>
      <c r="AL806" s="435"/>
      <c r="AM806" s="435"/>
      <c r="AN806" s="435"/>
      <c r="AO806" s="467"/>
      <c r="AP806" s="504"/>
      <c r="AQ806" s="468"/>
      <c r="AR806" s="616"/>
      <c r="AS806" s="630"/>
      <c r="AT806" s="630"/>
    </row>
    <row r="807">
      <c r="A807" s="467"/>
      <c r="B807" s="504"/>
      <c r="C807" s="468"/>
      <c r="D807" s="616"/>
      <c r="E807" s="467"/>
      <c r="F807" s="504"/>
      <c r="G807" s="468"/>
      <c r="H807" s="616"/>
      <c r="I807" s="467"/>
      <c r="J807" s="504"/>
      <c r="K807" s="468"/>
      <c r="L807" s="616"/>
      <c r="M807" s="467"/>
      <c r="N807" s="504"/>
      <c r="O807" s="468"/>
      <c r="P807" s="616"/>
      <c r="Q807" s="635"/>
      <c r="R807" s="636"/>
      <c r="S807" s="637"/>
      <c r="T807" s="629"/>
      <c r="U807" s="635"/>
      <c r="V807" s="636"/>
      <c r="W807" s="637"/>
      <c r="X807" s="629"/>
      <c r="Y807" s="467"/>
      <c r="Z807" s="504"/>
      <c r="AA807" s="468"/>
      <c r="AB807" s="616"/>
      <c r="AC807" s="635"/>
      <c r="AD807" s="636"/>
      <c r="AE807" s="637"/>
      <c r="AF807" s="629"/>
      <c r="AG807" s="635"/>
      <c r="AH807" s="636"/>
      <c r="AI807" s="637"/>
      <c r="AJ807" s="629"/>
      <c r="AK807" s="435"/>
      <c r="AL807" s="435"/>
      <c r="AM807" s="435"/>
      <c r="AN807" s="435"/>
      <c r="AO807" s="467"/>
      <c r="AP807" s="504"/>
      <c r="AQ807" s="468"/>
      <c r="AR807" s="616"/>
      <c r="AS807" s="630"/>
      <c r="AT807" s="630"/>
    </row>
    <row r="808">
      <c r="A808" s="467"/>
      <c r="B808" s="504"/>
      <c r="C808" s="468"/>
      <c r="D808" s="616"/>
      <c r="E808" s="467"/>
      <c r="F808" s="504"/>
      <c r="G808" s="468"/>
      <c r="H808" s="616"/>
      <c r="I808" s="467"/>
      <c r="J808" s="504"/>
      <c r="K808" s="468"/>
      <c r="L808" s="616"/>
      <c r="M808" s="467"/>
      <c r="N808" s="504"/>
      <c r="O808" s="468"/>
      <c r="P808" s="616"/>
      <c r="Q808" s="635"/>
      <c r="R808" s="636"/>
      <c r="S808" s="637"/>
      <c r="T808" s="629"/>
      <c r="U808" s="635"/>
      <c r="V808" s="636"/>
      <c r="W808" s="637"/>
      <c r="X808" s="629"/>
      <c r="Y808" s="467"/>
      <c r="Z808" s="504"/>
      <c r="AA808" s="468"/>
      <c r="AB808" s="616"/>
      <c r="AC808" s="635"/>
      <c r="AD808" s="636"/>
      <c r="AE808" s="637"/>
      <c r="AF808" s="629"/>
      <c r="AG808" s="635"/>
      <c r="AH808" s="636"/>
      <c r="AI808" s="637"/>
      <c r="AJ808" s="629"/>
      <c r="AK808" s="435"/>
      <c r="AL808" s="435"/>
      <c r="AM808" s="435"/>
      <c r="AN808" s="435"/>
      <c r="AO808" s="467"/>
      <c r="AP808" s="504"/>
      <c r="AQ808" s="468"/>
      <c r="AR808" s="616"/>
      <c r="AS808" s="630"/>
      <c r="AT808" s="630"/>
    </row>
    <row r="809">
      <c r="A809" s="467"/>
      <c r="B809" s="504"/>
      <c r="C809" s="468"/>
      <c r="D809" s="616"/>
      <c r="E809" s="467"/>
      <c r="F809" s="504"/>
      <c r="G809" s="468"/>
      <c r="H809" s="616"/>
      <c r="I809" s="467"/>
      <c r="J809" s="504"/>
      <c r="K809" s="468"/>
      <c r="L809" s="616"/>
      <c r="M809" s="467"/>
      <c r="N809" s="504"/>
      <c r="O809" s="468"/>
      <c r="P809" s="616"/>
      <c r="Q809" s="635"/>
      <c r="R809" s="636"/>
      <c r="S809" s="637"/>
      <c r="T809" s="629"/>
      <c r="U809" s="635"/>
      <c r="V809" s="636"/>
      <c r="W809" s="637"/>
      <c r="X809" s="629"/>
      <c r="Y809" s="467"/>
      <c r="Z809" s="504"/>
      <c r="AA809" s="468"/>
      <c r="AB809" s="616"/>
      <c r="AC809" s="635"/>
      <c r="AD809" s="636"/>
      <c r="AE809" s="637"/>
      <c r="AF809" s="629"/>
      <c r="AG809" s="635"/>
      <c r="AH809" s="636"/>
      <c r="AI809" s="637"/>
      <c r="AJ809" s="629"/>
      <c r="AK809" s="435"/>
      <c r="AL809" s="435"/>
      <c r="AM809" s="435"/>
      <c r="AN809" s="435"/>
      <c r="AO809" s="467"/>
      <c r="AP809" s="504"/>
      <c r="AQ809" s="468"/>
      <c r="AR809" s="616"/>
      <c r="AS809" s="630"/>
      <c r="AT809" s="630"/>
    </row>
    <row r="810">
      <c r="A810" s="467"/>
      <c r="B810" s="504"/>
      <c r="C810" s="468"/>
      <c r="D810" s="616"/>
      <c r="E810" s="467"/>
      <c r="F810" s="504"/>
      <c r="G810" s="468"/>
      <c r="H810" s="616"/>
      <c r="I810" s="467"/>
      <c r="J810" s="504"/>
      <c r="K810" s="468"/>
      <c r="L810" s="616"/>
      <c r="M810" s="467"/>
      <c r="N810" s="504"/>
      <c r="O810" s="468"/>
      <c r="P810" s="616"/>
      <c r="Q810" s="635"/>
      <c r="R810" s="636"/>
      <c r="S810" s="637"/>
      <c r="T810" s="629"/>
      <c r="U810" s="635"/>
      <c r="V810" s="636"/>
      <c r="W810" s="637"/>
      <c r="X810" s="629"/>
      <c r="Y810" s="467"/>
      <c r="Z810" s="504"/>
      <c r="AA810" s="468"/>
      <c r="AB810" s="616"/>
      <c r="AC810" s="635"/>
      <c r="AD810" s="636"/>
      <c r="AE810" s="637"/>
      <c r="AF810" s="629"/>
      <c r="AG810" s="635"/>
      <c r="AH810" s="636"/>
      <c r="AI810" s="637"/>
      <c r="AJ810" s="629"/>
      <c r="AK810" s="435"/>
      <c r="AL810" s="435"/>
      <c r="AM810" s="435"/>
      <c r="AN810" s="435"/>
      <c r="AO810" s="467"/>
      <c r="AP810" s="504"/>
      <c r="AQ810" s="468"/>
      <c r="AR810" s="616"/>
      <c r="AS810" s="630"/>
      <c r="AT810" s="630"/>
    </row>
    <row r="811">
      <c r="A811" s="467"/>
      <c r="B811" s="504"/>
      <c r="C811" s="468"/>
      <c r="D811" s="616"/>
      <c r="E811" s="467"/>
      <c r="F811" s="504"/>
      <c r="G811" s="468"/>
      <c r="H811" s="616"/>
      <c r="I811" s="467"/>
      <c r="J811" s="504"/>
      <c r="K811" s="468"/>
      <c r="L811" s="616"/>
      <c r="M811" s="467"/>
      <c r="N811" s="504"/>
      <c r="O811" s="468"/>
      <c r="P811" s="616"/>
      <c r="Q811" s="635"/>
      <c r="R811" s="636"/>
      <c r="S811" s="637"/>
      <c r="T811" s="629"/>
      <c r="U811" s="635"/>
      <c r="V811" s="636"/>
      <c r="W811" s="637"/>
      <c r="X811" s="629"/>
      <c r="Y811" s="467"/>
      <c r="Z811" s="504"/>
      <c r="AA811" s="468"/>
      <c r="AB811" s="616"/>
      <c r="AC811" s="635"/>
      <c r="AD811" s="636"/>
      <c r="AE811" s="637"/>
      <c r="AF811" s="629"/>
      <c r="AG811" s="635"/>
      <c r="AH811" s="636"/>
      <c r="AI811" s="637"/>
      <c r="AJ811" s="629"/>
      <c r="AK811" s="435"/>
      <c r="AL811" s="435"/>
      <c r="AM811" s="435"/>
      <c r="AN811" s="435"/>
      <c r="AO811" s="467"/>
      <c r="AP811" s="504"/>
      <c r="AQ811" s="468"/>
      <c r="AR811" s="616"/>
      <c r="AS811" s="630"/>
      <c r="AT811" s="630"/>
    </row>
    <row r="812">
      <c r="A812" s="467"/>
      <c r="B812" s="504"/>
      <c r="C812" s="468"/>
      <c r="D812" s="616"/>
      <c r="E812" s="467"/>
      <c r="F812" s="504"/>
      <c r="G812" s="468"/>
      <c r="H812" s="616"/>
      <c r="I812" s="467"/>
      <c r="J812" s="504"/>
      <c r="K812" s="468"/>
      <c r="L812" s="616"/>
      <c r="M812" s="467"/>
      <c r="N812" s="504"/>
      <c r="O812" s="468"/>
      <c r="P812" s="616"/>
      <c r="Q812" s="635"/>
      <c r="R812" s="636"/>
      <c r="S812" s="637"/>
      <c r="T812" s="629"/>
      <c r="U812" s="635"/>
      <c r="V812" s="636"/>
      <c r="W812" s="637"/>
      <c r="X812" s="629"/>
      <c r="Y812" s="467"/>
      <c r="Z812" s="504"/>
      <c r="AA812" s="468"/>
      <c r="AB812" s="616"/>
      <c r="AC812" s="635"/>
      <c r="AD812" s="636"/>
      <c r="AE812" s="637"/>
      <c r="AF812" s="629"/>
      <c r="AG812" s="635"/>
      <c r="AH812" s="636"/>
      <c r="AI812" s="637"/>
      <c r="AJ812" s="629"/>
      <c r="AK812" s="435"/>
      <c r="AL812" s="435"/>
      <c r="AM812" s="435"/>
      <c r="AN812" s="435"/>
      <c r="AO812" s="467"/>
      <c r="AP812" s="504"/>
      <c r="AQ812" s="468"/>
      <c r="AR812" s="616"/>
      <c r="AS812" s="630"/>
      <c r="AT812" s="630"/>
    </row>
    <row r="813">
      <c r="A813" s="467"/>
      <c r="B813" s="504"/>
      <c r="C813" s="468"/>
      <c r="D813" s="616"/>
      <c r="E813" s="467"/>
      <c r="F813" s="504"/>
      <c r="G813" s="468"/>
      <c r="H813" s="616"/>
      <c r="I813" s="467"/>
      <c r="J813" s="504"/>
      <c r="K813" s="468"/>
      <c r="L813" s="616"/>
      <c r="M813" s="467"/>
      <c r="N813" s="504"/>
      <c r="O813" s="468"/>
      <c r="P813" s="616"/>
      <c r="Q813" s="635"/>
      <c r="R813" s="636"/>
      <c r="S813" s="637"/>
      <c r="T813" s="629"/>
      <c r="U813" s="635"/>
      <c r="V813" s="636"/>
      <c r="W813" s="637"/>
      <c r="X813" s="629"/>
      <c r="Y813" s="467"/>
      <c r="Z813" s="504"/>
      <c r="AA813" s="468"/>
      <c r="AB813" s="616"/>
      <c r="AC813" s="635"/>
      <c r="AD813" s="636"/>
      <c r="AE813" s="637"/>
      <c r="AF813" s="629"/>
      <c r="AG813" s="635"/>
      <c r="AH813" s="636"/>
      <c r="AI813" s="637"/>
      <c r="AJ813" s="629"/>
      <c r="AK813" s="435"/>
      <c r="AL813" s="435"/>
      <c r="AM813" s="435"/>
      <c r="AN813" s="435"/>
      <c r="AO813" s="467"/>
      <c r="AP813" s="504"/>
      <c r="AQ813" s="468"/>
      <c r="AR813" s="616"/>
      <c r="AS813" s="630"/>
      <c r="AT813" s="630"/>
    </row>
    <row r="814">
      <c r="A814" s="467"/>
      <c r="B814" s="504"/>
      <c r="C814" s="468"/>
      <c r="D814" s="616"/>
      <c r="E814" s="467"/>
      <c r="F814" s="504"/>
      <c r="G814" s="468"/>
      <c r="H814" s="616"/>
      <c r="I814" s="467"/>
      <c r="J814" s="504"/>
      <c r="K814" s="468"/>
      <c r="L814" s="616"/>
      <c r="M814" s="467"/>
      <c r="N814" s="504"/>
      <c r="O814" s="468"/>
      <c r="P814" s="616"/>
      <c r="Q814" s="635"/>
      <c r="R814" s="636"/>
      <c r="S814" s="637"/>
      <c r="T814" s="629"/>
      <c r="U814" s="635"/>
      <c r="V814" s="636"/>
      <c r="W814" s="637"/>
      <c r="X814" s="629"/>
      <c r="Y814" s="467"/>
      <c r="Z814" s="504"/>
      <c r="AA814" s="468"/>
      <c r="AB814" s="616"/>
      <c r="AC814" s="635"/>
      <c r="AD814" s="636"/>
      <c r="AE814" s="637"/>
      <c r="AF814" s="629"/>
      <c r="AG814" s="635"/>
      <c r="AH814" s="636"/>
      <c r="AI814" s="637"/>
      <c r="AJ814" s="629"/>
      <c r="AK814" s="435"/>
      <c r="AL814" s="435"/>
      <c r="AM814" s="435"/>
      <c r="AN814" s="435"/>
      <c r="AO814" s="467"/>
      <c r="AP814" s="504"/>
      <c r="AQ814" s="468"/>
      <c r="AR814" s="616"/>
      <c r="AS814" s="630"/>
      <c r="AT814" s="630"/>
    </row>
    <row r="815">
      <c r="A815" s="467"/>
      <c r="B815" s="504"/>
      <c r="C815" s="468"/>
      <c r="D815" s="616"/>
      <c r="E815" s="467"/>
      <c r="F815" s="504"/>
      <c r="G815" s="468"/>
      <c r="H815" s="616"/>
      <c r="I815" s="467"/>
      <c r="J815" s="504"/>
      <c r="K815" s="468"/>
      <c r="L815" s="616"/>
      <c r="M815" s="467"/>
      <c r="N815" s="504"/>
      <c r="O815" s="468"/>
      <c r="P815" s="616"/>
      <c r="Q815" s="635"/>
      <c r="R815" s="636"/>
      <c r="S815" s="637"/>
      <c r="T815" s="629"/>
      <c r="U815" s="635"/>
      <c r="V815" s="636"/>
      <c r="W815" s="637"/>
      <c r="X815" s="629"/>
      <c r="Y815" s="467"/>
      <c r="Z815" s="504"/>
      <c r="AA815" s="468"/>
      <c r="AB815" s="616"/>
      <c r="AC815" s="635"/>
      <c r="AD815" s="636"/>
      <c r="AE815" s="637"/>
      <c r="AF815" s="629"/>
      <c r="AG815" s="635"/>
      <c r="AH815" s="636"/>
      <c r="AI815" s="637"/>
      <c r="AJ815" s="629"/>
      <c r="AK815" s="435"/>
      <c r="AL815" s="435"/>
      <c r="AM815" s="435"/>
      <c r="AN815" s="435"/>
      <c r="AO815" s="467"/>
      <c r="AP815" s="504"/>
      <c r="AQ815" s="468"/>
      <c r="AR815" s="616"/>
      <c r="AS815" s="630"/>
      <c r="AT815" s="630"/>
    </row>
    <row r="816">
      <c r="A816" s="467"/>
      <c r="B816" s="504"/>
      <c r="C816" s="468"/>
      <c r="D816" s="616"/>
      <c r="E816" s="467"/>
      <c r="F816" s="504"/>
      <c r="G816" s="468"/>
      <c r="H816" s="616"/>
      <c r="I816" s="467"/>
      <c r="J816" s="504"/>
      <c r="K816" s="468"/>
      <c r="L816" s="616"/>
      <c r="M816" s="467"/>
      <c r="N816" s="504"/>
      <c r="O816" s="468"/>
      <c r="P816" s="616"/>
      <c r="Q816" s="635"/>
      <c r="R816" s="636"/>
      <c r="S816" s="637"/>
      <c r="T816" s="629"/>
      <c r="U816" s="635"/>
      <c r="V816" s="636"/>
      <c r="W816" s="637"/>
      <c r="X816" s="629"/>
      <c r="Y816" s="467"/>
      <c r="Z816" s="504"/>
      <c r="AA816" s="468"/>
      <c r="AB816" s="616"/>
      <c r="AC816" s="635"/>
      <c r="AD816" s="636"/>
      <c r="AE816" s="637"/>
      <c r="AF816" s="629"/>
      <c r="AG816" s="635"/>
      <c r="AH816" s="636"/>
      <c r="AI816" s="637"/>
      <c r="AJ816" s="629"/>
      <c r="AK816" s="435"/>
      <c r="AL816" s="435"/>
      <c r="AM816" s="435"/>
      <c r="AN816" s="435"/>
      <c r="AO816" s="467"/>
      <c r="AP816" s="504"/>
      <c r="AQ816" s="468"/>
      <c r="AR816" s="616"/>
      <c r="AS816" s="630"/>
      <c r="AT816" s="630"/>
    </row>
    <row r="817">
      <c r="A817" s="467"/>
      <c r="B817" s="504"/>
      <c r="C817" s="468"/>
      <c r="D817" s="616"/>
      <c r="E817" s="467"/>
      <c r="F817" s="504"/>
      <c r="G817" s="468"/>
      <c r="H817" s="616"/>
      <c r="I817" s="467"/>
      <c r="J817" s="504"/>
      <c r="K817" s="468"/>
      <c r="L817" s="616"/>
      <c r="M817" s="467"/>
      <c r="N817" s="504"/>
      <c r="O817" s="468"/>
      <c r="P817" s="616"/>
      <c r="Q817" s="635"/>
      <c r="R817" s="636"/>
      <c r="S817" s="637"/>
      <c r="T817" s="629"/>
      <c r="U817" s="635"/>
      <c r="V817" s="636"/>
      <c r="W817" s="637"/>
      <c r="X817" s="629"/>
      <c r="Y817" s="467"/>
      <c r="Z817" s="504"/>
      <c r="AA817" s="468"/>
      <c r="AB817" s="616"/>
      <c r="AC817" s="635"/>
      <c r="AD817" s="636"/>
      <c r="AE817" s="637"/>
      <c r="AF817" s="629"/>
      <c r="AG817" s="635"/>
      <c r="AH817" s="636"/>
      <c r="AI817" s="637"/>
      <c r="AJ817" s="629"/>
      <c r="AK817" s="435"/>
      <c r="AL817" s="435"/>
      <c r="AM817" s="435"/>
      <c r="AN817" s="435"/>
      <c r="AO817" s="467"/>
      <c r="AP817" s="504"/>
      <c r="AQ817" s="468"/>
      <c r="AR817" s="616"/>
      <c r="AS817" s="630"/>
      <c r="AT817" s="630"/>
    </row>
    <row r="818">
      <c r="A818" s="467"/>
      <c r="B818" s="504"/>
      <c r="C818" s="468"/>
      <c r="D818" s="616"/>
      <c r="E818" s="467"/>
      <c r="F818" s="504"/>
      <c r="G818" s="468"/>
      <c r="H818" s="616"/>
      <c r="I818" s="467"/>
      <c r="J818" s="504"/>
      <c r="K818" s="468"/>
      <c r="L818" s="616"/>
      <c r="M818" s="467"/>
      <c r="N818" s="504"/>
      <c r="O818" s="468"/>
      <c r="P818" s="616"/>
      <c r="Q818" s="635"/>
      <c r="R818" s="636"/>
      <c r="S818" s="637"/>
      <c r="T818" s="629"/>
      <c r="U818" s="635"/>
      <c r="V818" s="636"/>
      <c r="W818" s="637"/>
      <c r="X818" s="629"/>
      <c r="Y818" s="467"/>
      <c r="Z818" s="504"/>
      <c r="AA818" s="468"/>
      <c r="AB818" s="616"/>
      <c r="AC818" s="635"/>
      <c r="AD818" s="636"/>
      <c r="AE818" s="637"/>
      <c r="AF818" s="629"/>
      <c r="AG818" s="635"/>
      <c r="AH818" s="636"/>
      <c r="AI818" s="637"/>
      <c r="AJ818" s="629"/>
      <c r="AK818" s="435"/>
      <c r="AL818" s="435"/>
      <c r="AM818" s="435"/>
      <c r="AN818" s="435"/>
      <c r="AO818" s="467"/>
      <c r="AP818" s="504"/>
      <c r="AQ818" s="468"/>
      <c r="AR818" s="616"/>
      <c r="AS818" s="630"/>
      <c r="AT818" s="630"/>
    </row>
    <row r="819">
      <c r="A819" s="467"/>
      <c r="B819" s="504"/>
      <c r="C819" s="468"/>
      <c r="D819" s="616"/>
      <c r="E819" s="467"/>
      <c r="F819" s="504"/>
      <c r="G819" s="468"/>
      <c r="H819" s="616"/>
      <c r="I819" s="467"/>
      <c r="J819" s="504"/>
      <c r="K819" s="468"/>
      <c r="L819" s="616"/>
      <c r="M819" s="467"/>
      <c r="N819" s="504"/>
      <c r="O819" s="468"/>
      <c r="P819" s="616"/>
      <c r="Q819" s="635"/>
      <c r="R819" s="636"/>
      <c r="S819" s="637"/>
      <c r="T819" s="629"/>
      <c r="U819" s="635"/>
      <c r="V819" s="636"/>
      <c r="W819" s="637"/>
      <c r="X819" s="629"/>
      <c r="Y819" s="467"/>
      <c r="Z819" s="504"/>
      <c r="AA819" s="468"/>
      <c r="AB819" s="616"/>
      <c r="AC819" s="635"/>
      <c r="AD819" s="636"/>
      <c r="AE819" s="637"/>
      <c r="AF819" s="629"/>
      <c r="AG819" s="635"/>
      <c r="AH819" s="636"/>
      <c r="AI819" s="637"/>
      <c r="AJ819" s="629"/>
      <c r="AK819" s="435"/>
      <c r="AL819" s="435"/>
      <c r="AM819" s="435"/>
      <c r="AN819" s="435"/>
      <c r="AO819" s="467"/>
      <c r="AP819" s="504"/>
      <c r="AQ819" s="468"/>
      <c r="AR819" s="616"/>
      <c r="AS819" s="630"/>
      <c r="AT819" s="630"/>
    </row>
    <row r="820">
      <c r="A820" s="467"/>
      <c r="B820" s="504"/>
      <c r="C820" s="468"/>
      <c r="D820" s="616"/>
      <c r="E820" s="467"/>
      <c r="F820" s="504"/>
      <c r="G820" s="468"/>
      <c r="H820" s="616"/>
      <c r="I820" s="467"/>
      <c r="J820" s="504"/>
      <c r="K820" s="468"/>
      <c r="L820" s="616"/>
      <c r="M820" s="467"/>
      <c r="N820" s="504"/>
      <c r="O820" s="468"/>
      <c r="P820" s="616"/>
      <c r="Q820" s="635"/>
      <c r="R820" s="636"/>
      <c r="S820" s="637"/>
      <c r="T820" s="629"/>
      <c r="U820" s="635"/>
      <c r="V820" s="636"/>
      <c r="W820" s="637"/>
      <c r="X820" s="629"/>
      <c r="Y820" s="467"/>
      <c r="Z820" s="504"/>
      <c r="AA820" s="468"/>
      <c r="AB820" s="616"/>
      <c r="AC820" s="635"/>
      <c r="AD820" s="636"/>
      <c r="AE820" s="637"/>
      <c r="AF820" s="629"/>
      <c r="AG820" s="635"/>
      <c r="AH820" s="636"/>
      <c r="AI820" s="637"/>
      <c r="AJ820" s="629"/>
      <c r="AK820" s="435"/>
      <c r="AL820" s="435"/>
      <c r="AM820" s="435"/>
      <c r="AN820" s="435"/>
      <c r="AO820" s="467"/>
      <c r="AP820" s="504"/>
      <c r="AQ820" s="468"/>
      <c r="AR820" s="616"/>
      <c r="AS820" s="630"/>
      <c r="AT820" s="630"/>
    </row>
    <row r="821">
      <c r="A821" s="467"/>
      <c r="B821" s="504"/>
      <c r="C821" s="468"/>
      <c r="D821" s="616"/>
      <c r="E821" s="467"/>
      <c r="F821" s="504"/>
      <c r="G821" s="468"/>
      <c r="H821" s="616"/>
      <c r="I821" s="467"/>
      <c r="J821" s="504"/>
      <c r="K821" s="468"/>
      <c r="L821" s="616"/>
      <c r="M821" s="467"/>
      <c r="N821" s="504"/>
      <c r="O821" s="468"/>
      <c r="P821" s="616"/>
      <c r="Q821" s="635"/>
      <c r="R821" s="636"/>
      <c r="S821" s="637"/>
      <c r="T821" s="629"/>
      <c r="U821" s="635"/>
      <c r="V821" s="636"/>
      <c r="W821" s="637"/>
      <c r="X821" s="629"/>
      <c r="Y821" s="467"/>
      <c r="Z821" s="504"/>
      <c r="AA821" s="468"/>
      <c r="AB821" s="616"/>
      <c r="AC821" s="635"/>
      <c r="AD821" s="636"/>
      <c r="AE821" s="637"/>
      <c r="AF821" s="629"/>
      <c r="AG821" s="635"/>
      <c r="AH821" s="636"/>
      <c r="AI821" s="637"/>
      <c r="AJ821" s="629"/>
      <c r="AK821" s="435"/>
      <c r="AL821" s="435"/>
      <c r="AM821" s="435"/>
      <c r="AN821" s="435"/>
      <c r="AO821" s="467"/>
      <c r="AP821" s="504"/>
      <c r="AQ821" s="468"/>
      <c r="AR821" s="616"/>
      <c r="AS821" s="630"/>
      <c r="AT821" s="630"/>
    </row>
    <row r="822">
      <c r="A822" s="467"/>
      <c r="B822" s="504"/>
      <c r="C822" s="468"/>
      <c r="D822" s="616"/>
      <c r="E822" s="467"/>
      <c r="F822" s="504"/>
      <c r="G822" s="468"/>
      <c r="H822" s="616"/>
      <c r="I822" s="467"/>
      <c r="J822" s="504"/>
      <c r="K822" s="468"/>
      <c r="L822" s="616"/>
      <c r="M822" s="467"/>
      <c r="N822" s="504"/>
      <c r="O822" s="468"/>
      <c r="P822" s="616"/>
      <c r="Q822" s="635"/>
      <c r="R822" s="636"/>
      <c r="S822" s="637"/>
      <c r="T822" s="629"/>
      <c r="U822" s="635"/>
      <c r="V822" s="636"/>
      <c r="W822" s="637"/>
      <c r="X822" s="629"/>
      <c r="Y822" s="467"/>
      <c r="Z822" s="504"/>
      <c r="AA822" s="468"/>
      <c r="AB822" s="616"/>
      <c r="AC822" s="635"/>
      <c r="AD822" s="636"/>
      <c r="AE822" s="637"/>
      <c r="AF822" s="629"/>
      <c r="AG822" s="635"/>
      <c r="AH822" s="636"/>
      <c r="AI822" s="637"/>
      <c r="AJ822" s="629"/>
      <c r="AK822" s="435"/>
      <c r="AL822" s="435"/>
      <c r="AM822" s="435"/>
      <c r="AN822" s="435"/>
      <c r="AO822" s="467"/>
      <c r="AP822" s="504"/>
      <c r="AQ822" s="468"/>
      <c r="AR822" s="616"/>
      <c r="AS822" s="630"/>
      <c r="AT822" s="630"/>
    </row>
    <row r="823">
      <c r="A823" s="467"/>
      <c r="B823" s="504"/>
      <c r="C823" s="468"/>
      <c r="D823" s="616"/>
      <c r="E823" s="467"/>
      <c r="F823" s="504"/>
      <c r="G823" s="468"/>
      <c r="H823" s="616"/>
      <c r="I823" s="467"/>
      <c r="J823" s="504"/>
      <c r="K823" s="468"/>
      <c r="L823" s="616"/>
      <c r="M823" s="467"/>
      <c r="N823" s="504"/>
      <c r="O823" s="468"/>
      <c r="P823" s="616"/>
      <c r="Q823" s="635"/>
      <c r="R823" s="636"/>
      <c r="S823" s="637"/>
      <c r="T823" s="629"/>
      <c r="U823" s="635"/>
      <c r="V823" s="636"/>
      <c r="W823" s="637"/>
      <c r="X823" s="629"/>
      <c r="Y823" s="467"/>
      <c r="Z823" s="504"/>
      <c r="AA823" s="468"/>
      <c r="AB823" s="616"/>
      <c r="AC823" s="635"/>
      <c r="AD823" s="636"/>
      <c r="AE823" s="637"/>
      <c r="AF823" s="629"/>
      <c r="AG823" s="635"/>
      <c r="AH823" s="636"/>
      <c r="AI823" s="637"/>
      <c r="AJ823" s="629"/>
      <c r="AK823" s="435"/>
      <c r="AL823" s="435"/>
      <c r="AM823" s="435"/>
      <c r="AN823" s="435"/>
      <c r="AO823" s="467"/>
      <c r="AP823" s="504"/>
      <c r="AQ823" s="468"/>
      <c r="AR823" s="616"/>
      <c r="AS823" s="630"/>
      <c r="AT823" s="630"/>
    </row>
    <row r="824">
      <c r="A824" s="467"/>
      <c r="B824" s="504"/>
      <c r="C824" s="468"/>
      <c r="D824" s="616"/>
      <c r="E824" s="467"/>
      <c r="F824" s="504"/>
      <c r="G824" s="468"/>
      <c r="H824" s="616"/>
      <c r="I824" s="467"/>
      <c r="J824" s="504"/>
      <c r="K824" s="468"/>
      <c r="L824" s="616"/>
      <c r="M824" s="467"/>
      <c r="N824" s="504"/>
      <c r="O824" s="468"/>
      <c r="P824" s="616"/>
      <c r="Q824" s="635"/>
      <c r="R824" s="636"/>
      <c r="S824" s="637"/>
      <c r="T824" s="629"/>
      <c r="U824" s="635"/>
      <c r="V824" s="636"/>
      <c r="W824" s="637"/>
      <c r="X824" s="629"/>
      <c r="Y824" s="467"/>
      <c r="Z824" s="504"/>
      <c r="AA824" s="468"/>
      <c r="AB824" s="616"/>
      <c r="AC824" s="635"/>
      <c r="AD824" s="636"/>
      <c r="AE824" s="637"/>
      <c r="AF824" s="629"/>
      <c r="AG824" s="635"/>
      <c r="AH824" s="636"/>
      <c r="AI824" s="637"/>
      <c r="AJ824" s="629"/>
      <c r="AK824" s="435"/>
      <c r="AL824" s="435"/>
      <c r="AM824" s="435"/>
      <c r="AN824" s="435"/>
      <c r="AO824" s="467"/>
      <c r="AP824" s="504"/>
      <c r="AQ824" s="468"/>
      <c r="AR824" s="616"/>
      <c r="AS824" s="630"/>
      <c r="AT824" s="630"/>
    </row>
    <row r="825">
      <c r="A825" s="467"/>
      <c r="B825" s="504"/>
      <c r="C825" s="468"/>
      <c r="D825" s="616"/>
      <c r="E825" s="467"/>
      <c r="F825" s="504"/>
      <c r="G825" s="468"/>
      <c r="H825" s="616"/>
      <c r="I825" s="467"/>
      <c r="J825" s="504"/>
      <c r="K825" s="468"/>
      <c r="L825" s="616"/>
      <c r="M825" s="467"/>
      <c r="N825" s="504"/>
      <c r="O825" s="468"/>
      <c r="P825" s="616"/>
      <c r="Q825" s="635"/>
      <c r="R825" s="636"/>
      <c r="S825" s="637"/>
      <c r="T825" s="629"/>
      <c r="U825" s="635"/>
      <c r="V825" s="636"/>
      <c r="W825" s="637"/>
      <c r="X825" s="629"/>
      <c r="Y825" s="467"/>
      <c r="Z825" s="504"/>
      <c r="AA825" s="468"/>
      <c r="AB825" s="616"/>
      <c r="AC825" s="635"/>
      <c r="AD825" s="636"/>
      <c r="AE825" s="637"/>
      <c r="AF825" s="629"/>
      <c r="AG825" s="635"/>
      <c r="AH825" s="636"/>
      <c r="AI825" s="637"/>
      <c r="AJ825" s="629"/>
      <c r="AK825" s="435"/>
      <c r="AL825" s="435"/>
      <c r="AM825" s="435"/>
      <c r="AN825" s="435"/>
      <c r="AO825" s="467"/>
      <c r="AP825" s="504"/>
      <c r="AQ825" s="468"/>
      <c r="AR825" s="616"/>
      <c r="AS825" s="630"/>
      <c r="AT825" s="630"/>
    </row>
    <row r="826">
      <c r="A826" s="467"/>
      <c r="B826" s="504"/>
      <c r="C826" s="468"/>
      <c r="D826" s="616"/>
      <c r="E826" s="467"/>
      <c r="F826" s="504"/>
      <c r="G826" s="468"/>
      <c r="H826" s="616"/>
      <c r="I826" s="467"/>
      <c r="J826" s="504"/>
      <c r="K826" s="468"/>
      <c r="L826" s="616"/>
      <c r="M826" s="467"/>
      <c r="N826" s="504"/>
      <c r="O826" s="468"/>
      <c r="P826" s="616"/>
      <c r="Q826" s="635"/>
      <c r="R826" s="636"/>
      <c r="S826" s="637"/>
      <c r="T826" s="629"/>
      <c r="U826" s="635"/>
      <c r="V826" s="636"/>
      <c r="W826" s="637"/>
      <c r="X826" s="629"/>
      <c r="Y826" s="467"/>
      <c r="Z826" s="504"/>
      <c r="AA826" s="468"/>
      <c r="AB826" s="616"/>
      <c r="AC826" s="635"/>
      <c r="AD826" s="636"/>
      <c r="AE826" s="637"/>
      <c r="AF826" s="629"/>
      <c r="AG826" s="635"/>
      <c r="AH826" s="636"/>
      <c r="AI826" s="637"/>
      <c r="AJ826" s="629"/>
      <c r="AK826" s="435"/>
      <c r="AL826" s="435"/>
      <c r="AM826" s="435"/>
      <c r="AN826" s="435"/>
      <c r="AO826" s="467"/>
      <c r="AP826" s="504"/>
      <c r="AQ826" s="468"/>
      <c r="AR826" s="616"/>
      <c r="AS826" s="630"/>
      <c r="AT826" s="630"/>
    </row>
    <row r="827">
      <c r="A827" s="467"/>
      <c r="B827" s="504"/>
      <c r="C827" s="468"/>
      <c r="D827" s="616"/>
      <c r="E827" s="467"/>
      <c r="F827" s="504"/>
      <c r="G827" s="468"/>
      <c r="H827" s="616"/>
      <c r="I827" s="467"/>
      <c r="J827" s="504"/>
      <c r="K827" s="468"/>
      <c r="L827" s="616"/>
      <c r="M827" s="467"/>
      <c r="N827" s="504"/>
      <c r="O827" s="468"/>
      <c r="P827" s="616"/>
      <c r="Q827" s="635"/>
      <c r="R827" s="636"/>
      <c r="S827" s="637"/>
      <c r="T827" s="629"/>
      <c r="U827" s="635"/>
      <c r="V827" s="636"/>
      <c r="W827" s="637"/>
      <c r="X827" s="629"/>
      <c r="Y827" s="467"/>
      <c r="Z827" s="504"/>
      <c r="AA827" s="468"/>
      <c r="AB827" s="616"/>
      <c r="AC827" s="635"/>
      <c r="AD827" s="636"/>
      <c r="AE827" s="637"/>
      <c r="AF827" s="629"/>
      <c r="AG827" s="635"/>
      <c r="AH827" s="636"/>
      <c r="AI827" s="637"/>
      <c r="AJ827" s="629"/>
      <c r="AK827" s="435"/>
      <c r="AL827" s="435"/>
      <c r="AM827" s="435"/>
      <c r="AN827" s="435"/>
      <c r="AO827" s="467"/>
      <c r="AP827" s="504"/>
      <c r="AQ827" s="468"/>
      <c r="AR827" s="616"/>
      <c r="AS827" s="630"/>
      <c r="AT827" s="630"/>
    </row>
    <row r="828">
      <c r="A828" s="467"/>
      <c r="B828" s="504"/>
      <c r="C828" s="468"/>
      <c r="D828" s="616"/>
      <c r="E828" s="467"/>
      <c r="F828" s="504"/>
      <c r="G828" s="468"/>
      <c r="H828" s="616"/>
      <c r="I828" s="467"/>
      <c r="J828" s="504"/>
      <c r="K828" s="468"/>
      <c r="L828" s="616"/>
      <c r="M828" s="467"/>
      <c r="N828" s="504"/>
      <c r="O828" s="468"/>
      <c r="P828" s="616"/>
      <c r="Q828" s="635"/>
      <c r="R828" s="636"/>
      <c r="S828" s="637"/>
      <c r="T828" s="629"/>
      <c r="U828" s="635"/>
      <c r="V828" s="636"/>
      <c r="W828" s="637"/>
      <c r="X828" s="629"/>
      <c r="Y828" s="467"/>
      <c r="Z828" s="504"/>
      <c r="AA828" s="468"/>
      <c r="AB828" s="616"/>
      <c r="AC828" s="635"/>
      <c r="AD828" s="636"/>
      <c r="AE828" s="637"/>
      <c r="AF828" s="629"/>
      <c r="AG828" s="635"/>
      <c r="AH828" s="636"/>
      <c r="AI828" s="637"/>
      <c r="AJ828" s="629"/>
      <c r="AK828" s="435"/>
      <c r="AL828" s="435"/>
      <c r="AM828" s="435"/>
      <c r="AN828" s="435"/>
      <c r="AO828" s="467"/>
      <c r="AP828" s="504"/>
      <c r="AQ828" s="468"/>
      <c r="AR828" s="616"/>
      <c r="AS828" s="630"/>
      <c r="AT828" s="630"/>
    </row>
    <row r="829">
      <c r="A829" s="467"/>
      <c r="B829" s="504"/>
      <c r="C829" s="468"/>
      <c r="D829" s="616"/>
      <c r="E829" s="467"/>
      <c r="F829" s="504"/>
      <c r="G829" s="468"/>
      <c r="H829" s="616"/>
      <c r="I829" s="467"/>
      <c r="J829" s="504"/>
      <c r="K829" s="468"/>
      <c r="L829" s="616"/>
      <c r="M829" s="467"/>
      <c r="N829" s="504"/>
      <c r="O829" s="468"/>
      <c r="P829" s="616"/>
      <c r="Q829" s="635"/>
      <c r="R829" s="636"/>
      <c r="S829" s="637"/>
      <c r="T829" s="629"/>
      <c r="U829" s="635"/>
      <c r="V829" s="636"/>
      <c r="W829" s="637"/>
      <c r="X829" s="629"/>
      <c r="Y829" s="467"/>
      <c r="Z829" s="504"/>
      <c r="AA829" s="468"/>
      <c r="AB829" s="616"/>
      <c r="AC829" s="635"/>
      <c r="AD829" s="636"/>
      <c r="AE829" s="637"/>
      <c r="AF829" s="629"/>
      <c r="AG829" s="635"/>
      <c r="AH829" s="636"/>
      <c r="AI829" s="637"/>
      <c r="AJ829" s="629"/>
      <c r="AK829" s="435"/>
      <c r="AL829" s="435"/>
      <c r="AM829" s="435"/>
      <c r="AN829" s="435"/>
      <c r="AO829" s="467"/>
      <c r="AP829" s="504"/>
      <c r="AQ829" s="468"/>
      <c r="AR829" s="616"/>
      <c r="AS829" s="630"/>
      <c r="AT829" s="630"/>
    </row>
    <row r="830">
      <c r="A830" s="467"/>
      <c r="B830" s="504"/>
      <c r="C830" s="468"/>
      <c r="D830" s="616"/>
      <c r="E830" s="467"/>
      <c r="F830" s="504"/>
      <c r="G830" s="468"/>
      <c r="H830" s="616"/>
      <c r="I830" s="467"/>
      <c r="J830" s="504"/>
      <c r="K830" s="468"/>
      <c r="L830" s="616"/>
      <c r="M830" s="467"/>
      <c r="N830" s="504"/>
      <c r="O830" s="468"/>
      <c r="P830" s="616"/>
      <c r="Q830" s="635"/>
      <c r="R830" s="636"/>
      <c r="S830" s="637"/>
      <c r="T830" s="629"/>
      <c r="U830" s="635"/>
      <c r="V830" s="636"/>
      <c r="W830" s="637"/>
      <c r="X830" s="629"/>
      <c r="Y830" s="467"/>
      <c r="Z830" s="504"/>
      <c r="AA830" s="468"/>
      <c r="AB830" s="616"/>
      <c r="AC830" s="635"/>
      <c r="AD830" s="636"/>
      <c r="AE830" s="637"/>
      <c r="AF830" s="629"/>
      <c r="AG830" s="635"/>
      <c r="AH830" s="636"/>
      <c r="AI830" s="637"/>
      <c r="AJ830" s="629"/>
      <c r="AK830" s="435"/>
      <c r="AL830" s="435"/>
      <c r="AM830" s="435"/>
      <c r="AN830" s="435"/>
      <c r="AO830" s="467"/>
      <c r="AP830" s="504"/>
      <c r="AQ830" s="468"/>
      <c r="AR830" s="616"/>
      <c r="AS830" s="630"/>
      <c r="AT830" s="630"/>
    </row>
    <row r="831">
      <c r="A831" s="467"/>
      <c r="B831" s="504"/>
      <c r="C831" s="468"/>
      <c r="D831" s="616"/>
      <c r="E831" s="467"/>
      <c r="F831" s="504"/>
      <c r="G831" s="468"/>
      <c r="H831" s="616"/>
      <c r="I831" s="467"/>
      <c r="J831" s="504"/>
      <c r="K831" s="468"/>
      <c r="L831" s="616"/>
      <c r="M831" s="467"/>
      <c r="N831" s="504"/>
      <c r="O831" s="468"/>
      <c r="P831" s="616"/>
      <c r="Q831" s="635"/>
      <c r="R831" s="636"/>
      <c r="S831" s="637"/>
      <c r="T831" s="629"/>
      <c r="U831" s="635"/>
      <c r="V831" s="636"/>
      <c r="W831" s="637"/>
      <c r="X831" s="629"/>
      <c r="Y831" s="467"/>
      <c r="Z831" s="504"/>
      <c r="AA831" s="468"/>
      <c r="AB831" s="616"/>
      <c r="AC831" s="635"/>
      <c r="AD831" s="636"/>
      <c r="AE831" s="637"/>
      <c r="AF831" s="629"/>
      <c r="AG831" s="635"/>
      <c r="AH831" s="636"/>
      <c r="AI831" s="637"/>
      <c r="AJ831" s="629"/>
      <c r="AK831" s="435"/>
      <c r="AL831" s="435"/>
      <c r="AM831" s="435"/>
      <c r="AN831" s="435"/>
      <c r="AO831" s="467"/>
      <c r="AP831" s="504"/>
      <c r="AQ831" s="468"/>
      <c r="AR831" s="616"/>
      <c r="AS831" s="630"/>
      <c r="AT831" s="630"/>
    </row>
    <row r="832">
      <c r="A832" s="467"/>
      <c r="B832" s="504"/>
      <c r="C832" s="468"/>
      <c r="D832" s="616"/>
      <c r="E832" s="467"/>
      <c r="F832" s="504"/>
      <c r="G832" s="468"/>
      <c r="H832" s="616"/>
      <c r="I832" s="467"/>
      <c r="J832" s="504"/>
      <c r="K832" s="468"/>
      <c r="L832" s="616"/>
      <c r="M832" s="467"/>
      <c r="N832" s="504"/>
      <c r="O832" s="468"/>
      <c r="P832" s="616"/>
      <c r="Q832" s="635"/>
      <c r="R832" s="636"/>
      <c r="S832" s="637"/>
      <c r="T832" s="629"/>
      <c r="U832" s="635"/>
      <c r="V832" s="636"/>
      <c r="W832" s="637"/>
      <c r="X832" s="629"/>
      <c r="Y832" s="467"/>
      <c r="Z832" s="504"/>
      <c r="AA832" s="468"/>
      <c r="AB832" s="616"/>
      <c r="AC832" s="635"/>
      <c r="AD832" s="636"/>
      <c r="AE832" s="637"/>
      <c r="AF832" s="629"/>
      <c r="AG832" s="635"/>
      <c r="AH832" s="636"/>
      <c r="AI832" s="637"/>
      <c r="AJ832" s="629"/>
      <c r="AK832" s="435"/>
      <c r="AL832" s="435"/>
      <c r="AM832" s="435"/>
      <c r="AN832" s="435"/>
      <c r="AO832" s="467"/>
      <c r="AP832" s="504"/>
      <c r="AQ832" s="468"/>
      <c r="AR832" s="616"/>
      <c r="AS832" s="630"/>
      <c r="AT832" s="630"/>
    </row>
    <row r="833">
      <c r="A833" s="467"/>
      <c r="B833" s="504"/>
      <c r="C833" s="468"/>
      <c r="D833" s="616"/>
      <c r="E833" s="467"/>
      <c r="F833" s="504"/>
      <c r="G833" s="468"/>
      <c r="H833" s="616"/>
      <c r="I833" s="467"/>
      <c r="J833" s="504"/>
      <c r="K833" s="468"/>
      <c r="L833" s="616"/>
      <c r="M833" s="467"/>
      <c r="N833" s="504"/>
      <c r="O833" s="468"/>
      <c r="P833" s="616"/>
      <c r="Q833" s="635"/>
      <c r="R833" s="636"/>
      <c r="S833" s="637"/>
      <c r="T833" s="629"/>
      <c r="U833" s="635"/>
      <c r="V833" s="636"/>
      <c r="W833" s="637"/>
      <c r="X833" s="629"/>
      <c r="Y833" s="467"/>
      <c r="Z833" s="504"/>
      <c r="AA833" s="468"/>
      <c r="AB833" s="616"/>
      <c r="AC833" s="635"/>
      <c r="AD833" s="636"/>
      <c r="AE833" s="637"/>
      <c r="AF833" s="629"/>
      <c r="AG833" s="635"/>
      <c r="AH833" s="636"/>
      <c r="AI833" s="637"/>
      <c r="AJ833" s="629"/>
      <c r="AK833" s="435"/>
      <c r="AL833" s="435"/>
      <c r="AM833" s="435"/>
      <c r="AN833" s="435"/>
      <c r="AO833" s="467"/>
      <c r="AP833" s="504"/>
      <c r="AQ833" s="468"/>
      <c r="AR833" s="616"/>
      <c r="AS833" s="630"/>
      <c r="AT833" s="630"/>
    </row>
    <row r="834">
      <c r="A834" s="467"/>
      <c r="B834" s="504"/>
      <c r="C834" s="468"/>
      <c r="D834" s="616"/>
      <c r="E834" s="467"/>
      <c r="F834" s="504"/>
      <c r="G834" s="468"/>
      <c r="H834" s="616"/>
      <c r="I834" s="467"/>
      <c r="J834" s="504"/>
      <c r="K834" s="468"/>
      <c r="L834" s="616"/>
      <c r="M834" s="467"/>
      <c r="N834" s="504"/>
      <c r="O834" s="468"/>
      <c r="P834" s="616"/>
      <c r="Q834" s="635"/>
      <c r="R834" s="636"/>
      <c r="S834" s="637"/>
      <c r="T834" s="629"/>
      <c r="U834" s="635"/>
      <c r="V834" s="636"/>
      <c r="W834" s="637"/>
      <c r="X834" s="629"/>
      <c r="Y834" s="467"/>
      <c r="Z834" s="504"/>
      <c r="AA834" s="468"/>
      <c r="AB834" s="616"/>
      <c r="AC834" s="635"/>
      <c r="AD834" s="636"/>
      <c r="AE834" s="637"/>
      <c r="AF834" s="629"/>
      <c r="AG834" s="635"/>
      <c r="AH834" s="636"/>
      <c r="AI834" s="637"/>
      <c r="AJ834" s="629"/>
      <c r="AK834" s="435"/>
      <c r="AL834" s="435"/>
      <c r="AM834" s="435"/>
      <c r="AN834" s="435"/>
      <c r="AO834" s="467"/>
      <c r="AP834" s="504"/>
      <c r="AQ834" s="468"/>
      <c r="AR834" s="616"/>
      <c r="AS834" s="630"/>
      <c r="AT834" s="630"/>
    </row>
    <row r="835">
      <c r="A835" s="467"/>
      <c r="B835" s="504"/>
      <c r="C835" s="468"/>
      <c r="D835" s="616"/>
      <c r="E835" s="467"/>
      <c r="F835" s="504"/>
      <c r="G835" s="468"/>
      <c r="H835" s="616"/>
      <c r="I835" s="467"/>
      <c r="J835" s="504"/>
      <c r="K835" s="468"/>
      <c r="L835" s="616"/>
      <c r="M835" s="467"/>
      <c r="N835" s="504"/>
      <c r="O835" s="468"/>
      <c r="P835" s="616"/>
      <c r="Q835" s="635"/>
      <c r="R835" s="636"/>
      <c r="S835" s="637"/>
      <c r="T835" s="629"/>
      <c r="U835" s="635"/>
      <c r="V835" s="636"/>
      <c r="W835" s="637"/>
      <c r="X835" s="629"/>
      <c r="Y835" s="467"/>
      <c r="Z835" s="504"/>
      <c r="AA835" s="468"/>
      <c r="AB835" s="616"/>
      <c r="AC835" s="635"/>
      <c r="AD835" s="636"/>
      <c r="AE835" s="637"/>
      <c r="AF835" s="629"/>
      <c r="AG835" s="635"/>
      <c r="AH835" s="636"/>
      <c r="AI835" s="637"/>
      <c r="AJ835" s="629"/>
      <c r="AK835" s="435"/>
      <c r="AL835" s="435"/>
      <c r="AM835" s="435"/>
      <c r="AN835" s="435"/>
      <c r="AO835" s="467"/>
      <c r="AP835" s="504"/>
      <c r="AQ835" s="468"/>
      <c r="AR835" s="616"/>
      <c r="AS835" s="630"/>
      <c r="AT835" s="630"/>
    </row>
    <row r="836">
      <c r="A836" s="467"/>
      <c r="B836" s="504"/>
      <c r="C836" s="468"/>
      <c r="D836" s="616"/>
      <c r="E836" s="467"/>
      <c r="F836" s="504"/>
      <c r="G836" s="468"/>
      <c r="H836" s="616"/>
      <c r="I836" s="467"/>
      <c r="J836" s="504"/>
      <c r="K836" s="468"/>
      <c r="L836" s="616"/>
      <c r="M836" s="467"/>
      <c r="N836" s="504"/>
      <c r="O836" s="468"/>
      <c r="P836" s="616"/>
      <c r="Q836" s="635"/>
      <c r="R836" s="636"/>
      <c r="S836" s="637"/>
      <c r="T836" s="629"/>
      <c r="U836" s="635"/>
      <c r="V836" s="636"/>
      <c r="W836" s="637"/>
      <c r="X836" s="629"/>
      <c r="Y836" s="467"/>
      <c r="Z836" s="504"/>
      <c r="AA836" s="468"/>
      <c r="AB836" s="616"/>
      <c r="AC836" s="635"/>
      <c r="AD836" s="636"/>
      <c r="AE836" s="637"/>
      <c r="AF836" s="629"/>
      <c r="AG836" s="635"/>
      <c r="AH836" s="636"/>
      <c r="AI836" s="637"/>
      <c r="AJ836" s="629"/>
      <c r="AK836" s="435"/>
      <c r="AL836" s="435"/>
      <c r="AM836" s="435"/>
      <c r="AN836" s="435"/>
      <c r="AO836" s="467"/>
      <c r="AP836" s="504"/>
      <c r="AQ836" s="468"/>
      <c r="AR836" s="616"/>
      <c r="AS836" s="630"/>
      <c r="AT836" s="630"/>
    </row>
    <row r="837">
      <c r="A837" s="467"/>
      <c r="B837" s="504"/>
      <c r="C837" s="468"/>
      <c r="D837" s="616"/>
      <c r="E837" s="467"/>
      <c r="F837" s="504"/>
      <c r="G837" s="468"/>
      <c r="H837" s="616"/>
      <c r="I837" s="467"/>
      <c r="J837" s="504"/>
      <c r="K837" s="468"/>
      <c r="L837" s="616"/>
      <c r="M837" s="467"/>
      <c r="N837" s="504"/>
      <c r="O837" s="468"/>
      <c r="P837" s="616"/>
      <c r="Q837" s="635"/>
      <c r="R837" s="636"/>
      <c r="S837" s="637"/>
      <c r="T837" s="629"/>
      <c r="U837" s="635"/>
      <c r="V837" s="636"/>
      <c r="W837" s="637"/>
      <c r="X837" s="629"/>
      <c r="Y837" s="467"/>
      <c r="Z837" s="504"/>
      <c r="AA837" s="468"/>
      <c r="AB837" s="616"/>
      <c r="AC837" s="635"/>
      <c r="AD837" s="636"/>
      <c r="AE837" s="637"/>
      <c r="AF837" s="629"/>
      <c r="AG837" s="635"/>
      <c r="AH837" s="636"/>
      <c r="AI837" s="637"/>
      <c r="AJ837" s="629"/>
      <c r="AK837" s="435"/>
      <c r="AL837" s="435"/>
      <c r="AM837" s="435"/>
      <c r="AN837" s="435"/>
      <c r="AO837" s="467"/>
      <c r="AP837" s="504"/>
      <c r="AQ837" s="468"/>
      <c r="AR837" s="616"/>
      <c r="AS837" s="630"/>
      <c r="AT837" s="630"/>
    </row>
    <row r="838">
      <c r="A838" s="467"/>
      <c r="B838" s="504"/>
      <c r="C838" s="468"/>
      <c r="D838" s="616"/>
      <c r="E838" s="467"/>
      <c r="F838" s="504"/>
      <c r="G838" s="468"/>
      <c r="H838" s="616"/>
      <c r="I838" s="467"/>
      <c r="J838" s="504"/>
      <c r="K838" s="468"/>
      <c r="L838" s="616"/>
      <c r="M838" s="467"/>
      <c r="N838" s="504"/>
      <c r="O838" s="468"/>
      <c r="P838" s="616"/>
      <c r="Q838" s="635"/>
      <c r="R838" s="636"/>
      <c r="S838" s="637"/>
      <c r="T838" s="629"/>
      <c r="U838" s="635"/>
      <c r="V838" s="636"/>
      <c r="W838" s="637"/>
      <c r="X838" s="629"/>
      <c r="Y838" s="467"/>
      <c r="Z838" s="504"/>
      <c r="AA838" s="468"/>
      <c r="AB838" s="616"/>
      <c r="AC838" s="635"/>
      <c r="AD838" s="636"/>
      <c r="AE838" s="637"/>
      <c r="AF838" s="629"/>
      <c r="AG838" s="635"/>
      <c r="AH838" s="636"/>
      <c r="AI838" s="637"/>
      <c r="AJ838" s="629"/>
      <c r="AK838" s="435"/>
      <c r="AL838" s="435"/>
      <c r="AM838" s="435"/>
      <c r="AN838" s="435"/>
      <c r="AO838" s="467"/>
      <c r="AP838" s="504"/>
      <c r="AQ838" s="468"/>
      <c r="AR838" s="616"/>
      <c r="AS838" s="630"/>
      <c r="AT838" s="630"/>
    </row>
    <row r="839">
      <c r="A839" s="467"/>
      <c r="B839" s="504"/>
      <c r="C839" s="468"/>
      <c r="D839" s="616"/>
      <c r="E839" s="467"/>
      <c r="F839" s="504"/>
      <c r="G839" s="468"/>
      <c r="H839" s="616"/>
      <c r="I839" s="467"/>
      <c r="J839" s="504"/>
      <c r="K839" s="468"/>
      <c r="L839" s="616"/>
      <c r="M839" s="467"/>
      <c r="N839" s="504"/>
      <c r="O839" s="468"/>
      <c r="P839" s="616"/>
      <c r="Q839" s="635"/>
      <c r="R839" s="636"/>
      <c r="S839" s="637"/>
      <c r="T839" s="629"/>
      <c r="U839" s="635"/>
      <c r="V839" s="636"/>
      <c r="W839" s="637"/>
      <c r="X839" s="629"/>
      <c r="Y839" s="467"/>
      <c r="Z839" s="504"/>
      <c r="AA839" s="468"/>
      <c r="AB839" s="616"/>
      <c r="AC839" s="635"/>
      <c r="AD839" s="636"/>
      <c r="AE839" s="637"/>
      <c r="AF839" s="629"/>
      <c r="AG839" s="635"/>
      <c r="AH839" s="636"/>
      <c r="AI839" s="637"/>
      <c r="AJ839" s="629"/>
      <c r="AK839" s="435"/>
      <c r="AL839" s="435"/>
      <c r="AM839" s="435"/>
      <c r="AN839" s="435"/>
      <c r="AO839" s="467"/>
      <c r="AP839" s="504"/>
      <c r="AQ839" s="468"/>
      <c r="AR839" s="616"/>
      <c r="AS839" s="630"/>
      <c r="AT839" s="630"/>
    </row>
    <row r="840">
      <c r="A840" s="467"/>
      <c r="B840" s="504"/>
      <c r="C840" s="468"/>
      <c r="D840" s="616"/>
      <c r="E840" s="467"/>
      <c r="F840" s="504"/>
      <c r="G840" s="468"/>
      <c r="H840" s="616"/>
      <c r="I840" s="467"/>
      <c r="J840" s="504"/>
      <c r="K840" s="468"/>
      <c r="L840" s="616"/>
      <c r="M840" s="467"/>
      <c r="N840" s="504"/>
      <c r="O840" s="468"/>
      <c r="P840" s="616"/>
      <c r="Q840" s="635"/>
      <c r="R840" s="636"/>
      <c r="S840" s="637"/>
      <c r="T840" s="629"/>
      <c r="U840" s="635"/>
      <c r="V840" s="636"/>
      <c r="W840" s="637"/>
      <c r="X840" s="629"/>
      <c r="Y840" s="467"/>
      <c r="Z840" s="504"/>
      <c r="AA840" s="468"/>
      <c r="AB840" s="616"/>
      <c r="AC840" s="635"/>
      <c r="AD840" s="636"/>
      <c r="AE840" s="637"/>
      <c r="AF840" s="629"/>
      <c r="AG840" s="635"/>
      <c r="AH840" s="636"/>
      <c r="AI840" s="637"/>
      <c r="AJ840" s="629"/>
      <c r="AK840" s="435"/>
      <c r="AL840" s="435"/>
      <c r="AM840" s="435"/>
      <c r="AN840" s="435"/>
      <c r="AO840" s="467"/>
      <c r="AP840" s="504"/>
      <c r="AQ840" s="468"/>
      <c r="AR840" s="616"/>
      <c r="AS840" s="630"/>
      <c r="AT840" s="630"/>
    </row>
    <row r="841">
      <c r="A841" s="467"/>
      <c r="B841" s="504"/>
      <c r="C841" s="468"/>
      <c r="D841" s="616"/>
      <c r="E841" s="467"/>
      <c r="F841" s="504"/>
      <c r="G841" s="468"/>
      <c r="H841" s="616"/>
      <c r="I841" s="467"/>
      <c r="J841" s="504"/>
      <c r="K841" s="468"/>
      <c r="L841" s="616"/>
      <c r="M841" s="467"/>
      <c r="N841" s="504"/>
      <c r="O841" s="468"/>
      <c r="P841" s="616"/>
      <c r="Q841" s="635"/>
      <c r="R841" s="636"/>
      <c r="S841" s="637"/>
      <c r="T841" s="629"/>
      <c r="U841" s="635"/>
      <c r="V841" s="636"/>
      <c r="W841" s="637"/>
      <c r="X841" s="629"/>
      <c r="Y841" s="467"/>
      <c r="Z841" s="504"/>
      <c r="AA841" s="468"/>
      <c r="AB841" s="616"/>
      <c r="AC841" s="635"/>
      <c r="AD841" s="636"/>
      <c r="AE841" s="637"/>
      <c r="AF841" s="629"/>
      <c r="AG841" s="635"/>
      <c r="AH841" s="636"/>
      <c r="AI841" s="637"/>
      <c r="AJ841" s="629"/>
      <c r="AK841" s="435"/>
      <c r="AL841" s="435"/>
      <c r="AM841" s="435"/>
      <c r="AN841" s="435"/>
      <c r="AO841" s="467"/>
      <c r="AP841" s="504"/>
      <c r="AQ841" s="468"/>
      <c r="AR841" s="616"/>
      <c r="AS841" s="630"/>
      <c r="AT841" s="630"/>
    </row>
    <row r="842">
      <c r="A842" s="467"/>
      <c r="B842" s="504"/>
      <c r="C842" s="468"/>
      <c r="D842" s="616"/>
      <c r="E842" s="467"/>
      <c r="F842" s="504"/>
      <c r="G842" s="468"/>
      <c r="H842" s="616"/>
      <c r="I842" s="467"/>
      <c r="J842" s="504"/>
      <c r="K842" s="468"/>
      <c r="L842" s="616"/>
      <c r="M842" s="467"/>
      <c r="N842" s="504"/>
      <c r="O842" s="468"/>
      <c r="P842" s="616"/>
      <c r="Q842" s="635"/>
      <c r="R842" s="636"/>
      <c r="S842" s="637"/>
      <c r="T842" s="629"/>
      <c r="U842" s="635"/>
      <c r="V842" s="636"/>
      <c r="W842" s="637"/>
      <c r="X842" s="629"/>
      <c r="Y842" s="467"/>
      <c r="Z842" s="504"/>
      <c r="AA842" s="468"/>
      <c r="AB842" s="616"/>
      <c r="AC842" s="635"/>
      <c r="AD842" s="636"/>
      <c r="AE842" s="637"/>
      <c r="AF842" s="629"/>
      <c r="AG842" s="635"/>
      <c r="AH842" s="636"/>
      <c r="AI842" s="637"/>
      <c r="AJ842" s="629"/>
      <c r="AK842" s="435"/>
      <c r="AL842" s="435"/>
      <c r="AM842" s="435"/>
      <c r="AN842" s="435"/>
      <c r="AO842" s="467"/>
      <c r="AP842" s="504"/>
      <c r="AQ842" s="468"/>
      <c r="AR842" s="616"/>
      <c r="AS842" s="630"/>
      <c r="AT842" s="630"/>
    </row>
    <row r="843">
      <c r="A843" s="467"/>
      <c r="B843" s="504"/>
      <c r="C843" s="468"/>
      <c r="D843" s="616"/>
      <c r="E843" s="467"/>
      <c r="F843" s="504"/>
      <c r="G843" s="468"/>
      <c r="H843" s="616"/>
      <c r="I843" s="467"/>
      <c r="J843" s="504"/>
      <c r="K843" s="468"/>
      <c r="L843" s="616"/>
      <c r="M843" s="467"/>
      <c r="N843" s="504"/>
      <c r="O843" s="468"/>
      <c r="P843" s="616"/>
      <c r="Q843" s="635"/>
      <c r="R843" s="636"/>
      <c r="S843" s="637"/>
      <c r="T843" s="629"/>
      <c r="U843" s="635"/>
      <c r="V843" s="636"/>
      <c r="W843" s="637"/>
      <c r="X843" s="629"/>
      <c r="Y843" s="467"/>
      <c r="Z843" s="504"/>
      <c r="AA843" s="468"/>
      <c r="AB843" s="616"/>
      <c r="AC843" s="635"/>
      <c r="AD843" s="636"/>
      <c r="AE843" s="637"/>
      <c r="AF843" s="629"/>
      <c r="AG843" s="635"/>
      <c r="AH843" s="636"/>
      <c r="AI843" s="637"/>
      <c r="AJ843" s="629"/>
      <c r="AK843" s="435"/>
      <c r="AL843" s="435"/>
      <c r="AM843" s="435"/>
      <c r="AN843" s="435"/>
      <c r="AO843" s="467"/>
      <c r="AP843" s="504"/>
      <c r="AQ843" s="468"/>
      <c r="AR843" s="616"/>
      <c r="AS843" s="630"/>
      <c r="AT843" s="630"/>
    </row>
    <row r="844">
      <c r="A844" s="467"/>
      <c r="B844" s="504"/>
      <c r="C844" s="468"/>
      <c r="D844" s="616"/>
      <c r="E844" s="467"/>
      <c r="F844" s="504"/>
      <c r="G844" s="468"/>
      <c r="H844" s="616"/>
      <c r="I844" s="467"/>
      <c r="J844" s="504"/>
      <c r="K844" s="468"/>
      <c r="L844" s="616"/>
      <c r="M844" s="467"/>
      <c r="N844" s="504"/>
      <c r="O844" s="468"/>
      <c r="P844" s="616"/>
      <c r="Q844" s="635"/>
      <c r="R844" s="636"/>
      <c r="S844" s="637"/>
      <c r="T844" s="629"/>
      <c r="U844" s="635"/>
      <c r="V844" s="636"/>
      <c r="W844" s="637"/>
      <c r="X844" s="629"/>
      <c r="Y844" s="467"/>
      <c r="Z844" s="504"/>
      <c r="AA844" s="468"/>
      <c r="AB844" s="616"/>
      <c r="AC844" s="635"/>
      <c r="AD844" s="636"/>
      <c r="AE844" s="637"/>
      <c r="AF844" s="629"/>
      <c r="AG844" s="635"/>
      <c r="AH844" s="636"/>
      <c r="AI844" s="637"/>
      <c r="AJ844" s="629"/>
      <c r="AK844" s="435"/>
      <c r="AL844" s="435"/>
      <c r="AM844" s="435"/>
      <c r="AN844" s="435"/>
      <c r="AO844" s="467"/>
      <c r="AP844" s="504"/>
      <c r="AQ844" s="468"/>
      <c r="AR844" s="616"/>
      <c r="AS844" s="630"/>
      <c r="AT844" s="630"/>
    </row>
    <row r="845">
      <c r="A845" s="467"/>
      <c r="B845" s="504"/>
      <c r="C845" s="468"/>
      <c r="D845" s="616"/>
      <c r="E845" s="467"/>
      <c r="F845" s="504"/>
      <c r="G845" s="468"/>
      <c r="H845" s="616"/>
      <c r="I845" s="467"/>
      <c r="J845" s="504"/>
      <c r="K845" s="468"/>
      <c r="L845" s="616"/>
      <c r="M845" s="467"/>
      <c r="N845" s="504"/>
      <c r="O845" s="468"/>
      <c r="P845" s="616"/>
      <c r="Q845" s="635"/>
      <c r="R845" s="636"/>
      <c r="S845" s="637"/>
      <c r="T845" s="629"/>
      <c r="U845" s="635"/>
      <c r="V845" s="636"/>
      <c r="W845" s="637"/>
      <c r="X845" s="629"/>
      <c r="Y845" s="467"/>
      <c r="Z845" s="504"/>
      <c r="AA845" s="468"/>
      <c r="AB845" s="616"/>
      <c r="AC845" s="635"/>
      <c r="AD845" s="636"/>
      <c r="AE845" s="637"/>
      <c r="AF845" s="629"/>
      <c r="AG845" s="635"/>
      <c r="AH845" s="636"/>
      <c r="AI845" s="637"/>
      <c r="AJ845" s="629"/>
      <c r="AK845" s="435"/>
      <c r="AL845" s="435"/>
      <c r="AM845" s="435"/>
      <c r="AN845" s="435"/>
      <c r="AO845" s="467"/>
      <c r="AP845" s="504"/>
      <c r="AQ845" s="468"/>
      <c r="AR845" s="616"/>
      <c r="AS845" s="630"/>
      <c r="AT845" s="630"/>
    </row>
    <row r="846">
      <c r="A846" s="467"/>
      <c r="B846" s="504"/>
      <c r="C846" s="468"/>
      <c r="D846" s="616"/>
      <c r="E846" s="467"/>
      <c r="F846" s="504"/>
      <c r="G846" s="468"/>
      <c r="H846" s="616"/>
      <c r="I846" s="467"/>
      <c r="J846" s="504"/>
      <c r="K846" s="468"/>
      <c r="L846" s="616"/>
      <c r="M846" s="467"/>
      <c r="N846" s="504"/>
      <c r="O846" s="468"/>
      <c r="P846" s="616"/>
      <c r="Q846" s="635"/>
      <c r="R846" s="636"/>
      <c r="S846" s="637"/>
      <c r="T846" s="629"/>
      <c r="U846" s="635"/>
      <c r="V846" s="636"/>
      <c r="W846" s="637"/>
      <c r="X846" s="629"/>
      <c r="Y846" s="467"/>
      <c r="Z846" s="504"/>
      <c r="AA846" s="468"/>
      <c r="AB846" s="616"/>
      <c r="AC846" s="635"/>
      <c r="AD846" s="636"/>
      <c r="AE846" s="637"/>
      <c r="AF846" s="629"/>
      <c r="AG846" s="635"/>
      <c r="AH846" s="636"/>
      <c r="AI846" s="637"/>
      <c r="AJ846" s="629"/>
      <c r="AK846" s="435"/>
      <c r="AL846" s="435"/>
      <c r="AM846" s="435"/>
      <c r="AN846" s="435"/>
      <c r="AO846" s="467"/>
      <c r="AP846" s="504"/>
      <c r="AQ846" s="468"/>
      <c r="AR846" s="616"/>
      <c r="AS846" s="630"/>
      <c r="AT846" s="630"/>
    </row>
    <row r="847">
      <c r="A847" s="467"/>
      <c r="B847" s="504"/>
      <c r="C847" s="468"/>
      <c r="D847" s="616"/>
      <c r="E847" s="467"/>
      <c r="F847" s="504"/>
      <c r="G847" s="468"/>
      <c r="H847" s="616"/>
      <c r="I847" s="467"/>
      <c r="J847" s="504"/>
      <c r="K847" s="468"/>
      <c r="L847" s="616"/>
      <c r="M847" s="467"/>
      <c r="N847" s="504"/>
      <c r="O847" s="468"/>
      <c r="P847" s="616"/>
      <c r="Q847" s="635"/>
      <c r="R847" s="636"/>
      <c r="S847" s="637"/>
      <c r="T847" s="629"/>
      <c r="U847" s="635"/>
      <c r="V847" s="636"/>
      <c r="W847" s="637"/>
      <c r="X847" s="629"/>
      <c r="Y847" s="467"/>
      <c r="Z847" s="504"/>
      <c r="AA847" s="468"/>
      <c r="AB847" s="616"/>
      <c r="AC847" s="635"/>
      <c r="AD847" s="636"/>
      <c r="AE847" s="637"/>
      <c r="AF847" s="629"/>
      <c r="AG847" s="635"/>
      <c r="AH847" s="636"/>
      <c r="AI847" s="637"/>
      <c r="AJ847" s="629"/>
      <c r="AK847" s="435"/>
      <c r="AL847" s="435"/>
      <c r="AM847" s="435"/>
      <c r="AN847" s="435"/>
      <c r="AO847" s="467"/>
      <c r="AP847" s="504"/>
      <c r="AQ847" s="468"/>
      <c r="AR847" s="616"/>
      <c r="AS847" s="630"/>
      <c r="AT847" s="630"/>
    </row>
    <row r="848">
      <c r="A848" s="467"/>
      <c r="B848" s="504"/>
      <c r="C848" s="468"/>
      <c r="D848" s="616"/>
      <c r="E848" s="467"/>
      <c r="F848" s="504"/>
      <c r="G848" s="468"/>
      <c r="H848" s="616"/>
      <c r="I848" s="467"/>
      <c r="J848" s="504"/>
      <c r="K848" s="468"/>
      <c r="L848" s="616"/>
      <c r="M848" s="467"/>
      <c r="N848" s="504"/>
      <c r="O848" s="468"/>
      <c r="P848" s="616"/>
      <c r="Q848" s="635"/>
      <c r="R848" s="636"/>
      <c r="S848" s="637"/>
      <c r="T848" s="629"/>
      <c r="U848" s="635"/>
      <c r="V848" s="636"/>
      <c r="W848" s="637"/>
      <c r="X848" s="629"/>
      <c r="Y848" s="467"/>
      <c r="Z848" s="504"/>
      <c r="AA848" s="468"/>
      <c r="AB848" s="616"/>
      <c r="AC848" s="635"/>
      <c r="AD848" s="636"/>
      <c r="AE848" s="637"/>
      <c r="AF848" s="629"/>
      <c r="AG848" s="635"/>
      <c r="AH848" s="636"/>
      <c r="AI848" s="637"/>
      <c r="AJ848" s="629"/>
      <c r="AK848" s="435"/>
      <c r="AL848" s="435"/>
      <c r="AM848" s="435"/>
      <c r="AN848" s="435"/>
      <c r="AO848" s="467"/>
      <c r="AP848" s="504"/>
      <c r="AQ848" s="468"/>
      <c r="AR848" s="616"/>
      <c r="AS848" s="630"/>
      <c r="AT848" s="630"/>
    </row>
    <row r="849">
      <c r="A849" s="467"/>
      <c r="B849" s="504"/>
      <c r="C849" s="468"/>
      <c r="D849" s="616"/>
      <c r="E849" s="467"/>
      <c r="F849" s="504"/>
      <c r="G849" s="468"/>
      <c r="H849" s="616"/>
      <c r="I849" s="467"/>
      <c r="J849" s="504"/>
      <c r="K849" s="468"/>
      <c r="L849" s="616"/>
      <c r="M849" s="467"/>
      <c r="N849" s="504"/>
      <c r="O849" s="468"/>
      <c r="P849" s="616"/>
      <c r="Q849" s="635"/>
      <c r="R849" s="636"/>
      <c r="S849" s="637"/>
      <c r="T849" s="629"/>
      <c r="U849" s="635"/>
      <c r="V849" s="636"/>
      <c r="W849" s="637"/>
      <c r="X849" s="629"/>
      <c r="Y849" s="467"/>
      <c r="Z849" s="504"/>
      <c r="AA849" s="468"/>
      <c r="AB849" s="616"/>
      <c r="AC849" s="635"/>
      <c r="AD849" s="636"/>
      <c r="AE849" s="637"/>
      <c r="AF849" s="629"/>
      <c r="AG849" s="635"/>
      <c r="AH849" s="636"/>
      <c r="AI849" s="637"/>
      <c r="AJ849" s="629"/>
      <c r="AK849" s="435"/>
      <c r="AL849" s="435"/>
      <c r="AM849" s="435"/>
      <c r="AN849" s="435"/>
      <c r="AO849" s="467"/>
      <c r="AP849" s="504"/>
      <c r="AQ849" s="468"/>
      <c r="AR849" s="616"/>
      <c r="AS849" s="630"/>
      <c r="AT849" s="630"/>
    </row>
    <row r="850">
      <c r="A850" s="467"/>
      <c r="B850" s="504"/>
      <c r="C850" s="468"/>
      <c r="D850" s="616"/>
      <c r="E850" s="467"/>
      <c r="F850" s="504"/>
      <c r="G850" s="468"/>
      <c r="H850" s="616"/>
      <c r="I850" s="467"/>
      <c r="J850" s="504"/>
      <c r="K850" s="468"/>
      <c r="L850" s="616"/>
      <c r="M850" s="467"/>
      <c r="N850" s="504"/>
      <c r="O850" s="468"/>
      <c r="P850" s="616"/>
      <c r="Q850" s="635"/>
      <c r="R850" s="636"/>
      <c r="S850" s="637"/>
      <c r="T850" s="629"/>
      <c r="U850" s="635"/>
      <c r="V850" s="636"/>
      <c r="W850" s="637"/>
      <c r="X850" s="629"/>
      <c r="Y850" s="467"/>
      <c r="Z850" s="504"/>
      <c r="AA850" s="468"/>
      <c r="AB850" s="616"/>
      <c r="AC850" s="635"/>
      <c r="AD850" s="636"/>
      <c r="AE850" s="637"/>
      <c r="AF850" s="629"/>
      <c r="AG850" s="635"/>
      <c r="AH850" s="636"/>
      <c r="AI850" s="637"/>
      <c r="AJ850" s="629"/>
      <c r="AK850" s="435"/>
      <c r="AL850" s="435"/>
      <c r="AM850" s="435"/>
      <c r="AN850" s="435"/>
      <c r="AO850" s="467"/>
      <c r="AP850" s="504"/>
      <c r="AQ850" s="468"/>
      <c r="AR850" s="616"/>
      <c r="AS850" s="630"/>
      <c r="AT850" s="630"/>
    </row>
    <row r="851">
      <c r="A851" s="467"/>
      <c r="B851" s="504"/>
      <c r="C851" s="468"/>
      <c r="D851" s="616"/>
      <c r="E851" s="467"/>
      <c r="F851" s="504"/>
      <c r="G851" s="468"/>
      <c r="H851" s="616"/>
      <c r="I851" s="467"/>
      <c r="J851" s="504"/>
      <c r="K851" s="468"/>
      <c r="L851" s="616"/>
      <c r="M851" s="467"/>
      <c r="N851" s="504"/>
      <c r="O851" s="468"/>
      <c r="P851" s="616"/>
      <c r="Q851" s="635"/>
      <c r="R851" s="636"/>
      <c r="S851" s="637"/>
      <c r="T851" s="629"/>
      <c r="U851" s="635"/>
      <c r="V851" s="636"/>
      <c r="W851" s="637"/>
      <c r="X851" s="629"/>
      <c r="Y851" s="467"/>
      <c r="Z851" s="504"/>
      <c r="AA851" s="468"/>
      <c r="AB851" s="616"/>
      <c r="AC851" s="635"/>
      <c r="AD851" s="636"/>
      <c r="AE851" s="637"/>
      <c r="AF851" s="629"/>
      <c r="AG851" s="635"/>
      <c r="AH851" s="636"/>
      <c r="AI851" s="637"/>
      <c r="AJ851" s="629"/>
      <c r="AK851" s="435"/>
      <c r="AL851" s="435"/>
      <c r="AM851" s="435"/>
      <c r="AN851" s="435"/>
      <c r="AO851" s="467"/>
      <c r="AP851" s="504"/>
      <c r="AQ851" s="468"/>
      <c r="AR851" s="616"/>
      <c r="AS851" s="630"/>
      <c r="AT851" s="630"/>
    </row>
    <row r="852">
      <c r="A852" s="467"/>
      <c r="B852" s="504"/>
      <c r="C852" s="468"/>
      <c r="D852" s="616"/>
      <c r="E852" s="467"/>
      <c r="F852" s="504"/>
      <c r="G852" s="468"/>
      <c r="H852" s="616"/>
      <c r="I852" s="467"/>
      <c r="J852" s="504"/>
      <c r="K852" s="468"/>
      <c r="L852" s="616"/>
      <c r="M852" s="467"/>
      <c r="N852" s="504"/>
      <c r="O852" s="468"/>
      <c r="P852" s="616"/>
      <c r="Q852" s="635"/>
      <c r="R852" s="636"/>
      <c r="S852" s="637"/>
      <c r="T852" s="629"/>
      <c r="U852" s="635"/>
      <c r="V852" s="636"/>
      <c r="W852" s="637"/>
      <c r="X852" s="629"/>
      <c r="Y852" s="467"/>
      <c r="Z852" s="504"/>
      <c r="AA852" s="468"/>
      <c r="AB852" s="616"/>
      <c r="AC852" s="635"/>
      <c r="AD852" s="636"/>
      <c r="AE852" s="637"/>
      <c r="AF852" s="629"/>
      <c r="AG852" s="635"/>
      <c r="AH852" s="636"/>
      <c r="AI852" s="637"/>
      <c r="AJ852" s="629"/>
      <c r="AK852" s="435"/>
      <c r="AL852" s="435"/>
      <c r="AM852" s="435"/>
      <c r="AN852" s="435"/>
      <c r="AO852" s="467"/>
      <c r="AP852" s="504"/>
      <c r="AQ852" s="468"/>
      <c r="AR852" s="616"/>
      <c r="AS852" s="630"/>
      <c r="AT852" s="630"/>
    </row>
    <row r="853">
      <c r="A853" s="467"/>
      <c r="B853" s="504"/>
      <c r="C853" s="468"/>
      <c r="D853" s="616"/>
      <c r="E853" s="467"/>
      <c r="F853" s="504"/>
      <c r="G853" s="468"/>
      <c r="H853" s="616"/>
      <c r="I853" s="467"/>
      <c r="J853" s="504"/>
      <c r="K853" s="468"/>
      <c r="L853" s="616"/>
      <c r="M853" s="467"/>
      <c r="N853" s="504"/>
      <c r="O853" s="468"/>
      <c r="P853" s="616"/>
      <c r="Q853" s="635"/>
      <c r="R853" s="636"/>
      <c r="S853" s="637"/>
      <c r="T853" s="629"/>
      <c r="U853" s="635"/>
      <c r="V853" s="636"/>
      <c r="W853" s="637"/>
      <c r="X853" s="629"/>
      <c r="Y853" s="467"/>
      <c r="Z853" s="504"/>
      <c r="AA853" s="468"/>
      <c r="AB853" s="616"/>
      <c r="AC853" s="635"/>
      <c r="AD853" s="636"/>
      <c r="AE853" s="637"/>
      <c r="AF853" s="629"/>
      <c r="AG853" s="635"/>
      <c r="AH853" s="636"/>
      <c r="AI853" s="637"/>
      <c r="AJ853" s="629"/>
      <c r="AK853" s="435"/>
      <c r="AL853" s="435"/>
      <c r="AM853" s="435"/>
      <c r="AN853" s="435"/>
      <c r="AO853" s="467"/>
      <c r="AP853" s="504"/>
      <c r="AQ853" s="468"/>
      <c r="AR853" s="616"/>
      <c r="AS853" s="630"/>
      <c r="AT853" s="630"/>
    </row>
    <row r="854">
      <c r="A854" s="467"/>
      <c r="B854" s="504"/>
      <c r="C854" s="468"/>
      <c r="D854" s="616"/>
      <c r="E854" s="467"/>
      <c r="F854" s="504"/>
      <c r="G854" s="468"/>
      <c r="H854" s="616"/>
      <c r="I854" s="467"/>
      <c r="J854" s="504"/>
      <c r="K854" s="468"/>
      <c r="L854" s="616"/>
      <c r="M854" s="467"/>
      <c r="N854" s="504"/>
      <c r="O854" s="468"/>
      <c r="P854" s="616"/>
      <c r="Q854" s="635"/>
      <c r="R854" s="636"/>
      <c r="S854" s="637"/>
      <c r="T854" s="629"/>
      <c r="U854" s="635"/>
      <c r="V854" s="636"/>
      <c r="W854" s="637"/>
      <c r="X854" s="629"/>
      <c r="Y854" s="467"/>
      <c r="Z854" s="504"/>
      <c r="AA854" s="468"/>
      <c r="AB854" s="616"/>
      <c r="AC854" s="635"/>
      <c r="AD854" s="636"/>
      <c r="AE854" s="637"/>
      <c r="AF854" s="629"/>
      <c r="AG854" s="635"/>
      <c r="AH854" s="636"/>
      <c r="AI854" s="637"/>
      <c r="AJ854" s="629"/>
      <c r="AK854" s="435"/>
      <c r="AL854" s="435"/>
      <c r="AM854" s="435"/>
      <c r="AN854" s="435"/>
      <c r="AO854" s="467"/>
      <c r="AP854" s="504"/>
      <c r="AQ854" s="468"/>
      <c r="AR854" s="616"/>
      <c r="AS854" s="630"/>
      <c r="AT854" s="630"/>
    </row>
    <row r="855">
      <c r="A855" s="467"/>
      <c r="B855" s="504"/>
      <c r="C855" s="468"/>
      <c r="D855" s="616"/>
      <c r="E855" s="467"/>
      <c r="F855" s="504"/>
      <c r="G855" s="468"/>
      <c r="H855" s="616"/>
      <c r="I855" s="467"/>
      <c r="J855" s="504"/>
      <c r="K855" s="468"/>
      <c r="L855" s="616"/>
      <c r="M855" s="467"/>
      <c r="N855" s="504"/>
      <c r="O855" s="468"/>
      <c r="P855" s="616"/>
      <c r="Q855" s="635"/>
      <c r="R855" s="636"/>
      <c r="S855" s="637"/>
      <c r="T855" s="629"/>
      <c r="U855" s="635"/>
      <c r="V855" s="636"/>
      <c r="W855" s="637"/>
      <c r="X855" s="629"/>
      <c r="Y855" s="467"/>
      <c r="Z855" s="504"/>
      <c r="AA855" s="468"/>
      <c r="AB855" s="616"/>
      <c r="AC855" s="635"/>
      <c r="AD855" s="636"/>
      <c r="AE855" s="637"/>
      <c r="AF855" s="629"/>
      <c r="AG855" s="635"/>
      <c r="AH855" s="636"/>
      <c r="AI855" s="637"/>
      <c r="AJ855" s="629"/>
      <c r="AK855" s="435"/>
      <c r="AL855" s="435"/>
      <c r="AM855" s="435"/>
      <c r="AN855" s="435"/>
      <c r="AO855" s="467"/>
      <c r="AP855" s="504"/>
      <c r="AQ855" s="468"/>
      <c r="AR855" s="616"/>
      <c r="AS855" s="630"/>
      <c r="AT855" s="630"/>
    </row>
    <row r="856">
      <c r="A856" s="467"/>
      <c r="B856" s="504"/>
      <c r="C856" s="468"/>
      <c r="D856" s="616"/>
      <c r="E856" s="467"/>
      <c r="F856" s="504"/>
      <c r="G856" s="468"/>
      <c r="H856" s="616"/>
      <c r="I856" s="467"/>
      <c r="J856" s="504"/>
      <c r="K856" s="468"/>
      <c r="L856" s="616"/>
      <c r="M856" s="467"/>
      <c r="N856" s="504"/>
      <c r="O856" s="468"/>
      <c r="P856" s="616"/>
      <c r="Q856" s="635"/>
      <c r="R856" s="636"/>
      <c r="S856" s="637"/>
      <c r="T856" s="629"/>
      <c r="U856" s="635"/>
      <c r="V856" s="636"/>
      <c r="W856" s="637"/>
      <c r="X856" s="629"/>
      <c r="Y856" s="467"/>
      <c r="Z856" s="504"/>
      <c r="AA856" s="468"/>
      <c r="AB856" s="616"/>
      <c r="AC856" s="635"/>
      <c r="AD856" s="636"/>
      <c r="AE856" s="637"/>
      <c r="AF856" s="629"/>
      <c r="AG856" s="635"/>
      <c r="AH856" s="636"/>
      <c r="AI856" s="637"/>
      <c r="AJ856" s="629"/>
      <c r="AK856" s="435"/>
      <c r="AL856" s="435"/>
      <c r="AM856" s="435"/>
      <c r="AN856" s="435"/>
      <c r="AO856" s="467"/>
      <c r="AP856" s="504"/>
      <c r="AQ856" s="468"/>
      <c r="AR856" s="616"/>
      <c r="AS856" s="630"/>
      <c r="AT856" s="630"/>
    </row>
    <row r="857">
      <c r="A857" s="467"/>
      <c r="B857" s="504"/>
      <c r="C857" s="468"/>
      <c r="D857" s="616"/>
      <c r="E857" s="467"/>
      <c r="F857" s="504"/>
      <c r="G857" s="468"/>
      <c r="H857" s="616"/>
      <c r="I857" s="467"/>
      <c r="J857" s="504"/>
      <c r="K857" s="468"/>
      <c r="L857" s="616"/>
      <c r="M857" s="467"/>
      <c r="N857" s="504"/>
      <c r="O857" s="468"/>
      <c r="P857" s="616"/>
      <c r="Q857" s="635"/>
      <c r="R857" s="636"/>
      <c r="S857" s="637"/>
      <c r="T857" s="629"/>
      <c r="U857" s="635"/>
      <c r="V857" s="636"/>
      <c r="W857" s="637"/>
      <c r="X857" s="629"/>
      <c r="Y857" s="467"/>
      <c r="Z857" s="504"/>
      <c r="AA857" s="468"/>
      <c r="AB857" s="616"/>
      <c r="AC857" s="635"/>
      <c r="AD857" s="636"/>
      <c r="AE857" s="637"/>
      <c r="AF857" s="629"/>
      <c r="AG857" s="635"/>
      <c r="AH857" s="636"/>
      <c r="AI857" s="637"/>
      <c r="AJ857" s="629"/>
      <c r="AK857" s="435"/>
      <c r="AL857" s="435"/>
      <c r="AM857" s="435"/>
      <c r="AN857" s="435"/>
      <c r="AO857" s="467"/>
      <c r="AP857" s="504"/>
      <c r="AQ857" s="468"/>
      <c r="AR857" s="616"/>
      <c r="AS857" s="630"/>
      <c r="AT857" s="630"/>
    </row>
    <row r="858">
      <c r="A858" s="467"/>
      <c r="B858" s="504"/>
      <c r="C858" s="468"/>
      <c r="D858" s="616"/>
      <c r="E858" s="467"/>
      <c r="F858" s="504"/>
      <c r="G858" s="468"/>
      <c r="H858" s="616"/>
      <c r="I858" s="467"/>
      <c r="J858" s="504"/>
      <c r="K858" s="468"/>
      <c r="L858" s="616"/>
      <c r="M858" s="467"/>
      <c r="N858" s="504"/>
      <c r="O858" s="468"/>
      <c r="P858" s="616"/>
      <c r="Q858" s="635"/>
      <c r="R858" s="636"/>
      <c r="S858" s="637"/>
      <c r="T858" s="629"/>
      <c r="U858" s="635"/>
      <c r="V858" s="636"/>
      <c r="W858" s="637"/>
      <c r="X858" s="629"/>
      <c r="Y858" s="467"/>
      <c r="Z858" s="504"/>
      <c r="AA858" s="468"/>
      <c r="AB858" s="616"/>
      <c r="AC858" s="635"/>
      <c r="AD858" s="636"/>
      <c r="AE858" s="637"/>
      <c r="AF858" s="629"/>
      <c r="AG858" s="635"/>
      <c r="AH858" s="636"/>
      <c r="AI858" s="637"/>
      <c r="AJ858" s="629"/>
      <c r="AK858" s="435"/>
      <c r="AL858" s="435"/>
      <c r="AM858" s="435"/>
      <c r="AN858" s="435"/>
      <c r="AO858" s="467"/>
      <c r="AP858" s="504"/>
      <c r="AQ858" s="468"/>
      <c r="AR858" s="616"/>
      <c r="AS858" s="630"/>
      <c r="AT858" s="630"/>
    </row>
    <row r="859">
      <c r="A859" s="467"/>
      <c r="B859" s="504"/>
      <c r="C859" s="468"/>
      <c r="D859" s="616"/>
      <c r="E859" s="467"/>
      <c r="F859" s="504"/>
      <c r="G859" s="468"/>
      <c r="H859" s="616"/>
      <c r="I859" s="467"/>
      <c r="J859" s="504"/>
      <c r="K859" s="468"/>
      <c r="L859" s="616"/>
      <c r="M859" s="467"/>
      <c r="N859" s="504"/>
      <c r="O859" s="468"/>
      <c r="P859" s="616"/>
      <c r="Q859" s="635"/>
      <c r="R859" s="636"/>
      <c r="S859" s="637"/>
      <c r="T859" s="629"/>
      <c r="U859" s="635"/>
      <c r="V859" s="636"/>
      <c r="W859" s="637"/>
      <c r="X859" s="629"/>
      <c r="Y859" s="467"/>
      <c r="Z859" s="504"/>
      <c r="AA859" s="468"/>
      <c r="AB859" s="616"/>
      <c r="AC859" s="635"/>
      <c r="AD859" s="636"/>
      <c r="AE859" s="637"/>
      <c r="AF859" s="629"/>
      <c r="AG859" s="635"/>
      <c r="AH859" s="636"/>
      <c r="AI859" s="637"/>
      <c r="AJ859" s="629"/>
      <c r="AK859" s="435"/>
      <c r="AL859" s="435"/>
      <c r="AM859" s="435"/>
      <c r="AN859" s="435"/>
      <c r="AO859" s="467"/>
      <c r="AP859" s="504"/>
      <c r="AQ859" s="468"/>
      <c r="AR859" s="616"/>
      <c r="AS859" s="630"/>
      <c r="AT859" s="630"/>
    </row>
    <row r="860">
      <c r="A860" s="467"/>
      <c r="B860" s="504"/>
      <c r="C860" s="468"/>
      <c r="D860" s="616"/>
      <c r="E860" s="467"/>
      <c r="F860" s="504"/>
      <c r="G860" s="468"/>
      <c r="H860" s="616"/>
      <c r="I860" s="467"/>
      <c r="J860" s="504"/>
      <c r="K860" s="468"/>
      <c r="L860" s="616"/>
      <c r="M860" s="467"/>
      <c r="N860" s="504"/>
      <c r="O860" s="468"/>
      <c r="P860" s="616"/>
      <c r="Q860" s="635"/>
      <c r="R860" s="636"/>
      <c r="S860" s="637"/>
      <c r="T860" s="629"/>
      <c r="U860" s="635"/>
      <c r="V860" s="636"/>
      <c r="W860" s="637"/>
      <c r="X860" s="629"/>
      <c r="Y860" s="467"/>
      <c r="Z860" s="504"/>
      <c r="AA860" s="468"/>
      <c r="AB860" s="616"/>
      <c r="AC860" s="635"/>
      <c r="AD860" s="636"/>
      <c r="AE860" s="637"/>
      <c r="AF860" s="629"/>
      <c r="AG860" s="635"/>
      <c r="AH860" s="636"/>
      <c r="AI860" s="637"/>
      <c r="AJ860" s="629"/>
      <c r="AK860" s="435"/>
      <c r="AL860" s="435"/>
      <c r="AM860" s="435"/>
      <c r="AN860" s="435"/>
      <c r="AO860" s="467"/>
      <c r="AP860" s="504"/>
      <c r="AQ860" s="468"/>
      <c r="AR860" s="616"/>
      <c r="AS860" s="630"/>
      <c r="AT860" s="630"/>
    </row>
    <row r="861">
      <c r="A861" s="467"/>
      <c r="B861" s="504"/>
      <c r="C861" s="468"/>
      <c r="D861" s="616"/>
      <c r="E861" s="467"/>
      <c r="F861" s="504"/>
      <c r="G861" s="468"/>
      <c r="H861" s="616"/>
      <c r="I861" s="467"/>
      <c r="J861" s="504"/>
      <c r="K861" s="468"/>
      <c r="L861" s="616"/>
      <c r="M861" s="467"/>
      <c r="N861" s="504"/>
      <c r="O861" s="468"/>
      <c r="P861" s="616"/>
      <c r="Q861" s="635"/>
      <c r="R861" s="636"/>
      <c r="S861" s="637"/>
      <c r="T861" s="629"/>
      <c r="U861" s="635"/>
      <c r="V861" s="636"/>
      <c r="W861" s="637"/>
      <c r="X861" s="629"/>
      <c r="Y861" s="467"/>
      <c r="Z861" s="504"/>
      <c r="AA861" s="468"/>
      <c r="AB861" s="616"/>
      <c r="AC861" s="635"/>
      <c r="AD861" s="636"/>
      <c r="AE861" s="637"/>
      <c r="AF861" s="629"/>
      <c r="AG861" s="635"/>
      <c r="AH861" s="636"/>
      <c r="AI861" s="637"/>
      <c r="AJ861" s="629"/>
      <c r="AK861" s="435"/>
      <c r="AL861" s="435"/>
      <c r="AM861" s="435"/>
      <c r="AN861" s="435"/>
      <c r="AO861" s="467"/>
      <c r="AP861" s="504"/>
      <c r="AQ861" s="468"/>
      <c r="AR861" s="616"/>
      <c r="AS861" s="630"/>
      <c r="AT861" s="630"/>
    </row>
    <row r="862">
      <c r="A862" s="467"/>
      <c r="B862" s="504"/>
      <c r="C862" s="468"/>
      <c r="D862" s="616"/>
      <c r="E862" s="467"/>
      <c r="F862" s="504"/>
      <c r="G862" s="468"/>
      <c r="H862" s="616"/>
      <c r="I862" s="467"/>
      <c r="J862" s="504"/>
      <c r="K862" s="468"/>
      <c r="L862" s="616"/>
      <c r="M862" s="467"/>
      <c r="N862" s="504"/>
      <c r="O862" s="468"/>
      <c r="P862" s="616"/>
      <c r="Q862" s="635"/>
      <c r="R862" s="636"/>
      <c r="S862" s="637"/>
      <c r="T862" s="629"/>
      <c r="U862" s="635"/>
      <c r="V862" s="636"/>
      <c r="W862" s="637"/>
      <c r="X862" s="629"/>
      <c r="Y862" s="467"/>
      <c r="Z862" s="504"/>
      <c r="AA862" s="468"/>
      <c r="AB862" s="616"/>
      <c r="AC862" s="635"/>
      <c r="AD862" s="636"/>
      <c r="AE862" s="637"/>
      <c r="AF862" s="629"/>
      <c r="AG862" s="635"/>
      <c r="AH862" s="636"/>
      <c r="AI862" s="637"/>
      <c r="AJ862" s="629"/>
      <c r="AK862" s="435"/>
      <c r="AL862" s="435"/>
      <c r="AM862" s="435"/>
      <c r="AN862" s="435"/>
      <c r="AO862" s="467"/>
      <c r="AP862" s="504"/>
      <c r="AQ862" s="468"/>
      <c r="AR862" s="616"/>
      <c r="AS862" s="630"/>
      <c r="AT862" s="630"/>
    </row>
    <row r="863">
      <c r="A863" s="467"/>
      <c r="B863" s="504"/>
      <c r="C863" s="468"/>
      <c r="D863" s="616"/>
      <c r="E863" s="467"/>
      <c r="F863" s="504"/>
      <c r="G863" s="468"/>
      <c r="H863" s="616"/>
      <c r="I863" s="467"/>
      <c r="J863" s="504"/>
      <c r="K863" s="468"/>
      <c r="L863" s="616"/>
      <c r="M863" s="467"/>
      <c r="N863" s="504"/>
      <c r="O863" s="468"/>
      <c r="P863" s="616"/>
      <c r="Q863" s="635"/>
      <c r="R863" s="636"/>
      <c r="S863" s="637"/>
      <c r="T863" s="629"/>
      <c r="U863" s="635"/>
      <c r="V863" s="636"/>
      <c r="W863" s="637"/>
      <c r="X863" s="629"/>
      <c r="Y863" s="467"/>
      <c r="Z863" s="504"/>
      <c r="AA863" s="468"/>
      <c r="AB863" s="616"/>
      <c r="AC863" s="635"/>
      <c r="AD863" s="636"/>
      <c r="AE863" s="637"/>
      <c r="AF863" s="629"/>
      <c r="AG863" s="635"/>
      <c r="AH863" s="636"/>
      <c r="AI863" s="637"/>
      <c r="AJ863" s="629"/>
      <c r="AK863" s="435"/>
      <c r="AL863" s="435"/>
      <c r="AM863" s="435"/>
      <c r="AN863" s="435"/>
      <c r="AO863" s="467"/>
      <c r="AP863" s="504"/>
      <c r="AQ863" s="468"/>
      <c r="AR863" s="616"/>
      <c r="AS863" s="630"/>
      <c r="AT863" s="630"/>
    </row>
    <row r="864">
      <c r="A864" s="467"/>
      <c r="B864" s="504"/>
      <c r="C864" s="468"/>
      <c r="D864" s="616"/>
      <c r="E864" s="467"/>
      <c r="F864" s="504"/>
      <c r="G864" s="468"/>
      <c r="H864" s="616"/>
      <c r="I864" s="467"/>
      <c r="J864" s="504"/>
      <c r="K864" s="468"/>
      <c r="L864" s="616"/>
      <c r="M864" s="467"/>
      <c r="N864" s="504"/>
      <c r="O864" s="468"/>
      <c r="P864" s="616"/>
      <c r="Q864" s="635"/>
      <c r="R864" s="636"/>
      <c r="S864" s="637"/>
      <c r="T864" s="629"/>
      <c r="U864" s="635"/>
      <c r="V864" s="636"/>
      <c r="W864" s="637"/>
      <c r="X864" s="629"/>
      <c r="Y864" s="467"/>
      <c r="Z864" s="504"/>
      <c r="AA864" s="468"/>
      <c r="AB864" s="616"/>
      <c r="AC864" s="635"/>
      <c r="AD864" s="636"/>
      <c r="AE864" s="637"/>
      <c r="AF864" s="629"/>
      <c r="AG864" s="635"/>
      <c r="AH864" s="636"/>
      <c r="AI864" s="637"/>
      <c r="AJ864" s="629"/>
      <c r="AK864" s="435"/>
      <c r="AL864" s="435"/>
      <c r="AM864" s="435"/>
      <c r="AN864" s="435"/>
      <c r="AO864" s="467"/>
      <c r="AP864" s="504"/>
      <c r="AQ864" s="468"/>
      <c r="AR864" s="616"/>
      <c r="AS864" s="630"/>
      <c r="AT864" s="630"/>
    </row>
    <row r="865">
      <c r="A865" s="467"/>
      <c r="B865" s="504"/>
      <c r="C865" s="468"/>
      <c r="D865" s="616"/>
      <c r="E865" s="467"/>
      <c r="F865" s="504"/>
      <c r="G865" s="468"/>
      <c r="H865" s="616"/>
      <c r="I865" s="467"/>
      <c r="J865" s="504"/>
      <c r="K865" s="468"/>
      <c r="L865" s="616"/>
      <c r="M865" s="467"/>
      <c r="N865" s="504"/>
      <c r="O865" s="468"/>
      <c r="P865" s="616"/>
      <c r="Q865" s="635"/>
      <c r="R865" s="636"/>
      <c r="S865" s="637"/>
      <c r="T865" s="629"/>
      <c r="U865" s="635"/>
      <c r="V865" s="636"/>
      <c r="W865" s="637"/>
      <c r="X865" s="629"/>
      <c r="Y865" s="467"/>
      <c r="Z865" s="504"/>
      <c r="AA865" s="468"/>
      <c r="AB865" s="616"/>
      <c r="AC865" s="635"/>
      <c r="AD865" s="636"/>
      <c r="AE865" s="637"/>
      <c r="AF865" s="629"/>
      <c r="AG865" s="635"/>
      <c r="AH865" s="636"/>
      <c r="AI865" s="637"/>
      <c r="AJ865" s="629"/>
      <c r="AK865" s="435"/>
      <c r="AL865" s="435"/>
      <c r="AM865" s="435"/>
      <c r="AN865" s="435"/>
      <c r="AO865" s="467"/>
      <c r="AP865" s="504"/>
      <c r="AQ865" s="468"/>
      <c r="AR865" s="616"/>
      <c r="AS865" s="630"/>
      <c r="AT865" s="630"/>
    </row>
    <row r="866">
      <c r="A866" s="467"/>
      <c r="B866" s="504"/>
      <c r="C866" s="468"/>
      <c r="D866" s="616"/>
      <c r="E866" s="467"/>
      <c r="F866" s="504"/>
      <c r="G866" s="468"/>
      <c r="H866" s="616"/>
      <c r="I866" s="467"/>
      <c r="J866" s="504"/>
      <c r="K866" s="468"/>
      <c r="L866" s="616"/>
      <c r="M866" s="467"/>
      <c r="N866" s="504"/>
      <c r="O866" s="468"/>
      <c r="P866" s="616"/>
      <c r="Q866" s="635"/>
      <c r="R866" s="636"/>
      <c r="S866" s="637"/>
      <c r="T866" s="629"/>
      <c r="U866" s="635"/>
      <c r="V866" s="636"/>
      <c r="W866" s="637"/>
      <c r="X866" s="629"/>
      <c r="Y866" s="467"/>
      <c r="Z866" s="504"/>
      <c r="AA866" s="468"/>
      <c r="AB866" s="616"/>
      <c r="AC866" s="635"/>
      <c r="AD866" s="636"/>
      <c r="AE866" s="637"/>
      <c r="AF866" s="629"/>
      <c r="AG866" s="635"/>
      <c r="AH866" s="636"/>
      <c r="AI866" s="637"/>
      <c r="AJ866" s="629"/>
      <c r="AK866" s="435"/>
      <c r="AL866" s="435"/>
      <c r="AM866" s="435"/>
      <c r="AN866" s="435"/>
      <c r="AO866" s="467"/>
      <c r="AP866" s="504"/>
      <c r="AQ866" s="468"/>
      <c r="AR866" s="616"/>
      <c r="AS866" s="630"/>
      <c r="AT866" s="630"/>
    </row>
    <row r="867">
      <c r="A867" s="467"/>
      <c r="B867" s="504"/>
      <c r="C867" s="468"/>
      <c r="D867" s="616"/>
      <c r="E867" s="467"/>
      <c r="F867" s="504"/>
      <c r="G867" s="468"/>
      <c r="H867" s="616"/>
      <c r="I867" s="467"/>
      <c r="J867" s="504"/>
      <c r="K867" s="468"/>
      <c r="L867" s="616"/>
      <c r="M867" s="467"/>
      <c r="N867" s="504"/>
      <c r="O867" s="468"/>
      <c r="P867" s="616"/>
      <c r="Q867" s="635"/>
      <c r="R867" s="636"/>
      <c r="S867" s="637"/>
      <c r="T867" s="629"/>
      <c r="U867" s="635"/>
      <c r="V867" s="636"/>
      <c r="W867" s="637"/>
      <c r="X867" s="629"/>
      <c r="Y867" s="467"/>
      <c r="Z867" s="504"/>
      <c r="AA867" s="468"/>
      <c r="AB867" s="616"/>
      <c r="AC867" s="635"/>
      <c r="AD867" s="636"/>
      <c r="AE867" s="637"/>
      <c r="AF867" s="629"/>
      <c r="AG867" s="635"/>
      <c r="AH867" s="636"/>
      <c r="AI867" s="637"/>
      <c r="AJ867" s="629"/>
      <c r="AK867" s="435"/>
      <c r="AL867" s="435"/>
      <c r="AM867" s="435"/>
      <c r="AN867" s="435"/>
      <c r="AO867" s="467"/>
      <c r="AP867" s="504"/>
      <c r="AQ867" s="468"/>
      <c r="AR867" s="616"/>
      <c r="AS867" s="630"/>
      <c r="AT867" s="630"/>
    </row>
    <row r="868">
      <c r="A868" s="467"/>
      <c r="B868" s="504"/>
      <c r="C868" s="468"/>
      <c r="D868" s="616"/>
      <c r="E868" s="467"/>
      <c r="F868" s="504"/>
      <c r="G868" s="468"/>
      <c r="H868" s="616"/>
      <c r="I868" s="467"/>
      <c r="J868" s="504"/>
      <c r="K868" s="468"/>
      <c r="L868" s="616"/>
      <c r="M868" s="467"/>
      <c r="N868" s="504"/>
      <c r="O868" s="468"/>
      <c r="P868" s="616"/>
      <c r="Q868" s="635"/>
      <c r="R868" s="636"/>
      <c r="S868" s="637"/>
      <c r="T868" s="629"/>
      <c r="U868" s="635"/>
      <c r="V868" s="636"/>
      <c r="W868" s="637"/>
      <c r="X868" s="629"/>
      <c r="Y868" s="467"/>
      <c r="Z868" s="504"/>
      <c r="AA868" s="468"/>
      <c r="AB868" s="616"/>
      <c r="AC868" s="635"/>
      <c r="AD868" s="636"/>
      <c r="AE868" s="637"/>
      <c r="AF868" s="629"/>
      <c r="AG868" s="635"/>
      <c r="AH868" s="636"/>
      <c r="AI868" s="637"/>
      <c r="AJ868" s="629"/>
      <c r="AK868" s="435"/>
      <c r="AL868" s="435"/>
      <c r="AM868" s="435"/>
      <c r="AN868" s="435"/>
      <c r="AO868" s="467"/>
      <c r="AP868" s="504"/>
      <c r="AQ868" s="468"/>
      <c r="AR868" s="616"/>
      <c r="AS868" s="630"/>
      <c r="AT868" s="630"/>
    </row>
    <row r="869">
      <c r="A869" s="467"/>
      <c r="B869" s="504"/>
      <c r="C869" s="468"/>
      <c r="D869" s="616"/>
      <c r="E869" s="467"/>
      <c r="F869" s="504"/>
      <c r="G869" s="468"/>
      <c r="H869" s="616"/>
      <c r="I869" s="467"/>
      <c r="J869" s="504"/>
      <c r="K869" s="468"/>
      <c r="L869" s="616"/>
      <c r="M869" s="467"/>
      <c r="N869" s="504"/>
      <c r="O869" s="468"/>
      <c r="P869" s="616"/>
      <c r="Q869" s="635"/>
      <c r="R869" s="636"/>
      <c r="S869" s="637"/>
      <c r="T869" s="629"/>
      <c r="U869" s="635"/>
      <c r="V869" s="636"/>
      <c r="W869" s="637"/>
      <c r="X869" s="629"/>
      <c r="Y869" s="467"/>
      <c r="Z869" s="504"/>
      <c r="AA869" s="468"/>
      <c r="AB869" s="616"/>
      <c r="AC869" s="635"/>
      <c r="AD869" s="636"/>
      <c r="AE869" s="637"/>
      <c r="AF869" s="629"/>
      <c r="AG869" s="635"/>
      <c r="AH869" s="636"/>
      <c r="AI869" s="637"/>
      <c r="AJ869" s="629"/>
      <c r="AK869" s="435"/>
      <c r="AL869" s="435"/>
      <c r="AM869" s="435"/>
      <c r="AN869" s="435"/>
      <c r="AO869" s="467"/>
      <c r="AP869" s="504"/>
      <c r="AQ869" s="468"/>
      <c r="AR869" s="616"/>
      <c r="AS869" s="630"/>
      <c r="AT869" s="630"/>
    </row>
    <row r="870">
      <c r="A870" s="467"/>
      <c r="B870" s="504"/>
      <c r="C870" s="468"/>
      <c r="D870" s="616"/>
      <c r="E870" s="467"/>
      <c r="F870" s="504"/>
      <c r="G870" s="468"/>
      <c r="H870" s="616"/>
      <c r="I870" s="467"/>
      <c r="J870" s="504"/>
      <c r="K870" s="468"/>
      <c r="L870" s="616"/>
      <c r="M870" s="467"/>
      <c r="N870" s="504"/>
      <c r="O870" s="468"/>
      <c r="P870" s="616"/>
      <c r="Q870" s="635"/>
      <c r="R870" s="636"/>
      <c r="S870" s="637"/>
      <c r="T870" s="629"/>
      <c r="U870" s="635"/>
      <c r="V870" s="636"/>
      <c r="W870" s="637"/>
      <c r="X870" s="629"/>
      <c r="Y870" s="467"/>
      <c r="Z870" s="504"/>
      <c r="AA870" s="468"/>
      <c r="AB870" s="616"/>
      <c r="AC870" s="635"/>
      <c r="AD870" s="636"/>
      <c r="AE870" s="637"/>
      <c r="AF870" s="629"/>
      <c r="AG870" s="635"/>
      <c r="AH870" s="636"/>
      <c r="AI870" s="637"/>
      <c r="AJ870" s="629"/>
      <c r="AK870" s="435"/>
      <c r="AL870" s="435"/>
      <c r="AM870" s="435"/>
      <c r="AN870" s="435"/>
      <c r="AO870" s="467"/>
      <c r="AP870" s="504"/>
      <c r="AQ870" s="468"/>
      <c r="AR870" s="616"/>
      <c r="AS870" s="630"/>
      <c r="AT870" s="630"/>
    </row>
    <row r="871">
      <c r="A871" s="467"/>
      <c r="B871" s="504"/>
      <c r="C871" s="468"/>
      <c r="D871" s="616"/>
      <c r="E871" s="467"/>
      <c r="F871" s="504"/>
      <c r="G871" s="468"/>
      <c r="H871" s="616"/>
      <c r="I871" s="467"/>
      <c r="J871" s="504"/>
      <c r="K871" s="468"/>
      <c r="L871" s="616"/>
      <c r="M871" s="467"/>
      <c r="N871" s="504"/>
      <c r="O871" s="468"/>
      <c r="P871" s="616"/>
      <c r="Q871" s="635"/>
      <c r="R871" s="636"/>
      <c r="S871" s="637"/>
      <c r="T871" s="629"/>
      <c r="U871" s="635"/>
      <c r="V871" s="636"/>
      <c r="W871" s="637"/>
      <c r="X871" s="629"/>
      <c r="Y871" s="467"/>
      <c r="Z871" s="504"/>
      <c r="AA871" s="468"/>
      <c r="AB871" s="616"/>
      <c r="AC871" s="635"/>
      <c r="AD871" s="636"/>
      <c r="AE871" s="637"/>
      <c r="AF871" s="629"/>
      <c r="AG871" s="635"/>
      <c r="AH871" s="636"/>
      <c r="AI871" s="637"/>
      <c r="AJ871" s="629"/>
      <c r="AK871" s="435"/>
      <c r="AL871" s="435"/>
      <c r="AM871" s="435"/>
      <c r="AN871" s="435"/>
      <c r="AO871" s="467"/>
      <c r="AP871" s="504"/>
      <c r="AQ871" s="468"/>
      <c r="AR871" s="616"/>
      <c r="AS871" s="630"/>
      <c r="AT871" s="630"/>
    </row>
    <row r="872">
      <c r="A872" s="467"/>
      <c r="B872" s="504"/>
      <c r="C872" s="468"/>
      <c r="D872" s="616"/>
      <c r="E872" s="467"/>
      <c r="F872" s="504"/>
      <c r="G872" s="468"/>
      <c r="H872" s="616"/>
      <c r="I872" s="467"/>
      <c r="J872" s="504"/>
      <c r="K872" s="468"/>
      <c r="L872" s="616"/>
      <c r="M872" s="467"/>
      <c r="N872" s="504"/>
      <c r="O872" s="468"/>
      <c r="P872" s="616"/>
      <c r="Q872" s="635"/>
      <c r="R872" s="636"/>
      <c r="S872" s="637"/>
      <c r="T872" s="629"/>
      <c r="U872" s="635"/>
      <c r="V872" s="636"/>
      <c r="W872" s="637"/>
      <c r="X872" s="629"/>
      <c r="Y872" s="467"/>
      <c r="Z872" s="504"/>
      <c r="AA872" s="468"/>
      <c r="AB872" s="616"/>
      <c r="AC872" s="635"/>
      <c r="AD872" s="636"/>
      <c r="AE872" s="637"/>
      <c r="AF872" s="629"/>
      <c r="AG872" s="635"/>
      <c r="AH872" s="636"/>
      <c r="AI872" s="637"/>
      <c r="AJ872" s="629"/>
      <c r="AK872" s="435"/>
      <c r="AL872" s="435"/>
      <c r="AM872" s="435"/>
      <c r="AN872" s="435"/>
      <c r="AO872" s="467"/>
      <c r="AP872" s="504"/>
      <c r="AQ872" s="468"/>
      <c r="AR872" s="616"/>
      <c r="AS872" s="630"/>
      <c r="AT872" s="630"/>
    </row>
    <row r="873">
      <c r="A873" s="467"/>
      <c r="B873" s="504"/>
      <c r="C873" s="468"/>
      <c r="D873" s="616"/>
      <c r="E873" s="467"/>
      <c r="F873" s="504"/>
      <c r="G873" s="468"/>
      <c r="H873" s="616"/>
      <c r="I873" s="467"/>
      <c r="J873" s="504"/>
      <c r="K873" s="468"/>
      <c r="L873" s="616"/>
      <c r="M873" s="467"/>
      <c r="N873" s="504"/>
      <c r="O873" s="468"/>
      <c r="P873" s="616"/>
      <c r="Q873" s="635"/>
      <c r="R873" s="636"/>
      <c r="S873" s="637"/>
      <c r="T873" s="629"/>
      <c r="U873" s="635"/>
      <c r="V873" s="636"/>
      <c r="W873" s="637"/>
      <c r="X873" s="629"/>
      <c r="Y873" s="467"/>
      <c r="Z873" s="504"/>
      <c r="AA873" s="468"/>
      <c r="AB873" s="616"/>
      <c r="AC873" s="635"/>
      <c r="AD873" s="636"/>
      <c r="AE873" s="637"/>
      <c r="AF873" s="629"/>
      <c r="AG873" s="635"/>
      <c r="AH873" s="636"/>
      <c r="AI873" s="637"/>
      <c r="AJ873" s="629"/>
      <c r="AK873" s="435"/>
      <c r="AL873" s="435"/>
      <c r="AM873" s="435"/>
      <c r="AN873" s="435"/>
      <c r="AO873" s="467"/>
      <c r="AP873" s="504"/>
      <c r="AQ873" s="468"/>
      <c r="AR873" s="616"/>
      <c r="AS873" s="630"/>
      <c r="AT873" s="630"/>
    </row>
    <row r="874">
      <c r="A874" s="467"/>
      <c r="B874" s="504"/>
      <c r="C874" s="468"/>
      <c r="D874" s="616"/>
      <c r="E874" s="467"/>
      <c r="F874" s="504"/>
      <c r="G874" s="468"/>
      <c r="H874" s="616"/>
      <c r="I874" s="467"/>
      <c r="J874" s="504"/>
      <c r="K874" s="468"/>
      <c r="L874" s="616"/>
      <c r="M874" s="467"/>
      <c r="N874" s="504"/>
      <c r="O874" s="468"/>
      <c r="P874" s="616"/>
      <c r="Q874" s="635"/>
      <c r="R874" s="636"/>
      <c r="S874" s="637"/>
      <c r="T874" s="629"/>
      <c r="U874" s="635"/>
      <c r="V874" s="636"/>
      <c r="W874" s="637"/>
      <c r="X874" s="629"/>
      <c r="Y874" s="467"/>
      <c r="Z874" s="504"/>
      <c r="AA874" s="468"/>
      <c r="AB874" s="616"/>
      <c r="AC874" s="635"/>
      <c r="AD874" s="636"/>
      <c r="AE874" s="637"/>
      <c r="AF874" s="629"/>
      <c r="AG874" s="635"/>
      <c r="AH874" s="636"/>
      <c r="AI874" s="637"/>
      <c r="AJ874" s="629"/>
      <c r="AK874" s="435"/>
      <c r="AL874" s="435"/>
      <c r="AM874" s="435"/>
      <c r="AN874" s="435"/>
      <c r="AO874" s="467"/>
      <c r="AP874" s="504"/>
      <c r="AQ874" s="468"/>
      <c r="AR874" s="616"/>
      <c r="AS874" s="630"/>
      <c r="AT874" s="630"/>
    </row>
    <row r="875">
      <c r="A875" s="467"/>
      <c r="B875" s="504"/>
      <c r="C875" s="468"/>
      <c r="D875" s="616"/>
      <c r="E875" s="467"/>
      <c r="F875" s="504"/>
      <c r="G875" s="468"/>
      <c r="H875" s="616"/>
      <c r="I875" s="467"/>
      <c r="J875" s="504"/>
      <c r="K875" s="468"/>
      <c r="L875" s="616"/>
      <c r="M875" s="467"/>
      <c r="N875" s="504"/>
      <c r="O875" s="468"/>
      <c r="P875" s="616"/>
      <c r="Q875" s="635"/>
      <c r="R875" s="636"/>
      <c r="S875" s="637"/>
      <c r="T875" s="629"/>
      <c r="U875" s="635"/>
      <c r="V875" s="636"/>
      <c r="W875" s="637"/>
      <c r="X875" s="629"/>
      <c r="Y875" s="467"/>
      <c r="Z875" s="504"/>
      <c r="AA875" s="468"/>
      <c r="AB875" s="616"/>
      <c r="AC875" s="635"/>
      <c r="AD875" s="636"/>
      <c r="AE875" s="637"/>
      <c r="AF875" s="629"/>
      <c r="AG875" s="635"/>
      <c r="AH875" s="636"/>
      <c r="AI875" s="637"/>
      <c r="AJ875" s="629"/>
      <c r="AK875" s="435"/>
      <c r="AL875" s="435"/>
      <c r="AM875" s="435"/>
      <c r="AN875" s="435"/>
      <c r="AO875" s="467"/>
      <c r="AP875" s="504"/>
      <c r="AQ875" s="468"/>
      <c r="AR875" s="616"/>
      <c r="AS875" s="630"/>
      <c r="AT875" s="630"/>
    </row>
    <row r="876">
      <c r="A876" s="467"/>
      <c r="B876" s="504"/>
      <c r="C876" s="468"/>
      <c r="D876" s="616"/>
      <c r="E876" s="467"/>
      <c r="F876" s="504"/>
      <c r="G876" s="468"/>
      <c r="H876" s="616"/>
      <c r="I876" s="467"/>
      <c r="J876" s="504"/>
      <c r="K876" s="468"/>
      <c r="L876" s="616"/>
      <c r="M876" s="467"/>
      <c r="N876" s="504"/>
      <c r="O876" s="468"/>
      <c r="P876" s="616"/>
      <c r="Q876" s="635"/>
      <c r="R876" s="636"/>
      <c r="S876" s="637"/>
      <c r="T876" s="629"/>
      <c r="U876" s="635"/>
      <c r="V876" s="636"/>
      <c r="W876" s="637"/>
      <c r="X876" s="629"/>
      <c r="Y876" s="467"/>
      <c r="Z876" s="504"/>
      <c r="AA876" s="468"/>
      <c r="AB876" s="616"/>
      <c r="AC876" s="635"/>
      <c r="AD876" s="636"/>
      <c r="AE876" s="637"/>
      <c r="AF876" s="629"/>
      <c r="AG876" s="635"/>
      <c r="AH876" s="636"/>
      <c r="AI876" s="637"/>
      <c r="AJ876" s="629"/>
      <c r="AK876" s="435"/>
      <c r="AL876" s="435"/>
      <c r="AM876" s="435"/>
      <c r="AN876" s="435"/>
      <c r="AO876" s="467"/>
      <c r="AP876" s="504"/>
      <c r="AQ876" s="468"/>
      <c r="AR876" s="616"/>
      <c r="AS876" s="630"/>
      <c r="AT876" s="630"/>
    </row>
    <row r="877">
      <c r="A877" s="467"/>
      <c r="B877" s="504"/>
      <c r="C877" s="468"/>
      <c r="D877" s="616"/>
      <c r="E877" s="467"/>
      <c r="F877" s="504"/>
      <c r="G877" s="468"/>
      <c r="H877" s="616"/>
      <c r="I877" s="467"/>
      <c r="J877" s="504"/>
      <c r="K877" s="468"/>
      <c r="L877" s="616"/>
      <c r="M877" s="467"/>
      <c r="N877" s="504"/>
      <c r="O877" s="468"/>
      <c r="P877" s="616"/>
      <c r="Q877" s="635"/>
      <c r="R877" s="636"/>
      <c r="S877" s="637"/>
      <c r="T877" s="629"/>
      <c r="U877" s="635"/>
      <c r="V877" s="636"/>
      <c r="W877" s="637"/>
      <c r="X877" s="629"/>
      <c r="Y877" s="467"/>
      <c r="Z877" s="504"/>
      <c r="AA877" s="468"/>
      <c r="AB877" s="616"/>
      <c r="AC877" s="635"/>
      <c r="AD877" s="636"/>
      <c r="AE877" s="637"/>
      <c r="AF877" s="629"/>
      <c r="AG877" s="635"/>
      <c r="AH877" s="636"/>
      <c r="AI877" s="637"/>
      <c r="AJ877" s="629"/>
      <c r="AK877" s="435"/>
      <c r="AL877" s="435"/>
      <c r="AM877" s="435"/>
      <c r="AN877" s="435"/>
      <c r="AO877" s="467"/>
      <c r="AP877" s="504"/>
      <c r="AQ877" s="468"/>
      <c r="AR877" s="616"/>
      <c r="AS877" s="630"/>
      <c r="AT877" s="630"/>
    </row>
    <row r="878">
      <c r="A878" s="467"/>
      <c r="B878" s="504"/>
      <c r="C878" s="468"/>
      <c r="D878" s="616"/>
      <c r="E878" s="467"/>
      <c r="F878" s="504"/>
      <c r="G878" s="468"/>
      <c r="H878" s="616"/>
      <c r="I878" s="467"/>
      <c r="J878" s="504"/>
      <c r="K878" s="468"/>
      <c r="L878" s="616"/>
      <c r="M878" s="467"/>
      <c r="N878" s="504"/>
      <c r="O878" s="468"/>
      <c r="P878" s="616"/>
      <c r="Q878" s="635"/>
      <c r="R878" s="636"/>
      <c r="S878" s="637"/>
      <c r="T878" s="629"/>
      <c r="U878" s="635"/>
      <c r="V878" s="636"/>
      <c r="W878" s="637"/>
      <c r="X878" s="629"/>
      <c r="Y878" s="467"/>
      <c r="Z878" s="504"/>
      <c r="AA878" s="468"/>
      <c r="AB878" s="616"/>
      <c r="AC878" s="635"/>
      <c r="AD878" s="636"/>
      <c r="AE878" s="637"/>
      <c r="AF878" s="629"/>
      <c r="AG878" s="635"/>
      <c r="AH878" s="636"/>
      <c r="AI878" s="637"/>
      <c r="AJ878" s="629"/>
      <c r="AK878" s="435"/>
      <c r="AL878" s="435"/>
      <c r="AM878" s="435"/>
      <c r="AN878" s="435"/>
      <c r="AO878" s="467"/>
      <c r="AP878" s="504"/>
      <c r="AQ878" s="468"/>
      <c r="AR878" s="616"/>
      <c r="AS878" s="630"/>
      <c r="AT878" s="630"/>
    </row>
    <row r="879">
      <c r="A879" s="467"/>
      <c r="B879" s="504"/>
      <c r="C879" s="468"/>
      <c r="D879" s="616"/>
      <c r="E879" s="467"/>
      <c r="F879" s="504"/>
      <c r="G879" s="468"/>
      <c r="H879" s="616"/>
      <c r="I879" s="467"/>
      <c r="J879" s="504"/>
      <c r="K879" s="468"/>
      <c r="L879" s="616"/>
      <c r="M879" s="467"/>
      <c r="N879" s="504"/>
      <c r="O879" s="468"/>
      <c r="P879" s="616"/>
      <c r="Q879" s="635"/>
      <c r="R879" s="636"/>
      <c r="S879" s="637"/>
      <c r="T879" s="629"/>
      <c r="U879" s="635"/>
      <c r="V879" s="636"/>
      <c r="W879" s="637"/>
      <c r="X879" s="629"/>
      <c r="Y879" s="467"/>
      <c r="Z879" s="504"/>
      <c r="AA879" s="468"/>
      <c r="AB879" s="616"/>
      <c r="AC879" s="635"/>
      <c r="AD879" s="636"/>
      <c r="AE879" s="637"/>
      <c r="AF879" s="629"/>
      <c r="AG879" s="635"/>
      <c r="AH879" s="636"/>
      <c r="AI879" s="637"/>
      <c r="AJ879" s="629"/>
      <c r="AK879" s="435"/>
      <c r="AL879" s="435"/>
      <c r="AM879" s="435"/>
      <c r="AN879" s="435"/>
      <c r="AO879" s="467"/>
      <c r="AP879" s="504"/>
      <c r="AQ879" s="468"/>
      <c r="AR879" s="616"/>
      <c r="AS879" s="630"/>
      <c r="AT879" s="630"/>
    </row>
    <row r="880">
      <c r="A880" s="467"/>
      <c r="B880" s="504"/>
      <c r="C880" s="468"/>
      <c r="D880" s="616"/>
      <c r="E880" s="467"/>
      <c r="F880" s="504"/>
      <c r="G880" s="468"/>
      <c r="H880" s="616"/>
      <c r="I880" s="467"/>
      <c r="J880" s="504"/>
      <c r="K880" s="468"/>
      <c r="L880" s="616"/>
      <c r="M880" s="467"/>
      <c r="N880" s="504"/>
      <c r="O880" s="468"/>
      <c r="P880" s="616"/>
      <c r="Q880" s="635"/>
      <c r="R880" s="636"/>
      <c r="S880" s="637"/>
      <c r="T880" s="629"/>
      <c r="U880" s="635"/>
      <c r="V880" s="636"/>
      <c r="W880" s="637"/>
      <c r="X880" s="629"/>
      <c r="Y880" s="467"/>
      <c r="Z880" s="504"/>
      <c r="AA880" s="468"/>
      <c r="AB880" s="616"/>
      <c r="AC880" s="635"/>
      <c r="AD880" s="636"/>
      <c r="AE880" s="637"/>
      <c r="AF880" s="629"/>
      <c r="AG880" s="635"/>
      <c r="AH880" s="636"/>
      <c r="AI880" s="637"/>
      <c r="AJ880" s="629"/>
      <c r="AK880" s="435"/>
      <c r="AL880" s="435"/>
      <c r="AM880" s="435"/>
      <c r="AN880" s="435"/>
      <c r="AO880" s="467"/>
      <c r="AP880" s="504"/>
      <c r="AQ880" s="468"/>
      <c r="AR880" s="616"/>
      <c r="AS880" s="630"/>
      <c r="AT880" s="630"/>
    </row>
    <row r="881">
      <c r="A881" s="467"/>
      <c r="B881" s="504"/>
      <c r="C881" s="468"/>
      <c r="D881" s="616"/>
      <c r="E881" s="467"/>
      <c r="F881" s="504"/>
      <c r="G881" s="468"/>
      <c r="H881" s="616"/>
      <c r="I881" s="467"/>
      <c r="J881" s="504"/>
      <c r="K881" s="468"/>
      <c r="L881" s="616"/>
      <c r="M881" s="467"/>
      <c r="N881" s="504"/>
      <c r="O881" s="468"/>
      <c r="P881" s="616"/>
      <c r="Q881" s="635"/>
      <c r="R881" s="636"/>
      <c r="S881" s="637"/>
      <c r="T881" s="629"/>
      <c r="U881" s="635"/>
      <c r="V881" s="636"/>
      <c r="W881" s="637"/>
      <c r="X881" s="629"/>
      <c r="Y881" s="467"/>
      <c r="Z881" s="504"/>
      <c r="AA881" s="468"/>
      <c r="AB881" s="616"/>
      <c r="AC881" s="635"/>
      <c r="AD881" s="636"/>
      <c r="AE881" s="637"/>
      <c r="AF881" s="629"/>
      <c r="AG881" s="635"/>
      <c r="AH881" s="636"/>
      <c r="AI881" s="637"/>
      <c r="AJ881" s="629"/>
      <c r="AK881" s="435"/>
      <c r="AL881" s="435"/>
      <c r="AM881" s="435"/>
      <c r="AN881" s="435"/>
      <c r="AO881" s="467"/>
      <c r="AP881" s="504"/>
      <c r="AQ881" s="468"/>
      <c r="AR881" s="616"/>
      <c r="AS881" s="630"/>
      <c r="AT881" s="630"/>
    </row>
    <row r="882">
      <c r="A882" s="467"/>
      <c r="B882" s="504"/>
      <c r="C882" s="468"/>
      <c r="D882" s="616"/>
      <c r="E882" s="467"/>
      <c r="F882" s="504"/>
      <c r="G882" s="468"/>
      <c r="H882" s="616"/>
      <c r="I882" s="467"/>
      <c r="J882" s="504"/>
      <c r="K882" s="468"/>
      <c r="L882" s="616"/>
      <c r="M882" s="467"/>
      <c r="N882" s="504"/>
      <c r="O882" s="468"/>
      <c r="P882" s="616"/>
      <c r="Q882" s="635"/>
      <c r="R882" s="636"/>
      <c r="S882" s="637"/>
      <c r="T882" s="629"/>
      <c r="U882" s="635"/>
      <c r="V882" s="636"/>
      <c r="W882" s="637"/>
      <c r="X882" s="629"/>
      <c r="Y882" s="467"/>
      <c r="Z882" s="504"/>
      <c r="AA882" s="468"/>
      <c r="AB882" s="616"/>
      <c r="AC882" s="635"/>
      <c r="AD882" s="636"/>
      <c r="AE882" s="637"/>
      <c r="AF882" s="629"/>
      <c r="AG882" s="635"/>
      <c r="AH882" s="636"/>
      <c r="AI882" s="637"/>
      <c r="AJ882" s="629"/>
      <c r="AK882" s="435"/>
      <c r="AL882" s="435"/>
      <c r="AM882" s="435"/>
      <c r="AN882" s="435"/>
      <c r="AO882" s="467"/>
      <c r="AP882" s="504"/>
      <c r="AQ882" s="468"/>
      <c r="AR882" s="616"/>
      <c r="AS882" s="630"/>
      <c r="AT882" s="630"/>
    </row>
    <row r="883">
      <c r="A883" s="467"/>
      <c r="B883" s="504"/>
      <c r="C883" s="468"/>
      <c r="D883" s="616"/>
      <c r="E883" s="467"/>
      <c r="F883" s="504"/>
      <c r="G883" s="468"/>
      <c r="H883" s="616"/>
      <c r="I883" s="467"/>
      <c r="J883" s="504"/>
      <c r="K883" s="468"/>
      <c r="L883" s="616"/>
      <c r="M883" s="467"/>
      <c r="N883" s="504"/>
      <c r="O883" s="468"/>
      <c r="P883" s="616"/>
      <c r="Q883" s="635"/>
      <c r="R883" s="636"/>
      <c r="S883" s="637"/>
      <c r="T883" s="629"/>
      <c r="U883" s="635"/>
      <c r="V883" s="636"/>
      <c r="W883" s="637"/>
      <c r="X883" s="629"/>
      <c r="Y883" s="467"/>
      <c r="Z883" s="504"/>
      <c r="AA883" s="468"/>
      <c r="AB883" s="616"/>
      <c r="AC883" s="635"/>
      <c r="AD883" s="636"/>
      <c r="AE883" s="637"/>
      <c r="AF883" s="629"/>
      <c r="AG883" s="635"/>
      <c r="AH883" s="636"/>
      <c r="AI883" s="637"/>
      <c r="AJ883" s="629"/>
      <c r="AK883" s="435"/>
      <c r="AL883" s="435"/>
      <c r="AM883" s="435"/>
      <c r="AN883" s="435"/>
      <c r="AO883" s="467"/>
      <c r="AP883" s="504"/>
      <c r="AQ883" s="468"/>
      <c r="AR883" s="616"/>
      <c r="AS883" s="630"/>
      <c r="AT883" s="630"/>
    </row>
    <row r="884">
      <c r="A884" s="467"/>
      <c r="B884" s="504"/>
      <c r="C884" s="468"/>
      <c r="D884" s="616"/>
      <c r="E884" s="467"/>
      <c r="F884" s="504"/>
      <c r="G884" s="468"/>
      <c r="H884" s="616"/>
      <c r="I884" s="467"/>
      <c r="J884" s="504"/>
      <c r="K884" s="468"/>
      <c r="L884" s="616"/>
      <c r="M884" s="467"/>
      <c r="N884" s="504"/>
      <c r="O884" s="468"/>
      <c r="P884" s="616"/>
      <c r="Q884" s="635"/>
      <c r="R884" s="636"/>
      <c r="S884" s="637"/>
      <c r="T884" s="629"/>
      <c r="U884" s="635"/>
      <c r="V884" s="636"/>
      <c r="W884" s="637"/>
      <c r="X884" s="629"/>
      <c r="Y884" s="467"/>
      <c r="Z884" s="504"/>
      <c r="AA884" s="468"/>
      <c r="AB884" s="616"/>
      <c r="AC884" s="635"/>
      <c r="AD884" s="636"/>
      <c r="AE884" s="637"/>
      <c r="AF884" s="629"/>
      <c r="AG884" s="635"/>
      <c r="AH884" s="636"/>
      <c r="AI884" s="637"/>
      <c r="AJ884" s="629"/>
      <c r="AK884" s="435"/>
      <c r="AL884" s="435"/>
      <c r="AM884" s="435"/>
      <c r="AN884" s="435"/>
      <c r="AO884" s="467"/>
      <c r="AP884" s="504"/>
      <c r="AQ884" s="468"/>
      <c r="AR884" s="616"/>
      <c r="AS884" s="630"/>
      <c r="AT884" s="630"/>
    </row>
    <row r="885">
      <c r="A885" s="467"/>
      <c r="B885" s="504"/>
      <c r="C885" s="468"/>
      <c r="D885" s="616"/>
      <c r="E885" s="467"/>
      <c r="F885" s="504"/>
      <c r="G885" s="468"/>
      <c r="H885" s="616"/>
      <c r="I885" s="467"/>
      <c r="J885" s="504"/>
      <c r="K885" s="468"/>
      <c r="L885" s="616"/>
      <c r="M885" s="467"/>
      <c r="N885" s="504"/>
      <c r="O885" s="468"/>
      <c r="P885" s="616"/>
      <c r="Q885" s="635"/>
      <c r="R885" s="636"/>
      <c r="S885" s="637"/>
      <c r="T885" s="629"/>
      <c r="U885" s="635"/>
      <c r="V885" s="636"/>
      <c r="W885" s="637"/>
      <c r="X885" s="629"/>
      <c r="Y885" s="467"/>
      <c r="Z885" s="504"/>
      <c r="AA885" s="468"/>
      <c r="AB885" s="616"/>
      <c r="AC885" s="635"/>
      <c r="AD885" s="636"/>
      <c r="AE885" s="637"/>
      <c r="AF885" s="629"/>
      <c r="AG885" s="635"/>
      <c r="AH885" s="636"/>
      <c r="AI885" s="637"/>
      <c r="AJ885" s="629"/>
      <c r="AK885" s="435"/>
      <c r="AL885" s="435"/>
      <c r="AM885" s="435"/>
      <c r="AN885" s="435"/>
      <c r="AO885" s="467"/>
      <c r="AP885" s="504"/>
      <c r="AQ885" s="468"/>
      <c r="AR885" s="616"/>
      <c r="AS885" s="630"/>
      <c r="AT885" s="630"/>
    </row>
    <row r="886">
      <c r="A886" s="467"/>
      <c r="B886" s="504"/>
      <c r="C886" s="468"/>
      <c r="D886" s="616"/>
      <c r="E886" s="467"/>
      <c r="F886" s="504"/>
      <c r="G886" s="468"/>
      <c r="H886" s="616"/>
      <c r="I886" s="467"/>
      <c r="J886" s="504"/>
      <c r="K886" s="468"/>
      <c r="L886" s="616"/>
      <c r="M886" s="467"/>
      <c r="N886" s="504"/>
      <c r="O886" s="468"/>
      <c r="P886" s="616"/>
      <c r="Q886" s="635"/>
      <c r="R886" s="636"/>
      <c r="S886" s="637"/>
      <c r="T886" s="629"/>
      <c r="U886" s="635"/>
      <c r="V886" s="636"/>
      <c r="W886" s="637"/>
      <c r="X886" s="629"/>
      <c r="Y886" s="467"/>
      <c r="Z886" s="504"/>
      <c r="AA886" s="468"/>
      <c r="AB886" s="616"/>
      <c r="AC886" s="635"/>
      <c r="AD886" s="636"/>
      <c r="AE886" s="637"/>
      <c r="AF886" s="629"/>
      <c r="AG886" s="635"/>
      <c r="AH886" s="636"/>
      <c r="AI886" s="637"/>
      <c r="AJ886" s="629"/>
      <c r="AK886" s="435"/>
      <c r="AL886" s="435"/>
      <c r="AM886" s="435"/>
      <c r="AN886" s="435"/>
      <c r="AO886" s="467"/>
      <c r="AP886" s="504"/>
      <c r="AQ886" s="468"/>
      <c r="AR886" s="616"/>
      <c r="AS886" s="630"/>
      <c r="AT886" s="630"/>
    </row>
    <row r="887">
      <c r="A887" s="467"/>
      <c r="B887" s="504"/>
      <c r="C887" s="468"/>
      <c r="D887" s="616"/>
      <c r="E887" s="467"/>
      <c r="F887" s="504"/>
      <c r="G887" s="468"/>
      <c r="H887" s="616"/>
      <c r="I887" s="467"/>
      <c r="J887" s="504"/>
      <c r="K887" s="468"/>
      <c r="L887" s="616"/>
      <c r="M887" s="467"/>
      <c r="N887" s="504"/>
      <c r="O887" s="468"/>
      <c r="P887" s="616"/>
      <c r="Q887" s="635"/>
      <c r="R887" s="636"/>
      <c r="S887" s="637"/>
      <c r="T887" s="629"/>
      <c r="U887" s="635"/>
      <c r="V887" s="636"/>
      <c r="W887" s="637"/>
      <c r="X887" s="629"/>
      <c r="Y887" s="467"/>
      <c r="Z887" s="504"/>
      <c r="AA887" s="468"/>
      <c r="AB887" s="616"/>
      <c r="AC887" s="635"/>
      <c r="AD887" s="636"/>
      <c r="AE887" s="637"/>
      <c r="AF887" s="629"/>
      <c r="AG887" s="635"/>
      <c r="AH887" s="636"/>
      <c r="AI887" s="637"/>
      <c r="AJ887" s="629"/>
      <c r="AK887" s="435"/>
      <c r="AL887" s="435"/>
      <c r="AM887" s="435"/>
      <c r="AN887" s="435"/>
      <c r="AO887" s="467"/>
      <c r="AP887" s="504"/>
      <c r="AQ887" s="468"/>
      <c r="AR887" s="616"/>
      <c r="AS887" s="630"/>
      <c r="AT887" s="630"/>
    </row>
    <row r="888">
      <c r="A888" s="467"/>
      <c r="B888" s="504"/>
      <c r="C888" s="468"/>
      <c r="D888" s="616"/>
      <c r="E888" s="467"/>
      <c r="F888" s="504"/>
      <c r="G888" s="468"/>
      <c r="H888" s="616"/>
      <c r="I888" s="467"/>
      <c r="J888" s="504"/>
      <c r="K888" s="468"/>
      <c r="L888" s="616"/>
      <c r="M888" s="467"/>
      <c r="N888" s="504"/>
      <c r="O888" s="468"/>
      <c r="P888" s="616"/>
      <c r="Q888" s="635"/>
      <c r="R888" s="636"/>
      <c r="S888" s="637"/>
      <c r="T888" s="629"/>
      <c r="U888" s="635"/>
      <c r="V888" s="636"/>
      <c r="W888" s="637"/>
      <c r="X888" s="629"/>
      <c r="Y888" s="467"/>
      <c r="Z888" s="504"/>
      <c r="AA888" s="468"/>
      <c r="AB888" s="616"/>
      <c r="AC888" s="635"/>
      <c r="AD888" s="636"/>
      <c r="AE888" s="637"/>
      <c r="AF888" s="629"/>
      <c r="AG888" s="635"/>
      <c r="AH888" s="636"/>
      <c r="AI888" s="637"/>
      <c r="AJ888" s="629"/>
      <c r="AK888" s="435"/>
      <c r="AL888" s="435"/>
      <c r="AM888" s="435"/>
      <c r="AN888" s="435"/>
      <c r="AO888" s="467"/>
      <c r="AP888" s="504"/>
      <c r="AQ888" s="468"/>
      <c r="AR888" s="616"/>
      <c r="AS888" s="630"/>
      <c r="AT888" s="630"/>
    </row>
    <row r="889">
      <c r="A889" s="467"/>
      <c r="B889" s="504"/>
      <c r="C889" s="468"/>
      <c r="D889" s="616"/>
      <c r="E889" s="467"/>
      <c r="F889" s="504"/>
      <c r="G889" s="468"/>
      <c r="H889" s="616"/>
      <c r="I889" s="467"/>
      <c r="J889" s="504"/>
      <c r="K889" s="468"/>
      <c r="L889" s="616"/>
      <c r="M889" s="467"/>
      <c r="N889" s="504"/>
      <c r="O889" s="468"/>
      <c r="P889" s="616"/>
      <c r="Q889" s="635"/>
      <c r="R889" s="636"/>
      <c r="S889" s="637"/>
      <c r="T889" s="629"/>
      <c r="U889" s="635"/>
      <c r="V889" s="636"/>
      <c r="W889" s="637"/>
      <c r="X889" s="629"/>
      <c r="Y889" s="467"/>
      <c r="Z889" s="504"/>
      <c r="AA889" s="468"/>
      <c r="AB889" s="616"/>
      <c r="AC889" s="635"/>
      <c r="AD889" s="636"/>
      <c r="AE889" s="637"/>
      <c r="AF889" s="629"/>
      <c r="AG889" s="635"/>
      <c r="AH889" s="636"/>
      <c r="AI889" s="637"/>
      <c r="AJ889" s="629"/>
      <c r="AK889" s="435"/>
      <c r="AL889" s="435"/>
      <c r="AM889" s="435"/>
      <c r="AN889" s="435"/>
      <c r="AO889" s="467"/>
      <c r="AP889" s="504"/>
      <c r="AQ889" s="468"/>
      <c r="AR889" s="616"/>
      <c r="AS889" s="630"/>
      <c r="AT889" s="630"/>
    </row>
    <row r="890">
      <c r="A890" s="467"/>
      <c r="B890" s="504"/>
      <c r="C890" s="468"/>
      <c r="D890" s="616"/>
      <c r="E890" s="467"/>
      <c r="F890" s="504"/>
      <c r="G890" s="468"/>
      <c r="H890" s="616"/>
      <c r="I890" s="467"/>
      <c r="J890" s="504"/>
      <c r="K890" s="468"/>
      <c r="L890" s="616"/>
      <c r="M890" s="467"/>
      <c r="N890" s="504"/>
      <c r="O890" s="468"/>
      <c r="P890" s="616"/>
      <c r="Q890" s="635"/>
      <c r="R890" s="636"/>
      <c r="S890" s="637"/>
      <c r="T890" s="629"/>
      <c r="U890" s="635"/>
      <c r="V890" s="636"/>
      <c r="W890" s="637"/>
      <c r="X890" s="629"/>
      <c r="Y890" s="467"/>
      <c r="Z890" s="504"/>
      <c r="AA890" s="468"/>
      <c r="AB890" s="616"/>
      <c r="AC890" s="635"/>
      <c r="AD890" s="636"/>
      <c r="AE890" s="637"/>
      <c r="AF890" s="629"/>
      <c r="AG890" s="635"/>
      <c r="AH890" s="636"/>
      <c r="AI890" s="637"/>
      <c r="AJ890" s="629"/>
      <c r="AK890" s="435"/>
      <c r="AL890" s="435"/>
      <c r="AM890" s="435"/>
      <c r="AN890" s="435"/>
      <c r="AO890" s="467"/>
      <c r="AP890" s="504"/>
      <c r="AQ890" s="468"/>
      <c r="AR890" s="616"/>
      <c r="AS890" s="630"/>
      <c r="AT890" s="630"/>
    </row>
    <row r="891">
      <c r="A891" s="467"/>
      <c r="B891" s="504"/>
      <c r="C891" s="468"/>
      <c r="D891" s="616"/>
      <c r="E891" s="467"/>
      <c r="F891" s="504"/>
      <c r="G891" s="468"/>
      <c r="H891" s="616"/>
      <c r="I891" s="467"/>
      <c r="J891" s="504"/>
      <c r="K891" s="468"/>
      <c r="L891" s="616"/>
      <c r="M891" s="467"/>
      <c r="N891" s="504"/>
      <c r="O891" s="468"/>
      <c r="P891" s="616"/>
      <c r="Q891" s="635"/>
      <c r="R891" s="636"/>
      <c r="S891" s="637"/>
      <c r="T891" s="629"/>
      <c r="U891" s="635"/>
      <c r="V891" s="636"/>
      <c r="W891" s="637"/>
      <c r="X891" s="629"/>
      <c r="Y891" s="467"/>
      <c r="Z891" s="504"/>
      <c r="AA891" s="468"/>
      <c r="AB891" s="616"/>
      <c r="AC891" s="635"/>
      <c r="AD891" s="636"/>
      <c r="AE891" s="637"/>
      <c r="AF891" s="629"/>
      <c r="AG891" s="635"/>
      <c r="AH891" s="636"/>
      <c r="AI891" s="637"/>
      <c r="AJ891" s="629"/>
      <c r="AK891" s="435"/>
      <c r="AL891" s="435"/>
      <c r="AM891" s="435"/>
      <c r="AN891" s="435"/>
      <c r="AO891" s="467"/>
      <c r="AP891" s="504"/>
      <c r="AQ891" s="468"/>
      <c r="AR891" s="616"/>
      <c r="AS891" s="630"/>
      <c r="AT891" s="630"/>
    </row>
    <row r="892">
      <c r="A892" s="467"/>
      <c r="B892" s="504"/>
      <c r="C892" s="468"/>
      <c r="D892" s="616"/>
      <c r="E892" s="467"/>
      <c r="F892" s="504"/>
      <c r="G892" s="468"/>
      <c r="H892" s="616"/>
      <c r="I892" s="467"/>
      <c r="J892" s="504"/>
      <c r="K892" s="468"/>
      <c r="L892" s="616"/>
      <c r="M892" s="467"/>
      <c r="N892" s="504"/>
      <c r="O892" s="468"/>
      <c r="P892" s="616"/>
      <c r="Q892" s="635"/>
      <c r="R892" s="636"/>
      <c r="S892" s="637"/>
      <c r="T892" s="629"/>
      <c r="U892" s="635"/>
      <c r="V892" s="636"/>
      <c r="W892" s="637"/>
      <c r="X892" s="629"/>
      <c r="Y892" s="467"/>
      <c r="Z892" s="504"/>
      <c r="AA892" s="468"/>
      <c r="AB892" s="616"/>
      <c r="AC892" s="635"/>
      <c r="AD892" s="636"/>
      <c r="AE892" s="637"/>
      <c r="AF892" s="629"/>
      <c r="AG892" s="635"/>
      <c r="AH892" s="636"/>
      <c r="AI892" s="637"/>
      <c r="AJ892" s="629"/>
      <c r="AK892" s="435"/>
      <c r="AL892" s="435"/>
      <c r="AM892" s="435"/>
      <c r="AN892" s="435"/>
      <c r="AO892" s="467"/>
      <c r="AP892" s="504"/>
      <c r="AQ892" s="468"/>
      <c r="AR892" s="616"/>
      <c r="AS892" s="630"/>
      <c r="AT892" s="630"/>
    </row>
    <row r="893">
      <c r="A893" s="467"/>
      <c r="B893" s="504"/>
      <c r="C893" s="468"/>
      <c r="D893" s="616"/>
      <c r="E893" s="467"/>
      <c r="F893" s="504"/>
      <c r="G893" s="468"/>
      <c r="H893" s="616"/>
      <c r="I893" s="467"/>
      <c r="J893" s="504"/>
      <c r="K893" s="468"/>
      <c r="L893" s="616"/>
      <c r="M893" s="467"/>
      <c r="N893" s="504"/>
      <c r="O893" s="468"/>
      <c r="P893" s="616"/>
      <c r="Q893" s="635"/>
      <c r="R893" s="636"/>
      <c r="S893" s="637"/>
      <c r="T893" s="629"/>
      <c r="U893" s="635"/>
      <c r="V893" s="636"/>
      <c r="W893" s="637"/>
      <c r="X893" s="629"/>
      <c r="Y893" s="467"/>
      <c r="Z893" s="504"/>
      <c r="AA893" s="468"/>
      <c r="AB893" s="616"/>
      <c r="AC893" s="635"/>
      <c r="AD893" s="636"/>
      <c r="AE893" s="637"/>
      <c r="AF893" s="629"/>
      <c r="AG893" s="635"/>
      <c r="AH893" s="636"/>
      <c r="AI893" s="637"/>
      <c r="AJ893" s="629"/>
      <c r="AK893" s="435"/>
      <c r="AL893" s="435"/>
      <c r="AM893" s="435"/>
      <c r="AN893" s="435"/>
      <c r="AO893" s="467"/>
      <c r="AP893" s="504"/>
      <c r="AQ893" s="468"/>
      <c r="AR893" s="616"/>
      <c r="AS893" s="630"/>
      <c r="AT893" s="630"/>
    </row>
    <row r="894">
      <c r="A894" s="467"/>
      <c r="B894" s="504"/>
      <c r="C894" s="468"/>
      <c r="D894" s="616"/>
      <c r="E894" s="467"/>
      <c r="F894" s="504"/>
      <c r="G894" s="468"/>
      <c r="H894" s="616"/>
      <c r="I894" s="467"/>
      <c r="J894" s="504"/>
      <c r="K894" s="468"/>
      <c r="L894" s="616"/>
      <c r="M894" s="467"/>
      <c r="N894" s="504"/>
      <c r="O894" s="468"/>
      <c r="P894" s="616"/>
      <c r="Q894" s="635"/>
      <c r="R894" s="636"/>
      <c r="S894" s="637"/>
      <c r="T894" s="629"/>
      <c r="U894" s="635"/>
      <c r="V894" s="636"/>
      <c r="W894" s="637"/>
      <c r="X894" s="629"/>
      <c r="Y894" s="467"/>
      <c r="Z894" s="504"/>
      <c r="AA894" s="468"/>
      <c r="AB894" s="616"/>
      <c r="AC894" s="635"/>
      <c r="AD894" s="636"/>
      <c r="AE894" s="637"/>
      <c r="AF894" s="629"/>
      <c r="AG894" s="635"/>
      <c r="AH894" s="636"/>
      <c r="AI894" s="637"/>
      <c r="AJ894" s="629"/>
      <c r="AK894" s="435"/>
      <c r="AL894" s="435"/>
      <c r="AM894" s="435"/>
      <c r="AN894" s="435"/>
      <c r="AO894" s="467"/>
      <c r="AP894" s="504"/>
      <c r="AQ894" s="468"/>
      <c r="AR894" s="616"/>
      <c r="AS894" s="630"/>
      <c r="AT894" s="630"/>
    </row>
    <row r="895">
      <c r="A895" s="467"/>
      <c r="B895" s="504"/>
      <c r="C895" s="468"/>
      <c r="D895" s="616"/>
      <c r="E895" s="467"/>
      <c r="F895" s="504"/>
      <c r="G895" s="468"/>
      <c r="H895" s="616"/>
      <c r="I895" s="467"/>
      <c r="J895" s="504"/>
      <c r="K895" s="468"/>
      <c r="L895" s="616"/>
      <c r="M895" s="467"/>
      <c r="N895" s="504"/>
      <c r="O895" s="468"/>
      <c r="P895" s="616"/>
      <c r="Q895" s="635"/>
      <c r="R895" s="636"/>
      <c r="S895" s="637"/>
      <c r="T895" s="629"/>
      <c r="U895" s="635"/>
      <c r="V895" s="636"/>
      <c r="W895" s="637"/>
      <c r="X895" s="629"/>
      <c r="Y895" s="467"/>
      <c r="Z895" s="504"/>
      <c r="AA895" s="468"/>
      <c r="AB895" s="616"/>
      <c r="AC895" s="635"/>
      <c r="AD895" s="636"/>
      <c r="AE895" s="637"/>
      <c r="AF895" s="629"/>
      <c r="AG895" s="635"/>
      <c r="AH895" s="636"/>
      <c r="AI895" s="637"/>
      <c r="AJ895" s="629"/>
      <c r="AK895" s="435"/>
      <c r="AL895" s="435"/>
      <c r="AM895" s="435"/>
      <c r="AN895" s="435"/>
      <c r="AO895" s="467"/>
      <c r="AP895" s="504"/>
      <c r="AQ895" s="468"/>
      <c r="AR895" s="616"/>
      <c r="AS895" s="630"/>
      <c r="AT895" s="630"/>
    </row>
    <row r="896">
      <c r="A896" s="467"/>
      <c r="B896" s="504"/>
      <c r="C896" s="468"/>
      <c r="D896" s="616"/>
      <c r="E896" s="467"/>
      <c r="F896" s="504"/>
      <c r="G896" s="468"/>
      <c r="H896" s="616"/>
      <c r="I896" s="467"/>
      <c r="J896" s="504"/>
      <c r="K896" s="468"/>
      <c r="L896" s="616"/>
      <c r="M896" s="467"/>
      <c r="N896" s="504"/>
      <c r="O896" s="468"/>
      <c r="P896" s="616"/>
      <c r="Q896" s="635"/>
      <c r="R896" s="636"/>
      <c r="S896" s="637"/>
      <c r="T896" s="629"/>
      <c r="U896" s="635"/>
      <c r="V896" s="636"/>
      <c r="W896" s="637"/>
      <c r="X896" s="629"/>
      <c r="Y896" s="467"/>
      <c r="Z896" s="504"/>
      <c r="AA896" s="468"/>
      <c r="AB896" s="616"/>
      <c r="AC896" s="635"/>
      <c r="AD896" s="636"/>
      <c r="AE896" s="637"/>
      <c r="AF896" s="629"/>
      <c r="AG896" s="635"/>
      <c r="AH896" s="636"/>
      <c r="AI896" s="637"/>
      <c r="AJ896" s="629"/>
      <c r="AK896" s="435"/>
      <c r="AL896" s="435"/>
      <c r="AM896" s="435"/>
      <c r="AN896" s="435"/>
      <c r="AO896" s="467"/>
      <c r="AP896" s="504"/>
      <c r="AQ896" s="468"/>
      <c r="AR896" s="616"/>
      <c r="AS896" s="630"/>
      <c r="AT896" s="630"/>
    </row>
    <row r="897">
      <c r="A897" s="467"/>
      <c r="B897" s="504"/>
      <c r="C897" s="468"/>
      <c r="D897" s="616"/>
      <c r="E897" s="467"/>
      <c r="F897" s="504"/>
      <c r="G897" s="468"/>
      <c r="H897" s="616"/>
      <c r="I897" s="467"/>
      <c r="J897" s="504"/>
      <c r="K897" s="468"/>
      <c r="L897" s="616"/>
      <c r="M897" s="467"/>
      <c r="N897" s="504"/>
      <c r="O897" s="468"/>
      <c r="P897" s="616"/>
      <c r="Q897" s="635"/>
      <c r="R897" s="636"/>
      <c r="S897" s="637"/>
      <c r="T897" s="629"/>
      <c r="U897" s="635"/>
      <c r="V897" s="636"/>
      <c r="W897" s="637"/>
      <c r="X897" s="629"/>
      <c r="Y897" s="467"/>
      <c r="Z897" s="504"/>
      <c r="AA897" s="468"/>
      <c r="AB897" s="616"/>
      <c r="AC897" s="635"/>
      <c r="AD897" s="636"/>
      <c r="AE897" s="637"/>
      <c r="AF897" s="629"/>
      <c r="AG897" s="635"/>
      <c r="AH897" s="636"/>
      <c r="AI897" s="637"/>
      <c r="AJ897" s="629"/>
      <c r="AK897" s="435"/>
      <c r="AL897" s="435"/>
      <c r="AM897" s="435"/>
      <c r="AN897" s="435"/>
      <c r="AO897" s="467"/>
      <c r="AP897" s="504"/>
      <c r="AQ897" s="468"/>
      <c r="AR897" s="616"/>
      <c r="AS897" s="630"/>
      <c r="AT897" s="630"/>
    </row>
    <row r="898">
      <c r="A898" s="467"/>
      <c r="B898" s="504"/>
      <c r="C898" s="468"/>
      <c r="D898" s="616"/>
      <c r="E898" s="467"/>
      <c r="F898" s="504"/>
      <c r="G898" s="468"/>
      <c r="H898" s="616"/>
      <c r="I898" s="467"/>
      <c r="J898" s="504"/>
      <c r="K898" s="468"/>
      <c r="L898" s="616"/>
      <c r="M898" s="467"/>
      <c r="N898" s="504"/>
      <c r="O898" s="468"/>
      <c r="P898" s="616"/>
      <c r="Q898" s="635"/>
      <c r="R898" s="636"/>
      <c r="S898" s="637"/>
      <c r="T898" s="629"/>
      <c r="U898" s="635"/>
      <c r="V898" s="636"/>
      <c r="W898" s="637"/>
      <c r="X898" s="629"/>
      <c r="Y898" s="467"/>
      <c r="Z898" s="504"/>
      <c r="AA898" s="468"/>
      <c r="AB898" s="616"/>
      <c r="AC898" s="635"/>
      <c r="AD898" s="636"/>
      <c r="AE898" s="637"/>
      <c r="AF898" s="629"/>
      <c r="AG898" s="635"/>
      <c r="AH898" s="636"/>
      <c r="AI898" s="637"/>
      <c r="AJ898" s="629"/>
      <c r="AK898" s="435"/>
      <c r="AL898" s="435"/>
      <c r="AM898" s="435"/>
      <c r="AN898" s="435"/>
      <c r="AO898" s="467"/>
      <c r="AP898" s="504"/>
      <c r="AQ898" s="468"/>
      <c r="AR898" s="616"/>
      <c r="AS898" s="630"/>
      <c r="AT898" s="630"/>
    </row>
    <row r="899">
      <c r="A899" s="467"/>
      <c r="B899" s="504"/>
      <c r="C899" s="468"/>
      <c r="D899" s="616"/>
      <c r="E899" s="467"/>
      <c r="F899" s="504"/>
      <c r="G899" s="468"/>
      <c r="H899" s="616"/>
      <c r="I899" s="467"/>
      <c r="J899" s="504"/>
      <c r="K899" s="468"/>
      <c r="L899" s="616"/>
      <c r="M899" s="467"/>
      <c r="N899" s="504"/>
      <c r="O899" s="468"/>
      <c r="P899" s="616"/>
      <c r="Q899" s="635"/>
      <c r="R899" s="636"/>
      <c r="S899" s="637"/>
      <c r="T899" s="629"/>
      <c r="U899" s="635"/>
      <c r="V899" s="636"/>
      <c r="W899" s="637"/>
      <c r="X899" s="629"/>
      <c r="Y899" s="467"/>
      <c r="Z899" s="504"/>
      <c r="AA899" s="468"/>
      <c r="AB899" s="616"/>
      <c r="AC899" s="635"/>
      <c r="AD899" s="636"/>
      <c r="AE899" s="637"/>
      <c r="AF899" s="629"/>
      <c r="AG899" s="635"/>
      <c r="AH899" s="636"/>
      <c r="AI899" s="637"/>
      <c r="AJ899" s="629"/>
      <c r="AK899" s="435"/>
      <c r="AL899" s="435"/>
      <c r="AM899" s="435"/>
      <c r="AN899" s="435"/>
      <c r="AO899" s="467"/>
      <c r="AP899" s="504"/>
      <c r="AQ899" s="468"/>
      <c r="AR899" s="616"/>
      <c r="AS899" s="630"/>
      <c r="AT899" s="630"/>
    </row>
    <row r="900">
      <c r="A900" s="467"/>
      <c r="B900" s="504"/>
      <c r="C900" s="468"/>
      <c r="D900" s="616"/>
      <c r="E900" s="467"/>
      <c r="F900" s="504"/>
      <c r="G900" s="468"/>
      <c r="H900" s="616"/>
      <c r="I900" s="467"/>
      <c r="J900" s="504"/>
      <c r="K900" s="468"/>
      <c r="L900" s="616"/>
      <c r="M900" s="467"/>
      <c r="N900" s="504"/>
      <c r="O900" s="468"/>
      <c r="P900" s="616"/>
      <c r="Q900" s="635"/>
      <c r="R900" s="636"/>
      <c r="S900" s="637"/>
      <c r="T900" s="629"/>
      <c r="U900" s="635"/>
      <c r="V900" s="636"/>
      <c r="W900" s="637"/>
      <c r="X900" s="629"/>
      <c r="Y900" s="467"/>
      <c r="Z900" s="504"/>
      <c r="AA900" s="468"/>
      <c r="AB900" s="616"/>
      <c r="AC900" s="635"/>
      <c r="AD900" s="636"/>
      <c r="AE900" s="637"/>
      <c r="AF900" s="629"/>
      <c r="AG900" s="635"/>
      <c r="AH900" s="636"/>
      <c r="AI900" s="637"/>
      <c r="AJ900" s="629"/>
      <c r="AK900" s="435"/>
      <c r="AL900" s="435"/>
      <c r="AM900" s="435"/>
      <c r="AN900" s="435"/>
      <c r="AO900" s="467"/>
      <c r="AP900" s="504"/>
      <c r="AQ900" s="468"/>
      <c r="AR900" s="616"/>
      <c r="AS900" s="630"/>
      <c r="AT900" s="630"/>
    </row>
    <row r="901">
      <c r="A901" s="467"/>
      <c r="B901" s="504"/>
      <c r="C901" s="468"/>
      <c r="D901" s="616"/>
      <c r="E901" s="467"/>
      <c r="F901" s="504"/>
      <c r="G901" s="468"/>
      <c r="H901" s="616"/>
      <c r="I901" s="467"/>
      <c r="J901" s="504"/>
      <c r="K901" s="468"/>
      <c r="L901" s="616"/>
      <c r="M901" s="467"/>
      <c r="N901" s="504"/>
      <c r="O901" s="468"/>
      <c r="P901" s="616"/>
      <c r="Q901" s="635"/>
      <c r="R901" s="636"/>
      <c r="S901" s="637"/>
      <c r="T901" s="629"/>
      <c r="U901" s="635"/>
      <c r="V901" s="636"/>
      <c r="W901" s="637"/>
      <c r="X901" s="629"/>
      <c r="Y901" s="467"/>
      <c r="Z901" s="504"/>
      <c r="AA901" s="468"/>
      <c r="AB901" s="616"/>
      <c r="AC901" s="635"/>
      <c r="AD901" s="636"/>
      <c r="AE901" s="637"/>
      <c r="AF901" s="629"/>
      <c r="AG901" s="635"/>
      <c r="AH901" s="636"/>
      <c r="AI901" s="637"/>
      <c r="AJ901" s="629"/>
      <c r="AK901" s="435"/>
      <c r="AL901" s="435"/>
      <c r="AM901" s="435"/>
      <c r="AN901" s="435"/>
      <c r="AO901" s="467"/>
      <c r="AP901" s="504"/>
      <c r="AQ901" s="468"/>
      <c r="AR901" s="616"/>
      <c r="AS901" s="630"/>
      <c r="AT901" s="630"/>
    </row>
    <row r="902">
      <c r="A902" s="467"/>
      <c r="B902" s="504"/>
      <c r="C902" s="468"/>
      <c r="D902" s="616"/>
      <c r="E902" s="467"/>
      <c r="F902" s="504"/>
      <c r="G902" s="468"/>
      <c r="H902" s="616"/>
      <c r="I902" s="467"/>
      <c r="J902" s="504"/>
      <c r="K902" s="468"/>
      <c r="L902" s="616"/>
      <c r="M902" s="467"/>
      <c r="N902" s="504"/>
      <c r="O902" s="468"/>
      <c r="P902" s="616"/>
      <c r="Q902" s="635"/>
      <c r="R902" s="636"/>
      <c r="S902" s="637"/>
      <c r="T902" s="629"/>
      <c r="U902" s="635"/>
      <c r="V902" s="636"/>
      <c r="W902" s="637"/>
      <c r="X902" s="629"/>
      <c r="Y902" s="467"/>
      <c r="Z902" s="504"/>
      <c r="AA902" s="468"/>
      <c r="AB902" s="616"/>
      <c r="AC902" s="635"/>
      <c r="AD902" s="636"/>
      <c r="AE902" s="637"/>
      <c r="AF902" s="629"/>
      <c r="AG902" s="635"/>
      <c r="AH902" s="636"/>
      <c r="AI902" s="637"/>
      <c r="AJ902" s="629"/>
      <c r="AK902" s="435"/>
      <c r="AL902" s="435"/>
      <c r="AM902" s="435"/>
      <c r="AN902" s="435"/>
      <c r="AO902" s="467"/>
      <c r="AP902" s="504"/>
      <c r="AQ902" s="468"/>
      <c r="AR902" s="616"/>
      <c r="AS902" s="630"/>
      <c r="AT902" s="630"/>
    </row>
    <row r="903">
      <c r="A903" s="467"/>
      <c r="B903" s="504"/>
      <c r="C903" s="468"/>
      <c r="D903" s="616"/>
      <c r="E903" s="467"/>
      <c r="F903" s="504"/>
      <c r="G903" s="468"/>
      <c r="H903" s="616"/>
      <c r="I903" s="467"/>
      <c r="J903" s="504"/>
      <c r="K903" s="468"/>
      <c r="L903" s="616"/>
      <c r="M903" s="467"/>
      <c r="N903" s="504"/>
      <c r="O903" s="468"/>
      <c r="P903" s="616"/>
      <c r="Q903" s="635"/>
      <c r="R903" s="636"/>
      <c r="S903" s="637"/>
      <c r="T903" s="629"/>
      <c r="U903" s="635"/>
      <c r="V903" s="636"/>
      <c r="W903" s="637"/>
      <c r="X903" s="629"/>
      <c r="Y903" s="467"/>
      <c r="Z903" s="504"/>
      <c r="AA903" s="468"/>
      <c r="AB903" s="616"/>
      <c r="AC903" s="635"/>
      <c r="AD903" s="636"/>
      <c r="AE903" s="637"/>
      <c r="AF903" s="629"/>
      <c r="AG903" s="635"/>
      <c r="AH903" s="636"/>
      <c r="AI903" s="637"/>
      <c r="AJ903" s="629"/>
      <c r="AK903" s="435"/>
      <c r="AL903" s="435"/>
      <c r="AM903" s="435"/>
      <c r="AN903" s="435"/>
      <c r="AO903" s="467"/>
      <c r="AP903" s="504"/>
      <c r="AQ903" s="468"/>
      <c r="AR903" s="616"/>
      <c r="AS903" s="630"/>
      <c r="AT903" s="630"/>
    </row>
    <row r="904">
      <c r="A904" s="467"/>
      <c r="B904" s="504"/>
      <c r="C904" s="468"/>
      <c r="D904" s="616"/>
      <c r="E904" s="467"/>
      <c r="F904" s="504"/>
      <c r="G904" s="468"/>
      <c r="H904" s="616"/>
      <c r="I904" s="467"/>
      <c r="J904" s="504"/>
      <c r="K904" s="468"/>
      <c r="L904" s="616"/>
      <c r="M904" s="467"/>
      <c r="N904" s="504"/>
      <c r="O904" s="468"/>
      <c r="P904" s="616"/>
      <c r="Q904" s="635"/>
      <c r="R904" s="636"/>
      <c r="S904" s="637"/>
      <c r="T904" s="629"/>
      <c r="U904" s="635"/>
      <c r="V904" s="636"/>
      <c r="W904" s="637"/>
      <c r="X904" s="629"/>
      <c r="Y904" s="467"/>
      <c r="Z904" s="504"/>
      <c r="AA904" s="468"/>
      <c r="AB904" s="616"/>
      <c r="AC904" s="635"/>
      <c r="AD904" s="636"/>
      <c r="AE904" s="637"/>
      <c r="AF904" s="629"/>
      <c r="AG904" s="635"/>
      <c r="AH904" s="636"/>
      <c r="AI904" s="637"/>
      <c r="AJ904" s="629"/>
      <c r="AK904" s="435"/>
      <c r="AL904" s="435"/>
      <c r="AM904" s="435"/>
      <c r="AN904" s="435"/>
      <c r="AO904" s="467"/>
      <c r="AP904" s="504"/>
      <c r="AQ904" s="468"/>
      <c r="AR904" s="616"/>
      <c r="AS904" s="630"/>
      <c r="AT904" s="630"/>
    </row>
    <row r="905">
      <c r="A905" s="467"/>
      <c r="B905" s="504"/>
      <c r="C905" s="468"/>
      <c r="D905" s="616"/>
      <c r="E905" s="467"/>
      <c r="F905" s="504"/>
      <c r="G905" s="468"/>
      <c r="H905" s="616"/>
      <c r="I905" s="467"/>
      <c r="J905" s="504"/>
      <c r="K905" s="468"/>
      <c r="L905" s="616"/>
      <c r="M905" s="467"/>
      <c r="N905" s="504"/>
      <c r="O905" s="468"/>
      <c r="P905" s="616"/>
      <c r="Q905" s="635"/>
      <c r="R905" s="636"/>
      <c r="S905" s="637"/>
      <c r="T905" s="629"/>
      <c r="U905" s="635"/>
      <c r="V905" s="636"/>
      <c r="W905" s="637"/>
      <c r="X905" s="629"/>
      <c r="Y905" s="467"/>
      <c r="Z905" s="504"/>
      <c r="AA905" s="468"/>
      <c r="AB905" s="616"/>
      <c r="AC905" s="635"/>
      <c r="AD905" s="636"/>
      <c r="AE905" s="637"/>
      <c r="AF905" s="629"/>
      <c r="AG905" s="635"/>
      <c r="AH905" s="636"/>
      <c r="AI905" s="637"/>
      <c r="AJ905" s="629"/>
      <c r="AK905" s="435"/>
      <c r="AL905" s="435"/>
      <c r="AM905" s="435"/>
      <c r="AN905" s="435"/>
      <c r="AO905" s="467"/>
      <c r="AP905" s="504"/>
      <c r="AQ905" s="468"/>
      <c r="AR905" s="616"/>
      <c r="AS905" s="630"/>
      <c r="AT905" s="630"/>
    </row>
    <row r="906">
      <c r="A906" s="467"/>
      <c r="B906" s="504"/>
      <c r="C906" s="468"/>
      <c r="D906" s="616"/>
      <c r="E906" s="467"/>
      <c r="F906" s="504"/>
      <c r="G906" s="468"/>
      <c r="H906" s="616"/>
      <c r="I906" s="467"/>
      <c r="J906" s="504"/>
      <c r="K906" s="468"/>
      <c r="L906" s="616"/>
      <c r="M906" s="467"/>
      <c r="N906" s="504"/>
      <c r="O906" s="468"/>
      <c r="P906" s="616"/>
      <c r="Q906" s="635"/>
      <c r="R906" s="636"/>
      <c r="S906" s="637"/>
      <c r="T906" s="629"/>
      <c r="U906" s="635"/>
      <c r="V906" s="636"/>
      <c r="W906" s="637"/>
      <c r="X906" s="629"/>
      <c r="Y906" s="467"/>
      <c r="Z906" s="504"/>
      <c r="AA906" s="468"/>
      <c r="AB906" s="616"/>
      <c r="AC906" s="635"/>
      <c r="AD906" s="636"/>
      <c r="AE906" s="637"/>
      <c r="AF906" s="629"/>
      <c r="AG906" s="635"/>
      <c r="AH906" s="636"/>
      <c r="AI906" s="637"/>
      <c r="AJ906" s="629"/>
      <c r="AK906" s="435"/>
      <c r="AL906" s="435"/>
      <c r="AM906" s="435"/>
      <c r="AN906" s="435"/>
      <c r="AO906" s="467"/>
      <c r="AP906" s="504"/>
      <c r="AQ906" s="468"/>
      <c r="AR906" s="616"/>
      <c r="AS906" s="630"/>
      <c r="AT906" s="630"/>
    </row>
    <row r="907">
      <c r="A907" s="467"/>
      <c r="B907" s="504"/>
      <c r="C907" s="468"/>
      <c r="D907" s="616"/>
      <c r="E907" s="467"/>
      <c r="F907" s="504"/>
      <c r="G907" s="468"/>
      <c r="H907" s="616"/>
      <c r="I907" s="467"/>
      <c r="J907" s="504"/>
      <c r="K907" s="468"/>
      <c r="L907" s="616"/>
      <c r="M907" s="467"/>
      <c r="N907" s="504"/>
      <c r="O907" s="468"/>
      <c r="P907" s="616"/>
      <c r="Q907" s="635"/>
      <c r="R907" s="636"/>
      <c r="S907" s="637"/>
      <c r="T907" s="629"/>
      <c r="U907" s="635"/>
      <c r="V907" s="636"/>
      <c r="W907" s="637"/>
      <c r="X907" s="629"/>
      <c r="Y907" s="467"/>
      <c r="Z907" s="504"/>
      <c r="AA907" s="468"/>
      <c r="AB907" s="616"/>
      <c r="AC907" s="635"/>
      <c r="AD907" s="636"/>
      <c r="AE907" s="637"/>
      <c r="AF907" s="629"/>
      <c r="AG907" s="635"/>
      <c r="AH907" s="636"/>
      <c r="AI907" s="637"/>
      <c r="AJ907" s="629"/>
      <c r="AK907" s="435"/>
      <c r="AL907" s="435"/>
      <c r="AM907" s="435"/>
      <c r="AN907" s="435"/>
      <c r="AO907" s="467"/>
      <c r="AP907" s="504"/>
      <c r="AQ907" s="468"/>
      <c r="AR907" s="616"/>
      <c r="AS907" s="630"/>
      <c r="AT907" s="630"/>
    </row>
    <row r="908">
      <c r="A908" s="467"/>
      <c r="B908" s="504"/>
      <c r="C908" s="468"/>
      <c r="D908" s="616"/>
      <c r="E908" s="467"/>
      <c r="F908" s="504"/>
      <c r="G908" s="468"/>
      <c r="H908" s="616"/>
      <c r="I908" s="467"/>
      <c r="J908" s="504"/>
      <c r="K908" s="468"/>
      <c r="L908" s="616"/>
      <c r="M908" s="467"/>
      <c r="N908" s="504"/>
      <c r="O908" s="468"/>
      <c r="P908" s="616"/>
      <c r="Q908" s="635"/>
      <c r="R908" s="636"/>
      <c r="S908" s="637"/>
      <c r="T908" s="629"/>
      <c r="U908" s="635"/>
      <c r="V908" s="636"/>
      <c r="W908" s="637"/>
      <c r="X908" s="629"/>
      <c r="Y908" s="467"/>
      <c r="Z908" s="504"/>
      <c r="AA908" s="468"/>
      <c r="AB908" s="616"/>
      <c r="AC908" s="635"/>
      <c r="AD908" s="636"/>
      <c r="AE908" s="637"/>
      <c r="AF908" s="629"/>
      <c r="AG908" s="635"/>
      <c r="AH908" s="636"/>
      <c r="AI908" s="637"/>
      <c r="AJ908" s="629"/>
      <c r="AK908" s="435"/>
      <c r="AL908" s="435"/>
      <c r="AM908" s="435"/>
      <c r="AN908" s="435"/>
      <c r="AO908" s="467"/>
      <c r="AP908" s="504"/>
      <c r="AQ908" s="468"/>
      <c r="AR908" s="616"/>
      <c r="AS908" s="630"/>
      <c r="AT908" s="630"/>
    </row>
    <row r="909">
      <c r="A909" s="467"/>
      <c r="B909" s="504"/>
      <c r="C909" s="468"/>
      <c r="D909" s="616"/>
      <c r="E909" s="467"/>
      <c r="F909" s="504"/>
      <c r="G909" s="468"/>
      <c r="H909" s="616"/>
      <c r="I909" s="467"/>
      <c r="J909" s="504"/>
      <c r="K909" s="468"/>
      <c r="L909" s="616"/>
      <c r="M909" s="467"/>
      <c r="N909" s="504"/>
      <c r="O909" s="468"/>
      <c r="P909" s="616"/>
      <c r="Q909" s="635"/>
      <c r="R909" s="636"/>
      <c r="S909" s="637"/>
      <c r="T909" s="629"/>
      <c r="U909" s="635"/>
      <c r="V909" s="636"/>
      <c r="W909" s="637"/>
      <c r="X909" s="629"/>
      <c r="Y909" s="467"/>
      <c r="Z909" s="504"/>
      <c r="AA909" s="468"/>
      <c r="AB909" s="616"/>
      <c r="AC909" s="635"/>
      <c r="AD909" s="636"/>
      <c r="AE909" s="637"/>
      <c r="AF909" s="629"/>
      <c r="AG909" s="635"/>
      <c r="AH909" s="636"/>
      <c r="AI909" s="637"/>
      <c r="AJ909" s="629"/>
      <c r="AK909" s="435"/>
      <c r="AL909" s="435"/>
      <c r="AM909" s="435"/>
      <c r="AN909" s="435"/>
      <c r="AO909" s="467"/>
      <c r="AP909" s="504"/>
      <c r="AQ909" s="468"/>
      <c r="AR909" s="616"/>
      <c r="AS909" s="630"/>
      <c r="AT909" s="630"/>
    </row>
    <row r="910">
      <c r="A910" s="467"/>
      <c r="B910" s="504"/>
      <c r="C910" s="468"/>
      <c r="D910" s="616"/>
      <c r="E910" s="467"/>
      <c r="F910" s="504"/>
      <c r="G910" s="468"/>
      <c r="H910" s="616"/>
      <c r="I910" s="467"/>
      <c r="J910" s="504"/>
      <c r="K910" s="468"/>
      <c r="L910" s="616"/>
      <c r="M910" s="467"/>
      <c r="N910" s="504"/>
      <c r="O910" s="468"/>
      <c r="P910" s="616"/>
      <c r="Q910" s="635"/>
      <c r="R910" s="636"/>
      <c r="S910" s="637"/>
      <c r="T910" s="629"/>
      <c r="U910" s="635"/>
      <c r="V910" s="636"/>
      <c r="W910" s="637"/>
      <c r="X910" s="629"/>
      <c r="Y910" s="467"/>
      <c r="Z910" s="504"/>
      <c r="AA910" s="468"/>
      <c r="AB910" s="616"/>
      <c r="AC910" s="635"/>
      <c r="AD910" s="636"/>
      <c r="AE910" s="637"/>
      <c r="AF910" s="629"/>
      <c r="AG910" s="635"/>
      <c r="AH910" s="636"/>
      <c r="AI910" s="637"/>
      <c r="AJ910" s="629"/>
      <c r="AK910" s="435"/>
      <c r="AL910" s="435"/>
      <c r="AM910" s="435"/>
      <c r="AN910" s="435"/>
      <c r="AO910" s="467"/>
      <c r="AP910" s="504"/>
      <c r="AQ910" s="468"/>
      <c r="AR910" s="616"/>
      <c r="AS910" s="630"/>
      <c r="AT910" s="630"/>
    </row>
    <row r="911">
      <c r="A911" s="467"/>
      <c r="B911" s="504"/>
      <c r="C911" s="468"/>
      <c r="D911" s="616"/>
      <c r="E911" s="467"/>
      <c r="F911" s="504"/>
      <c r="G911" s="468"/>
      <c r="H911" s="616"/>
      <c r="I911" s="467"/>
      <c r="J911" s="504"/>
      <c r="K911" s="468"/>
      <c r="L911" s="616"/>
      <c r="M911" s="467"/>
      <c r="N911" s="504"/>
      <c r="O911" s="468"/>
      <c r="P911" s="616"/>
      <c r="Q911" s="635"/>
      <c r="R911" s="636"/>
      <c r="S911" s="637"/>
      <c r="T911" s="629"/>
      <c r="U911" s="635"/>
      <c r="V911" s="636"/>
      <c r="W911" s="637"/>
      <c r="X911" s="629"/>
      <c r="Y911" s="467"/>
      <c r="Z911" s="504"/>
      <c r="AA911" s="468"/>
      <c r="AB911" s="616"/>
      <c r="AC911" s="635"/>
      <c r="AD911" s="636"/>
      <c r="AE911" s="637"/>
      <c r="AF911" s="629"/>
      <c r="AG911" s="635"/>
      <c r="AH911" s="636"/>
      <c r="AI911" s="637"/>
      <c r="AJ911" s="629"/>
      <c r="AK911" s="435"/>
      <c r="AL911" s="435"/>
      <c r="AM911" s="435"/>
      <c r="AN911" s="435"/>
      <c r="AO911" s="467"/>
      <c r="AP911" s="504"/>
      <c r="AQ911" s="468"/>
      <c r="AR911" s="616"/>
      <c r="AS911" s="630"/>
      <c r="AT911" s="630"/>
    </row>
    <row r="912">
      <c r="A912" s="467"/>
      <c r="B912" s="504"/>
      <c r="C912" s="468"/>
      <c r="D912" s="616"/>
      <c r="E912" s="467"/>
      <c r="F912" s="504"/>
      <c r="G912" s="468"/>
      <c r="H912" s="616"/>
      <c r="I912" s="467"/>
      <c r="J912" s="504"/>
      <c r="K912" s="468"/>
      <c r="L912" s="616"/>
      <c r="M912" s="467"/>
      <c r="N912" s="504"/>
      <c r="O912" s="468"/>
      <c r="P912" s="616"/>
      <c r="Q912" s="635"/>
      <c r="R912" s="636"/>
      <c r="S912" s="637"/>
      <c r="T912" s="629"/>
      <c r="U912" s="635"/>
      <c r="V912" s="636"/>
      <c r="W912" s="637"/>
      <c r="X912" s="629"/>
      <c r="Y912" s="467"/>
      <c r="Z912" s="504"/>
      <c r="AA912" s="468"/>
      <c r="AB912" s="616"/>
      <c r="AC912" s="635"/>
      <c r="AD912" s="636"/>
      <c r="AE912" s="637"/>
      <c r="AF912" s="629"/>
      <c r="AG912" s="635"/>
      <c r="AH912" s="636"/>
      <c r="AI912" s="637"/>
      <c r="AJ912" s="629"/>
      <c r="AK912" s="435"/>
      <c r="AL912" s="435"/>
      <c r="AM912" s="435"/>
      <c r="AN912" s="435"/>
      <c r="AO912" s="467"/>
      <c r="AP912" s="504"/>
      <c r="AQ912" s="468"/>
      <c r="AR912" s="616"/>
      <c r="AS912" s="630"/>
      <c r="AT912" s="630"/>
    </row>
    <row r="913">
      <c r="A913" s="467"/>
      <c r="B913" s="504"/>
      <c r="C913" s="468"/>
      <c r="D913" s="616"/>
      <c r="E913" s="467"/>
      <c r="F913" s="504"/>
      <c r="G913" s="468"/>
      <c r="H913" s="616"/>
      <c r="I913" s="467"/>
      <c r="J913" s="504"/>
      <c r="K913" s="468"/>
      <c r="L913" s="616"/>
      <c r="M913" s="467"/>
      <c r="N913" s="504"/>
      <c r="O913" s="468"/>
      <c r="P913" s="616"/>
      <c r="Q913" s="635"/>
      <c r="R913" s="636"/>
      <c r="S913" s="637"/>
      <c r="T913" s="629"/>
      <c r="U913" s="635"/>
      <c r="V913" s="636"/>
      <c r="W913" s="637"/>
      <c r="X913" s="629"/>
      <c r="Y913" s="467"/>
      <c r="Z913" s="504"/>
      <c r="AA913" s="468"/>
      <c r="AB913" s="616"/>
      <c r="AC913" s="635"/>
      <c r="AD913" s="636"/>
      <c r="AE913" s="637"/>
      <c r="AF913" s="629"/>
      <c r="AG913" s="635"/>
      <c r="AH913" s="636"/>
      <c r="AI913" s="637"/>
      <c r="AJ913" s="629"/>
      <c r="AK913" s="435"/>
      <c r="AL913" s="435"/>
      <c r="AM913" s="435"/>
      <c r="AN913" s="435"/>
      <c r="AO913" s="467"/>
      <c r="AP913" s="504"/>
      <c r="AQ913" s="468"/>
      <c r="AR913" s="616"/>
      <c r="AS913" s="630"/>
      <c r="AT913" s="630"/>
    </row>
    <row r="914">
      <c r="A914" s="467"/>
      <c r="B914" s="504"/>
      <c r="C914" s="468"/>
      <c r="D914" s="616"/>
      <c r="E914" s="467"/>
      <c r="F914" s="504"/>
      <c r="G914" s="468"/>
      <c r="H914" s="616"/>
      <c r="I914" s="467"/>
      <c r="J914" s="504"/>
      <c r="K914" s="468"/>
      <c r="L914" s="616"/>
      <c r="M914" s="467"/>
      <c r="N914" s="504"/>
      <c r="O914" s="468"/>
      <c r="P914" s="616"/>
      <c r="Q914" s="635"/>
      <c r="R914" s="636"/>
      <c r="S914" s="637"/>
      <c r="T914" s="629"/>
      <c r="U914" s="635"/>
      <c r="V914" s="636"/>
      <c r="W914" s="637"/>
      <c r="X914" s="629"/>
      <c r="Y914" s="467"/>
      <c r="Z914" s="504"/>
      <c r="AA914" s="468"/>
      <c r="AB914" s="616"/>
      <c r="AC914" s="635"/>
      <c r="AD914" s="636"/>
      <c r="AE914" s="637"/>
      <c r="AF914" s="629"/>
      <c r="AG914" s="635"/>
      <c r="AH914" s="636"/>
      <c r="AI914" s="637"/>
      <c r="AJ914" s="629"/>
      <c r="AK914" s="435"/>
      <c r="AL914" s="435"/>
      <c r="AM914" s="435"/>
      <c r="AN914" s="435"/>
      <c r="AO914" s="467"/>
      <c r="AP914" s="504"/>
      <c r="AQ914" s="468"/>
      <c r="AR914" s="616"/>
      <c r="AS914" s="630"/>
      <c r="AT914" s="630"/>
    </row>
    <row r="915">
      <c r="A915" s="467"/>
      <c r="B915" s="504"/>
      <c r="C915" s="468"/>
      <c r="D915" s="616"/>
      <c r="E915" s="467"/>
      <c r="F915" s="504"/>
      <c r="G915" s="468"/>
      <c r="H915" s="616"/>
      <c r="I915" s="467"/>
      <c r="J915" s="504"/>
      <c r="K915" s="468"/>
      <c r="L915" s="616"/>
      <c r="M915" s="467"/>
      <c r="N915" s="504"/>
      <c r="O915" s="468"/>
      <c r="P915" s="616"/>
      <c r="Q915" s="635"/>
      <c r="R915" s="636"/>
      <c r="S915" s="637"/>
      <c r="T915" s="629"/>
      <c r="U915" s="635"/>
      <c r="V915" s="636"/>
      <c r="W915" s="637"/>
      <c r="X915" s="629"/>
      <c r="Y915" s="467"/>
      <c r="Z915" s="504"/>
      <c r="AA915" s="468"/>
      <c r="AB915" s="616"/>
      <c r="AC915" s="635"/>
      <c r="AD915" s="636"/>
      <c r="AE915" s="637"/>
      <c r="AF915" s="629"/>
      <c r="AG915" s="635"/>
      <c r="AH915" s="636"/>
      <c r="AI915" s="637"/>
      <c r="AJ915" s="629"/>
      <c r="AK915" s="435"/>
      <c r="AL915" s="435"/>
      <c r="AM915" s="435"/>
      <c r="AN915" s="435"/>
      <c r="AO915" s="467"/>
      <c r="AP915" s="504"/>
      <c r="AQ915" s="468"/>
      <c r="AR915" s="616"/>
      <c r="AS915" s="630"/>
      <c r="AT915" s="630"/>
    </row>
    <row r="916">
      <c r="A916" s="467"/>
      <c r="B916" s="504"/>
      <c r="C916" s="468"/>
      <c r="D916" s="616"/>
      <c r="E916" s="467"/>
      <c r="F916" s="504"/>
      <c r="G916" s="468"/>
      <c r="H916" s="616"/>
      <c r="I916" s="467"/>
      <c r="J916" s="504"/>
      <c r="K916" s="468"/>
      <c r="L916" s="616"/>
      <c r="M916" s="467"/>
      <c r="N916" s="504"/>
      <c r="O916" s="468"/>
      <c r="P916" s="616"/>
      <c r="Q916" s="635"/>
      <c r="R916" s="636"/>
      <c r="S916" s="637"/>
      <c r="T916" s="629"/>
      <c r="U916" s="635"/>
      <c r="V916" s="636"/>
      <c r="W916" s="637"/>
      <c r="X916" s="629"/>
      <c r="Y916" s="467"/>
      <c r="Z916" s="504"/>
      <c r="AA916" s="468"/>
      <c r="AB916" s="616"/>
      <c r="AC916" s="635"/>
      <c r="AD916" s="636"/>
      <c r="AE916" s="637"/>
      <c r="AF916" s="629"/>
      <c r="AG916" s="635"/>
      <c r="AH916" s="636"/>
      <c r="AI916" s="637"/>
      <c r="AJ916" s="629"/>
      <c r="AK916" s="435"/>
      <c r="AL916" s="435"/>
      <c r="AM916" s="435"/>
      <c r="AN916" s="435"/>
      <c r="AO916" s="467"/>
      <c r="AP916" s="504"/>
      <c r="AQ916" s="468"/>
      <c r="AR916" s="616"/>
      <c r="AS916" s="630"/>
      <c r="AT916" s="630"/>
    </row>
    <row r="917">
      <c r="A917" s="467"/>
      <c r="B917" s="504"/>
      <c r="C917" s="468"/>
      <c r="D917" s="616"/>
      <c r="E917" s="467"/>
      <c r="F917" s="504"/>
      <c r="G917" s="468"/>
      <c r="H917" s="616"/>
      <c r="I917" s="467"/>
      <c r="J917" s="504"/>
      <c r="K917" s="468"/>
      <c r="L917" s="616"/>
      <c r="M917" s="467"/>
      <c r="N917" s="504"/>
      <c r="O917" s="468"/>
      <c r="P917" s="616"/>
      <c r="Q917" s="635"/>
      <c r="R917" s="636"/>
      <c r="S917" s="637"/>
      <c r="T917" s="629"/>
      <c r="U917" s="635"/>
      <c r="V917" s="636"/>
      <c r="W917" s="637"/>
      <c r="X917" s="629"/>
      <c r="Y917" s="467"/>
      <c r="Z917" s="504"/>
      <c r="AA917" s="468"/>
      <c r="AB917" s="616"/>
      <c r="AC917" s="635"/>
      <c r="AD917" s="636"/>
      <c r="AE917" s="637"/>
      <c r="AF917" s="629"/>
      <c r="AG917" s="635"/>
      <c r="AH917" s="636"/>
      <c r="AI917" s="637"/>
      <c r="AJ917" s="629"/>
      <c r="AK917" s="435"/>
      <c r="AL917" s="435"/>
      <c r="AM917" s="435"/>
      <c r="AN917" s="435"/>
      <c r="AO917" s="467"/>
      <c r="AP917" s="504"/>
      <c r="AQ917" s="468"/>
      <c r="AR917" s="616"/>
      <c r="AS917" s="630"/>
      <c r="AT917" s="630"/>
    </row>
    <row r="918">
      <c r="A918" s="467"/>
      <c r="B918" s="504"/>
      <c r="C918" s="468"/>
      <c r="D918" s="616"/>
      <c r="E918" s="467"/>
      <c r="F918" s="504"/>
      <c r="G918" s="468"/>
      <c r="H918" s="616"/>
      <c r="I918" s="467"/>
      <c r="J918" s="504"/>
      <c r="K918" s="468"/>
      <c r="L918" s="616"/>
      <c r="M918" s="467"/>
      <c r="N918" s="504"/>
      <c r="O918" s="468"/>
      <c r="P918" s="616"/>
      <c r="Q918" s="635"/>
      <c r="R918" s="636"/>
      <c r="S918" s="637"/>
      <c r="T918" s="629"/>
      <c r="U918" s="635"/>
      <c r="V918" s="636"/>
      <c r="W918" s="637"/>
      <c r="X918" s="629"/>
      <c r="Y918" s="467"/>
      <c r="Z918" s="504"/>
      <c r="AA918" s="468"/>
      <c r="AB918" s="616"/>
      <c r="AC918" s="635"/>
      <c r="AD918" s="636"/>
      <c r="AE918" s="637"/>
      <c r="AF918" s="629"/>
      <c r="AG918" s="635"/>
      <c r="AH918" s="636"/>
      <c r="AI918" s="637"/>
      <c r="AJ918" s="629"/>
      <c r="AK918" s="435"/>
      <c r="AL918" s="435"/>
      <c r="AM918" s="435"/>
      <c r="AN918" s="435"/>
      <c r="AO918" s="467"/>
      <c r="AP918" s="504"/>
      <c r="AQ918" s="468"/>
      <c r="AR918" s="616"/>
      <c r="AS918" s="630"/>
      <c r="AT918" s="630"/>
    </row>
    <row r="919">
      <c r="A919" s="467"/>
      <c r="B919" s="504"/>
      <c r="C919" s="468"/>
      <c r="D919" s="616"/>
      <c r="E919" s="467"/>
      <c r="F919" s="504"/>
      <c r="G919" s="468"/>
      <c r="H919" s="616"/>
      <c r="I919" s="467"/>
      <c r="J919" s="504"/>
      <c r="K919" s="468"/>
      <c r="L919" s="616"/>
      <c r="M919" s="467"/>
      <c r="N919" s="504"/>
      <c r="O919" s="468"/>
      <c r="P919" s="616"/>
      <c r="Q919" s="635"/>
      <c r="R919" s="636"/>
      <c r="S919" s="637"/>
      <c r="T919" s="629"/>
      <c r="U919" s="635"/>
      <c r="V919" s="636"/>
      <c r="W919" s="637"/>
      <c r="X919" s="629"/>
      <c r="Y919" s="467"/>
      <c r="Z919" s="504"/>
      <c r="AA919" s="468"/>
      <c r="AB919" s="616"/>
      <c r="AC919" s="635"/>
      <c r="AD919" s="636"/>
      <c r="AE919" s="637"/>
      <c r="AF919" s="629"/>
      <c r="AG919" s="635"/>
      <c r="AH919" s="636"/>
      <c r="AI919" s="637"/>
      <c r="AJ919" s="629"/>
      <c r="AK919" s="435"/>
      <c r="AL919" s="435"/>
      <c r="AM919" s="435"/>
      <c r="AN919" s="435"/>
      <c r="AO919" s="467"/>
      <c r="AP919" s="504"/>
      <c r="AQ919" s="468"/>
      <c r="AR919" s="616"/>
      <c r="AS919" s="630"/>
      <c r="AT919" s="630"/>
    </row>
    <row r="920">
      <c r="A920" s="467"/>
      <c r="B920" s="504"/>
      <c r="C920" s="468"/>
      <c r="D920" s="616"/>
      <c r="E920" s="467"/>
      <c r="F920" s="504"/>
      <c r="G920" s="468"/>
      <c r="H920" s="616"/>
      <c r="I920" s="467"/>
      <c r="J920" s="504"/>
      <c r="K920" s="468"/>
      <c r="L920" s="616"/>
      <c r="M920" s="467"/>
      <c r="N920" s="504"/>
      <c r="O920" s="468"/>
      <c r="P920" s="616"/>
      <c r="Q920" s="635"/>
      <c r="R920" s="636"/>
      <c r="S920" s="637"/>
      <c r="T920" s="629"/>
      <c r="U920" s="635"/>
      <c r="V920" s="636"/>
      <c r="W920" s="637"/>
      <c r="X920" s="629"/>
      <c r="Y920" s="467"/>
      <c r="Z920" s="504"/>
      <c r="AA920" s="468"/>
      <c r="AB920" s="616"/>
      <c r="AC920" s="635"/>
      <c r="AD920" s="636"/>
      <c r="AE920" s="637"/>
      <c r="AF920" s="629"/>
      <c r="AG920" s="635"/>
      <c r="AH920" s="636"/>
      <c r="AI920" s="637"/>
      <c r="AJ920" s="629"/>
      <c r="AK920" s="435"/>
      <c r="AL920" s="435"/>
      <c r="AM920" s="435"/>
      <c r="AN920" s="435"/>
      <c r="AO920" s="467"/>
      <c r="AP920" s="504"/>
      <c r="AQ920" s="468"/>
      <c r="AR920" s="616"/>
      <c r="AS920" s="630"/>
      <c r="AT920" s="630"/>
    </row>
    <row r="921">
      <c r="A921" s="467"/>
      <c r="B921" s="504"/>
      <c r="C921" s="468"/>
      <c r="D921" s="616"/>
      <c r="E921" s="467"/>
      <c r="F921" s="504"/>
      <c r="G921" s="468"/>
      <c r="H921" s="616"/>
      <c r="I921" s="467"/>
      <c r="J921" s="504"/>
      <c r="K921" s="468"/>
      <c r="L921" s="616"/>
      <c r="M921" s="467"/>
      <c r="N921" s="504"/>
      <c r="O921" s="468"/>
      <c r="P921" s="616"/>
      <c r="Q921" s="635"/>
      <c r="R921" s="636"/>
      <c r="S921" s="637"/>
      <c r="T921" s="629"/>
      <c r="U921" s="635"/>
      <c r="V921" s="636"/>
      <c r="W921" s="637"/>
      <c r="X921" s="629"/>
      <c r="Y921" s="467"/>
      <c r="Z921" s="504"/>
      <c r="AA921" s="468"/>
      <c r="AB921" s="616"/>
      <c r="AC921" s="635"/>
      <c r="AD921" s="636"/>
      <c r="AE921" s="637"/>
      <c r="AF921" s="629"/>
      <c r="AG921" s="635"/>
      <c r="AH921" s="636"/>
      <c r="AI921" s="637"/>
      <c r="AJ921" s="629"/>
      <c r="AK921" s="435"/>
      <c r="AL921" s="435"/>
      <c r="AM921" s="435"/>
      <c r="AN921" s="435"/>
      <c r="AO921" s="467"/>
      <c r="AP921" s="504"/>
      <c r="AQ921" s="468"/>
      <c r="AR921" s="616"/>
      <c r="AS921" s="630"/>
      <c r="AT921" s="630"/>
    </row>
    <row r="922">
      <c r="A922" s="467"/>
      <c r="B922" s="504"/>
      <c r="C922" s="468"/>
      <c r="D922" s="616"/>
      <c r="E922" s="467"/>
      <c r="F922" s="504"/>
      <c r="G922" s="468"/>
      <c r="H922" s="616"/>
      <c r="I922" s="467"/>
      <c r="J922" s="504"/>
      <c r="K922" s="468"/>
      <c r="L922" s="616"/>
      <c r="M922" s="467"/>
      <c r="N922" s="504"/>
      <c r="O922" s="468"/>
      <c r="P922" s="616"/>
      <c r="Q922" s="635"/>
      <c r="R922" s="636"/>
      <c r="S922" s="637"/>
      <c r="T922" s="629"/>
      <c r="U922" s="635"/>
      <c r="V922" s="636"/>
      <c r="W922" s="637"/>
      <c r="X922" s="629"/>
      <c r="Y922" s="467"/>
      <c r="Z922" s="504"/>
      <c r="AA922" s="468"/>
      <c r="AB922" s="616"/>
      <c r="AC922" s="635"/>
      <c r="AD922" s="636"/>
      <c r="AE922" s="637"/>
      <c r="AF922" s="629"/>
      <c r="AG922" s="635"/>
      <c r="AH922" s="636"/>
      <c r="AI922" s="637"/>
      <c r="AJ922" s="629"/>
      <c r="AK922" s="435"/>
      <c r="AL922" s="435"/>
      <c r="AM922" s="435"/>
      <c r="AN922" s="435"/>
      <c r="AO922" s="467"/>
      <c r="AP922" s="504"/>
      <c r="AQ922" s="468"/>
      <c r="AR922" s="616"/>
      <c r="AS922" s="630"/>
      <c r="AT922" s="630"/>
    </row>
    <row r="923">
      <c r="A923" s="467"/>
      <c r="B923" s="504"/>
      <c r="C923" s="468"/>
      <c r="D923" s="616"/>
      <c r="E923" s="467"/>
      <c r="F923" s="504"/>
      <c r="G923" s="468"/>
      <c r="H923" s="616"/>
      <c r="I923" s="467"/>
      <c r="J923" s="504"/>
      <c r="K923" s="468"/>
      <c r="L923" s="616"/>
      <c r="M923" s="467"/>
      <c r="N923" s="504"/>
      <c r="O923" s="468"/>
      <c r="P923" s="616"/>
      <c r="Q923" s="635"/>
      <c r="R923" s="636"/>
      <c r="S923" s="637"/>
      <c r="T923" s="629"/>
      <c r="U923" s="635"/>
      <c r="V923" s="636"/>
      <c r="W923" s="637"/>
      <c r="X923" s="629"/>
      <c r="Y923" s="467"/>
      <c r="Z923" s="504"/>
      <c r="AA923" s="468"/>
      <c r="AB923" s="616"/>
      <c r="AC923" s="635"/>
      <c r="AD923" s="636"/>
      <c r="AE923" s="637"/>
      <c r="AF923" s="629"/>
      <c r="AG923" s="635"/>
      <c r="AH923" s="636"/>
      <c r="AI923" s="637"/>
      <c r="AJ923" s="629"/>
      <c r="AK923" s="435"/>
      <c r="AL923" s="435"/>
      <c r="AM923" s="435"/>
      <c r="AN923" s="435"/>
      <c r="AO923" s="467"/>
      <c r="AP923" s="504"/>
      <c r="AQ923" s="468"/>
      <c r="AR923" s="616"/>
      <c r="AS923" s="630"/>
      <c r="AT923" s="630"/>
    </row>
    <row r="924">
      <c r="A924" s="467"/>
      <c r="B924" s="504"/>
      <c r="C924" s="468"/>
      <c r="D924" s="616"/>
      <c r="E924" s="467"/>
      <c r="F924" s="504"/>
      <c r="G924" s="468"/>
      <c r="H924" s="616"/>
      <c r="I924" s="467"/>
      <c r="J924" s="504"/>
      <c r="K924" s="468"/>
      <c r="L924" s="616"/>
      <c r="M924" s="467"/>
      <c r="N924" s="504"/>
      <c r="O924" s="468"/>
      <c r="P924" s="616"/>
      <c r="Q924" s="635"/>
      <c r="R924" s="636"/>
      <c r="S924" s="637"/>
      <c r="T924" s="629"/>
      <c r="U924" s="635"/>
      <c r="V924" s="636"/>
      <c r="W924" s="637"/>
      <c r="X924" s="629"/>
      <c r="Y924" s="467"/>
      <c r="Z924" s="504"/>
      <c r="AA924" s="468"/>
      <c r="AB924" s="616"/>
      <c r="AC924" s="635"/>
      <c r="AD924" s="636"/>
      <c r="AE924" s="637"/>
      <c r="AF924" s="629"/>
      <c r="AG924" s="635"/>
      <c r="AH924" s="636"/>
      <c r="AI924" s="637"/>
      <c r="AJ924" s="629"/>
      <c r="AK924" s="435"/>
      <c r="AL924" s="435"/>
      <c r="AM924" s="435"/>
      <c r="AN924" s="435"/>
      <c r="AO924" s="467"/>
      <c r="AP924" s="504"/>
      <c r="AQ924" s="468"/>
      <c r="AR924" s="616"/>
      <c r="AS924" s="630"/>
      <c r="AT924" s="630"/>
    </row>
    <row r="925">
      <c r="A925" s="467"/>
      <c r="B925" s="504"/>
      <c r="C925" s="468"/>
      <c r="D925" s="616"/>
      <c r="E925" s="467"/>
      <c r="F925" s="504"/>
      <c r="G925" s="468"/>
      <c r="H925" s="616"/>
      <c r="I925" s="467"/>
      <c r="J925" s="504"/>
      <c r="K925" s="468"/>
      <c r="L925" s="616"/>
      <c r="M925" s="467"/>
      <c r="N925" s="504"/>
      <c r="O925" s="468"/>
      <c r="P925" s="616"/>
      <c r="Q925" s="635"/>
      <c r="R925" s="636"/>
      <c r="S925" s="637"/>
      <c r="T925" s="629"/>
      <c r="U925" s="635"/>
      <c r="V925" s="636"/>
      <c r="W925" s="637"/>
      <c r="X925" s="629"/>
      <c r="Y925" s="467"/>
      <c r="Z925" s="504"/>
      <c r="AA925" s="468"/>
      <c r="AB925" s="616"/>
      <c r="AC925" s="635"/>
      <c r="AD925" s="636"/>
      <c r="AE925" s="637"/>
      <c r="AF925" s="629"/>
      <c r="AG925" s="635"/>
      <c r="AH925" s="636"/>
      <c r="AI925" s="637"/>
      <c r="AJ925" s="629"/>
      <c r="AK925" s="435"/>
      <c r="AL925" s="435"/>
      <c r="AM925" s="435"/>
      <c r="AN925" s="435"/>
      <c r="AO925" s="467"/>
      <c r="AP925" s="504"/>
      <c r="AQ925" s="468"/>
      <c r="AR925" s="616"/>
      <c r="AS925" s="630"/>
      <c r="AT925" s="630"/>
    </row>
    <row r="926">
      <c r="A926" s="467"/>
      <c r="B926" s="504"/>
      <c r="C926" s="468"/>
      <c r="D926" s="616"/>
      <c r="E926" s="467"/>
      <c r="F926" s="504"/>
      <c r="G926" s="468"/>
      <c r="H926" s="616"/>
      <c r="I926" s="467"/>
      <c r="J926" s="504"/>
      <c r="K926" s="468"/>
      <c r="L926" s="616"/>
      <c r="M926" s="467"/>
      <c r="N926" s="504"/>
      <c r="O926" s="468"/>
      <c r="P926" s="616"/>
      <c r="Q926" s="635"/>
      <c r="R926" s="636"/>
      <c r="S926" s="637"/>
      <c r="T926" s="629"/>
      <c r="U926" s="635"/>
      <c r="V926" s="636"/>
      <c r="W926" s="637"/>
      <c r="X926" s="629"/>
      <c r="Y926" s="467"/>
      <c r="Z926" s="504"/>
      <c r="AA926" s="468"/>
      <c r="AB926" s="616"/>
      <c r="AC926" s="635"/>
      <c r="AD926" s="636"/>
      <c r="AE926" s="637"/>
      <c r="AF926" s="629"/>
      <c r="AG926" s="635"/>
      <c r="AH926" s="636"/>
      <c r="AI926" s="637"/>
      <c r="AJ926" s="629"/>
      <c r="AK926" s="435"/>
      <c r="AL926" s="435"/>
      <c r="AM926" s="435"/>
      <c r="AN926" s="435"/>
      <c r="AO926" s="467"/>
      <c r="AP926" s="504"/>
      <c r="AQ926" s="468"/>
      <c r="AR926" s="616"/>
      <c r="AS926" s="630"/>
      <c r="AT926" s="630"/>
    </row>
    <row r="927">
      <c r="A927" s="467"/>
      <c r="B927" s="504"/>
      <c r="C927" s="468"/>
      <c r="D927" s="616"/>
      <c r="E927" s="467"/>
      <c r="F927" s="504"/>
      <c r="G927" s="468"/>
      <c r="H927" s="616"/>
      <c r="I927" s="467"/>
      <c r="J927" s="504"/>
      <c r="K927" s="468"/>
      <c r="L927" s="616"/>
      <c r="M927" s="467"/>
      <c r="N927" s="504"/>
      <c r="O927" s="468"/>
      <c r="P927" s="616"/>
      <c r="Q927" s="635"/>
      <c r="R927" s="636"/>
      <c r="S927" s="637"/>
      <c r="T927" s="629"/>
      <c r="U927" s="635"/>
      <c r="V927" s="636"/>
      <c r="W927" s="637"/>
      <c r="X927" s="629"/>
      <c r="Y927" s="467"/>
      <c r="Z927" s="504"/>
      <c r="AA927" s="468"/>
      <c r="AB927" s="616"/>
      <c r="AC927" s="635"/>
      <c r="AD927" s="636"/>
      <c r="AE927" s="637"/>
      <c r="AF927" s="629"/>
      <c r="AG927" s="635"/>
      <c r="AH927" s="636"/>
      <c r="AI927" s="637"/>
      <c r="AJ927" s="629"/>
      <c r="AK927" s="435"/>
      <c r="AL927" s="435"/>
      <c r="AM927" s="435"/>
      <c r="AN927" s="435"/>
      <c r="AO927" s="467"/>
      <c r="AP927" s="504"/>
      <c r="AQ927" s="468"/>
      <c r="AR927" s="616"/>
      <c r="AS927" s="630"/>
      <c r="AT927" s="630"/>
    </row>
    <row r="928">
      <c r="A928" s="467"/>
      <c r="B928" s="504"/>
      <c r="C928" s="468"/>
      <c r="D928" s="616"/>
      <c r="E928" s="467"/>
      <c r="F928" s="504"/>
      <c r="G928" s="468"/>
      <c r="H928" s="616"/>
      <c r="I928" s="467"/>
      <c r="J928" s="504"/>
      <c r="K928" s="468"/>
      <c r="L928" s="616"/>
      <c r="M928" s="467"/>
      <c r="N928" s="504"/>
      <c r="O928" s="468"/>
      <c r="P928" s="616"/>
      <c r="Q928" s="635"/>
      <c r="R928" s="636"/>
      <c r="S928" s="637"/>
      <c r="T928" s="629"/>
      <c r="U928" s="635"/>
      <c r="V928" s="636"/>
      <c r="W928" s="637"/>
      <c r="X928" s="629"/>
      <c r="Y928" s="467"/>
      <c r="Z928" s="504"/>
      <c r="AA928" s="468"/>
      <c r="AB928" s="616"/>
      <c r="AC928" s="635"/>
      <c r="AD928" s="636"/>
      <c r="AE928" s="637"/>
      <c r="AF928" s="629"/>
      <c r="AG928" s="635"/>
      <c r="AH928" s="636"/>
      <c r="AI928" s="637"/>
      <c r="AJ928" s="629"/>
      <c r="AK928" s="435"/>
      <c r="AL928" s="435"/>
      <c r="AM928" s="435"/>
      <c r="AN928" s="435"/>
      <c r="AO928" s="467"/>
      <c r="AP928" s="504"/>
      <c r="AQ928" s="468"/>
      <c r="AR928" s="616"/>
      <c r="AS928" s="630"/>
      <c r="AT928" s="630"/>
    </row>
    <row r="929">
      <c r="A929" s="467"/>
      <c r="B929" s="504"/>
      <c r="C929" s="468"/>
      <c r="D929" s="616"/>
      <c r="E929" s="467"/>
      <c r="F929" s="504"/>
      <c r="G929" s="468"/>
      <c r="H929" s="616"/>
      <c r="I929" s="467"/>
      <c r="J929" s="504"/>
      <c r="K929" s="468"/>
      <c r="L929" s="616"/>
      <c r="M929" s="467"/>
      <c r="N929" s="504"/>
      <c r="O929" s="468"/>
      <c r="P929" s="616"/>
      <c r="Q929" s="635"/>
      <c r="R929" s="636"/>
      <c r="S929" s="637"/>
      <c r="T929" s="629"/>
      <c r="U929" s="635"/>
      <c r="V929" s="636"/>
      <c r="W929" s="637"/>
      <c r="X929" s="629"/>
      <c r="Y929" s="467"/>
      <c r="Z929" s="504"/>
      <c r="AA929" s="468"/>
      <c r="AB929" s="616"/>
      <c r="AC929" s="635"/>
      <c r="AD929" s="636"/>
      <c r="AE929" s="637"/>
      <c r="AF929" s="629"/>
      <c r="AG929" s="635"/>
      <c r="AH929" s="636"/>
      <c r="AI929" s="637"/>
      <c r="AJ929" s="629"/>
      <c r="AK929" s="435"/>
      <c r="AL929" s="435"/>
      <c r="AM929" s="435"/>
      <c r="AN929" s="435"/>
      <c r="AO929" s="467"/>
      <c r="AP929" s="504"/>
      <c r="AQ929" s="468"/>
      <c r="AR929" s="616"/>
      <c r="AS929" s="630"/>
      <c r="AT929" s="630"/>
    </row>
    <row r="930">
      <c r="A930" s="467"/>
      <c r="B930" s="504"/>
      <c r="C930" s="468"/>
      <c r="D930" s="616"/>
      <c r="E930" s="467"/>
      <c r="F930" s="504"/>
      <c r="G930" s="468"/>
      <c r="H930" s="616"/>
      <c r="I930" s="467"/>
      <c r="J930" s="504"/>
      <c r="K930" s="468"/>
      <c r="L930" s="616"/>
      <c r="M930" s="467"/>
      <c r="N930" s="504"/>
      <c r="O930" s="468"/>
      <c r="P930" s="616"/>
      <c r="Q930" s="635"/>
      <c r="R930" s="636"/>
      <c r="S930" s="637"/>
      <c r="T930" s="629"/>
      <c r="U930" s="635"/>
      <c r="V930" s="636"/>
      <c r="W930" s="637"/>
      <c r="X930" s="629"/>
      <c r="Y930" s="467"/>
      <c r="Z930" s="504"/>
      <c r="AA930" s="468"/>
      <c r="AB930" s="616"/>
      <c r="AC930" s="635"/>
      <c r="AD930" s="636"/>
      <c r="AE930" s="637"/>
      <c r="AF930" s="629"/>
      <c r="AG930" s="635"/>
      <c r="AH930" s="636"/>
      <c r="AI930" s="637"/>
      <c r="AJ930" s="629"/>
      <c r="AK930" s="435"/>
      <c r="AL930" s="435"/>
      <c r="AM930" s="435"/>
      <c r="AN930" s="435"/>
      <c r="AO930" s="467"/>
      <c r="AP930" s="504"/>
      <c r="AQ930" s="468"/>
      <c r="AR930" s="616"/>
      <c r="AS930" s="630"/>
      <c r="AT930" s="630"/>
    </row>
    <row r="931">
      <c r="A931" s="467"/>
      <c r="B931" s="504"/>
      <c r="C931" s="468"/>
      <c r="D931" s="616"/>
      <c r="E931" s="467"/>
      <c r="F931" s="504"/>
      <c r="G931" s="468"/>
      <c r="H931" s="616"/>
      <c r="I931" s="467"/>
      <c r="J931" s="504"/>
      <c r="K931" s="468"/>
      <c r="L931" s="616"/>
      <c r="M931" s="467"/>
      <c r="N931" s="504"/>
      <c r="O931" s="468"/>
      <c r="P931" s="616"/>
      <c r="Q931" s="635"/>
      <c r="R931" s="636"/>
      <c r="S931" s="637"/>
      <c r="T931" s="629"/>
      <c r="U931" s="635"/>
      <c r="V931" s="636"/>
      <c r="W931" s="637"/>
      <c r="X931" s="629"/>
      <c r="Y931" s="467"/>
      <c r="Z931" s="504"/>
      <c r="AA931" s="468"/>
      <c r="AB931" s="616"/>
      <c r="AC931" s="635"/>
      <c r="AD931" s="636"/>
      <c r="AE931" s="637"/>
      <c r="AF931" s="629"/>
      <c r="AG931" s="635"/>
      <c r="AH931" s="636"/>
      <c r="AI931" s="637"/>
      <c r="AJ931" s="629"/>
      <c r="AK931" s="435"/>
      <c r="AL931" s="435"/>
      <c r="AM931" s="435"/>
      <c r="AN931" s="435"/>
      <c r="AO931" s="467"/>
      <c r="AP931" s="504"/>
      <c r="AQ931" s="468"/>
      <c r="AR931" s="616"/>
      <c r="AS931" s="630"/>
      <c r="AT931" s="630"/>
    </row>
    <row r="932">
      <c r="A932" s="467"/>
      <c r="B932" s="504"/>
      <c r="C932" s="468"/>
      <c r="D932" s="616"/>
      <c r="E932" s="467"/>
      <c r="F932" s="504"/>
      <c r="G932" s="468"/>
      <c r="H932" s="616"/>
      <c r="I932" s="467"/>
      <c r="J932" s="504"/>
      <c r="K932" s="468"/>
      <c r="L932" s="616"/>
      <c r="M932" s="467"/>
      <c r="N932" s="504"/>
      <c r="O932" s="468"/>
      <c r="P932" s="616"/>
      <c r="Q932" s="635"/>
      <c r="R932" s="636"/>
      <c r="S932" s="637"/>
      <c r="T932" s="629"/>
      <c r="U932" s="635"/>
      <c r="V932" s="636"/>
      <c r="W932" s="637"/>
      <c r="X932" s="629"/>
      <c r="Y932" s="467"/>
      <c r="Z932" s="504"/>
      <c r="AA932" s="468"/>
      <c r="AB932" s="616"/>
      <c r="AC932" s="635"/>
      <c r="AD932" s="636"/>
      <c r="AE932" s="637"/>
      <c r="AF932" s="629"/>
      <c r="AG932" s="635"/>
      <c r="AH932" s="636"/>
      <c r="AI932" s="637"/>
      <c r="AJ932" s="629"/>
      <c r="AK932" s="435"/>
      <c r="AL932" s="435"/>
      <c r="AM932" s="435"/>
      <c r="AN932" s="435"/>
      <c r="AO932" s="467"/>
      <c r="AP932" s="504"/>
      <c r="AQ932" s="468"/>
      <c r="AR932" s="616"/>
      <c r="AS932" s="630"/>
      <c r="AT932" s="630"/>
    </row>
    <row r="933">
      <c r="A933" s="467"/>
      <c r="B933" s="504"/>
      <c r="C933" s="468"/>
      <c r="D933" s="616"/>
      <c r="E933" s="467"/>
      <c r="F933" s="504"/>
      <c r="G933" s="468"/>
      <c r="H933" s="616"/>
      <c r="I933" s="467"/>
      <c r="J933" s="504"/>
      <c r="K933" s="468"/>
      <c r="L933" s="616"/>
      <c r="M933" s="467"/>
      <c r="N933" s="504"/>
      <c r="O933" s="468"/>
      <c r="P933" s="616"/>
      <c r="Q933" s="635"/>
      <c r="R933" s="636"/>
      <c r="S933" s="637"/>
      <c r="T933" s="629"/>
      <c r="U933" s="635"/>
      <c r="V933" s="636"/>
      <c r="W933" s="637"/>
      <c r="X933" s="629"/>
      <c r="Y933" s="467"/>
      <c r="Z933" s="504"/>
      <c r="AA933" s="468"/>
      <c r="AB933" s="616"/>
      <c r="AC933" s="635"/>
      <c r="AD933" s="636"/>
      <c r="AE933" s="637"/>
      <c r="AF933" s="629"/>
      <c r="AG933" s="635"/>
      <c r="AH933" s="636"/>
      <c r="AI933" s="637"/>
      <c r="AJ933" s="629"/>
      <c r="AK933" s="435"/>
      <c r="AL933" s="435"/>
      <c r="AM933" s="435"/>
      <c r="AN933" s="435"/>
      <c r="AO933" s="467"/>
      <c r="AP933" s="504"/>
      <c r="AQ933" s="468"/>
      <c r="AR933" s="616"/>
      <c r="AS933" s="630"/>
      <c r="AT933" s="630"/>
    </row>
    <row r="934">
      <c r="A934" s="467"/>
      <c r="B934" s="504"/>
      <c r="C934" s="468"/>
      <c r="D934" s="616"/>
      <c r="E934" s="467"/>
      <c r="F934" s="504"/>
      <c r="G934" s="468"/>
      <c r="H934" s="616"/>
      <c r="I934" s="467"/>
      <c r="J934" s="504"/>
      <c r="K934" s="468"/>
      <c r="L934" s="616"/>
      <c r="M934" s="467"/>
      <c r="N934" s="504"/>
      <c r="O934" s="468"/>
      <c r="P934" s="616"/>
      <c r="Q934" s="635"/>
      <c r="R934" s="636"/>
      <c r="S934" s="637"/>
      <c r="T934" s="629"/>
      <c r="U934" s="635"/>
      <c r="V934" s="636"/>
      <c r="W934" s="637"/>
      <c r="X934" s="629"/>
      <c r="Y934" s="467"/>
      <c r="Z934" s="504"/>
      <c r="AA934" s="468"/>
      <c r="AB934" s="616"/>
      <c r="AC934" s="635"/>
      <c r="AD934" s="636"/>
      <c r="AE934" s="637"/>
      <c r="AF934" s="629"/>
      <c r="AG934" s="635"/>
      <c r="AH934" s="636"/>
      <c r="AI934" s="637"/>
      <c r="AJ934" s="629"/>
      <c r="AK934" s="435"/>
      <c r="AL934" s="435"/>
      <c r="AM934" s="435"/>
      <c r="AN934" s="435"/>
      <c r="AO934" s="467"/>
      <c r="AP934" s="504"/>
      <c r="AQ934" s="468"/>
      <c r="AR934" s="616"/>
      <c r="AS934" s="630"/>
      <c r="AT934" s="630"/>
    </row>
    <row r="935">
      <c r="A935" s="467"/>
      <c r="B935" s="504"/>
      <c r="C935" s="468"/>
      <c r="D935" s="616"/>
      <c r="E935" s="467"/>
      <c r="F935" s="504"/>
      <c r="G935" s="468"/>
      <c r="H935" s="616"/>
      <c r="I935" s="467"/>
      <c r="J935" s="504"/>
      <c r="K935" s="468"/>
      <c r="L935" s="616"/>
      <c r="M935" s="467"/>
      <c r="N935" s="504"/>
      <c r="O935" s="468"/>
      <c r="P935" s="616"/>
      <c r="Q935" s="635"/>
      <c r="R935" s="636"/>
      <c r="S935" s="637"/>
      <c r="T935" s="629"/>
      <c r="U935" s="635"/>
      <c r="V935" s="636"/>
      <c r="W935" s="637"/>
      <c r="X935" s="629"/>
      <c r="Y935" s="467"/>
      <c r="Z935" s="504"/>
      <c r="AA935" s="468"/>
      <c r="AB935" s="616"/>
      <c r="AC935" s="635"/>
      <c r="AD935" s="636"/>
      <c r="AE935" s="637"/>
      <c r="AF935" s="629"/>
      <c r="AG935" s="635"/>
      <c r="AH935" s="636"/>
      <c r="AI935" s="637"/>
      <c r="AJ935" s="629"/>
      <c r="AK935" s="435"/>
      <c r="AL935" s="435"/>
      <c r="AM935" s="435"/>
      <c r="AN935" s="435"/>
      <c r="AO935" s="467"/>
      <c r="AP935" s="504"/>
      <c r="AQ935" s="468"/>
      <c r="AR935" s="616"/>
      <c r="AS935" s="630"/>
      <c r="AT935" s="630"/>
    </row>
    <row r="936">
      <c r="A936" s="467"/>
      <c r="B936" s="504"/>
      <c r="C936" s="468"/>
      <c r="D936" s="616"/>
      <c r="E936" s="467"/>
      <c r="F936" s="504"/>
      <c r="G936" s="468"/>
      <c r="H936" s="616"/>
      <c r="I936" s="467"/>
      <c r="J936" s="504"/>
      <c r="K936" s="468"/>
      <c r="L936" s="616"/>
      <c r="M936" s="467"/>
      <c r="N936" s="504"/>
      <c r="O936" s="468"/>
      <c r="P936" s="616"/>
      <c r="Q936" s="635"/>
      <c r="R936" s="636"/>
      <c r="S936" s="637"/>
      <c r="T936" s="629"/>
      <c r="U936" s="635"/>
      <c r="V936" s="636"/>
      <c r="W936" s="637"/>
      <c r="X936" s="629"/>
      <c r="Y936" s="467"/>
      <c r="Z936" s="504"/>
      <c r="AA936" s="468"/>
      <c r="AB936" s="616"/>
      <c r="AC936" s="635"/>
      <c r="AD936" s="636"/>
      <c r="AE936" s="637"/>
      <c r="AF936" s="629"/>
      <c r="AG936" s="635"/>
      <c r="AH936" s="636"/>
      <c r="AI936" s="637"/>
      <c r="AJ936" s="629"/>
      <c r="AK936" s="435"/>
      <c r="AL936" s="435"/>
      <c r="AM936" s="435"/>
      <c r="AN936" s="435"/>
      <c r="AO936" s="467"/>
      <c r="AP936" s="504"/>
      <c r="AQ936" s="468"/>
      <c r="AR936" s="616"/>
      <c r="AS936" s="630"/>
      <c r="AT936" s="630"/>
    </row>
    <row r="937">
      <c r="A937" s="467"/>
      <c r="B937" s="504"/>
      <c r="C937" s="468"/>
      <c r="D937" s="616"/>
      <c r="E937" s="467"/>
      <c r="F937" s="504"/>
      <c r="G937" s="468"/>
      <c r="H937" s="616"/>
      <c r="I937" s="467"/>
      <c r="J937" s="504"/>
      <c r="K937" s="468"/>
      <c r="L937" s="616"/>
      <c r="M937" s="467"/>
      <c r="N937" s="504"/>
      <c r="O937" s="468"/>
      <c r="P937" s="616"/>
      <c r="Q937" s="635"/>
      <c r="R937" s="636"/>
      <c r="S937" s="637"/>
      <c r="T937" s="629"/>
      <c r="U937" s="635"/>
      <c r="V937" s="636"/>
      <c r="W937" s="637"/>
      <c r="X937" s="629"/>
      <c r="Y937" s="467"/>
      <c r="Z937" s="504"/>
      <c r="AA937" s="468"/>
      <c r="AB937" s="616"/>
      <c r="AC937" s="635"/>
      <c r="AD937" s="636"/>
      <c r="AE937" s="637"/>
      <c r="AF937" s="629"/>
      <c r="AG937" s="635"/>
      <c r="AH937" s="636"/>
      <c r="AI937" s="637"/>
      <c r="AJ937" s="629"/>
      <c r="AK937" s="435"/>
      <c r="AL937" s="435"/>
      <c r="AM937" s="435"/>
      <c r="AN937" s="435"/>
      <c r="AO937" s="467"/>
      <c r="AP937" s="504"/>
      <c r="AQ937" s="468"/>
      <c r="AR937" s="616"/>
      <c r="AS937" s="630"/>
      <c r="AT937" s="630"/>
    </row>
    <row r="938">
      <c r="A938" s="467"/>
      <c r="B938" s="504"/>
      <c r="C938" s="468"/>
      <c r="D938" s="616"/>
      <c r="E938" s="467"/>
      <c r="F938" s="504"/>
      <c r="G938" s="468"/>
      <c r="H938" s="616"/>
      <c r="I938" s="467"/>
      <c r="J938" s="504"/>
      <c r="K938" s="468"/>
      <c r="L938" s="616"/>
      <c r="M938" s="467"/>
      <c r="N938" s="504"/>
      <c r="O938" s="468"/>
      <c r="P938" s="616"/>
      <c r="Q938" s="635"/>
      <c r="R938" s="636"/>
      <c r="S938" s="637"/>
      <c r="T938" s="629"/>
      <c r="U938" s="635"/>
      <c r="V938" s="636"/>
      <c r="W938" s="637"/>
      <c r="X938" s="629"/>
      <c r="Y938" s="467"/>
      <c r="Z938" s="504"/>
      <c r="AA938" s="468"/>
      <c r="AB938" s="616"/>
      <c r="AC938" s="635"/>
      <c r="AD938" s="636"/>
      <c r="AE938" s="637"/>
      <c r="AF938" s="629"/>
      <c r="AG938" s="635"/>
      <c r="AH938" s="636"/>
      <c r="AI938" s="637"/>
      <c r="AJ938" s="629"/>
      <c r="AK938" s="435"/>
      <c r="AL938" s="435"/>
      <c r="AM938" s="435"/>
      <c r="AN938" s="435"/>
      <c r="AO938" s="467"/>
      <c r="AP938" s="504"/>
      <c r="AQ938" s="468"/>
      <c r="AR938" s="616"/>
      <c r="AS938" s="630"/>
      <c r="AT938" s="630"/>
    </row>
    <row r="939">
      <c r="A939" s="467"/>
      <c r="B939" s="504"/>
      <c r="C939" s="468"/>
      <c r="D939" s="616"/>
      <c r="E939" s="467"/>
      <c r="F939" s="504"/>
      <c r="G939" s="468"/>
      <c r="H939" s="616"/>
      <c r="I939" s="467"/>
      <c r="J939" s="504"/>
      <c r="K939" s="468"/>
      <c r="L939" s="616"/>
      <c r="M939" s="467"/>
      <c r="N939" s="504"/>
      <c r="O939" s="468"/>
      <c r="P939" s="616"/>
      <c r="Q939" s="635"/>
      <c r="R939" s="636"/>
      <c r="S939" s="637"/>
      <c r="T939" s="629"/>
      <c r="U939" s="635"/>
      <c r="V939" s="636"/>
      <c r="W939" s="637"/>
      <c r="X939" s="629"/>
      <c r="Y939" s="467"/>
      <c r="Z939" s="504"/>
      <c r="AA939" s="468"/>
      <c r="AB939" s="616"/>
      <c r="AC939" s="635"/>
      <c r="AD939" s="636"/>
      <c r="AE939" s="637"/>
      <c r="AF939" s="629"/>
      <c r="AG939" s="635"/>
      <c r="AH939" s="636"/>
      <c r="AI939" s="637"/>
      <c r="AJ939" s="629"/>
      <c r="AK939" s="435"/>
      <c r="AL939" s="435"/>
      <c r="AM939" s="435"/>
      <c r="AN939" s="435"/>
      <c r="AO939" s="467"/>
      <c r="AP939" s="504"/>
      <c r="AQ939" s="468"/>
      <c r="AR939" s="616"/>
      <c r="AS939" s="630"/>
      <c r="AT939" s="630"/>
    </row>
    <row r="940">
      <c r="A940" s="467"/>
      <c r="B940" s="504"/>
      <c r="C940" s="468"/>
      <c r="D940" s="616"/>
      <c r="E940" s="467"/>
      <c r="F940" s="504"/>
      <c r="G940" s="468"/>
      <c r="H940" s="616"/>
      <c r="I940" s="467"/>
      <c r="J940" s="504"/>
      <c r="K940" s="468"/>
      <c r="L940" s="616"/>
      <c r="M940" s="467"/>
      <c r="N940" s="504"/>
      <c r="O940" s="468"/>
      <c r="P940" s="616"/>
      <c r="Q940" s="635"/>
      <c r="R940" s="636"/>
      <c r="S940" s="637"/>
      <c r="T940" s="629"/>
      <c r="U940" s="635"/>
      <c r="V940" s="636"/>
      <c r="W940" s="637"/>
      <c r="X940" s="629"/>
      <c r="Y940" s="467"/>
      <c r="Z940" s="504"/>
      <c r="AA940" s="468"/>
      <c r="AB940" s="616"/>
      <c r="AC940" s="635"/>
      <c r="AD940" s="636"/>
      <c r="AE940" s="637"/>
      <c r="AF940" s="629"/>
      <c r="AG940" s="635"/>
      <c r="AH940" s="636"/>
      <c r="AI940" s="637"/>
      <c r="AJ940" s="629"/>
      <c r="AK940" s="435"/>
      <c r="AL940" s="435"/>
      <c r="AM940" s="435"/>
      <c r="AN940" s="435"/>
      <c r="AO940" s="467"/>
      <c r="AP940" s="504"/>
      <c r="AQ940" s="468"/>
      <c r="AR940" s="616"/>
      <c r="AS940" s="630"/>
      <c r="AT940" s="630"/>
    </row>
    <row r="941">
      <c r="A941" s="467"/>
      <c r="B941" s="504"/>
      <c r="C941" s="468"/>
      <c r="D941" s="616"/>
      <c r="E941" s="467"/>
      <c r="F941" s="504"/>
      <c r="G941" s="468"/>
      <c r="H941" s="616"/>
      <c r="I941" s="467"/>
      <c r="J941" s="504"/>
      <c r="K941" s="468"/>
      <c r="L941" s="616"/>
      <c r="M941" s="467"/>
      <c r="N941" s="504"/>
      <c r="O941" s="468"/>
      <c r="P941" s="616"/>
      <c r="Q941" s="635"/>
      <c r="R941" s="636"/>
      <c r="S941" s="637"/>
      <c r="T941" s="629"/>
      <c r="U941" s="635"/>
      <c r="V941" s="636"/>
      <c r="W941" s="637"/>
      <c r="X941" s="629"/>
      <c r="Y941" s="467"/>
      <c r="Z941" s="504"/>
      <c r="AA941" s="468"/>
      <c r="AB941" s="616"/>
      <c r="AC941" s="635"/>
      <c r="AD941" s="636"/>
      <c r="AE941" s="637"/>
      <c r="AF941" s="629"/>
      <c r="AG941" s="635"/>
      <c r="AH941" s="636"/>
      <c r="AI941" s="637"/>
      <c r="AJ941" s="629"/>
      <c r="AK941" s="435"/>
      <c r="AL941" s="435"/>
      <c r="AM941" s="435"/>
      <c r="AN941" s="435"/>
      <c r="AO941" s="467"/>
      <c r="AP941" s="504"/>
      <c r="AQ941" s="468"/>
      <c r="AR941" s="616"/>
      <c r="AS941" s="630"/>
      <c r="AT941" s="630"/>
    </row>
    <row r="942">
      <c r="A942" s="467"/>
      <c r="B942" s="504"/>
      <c r="C942" s="468"/>
      <c r="D942" s="616"/>
      <c r="E942" s="467"/>
      <c r="F942" s="504"/>
      <c r="G942" s="468"/>
      <c r="H942" s="616"/>
      <c r="I942" s="467"/>
      <c r="J942" s="504"/>
      <c r="K942" s="468"/>
      <c r="L942" s="616"/>
      <c r="M942" s="467"/>
      <c r="N942" s="504"/>
      <c r="O942" s="468"/>
      <c r="P942" s="616"/>
      <c r="Q942" s="635"/>
      <c r="R942" s="636"/>
      <c r="S942" s="637"/>
      <c r="T942" s="629"/>
      <c r="U942" s="635"/>
      <c r="V942" s="636"/>
      <c r="W942" s="637"/>
      <c r="X942" s="629"/>
      <c r="Y942" s="467"/>
      <c r="Z942" s="504"/>
      <c r="AA942" s="468"/>
      <c r="AB942" s="616"/>
      <c r="AC942" s="635"/>
      <c r="AD942" s="636"/>
      <c r="AE942" s="637"/>
      <c r="AF942" s="629"/>
      <c r="AG942" s="635"/>
      <c r="AH942" s="636"/>
      <c r="AI942" s="637"/>
      <c r="AJ942" s="629"/>
      <c r="AK942" s="435"/>
      <c r="AL942" s="435"/>
      <c r="AM942" s="435"/>
      <c r="AN942" s="435"/>
      <c r="AO942" s="467"/>
      <c r="AP942" s="504"/>
      <c r="AQ942" s="468"/>
      <c r="AR942" s="616"/>
      <c r="AS942" s="630"/>
      <c r="AT942" s="630"/>
    </row>
    <row r="943">
      <c r="A943" s="467"/>
      <c r="B943" s="504"/>
      <c r="C943" s="468"/>
      <c r="D943" s="616"/>
      <c r="E943" s="467"/>
      <c r="F943" s="504"/>
      <c r="G943" s="468"/>
      <c r="H943" s="616"/>
      <c r="I943" s="467"/>
      <c r="J943" s="504"/>
      <c r="K943" s="468"/>
      <c r="L943" s="616"/>
      <c r="M943" s="467"/>
      <c r="N943" s="504"/>
      <c r="O943" s="468"/>
      <c r="P943" s="616"/>
      <c r="Q943" s="635"/>
      <c r="R943" s="636"/>
      <c r="S943" s="637"/>
      <c r="T943" s="629"/>
      <c r="U943" s="635"/>
      <c r="V943" s="636"/>
      <c r="W943" s="637"/>
      <c r="X943" s="629"/>
      <c r="Y943" s="467"/>
      <c r="Z943" s="504"/>
      <c r="AA943" s="468"/>
      <c r="AB943" s="616"/>
      <c r="AC943" s="635"/>
      <c r="AD943" s="636"/>
      <c r="AE943" s="637"/>
      <c r="AF943" s="629"/>
      <c r="AG943" s="635"/>
      <c r="AH943" s="636"/>
      <c r="AI943" s="637"/>
      <c r="AJ943" s="629"/>
      <c r="AK943" s="435"/>
      <c r="AL943" s="435"/>
      <c r="AM943" s="435"/>
      <c r="AN943" s="435"/>
      <c r="AO943" s="467"/>
      <c r="AP943" s="504"/>
      <c r="AQ943" s="468"/>
      <c r="AR943" s="616"/>
      <c r="AS943" s="630"/>
      <c r="AT943" s="630"/>
    </row>
    <row r="944">
      <c r="A944" s="467"/>
      <c r="B944" s="504"/>
      <c r="C944" s="468"/>
      <c r="D944" s="616"/>
      <c r="E944" s="467"/>
      <c r="F944" s="504"/>
      <c r="G944" s="468"/>
      <c r="H944" s="616"/>
      <c r="I944" s="467"/>
      <c r="J944" s="504"/>
      <c r="K944" s="468"/>
      <c r="L944" s="616"/>
      <c r="M944" s="467"/>
      <c r="N944" s="504"/>
      <c r="O944" s="468"/>
      <c r="P944" s="616"/>
      <c r="Q944" s="635"/>
      <c r="R944" s="636"/>
      <c r="S944" s="637"/>
      <c r="T944" s="629"/>
      <c r="U944" s="635"/>
      <c r="V944" s="636"/>
      <c r="W944" s="637"/>
      <c r="X944" s="629"/>
      <c r="Y944" s="467"/>
      <c r="Z944" s="504"/>
      <c r="AA944" s="468"/>
      <c r="AB944" s="616"/>
      <c r="AC944" s="635"/>
      <c r="AD944" s="636"/>
      <c r="AE944" s="637"/>
      <c r="AF944" s="629"/>
      <c r="AG944" s="635"/>
      <c r="AH944" s="636"/>
      <c r="AI944" s="637"/>
      <c r="AJ944" s="629"/>
      <c r="AK944" s="435"/>
      <c r="AL944" s="435"/>
      <c r="AM944" s="435"/>
      <c r="AN944" s="435"/>
      <c r="AO944" s="467"/>
      <c r="AP944" s="504"/>
      <c r="AQ944" s="468"/>
      <c r="AR944" s="616"/>
      <c r="AS944" s="630"/>
      <c r="AT944" s="630"/>
    </row>
    <row r="945">
      <c r="A945" s="467"/>
      <c r="B945" s="504"/>
      <c r="C945" s="468"/>
      <c r="D945" s="616"/>
      <c r="E945" s="467"/>
      <c r="F945" s="504"/>
      <c r="G945" s="468"/>
      <c r="H945" s="616"/>
      <c r="I945" s="467"/>
      <c r="J945" s="504"/>
      <c r="K945" s="468"/>
      <c r="L945" s="616"/>
      <c r="M945" s="467"/>
      <c r="N945" s="504"/>
      <c r="O945" s="468"/>
      <c r="P945" s="616"/>
      <c r="Q945" s="635"/>
      <c r="R945" s="636"/>
      <c r="S945" s="637"/>
      <c r="T945" s="629"/>
      <c r="U945" s="635"/>
      <c r="V945" s="636"/>
      <c r="W945" s="637"/>
      <c r="X945" s="629"/>
      <c r="Y945" s="467"/>
      <c r="Z945" s="504"/>
      <c r="AA945" s="468"/>
      <c r="AB945" s="616"/>
      <c r="AC945" s="635"/>
      <c r="AD945" s="636"/>
      <c r="AE945" s="637"/>
      <c r="AF945" s="629"/>
      <c r="AG945" s="635"/>
      <c r="AH945" s="636"/>
      <c r="AI945" s="637"/>
      <c r="AJ945" s="629"/>
      <c r="AK945" s="435"/>
      <c r="AL945" s="435"/>
      <c r="AM945" s="435"/>
      <c r="AN945" s="435"/>
      <c r="AO945" s="467"/>
      <c r="AP945" s="504"/>
      <c r="AQ945" s="468"/>
      <c r="AR945" s="616"/>
      <c r="AS945" s="630"/>
      <c r="AT945" s="630"/>
    </row>
    <row r="946">
      <c r="A946" s="467"/>
      <c r="B946" s="504"/>
      <c r="C946" s="468"/>
      <c r="D946" s="616"/>
      <c r="E946" s="467"/>
      <c r="F946" s="504"/>
      <c r="G946" s="468"/>
      <c r="H946" s="616"/>
      <c r="I946" s="467"/>
      <c r="J946" s="504"/>
      <c r="K946" s="468"/>
      <c r="L946" s="616"/>
      <c r="M946" s="467"/>
      <c r="N946" s="504"/>
      <c r="O946" s="468"/>
      <c r="P946" s="616"/>
      <c r="Q946" s="635"/>
      <c r="R946" s="636"/>
      <c r="S946" s="637"/>
      <c r="T946" s="629"/>
      <c r="U946" s="635"/>
      <c r="V946" s="636"/>
      <c r="W946" s="637"/>
      <c r="X946" s="629"/>
      <c r="Y946" s="467"/>
      <c r="Z946" s="504"/>
      <c r="AA946" s="468"/>
      <c r="AB946" s="616"/>
      <c r="AC946" s="635"/>
      <c r="AD946" s="636"/>
      <c r="AE946" s="637"/>
      <c r="AF946" s="629"/>
      <c r="AG946" s="635"/>
      <c r="AH946" s="636"/>
      <c r="AI946" s="637"/>
      <c r="AJ946" s="629"/>
      <c r="AK946" s="435"/>
      <c r="AL946" s="435"/>
      <c r="AM946" s="435"/>
      <c r="AN946" s="435"/>
      <c r="AO946" s="467"/>
      <c r="AP946" s="504"/>
      <c r="AQ946" s="468"/>
      <c r="AR946" s="616"/>
      <c r="AS946" s="630"/>
      <c r="AT946" s="630"/>
    </row>
    <row r="947">
      <c r="A947" s="467"/>
      <c r="B947" s="504"/>
      <c r="C947" s="468"/>
      <c r="D947" s="616"/>
      <c r="E947" s="467"/>
      <c r="F947" s="504"/>
      <c r="G947" s="468"/>
      <c r="H947" s="616"/>
      <c r="I947" s="467"/>
      <c r="J947" s="504"/>
      <c r="K947" s="468"/>
      <c r="L947" s="616"/>
      <c r="M947" s="467"/>
      <c r="N947" s="504"/>
      <c r="O947" s="468"/>
      <c r="P947" s="616"/>
      <c r="Q947" s="635"/>
      <c r="R947" s="636"/>
      <c r="S947" s="637"/>
      <c r="T947" s="629"/>
      <c r="U947" s="635"/>
      <c r="V947" s="636"/>
      <c r="W947" s="637"/>
      <c r="X947" s="629"/>
      <c r="Y947" s="467"/>
      <c r="Z947" s="504"/>
      <c r="AA947" s="468"/>
      <c r="AB947" s="616"/>
      <c r="AC947" s="635"/>
      <c r="AD947" s="636"/>
      <c r="AE947" s="637"/>
      <c r="AF947" s="629"/>
      <c r="AG947" s="635"/>
      <c r="AH947" s="636"/>
      <c r="AI947" s="637"/>
      <c r="AJ947" s="629"/>
      <c r="AK947" s="435"/>
      <c r="AL947" s="435"/>
      <c r="AM947" s="435"/>
      <c r="AN947" s="435"/>
      <c r="AO947" s="467"/>
      <c r="AP947" s="504"/>
      <c r="AQ947" s="468"/>
      <c r="AR947" s="616"/>
      <c r="AS947" s="630"/>
      <c r="AT947" s="630"/>
    </row>
    <row r="948">
      <c r="A948" s="467"/>
      <c r="B948" s="504"/>
      <c r="C948" s="468"/>
      <c r="D948" s="616"/>
      <c r="E948" s="467"/>
      <c r="F948" s="504"/>
      <c r="G948" s="468"/>
      <c r="H948" s="616"/>
      <c r="I948" s="467"/>
      <c r="J948" s="504"/>
      <c r="K948" s="468"/>
      <c r="L948" s="616"/>
      <c r="M948" s="467"/>
      <c r="N948" s="504"/>
      <c r="O948" s="468"/>
      <c r="P948" s="616"/>
      <c r="Q948" s="635"/>
      <c r="R948" s="636"/>
      <c r="S948" s="637"/>
      <c r="T948" s="629"/>
      <c r="U948" s="635"/>
      <c r="V948" s="636"/>
      <c r="W948" s="637"/>
      <c r="X948" s="629"/>
      <c r="Y948" s="467"/>
      <c r="Z948" s="504"/>
      <c r="AA948" s="468"/>
      <c r="AB948" s="616"/>
      <c r="AC948" s="635"/>
      <c r="AD948" s="636"/>
      <c r="AE948" s="637"/>
      <c r="AF948" s="629"/>
      <c r="AG948" s="635"/>
      <c r="AH948" s="636"/>
      <c r="AI948" s="637"/>
      <c r="AJ948" s="629"/>
      <c r="AK948" s="435"/>
      <c r="AL948" s="435"/>
      <c r="AM948" s="435"/>
      <c r="AN948" s="435"/>
      <c r="AO948" s="467"/>
      <c r="AP948" s="504"/>
      <c r="AQ948" s="468"/>
      <c r="AR948" s="616"/>
      <c r="AS948" s="630"/>
      <c r="AT948" s="630"/>
    </row>
    <row r="949">
      <c r="A949" s="467"/>
      <c r="B949" s="504"/>
      <c r="C949" s="468"/>
      <c r="D949" s="616"/>
      <c r="E949" s="467"/>
      <c r="F949" s="504"/>
      <c r="G949" s="468"/>
      <c r="H949" s="616"/>
      <c r="I949" s="467"/>
      <c r="J949" s="504"/>
      <c r="K949" s="468"/>
      <c r="L949" s="616"/>
      <c r="M949" s="467"/>
      <c r="N949" s="504"/>
      <c r="O949" s="468"/>
      <c r="P949" s="616"/>
      <c r="Q949" s="635"/>
      <c r="R949" s="636"/>
      <c r="S949" s="637"/>
      <c r="T949" s="629"/>
      <c r="U949" s="635"/>
      <c r="V949" s="636"/>
      <c r="W949" s="637"/>
      <c r="X949" s="629"/>
      <c r="Y949" s="467"/>
      <c r="Z949" s="504"/>
      <c r="AA949" s="468"/>
      <c r="AB949" s="616"/>
      <c r="AC949" s="635"/>
      <c r="AD949" s="636"/>
      <c r="AE949" s="637"/>
      <c r="AF949" s="629"/>
      <c r="AG949" s="635"/>
      <c r="AH949" s="636"/>
      <c r="AI949" s="637"/>
      <c r="AJ949" s="629"/>
      <c r="AK949" s="435"/>
      <c r="AL949" s="435"/>
      <c r="AM949" s="435"/>
      <c r="AN949" s="435"/>
      <c r="AO949" s="467"/>
      <c r="AP949" s="504"/>
      <c r="AQ949" s="468"/>
      <c r="AR949" s="616"/>
      <c r="AS949" s="630"/>
      <c r="AT949" s="630"/>
    </row>
    <row r="950">
      <c r="A950" s="467"/>
      <c r="B950" s="504"/>
      <c r="C950" s="468"/>
      <c r="D950" s="616"/>
      <c r="E950" s="467"/>
      <c r="F950" s="504"/>
      <c r="G950" s="468"/>
      <c r="H950" s="616"/>
      <c r="I950" s="467"/>
      <c r="J950" s="504"/>
      <c r="K950" s="468"/>
      <c r="L950" s="616"/>
      <c r="M950" s="467"/>
      <c r="N950" s="504"/>
      <c r="O950" s="468"/>
      <c r="P950" s="616"/>
      <c r="Q950" s="635"/>
      <c r="R950" s="636"/>
      <c r="S950" s="637"/>
      <c r="T950" s="629"/>
      <c r="U950" s="635"/>
      <c r="V950" s="636"/>
      <c r="W950" s="637"/>
      <c r="X950" s="629"/>
      <c r="Y950" s="467"/>
      <c r="Z950" s="504"/>
      <c r="AA950" s="468"/>
      <c r="AB950" s="616"/>
      <c r="AC950" s="635"/>
      <c r="AD950" s="636"/>
      <c r="AE950" s="637"/>
      <c r="AF950" s="629"/>
      <c r="AG950" s="635"/>
      <c r="AH950" s="636"/>
      <c r="AI950" s="637"/>
      <c r="AJ950" s="629"/>
      <c r="AK950" s="435"/>
      <c r="AL950" s="435"/>
      <c r="AM950" s="435"/>
      <c r="AN950" s="435"/>
      <c r="AO950" s="467"/>
      <c r="AP950" s="504"/>
      <c r="AQ950" s="468"/>
      <c r="AR950" s="616"/>
      <c r="AS950" s="630"/>
      <c r="AT950" s="630"/>
    </row>
    <row r="951">
      <c r="A951" s="467"/>
      <c r="B951" s="504"/>
      <c r="C951" s="468"/>
      <c r="D951" s="616"/>
      <c r="E951" s="467"/>
      <c r="F951" s="504"/>
      <c r="G951" s="468"/>
      <c r="H951" s="616"/>
      <c r="I951" s="467"/>
      <c r="J951" s="504"/>
      <c r="K951" s="468"/>
      <c r="L951" s="616"/>
      <c r="M951" s="467"/>
      <c r="N951" s="504"/>
      <c r="O951" s="468"/>
      <c r="P951" s="616"/>
      <c r="Q951" s="635"/>
      <c r="R951" s="636"/>
      <c r="S951" s="637"/>
      <c r="T951" s="629"/>
      <c r="U951" s="635"/>
      <c r="V951" s="636"/>
      <c r="W951" s="637"/>
      <c r="X951" s="629"/>
      <c r="Y951" s="467"/>
      <c r="Z951" s="504"/>
      <c r="AA951" s="468"/>
      <c r="AB951" s="616"/>
      <c r="AC951" s="635"/>
      <c r="AD951" s="636"/>
      <c r="AE951" s="637"/>
      <c r="AF951" s="629"/>
      <c r="AG951" s="635"/>
      <c r="AH951" s="636"/>
      <c r="AI951" s="637"/>
      <c r="AJ951" s="629"/>
      <c r="AK951" s="435"/>
      <c r="AL951" s="435"/>
      <c r="AM951" s="435"/>
      <c r="AN951" s="435"/>
      <c r="AO951" s="467"/>
      <c r="AP951" s="504"/>
      <c r="AQ951" s="468"/>
      <c r="AR951" s="616"/>
      <c r="AS951" s="630"/>
      <c r="AT951" s="630"/>
    </row>
    <row r="952">
      <c r="A952" s="467"/>
      <c r="B952" s="504"/>
      <c r="C952" s="468"/>
      <c r="D952" s="616"/>
      <c r="E952" s="467"/>
      <c r="F952" s="504"/>
      <c r="G952" s="468"/>
      <c r="H952" s="616"/>
      <c r="I952" s="467"/>
      <c r="J952" s="504"/>
      <c r="K952" s="468"/>
      <c r="L952" s="616"/>
      <c r="M952" s="467"/>
      <c r="N952" s="504"/>
      <c r="O952" s="468"/>
      <c r="P952" s="616"/>
      <c r="Q952" s="635"/>
      <c r="R952" s="636"/>
      <c r="S952" s="637"/>
      <c r="T952" s="629"/>
      <c r="U952" s="635"/>
      <c r="V952" s="636"/>
      <c r="W952" s="637"/>
      <c r="X952" s="629"/>
      <c r="Y952" s="467"/>
      <c r="Z952" s="504"/>
      <c r="AA952" s="468"/>
      <c r="AB952" s="616"/>
      <c r="AC952" s="635"/>
      <c r="AD952" s="636"/>
      <c r="AE952" s="637"/>
      <c r="AF952" s="629"/>
      <c r="AG952" s="635"/>
      <c r="AH952" s="636"/>
      <c r="AI952" s="637"/>
      <c r="AJ952" s="629"/>
      <c r="AK952" s="435"/>
      <c r="AL952" s="435"/>
      <c r="AM952" s="435"/>
      <c r="AN952" s="435"/>
      <c r="AO952" s="467"/>
      <c r="AP952" s="504"/>
      <c r="AQ952" s="468"/>
      <c r="AR952" s="616"/>
      <c r="AS952" s="630"/>
      <c r="AT952" s="630"/>
    </row>
    <row r="953">
      <c r="A953" s="467"/>
      <c r="B953" s="504"/>
      <c r="C953" s="468"/>
      <c r="D953" s="616"/>
      <c r="E953" s="467"/>
      <c r="F953" s="504"/>
      <c r="G953" s="468"/>
      <c r="H953" s="616"/>
      <c r="I953" s="467"/>
      <c r="J953" s="504"/>
      <c r="K953" s="468"/>
      <c r="L953" s="616"/>
      <c r="M953" s="467"/>
      <c r="N953" s="504"/>
      <c r="O953" s="468"/>
      <c r="P953" s="616"/>
      <c r="Q953" s="635"/>
      <c r="R953" s="636"/>
      <c r="S953" s="637"/>
      <c r="T953" s="629"/>
      <c r="U953" s="635"/>
      <c r="V953" s="636"/>
      <c r="W953" s="637"/>
      <c r="X953" s="629"/>
      <c r="Y953" s="467"/>
      <c r="Z953" s="504"/>
      <c r="AA953" s="468"/>
      <c r="AB953" s="616"/>
      <c r="AC953" s="635"/>
      <c r="AD953" s="636"/>
      <c r="AE953" s="637"/>
      <c r="AF953" s="629"/>
      <c r="AG953" s="635"/>
      <c r="AH953" s="636"/>
      <c r="AI953" s="637"/>
      <c r="AJ953" s="629"/>
      <c r="AK953" s="435"/>
      <c r="AL953" s="435"/>
      <c r="AM953" s="435"/>
      <c r="AN953" s="435"/>
      <c r="AO953" s="467"/>
      <c r="AP953" s="504"/>
      <c r="AQ953" s="468"/>
      <c r="AR953" s="616"/>
      <c r="AS953" s="630"/>
      <c r="AT953" s="630"/>
    </row>
    <row r="954">
      <c r="A954" s="467"/>
      <c r="B954" s="504"/>
      <c r="C954" s="468"/>
      <c r="D954" s="616"/>
      <c r="E954" s="467"/>
      <c r="F954" s="504"/>
      <c r="G954" s="468"/>
      <c r="H954" s="616"/>
      <c r="I954" s="467"/>
      <c r="J954" s="504"/>
      <c r="K954" s="468"/>
      <c r="L954" s="616"/>
      <c r="M954" s="467"/>
      <c r="N954" s="504"/>
      <c r="O954" s="468"/>
      <c r="P954" s="616"/>
      <c r="Q954" s="635"/>
      <c r="R954" s="636"/>
      <c r="S954" s="637"/>
      <c r="T954" s="629"/>
      <c r="U954" s="635"/>
      <c r="V954" s="636"/>
      <c r="W954" s="637"/>
      <c r="X954" s="629"/>
      <c r="Y954" s="467"/>
      <c r="Z954" s="504"/>
      <c r="AA954" s="468"/>
      <c r="AB954" s="616"/>
      <c r="AC954" s="635"/>
      <c r="AD954" s="636"/>
      <c r="AE954" s="637"/>
      <c r="AF954" s="629"/>
      <c r="AG954" s="635"/>
      <c r="AH954" s="636"/>
      <c r="AI954" s="637"/>
      <c r="AJ954" s="629"/>
      <c r="AK954" s="435"/>
      <c r="AL954" s="435"/>
      <c r="AM954" s="435"/>
      <c r="AN954" s="435"/>
      <c r="AO954" s="467"/>
      <c r="AP954" s="504"/>
      <c r="AQ954" s="468"/>
      <c r="AR954" s="616"/>
      <c r="AS954" s="630"/>
      <c r="AT954" s="630"/>
    </row>
    <row r="955">
      <c r="A955" s="467"/>
      <c r="B955" s="504"/>
      <c r="C955" s="468"/>
      <c r="D955" s="616"/>
      <c r="E955" s="467"/>
      <c r="F955" s="504"/>
      <c r="G955" s="468"/>
      <c r="H955" s="616"/>
      <c r="I955" s="467"/>
      <c r="J955" s="504"/>
      <c r="K955" s="468"/>
      <c r="L955" s="616"/>
      <c r="M955" s="467"/>
      <c r="N955" s="504"/>
      <c r="O955" s="468"/>
      <c r="P955" s="616"/>
      <c r="Q955" s="635"/>
      <c r="R955" s="636"/>
      <c r="S955" s="637"/>
      <c r="T955" s="629"/>
      <c r="U955" s="635"/>
      <c r="V955" s="636"/>
      <c r="W955" s="637"/>
      <c r="X955" s="629"/>
      <c r="Y955" s="467"/>
      <c r="Z955" s="504"/>
      <c r="AA955" s="468"/>
      <c r="AB955" s="616"/>
      <c r="AC955" s="635"/>
      <c r="AD955" s="636"/>
      <c r="AE955" s="637"/>
      <c r="AF955" s="629"/>
      <c r="AG955" s="635"/>
      <c r="AH955" s="636"/>
      <c r="AI955" s="637"/>
      <c r="AJ955" s="629"/>
      <c r="AK955" s="435"/>
      <c r="AL955" s="435"/>
      <c r="AM955" s="435"/>
      <c r="AN955" s="435"/>
      <c r="AO955" s="467"/>
      <c r="AP955" s="504"/>
      <c r="AQ955" s="468"/>
      <c r="AR955" s="616"/>
      <c r="AS955" s="630"/>
      <c r="AT955" s="630"/>
    </row>
    <row r="956">
      <c r="A956" s="467"/>
      <c r="B956" s="504"/>
      <c r="C956" s="468"/>
      <c r="D956" s="616"/>
      <c r="E956" s="467"/>
      <c r="F956" s="504"/>
      <c r="G956" s="468"/>
      <c r="H956" s="616"/>
      <c r="I956" s="467"/>
      <c r="J956" s="504"/>
      <c r="K956" s="468"/>
      <c r="L956" s="616"/>
      <c r="M956" s="467"/>
      <c r="N956" s="504"/>
      <c r="O956" s="468"/>
      <c r="P956" s="616"/>
      <c r="Q956" s="635"/>
      <c r="R956" s="636"/>
      <c r="S956" s="637"/>
      <c r="T956" s="629"/>
      <c r="U956" s="635"/>
      <c r="V956" s="636"/>
      <c r="W956" s="637"/>
      <c r="X956" s="629"/>
      <c r="Y956" s="467"/>
      <c r="Z956" s="504"/>
      <c r="AA956" s="468"/>
      <c r="AB956" s="616"/>
      <c r="AC956" s="635"/>
      <c r="AD956" s="636"/>
      <c r="AE956" s="637"/>
      <c r="AF956" s="629"/>
      <c r="AG956" s="635"/>
      <c r="AH956" s="636"/>
      <c r="AI956" s="637"/>
      <c r="AJ956" s="629"/>
      <c r="AK956" s="435"/>
      <c r="AL956" s="435"/>
      <c r="AM956" s="435"/>
      <c r="AN956" s="435"/>
      <c r="AO956" s="467"/>
      <c r="AP956" s="504"/>
      <c r="AQ956" s="468"/>
      <c r="AR956" s="616"/>
      <c r="AS956" s="630"/>
      <c r="AT956" s="630"/>
    </row>
    <row r="957">
      <c r="A957" s="467"/>
      <c r="B957" s="504"/>
      <c r="C957" s="468"/>
      <c r="D957" s="616"/>
      <c r="E957" s="467"/>
      <c r="F957" s="504"/>
      <c r="G957" s="468"/>
      <c r="H957" s="616"/>
      <c r="I957" s="467"/>
      <c r="J957" s="504"/>
      <c r="K957" s="468"/>
      <c r="L957" s="616"/>
      <c r="M957" s="467"/>
      <c r="N957" s="504"/>
      <c r="O957" s="468"/>
      <c r="P957" s="616"/>
      <c r="Q957" s="635"/>
      <c r="R957" s="636"/>
      <c r="S957" s="637"/>
      <c r="T957" s="629"/>
      <c r="U957" s="635"/>
      <c r="V957" s="636"/>
      <c r="W957" s="637"/>
      <c r="X957" s="629"/>
      <c r="Y957" s="467"/>
      <c r="Z957" s="504"/>
      <c r="AA957" s="468"/>
      <c r="AB957" s="616"/>
      <c r="AC957" s="635"/>
      <c r="AD957" s="636"/>
      <c r="AE957" s="637"/>
      <c r="AF957" s="629"/>
      <c r="AG957" s="635"/>
      <c r="AH957" s="636"/>
      <c r="AI957" s="637"/>
      <c r="AJ957" s="629"/>
      <c r="AK957" s="435"/>
      <c r="AL957" s="435"/>
      <c r="AM957" s="435"/>
      <c r="AN957" s="435"/>
      <c r="AO957" s="467"/>
      <c r="AP957" s="504"/>
      <c r="AQ957" s="468"/>
      <c r="AR957" s="616"/>
      <c r="AS957" s="630"/>
      <c r="AT957" s="630"/>
    </row>
    <row r="958">
      <c r="A958" s="467"/>
      <c r="B958" s="504"/>
      <c r="C958" s="468"/>
      <c r="D958" s="616"/>
      <c r="E958" s="467"/>
      <c r="F958" s="504"/>
      <c r="G958" s="468"/>
      <c r="H958" s="616"/>
      <c r="I958" s="467"/>
      <c r="J958" s="504"/>
      <c r="K958" s="468"/>
      <c r="L958" s="616"/>
      <c r="M958" s="467"/>
      <c r="N958" s="504"/>
      <c r="O958" s="468"/>
      <c r="P958" s="616"/>
      <c r="Q958" s="635"/>
      <c r="R958" s="636"/>
      <c r="S958" s="637"/>
      <c r="T958" s="629"/>
      <c r="U958" s="635"/>
      <c r="V958" s="636"/>
      <c r="W958" s="637"/>
      <c r="X958" s="629"/>
      <c r="Y958" s="467"/>
      <c r="Z958" s="504"/>
      <c r="AA958" s="468"/>
      <c r="AB958" s="616"/>
      <c r="AC958" s="635"/>
      <c r="AD958" s="636"/>
      <c r="AE958" s="637"/>
      <c r="AF958" s="629"/>
      <c r="AG958" s="635"/>
      <c r="AH958" s="636"/>
      <c r="AI958" s="637"/>
      <c r="AJ958" s="629"/>
      <c r="AK958" s="435"/>
      <c r="AL958" s="435"/>
      <c r="AM958" s="435"/>
      <c r="AN958" s="435"/>
      <c r="AO958" s="467"/>
      <c r="AP958" s="504"/>
      <c r="AQ958" s="468"/>
      <c r="AR958" s="616"/>
      <c r="AS958" s="630"/>
      <c r="AT958" s="630"/>
    </row>
    <row r="959">
      <c r="A959" s="467"/>
      <c r="B959" s="504"/>
      <c r="C959" s="468"/>
      <c r="D959" s="616"/>
      <c r="E959" s="467"/>
      <c r="F959" s="504"/>
      <c r="G959" s="468"/>
      <c r="H959" s="616"/>
      <c r="I959" s="467"/>
      <c r="J959" s="504"/>
      <c r="K959" s="468"/>
      <c r="L959" s="616"/>
      <c r="M959" s="467"/>
      <c r="N959" s="504"/>
      <c r="O959" s="468"/>
      <c r="P959" s="616"/>
      <c r="Q959" s="635"/>
      <c r="R959" s="636"/>
      <c r="S959" s="637"/>
      <c r="T959" s="629"/>
      <c r="U959" s="635"/>
      <c r="V959" s="636"/>
      <c r="W959" s="637"/>
      <c r="X959" s="629"/>
      <c r="Y959" s="467"/>
      <c r="Z959" s="504"/>
      <c r="AA959" s="468"/>
      <c r="AB959" s="616"/>
      <c r="AC959" s="635"/>
      <c r="AD959" s="636"/>
      <c r="AE959" s="637"/>
      <c r="AF959" s="629"/>
      <c r="AG959" s="635"/>
      <c r="AH959" s="636"/>
      <c r="AI959" s="637"/>
      <c r="AJ959" s="629"/>
      <c r="AK959" s="435"/>
      <c r="AL959" s="435"/>
      <c r="AM959" s="435"/>
      <c r="AN959" s="435"/>
      <c r="AO959" s="467"/>
      <c r="AP959" s="504"/>
      <c r="AQ959" s="468"/>
      <c r="AR959" s="616"/>
      <c r="AS959" s="630"/>
      <c r="AT959" s="630"/>
    </row>
    <row r="960">
      <c r="A960" s="467"/>
      <c r="B960" s="504"/>
      <c r="C960" s="468"/>
      <c r="D960" s="616"/>
      <c r="E960" s="467"/>
      <c r="F960" s="504"/>
      <c r="G960" s="468"/>
      <c r="H960" s="616"/>
      <c r="I960" s="467"/>
      <c r="J960" s="504"/>
      <c r="K960" s="468"/>
      <c r="L960" s="616"/>
      <c r="M960" s="467"/>
      <c r="N960" s="504"/>
      <c r="O960" s="468"/>
      <c r="P960" s="616"/>
      <c r="Q960" s="635"/>
      <c r="R960" s="636"/>
      <c r="S960" s="637"/>
      <c r="T960" s="629"/>
      <c r="U960" s="635"/>
      <c r="V960" s="636"/>
      <c r="W960" s="637"/>
      <c r="X960" s="629"/>
      <c r="Y960" s="467"/>
      <c r="Z960" s="504"/>
      <c r="AA960" s="468"/>
      <c r="AB960" s="616"/>
      <c r="AC960" s="635"/>
      <c r="AD960" s="636"/>
      <c r="AE960" s="637"/>
      <c r="AF960" s="629"/>
      <c r="AG960" s="635"/>
      <c r="AH960" s="636"/>
      <c r="AI960" s="637"/>
      <c r="AJ960" s="629"/>
      <c r="AK960" s="435"/>
      <c r="AL960" s="435"/>
      <c r="AM960" s="435"/>
      <c r="AN960" s="435"/>
      <c r="AO960" s="467"/>
      <c r="AP960" s="504"/>
      <c r="AQ960" s="468"/>
      <c r="AR960" s="616"/>
      <c r="AS960" s="630"/>
      <c r="AT960" s="630"/>
    </row>
    <row r="961">
      <c r="A961" s="467"/>
      <c r="B961" s="504"/>
      <c r="C961" s="468"/>
      <c r="D961" s="616"/>
      <c r="E961" s="467"/>
      <c r="F961" s="504"/>
      <c r="G961" s="468"/>
      <c r="H961" s="616"/>
      <c r="I961" s="467"/>
      <c r="J961" s="504"/>
      <c r="K961" s="468"/>
      <c r="L961" s="616"/>
      <c r="M961" s="467"/>
      <c r="N961" s="504"/>
      <c r="O961" s="468"/>
      <c r="P961" s="616"/>
      <c r="Q961" s="635"/>
      <c r="R961" s="636"/>
      <c r="S961" s="637"/>
      <c r="T961" s="629"/>
      <c r="U961" s="635"/>
      <c r="V961" s="636"/>
      <c r="W961" s="637"/>
      <c r="X961" s="629"/>
      <c r="Y961" s="467"/>
      <c r="Z961" s="504"/>
      <c r="AA961" s="468"/>
      <c r="AB961" s="616"/>
      <c r="AC961" s="635"/>
      <c r="AD961" s="636"/>
      <c r="AE961" s="637"/>
      <c r="AF961" s="629"/>
      <c r="AG961" s="635"/>
      <c r="AH961" s="636"/>
      <c r="AI961" s="637"/>
      <c r="AJ961" s="629"/>
      <c r="AK961" s="435"/>
      <c r="AL961" s="435"/>
      <c r="AM961" s="435"/>
      <c r="AN961" s="435"/>
      <c r="AO961" s="467"/>
      <c r="AP961" s="504"/>
      <c r="AQ961" s="468"/>
      <c r="AR961" s="616"/>
      <c r="AS961" s="630"/>
      <c r="AT961" s="630"/>
    </row>
    <row r="962">
      <c r="A962" s="467"/>
      <c r="B962" s="504"/>
      <c r="C962" s="468"/>
      <c r="D962" s="616"/>
      <c r="E962" s="467"/>
      <c r="F962" s="504"/>
      <c r="G962" s="468"/>
      <c r="H962" s="616"/>
      <c r="I962" s="467"/>
      <c r="J962" s="504"/>
      <c r="K962" s="468"/>
      <c r="L962" s="616"/>
      <c r="M962" s="467"/>
      <c r="N962" s="504"/>
      <c r="O962" s="468"/>
      <c r="P962" s="616"/>
      <c r="Q962" s="635"/>
      <c r="R962" s="636"/>
      <c r="S962" s="637"/>
      <c r="T962" s="629"/>
      <c r="U962" s="635"/>
      <c r="V962" s="636"/>
      <c r="W962" s="637"/>
      <c r="X962" s="629"/>
      <c r="Y962" s="467"/>
      <c r="Z962" s="504"/>
      <c r="AA962" s="468"/>
      <c r="AB962" s="616"/>
      <c r="AC962" s="635"/>
      <c r="AD962" s="636"/>
      <c r="AE962" s="637"/>
      <c r="AF962" s="629"/>
      <c r="AG962" s="635"/>
      <c r="AH962" s="636"/>
      <c r="AI962" s="637"/>
      <c r="AJ962" s="629"/>
      <c r="AK962" s="435"/>
      <c r="AL962" s="435"/>
      <c r="AM962" s="435"/>
      <c r="AN962" s="435"/>
      <c r="AO962" s="467"/>
      <c r="AP962" s="504"/>
      <c r="AQ962" s="468"/>
      <c r="AR962" s="616"/>
      <c r="AS962" s="630"/>
      <c r="AT962" s="630"/>
    </row>
    <row r="963">
      <c r="A963" s="467"/>
      <c r="B963" s="504"/>
      <c r="C963" s="468"/>
      <c r="D963" s="616"/>
      <c r="E963" s="467"/>
      <c r="F963" s="504"/>
      <c r="G963" s="468"/>
      <c r="H963" s="616"/>
      <c r="I963" s="467"/>
      <c r="J963" s="504"/>
      <c r="K963" s="468"/>
      <c r="L963" s="616"/>
      <c r="M963" s="467"/>
      <c r="N963" s="504"/>
      <c r="O963" s="468"/>
      <c r="P963" s="616"/>
      <c r="Q963" s="635"/>
      <c r="R963" s="636"/>
      <c r="S963" s="637"/>
      <c r="T963" s="629"/>
      <c r="U963" s="635"/>
      <c r="V963" s="636"/>
      <c r="W963" s="637"/>
      <c r="X963" s="629"/>
      <c r="Y963" s="467"/>
      <c r="Z963" s="504"/>
      <c r="AA963" s="468"/>
      <c r="AB963" s="616"/>
      <c r="AC963" s="635"/>
      <c r="AD963" s="636"/>
      <c r="AE963" s="637"/>
      <c r="AF963" s="629"/>
      <c r="AG963" s="635"/>
      <c r="AH963" s="636"/>
      <c r="AI963" s="637"/>
      <c r="AJ963" s="629"/>
      <c r="AK963" s="435"/>
      <c r="AL963" s="435"/>
      <c r="AM963" s="435"/>
      <c r="AN963" s="435"/>
      <c r="AO963" s="467"/>
      <c r="AP963" s="504"/>
      <c r="AQ963" s="468"/>
      <c r="AR963" s="616"/>
      <c r="AS963" s="630"/>
      <c r="AT963" s="630"/>
    </row>
    <row r="964">
      <c r="A964" s="467"/>
      <c r="B964" s="504"/>
      <c r="C964" s="468"/>
      <c r="D964" s="616"/>
      <c r="E964" s="467"/>
      <c r="F964" s="504"/>
      <c r="G964" s="468"/>
      <c r="H964" s="616"/>
      <c r="I964" s="467"/>
      <c r="J964" s="504"/>
      <c r="K964" s="468"/>
      <c r="L964" s="616"/>
      <c r="M964" s="467"/>
      <c r="N964" s="504"/>
      <c r="O964" s="468"/>
      <c r="P964" s="616"/>
      <c r="Q964" s="635"/>
      <c r="R964" s="636"/>
      <c r="S964" s="637"/>
      <c r="T964" s="629"/>
      <c r="U964" s="635"/>
      <c r="V964" s="636"/>
      <c r="W964" s="637"/>
      <c r="X964" s="629"/>
      <c r="Y964" s="467"/>
      <c r="Z964" s="504"/>
      <c r="AA964" s="468"/>
      <c r="AB964" s="616"/>
      <c r="AC964" s="635"/>
      <c r="AD964" s="636"/>
      <c r="AE964" s="637"/>
      <c r="AF964" s="629"/>
      <c r="AG964" s="635"/>
      <c r="AH964" s="636"/>
      <c r="AI964" s="637"/>
      <c r="AJ964" s="629"/>
      <c r="AK964" s="435"/>
      <c r="AL964" s="435"/>
      <c r="AM964" s="435"/>
      <c r="AN964" s="435"/>
      <c r="AO964" s="467"/>
      <c r="AP964" s="504"/>
      <c r="AQ964" s="468"/>
      <c r="AR964" s="616"/>
      <c r="AS964" s="630"/>
      <c r="AT964" s="630"/>
    </row>
    <row r="965">
      <c r="A965" s="467"/>
      <c r="B965" s="504"/>
      <c r="C965" s="468"/>
      <c r="D965" s="616"/>
      <c r="E965" s="467"/>
      <c r="F965" s="504"/>
      <c r="G965" s="468"/>
      <c r="H965" s="616"/>
      <c r="I965" s="467"/>
      <c r="J965" s="504"/>
      <c r="K965" s="468"/>
      <c r="L965" s="616"/>
      <c r="M965" s="467"/>
      <c r="N965" s="504"/>
      <c r="O965" s="468"/>
      <c r="P965" s="616"/>
      <c r="Q965" s="635"/>
      <c r="R965" s="636"/>
      <c r="S965" s="637"/>
      <c r="T965" s="629"/>
      <c r="U965" s="635"/>
      <c r="V965" s="636"/>
      <c r="W965" s="637"/>
      <c r="X965" s="629"/>
      <c r="Y965" s="467"/>
      <c r="Z965" s="504"/>
      <c r="AA965" s="468"/>
      <c r="AB965" s="616"/>
      <c r="AC965" s="635"/>
      <c r="AD965" s="636"/>
      <c r="AE965" s="637"/>
      <c r="AF965" s="629"/>
      <c r="AG965" s="635"/>
      <c r="AH965" s="636"/>
      <c r="AI965" s="637"/>
      <c r="AJ965" s="629"/>
      <c r="AK965" s="435"/>
      <c r="AL965" s="435"/>
      <c r="AM965" s="435"/>
      <c r="AN965" s="435"/>
      <c r="AO965" s="467"/>
      <c r="AP965" s="504"/>
      <c r="AQ965" s="468"/>
      <c r="AR965" s="616"/>
      <c r="AS965" s="630"/>
      <c r="AT965" s="630"/>
    </row>
    <row r="966">
      <c r="A966" s="467"/>
      <c r="B966" s="504"/>
      <c r="C966" s="468"/>
      <c r="D966" s="616"/>
      <c r="E966" s="467"/>
      <c r="F966" s="504"/>
      <c r="G966" s="468"/>
      <c r="H966" s="616"/>
      <c r="I966" s="467"/>
      <c r="J966" s="504"/>
      <c r="K966" s="468"/>
      <c r="L966" s="616"/>
      <c r="M966" s="467"/>
      <c r="N966" s="504"/>
      <c r="O966" s="468"/>
      <c r="P966" s="616"/>
      <c r="Q966" s="635"/>
      <c r="R966" s="636"/>
      <c r="S966" s="637"/>
      <c r="T966" s="629"/>
      <c r="U966" s="635"/>
      <c r="V966" s="636"/>
      <c r="W966" s="637"/>
      <c r="X966" s="629"/>
      <c r="Y966" s="467"/>
      <c r="Z966" s="504"/>
      <c r="AA966" s="468"/>
      <c r="AB966" s="616"/>
      <c r="AC966" s="635"/>
      <c r="AD966" s="636"/>
      <c r="AE966" s="637"/>
      <c r="AF966" s="629"/>
      <c r="AG966" s="635"/>
      <c r="AH966" s="636"/>
      <c r="AI966" s="637"/>
      <c r="AJ966" s="629"/>
      <c r="AK966" s="435"/>
      <c r="AL966" s="435"/>
      <c r="AM966" s="435"/>
      <c r="AN966" s="435"/>
      <c r="AO966" s="467"/>
      <c r="AP966" s="504"/>
      <c r="AQ966" s="468"/>
      <c r="AR966" s="616"/>
      <c r="AS966" s="630"/>
      <c r="AT966" s="630"/>
    </row>
    <row r="967">
      <c r="A967" s="467"/>
      <c r="B967" s="504"/>
      <c r="C967" s="468"/>
      <c r="D967" s="616"/>
      <c r="E967" s="467"/>
      <c r="F967" s="504"/>
      <c r="G967" s="468"/>
      <c r="H967" s="616"/>
      <c r="I967" s="467"/>
      <c r="J967" s="504"/>
      <c r="K967" s="468"/>
      <c r="L967" s="616"/>
      <c r="M967" s="467"/>
      <c r="N967" s="504"/>
      <c r="O967" s="468"/>
      <c r="P967" s="616"/>
      <c r="Q967" s="635"/>
      <c r="R967" s="636"/>
      <c r="S967" s="637"/>
      <c r="T967" s="629"/>
      <c r="U967" s="635"/>
      <c r="V967" s="636"/>
      <c r="W967" s="637"/>
      <c r="X967" s="629"/>
      <c r="Y967" s="467"/>
      <c r="Z967" s="504"/>
      <c r="AA967" s="468"/>
      <c r="AB967" s="616"/>
      <c r="AC967" s="635"/>
      <c r="AD967" s="636"/>
      <c r="AE967" s="637"/>
      <c r="AF967" s="629"/>
      <c r="AG967" s="635"/>
      <c r="AH967" s="636"/>
      <c r="AI967" s="637"/>
      <c r="AJ967" s="629"/>
      <c r="AK967" s="435"/>
      <c r="AL967" s="435"/>
      <c r="AM967" s="435"/>
      <c r="AN967" s="435"/>
      <c r="AO967" s="467"/>
      <c r="AP967" s="504"/>
      <c r="AQ967" s="468"/>
      <c r="AR967" s="616"/>
      <c r="AS967" s="630"/>
      <c r="AT967" s="630"/>
    </row>
    <row r="968">
      <c r="A968" s="467"/>
      <c r="B968" s="504"/>
      <c r="C968" s="468"/>
      <c r="D968" s="616"/>
      <c r="E968" s="467"/>
      <c r="F968" s="504"/>
      <c r="G968" s="468"/>
      <c r="H968" s="616"/>
      <c r="I968" s="467"/>
      <c r="J968" s="504"/>
      <c r="K968" s="468"/>
      <c r="L968" s="616"/>
      <c r="M968" s="467"/>
      <c r="N968" s="504"/>
      <c r="O968" s="468"/>
      <c r="P968" s="616"/>
      <c r="Q968" s="635"/>
      <c r="R968" s="636"/>
      <c r="S968" s="637"/>
      <c r="T968" s="629"/>
      <c r="U968" s="635"/>
      <c r="V968" s="636"/>
      <c r="W968" s="637"/>
      <c r="X968" s="629"/>
      <c r="Y968" s="467"/>
      <c r="Z968" s="504"/>
      <c r="AA968" s="468"/>
      <c r="AB968" s="616"/>
      <c r="AC968" s="635"/>
      <c r="AD968" s="636"/>
      <c r="AE968" s="637"/>
      <c r="AF968" s="629"/>
      <c r="AG968" s="635"/>
      <c r="AH968" s="636"/>
      <c r="AI968" s="637"/>
      <c r="AJ968" s="629"/>
      <c r="AK968" s="435"/>
      <c r="AL968" s="435"/>
      <c r="AM968" s="435"/>
      <c r="AN968" s="435"/>
      <c r="AO968" s="467"/>
      <c r="AP968" s="504"/>
      <c r="AQ968" s="468"/>
      <c r="AR968" s="616"/>
      <c r="AS968" s="630"/>
      <c r="AT968" s="630"/>
    </row>
    <row r="969">
      <c r="A969" s="467"/>
      <c r="B969" s="504"/>
      <c r="C969" s="468"/>
      <c r="D969" s="616"/>
      <c r="E969" s="467"/>
      <c r="F969" s="504"/>
      <c r="G969" s="468"/>
      <c r="H969" s="616"/>
      <c r="I969" s="467"/>
      <c r="J969" s="504"/>
      <c r="K969" s="468"/>
      <c r="L969" s="616"/>
      <c r="M969" s="467"/>
      <c r="N969" s="504"/>
      <c r="O969" s="468"/>
      <c r="P969" s="616"/>
      <c r="Q969" s="635"/>
      <c r="R969" s="636"/>
      <c r="S969" s="637"/>
      <c r="T969" s="629"/>
      <c r="U969" s="635"/>
      <c r="V969" s="636"/>
      <c r="W969" s="637"/>
      <c r="X969" s="629"/>
      <c r="Y969" s="467"/>
      <c r="Z969" s="504"/>
      <c r="AA969" s="468"/>
      <c r="AB969" s="616"/>
      <c r="AC969" s="635"/>
      <c r="AD969" s="636"/>
      <c r="AE969" s="637"/>
      <c r="AF969" s="629"/>
      <c r="AG969" s="635"/>
      <c r="AH969" s="636"/>
      <c r="AI969" s="637"/>
      <c r="AJ969" s="629"/>
      <c r="AK969" s="435"/>
      <c r="AL969" s="435"/>
      <c r="AM969" s="435"/>
      <c r="AN969" s="435"/>
      <c r="AO969" s="467"/>
      <c r="AP969" s="504"/>
      <c r="AQ969" s="468"/>
      <c r="AR969" s="616"/>
      <c r="AS969" s="630"/>
      <c r="AT969" s="630"/>
    </row>
    <row r="970">
      <c r="A970" s="467"/>
      <c r="B970" s="504"/>
      <c r="C970" s="468"/>
      <c r="D970" s="616"/>
      <c r="E970" s="467"/>
      <c r="F970" s="504"/>
      <c r="G970" s="468"/>
      <c r="H970" s="616"/>
      <c r="I970" s="467"/>
      <c r="J970" s="504"/>
      <c r="K970" s="468"/>
      <c r="L970" s="616"/>
      <c r="M970" s="467"/>
      <c r="N970" s="504"/>
      <c r="O970" s="468"/>
      <c r="P970" s="616"/>
      <c r="Q970" s="635"/>
      <c r="R970" s="636"/>
      <c r="S970" s="637"/>
      <c r="T970" s="629"/>
      <c r="U970" s="635"/>
      <c r="V970" s="636"/>
      <c r="W970" s="637"/>
      <c r="X970" s="629"/>
      <c r="Y970" s="467"/>
      <c r="Z970" s="504"/>
      <c r="AA970" s="468"/>
      <c r="AB970" s="616"/>
      <c r="AC970" s="635"/>
      <c r="AD970" s="636"/>
      <c r="AE970" s="637"/>
      <c r="AF970" s="629"/>
      <c r="AG970" s="635"/>
      <c r="AH970" s="636"/>
      <c r="AI970" s="637"/>
      <c r="AJ970" s="629"/>
      <c r="AK970" s="435"/>
      <c r="AL970" s="435"/>
      <c r="AM970" s="435"/>
      <c r="AN970" s="435"/>
      <c r="AO970" s="467"/>
      <c r="AP970" s="504"/>
      <c r="AQ970" s="468"/>
      <c r="AR970" s="616"/>
      <c r="AS970" s="630"/>
      <c r="AT970" s="630"/>
    </row>
    <row r="971">
      <c r="A971" s="467"/>
      <c r="B971" s="504"/>
      <c r="C971" s="468"/>
      <c r="D971" s="616"/>
      <c r="E971" s="467"/>
      <c r="F971" s="504"/>
      <c r="G971" s="468"/>
      <c r="H971" s="616"/>
      <c r="I971" s="467"/>
      <c r="J971" s="504"/>
      <c r="K971" s="468"/>
      <c r="L971" s="616"/>
      <c r="M971" s="467"/>
      <c r="N971" s="504"/>
      <c r="O971" s="468"/>
      <c r="P971" s="616"/>
      <c r="Q971" s="635"/>
      <c r="R971" s="636"/>
      <c r="S971" s="637"/>
      <c r="T971" s="629"/>
      <c r="U971" s="635"/>
      <c r="V971" s="636"/>
      <c r="W971" s="637"/>
      <c r="X971" s="629"/>
      <c r="Y971" s="467"/>
      <c r="Z971" s="504"/>
      <c r="AA971" s="468"/>
      <c r="AB971" s="616"/>
      <c r="AC971" s="635"/>
      <c r="AD971" s="636"/>
      <c r="AE971" s="637"/>
      <c r="AF971" s="629"/>
      <c r="AG971" s="635"/>
      <c r="AH971" s="636"/>
      <c r="AI971" s="637"/>
      <c r="AJ971" s="629"/>
      <c r="AK971" s="435"/>
      <c r="AL971" s="435"/>
      <c r="AM971" s="435"/>
      <c r="AN971" s="435"/>
      <c r="AO971" s="467"/>
      <c r="AP971" s="504"/>
      <c r="AQ971" s="468"/>
      <c r="AR971" s="616"/>
      <c r="AS971" s="630"/>
      <c r="AT971" s="630"/>
    </row>
    <row r="972">
      <c r="A972" s="467"/>
      <c r="B972" s="504"/>
      <c r="C972" s="468"/>
      <c r="D972" s="616"/>
      <c r="E972" s="467"/>
      <c r="F972" s="504"/>
      <c r="G972" s="468"/>
      <c r="H972" s="616"/>
      <c r="I972" s="467"/>
      <c r="J972" s="504"/>
      <c r="K972" s="468"/>
      <c r="L972" s="616"/>
      <c r="M972" s="467"/>
      <c r="N972" s="504"/>
      <c r="O972" s="468"/>
      <c r="P972" s="616"/>
      <c r="Q972" s="635"/>
      <c r="R972" s="636"/>
      <c r="S972" s="637"/>
      <c r="T972" s="629"/>
      <c r="U972" s="635"/>
      <c r="V972" s="636"/>
      <c r="W972" s="637"/>
      <c r="X972" s="629"/>
      <c r="Y972" s="467"/>
      <c r="Z972" s="504"/>
      <c r="AA972" s="468"/>
      <c r="AB972" s="616"/>
      <c r="AC972" s="635"/>
      <c r="AD972" s="636"/>
      <c r="AE972" s="637"/>
      <c r="AF972" s="629"/>
      <c r="AG972" s="635"/>
      <c r="AH972" s="636"/>
      <c r="AI972" s="637"/>
      <c r="AJ972" s="629"/>
      <c r="AK972" s="435"/>
      <c r="AL972" s="435"/>
      <c r="AM972" s="435"/>
      <c r="AN972" s="435"/>
      <c r="AO972" s="467"/>
      <c r="AP972" s="504"/>
      <c r="AQ972" s="468"/>
      <c r="AR972" s="616"/>
      <c r="AS972" s="630"/>
      <c r="AT972" s="630"/>
    </row>
    <row r="973">
      <c r="A973" s="467"/>
      <c r="B973" s="504"/>
      <c r="C973" s="468"/>
      <c r="D973" s="616"/>
      <c r="E973" s="467"/>
      <c r="F973" s="504"/>
      <c r="G973" s="468"/>
      <c r="H973" s="616"/>
      <c r="I973" s="467"/>
      <c r="J973" s="504"/>
      <c r="K973" s="468"/>
      <c r="L973" s="616"/>
      <c r="M973" s="467"/>
      <c r="N973" s="504"/>
      <c r="O973" s="468"/>
      <c r="P973" s="616"/>
      <c r="Q973" s="635"/>
      <c r="R973" s="636"/>
      <c r="S973" s="637"/>
      <c r="T973" s="629"/>
      <c r="U973" s="635"/>
      <c r="V973" s="636"/>
      <c r="W973" s="637"/>
      <c r="X973" s="629"/>
      <c r="Y973" s="467"/>
      <c r="Z973" s="504"/>
      <c r="AA973" s="468"/>
      <c r="AB973" s="616"/>
      <c r="AC973" s="635"/>
      <c r="AD973" s="636"/>
      <c r="AE973" s="637"/>
      <c r="AF973" s="629"/>
      <c r="AG973" s="635"/>
      <c r="AH973" s="636"/>
      <c r="AI973" s="637"/>
      <c r="AJ973" s="629"/>
      <c r="AK973" s="435"/>
      <c r="AL973" s="435"/>
      <c r="AM973" s="435"/>
      <c r="AN973" s="435"/>
      <c r="AO973" s="467"/>
      <c r="AP973" s="504"/>
      <c r="AQ973" s="468"/>
      <c r="AR973" s="616"/>
      <c r="AS973" s="630"/>
      <c r="AT973" s="630"/>
    </row>
    <row r="974">
      <c r="A974" s="467"/>
      <c r="B974" s="504"/>
      <c r="C974" s="468"/>
      <c r="D974" s="616"/>
      <c r="E974" s="467"/>
      <c r="F974" s="504"/>
      <c r="G974" s="468"/>
      <c r="H974" s="616"/>
      <c r="I974" s="467"/>
      <c r="J974" s="504"/>
      <c r="K974" s="468"/>
      <c r="L974" s="616"/>
      <c r="M974" s="467"/>
      <c r="N974" s="504"/>
      <c r="O974" s="468"/>
      <c r="P974" s="616"/>
      <c r="Q974" s="635"/>
      <c r="R974" s="636"/>
      <c r="S974" s="637"/>
      <c r="T974" s="629"/>
      <c r="U974" s="635"/>
      <c r="V974" s="636"/>
      <c r="W974" s="637"/>
      <c r="X974" s="629"/>
      <c r="Y974" s="467"/>
      <c r="Z974" s="504"/>
      <c r="AA974" s="468"/>
      <c r="AB974" s="616"/>
      <c r="AC974" s="635"/>
      <c r="AD974" s="636"/>
      <c r="AE974" s="637"/>
      <c r="AF974" s="629"/>
      <c r="AG974" s="635"/>
      <c r="AH974" s="636"/>
      <c r="AI974" s="637"/>
      <c r="AJ974" s="629"/>
      <c r="AK974" s="435"/>
      <c r="AL974" s="435"/>
      <c r="AM974" s="435"/>
      <c r="AN974" s="435"/>
      <c r="AO974" s="467"/>
      <c r="AP974" s="504"/>
      <c r="AQ974" s="468"/>
      <c r="AR974" s="616"/>
      <c r="AS974" s="630"/>
      <c r="AT974" s="630"/>
    </row>
    <row r="975">
      <c r="A975" s="467"/>
      <c r="B975" s="504"/>
      <c r="C975" s="468"/>
      <c r="D975" s="616"/>
      <c r="E975" s="467"/>
      <c r="F975" s="504"/>
      <c r="G975" s="468"/>
      <c r="H975" s="616"/>
      <c r="I975" s="467"/>
      <c r="J975" s="504"/>
      <c r="K975" s="468"/>
      <c r="L975" s="616"/>
      <c r="M975" s="467"/>
      <c r="N975" s="504"/>
      <c r="O975" s="468"/>
      <c r="P975" s="616"/>
      <c r="Q975" s="635"/>
      <c r="R975" s="636"/>
      <c r="S975" s="637"/>
      <c r="T975" s="629"/>
      <c r="U975" s="635"/>
      <c r="V975" s="636"/>
      <c r="W975" s="637"/>
      <c r="X975" s="629"/>
      <c r="Y975" s="467"/>
      <c r="Z975" s="504"/>
      <c r="AA975" s="468"/>
      <c r="AB975" s="616"/>
      <c r="AC975" s="635"/>
      <c r="AD975" s="636"/>
      <c r="AE975" s="637"/>
      <c r="AF975" s="629"/>
      <c r="AG975" s="635"/>
      <c r="AH975" s="636"/>
      <c r="AI975" s="637"/>
      <c r="AJ975" s="629"/>
      <c r="AK975" s="435"/>
      <c r="AL975" s="435"/>
      <c r="AM975" s="435"/>
      <c r="AN975" s="435"/>
      <c r="AO975" s="467"/>
      <c r="AP975" s="504"/>
      <c r="AQ975" s="468"/>
      <c r="AR975" s="616"/>
      <c r="AS975" s="630"/>
      <c r="AT975" s="630"/>
    </row>
    <row r="976">
      <c r="A976" s="467"/>
      <c r="B976" s="504"/>
      <c r="C976" s="468"/>
      <c r="D976" s="616"/>
      <c r="E976" s="467"/>
      <c r="F976" s="504"/>
      <c r="G976" s="468"/>
      <c r="H976" s="616"/>
      <c r="I976" s="467"/>
      <c r="J976" s="504"/>
      <c r="K976" s="468"/>
      <c r="L976" s="616"/>
      <c r="M976" s="467"/>
      <c r="N976" s="504"/>
      <c r="O976" s="468"/>
      <c r="P976" s="616"/>
      <c r="Q976" s="635"/>
      <c r="R976" s="636"/>
      <c r="S976" s="637"/>
      <c r="T976" s="629"/>
      <c r="U976" s="635"/>
      <c r="V976" s="636"/>
      <c r="W976" s="637"/>
      <c r="X976" s="629"/>
      <c r="Y976" s="467"/>
      <c r="Z976" s="504"/>
      <c r="AA976" s="468"/>
      <c r="AB976" s="616"/>
      <c r="AC976" s="635"/>
      <c r="AD976" s="636"/>
      <c r="AE976" s="637"/>
      <c r="AF976" s="629"/>
      <c r="AG976" s="635"/>
      <c r="AH976" s="636"/>
      <c r="AI976" s="637"/>
      <c r="AJ976" s="629"/>
      <c r="AK976" s="435"/>
      <c r="AL976" s="435"/>
      <c r="AM976" s="435"/>
      <c r="AN976" s="435"/>
      <c r="AO976" s="467"/>
      <c r="AP976" s="504"/>
      <c r="AQ976" s="468"/>
      <c r="AR976" s="616"/>
      <c r="AS976" s="630"/>
      <c r="AT976" s="630"/>
    </row>
    <row r="977">
      <c r="A977" s="467"/>
      <c r="B977" s="504"/>
      <c r="C977" s="468"/>
      <c r="D977" s="616"/>
      <c r="E977" s="467"/>
      <c r="F977" s="504"/>
      <c r="G977" s="468"/>
      <c r="H977" s="616"/>
      <c r="I977" s="467"/>
      <c r="J977" s="504"/>
      <c r="K977" s="468"/>
      <c r="L977" s="616"/>
      <c r="M977" s="467"/>
      <c r="N977" s="504"/>
      <c r="O977" s="468"/>
      <c r="P977" s="616"/>
      <c r="Q977" s="635"/>
      <c r="R977" s="636"/>
      <c r="S977" s="637"/>
      <c r="T977" s="629"/>
      <c r="U977" s="635"/>
      <c r="V977" s="636"/>
      <c r="W977" s="637"/>
      <c r="X977" s="629"/>
      <c r="Y977" s="467"/>
      <c r="Z977" s="504"/>
      <c r="AA977" s="468"/>
      <c r="AB977" s="616"/>
      <c r="AC977" s="635"/>
      <c r="AD977" s="636"/>
      <c r="AE977" s="637"/>
      <c r="AF977" s="629"/>
      <c r="AG977" s="635"/>
      <c r="AH977" s="636"/>
      <c r="AI977" s="637"/>
      <c r="AJ977" s="629"/>
      <c r="AK977" s="435"/>
      <c r="AL977" s="435"/>
      <c r="AM977" s="435"/>
      <c r="AN977" s="435"/>
      <c r="AO977" s="467"/>
      <c r="AP977" s="504"/>
      <c r="AQ977" s="468"/>
      <c r="AR977" s="616"/>
      <c r="AS977" s="630"/>
      <c r="AT977" s="630"/>
    </row>
    <row r="978">
      <c r="A978" s="467"/>
      <c r="B978" s="504"/>
      <c r="C978" s="468"/>
      <c r="D978" s="616"/>
      <c r="E978" s="467"/>
      <c r="F978" s="504"/>
      <c r="G978" s="468"/>
      <c r="H978" s="616"/>
      <c r="I978" s="467"/>
      <c r="J978" s="504"/>
      <c r="K978" s="468"/>
      <c r="L978" s="616"/>
      <c r="M978" s="467"/>
      <c r="N978" s="504"/>
      <c r="O978" s="468"/>
      <c r="P978" s="616"/>
      <c r="Q978" s="635"/>
      <c r="R978" s="636"/>
      <c r="S978" s="637"/>
      <c r="T978" s="629"/>
      <c r="U978" s="635"/>
      <c r="V978" s="636"/>
      <c r="W978" s="637"/>
      <c r="X978" s="629"/>
      <c r="Y978" s="467"/>
      <c r="Z978" s="504"/>
      <c r="AA978" s="468"/>
      <c r="AB978" s="616"/>
      <c r="AC978" s="635"/>
      <c r="AD978" s="636"/>
      <c r="AE978" s="637"/>
      <c r="AF978" s="629"/>
      <c r="AG978" s="635"/>
      <c r="AH978" s="636"/>
      <c r="AI978" s="637"/>
      <c r="AJ978" s="629"/>
      <c r="AK978" s="435"/>
      <c r="AL978" s="435"/>
      <c r="AM978" s="435"/>
      <c r="AN978" s="435"/>
      <c r="AO978" s="467"/>
      <c r="AP978" s="504"/>
      <c r="AQ978" s="468"/>
      <c r="AR978" s="616"/>
      <c r="AS978" s="630"/>
      <c r="AT978" s="630"/>
    </row>
    <row r="979">
      <c r="A979" s="467"/>
      <c r="B979" s="504"/>
      <c r="C979" s="468"/>
      <c r="D979" s="616"/>
      <c r="E979" s="467"/>
      <c r="F979" s="504"/>
      <c r="G979" s="468"/>
      <c r="H979" s="616"/>
      <c r="I979" s="467"/>
      <c r="J979" s="504"/>
      <c r="K979" s="468"/>
      <c r="L979" s="616"/>
      <c r="M979" s="467"/>
      <c r="N979" s="504"/>
      <c r="O979" s="468"/>
      <c r="P979" s="616"/>
      <c r="Q979" s="635"/>
      <c r="R979" s="636"/>
      <c r="S979" s="637"/>
      <c r="T979" s="629"/>
      <c r="U979" s="635"/>
      <c r="V979" s="636"/>
      <c r="W979" s="637"/>
      <c r="X979" s="629"/>
      <c r="Y979" s="467"/>
      <c r="Z979" s="504"/>
      <c r="AA979" s="468"/>
      <c r="AB979" s="616"/>
      <c r="AC979" s="635"/>
      <c r="AD979" s="636"/>
      <c r="AE979" s="637"/>
      <c r="AF979" s="629"/>
      <c r="AG979" s="635"/>
      <c r="AH979" s="636"/>
      <c r="AI979" s="637"/>
      <c r="AJ979" s="629"/>
      <c r="AK979" s="435"/>
      <c r="AL979" s="435"/>
      <c r="AM979" s="435"/>
      <c r="AN979" s="435"/>
      <c r="AO979" s="467"/>
      <c r="AP979" s="504"/>
      <c r="AQ979" s="468"/>
      <c r="AR979" s="616"/>
      <c r="AS979" s="630"/>
      <c r="AT979" s="630"/>
    </row>
    <row r="980">
      <c r="A980" s="467"/>
      <c r="B980" s="504"/>
      <c r="C980" s="468"/>
      <c r="D980" s="616"/>
      <c r="E980" s="467"/>
      <c r="F980" s="504"/>
      <c r="G980" s="468"/>
      <c r="H980" s="616"/>
      <c r="I980" s="467"/>
      <c r="J980" s="504"/>
      <c r="K980" s="468"/>
      <c r="L980" s="616"/>
      <c r="M980" s="467"/>
      <c r="N980" s="504"/>
      <c r="O980" s="468"/>
      <c r="P980" s="616"/>
      <c r="Q980" s="635"/>
      <c r="R980" s="636"/>
      <c r="S980" s="637"/>
      <c r="T980" s="629"/>
      <c r="U980" s="635"/>
      <c r="V980" s="636"/>
      <c r="W980" s="637"/>
      <c r="X980" s="629"/>
      <c r="Y980" s="467"/>
      <c r="Z980" s="504"/>
      <c r="AA980" s="468"/>
      <c r="AB980" s="616"/>
      <c r="AC980" s="635"/>
      <c r="AD980" s="636"/>
      <c r="AE980" s="637"/>
      <c r="AF980" s="629"/>
      <c r="AG980" s="635"/>
      <c r="AH980" s="636"/>
      <c r="AI980" s="637"/>
      <c r="AJ980" s="629"/>
      <c r="AK980" s="435"/>
      <c r="AL980" s="435"/>
      <c r="AM980" s="435"/>
      <c r="AN980" s="435"/>
      <c r="AO980" s="467"/>
      <c r="AP980" s="504"/>
      <c r="AQ980" s="468"/>
      <c r="AR980" s="616"/>
      <c r="AS980" s="630"/>
      <c r="AT980" s="630"/>
    </row>
    <row r="981">
      <c r="A981" s="467"/>
      <c r="B981" s="504"/>
      <c r="C981" s="468"/>
      <c r="D981" s="616"/>
      <c r="E981" s="467"/>
      <c r="F981" s="504"/>
      <c r="G981" s="468"/>
      <c r="H981" s="616"/>
      <c r="I981" s="467"/>
      <c r="J981" s="504"/>
      <c r="K981" s="468"/>
      <c r="L981" s="616"/>
      <c r="M981" s="467"/>
      <c r="N981" s="504"/>
      <c r="O981" s="468"/>
      <c r="P981" s="616"/>
      <c r="Q981" s="635"/>
      <c r="R981" s="636"/>
      <c r="S981" s="637"/>
      <c r="T981" s="629"/>
      <c r="U981" s="635"/>
      <c r="V981" s="636"/>
      <c r="W981" s="637"/>
      <c r="X981" s="629"/>
      <c r="Y981" s="467"/>
      <c r="Z981" s="504"/>
      <c r="AA981" s="468"/>
      <c r="AB981" s="616"/>
      <c r="AC981" s="635"/>
      <c r="AD981" s="636"/>
      <c r="AE981" s="637"/>
      <c r="AF981" s="629"/>
      <c r="AG981" s="635"/>
      <c r="AH981" s="636"/>
      <c r="AI981" s="637"/>
      <c r="AJ981" s="629"/>
      <c r="AK981" s="435"/>
      <c r="AL981" s="435"/>
      <c r="AM981" s="435"/>
      <c r="AN981" s="435"/>
      <c r="AO981" s="467"/>
      <c r="AP981" s="504"/>
      <c r="AQ981" s="468"/>
      <c r="AR981" s="616"/>
      <c r="AS981" s="630"/>
      <c r="AT981" s="630"/>
    </row>
    <row r="982">
      <c r="A982" s="467"/>
      <c r="B982" s="504"/>
      <c r="C982" s="468"/>
      <c r="D982" s="616"/>
      <c r="E982" s="467"/>
      <c r="F982" s="504"/>
      <c r="G982" s="468"/>
      <c r="H982" s="616"/>
      <c r="I982" s="467"/>
      <c r="J982" s="504"/>
      <c r="K982" s="468"/>
      <c r="L982" s="616"/>
      <c r="M982" s="467"/>
      <c r="N982" s="504"/>
      <c r="O982" s="468"/>
      <c r="P982" s="616"/>
      <c r="Q982" s="635"/>
      <c r="R982" s="636"/>
      <c r="S982" s="637"/>
      <c r="T982" s="629"/>
      <c r="U982" s="635"/>
      <c r="V982" s="636"/>
      <c r="W982" s="637"/>
      <c r="X982" s="629"/>
      <c r="Y982" s="467"/>
      <c r="Z982" s="504"/>
      <c r="AA982" s="468"/>
      <c r="AB982" s="616"/>
      <c r="AC982" s="635"/>
      <c r="AD982" s="636"/>
      <c r="AE982" s="637"/>
      <c r="AF982" s="629"/>
      <c r="AG982" s="635"/>
      <c r="AH982" s="636"/>
      <c r="AI982" s="637"/>
      <c r="AJ982" s="629"/>
      <c r="AK982" s="435"/>
      <c r="AL982" s="435"/>
      <c r="AM982" s="435"/>
      <c r="AN982" s="435"/>
      <c r="AO982" s="467"/>
      <c r="AP982" s="504"/>
      <c r="AQ982" s="468"/>
      <c r="AR982" s="616"/>
      <c r="AS982" s="630"/>
      <c r="AT982" s="630"/>
    </row>
    <row r="983">
      <c r="A983" s="467"/>
      <c r="B983" s="504"/>
      <c r="C983" s="468"/>
      <c r="D983" s="616"/>
      <c r="E983" s="467"/>
      <c r="F983" s="504"/>
      <c r="G983" s="468"/>
      <c r="H983" s="616"/>
      <c r="I983" s="467"/>
      <c r="J983" s="504"/>
      <c r="K983" s="468"/>
      <c r="L983" s="616"/>
      <c r="M983" s="467"/>
      <c r="N983" s="504"/>
      <c r="O983" s="468"/>
      <c r="P983" s="616"/>
      <c r="Q983" s="635"/>
      <c r="R983" s="636"/>
      <c r="S983" s="637"/>
      <c r="T983" s="629"/>
      <c r="U983" s="635"/>
      <c r="V983" s="636"/>
      <c r="W983" s="637"/>
      <c r="X983" s="629"/>
      <c r="Y983" s="467"/>
      <c r="Z983" s="504"/>
      <c r="AA983" s="468"/>
      <c r="AB983" s="616"/>
      <c r="AC983" s="635"/>
      <c r="AD983" s="636"/>
      <c r="AE983" s="637"/>
      <c r="AF983" s="629"/>
      <c r="AG983" s="635"/>
      <c r="AH983" s="636"/>
      <c r="AI983" s="637"/>
      <c r="AJ983" s="629"/>
      <c r="AK983" s="435"/>
      <c r="AL983" s="435"/>
      <c r="AM983" s="435"/>
      <c r="AN983" s="435"/>
      <c r="AO983" s="467"/>
      <c r="AP983" s="504"/>
      <c r="AQ983" s="468"/>
      <c r="AR983" s="616"/>
      <c r="AS983" s="630"/>
      <c r="AT983" s="630"/>
    </row>
    <row r="984">
      <c r="A984" s="467"/>
      <c r="B984" s="504"/>
      <c r="C984" s="468"/>
      <c r="D984" s="616"/>
      <c r="E984" s="467"/>
      <c r="F984" s="504"/>
      <c r="G984" s="468"/>
      <c r="H984" s="616"/>
      <c r="I984" s="467"/>
      <c r="J984" s="504"/>
      <c r="K984" s="468"/>
      <c r="L984" s="616"/>
      <c r="M984" s="467"/>
      <c r="N984" s="504"/>
      <c r="O984" s="468"/>
      <c r="P984" s="616"/>
      <c r="Q984" s="635"/>
      <c r="R984" s="636"/>
      <c r="S984" s="637"/>
      <c r="T984" s="629"/>
      <c r="U984" s="635"/>
      <c r="V984" s="636"/>
      <c r="W984" s="637"/>
      <c r="X984" s="629"/>
      <c r="Y984" s="467"/>
      <c r="Z984" s="504"/>
      <c r="AA984" s="468"/>
      <c r="AB984" s="616"/>
      <c r="AC984" s="635"/>
      <c r="AD984" s="636"/>
      <c r="AE984" s="637"/>
      <c r="AF984" s="629"/>
      <c r="AG984" s="635"/>
      <c r="AH984" s="636"/>
      <c r="AI984" s="637"/>
      <c r="AJ984" s="629"/>
      <c r="AK984" s="435"/>
      <c r="AL984" s="435"/>
      <c r="AM984" s="435"/>
      <c r="AN984" s="435"/>
      <c r="AO984" s="467"/>
      <c r="AP984" s="504"/>
      <c r="AQ984" s="468"/>
      <c r="AR984" s="616"/>
      <c r="AS984" s="630"/>
      <c r="AT984" s="630"/>
    </row>
    <row r="985">
      <c r="A985" s="467"/>
      <c r="B985" s="504"/>
      <c r="C985" s="468"/>
      <c r="D985" s="616"/>
      <c r="E985" s="467"/>
      <c r="F985" s="504"/>
      <c r="G985" s="468"/>
      <c r="H985" s="616"/>
      <c r="I985" s="467"/>
      <c r="J985" s="504"/>
      <c r="K985" s="468"/>
      <c r="L985" s="616"/>
      <c r="M985" s="467"/>
      <c r="N985" s="504"/>
      <c r="O985" s="468"/>
      <c r="P985" s="616"/>
      <c r="Q985" s="635"/>
      <c r="R985" s="636"/>
      <c r="S985" s="637"/>
      <c r="T985" s="629"/>
      <c r="U985" s="635"/>
      <c r="V985" s="636"/>
      <c r="W985" s="637"/>
      <c r="X985" s="629"/>
      <c r="Y985" s="467"/>
      <c r="Z985" s="504"/>
      <c r="AA985" s="468"/>
      <c r="AB985" s="616"/>
      <c r="AC985" s="635"/>
      <c r="AD985" s="636"/>
      <c r="AE985" s="637"/>
      <c r="AF985" s="629"/>
      <c r="AG985" s="635"/>
      <c r="AH985" s="636"/>
      <c r="AI985" s="637"/>
      <c r="AJ985" s="629"/>
      <c r="AK985" s="435"/>
      <c r="AL985" s="435"/>
      <c r="AM985" s="435"/>
      <c r="AN985" s="435"/>
      <c r="AO985" s="467"/>
      <c r="AP985" s="504"/>
      <c r="AQ985" s="468"/>
      <c r="AR985" s="616"/>
      <c r="AS985" s="630"/>
      <c r="AT985" s="630"/>
    </row>
    <row r="986">
      <c r="A986" s="467"/>
      <c r="B986" s="504"/>
      <c r="C986" s="468"/>
      <c r="D986" s="616"/>
      <c r="E986" s="467"/>
      <c r="F986" s="504"/>
      <c r="G986" s="468"/>
      <c r="H986" s="616"/>
      <c r="I986" s="467"/>
      <c r="J986" s="504"/>
      <c r="K986" s="468"/>
      <c r="L986" s="616"/>
      <c r="M986" s="467"/>
      <c r="N986" s="504"/>
      <c r="O986" s="468"/>
      <c r="P986" s="616"/>
      <c r="Q986" s="635"/>
      <c r="R986" s="636"/>
      <c r="S986" s="637"/>
      <c r="T986" s="629"/>
      <c r="U986" s="635"/>
      <c r="V986" s="636"/>
      <c r="W986" s="637"/>
      <c r="X986" s="629"/>
      <c r="Y986" s="467"/>
      <c r="Z986" s="504"/>
      <c r="AA986" s="468"/>
      <c r="AB986" s="616"/>
      <c r="AC986" s="635"/>
      <c r="AD986" s="636"/>
      <c r="AE986" s="637"/>
      <c r="AF986" s="629"/>
      <c r="AG986" s="635"/>
      <c r="AH986" s="636"/>
      <c r="AI986" s="637"/>
      <c r="AJ986" s="629"/>
      <c r="AK986" s="435"/>
      <c r="AL986" s="435"/>
      <c r="AM986" s="435"/>
      <c r="AN986" s="435"/>
      <c r="AO986" s="467"/>
      <c r="AP986" s="504"/>
      <c r="AQ986" s="468"/>
      <c r="AR986" s="616"/>
      <c r="AS986" s="630"/>
      <c r="AT986" s="630"/>
    </row>
    <row r="987">
      <c r="A987" s="467"/>
      <c r="B987" s="504"/>
      <c r="C987" s="468"/>
      <c r="D987" s="616"/>
      <c r="E987" s="467"/>
      <c r="F987" s="504"/>
      <c r="G987" s="468"/>
      <c r="H987" s="616"/>
      <c r="I987" s="467"/>
      <c r="J987" s="504"/>
      <c r="K987" s="468"/>
      <c r="L987" s="616"/>
      <c r="M987" s="467"/>
      <c r="N987" s="504"/>
      <c r="O987" s="468"/>
      <c r="P987" s="616"/>
      <c r="Q987" s="635"/>
      <c r="R987" s="636"/>
      <c r="S987" s="637"/>
      <c r="T987" s="629"/>
      <c r="U987" s="635"/>
      <c r="V987" s="636"/>
      <c r="W987" s="637"/>
      <c r="X987" s="629"/>
      <c r="Y987" s="467"/>
      <c r="Z987" s="504"/>
      <c r="AA987" s="468"/>
      <c r="AB987" s="616"/>
      <c r="AC987" s="635"/>
      <c r="AD987" s="636"/>
      <c r="AE987" s="637"/>
      <c r="AF987" s="629"/>
      <c r="AG987" s="635"/>
      <c r="AH987" s="636"/>
      <c r="AI987" s="637"/>
      <c r="AJ987" s="629"/>
      <c r="AK987" s="435"/>
      <c r="AL987" s="435"/>
      <c r="AM987" s="435"/>
      <c r="AN987" s="435"/>
      <c r="AO987" s="467"/>
      <c r="AP987" s="504"/>
      <c r="AQ987" s="468"/>
      <c r="AR987" s="616"/>
      <c r="AS987" s="630"/>
      <c r="AT987" s="630"/>
    </row>
    <row r="988">
      <c r="A988" s="467"/>
      <c r="B988" s="504"/>
      <c r="C988" s="468"/>
      <c r="D988" s="616"/>
      <c r="E988" s="467"/>
      <c r="F988" s="504"/>
      <c r="G988" s="468"/>
      <c r="H988" s="616"/>
      <c r="I988" s="467"/>
      <c r="J988" s="504"/>
      <c r="K988" s="468"/>
      <c r="L988" s="616"/>
      <c r="M988" s="467"/>
      <c r="N988" s="504"/>
      <c r="O988" s="468"/>
      <c r="P988" s="616"/>
      <c r="Q988" s="635"/>
      <c r="R988" s="636"/>
      <c r="S988" s="637"/>
      <c r="T988" s="629"/>
      <c r="U988" s="635"/>
      <c r="V988" s="636"/>
      <c r="W988" s="637"/>
      <c r="X988" s="629"/>
      <c r="Y988" s="467"/>
      <c r="Z988" s="504"/>
      <c r="AA988" s="468"/>
      <c r="AB988" s="616"/>
      <c r="AC988" s="635"/>
      <c r="AD988" s="636"/>
      <c r="AE988" s="637"/>
      <c r="AF988" s="629"/>
      <c r="AG988" s="635"/>
      <c r="AH988" s="636"/>
      <c r="AI988" s="637"/>
      <c r="AJ988" s="629"/>
      <c r="AK988" s="435"/>
      <c r="AL988" s="435"/>
      <c r="AM988" s="435"/>
      <c r="AN988" s="435"/>
      <c r="AO988" s="467"/>
      <c r="AP988" s="504"/>
      <c r="AQ988" s="468"/>
      <c r="AR988" s="616"/>
      <c r="AS988" s="630"/>
      <c r="AT988" s="630"/>
    </row>
    <row r="989">
      <c r="A989" s="467"/>
      <c r="B989" s="504"/>
      <c r="C989" s="468"/>
      <c r="D989" s="616"/>
      <c r="E989" s="467"/>
      <c r="F989" s="504"/>
      <c r="G989" s="468"/>
      <c r="H989" s="616"/>
      <c r="I989" s="467"/>
      <c r="J989" s="504"/>
      <c r="K989" s="468"/>
      <c r="L989" s="616"/>
      <c r="M989" s="467"/>
      <c r="N989" s="504"/>
      <c r="O989" s="468"/>
      <c r="P989" s="616"/>
      <c r="Q989" s="635"/>
      <c r="R989" s="636"/>
      <c r="S989" s="637"/>
      <c r="T989" s="629"/>
      <c r="U989" s="635"/>
      <c r="V989" s="636"/>
      <c r="W989" s="637"/>
      <c r="X989" s="629"/>
      <c r="Y989" s="467"/>
      <c r="Z989" s="504"/>
      <c r="AA989" s="468"/>
      <c r="AB989" s="616"/>
      <c r="AC989" s="635"/>
      <c r="AD989" s="636"/>
      <c r="AE989" s="637"/>
      <c r="AF989" s="629"/>
      <c r="AG989" s="635"/>
      <c r="AH989" s="636"/>
      <c r="AI989" s="637"/>
      <c r="AJ989" s="629"/>
      <c r="AK989" s="435"/>
      <c r="AL989" s="435"/>
      <c r="AM989" s="435"/>
      <c r="AN989" s="435"/>
      <c r="AO989" s="467"/>
      <c r="AP989" s="504"/>
      <c r="AQ989" s="468"/>
      <c r="AR989" s="616"/>
      <c r="AS989" s="630"/>
      <c r="AT989" s="630"/>
    </row>
    <row r="990">
      <c r="A990" s="467"/>
      <c r="B990" s="504"/>
      <c r="C990" s="468"/>
      <c r="D990" s="616"/>
      <c r="E990" s="467"/>
      <c r="F990" s="504"/>
      <c r="G990" s="468"/>
      <c r="H990" s="616"/>
      <c r="I990" s="467"/>
      <c r="J990" s="504"/>
      <c r="K990" s="468"/>
      <c r="L990" s="616"/>
      <c r="M990" s="467"/>
      <c r="N990" s="504"/>
      <c r="O990" s="468"/>
      <c r="P990" s="616"/>
      <c r="Q990" s="635"/>
      <c r="R990" s="636"/>
      <c r="S990" s="637"/>
      <c r="T990" s="629"/>
      <c r="U990" s="635"/>
      <c r="V990" s="636"/>
      <c r="W990" s="637"/>
      <c r="X990" s="629"/>
      <c r="Y990" s="467"/>
      <c r="Z990" s="504"/>
      <c r="AA990" s="468"/>
      <c r="AB990" s="616"/>
      <c r="AC990" s="635"/>
      <c r="AD990" s="636"/>
      <c r="AE990" s="637"/>
      <c r="AF990" s="629"/>
      <c r="AG990" s="635"/>
      <c r="AH990" s="636"/>
      <c r="AI990" s="637"/>
      <c r="AJ990" s="629"/>
      <c r="AK990" s="435"/>
      <c r="AL990" s="435"/>
      <c r="AM990" s="435"/>
      <c r="AN990" s="435"/>
      <c r="AO990" s="467"/>
      <c r="AP990" s="504"/>
      <c r="AQ990" s="468"/>
      <c r="AR990" s="616"/>
      <c r="AS990" s="630"/>
      <c r="AT990" s="630"/>
    </row>
    <row r="991">
      <c r="A991" s="467"/>
      <c r="B991" s="504"/>
      <c r="C991" s="468"/>
      <c r="D991" s="616"/>
      <c r="E991" s="467"/>
      <c r="F991" s="504"/>
      <c r="G991" s="468"/>
      <c r="H991" s="616"/>
      <c r="I991" s="467"/>
      <c r="J991" s="504"/>
      <c r="K991" s="468"/>
      <c r="L991" s="616"/>
      <c r="M991" s="467"/>
      <c r="N991" s="504"/>
      <c r="O991" s="468"/>
      <c r="P991" s="616"/>
      <c r="Q991" s="635"/>
      <c r="R991" s="636"/>
      <c r="S991" s="637"/>
      <c r="T991" s="629"/>
      <c r="U991" s="635"/>
      <c r="V991" s="636"/>
      <c r="W991" s="637"/>
      <c r="X991" s="629"/>
      <c r="Y991" s="467"/>
      <c r="Z991" s="504"/>
      <c r="AA991" s="468"/>
      <c r="AB991" s="616"/>
      <c r="AC991" s="635"/>
      <c r="AD991" s="636"/>
      <c r="AE991" s="637"/>
      <c r="AF991" s="629"/>
      <c r="AG991" s="635"/>
      <c r="AH991" s="636"/>
      <c r="AI991" s="637"/>
      <c r="AJ991" s="629"/>
      <c r="AK991" s="435"/>
      <c r="AL991" s="435"/>
      <c r="AM991" s="435"/>
      <c r="AN991" s="435"/>
      <c r="AO991" s="467"/>
      <c r="AP991" s="504"/>
      <c r="AQ991" s="468"/>
      <c r="AR991" s="616"/>
      <c r="AS991" s="630"/>
      <c r="AT991" s="630"/>
    </row>
    <row r="992">
      <c r="A992" s="467"/>
      <c r="B992" s="504"/>
      <c r="C992" s="468"/>
      <c r="D992" s="616"/>
      <c r="E992" s="467"/>
      <c r="F992" s="504"/>
      <c r="G992" s="468"/>
      <c r="H992" s="616"/>
      <c r="I992" s="467"/>
      <c r="J992" s="504"/>
      <c r="K992" s="468"/>
      <c r="L992" s="616"/>
      <c r="M992" s="467"/>
      <c r="N992" s="504"/>
      <c r="O992" s="468"/>
      <c r="P992" s="616"/>
      <c r="Q992" s="635"/>
      <c r="R992" s="636"/>
      <c r="S992" s="637"/>
      <c r="T992" s="629"/>
      <c r="U992" s="635"/>
      <c r="V992" s="636"/>
      <c r="W992" s="637"/>
      <c r="X992" s="629"/>
      <c r="Y992" s="467"/>
      <c r="Z992" s="504"/>
      <c r="AA992" s="468"/>
      <c r="AB992" s="616"/>
      <c r="AC992" s="635"/>
      <c r="AD992" s="636"/>
      <c r="AE992" s="637"/>
      <c r="AF992" s="629"/>
      <c r="AG992" s="635"/>
      <c r="AH992" s="636"/>
      <c r="AI992" s="637"/>
      <c r="AJ992" s="629"/>
      <c r="AK992" s="435"/>
      <c r="AL992" s="435"/>
      <c r="AM992" s="435"/>
      <c r="AN992" s="435"/>
      <c r="AO992" s="467"/>
      <c r="AP992" s="504"/>
      <c r="AQ992" s="468"/>
      <c r="AR992" s="616"/>
      <c r="AS992" s="630"/>
      <c r="AT992" s="630"/>
    </row>
    <row r="993">
      <c r="A993" s="467"/>
      <c r="B993" s="504"/>
      <c r="C993" s="468"/>
      <c r="D993" s="616"/>
      <c r="E993" s="467"/>
      <c r="F993" s="504"/>
      <c r="G993" s="468"/>
      <c r="H993" s="616"/>
      <c r="I993" s="467"/>
      <c r="J993" s="504"/>
      <c r="K993" s="468"/>
      <c r="L993" s="616"/>
      <c r="M993" s="467"/>
      <c r="N993" s="504"/>
      <c r="O993" s="468"/>
      <c r="P993" s="616"/>
      <c r="Q993" s="635"/>
      <c r="R993" s="636"/>
      <c r="S993" s="637"/>
      <c r="T993" s="629"/>
      <c r="U993" s="635"/>
      <c r="V993" s="636"/>
      <c r="W993" s="637"/>
      <c r="X993" s="629"/>
      <c r="Y993" s="467"/>
      <c r="Z993" s="504"/>
      <c r="AA993" s="468"/>
      <c r="AB993" s="616"/>
      <c r="AC993" s="635"/>
      <c r="AD993" s="636"/>
      <c r="AE993" s="637"/>
      <c r="AF993" s="629"/>
      <c r="AG993" s="635"/>
      <c r="AH993" s="636"/>
      <c r="AI993" s="637"/>
      <c r="AJ993" s="629"/>
      <c r="AK993" s="435"/>
      <c r="AL993" s="435"/>
      <c r="AM993" s="435"/>
      <c r="AN993" s="435"/>
      <c r="AO993" s="467"/>
      <c r="AP993" s="504"/>
      <c r="AQ993" s="468"/>
      <c r="AR993" s="616"/>
      <c r="AS993" s="630"/>
      <c r="AT993" s="630"/>
    </row>
    <row r="994">
      <c r="A994" s="467"/>
      <c r="B994" s="504"/>
      <c r="C994" s="468"/>
      <c r="D994" s="616"/>
      <c r="E994" s="467"/>
      <c r="F994" s="504"/>
      <c r="G994" s="468"/>
      <c r="H994" s="616"/>
      <c r="I994" s="467"/>
      <c r="J994" s="504"/>
      <c r="K994" s="468"/>
      <c r="L994" s="616"/>
      <c r="M994" s="467"/>
      <c r="N994" s="504"/>
      <c r="O994" s="468"/>
      <c r="P994" s="616"/>
      <c r="Q994" s="635"/>
      <c r="R994" s="636"/>
      <c r="S994" s="637"/>
      <c r="T994" s="629"/>
      <c r="U994" s="635"/>
      <c r="V994" s="636"/>
      <c r="W994" s="637"/>
      <c r="X994" s="629"/>
      <c r="Y994" s="467"/>
      <c r="Z994" s="504"/>
      <c r="AA994" s="468"/>
      <c r="AB994" s="616"/>
      <c r="AC994" s="635"/>
      <c r="AD994" s="636"/>
      <c r="AE994" s="637"/>
      <c r="AF994" s="629"/>
      <c r="AG994" s="635"/>
      <c r="AH994" s="636"/>
      <c r="AI994" s="637"/>
      <c r="AJ994" s="629"/>
      <c r="AK994" s="435"/>
      <c r="AL994" s="435"/>
      <c r="AM994" s="435"/>
      <c r="AN994" s="435"/>
      <c r="AO994" s="467"/>
      <c r="AP994" s="504"/>
      <c r="AQ994" s="468"/>
      <c r="AR994" s="616"/>
      <c r="AS994" s="630"/>
      <c r="AT994" s="630"/>
    </row>
    <row r="995">
      <c r="A995" s="467"/>
      <c r="B995" s="504"/>
      <c r="C995" s="468"/>
      <c r="D995" s="616"/>
      <c r="E995" s="467"/>
      <c r="F995" s="504"/>
      <c r="G995" s="468"/>
      <c r="H995" s="616"/>
      <c r="I995" s="467"/>
      <c r="J995" s="504"/>
      <c r="K995" s="468"/>
      <c r="L995" s="616"/>
      <c r="M995" s="467"/>
      <c r="N995" s="504"/>
      <c r="O995" s="468"/>
      <c r="P995" s="616"/>
      <c r="Q995" s="635"/>
      <c r="R995" s="636"/>
      <c r="S995" s="637"/>
      <c r="T995" s="629"/>
      <c r="U995" s="635"/>
      <c r="V995" s="636"/>
      <c r="W995" s="637"/>
      <c r="X995" s="629"/>
      <c r="Y995" s="467"/>
      <c r="Z995" s="504"/>
      <c r="AA995" s="468"/>
      <c r="AB995" s="616"/>
      <c r="AC995" s="635"/>
      <c r="AD995" s="636"/>
      <c r="AE995" s="637"/>
      <c r="AF995" s="629"/>
      <c r="AG995" s="635"/>
      <c r="AH995" s="636"/>
      <c r="AI995" s="637"/>
      <c r="AJ995" s="629"/>
      <c r="AK995" s="435"/>
      <c r="AL995" s="435"/>
      <c r="AM995" s="435"/>
      <c r="AN995" s="435"/>
      <c r="AO995" s="467"/>
      <c r="AP995" s="504"/>
      <c r="AQ995" s="468"/>
      <c r="AR995" s="616"/>
      <c r="AS995" s="630"/>
      <c r="AT995" s="630"/>
    </row>
    <row r="996">
      <c r="A996" s="467"/>
      <c r="B996" s="504"/>
      <c r="C996" s="468"/>
      <c r="D996" s="616"/>
      <c r="E996" s="467"/>
      <c r="F996" s="504"/>
      <c r="G996" s="468"/>
      <c r="H996" s="616"/>
      <c r="I996" s="467"/>
      <c r="J996" s="504"/>
      <c r="K996" s="468"/>
      <c r="L996" s="616"/>
      <c r="M996" s="467"/>
      <c r="N996" s="504"/>
      <c r="O996" s="468"/>
      <c r="P996" s="616"/>
      <c r="Q996" s="635"/>
      <c r="R996" s="636"/>
      <c r="S996" s="637"/>
      <c r="T996" s="629"/>
      <c r="U996" s="635"/>
      <c r="V996" s="636"/>
      <c r="W996" s="637"/>
      <c r="X996" s="629"/>
      <c r="Y996" s="467"/>
      <c r="Z996" s="504"/>
      <c r="AA996" s="468"/>
      <c r="AB996" s="616"/>
      <c r="AC996" s="635"/>
      <c r="AD996" s="636"/>
      <c r="AE996" s="637"/>
      <c r="AF996" s="629"/>
      <c r="AG996" s="635"/>
      <c r="AH996" s="636"/>
      <c r="AI996" s="637"/>
      <c r="AJ996" s="629"/>
      <c r="AK996" s="435"/>
      <c r="AL996" s="435"/>
      <c r="AM996" s="435"/>
      <c r="AN996" s="435"/>
      <c r="AO996" s="467"/>
      <c r="AP996" s="504"/>
      <c r="AQ996" s="468"/>
      <c r="AR996" s="616"/>
      <c r="AS996" s="630"/>
      <c r="AT996" s="630"/>
    </row>
    <row r="997">
      <c r="A997" s="467"/>
      <c r="B997" s="504"/>
      <c r="C997" s="468"/>
      <c r="D997" s="616"/>
      <c r="E997" s="467"/>
      <c r="F997" s="504"/>
      <c r="G997" s="468"/>
      <c r="H997" s="616"/>
      <c r="I997" s="467"/>
      <c r="J997" s="504"/>
      <c r="K997" s="468"/>
      <c r="L997" s="616"/>
      <c r="M997" s="467"/>
      <c r="N997" s="504"/>
      <c r="O997" s="468"/>
      <c r="P997" s="616"/>
      <c r="Q997" s="635"/>
      <c r="R997" s="636"/>
      <c r="S997" s="637"/>
      <c r="T997" s="629"/>
      <c r="U997" s="635"/>
      <c r="V997" s="636"/>
      <c r="W997" s="637"/>
      <c r="X997" s="629"/>
      <c r="Y997" s="467"/>
      <c r="Z997" s="504"/>
      <c r="AA997" s="468"/>
      <c r="AB997" s="616"/>
      <c r="AC997" s="635"/>
      <c r="AD997" s="636"/>
      <c r="AE997" s="637"/>
      <c r="AF997" s="629"/>
      <c r="AG997" s="635"/>
      <c r="AH997" s="636"/>
      <c r="AI997" s="637"/>
      <c r="AJ997" s="629"/>
      <c r="AK997" s="435"/>
      <c r="AL997" s="435"/>
      <c r="AM997" s="435"/>
      <c r="AN997" s="435"/>
      <c r="AO997" s="467"/>
      <c r="AP997" s="504"/>
      <c r="AQ997" s="468"/>
      <c r="AR997" s="616"/>
      <c r="AS997" s="630"/>
      <c r="AT997" s="630"/>
    </row>
    <row r="998">
      <c r="A998" s="467"/>
      <c r="B998" s="504"/>
      <c r="C998" s="468"/>
      <c r="D998" s="616"/>
      <c r="E998" s="467"/>
      <c r="F998" s="504"/>
      <c r="G998" s="468"/>
      <c r="H998" s="616"/>
      <c r="I998" s="467"/>
      <c r="J998" s="504"/>
      <c r="K998" s="468"/>
      <c r="L998" s="616"/>
      <c r="M998" s="467"/>
      <c r="N998" s="504"/>
      <c r="O998" s="468"/>
      <c r="P998" s="616"/>
      <c r="Q998" s="635"/>
      <c r="R998" s="636"/>
      <c r="S998" s="637"/>
      <c r="T998" s="629"/>
      <c r="U998" s="635"/>
      <c r="V998" s="636"/>
      <c r="W998" s="637"/>
      <c r="X998" s="629"/>
      <c r="Y998" s="467"/>
      <c r="Z998" s="504"/>
      <c r="AA998" s="468"/>
      <c r="AB998" s="616"/>
      <c r="AC998" s="635"/>
      <c r="AD998" s="636"/>
      <c r="AE998" s="637"/>
      <c r="AF998" s="629"/>
      <c r="AG998" s="635"/>
      <c r="AH998" s="636"/>
      <c r="AI998" s="637"/>
      <c r="AJ998" s="629"/>
      <c r="AK998" s="435"/>
      <c r="AL998" s="435"/>
      <c r="AM998" s="435"/>
      <c r="AN998" s="435"/>
      <c r="AO998" s="467"/>
      <c r="AP998" s="504"/>
      <c r="AQ998" s="468"/>
      <c r="AR998" s="616"/>
      <c r="AS998" s="630"/>
      <c r="AT998" s="630"/>
    </row>
    <row r="999">
      <c r="A999" s="467"/>
      <c r="B999" s="504"/>
      <c r="C999" s="468"/>
      <c r="D999" s="616"/>
      <c r="E999" s="467"/>
      <c r="F999" s="504"/>
      <c r="G999" s="468"/>
      <c r="H999" s="616"/>
      <c r="I999" s="467"/>
      <c r="J999" s="504"/>
      <c r="K999" s="468"/>
      <c r="L999" s="616"/>
      <c r="M999" s="467"/>
      <c r="N999" s="504"/>
      <c r="O999" s="468"/>
      <c r="P999" s="616"/>
      <c r="Q999" s="635"/>
      <c r="R999" s="636"/>
      <c r="S999" s="637"/>
      <c r="T999" s="629"/>
      <c r="U999" s="635"/>
      <c r="V999" s="636"/>
      <c r="W999" s="637"/>
      <c r="X999" s="629"/>
      <c r="Y999" s="467"/>
      <c r="Z999" s="504"/>
      <c r="AA999" s="468"/>
      <c r="AB999" s="616"/>
      <c r="AC999" s="635"/>
      <c r="AD999" s="636"/>
      <c r="AE999" s="637"/>
      <c r="AF999" s="629"/>
      <c r="AG999" s="635"/>
      <c r="AH999" s="636"/>
      <c r="AI999" s="637"/>
      <c r="AJ999" s="629"/>
      <c r="AK999" s="435"/>
      <c r="AL999" s="435"/>
      <c r="AM999" s="435"/>
      <c r="AN999" s="435"/>
      <c r="AO999" s="467"/>
      <c r="AP999" s="504"/>
      <c r="AQ999" s="468"/>
      <c r="AR999" s="616"/>
      <c r="AS999" s="630"/>
      <c r="AT999" s="630"/>
    </row>
    <row r="1000">
      <c r="A1000" s="467"/>
      <c r="B1000" s="504"/>
      <c r="C1000" s="468"/>
      <c r="D1000" s="616"/>
      <c r="E1000" s="467"/>
      <c r="F1000" s="504"/>
      <c r="G1000" s="468"/>
      <c r="H1000" s="616"/>
      <c r="I1000" s="467"/>
      <c r="J1000" s="504"/>
      <c r="K1000" s="468"/>
      <c r="L1000" s="616"/>
      <c r="M1000" s="467"/>
      <c r="N1000" s="504"/>
      <c r="O1000" s="468"/>
      <c r="P1000" s="616"/>
      <c r="Q1000" s="635"/>
      <c r="R1000" s="636"/>
      <c r="S1000" s="637"/>
      <c r="T1000" s="629"/>
      <c r="U1000" s="635"/>
      <c r="V1000" s="636"/>
      <c r="W1000" s="637"/>
      <c r="X1000" s="629"/>
      <c r="Y1000" s="467"/>
      <c r="Z1000" s="504"/>
      <c r="AA1000" s="468"/>
      <c r="AB1000" s="616"/>
      <c r="AC1000" s="635"/>
      <c r="AD1000" s="636"/>
      <c r="AE1000" s="637"/>
      <c r="AF1000" s="629"/>
      <c r="AG1000" s="635"/>
      <c r="AH1000" s="636"/>
      <c r="AI1000" s="637"/>
      <c r="AJ1000" s="629"/>
      <c r="AK1000" s="435"/>
      <c r="AL1000" s="435"/>
      <c r="AM1000" s="435"/>
      <c r="AN1000" s="435"/>
      <c r="AO1000" s="467"/>
      <c r="AP1000" s="504"/>
      <c r="AQ1000" s="468"/>
      <c r="AR1000" s="616"/>
      <c r="AS1000" s="630"/>
      <c r="AT1000" s="630"/>
    </row>
    <row r="1001">
      <c r="A1001" s="467"/>
      <c r="B1001" s="504"/>
      <c r="C1001" s="468"/>
      <c r="D1001" s="616"/>
      <c r="E1001" s="467"/>
      <c r="F1001" s="504"/>
      <c r="G1001" s="468"/>
      <c r="H1001" s="616"/>
      <c r="I1001" s="467"/>
      <c r="J1001" s="504"/>
      <c r="K1001" s="468"/>
      <c r="L1001" s="616"/>
      <c r="M1001" s="467"/>
      <c r="N1001" s="504"/>
      <c r="O1001" s="468"/>
      <c r="P1001" s="616"/>
      <c r="Q1001" s="635"/>
      <c r="R1001" s="636"/>
      <c r="S1001" s="637"/>
      <c r="T1001" s="629"/>
      <c r="U1001" s="635"/>
      <c r="V1001" s="636"/>
      <c r="W1001" s="637"/>
      <c r="X1001" s="629"/>
      <c r="Y1001" s="467"/>
      <c r="Z1001" s="504"/>
      <c r="AA1001" s="468"/>
      <c r="AB1001" s="616"/>
      <c r="AC1001" s="635"/>
      <c r="AD1001" s="636"/>
      <c r="AE1001" s="637"/>
      <c r="AF1001" s="629"/>
      <c r="AG1001" s="635"/>
      <c r="AH1001" s="636"/>
      <c r="AI1001" s="637"/>
      <c r="AJ1001" s="629"/>
      <c r="AK1001" s="467"/>
      <c r="AL1001" s="504"/>
      <c r="AM1001" s="468"/>
      <c r="AN1001" s="616"/>
      <c r="AO1001" s="467"/>
      <c r="AP1001" s="504"/>
      <c r="AQ1001" s="468"/>
      <c r="AR1001" s="616"/>
      <c r="AS1001" s="630"/>
      <c r="AT1001" s="630"/>
    </row>
    <row r="1002">
      <c r="A1002" s="467"/>
      <c r="B1002" s="504"/>
      <c r="C1002" s="468"/>
      <c r="D1002" s="616"/>
      <c r="E1002" s="467"/>
      <c r="F1002" s="504"/>
      <c r="G1002" s="468"/>
      <c r="H1002" s="616"/>
      <c r="I1002" s="467"/>
      <c r="J1002" s="504"/>
      <c r="K1002" s="468"/>
      <c r="L1002" s="616"/>
      <c r="M1002" s="467"/>
      <c r="N1002" s="504"/>
      <c r="O1002" s="468"/>
      <c r="P1002" s="616"/>
      <c r="Q1002" s="635"/>
      <c r="R1002" s="636"/>
      <c r="S1002" s="637"/>
      <c r="T1002" s="629"/>
      <c r="U1002" s="635"/>
      <c r="V1002" s="636"/>
      <c r="W1002" s="637"/>
      <c r="X1002" s="629"/>
      <c r="Y1002" s="467"/>
      <c r="Z1002" s="504"/>
      <c r="AA1002" s="468"/>
      <c r="AB1002" s="616"/>
      <c r="AC1002" s="635"/>
      <c r="AD1002" s="636"/>
      <c r="AE1002" s="637"/>
      <c r="AF1002" s="629"/>
      <c r="AG1002" s="635"/>
      <c r="AH1002" s="636"/>
      <c r="AI1002" s="637"/>
      <c r="AJ1002" s="629"/>
      <c r="AK1002" s="467"/>
      <c r="AL1002" s="504"/>
      <c r="AM1002" s="468"/>
      <c r="AN1002" s="616"/>
      <c r="AO1002" s="467"/>
      <c r="AP1002" s="504"/>
      <c r="AQ1002" s="468"/>
      <c r="AR1002" s="616"/>
      <c r="AS1002" s="630"/>
      <c r="AT1002" s="630"/>
    </row>
    <row r="1003">
      <c r="A1003" s="467"/>
      <c r="B1003" s="504"/>
      <c r="C1003" s="468"/>
      <c r="D1003" s="616"/>
      <c r="E1003" s="467"/>
      <c r="F1003" s="504"/>
      <c r="G1003" s="468"/>
      <c r="H1003" s="616"/>
      <c r="I1003" s="467"/>
      <c r="J1003" s="504"/>
      <c r="K1003" s="468"/>
      <c r="L1003" s="616"/>
      <c r="M1003" s="467"/>
      <c r="N1003" s="504"/>
      <c r="O1003" s="468"/>
      <c r="P1003" s="616"/>
      <c r="Q1003" s="635"/>
      <c r="R1003" s="636"/>
      <c r="S1003" s="637"/>
      <c r="T1003" s="629"/>
      <c r="U1003" s="635"/>
      <c r="V1003" s="636"/>
      <c r="W1003" s="637"/>
      <c r="X1003" s="629"/>
      <c r="Y1003" s="467"/>
      <c r="Z1003" s="504"/>
      <c r="AA1003" s="468"/>
      <c r="AB1003" s="616"/>
      <c r="AC1003" s="635"/>
      <c r="AD1003" s="636"/>
      <c r="AE1003" s="637"/>
      <c r="AF1003" s="629"/>
      <c r="AG1003" s="635"/>
      <c r="AH1003" s="636"/>
      <c r="AI1003" s="637"/>
      <c r="AJ1003" s="629"/>
      <c r="AK1003" s="467"/>
      <c r="AL1003" s="504"/>
      <c r="AM1003" s="468"/>
      <c r="AN1003" s="616"/>
      <c r="AO1003" s="467"/>
      <c r="AP1003" s="504"/>
      <c r="AQ1003" s="468"/>
      <c r="AR1003" s="616"/>
      <c r="AS1003" s="630"/>
      <c r="AT1003" s="630"/>
    </row>
    <row r="1004">
      <c r="A1004" s="467"/>
      <c r="B1004" s="504"/>
      <c r="C1004" s="468"/>
      <c r="D1004" s="616"/>
      <c r="E1004" s="467"/>
      <c r="F1004" s="504"/>
      <c r="G1004" s="468"/>
      <c r="H1004" s="616"/>
      <c r="I1004" s="467"/>
      <c r="J1004" s="504"/>
      <c r="K1004" s="468"/>
      <c r="L1004" s="616"/>
      <c r="M1004" s="467"/>
      <c r="N1004" s="504"/>
      <c r="O1004" s="468"/>
      <c r="P1004" s="616"/>
      <c r="Q1004" s="635"/>
      <c r="R1004" s="636"/>
      <c r="S1004" s="637"/>
      <c r="T1004" s="629"/>
      <c r="U1004" s="635"/>
      <c r="V1004" s="636"/>
      <c r="W1004" s="637"/>
      <c r="X1004" s="629"/>
      <c r="Y1004" s="467"/>
      <c r="Z1004" s="504"/>
      <c r="AA1004" s="468"/>
      <c r="AB1004" s="616"/>
      <c r="AC1004" s="635"/>
      <c r="AD1004" s="636"/>
      <c r="AE1004" s="637"/>
      <c r="AF1004" s="629"/>
      <c r="AG1004" s="635"/>
      <c r="AH1004" s="636"/>
      <c r="AI1004" s="637"/>
      <c r="AJ1004" s="629"/>
      <c r="AK1004" s="467"/>
      <c r="AL1004" s="504"/>
      <c r="AM1004" s="468"/>
      <c r="AN1004" s="616"/>
      <c r="AO1004" s="467"/>
      <c r="AP1004" s="504"/>
      <c r="AQ1004" s="468"/>
      <c r="AR1004" s="616"/>
      <c r="AS1004" s="630"/>
      <c r="AT1004" s="630"/>
    </row>
    <row r="1005">
      <c r="A1005" s="467"/>
      <c r="B1005" s="504"/>
      <c r="C1005" s="468"/>
      <c r="D1005" s="616"/>
      <c r="E1005" s="467"/>
      <c r="F1005" s="504"/>
      <c r="G1005" s="468"/>
      <c r="H1005" s="616"/>
      <c r="I1005" s="467"/>
      <c r="J1005" s="504"/>
      <c r="K1005" s="468"/>
      <c r="L1005" s="616"/>
      <c r="M1005" s="467"/>
      <c r="N1005" s="504"/>
      <c r="O1005" s="468"/>
      <c r="P1005" s="616"/>
      <c r="Q1005" s="635"/>
      <c r="R1005" s="636"/>
      <c r="S1005" s="637"/>
      <c r="T1005" s="629"/>
      <c r="U1005" s="635"/>
      <c r="V1005" s="636"/>
      <c r="W1005" s="637"/>
      <c r="X1005" s="629"/>
      <c r="Y1005" s="467"/>
      <c r="Z1005" s="504"/>
      <c r="AA1005" s="468"/>
      <c r="AB1005" s="616"/>
      <c r="AC1005" s="635"/>
      <c r="AD1005" s="636"/>
      <c r="AE1005" s="637"/>
      <c r="AF1005" s="629"/>
      <c r="AG1005" s="635"/>
      <c r="AH1005" s="636"/>
      <c r="AI1005" s="637"/>
      <c r="AJ1005" s="629"/>
      <c r="AK1005" s="467"/>
      <c r="AL1005" s="504"/>
      <c r="AM1005" s="468"/>
      <c r="AN1005" s="616"/>
      <c r="AO1005" s="467"/>
      <c r="AP1005" s="504"/>
      <c r="AQ1005" s="468"/>
      <c r="AR1005" s="616"/>
      <c r="AS1005" s="630"/>
      <c r="AT1005" s="630"/>
    </row>
    <row r="1006">
      <c r="A1006" s="467"/>
      <c r="B1006" s="504"/>
      <c r="C1006" s="468"/>
      <c r="D1006" s="616"/>
      <c r="E1006" s="467"/>
      <c r="F1006" s="504"/>
      <c r="G1006" s="468"/>
      <c r="H1006" s="616"/>
      <c r="I1006" s="467"/>
      <c r="J1006" s="504"/>
      <c r="K1006" s="468"/>
      <c r="L1006" s="616"/>
      <c r="M1006" s="467"/>
      <c r="N1006" s="504"/>
      <c r="O1006" s="468"/>
      <c r="P1006" s="616"/>
      <c r="Q1006" s="635"/>
      <c r="R1006" s="636"/>
      <c r="S1006" s="637"/>
      <c r="T1006" s="629"/>
      <c r="U1006" s="635"/>
      <c r="V1006" s="636"/>
      <c r="W1006" s="637"/>
      <c r="X1006" s="629"/>
      <c r="Y1006" s="467"/>
      <c r="Z1006" s="504"/>
      <c r="AA1006" s="468"/>
      <c r="AB1006" s="616"/>
      <c r="AC1006" s="635"/>
      <c r="AD1006" s="636"/>
      <c r="AE1006" s="637"/>
      <c r="AF1006" s="629"/>
      <c r="AG1006" s="635"/>
      <c r="AH1006" s="636"/>
      <c r="AI1006" s="637"/>
      <c r="AJ1006" s="629"/>
      <c r="AK1006" s="467"/>
      <c r="AL1006" s="504"/>
      <c r="AM1006" s="468"/>
      <c r="AN1006" s="616"/>
      <c r="AO1006" s="467"/>
      <c r="AP1006" s="504"/>
      <c r="AQ1006" s="468"/>
      <c r="AR1006" s="616"/>
      <c r="AS1006" s="630"/>
      <c r="AT1006" s="630"/>
    </row>
    <row r="1007">
      <c r="A1007" s="467"/>
      <c r="B1007" s="504"/>
      <c r="C1007" s="468"/>
      <c r="D1007" s="616"/>
      <c r="E1007" s="467"/>
      <c r="F1007" s="504"/>
      <c r="G1007" s="468"/>
      <c r="H1007" s="616"/>
      <c r="I1007" s="467"/>
      <c r="J1007" s="504"/>
      <c r="K1007" s="468"/>
      <c r="L1007" s="616"/>
      <c r="M1007" s="467"/>
      <c r="N1007" s="504"/>
      <c r="O1007" s="468"/>
      <c r="P1007" s="616"/>
      <c r="Q1007" s="635"/>
      <c r="R1007" s="636"/>
      <c r="S1007" s="637"/>
      <c r="T1007" s="629"/>
      <c r="U1007" s="635"/>
      <c r="V1007" s="636"/>
      <c r="W1007" s="637"/>
      <c r="X1007" s="629"/>
      <c r="Y1007" s="467"/>
      <c r="Z1007" s="504"/>
      <c r="AA1007" s="468"/>
      <c r="AB1007" s="616"/>
      <c r="AC1007" s="635"/>
      <c r="AD1007" s="636"/>
      <c r="AE1007" s="637"/>
      <c r="AF1007" s="629"/>
      <c r="AG1007" s="635"/>
      <c r="AH1007" s="636"/>
      <c r="AI1007" s="637"/>
      <c r="AJ1007" s="629"/>
      <c r="AK1007" s="467"/>
      <c r="AL1007" s="504"/>
      <c r="AM1007" s="468"/>
      <c r="AN1007" s="616"/>
      <c r="AO1007" s="467"/>
      <c r="AP1007" s="504"/>
      <c r="AQ1007" s="468"/>
      <c r="AR1007" s="616"/>
      <c r="AS1007" s="630"/>
      <c r="AT1007" s="630"/>
    </row>
    <row r="1008">
      <c r="A1008" s="467"/>
      <c r="B1008" s="504"/>
      <c r="C1008" s="468"/>
      <c r="D1008" s="616"/>
      <c r="E1008" s="467"/>
      <c r="F1008" s="504"/>
      <c r="G1008" s="468"/>
      <c r="H1008" s="616"/>
      <c r="I1008" s="467"/>
      <c r="J1008" s="504"/>
      <c r="K1008" s="468"/>
      <c r="L1008" s="616"/>
      <c r="M1008" s="467"/>
      <c r="N1008" s="504"/>
      <c r="O1008" s="468"/>
      <c r="P1008" s="616"/>
      <c r="Q1008" s="635"/>
      <c r="R1008" s="636"/>
      <c r="S1008" s="637"/>
      <c r="T1008" s="629"/>
      <c r="U1008" s="635"/>
      <c r="V1008" s="636"/>
      <c r="W1008" s="637"/>
      <c r="X1008" s="629"/>
      <c r="Y1008" s="467"/>
      <c r="Z1008" s="504"/>
      <c r="AA1008" s="468"/>
      <c r="AB1008" s="616"/>
      <c r="AC1008" s="635"/>
      <c r="AD1008" s="636"/>
      <c r="AE1008" s="637"/>
      <c r="AF1008" s="629"/>
      <c r="AG1008" s="635"/>
      <c r="AH1008" s="636"/>
      <c r="AI1008" s="637"/>
      <c r="AJ1008" s="629"/>
      <c r="AK1008" s="467"/>
      <c r="AL1008" s="504"/>
      <c r="AM1008" s="468"/>
      <c r="AN1008" s="616"/>
      <c r="AO1008" s="467"/>
      <c r="AP1008" s="504"/>
      <c r="AQ1008" s="468"/>
      <c r="AR1008" s="616"/>
      <c r="AS1008" s="630"/>
      <c r="AT1008" s="630"/>
    </row>
    <row r="1009">
      <c r="A1009" s="467"/>
      <c r="B1009" s="504"/>
      <c r="C1009" s="468"/>
      <c r="D1009" s="616"/>
      <c r="E1009" s="467"/>
      <c r="F1009" s="504"/>
      <c r="G1009" s="468"/>
      <c r="H1009" s="616"/>
      <c r="I1009" s="467"/>
      <c r="J1009" s="504"/>
      <c r="K1009" s="468"/>
      <c r="L1009" s="616"/>
      <c r="M1009" s="467"/>
      <c r="N1009" s="504"/>
      <c r="O1009" s="468"/>
      <c r="P1009" s="616"/>
      <c r="Q1009" s="635"/>
      <c r="R1009" s="636"/>
      <c r="S1009" s="637"/>
      <c r="T1009" s="629"/>
      <c r="U1009" s="635"/>
      <c r="V1009" s="636"/>
      <c r="W1009" s="637"/>
      <c r="X1009" s="629"/>
      <c r="Y1009" s="467"/>
      <c r="Z1009" s="504"/>
      <c r="AA1009" s="468"/>
      <c r="AB1009" s="616"/>
      <c r="AC1009" s="635"/>
      <c r="AD1009" s="636"/>
      <c r="AE1009" s="637"/>
      <c r="AF1009" s="629"/>
      <c r="AG1009" s="635"/>
      <c r="AH1009" s="636"/>
      <c r="AI1009" s="637"/>
      <c r="AJ1009" s="629"/>
      <c r="AK1009" s="467"/>
      <c r="AL1009" s="504"/>
      <c r="AM1009" s="468"/>
      <c r="AN1009" s="616"/>
      <c r="AO1009" s="467"/>
      <c r="AP1009" s="504"/>
      <c r="AQ1009" s="468"/>
      <c r="AR1009" s="616"/>
      <c r="AS1009" s="630"/>
      <c r="AT1009" s="630"/>
    </row>
    <row r="1010">
      <c r="A1010" s="467"/>
      <c r="B1010" s="504"/>
      <c r="C1010" s="468"/>
      <c r="D1010" s="616"/>
      <c r="E1010" s="467"/>
      <c r="F1010" s="504"/>
      <c r="G1010" s="468"/>
      <c r="H1010" s="616"/>
      <c r="I1010" s="467"/>
      <c r="J1010" s="504"/>
      <c r="K1010" s="468"/>
      <c r="L1010" s="616"/>
      <c r="M1010" s="467"/>
      <c r="N1010" s="504"/>
      <c r="O1010" s="468"/>
      <c r="P1010" s="616"/>
      <c r="Q1010" s="635"/>
      <c r="R1010" s="636"/>
      <c r="S1010" s="637"/>
      <c r="T1010" s="629"/>
      <c r="U1010" s="635"/>
      <c r="V1010" s="636"/>
      <c r="W1010" s="637"/>
      <c r="X1010" s="629"/>
      <c r="Y1010" s="467"/>
      <c r="Z1010" s="504"/>
      <c r="AA1010" s="468"/>
      <c r="AB1010" s="616"/>
      <c r="AC1010" s="635"/>
      <c r="AD1010" s="636"/>
      <c r="AE1010" s="637"/>
      <c r="AF1010" s="629"/>
      <c r="AG1010" s="635"/>
      <c r="AH1010" s="636"/>
      <c r="AI1010" s="637"/>
      <c r="AJ1010" s="629"/>
      <c r="AK1010" s="467"/>
      <c r="AL1010" s="504"/>
      <c r="AM1010" s="468"/>
      <c r="AN1010" s="616"/>
      <c r="AO1010" s="467"/>
      <c r="AP1010" s="504"/>
      <c r="AQ1010" s="468"/>
      <c r="AR1010" s="616"/>
      <c r="AS1010" s="630"/>
      <c r="AT1010" s="630"/>
    </row>
    <row r="1011">
      <c r="A1011" s="467"/>
      <c r="B1011" s="504"/>
      <c r="C1011" s="468"/>
      <c r="D1011" s="616"/>
      <c r="E1011" s="467"/>
      <c r="F1011" s="504"/>
      <c r="G1011" s="468"/>
      <c r="H1011" s="616"/>
      <c r="I1011" s="467"/>
      <c r="J1011" s="504"/>
      <c r="K1011" s="468"/>
      <c r="L1011" s="616"/>
      <c r="M1011" s="467"/>
      <c r="N1011" s="504"/>
      <c r="O1011" s="468"/>
      <c r="P1011" s="616"/>
      <c r="Q1011" s="635"/>
      <c r="R1011" s="636"/>
      <c r="S1011" s="637"/>
      <c r="T1011" s="629"/>
      <c r="U1011" s="635"/>
      <c r="V1011" s="636"/>
      <c r="W1011" s="637"/>
      <c r="X1011" s="629"/>
      <c r="Y1011" s="467"/>
      <c r="Z1011" s="504"/>
      <c r="AA1011" s="468"/>
      <c r="AB1011" s="616"/>
      <c r="AC1011" s="635"/>
      <c r="AD1011" s="636"/>
      <c r="AE1011" s="637"/>
      <c r="AF1011" s="629"/>
      <c r="AG1011" s="635"/>
      <c r="AH1011" s="636"/>
      <c r="AI1011" s="637"/>
      <c r="AJ1011" s="629"/>
      <c r="AK1011" s="467"/>
      <c r="AL1011" s="504"/>
      <c r="AM1011" s="468"/>
      <c r="AN1011" s="616"/>
      <c r="AO1011" s="467"/>
      <c r="AP1011" s="504"/>
      <c r="AQ1011" s="468"/>
      <c r="AR1011" s="616"/>
      <c r="AS1011" s="630"/>
      <c r="AT1011" s="630"/>
    </row>
    <row r="1012">
      <c r="A1012" s="467"/>
      <c r="B1012" s="504"/>
      <c r="C1012" s="468"/>
      <c r="D1012" s="616"/>
      <c r="E1012" s="467"/>
      <c r="F1012" s="504"/>
      <c r="G1012" s="468"/>
      <c r="H1012" s="616"/>
      <c r="I1012" s="467"/>
      <c r="J1012" s="504"/>
      <c r="K1012" s="468"/>
      <c r="L1012" s="616"/>
      <c r="M1012" s="467"/>
      <c r="N1012" s="504"/>
      <c r="O1012" s="468"/>
      <c r="P1012" s="616"/>
      <c r="Q1012" s="635"/>
      <c r="R1012" s="636"/>
      <c r="S1012" s="637"/>
      <c r="T1012" s="629"/>
      <c r="U1012" s="635"/>
      <c r="V1012" s="636"/>
      <c r="W1012" s="637"/>
      <c r="X1012" s="629"/>
      <c r="Y1012" s="467"/>
      <c r="Z1012" s="504"/>
      <c r="AA1012" s="468"/>
      <c r="AB1012" s="616"/>
      <c r="AC1012" s="635"/>
      <c r="AD1012" s="636"/>
      <c r="AE1012" s="637"/>
      <c r="AF1012" s="629"/>
      <c r="AG1012" s="635"/>
      <c r="AH1012" s="636"/>
      <c r="AI1012" s="637"/>
      <c r="AJ1012" s="629"/>
      <c r="AK1012" s="467"/>
      <c r="AL1012" s="504"/>
      <c r="AM1012" s="468"/>
      <c r="AN1012" s="616"/>
      <c r="AO1012" s="467"/>
      <c r="AP1012" s="504"/>
      <c r="AQ1012" s="468"/>
      <c r="AR1012" s="616"/>
      <c r="AS1012" s="630"/>
      <c r="AT1012" s="630"/>
    </row>
    <row r="1013">
      <c r="A1013" s="467"/>
      <c r="B1013" s="504"/>
      <c r="C1013" s="468"/>
      <c r="D1013" s="616"/>
      <c r="E1013" s="467"/>
      <c r="F1013" s="504"/>
      <c r="G1013" s="468"/>
      <c r="H1013" s="616"/>
      <c r="I1013" s="467"/>
      <c r="J1013" s="504"/>
      <c r="K1013" s="468"/>
      <c r="L1013" s="616"/>
      <c r="M1013" s="467"/>
      <c r="N1013" s="504"/>
      <c r="O1013" s="468"/>
      <c r="P1013" s="616"/>
      <c r="Q1013" s="635"/>
      <c r="R1013" s="636"/>
      <c r="S1013" s="637"/>
      <c r="T1013" s="629"/>
      <c r="U1013" s="635"/>
      <c r="V1013" s="636"/>
      <c r="W1013" s="637"/>
      <c r="X1013" s="629"/>
      <c r="Y1013" s="467"/>
      <c r="Z1013" s="504"/>
      <c r="AA1013" s="468"/>
      <c r="AB1013" s="616"/>
      <c r="AC1013" s="635"/>
      <c r="AD1013" s="636"/>
      <c r="AE1013" s="637"/>
      <c r="AF1013" s="629"/>
      <c r="AG1013" s="635"/>
      <c r="AH1013" s="636"/>
      <c r="AI1013" s="637"/>
      <c r="AJ1013" s="629"/>
      <c r="AK1013" s="467"/>
      <c r="AL1013" s="504"/>
      <c r="AM1013" s="468"/>
      <c r="AN1013" s="616"/>
      <c r="AO1013" s="467"/>
      <c r="AP1013" s="504"/>
      <c r="AQ1013" s="468"/>
      <c r="AR1013" s="616"/>
      <c r="AS1013" s="630"/>
      <c r="AT1013" s="630"/>
    </row>
    <row r="1014">
      <c r="A1014" s="467"/>
      <c r="B1014" s="504"/>
      <c r="C1014" s="468"/>
      <c r="D1014" s="616"/>
      <c r="E1014" s="467"/>
      <c r="F1014" s="504"/>
      <c r="G1014" s="468"/>
      <c r="H1014" s="616"/>
      <c r="I1014" s="467"/>
      <c r="J1014" s="504"/>
      <c r="K1014" s="468"/>
      <c r="L1014" s="616"/>
      <c r="M1014" s="467"/>
      <c r="N1014" s="504"/>
      <c r="O1014" s="468"/>
      <c r="P1014" s="616"/>
      <c r="Q1014" s="635"/>
      <c r="R1014" s="636"/>
      <c r="S1014" s="637"/>
      <c r="T1014" s="629"/>
      <c r="U1014" s="635"/>
      <c r="V1014" s="636"/>
      <c r="W1014" s="637"/>
      <c r="X1014" s="629"/>
      <c r="Y1014" s="467"/>
      <c r="Z1014" s="504"/>
      <c r="AA1014" s="468"/>
      <c r="AB1014" s="616"/>
      <c r="AC1014" s="635"/>
      <c r="AD1014" s="636"/>
      <c r="AE1014" s="637"/>
      <c r="AF1014" s="629"/>
      <c r="AG1014" s="635"/>
      <c r="AH1014" s="636"/>
      <c r="AI1014" s="637"/>
      <c r="AJ1014" s="629"/>
      <c r="AK1014" s="467"/>
      <c r="AL1014" s="504"/>
      <c r="AM1014" s="468"/>
      <c r="AN1014" s="616"/>
      <c r="AO1014" s="467"/>
      <c r="AP1014" s="504"/>
      <c r="AQ1014" s="468"/>
      <c r="AR1014" s="616"/>
      <c r="AS1014" s="630"/>
      <c r="AT1014" s="630"/>
    </row>
    <row r="1015">
      <c r="A1015" s="467"/>
      <c r="B1015" s="504"/>
      <c r="C1015" s="468"/>
      <c r="D1015" s="616"/>
      <c r="E1015" s="467"/>
      <c r="F1015" s="504"/>
      <c r="G1015" s="468"/>
      <c r="H1015" s="616"/>
      <c r="I1015" s="467"/>
      <c r="J1015" s="504"/>
      <c r="K1015" s="468"/>
      <c r="L1015" s="616"/>
      <c r="M1015" s="467"/>
      <c r="N1015" s="504"/>
      <c r="O1015" s="468"/>
      <c r="P1015" s="616"/>
      <c r="Q1015" s="635"/>
      <c r="R1015" s="636"/>
      <c r="S1015" s="637"/>
      <c r="T1015" s="629"/>
      <c r="U1015" s="635"/>
      <c r="V1015" s="636"/>
      <c r="W1015" s="637"/>
      <c r="X1015" s="629"/>
      <c r="Y1015" s="467"/>
      <c r="Z1015" s="504"/>
      <c r="AA1015" s="468"/>
      <c r="AB1015" s="616"/>
      <c r="AC1015" s="635"/>
      <c r="AD1015" s="636"/>
      <c r="AE1015" s="637"/>
      <c r="AF1015" s="629"/>
      <c r="AG1015" s="635"/>
      <c r="AH1015" s="636"/>
      <c r="AI1015" s="637"/>
      <c r="AJ1015" s="629"/>
      <c r="AK1015" s="467"/>
      <c r="AL1015" s="504"/>
      <c r="AM1015" s="468"/>
      <c r="AN1015" s="616"/>
      <c r="AO1015" s="467"/>
      <c r="AP1015" s="504"/>
      <c r="AQ1015" s="468"/>
      <c r="AR1015" s="616"/>
      <c r="AS1015" s="630"/>
      <c r="AT1015" s="630"/>
    </row>
    <row r="1016">
      <c r="A1016" s="467"/>
      <c r="B1016" s="504"/>
      <c r="C1016" s="468"/>
      <c r="D1016" s="616"/>
      <c r="E1016" s="467"/>
      <c r="F1016" s="504"/>
      <c r="G1016" s="468"/>
      <c r="H1016" s="616"/>
      <c r="I1016" s="467"/>
      <c r="J1016" s="504"/>
      <c r="K1016" s="468"/>
      <c r="L1016" s="616"/>
      <c r="M1016" s="467"/>
      <c r="N1016" s="504"/>
      <c r="O1016" s="468"/>
      <c r="P1016" s="616"/>
      <c r="Q1016" s="635"/>
      <c r="R1016" s="636"/>
      <c r="S1016" s="637"/>
      <c r="T1016" s="629"/>
      <c r="U1016" s="635"/>
      <c r="V1016" s="636"/>
      <c r="W1016" s="637"/>
      <c r="X1016" s="629"/>
      <c r="Y1016" s="467"/>
      <c r="Z1016" s="504"/>
      <c r="AA1016" s="468"/>
      <c r="AB1016" s="616"/>
      <c r="AC1016" s="635"/>
      <c r="AD1016" s="636"/>
      <c r="AE1016" s="637"/>
      <c r="AF1016" s="629"/>
      <c r="AG1016" s="635"/>
      <c r="AH1016" s="636"/>
      <c r="AI1016" s="637"/>
      <c r="AJ1016" s="629"/>
      <c r="AK1016" s="467"/>
      <c r="AL1016" s="504"/>
      <c r="AM1016" s="468"/>
      <c r="AN1016" s="616"/>
      <c r="AO1016" s="467"/>
      <c r="AP1016" s="504"/>
      <c r="AQ1016" s="468"/>
      <c r="AR1016" s="616"/>
      <c r="AS1016" s="630"/>
      <c r="AT1016" s="63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8" width="41.38"/>
  </cols>
  <sheetData>
    <row r="1" ht="117.75" customHeight="1">
      <c r="A1" s="642" t="s">
        <v>14574</v>
      </c>
      <c r="B1" s="643" t="str">
        <f>IFERROR(__xludf.DUMMYFUNCTION("GOOGLETRANSLATE(A1,""zh-tw"",""ja"")"),"このチュートリアルは、公式モバイルクラウドセーブシステムが完成する前に、モバイル版のセーブデータを移行したい方向けです。
※英語チュートリアル動画提供：Gabriel B※")</f>
        <v>このチュートリアルは、公式モバイルクラウドセーブシステムが完成する前に、モバイル版のセーブデータを移行したい方向けです。
※英語チュートリアル動画提供：Gabriel B※</v>
      </c>
      <c r="C1" s="642" t="s">
        <v>14575</v>
      </c>
      <c r="D1" s="644"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642"/>
      <c r="F1" s="645" t="s">
        <v>14576</v>
      </c>
      <c r="G1" s="646" t="s">
        <v>14577</v>
      </c>
      <c r="H1" s="575" t="s">
        <v>14578</v>
      </c>
      <c r="I1" s="647"/>
      <c r="J1" s="648"/>
      <c r="K1" s="648"/>
      <c r="L1" s="648"/>
      <c r="M1" s="648"/>
      <c r="N1" s="648"/>
      <c r="O1" s="648"/>
      <c r="P1" s="648"/>
      <c r="Q1" s="648"/>
      <c r="R1" s="648"/>
    </row>
    <row r="2">
      <c r="A2" s="649" t="s">
        <v>14579</v>
      </c>
      <c r="B2" s="86" t="str">
        <f>IFERROR(__xludf.DUMMYFUNCTION("GOOGLETRANSLATE(A2,""zh-tw"",""ja"")"),"1 - Google Playで「ファイルマネージャー」を検索してインストールします。")</f>
        <v>1 - Google Playで「ファイルマネージャー」を検索してインストールします。</v>
      </c>
      <c r="C2" s="649" t="s">
        <v>14580</v>
      </c>
      <c r="D2" s="366" t="str">
        <f>IFERROR(__xludf.DUMMYFUNCTION("GOOGLETRANSLATE(A2,""zh-tw"",""zh"")"),"1 - 在google play上搜寻 档案管理员 安装。")</f>
        <v>1 - 在google play上搜寻 档案管理员 安装。</v>
      </c>
      <c r="E2" s="649" t="s">
        <v>14581</v>
      </c>
      <c r="F2" s="539" t="s">
        <v>14582</v>
      </c>
      <c r="G2" s="650" t="s">
        <v>14583</v>
      </c>
      <c r="H2" s="651" t="s">
        <v>14584</v>
      </c>
      <c r="I2" s="652"/>
      <c r="J2" s="286"/>
      <c r="K2" s="286"/>
      <c r="L2" s="286"/>
      <c r="M2" s="286"/>
      <c r="N2" s="286"/>
      <c r="O2" s="286"/>
      <c r="P2" s="286"/>
      <c r="Q2" s="286"/>
      <c r="R2" s="286"/>
    </row>
    <row r="3">
      <c r="A3" s="649" t="s">
        <v>14585</v>
      </c>
      <c r="B3" s="86" t="str">
        <f>IFERROR(__xludf.DUMMYFUNCTION("GOOGLETRANSLATE(A3,""zh-tw"",""ja"")"),"2 - ファイルエクスプローラーアプリケーションを開き、Documents/sister_save (古いゲームバージョンの場合) を見つけて、その中のすべてのファイルをコピーして保存します。")</f>
        <v>2 - ファイルエクスプローラーアプリケーションを開き、Documents/sister_save (古いゲームバージョンの場合) を見つけて、その中のすべてのファイルをコピーして保存します。</v>
      </c>
      <c r="C3" s="649" t="s">
        <v>14586</v>
      </c>
      <c r="D3" s="366"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649" t="s">
        <v>14587</v>
      </c>
      <c r="F3" s="539" t="s">
        <v>14588</v>
      </c>
      <c r="G3" s="653" t="s">
        <v>14589</v>
      </c>
      <c r="H3" s="651" t="s">
        <v>14590</v>
      </c>
      <c r="I3" s="652"/>
      <c r="J3" s="286"/>
      <c r="K3" s="286"/>
      <c r="L3" s="286"/>
      <c r="M3" s="286"/>
      <c r="N3" s="286"/>
      <c r="O3" s="286"/>
      <c r="P3" s="286"/>
      <c r="Q3" s="286"/>
      <c r="R3" s="286"/>
    </row>
    <row r="4">
      <c r="A4" s="649" t="s">
        <v>14591</v>
      </c>
      <c r="B4" s="86" t="str">
        <f>IFERROR(__xludf.DUMMYFUNCTION("GOOGLETRANSLATE(A4,""zh-tw"",""ja"")"),"3．ゲームの最新バージョンをインストールし、ゲーム内で任意のセーブファイルを作成してください。
（このセーブファイルはデータ転送後に上書きされ、削除されますのでご注意ください。）")</f>
        <v>3．ゲームの最新バージョンをインストールし、ゲーム内で任意のセーブファイルを作成してください。
（このセーブファイルはデータ転送後に上書きされ、削除されますのでご注意ください。）</v>
      </c>
      <c r="C4" s="649" t="s">
        <v>14592</v>
      </c>
      <c r="D4" s="366"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649" t="s">
        <v>14593</v>
      </c>
      <c r="F4" s="539" t="s">
        <v>14594</v>
      </c>
      <c r="G4" s="650" t="s">
        <v>14595</v>
      </c>
      <c r="H4" s="651" t="s">
        <v>14596</v>
      </c>
      <c r="I4" s="652"/>
      <c r="J4" s="286"/>
      <c r="K4" s="286"/>
      <c r="L4" s="286"/>
      <c r="M4" s="286"/>
      <c r="N4" s="286"/>
      <c r="O4" s="286"/>
      <c r="P4" s="286"/>
      <c r="Q4" s="286"/>
      <c r="R4" s="286"/>
    </row>
    <row r="5">
      <c r="A5" s="649" t="s">
        <v>14597</v>
      </c>
      <c r="B5" s="86" t="str">
        <f>IFERROR(__xludf.DUMMYFUNCTION("GOOGLETRANSLATE(A5,""zh-tw"",""ja"")"),"4 - ファイルエクスプローラーアプリケーションを再度開き、[New Game Version]フォルダー内のDocuments/sister_saveを見つけて、そのフォルダー内の手順2のセーブファイルを「上書き」します。")</f>
        <v>4 - ファイルエクスプローラーアプリケーションを再度開き、[New Game Version]フォルダー内のDocuments/sister_saveを見つけて、そのフォルダー内の手順2のセーブファイルを「上書き」します。</v>
      </c>
      <c r="C5" s="649" t="s">
        <v>14598</v>
      </c>
      <c r="D5" s="366"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649" t="s">
        <v>14599</v>
      </c>
      <c r="F5" s="539" t="s">
        <v>14600</v>
      </c>
      <c r="G5" s="653" t="s">
        <v>14601</v>
      </c>
      <c r="H5" s="651" t="s">
        <v>14602</v>
      </c>
      <c r="I5" s="652"/>
      <c r="J5" s="286"/>
      <c r="K5" s="286"/>
      <c r="L5" s="286"/>
      <c r="M5" s="286"/>
      <c r="N5" s="286"/>
      <c r="O5" s="286"/>
      <c r="P5" s="286"/>
      <c r="Q5" s="286"/>
      <c r="R5" s="286"/>
    </row>
    <row r="6">
      <c r="A6" s="654" t="s">
        <v>14603</v>
      </c>
      <c r="B6" s="655" t="s">
        <v>14604</v>
      </c>
      <c r="C6" s="654" t="s">
        <v>14605</v>
      </c>
      <c r="D6" s="655" t="s">
        <v>14606</v>
      </c>
      <c r="E6" s="654" t="s">
        <v>14607</v>
      </c>
      <c r="F6" s="656" t="s">
        <v>14608</v>
      </c>
      <c r="G6" s="657" t="s">
        <v>14609</v>
      </c>
      <c r="H6" s="658" t="s">
        <v>14610</v>
      </c>
      <c r="I6" s="652"/>
      <c r="J6" s="286"/>
      <c r="K6" s="286"/>
      <c r="L6" s="286"/>
      <c r="M6" s="286"/>
      <c r="N6" s="286"/>
      <c r="O6" s="286"/>
      <c r="P6" s="286"/>
      <c r="Q6" s="286"/>
      <c r="R6" s="286"/>
    </row>
    <row r="7">
      <c r="A7" s="659"/>
      <c r="B7" s="286"/>
      <c r="C7" s="659"/>
      <c r="D7" s="286"/>
      <c r="E7" s="528"/>
      <c r="F7" s="436"/>
      <c r="G7" s="286"/>
      <c r="H7" s="366"/>
      <c r="I7" s="286"/>
      <c r="J7" s="286"/>
      <c r="K7" s="286"/>
      <c r="L7" s="286"/>
      <c r="M7" s="286"/>
      <c r="N7" s="286"/>
      <c r="O7" s="286"/>
      <c r="P7" s="286"/>
      <c r="Q7" s="286"/>
      <c r="R7" s="286"/>
    </row>
    <row r="8">
      <c r="A8" s="659"/>
      <c r="B8" s="286"/>
      <c r="C8" s="286"/>
      <c r="D8" s="286"/>
      <c r="E8" s="286"/>
      <c r="F8" s="436"/>
      <c r="G8" s="286"/>
      <c r="H8" s="286"/>
      <c r="I8" s="286"/>
      <c r="J8" s="286"/>
      <c r="K8" s="286"/>
      <c r="L8" s="286"/>
      <c r="M8" s="286"/>
      <c r="N8" s="286"/>
      <c r="O8" s="286"/>
      <c r="P8" s="286"/>
      <c r="Q8" s="286"/>
      <c r="R8" s="286"/>
    </row>
    <row r="9">
      <c r="A9" s="659"/>
      <c r="B9" s="286"/>
      <c r="C9" s="286"/>
      <c r="D9" s="286"/>
      <c r="E9" s="286"/>
      <c r="F9" s="436"/>
      <c r="G9" s="286"/>
      <c r="H9" s="286"/>
      <c r="I9" s="286"/>
      <c r="J9" s="286"/>
      <c r="K9" s="286"/>
      <c r="L9" s="286"/>
      <c r="M9" s="286"/>
      <c r="N9" s="286"/>
      <c r="O9" s="286"/>
      <c r="P9" s="286"/>
      <c r="Q9" s="286"/>
      <c r="R9" s="286"/>
    </row>
    <row r="10">
      <c r="A10" s="659"/>
      <c r="B10" s="286"/>
      <c r="C10" s="286"/>
      <c r="D10" s="286"/>
      <c r="E10" s="286"/>
      <c r="F10" s="436"/>
      <c r="G10" s="286"/>
      <c r="H10" s="286"/>
      <c r="I10" s="286"/>
      <c r="J10" s="286"/>
      <c r="K10" s="286"/>
      <c r="L10" s="286"/>
      <c r="M10" s="286"/>
      <c r="N10" s="286"/>
      <c r="O10" s="286"/>
      <c r="P10" s="286"/>
      <c r="Q10" s="286"/>
      <c r="R10" s="286"/>
    </row>
    <row r="11">
      <c r="A11" s="659"/>
      <c r="B11" s="286"/>
      <c r="C11" s="286"/>
      <c r="D11" s="286"/>
      <c r="E11" s="286"/>
      <c r="F11" s="436"/>
      <c r="G11" s="286"/>
      <c r="H11" s="286"/>
      <c r="I11" s="286"/>
      <c r="J11" s="286"/>
      <c r="K11" s="286"/>
      <c r="L11" s="286"/>
      <c r="M11" s="286"/>
      <c r="N11" s="286"/>
      <c r="O11" s="286"/>
      <c r="P11" s="286"/>
      <c r="Q11" s="286"/>
      <c r="R11" s="286"/>
    </row>
    <row r="12">
      <c r="A12" s="659"/>
      <c r="B12" s="286"/>
      <c r="C12" s="286"/>
      <c r="D12" s="286"/>
      <c r="E12" s="286"/>
      <c r="F12" s="436"/>
      <c r="G12" s="286"/>
      <c r="H12" s="286"/>
      <c r="I12" s="286"/>
      <c r="J12" s="286"/>
      <c r="K12" s="286"/>
      <c r="L12" s="286"/>
      <c r="M12" s="286"/>
      <c r="N12" s="286"/>
      <c r="O12" s="286"/>
      <c r="P12" s="286"/>
      <c r="Q12" s="286"/>
      <c r="R12" s="286"/>
    </row>
    <row r="13">
      <c r="A13" s="659"/>
      <c r="B13" s="286"/>
      <c r="C13" s="286"/>
      <c r="D13" s="286"/>
      <c r="E13" s="286"/>
      <c r="F13" s="436"/>
      <c r="G13" s="286"/>
      <c r="H13" s="286"/>
      <c r="I13" s="286"/>
      <c r="J13" s="286"/>
      <c r="K13" s="286"/>
      <c r="L13" s="286"/>
      <c r="M13" s="286"/>
      <c r="N13" s="286"/>
      <c r="O13" s="286"/>
      <c r="P13" s="286"/>
      <c r="Q13" s="286"/>
      <c r="R13" s="286"/>
    </row>
    <row r="14">
      <c r="A14" s="659"/>
      <c r="B14" s="286"/>
      <c r="C14" s="286"/>
      <c r="D14" s="286"/>
      <c r="E14" s="286"/>
      <c r="F14" s="436"/>
      <c r="G14" s="286"/>
      <c r="H14" s="286"/>
      <c r="I14" s="286"/>
      <c r="J14" s="286"/>
      <c r="K14" s="286"/>
      <c r="L14" s="286"/>
      <c r="M14" s="286"/>
      <c r="N14" s="286"/>
      <c r="O14" s="286"/>
      <c r="P14" s="286"/>
      <c r="Q14" s="286"/>
      <c r="R14" s="286"/>
    </row>
    <row r="15">
      <c r="A15" s="659"/>
      <c r="B15" s="286"/>
      <c r="C15" s="286"/>
      <c r="D15" s="286"/>
      <c r="E15" s="286"/>
      <c r="F15" s="436"/>
      <c r="G15" s="286"/>
      <c r="H15" s="286"/>
      <c r="I15" s="286"/>
      <c r="J15" s="286"/>
      <c r="K15" s="286"/>
      <c r="L15" s="286"/>
      <c r="M15" s="286"/>
      <c r="N15" s="286"/>
      <c r="O15" s="286"/>
      <c r="P15" s="286"/>
      <c r="Q15" s="286"/>
      <c r="R15" s="286"/>
    </row>
    <row r="16">
      <c r="A16" s="659"/>
      <c r="B16" s="286"/>
      <c r="C16" s="286"/>
      <c r="D16" s="286"/>
      <c r="E16" s="286"/>
      <c r="F16" s="436"/>
      <c r="G16" s="286"/>
      <c r="H16" s="286"/>
      <c r="I16" s="286"/>
      <c r="J16" s="286"/>
      <c r="K16" s="286"/>
      <c r="L16" s="286"/>
      <c r="M16" s="286"/>
      <c r="N16" s="286"/>
      <c r="O16" s="286"/>
      <c r="P16" s="286"/>
      <c r="Q16" s="286"/>
      <c r="R16" s="286"/>
    </row>
    <row r="17">
      <c r="A17" s="659"/>
      <c r="B17" s="286"/>
      <c r="C17" s="286"/>
      <c r="D17" s="286"/>
      <c r="E17" s="286"/>
      <c r="F17" s="436"/>
      <c r="G17" s="286"/>
      <c r="H17" s="286"/>
      <c r="I17" s="286"/>
      <c r="J17" s="286"/>
      <c r="K17" s="286"/>
      <c r="L17" s="286"/>
      <c r="M17" s="286"/>
      <c r="N17" s="286"/>
      <c r="O17" s="286"/>
      <c r="P17" s="286"/>
      <c r="Q17" s="286"/>
      <c r="R17" s="286"/>
    </row>
    <row r="18">
      <c r="A18" s="659"/>
      <c r="B18" s="286"/>
      <c r="C18" s="286"/>
      <c r="D18" s="286"/>
      <c r="E18" s="286"/>
      <c r="F18" s="436"/>
      <c r="G18" s="286"/>
      <c r="H18" s="286"/>
      <c r="I18" s="286"/>
      <c r="J18" s="286"/>
      <c r="K18" s="286"/>
      <c r="L18" s="286"/>
      <c r="M18" s="286"/>
      <c r="N18" s="286"/>
      <c r="O18" s="286"/>
      <c r="P18" s="286"/>
      <c r="Q18" s="286"/>
      <c r="R18" s="286"/>
    </row>
    <row r="19">
      <c r="A19" s="659"/>
      <c r="B19" s="286"/>
      <c r="C19" s="286"/>
      <c r="D19" s="286"/>
      <c r="E19" s="286"/>
      <c r="F19" s="436"/>
      <c r="G19" s="286"/>
      <c r="H19" s="286"/>
      <c r="I19" s="286"/>
      <c r="J19" s="286"/>
      <c r="K19" s="286"/>
      <c r="L19" s="286"/>
      <c r="M19" s="286"/>
      <c r="N19" s="286"/>
      <c r="O19" s="286"/>
      <c r="P19" s="286"/>
      <c r="Q19" s="286"/>
      <c r="R19" s="286"/>
    </row>
    <row r="20">
      <c r="A20" s="659"/>
      <c r="B20" s="286"/>
      <c r="C20" s="286"/>
      <c r="D20" s="286"/>
      <c r="E20" s="286"/>
      <c r="F20" s="436"/>
      <c r="G20" s="286"/>
      <c r="H20" s="286"/>
      <c r="I20" s="286"/>
      <c r="J20" s="286"/>
      <c r="K20" s="286"/>
      <c r="L20" s="286"/>
      <c r="M20" s="286"/>
      <c r="N20" s="286"/>
      <c r="O20" s="286"/>
      <c r="P20" s="286"/>
      <c r="Q20" s="286"/>
      <c r="R20" s="286"/>
    </row>
    <row r="21">
      <c r="A21" s="659"/>
      <c r="B21" s="286"/>
      <c r="C21" s="286"/>
      <c r="D21" s="286"/>
      <c r="E21" s="286"/>
      <c r="F21" s="436"/>
      <c r="G21" s="286"/>
      <c r="H21" s="286"/>
      <c r="I21" s="286"/>
      <c r="J21" s="286"/>
      <c r="K21" s="286"/>
      <c r="L21" s="286"/>
      <c r="M21" s="286"/>
      <c r="N21" s="286"/>
      <c r="O21" s="286"/>
      <c r="P21" s="286"/>
      <c r="Q21" s="286"/>
      <c r="R21" s="286"/>
    </row>
    <row r="22">
      <c r="A22" s="659"/>
      <c r="B22" s="286"/>
      <c r="C22" s="286"/>
      <c r="D22" s="286"/>
      <c r="E22" s="286"/>
      <c r="F22" s="436"/>
      <c r="G22" s="286"/>
      <c r="H22" s="286"/>
      <c r="I22" s="286"/>
      <c r="J22" s="286"/>
      <c r="K22" s="286"/>
      <c r="L22" s="286"/>
      <c r="M22" s="286"/>
      <c r="N22" s="286"/>
      <c r="O22" s="286"/>
      <c r="P22" s="286"/>
      <c r="Q22" s="286"/>
      <c r="R22" s="286"/>
    </row>
    <row r="23">
      <c r="A23" s="659"/>
      <c r="B23" s="286"/>
      <c r="C23" s="286"/>
      <c r="D23" s="286"/>
      <c r="E23" s="286"/>
      <c r="F23" s="436"/>
      <c r="G23" s="286"/>
      <c r="H23" s="286"/>
      <c r="I23" s="286"/>
      <c r="J23" s="286"/>
      <c r="K23" s="286"/>
      <c r="L23" s="286"/>
      <c r="M23" s="286"/>
      <c r="N23" s="286"/>
      <c r="O23" s="286"/>
      <c r="P23" s="286"/>
      <c r="Q23" s="286"/>
      <c r="R23" s="286"/>
    </row>
    <row r="24">
      <c r="A24" s="659"/>
      <c r="B24" s="286"/>
      <c r="C24" s="286"/>
      <c r="D24" s="286"/>
      <c r="E24" s="286"/>
      <c r="F24" s="436"/>
      <c r="G24" s="286"/>
      <c r="H24" s="286"/>
      <c r="I24" s="286"/>
      <c r="J24" s="286"/>
      <c r="K24" s="286"/>
      <c r="L24" s="286"/>
      <c r="M24" s="286"/>
      <c r="N24" s="286"/>
      <c r="O24" s="286"/>
      <c r="P24" s="286"/>
      <c r="Q24" s="286"/>
      <c r="R24" s="286"/>
    </row>
    <row r="25">
      <c r="A25" s="659"/>
      <c r="B25" s="286"/>
      <c r="C25" s="286"/>
      <c r="D25" s="286"/>
      <c r="E25" s="286"/>
      <c r="F25" s="436"/>
      <c r="G25" s="286"/>
      <c r="H25" s="286"/>
      <c r="I25" s="286"/>
      <c r="J25" s="286"/>
      <c r="K25" s="286"/>
      <c r="L25" s="286"/>
      <c r="M25" s="286"/>
      <c r="N25" s="286"/>
      <c r="O25" s="286"/>
      <c r="P25" s="286"/>
      <c r="Q25" s="286"/>
      <c r="R25" s="286"/>
    </row>
    <row r="26">
      <c r="A26" s="659"/>
      <c r="B26" s="286"/>
      <c r="C26" s="286"/>
      <c r="D26" s="286"/>
      <c r="E26" s="286"/>
      <c r="F26" s="436"/>
      <c r="G26" s="286"/>
      <c r="H26" s="286"/>
      <c r="I26" s="286"/>
      <c r="J26" s="286"/>
      <c r="K26" s="286"/>
      <c r="L26" s="286"/>
      <c r="M26" s="286"/>
      <c r="N26" s="286"/>
      <c r="O26" s="286"/>
      <c r="P26" s="286"/>
      <c r="Q26" s="286"/>
      <c r="R26" s="286"/>
    </row>
    <row r="27">
      <c r="A27" s="659"/>
      <c r="B27" s="286"/>
      <c r="C27" s="286"/>
      <c r="D27" s="286"/>
      <c r="E27" s="286"/>
      <c r="F27" s="436"/>
      <c r="G27" s="286"/>
      <c r="H27" s="286"/>
      <c r="I27" s="286"/>
      <c r="J27" s="286"/>
      <c r="K27" s="286"/>
      <c r="L27" s="286"/>
      <c r="M27" s="286"/>
      <c r="N27" s="286"/>
      <c r="O27" s="286"/>
      <c r="P27" s="286"/>
      <c r="Q27" s="286"/>
      <c r="R27" s="286"/>
    </row>
    <row r="28">
      <c r="A28" s="659"/>
      <c r="B28" s="286"/>
      <c r="C28" s="286"/>
      <c r="D28" s="286"/>
      <c r="E28" s="286"/>
      <c r="F28" s="436"/>
      <c r="G28" s="286"/>
      <c r="H28" s="286"/>
      <c r="I28" s="286"/>
      <c r="J28" s="286"/>
      <c r="K28" s="286"/>
      <c r="L28" s="286"/>
      <c r="M28" s="286"/>
      <c r="N28" s="286"/>
      <c r="O28" s="286"/>
      <c r="P28" s="286"/>
      <c r="Q28" s="286"/>
      <c r="R28" s="286"/>
    </row>
    <row r="29">
      <c r="A29" s="659"/>
      <c r="B29" s="286"/>
      <c r="C29" s="286"/>
      <c r="D29" s="286"/>
      <c r="E29" s="286"/>
      <c r="F29" s="436"/>
      <c r="G29" s="286"/>
      <c r="H29" s="286"/>
      <c r="I29" s="286"/>
      <c r="J29" s="286"/>
      <c r="K29" s="286"/>
      <c r="L29" s="286"/>
      <c r="M29" s="286"/>
      <c r="N29" s="286"/>
      <c r="O29" s="286"/>
      <c r="P29" s="286"/>
      <c r="Q29" s="286"/>
      <c r="R29" s="286"/>
    </row>
    <row r="30">
      <c r="A30" s="659"/>
      <c r="B30" s="286"/>
      <c r="C30" s="286"/>
      <c r="D30" s="286"/>
      <c r="E30" s="286"/>
      <c r="F30" s="436"/>
      <c r="G30" s="286"/>
      <c r="H30" s="286"/>
      <c r="I30" s="286"/>
      <c r="J30" s="286"/>
      <c r="K30" s="286"/>
      <c r="L30" s="286"/>
      <c r="M30" s="286"/>
      <c r="N30" s="286"/>
      <c r="O30" s="286"/>
      <c r="P30" s="286"/>
      <c r="Q30" s="286"/>
      <c r="R30" s="286"/>
    </row>
    <row r="31">
      <c r="A31" s="659"/>
      <c r="B31" s="286"/>
      <c r="C31" s="286"/>
      <c r="D31" s="286"/>
      <c r="E31" s="286"/>
      <c r="F31" s="436"/>
      <c r="G31" s="286"/>
      <c r="H31" s="286"/>
      <c r="I31" s="286"/>
      <c r="J31" s="286"/>
      <c r="K31" s="286"/>
      <c r="L31" s="286"/>
      <c r="M31" s="286"/>
      <c r="N31" s="286"/>
      <c r="O31" s="286"/>
      <c r="P31" s="286"/>
      <c r="Q31" s="286"/>
      <c r="R31" s="286"/>
    </row>
    <row r="32">
      <c r="A32" s="286"/>
      <c r="B32" s="286"/>
      <c r="C32" s="286"/>
      <c r="D32" s="286"/>
      <c r="E32" s="286"/>
      <c r="F32" s="436"/>
      <c r="G32" s="286"/>
      <c r="H32" s="286"/>
      <c r="I32" s="286"/>
      <c r="J32" s="286"/>
      <c r="K32" s="286"/>
      <c r="L32" s="286"/>
      <c r="M32" s="286"/>
      <c r="N32" s="286"/>
      <c r="O32" s="286"/>
      <c r="P32" s="286"/>
      <c r="Q32" s="286"/>
      <c r="R32" s="286"/>
    </row>
    <row r="33">
      <c r="A33" s="286"/>
      <c r="B33" s="286"/>
      <c r="C33" s="286"/>
      <c r="D33" s="286"/>
      <c r="E33" s="286"/>
      <c r="F33" s="436"/>
      <c r="G33" s="286"/>
      <c r="H33" s="286"/>
      <c r="I33" s="286"/>
      <c r="J33" s="286"/>
      <c r="K33" s="286"/>
      <c r="L33" s="286"/>
      <c r="M33" s="286"/>
      <c r="N33" s="286"/>
      <c r="O33" s="286"/>
      <c r="P33" s="286"/>
      <c r="Q33" s="286"/>
      <c r="R33" s="286"/>
    </row>
    <row r="34">
      <c r="A34" s="286"/>
      <c r="B34" s="286"/>
      <c r="C34" s="286"/>
      <c r="D34" s="286"/>
      <c r="E34" s="286"/>
      <c r="F34" s="436"/>
      <c r="G34" s="286"/>
      <c r="H34" s="286"/>
      <c r="I34" s="286"/>
      <c r="J34" s="286"/>
      <c r="K34" s="286"/>
      <c r="L34" s="286"/>
      <c r="M34" s="286"/>
      <c r="N34" s="286"/>
      <c r="O34" s="286"/>
      <c r="P34" s="286"/>
      <c r="Q34" s="286"/>
      <c r="R34" s="286"/>
    </row>
    <row r="35">
      <c r="A35" s="286"/>
      <c r="B35" s="286"/>
      <c r="C35" s="286"/>
      <c r="D35" s="286"/>
      <c r="E35" s="286"/>
      <c r="F35" s="436"/>
      <c r="G35" s="286"/>
      <c r="H35" s="286"/>
      <c r="I35" s="286"/>
      <c r="J35" s="286"/>
      <c r="K35" s="286"/>
      <c r="L35" s="286"/>
      <c r="M35" s="286"/>
      <c r="N35" s="286"/>
      <c r="O35" s="286"/>
      <c r="P35" s="286"/>
      <c r="Q35" s="286"/>
      <c r="R35" s="286"/>
    </row>
    <row r="36">
      <c r="A36" s="286"/>
      <c r="B36" s="286"/>
      <c r="C36" s="286"/>
      <c r="D36" s="286"/>
      <c r="E36" s="286"/>
      <c r="F36" s="436"/>
      <c r="G36" s="286"/>
      <c r="H36" s="286"/>
      <c r="I36" s="286"/>
      <c r="J36" s="286"/>
      <c r="K36" s="286"/>
      <c r="L36" s="286"/>
      <c r="M36" s="286"/>
      <c r="N36" s="286"/>
      <c r="O36" s="286"/>
      <c r="P36" s="286"/>
      <c r="Q36" s="286"/>
      <c r="R36" s="286"/>
    </row>
    <row r="37">
      <c r="A37" s="286"/>
      <c r="B37" s="286"/>
      <c r="C37" s="286"/>
      <c r="D37" s="286"/>
      <c r="E37" s="286"/>
      <c r="F37" s="436"/>
      <c r="G37" s="286"/>
      <c r="H37" s="286"/>
      <c r="I37" s="286"/>
      <c r="J37" s="286"/>
      <c r="K37" s="286"/>
      <c r="L37" s="286"/>
      <c r="M37" s="286"/>
      <c r="N37" s="286"/>
      <c r="O37" s="286"/>
      <c r="P37" s="286"/>
      <c r="Q37" s="286"/>
      <c r="R37" s="286"/>
    </row>
    <row r="38">
      <c r="A38" s="286"/>
      <c r="B38" s="286"/>
      <c r="C38" s="286"/>
      <c r="D38" s="286"/>
      <c r="E38" s="286"/>
      <c r="F38" s="436"/>
      <c r="G38" s="286"/>
      <c r="H38" s="286"/>
      <c r="I38" s="286"/>
      <c r="J38" s="286"/>
      <c r="K38" s="286"/>
      <c r="L38" s="286"/>
      <c r="M38" s="286"/>
      <c r="N38" s="286"/>
      <c r="O38" s="286"/>
      <c r="P38" s="286"/>
      <c r="Q38" s="286"/>
      <c r="R38" s="286"/>
    </row>
    <row r="39">
      <c r="A39" s="286"/>
      <c r="B39" s="286"/>
      <c r="C39" s="286"/>
      <c r="D39" s="286"/>
      <c r="E39" s="286"/>
      <c r="F39" s="436"/>
      <c r="G39" s="286"/>
      <c r="H39" s="286"/>
      <c r="I39" s="286"/>
      <c r="J39" s="286"/>
      <c r="K39" s="286"/>
      <c r="L39" s="286"/>
      <c r="M39" s="286"/>
      <c r="N39" s="286"/>
      <c r="O39" s="286"/>
      <c r="P39" s="286"/>
      <c r="Q39" s="286"/>
      <c r="R39" s="286"/>
    </row>
    <row r="40">
      <c r="A40" s="286"/>
      <c r="B40" s="286"/>
      <c r="C40" s="286"/>
      <c r="D40" s="286"/>
      <c r="E40" s="286"/>
      <c r="F40" s="436"/>
      <c r="G40" s="286"/>
      <c r="H40" s="286"/>
      <c r="I40" s="286"/>
      <c r="J40" s="286"/>
      <c r="K40" s="286"/>
      <c r="L40" s="286"/>
      <c r="M40" s="286"/>
      <c r="N40" s="286"/>
      <c r="O40" s="286"/>
      <c r="P40" s="286"/>
      <c r="Q40" s="286"/>
      <c r="R40" s="286"/>
    </row>
    <row r="41">
      <c r="A41" s="286"/>
      <c r="B41" s="286"/>
      <c r="C41" s="286"/>
      <c r="D41" s="286"/>
      <c r="E41" s="286"/>
      <c r="F41" s="436"/>
      <c r="G41" s="286"/>
      <c r="H41" s="286"/>
      <c r="I41" s="286"/>
      <c r="J41" s="286"/>
      <c r="K41" s="286"/>
      <c r="L41" s="286"/>
      <c r="M41" s="286"/>
      <c r="N41" s="286"/>
      <c r="O41" s="286"/>
      <c r="P41" s="286"/>
      <c r="Q41" s="286"/>
      <c r="R41" s="286"/>
    </row>
    <row r="42">
      <c r="A42" s="286"/>
      <c r="B42" s="286"/>
      <c r="C42" s="286"/>
      <c r="D42" s="286"/>
      <c r="E42" s="286"/>
      <c r="F42" s="436"/>
      <c r="G42" s="286"/>
      <c r="H42" s="286"/>
      <c r="I42" s="286"/>
      <c r="J42" s="286"/>
      <c r="K42" s="286"/>
      <c r="L42" s="286"/>
      <c r="M42" s="286"/>
      <c r="N42" s="286"/>
      <c r="O42" s="286"/>
      <c r="P42" s="286"/>
      <c r="Q42" s="286"/>
      <c r="R42" s="286"/>
    </row>
    <row r="43">
      <c r="A43" s="286"/>
      <c r="B43" s="286"/>
      <c r="C43" s="286"/>
      <c r="D43" s="286"/>
      <c r="E43" s="286"/>
      <c r="F43" s="436"/>
      <c r="G43" s="286"/>
      <c r="H43" s="286"/>
      <c r="I43" s="286"/>
      <c r="J43" s="286"/>
      <c r="K43" s="286"/>
      <c r="L43" s="286"/>
      <c r="M43" s="286"/>
      <c r="N43" s="286"/>
      <c r="O43" s="286"/>
      <c r="P43" s="286"/>
      <c r="Q43" s="286"/>
      <c r="R43" s="286"/>
    </row>
    <row r="44">
      <c r="A44" s="286"/>
      <c r="B44" s="286"/>
      <c r="C44" s="286"/>
      <c r="D44" s="286"/>
      <c r="E44" s="286"/>
      <c r="F44" s="436"/>
      <c r="G44" s="286"/>
      <c r="H44" s="286"/>
      <c r="I44" s="286"/>
      <c r="J44" s="286"/>
      <c r="K44" s="286"/>
      <c r="L44" s="286"/>
      <c r="M44" s="286"/>
      <c r="N44" s="286"/>
      <c r="O44" s="286"/>
      <c r="P44" s="286"/>
      <c r="Q44" s="286"/>
      <c r="R44" s="286"/>
    </row>
    <row r="45">
      <c r="A45" s="286"/>
      <c r="B45" s="286"/>
      <c r="C45" s="286"/>
      <c r="D45" s="286"/>
      <c r="E45" s="286"/>
      <c r="F45" s="436"/>
      <c r="G45" s="286"/>
      <c r="H45" s="286"/>
      <c r="I45" s="286"/>
      <c r="J45" s="286"/>
      <c r="K45" s="286"/>
      <c r="L45" s="286"/>
      <c r="M45" s="286"/>
      <c r="N45" s="286"/>
      <c r="O45" s="286"/>
      <c r="P45" s="286"/>
      <c r="Q45" s="286"/>
      <c r="R45" s="286"/>
    </row>
    <row r="46">
      <c r="A46" s="286"/>
      <c r="B46" s="286"/>
      <c r="C46" s="286"/>
      <c r="D46" s="286"/>
      <c r="E46" s="286"/>
      <c r="F46" s="436"/>
      <c r="G46" s="286"/>
      <c r="H46" s="286"/>
      <c r="I46" s="286"/>
      <c r="J46" s="286"/>
      <c r="K46" s="286"/>
      <c r="L46" s="286"/>
      <c r="M46" s="286"/>
      <c r="N46" s="286"/>
      <c r="O46" s="286"/>
      <c r="P46" s="286"/>
      <c r="Q46" s="286"/>
      <c r="R46" s="286"/>
    </row>
    <row r="47">
      <c r="A47" s="286"/>
      <c r="B47" s="286"/>
      <c r="C47" s="286"/>
      <c r="D47" s="286"/>
      <c r="E47" s="286"/>
      <c r="F47" s="436"/>
      <c r="G47" s="286"/>
      <c r="H47" s="286"/>
      <c r="I47" s="286"/>
      <c r="J47" s="286"/>
      <c r="K47" s="286"/>
      <c r="L47" s="286"/>
      <c r="M47" s="286"/>
      <c r="N47" s="286"/>
      <c r="O47" s="286"/>
      <c r="P47" s="286"/>
      <c r="Q47" s="286"/>
      <c r="R47" s="286"/>
    </row>
    <row r="48">
      <c r="A48" s="286"/>
      <c r="B48" s="286"/>
      <c r="C48" s="286"/>
      <c r="D48" s="286"/>
      <c r="E48" s="286"/>
      <c r="F48" s="436"/>
      <c r="G48" s="286"/>
      <c r="H48" s="286"/>
      <c r="I48" s="286"/>
      <c r="J48" s="286"/>
      <c r="K48" s="286"/>
      <c r="L48" s="286"/>
      <c r="M48" s="286"/>
      <c r="N48" s="286"/>
      <c r="O48" s="286"/>
      <c r="P48" s="286"/>
      <c r="Q48" s="286"/>
      <c r="R48" s="286"/>
    </row>
    <row r="49">
      <c r="A49" s="286"/>
      <c r="B49" s="286"/>
      <c r="C49" s="286"/>
      <c r="D49" s="286"/>
      <c r="E49" s="286"/>
      <c r="F49" s="436"/>
      <c r="G49" s="286"/>
      <c r="H49" s="286"/>
      <c r="I49" s="286"/>
      <c r="J49" s="286"/>
      <c r="K49" s="286"/>
      <c r="L49" s="286"/>
      <c r="M49" s="286"/>
      <c r="N49" s="286"/>
      <c r="O49" s="286"/>
      <c r="P49" s="286"/>
      <c r="Q49" s="286"/>
      <c r="R49" s="286"/>
    </row>
    <row r="50">
      <c r="A50" s="286"/>
      <c r="B50" s="286"/>
      <c r="C50" s="286"/>
      <c r="D50" s="286"/>
      <c r="E50" s="286"/>
      <c r="F50" s="436"/>
      <c r="G50" s="286"/>
      <c r="H50" s="286"/>
      <c r="I50" s="286"/>
      <c r="J50" s="286"/>
      <c r="K50" s="286"/>
      <c r="L50" s="286"/>
      <c r="M50" s="286"/>
      <c r="N50" s="286"/>
      <c r="O50" s="286"/>
      <c r="P50" s="286"/>
      <c r="Q50" s="286"/>
      <c r="R50" s="286"/>
    </row>
    <row r="51">
      <c r="A51" s="286"/>
      <c r="B51" s="286"/>
      <c r="C51" s="286"/>
      <c r="D51" s="286"/>
      <c r="E51" s="286"/>
      <c r="F51" s="436"/>
      <c r="G51" s="286"/>
      <c r="H51" s="286"/>
      <c r="I51" s="286"/>
      <c r="J51" s="286"/>
      <c r="K51" s="286"/>
      <c r="L51" s="286"/>
      <c r="M51" s="286"/>
      <c r="N51" s="286"/>
      <c r="O51" s="286"/>
      <c r="P51" s="286"/>
      <c r="Q51" s="286"/>
      <c r="R51" s="286"/>
    </row>
    <row r="52">
      <c r="A52" s="286"/>
      <c r="B52" s="286"/>
      <c r="C52" s="286"/>
      <c r="D52" s="286"/>
      <c r="E52" s="286"/>
      <c r="F52" s="436"/>
      <c r="G52" s="286"/>
      <c r="H52" s="286"/>
      <c r="I52" s="286"/>
      <c r="J52" s="286"/>
      <c r="K52" s="286"/>
      <c r="L52" s="286"/>
      <c r="M52" s="286"/>
      <c r="N52" s="286"/>
      <c r="O52" s="286"/>
      <c r="P52" s="286"/>
      <c r="Q52" s="286"/>
      <c r="R52" s="286"/>
    </row>
    <row r="53">
      <c r="A53" s="286"/>
      <c r="B53" s="286"/>
      <c r="C53" s="286"/>
      <c r="D53" s="286"/>
      <c r="E53" s="286"/>
      <c r="F53" s="436"/>
      <c r="G53" s="286"/>
      <c r="H53" s="286"/>
      <c r="I53" s="286"/>
      <c r="J53" s="286"/>
      <c r="K53" s="286"/>
      <c r="L53" s="286"/>
      <c r="M53" s="286"/>
      <c r="N53" s="286"/>
      <c r="O53" s="286"/>
      <c r="P53" s="286"/>
      <c r="Q53" s="286"/>
      <c r="R53" s="286"/>
    </row>
    <row r="54">
      <c r="A54" s="286"/>
      <c r="B54" s="286"/>
      <c r="C54" s="286"/>
      <c r="D54" s="286"/>
      <c r="E54" s="286"/>
      <c r="F54" s="436"/>
      <c r="G54" s="286"/>
      <c r="H54" s="286"/>
      <c r="I54" s="286"/>
      <c r="J54" s="286"/>
      <c r="K54" s="286"/>
      <c r="L54" s="286"/>
      <c r="M54" s="286"/>
      <c r="N54" s="286"/>
      <c r="O54" s="286"/>
      <c r="P54" s="286"/>
      <c r="Q54" s="286"/>
      <c r="R54" s="286"/>
    </row>
    <row r="55">
      <c r="A55" s="286"/>
      <c r="B55" s="286"/>
      <c r="C55" s="286"/>
      <c r="D55" s="286"/>
      <c r="E55" s="286"/>
      <c r="F55" s="436"/>
      <c r="G55" s="286"/>
      <c r="H55" s="286"/>
      <c r="I55" s="286"/>
      <c r="J55" s="286"/>
      <c r="K55" s="286"/>
      <c r="L55" s="286"/>
      <c r="M55" s="286"/>
      <c r="N55" s="286"/>
      <c r="O55" s="286"/>
      <c r="P55" s="286"/>
      <c r="Q55" s="286"/>
      <c r="R55" s="286"/>
    </row>
    <row r="56">
      <c r="A56" s="286"/>
      <c r="B56" s="286"/>
      <c r="C56" s="286"/>
      <c r="D56" s="286"/>
      <c r="E56" s="286"/>
      <c r="F56" s="436"/>
      <c r="G56" s="286"/>
      <c r="H56" s="286"/>
      <c r="I56" s="286"/>
      <c r="J56" s="286"/>
      <c r="K56" s="286"/>
      <c r="L56" s="286"/>
      <c r="M56" s="286"/>
      <c r="N56" s="286"/>
      <c r="O56" s="286"/>
      <c r="P56" s="286"/>
      <c r="Q56" s="286"/>
      <c r="R56" s="286"/>
    </row>
    <row r="57">
      <c r="A57" s="286"/>
      <c r="B57" s="286"/>
      <c r="C57" s="286"/>
      <c r="D57" s="286"/>
      <c r="E57" s="286"/>
      <c r="F57" s="436"/>
      <c r="G57" s="286"/>
      <c r="H57" s="286"/>
      <c r="I57" s="286"/>
      <c r="J57" s="286"/>
      <c r="K57" s="286"/>
      <c r="L57" s="286"/>
      <c r="M57" s="286"/>
      <c r="N57" s="286"/>
      <c r="O57" s="286"/>
      <c r="P57" s="286"/>
      <c r="Q57" s="286"/>
      <c r="R57" s="286"/>
    </row>
    <row r="58">
      <c r="A58" s="286"/>
      <c r="B58" s="286"/>
      <c r="C58" s="286"/>
      <c r="D58" s="286"/>
      <c r="E58" s="286"/>
      <c r="F58" s="436"/>
      <c r="G58" s="286"/>
      <c r="H58" s="286"/>
      <c r="I58" s="286"/>
      <c r="J58" s="286"/>
      <c r="K58" s="286"/>
      <c r="L58" s="286"/>
      <c r="M58" s="286"/>
      <c r="N58" s="286"/>
      <c r="O58" s="286"/>
      <c r="P58" s="286"/>
      <c r="Q58" s="286"/>
      <c r="R58" s="286"/>
    </row>
    <row r="59">
      <c r="A59" s="286"/>
      <c r="B59" s="286"/>
      <c r="C59" s="286"/>
      <c r="D59" s="286"/>
      <c r="E59" s="286"/>
      <c r="F59" s="436"/>
      <c r="G59" s="286"/>
      <c r="H59" s="286"/>
      <c r="I59" s="286"/>
      <c r="J59" s="286"/>
      <c r="K59" s="286"/>
      <c r="L59" s="286"/>
      <c r="M59" s="286"/>
      <c r="N59" s="286"/>
      <c r="O59" s="286"/>
      <c r="P59" s="286"/>
      <c r="Q59" s="286"/>
      <c r="R59" s="286"/>
    </row>
    <row r="60">
      <c r="A60" s="286"/>
      <c r="B60" s="286"/>
      <c r="C60" s="286"/>
      <c r="D60" s="286"/>
      <c r="E60" s="286"/>
      <c r="F60" s="436"/>
      <c r="G60" s="286"/>
      <c r="H60" s="286"/>
      <c r="I60" s="286"/>
      <c r="J60" s="286"/>
      <c r="K60" s="286"/>
      <c r="L60" s="286"/>
      <c r="M60" s="286"/>
      <c r="N60" s="286"/>
      <c r="O60" s="286"/>
      <c r="P60" s="286"/>
      <c r="Q60" s="286"/>
      <c r="R60" s="286"/>
    </row>
    <row r="61">
      <c r="A61" s="286"/>
      <c r="B61" s="286"/>
      <c r="C61" s="286"/>
      <c r="D61" s="286"/>
      <c r="E61" s="286"/>
      <c r="F61" s="436"/>
      <c r="G61" s="286"/>
      <c r="H61" s="286"/>
      <c r="I61" s="286"/>
      <c r="J61" s="286"/>
      <c r="K61" s="286"/>
      <c r="L61" s="286"/>
      <c r="M61" s="286"/>
      <c r="N61" s="286"/>
      <c r="O61" s="286"/>
      <c r="P61" s="286"/>
      <c r="Q61" s="286"/>
      <c r="R61" s="286"/>
    </row>
    <row r="62">
      <c r="A62" s="286"/>
      <c r="B62" s="286"/>
      <c r="C62" s="286"/>
      <c r="D62" s="286"/>
      <c r="E62" s="286"/>
      <c r="F62" s="436"/>
      <c r="G62" s="286"/>
      <c r="H62" s="286"/>
      <c r="I62" s="286"/>
      <c r="J62" s="286"/>
      <c r="K62" s="286"/>
      <c r="L62" s="286"/>
      <c r="M62" s="286"/>
      <c r="N62" s="286"/>
      <c r="O62" s="286"/>
      <c r="P62" s="286"/>
      <c r="Q62" s="286"/>
      <c r="R62" s="286"/>
    </row>
    <row r="63">
      <c r="A63" s="286"/>
      <c r="B63" s="286"/>
      <c r="C63" s="286"/>
      <c r="D63" s="286"/>
      <c r="E63" s="286"/>
      <c r="F63" s="436"/>
      <c r="G63" s="286"/>
      <c r="H63" s="286"/>
      <c r="I63" s="286"/>
      <c r="J63" s="286"/>
      <c r="K63" s="286"/>
      <c r="L63" s="286"/>
      <c r="M63" s="286"/>
      <c r="N63" s="286"/>
      <c r="O63" s="286"/>
      <c r="P63" s="286"/>
      <c r="Q63" s="286"/>
      <c r="R63" s="286"/>
    </row>
    <row r="64">
      <c r="A64" s="286"/>
      <c r="B64" s="286"/>
      <c r="C64" s="286"/>
      <c r="D64" s="286"/>
      <c r="E64" s="286"/>
      <c r="F64" s="436"/>
      <c r="G64" s="286"/>
      <c r="H64" s="286"/>
      <c r="I64" s="286"/>
      <c r="J64" s="286"/>
      <c r="K64" s="286"/>
      <c r="L64" s="286"/>
      <c r="M64" s="286"/>
      <c r="N64" s="286"/>
      <c r="O64" s="286"/>
      <c r="P64" s="286"/>
      <c r="Q64" s="286"/>
      <c r="R64" s="286"/>
    </row>
    <row r="65">
      <c r="A65" s="286"/>
      <c r="B65" s="286"/>
      <c r="C65" s="286"/>
      <c r="D65" s="286"/>
      <c r="E65" s="286"/>
      <c r="F65" s="436"/>
      <c r="G65" s="286"/>
      <c r="H65" s="286"/>
      <c r="I65" s="286"/>
      <c r="J65" s="286"/>
      <c r="K65" s="286"/>
      <c r="L65" s="286"/>
      <c r="M65" s="286"/>
      <c r="N65" s="286"/>
      <c r="O65" s="286"/>
      <c r="P65" s="286"/>
      <c r="Q65" s="286"/>
      <c r="R65" s="286"/>
    </row>
    <row r="66">
      <c r="A66" s="286"/>
      <c r="B66" s="286"/>
      <c r="C66" s="286"/>
      <c r="D66" s="286"/>
      <c r="E66" s="286"/>
      <c r="F66" s="436"/>
      <c r="G66" s="286"/>
      <c r="H66" s="286"/>
      <c r="I66" s="286"/>
      <c r="J66" s="286"/>
      <c r="K66" s="286"/>
      <c r="L66" s="286"/>
      <c r="M66" s="286"/>
      <c r="N66" s="286"/>
      <c r="O66" s="286"/>
      <c r="P66" s="286"/>
      <c r="Q66" s="286"/>
      <c r="R66" s="286"/>
    </row>
    <row r="67">
      <c r="A67" s="286"/>
      <c r="B67" s="286"/>
      <c r="C67" s="286"/>
      <c r="D67" s="286"/>
      <c r="E67" s="286"/>
      <c r="F67" s="436"/>
      <c r="G67" s="286"/>
      <c r="H67" s="286"/>
      <c r="I67" s="286"/>
      <c r="J67" s="286"/>
      <c r="K67" s="286"/>
      <c r="L67" s="286"/>
      <c r="M67" s="286"/>
      <c r="N67" s="286"/>
      <c r="O67" s="286"/>
      <c r="P67" s="286"/>
      <c r="Q67" s="286"/>
      <c r="R67" s="286"/>
    </row>
    <row r="68">
      <c r="A68" s="286"/>
      <c r="B68" s="286"/>
      <c r="C68" s="286"/>
      <c r="D68" s="286"/>
      <c r="E68" s="286"/>
      <c r="F68" s="436"/>
      <c r="G68" s="286"/>
      <c r="H68" s="286"/>
      <c r="I68" s="286"/>
      <c r="J68" s="286"/>
      <c r="K68" s="286"/>
      <c r="L68" s="286"/>
      <c r="M68" s="286"/>
      <c r="N68" s="286"/>
      <c r="O68" s="286"/>
      <c r="P68" s="286"/>
      <c r="Q68" s="286"/>
      <c r="R68" s="286"/>
    </row>
    <row r="69">
      <c r="A69" s="286"/>
      <c r="B69" s="286"/>
      <c r="C69" s="286"/>
      <c r="D69" s="286"/>
      <c r="E69" s="286"/>
      <c r="F69" s="436"/>
      <c r="G69" s="286"/>
      <c r="H69" s="286"/>
      <c r="I69" s="286"/>
      <c r="J69" s="286"/>
      <c r="K69" s="286"/>
      <c r="L69" s="286"/>
      <c r="M69" s="286"/>
      <c r="N69" s="286"/>
      <c r="O69" s="286"/>
      <c r="P69" s="286"/>
      <c r="Q69" s="286"/>
      <c r="R69" s="286"/>
    </row>
    <row r="70">
      <c r="A70" s="286"/>
      <c r="B70" s="286"/>
      <c r="C70" s="286"/>
      <c r="D70" s="286"/>
      <c r="E70" s="286"/>
      <c r="F70" s="436"/>
      <c r="G70" s="286"/>
      <c r="H70" s="286"/>
      <c r="I70" s="286"/>
      <c r="J70" s="286"/>
      <c r="K70" s="286"/>
      <c r="L70" s="286"/>
      <c r="M70" s="286"/>
      <c r="N70" s="286"/>
      <c r="O70" s="286"/>
      <c r="P70" s="286"/>
      <c r="Q70" s="286"/>
      <c r="R70" s="286"/>
    </row>
    <row r="71">
      <c r="A71" s="286"/>
      <c r="B71" s="286"/>
      <c r="C71" s="286"/>
      <c r="D71" s="286"/>
      <c r="E71" s="286"/>
      <c r="F71" s="436"/>
      <c r="G71" s="286"/>
      <c r="H71" s="286"/>
      <c r="I71" s="286"/>
      <c r="J71" s="286"/>
      <c r="K71" s="286"/>
      <c r="L71" s="286"/>
      <c r="M71" s="286"/>
      <c r="N71" s="286"/>
      <c r="O71" s="286"/>
      <c r="P71" s="286"/>
      <c r="Q71" s="286"/>
      <c r="R71" s="286"/>
    </row>
    <row r="72">
      <c r="A72" s="286"/>
      <c r="B72" s="286"/>
      <c r="C72" s="286"/>
      <c r="D72" s="286"/>
      <c r="E72" s="286"/>
      <c r="F72" s="436"/>
      <c r="G72" s="286"/>
      <c r="H72" s="286"/>
      <c r="I72" s="286"/>
      <c r="J72" s="286"/>
      <c r="K72" s="286"/>
      <c r="L72" s="286"/>
      <c r="M72" s="286"/>
      <c r="N72" s="286"/>
      <c r="O72" s="286"/>
      <c r="P72" s="286"/>
      <c r="Q72" s="286"/>
      <c r="R72" s="286"/>
    </row>
    <row r="73">
      <c r="A73" s="286"/>
      <c r="B73" s="286"/>
      <c r="C73" s="286"/>
      <c r="D73" s="286"/>
      <c r="E73" s="286"/>
      <c r="F73" s="436"/>
      <c r="G73" s="286"/>
      <c r="H73" s="286"/>
      <c r="I73" s="286"/>
      <c r="J73" s="286"/>
      <c r="K73" s="286"/>
      <c r="L73" s="286"/>
      <c r="M73" s="286"/>
      <c r="N73" s="286"/>
      <c r="O73" s="286"/>
      <c r="P73" s="286"/>
      <c r="Q73" s="286"/>
      <c r="R73" s="286"/>
    </row>
    <row r="74">
      <c r="A74" s="286"/>
      <c r="B74" s="286"/>
      <c r="C74" s="286"/>
      <c r="D74" s="286"/>
      <c r="E74" s="286"/>
      <c r="F74" s="436"/>
      <c r="G74" s="286"/>
      <c r="H74" s="286"/>
      <c r="I74" s="286"/>
      <c r="J74" s="286"/>
      <c r="K74" s="286"/>
      <c r="L74" s="286"/>
      <c r="M74" s="286"/>
      <c r="N74" s="286"/>
      <c r="O74" s="286"/>
      <c r="P74" s="286"/>
      <c r="Q74" s="286"/>
      <c r="R74" s="286"/>
    </row>
    <row r="75">
      <c r="A75" s="286"/>
      <c r="B75" s="286"/>
      <c r="C75" s="286"/>
      <c r="D75" s="286"/>
      <c r="E75" s="286"/>
      <c r="F75" s="436"/>
      <c r="G75" s="286"/>
      <c r="H75" s="286"/>
      <c r="I75" s="286"/>
      <c r="J75" s="286"/>
      <c r="K75" s="286"/>
      <c r="L75" s="286"/>
      <c r="M75" s="286"/>
      <c r="N75" s="286"/>
      <c r="O75" s="286"/>
      <c r="P75" s="286"/>
      <c r="Q75" s="286"/>
      <c r="R75" s="286"/>
    </row>
    <row r="76">
      <c r="A76" s="286"/>
      <c r="B76" s="286"/>
      <c r="C76" s="286"/>
      <c r="D76" s="286"/>
      <c r="E76" s="286"/>
      <c r="F76" s="436"/>
      <c r="G76" s="286"/>
      <c r="H76" s="286"/>
      <c r="I76" s="286"/>
      <c r="J76" s="286"/>
      <c r="K76" s="286"/>
      <c r="L76" s="286"/>
      <c r="M76" s="286"/>
      <c r="N76" s="286"/>
      <c r="O76" s="286"/>
      <c r="P76" s="286"/>
      <c r="Q76" s="286"/>
      <c r="R76" s="286"/>
    </row>
    <row r="77">
      <c r="A77" s="286"/>
      <c r="B77" s="286"/>
      <c r="C77" s="286"/>
      <c r="D77" s="286"/>
      <c r="E77" s="286"/>
      <c r="F77" s="436"/>
      <c r="G77" s="286"/>
      <c r="H77" s="286"/>
      <c r="I77" s="286"/>
      <c r="J77" s="286"/>
      <c r="K77" s="286"/>
      <c r="L77" s="286"/>
      <c r="M77" s="286"/>
      <c r="N77" s="286"/>
      <c r="O77" s="286"/>
      <c r="P77" s="286"/>
      <c r="Q77" s="286"/>
      <c r="R77" s="286"/>
    </row>
    <row r="78">
      <c r="A78" s="286"/>
      <c r="B78" s="286"/>
      <c r="C78" s="286"/>
      <c r="D78" s="286"/>
      <c r="E78" s="286"/>
      <c r="F78" s="436"/>
      <c r="G78" s="286"/>
      <c r="H78" s="286"/>
      <c r="I78" s="286"/>
      <c r="J78" s="286"/>
      <c r="K78" s="286"/>
      <c r="L78" s="286"/>
      <c r="M78" s="286"/>
      <c r="N78" s="286"/>
      <c r="O78" s="286"/>
      <c r="P78" s="286"/>
      <c r="Q78" s="286"/>
      <c r="R78" s="286"/>
    </row>
    <row r="79">
      <c r="A79" s="286"/>
      <c r="B79" s="286"/>
      <c r="C79" s="286"/>
      <c r="D79" s="286"/>
      <c r="E79" s="286"/>
      <c r="F79" s="436"/>
      <c r="G79" s="286"/>
      <c r="H79" s="286"/>
      <c r="I79" s="286"/>
      <c r="J79" s="286"/>
      <c r="K79" s="286"/>
      <c r="L79" s="286"/>
      <c r="M79" s="286"/>
      <c r="N79" s="286"/>
      <c r="O79" s="286"/>
      <c r="P79" s="286"/>
      <c r="Q79" s="286"/>
      <c r="R79" s="286"/>
    </row>
    <row r="80">
      <c r="A80" s="286"/>
      <c r="B80" s="286"/>
      <c r="C80" s="286"/>
      <c r="D80" s="286"/>
      <c r="E80" s="286"/>
      <c r="F80" s="436"/>
      <c r="G80" s="286"/>
      <c r="H80" s="286"/>
      <c r="I80" s="286"/>
      <c r="J80" s="286"/>
      <c r="K80" s="286"/>
      <c r="L80" s="286"/>
      <c r="M80" s="286"/>
      <c r="N80" s="286"/>
      <c r="O80" s="286"/>
      <c r="P80" s="286"/>
      <c r="Q80" s="286"/>
      <c r="R80" s="286"/>
    </row>
    <row r="81">
      <c r="A81" s="286"/>
      <c r="B81" s="286"/>
      <c r="C81" s="286"/>
      <c r="D81" s="286"/>
      <c r="E81" s="286"/>
      <c r="F81" s="436"/>
      <c r="G81" s="286"/>
      <c r="H81" s="286"/>
      <c r="I81" s="286"/>
      <c r="J81" s="286"/>
      <c r="K81" s="286"/>
      <c r="L81" s="286"/>
      <c r="M81" s="286"/>
      <c r="N81" s="286"/>
      <c r="O81" s="286"/>
      <c r="P81" s="286"/>
      <c r="Q81" s="286"/>
      <c r="R81" s="286"/>
    </row>
    <row r="82">
      <c r="A82" s="286"/>
      <c r="B82" s="286"/>
      <c r="C82" s="286"/>
      <c r="D82" s="286"/>
      <c r="E82" s="286"/>
      <c r="F82" s="436"/>
      <c r="G82" s="286"/>
      <c r="H82" s="286"/>
      <c r="I82" s="286"/>
      <c r="J82" s="286"/>
      <c r="K82" s="286"/>
      <c r="L82" s="286"/>
      <c r="M82" s="286"/>
      <c r="N82" s="286"/>
      <c r="O82" s="286"/>
      <c r="P82" s="286"/>
      <c r="Q82" s="286"/>
      <c r="R82" s="286"/>
    </row>
    <row r="83">
      <c r="A83" s="286"/>
      <c r="B83" s="286"/>
      <c r="C83" s="286"/>
      <c r="D83" s="286"/>
      <c r="E83" s="286"/>
      <c r="F83" s="436"/>
      <c r="G83" s="286"/>
      <c r="H83" s="286"/>
      <c r="I83" s="286"/>
      <c r="J83" s="286"/>
      <c r="K83" s="286"/>
      <c r="L83" s="286"/>
      <c r="M83" s="286"/>
      <c r="N83" s="286"/>
      <c r="O83" s="286"/>
      <c r="P83" s="286"/>
      <c r="Q83" s="286"/>
      <c r="R83" s="286"/>
    </row>
    <row r="84">
      <c r="A84" s="286"/>
      <c r="B84" s="286"/>
      <c r="C84" s="286"/>
      <c r="D84" s="286"/>
      <c r="E84" s="286"/>
      <c r="F84" s="436"/>
      <c r="G84" s="286"/>
      <c r="H84" s="286"/>
      <c r="I84" s="286"/>
      <c r="J84" s="286"/>
      <c r="K84" s="286"/>
      <c r="L84" s="286"/>
      <c r="M84" s="286"/>
      <c r="N84" s="286"/>
      <c r="O84" s="286"/>
      <c r="P84" s="286"/>
      <c r="Q84" s="286"/>
      <c r="R84" s="286"/>
    </row>
    <row r="85">
      <c r="A85" s="286"/>
      <c r="B85" s="286"/>
      <c r="C85" s="286"/>
      <c r="D85" s="286"/>
      <c r="E85" s="286"/>
      <c r="F85" s="436"/>
      <c r="G85" s="286"/>
      <c r="H85" s="286"/>
      <c r="I85" s="286"/>
      <c r="J85" s="286"/>
      <c r="K85" s="286"/>
      <c r="L85" s="286"/>
      <c r="M85" s="286"/>
      <c r="N85" s="286"/>
      <c r="O85" s="286"/>
      <c r="P85" s="286"/>
      <c r="Q85" s="286"/>
      <c r="R85" s="286"/>
    </row>
    <row r="86">
      <c r="A86" s="286"/>
      <c r="B86" s="286"/>
      <c r="C86" s="286"/>
      <c r="D86" s="286"/>
      <c r="E86" s="286"/>
      <c r="F86" s="436"/>
      <c r="G86" s="286"/>
      <c r="H86" s="286"/>
      <c r="I86" s="286"/>
      <c r="J86" s="286"/>
      <c r="K86" s="286"/>
      <c r="L86" s="286"/>
      <c r="M86" s="286"/>
      <c r="N86" s="286"/>
      <c r="O86" s="286"/>
      <c r="P86" s="286"/>
      <c r="Q86" s="286"/>
      <c r="R86" s="286"/>
    </row>
    <row r="87">
      <c r="A87" s="286"/>
      <c r="B87" s="286"/>
      <c r="C87" s="286"/>
      <c r="D87" s="286"/>
      <c r="E87" s="286"/>
      <c r="F87" s="436"/>
      <c r="G87" s="286"/>
      <c r="H87" s="286"/>
      <c r="I87" s="286"/>
      <c r="J87" s="286"/>
      <c r="K87" s="286"/>
      <c r="L87" s="286"/>
      <c r="M87" s="286"/>
      <c r="N87" s="286"/>
      <c r="O87" s="286"/>
      <c r="P87" s="286"/>
      <c r="Q87" s="286"/>
      <c r="R87" s="286"/>
    </row>
    <row r="88">
      <c r="A88" s="286"/>
      <c r="B88" s="286"/>
      <c r="C88" s="286"/>
      <c r="D88" s="286"/>
      <c r="E88" s="286"/>
      <c r="F88" s="436"/>
      <c r="G88" s="286"/>
      <c r="H88" s="286"/>
      <c r="I88" s="286"/>
      <c r="J88" s="286"/>
      <c r="K88" s="286"/>
      <c r="L88" s="286"/>
      <c r="M88" s="286"/>
      <c r="N88" s="286"/>
      <c r="O88" s="286"/>
      <c r="P88" s="286"/>
      <c r="Q88" s="286"/>
      <c r="R88" s="286"/>
    </row>
    <row r="89">
      <c r="A89" s="286"/>
      <c r="B89" s="286"/>
      <c r="C89" s="286"/>
      <c r="D89" s="286"/>
      <c r="E89" s="286"/>
      <c r="F89" s="436"/>
      <c r="G89" s="286"/>
      <c r="H89" s="286"/>
      <c r="I89" s="286"/>
      <c r="J89" s="286"/>
      <c r="K89" s="286"/>
      <c r="L89" s="286"/>
      <c r="M89" s="286"/>
      <c r="N89" s="286"/>
      <c r="O89" s="286"/>
      <c r="P89" s="286"/>
      <c r="Q89" s="286"/>
      <c r="R89" s="286"/>
    </row>
    <row r="90">
      <c r="A90" s="286"/>
      <c r="B90" s="286"/>
      <c r="C90" s="286"/>
      <c r="D90" s="286"/>
      <c r="E90" s="286"/>
      <c r="F90" s="436"/>
      <c r="G90" s="286"/>
      <c r="H90" s="286"/>
      <c r="I90" s="286"/>
      <c r="J90" s="286"/>
      <c r="K90" s="286"/>
      <c r="L90" s="286"/>
      <c r="M90" s="286"/>
      <c r="N90" s="286"/>
      <c r="O90" s="286"/>
      <c r="P90" s="286"/>
      <c r="Q90" s="286"/>
      <c r="R90" s="286"/>
    </row>
    <row r="91">
      <c r="A91" s="286"/>
      <c r="B91" s="286"/>
      <c r="C91" s="286"/>
      <c r="D91" s="286"/>
      <c r="E91" s="286"/>
      <c r="F91" s="436"/>
      <c r="G91" s="286"/>
      <c r="H91" s="286"/>
      <c r="I91" s="286"/>
      <c r="J91" s="286"/>
      <c r="K91" s="286"/>
      <c r="L91" s="286"/>
      <c r="M91" s="286"/>
      <c r="N91" s="286"/>
      <c r="O91" s="286"/>
      <c r="P91" s="286"/>
      <c r="Q91" s="286"/>
      <c r="R91" s="286"/>
    </row>
    <row r="92">
      <c r="A92" s="286"/>
      <c r="B92" s="286"/>
      <c r="C92" s="286"/>
      <c r="D92" s="286"/>
      <c r="E92" s="286"/>
      <c r="F92" s="436"/>
      <c r="G92" s="286"/>
      <c r="H92" s="286"/>
      <c r="I92" s="286"/>
      <c r="J92" s="286"/>
      <c r="K92" s="286"/>
      <c r="L92" s="286"/>
      <c r="M92" s="286"/>
      <c r="N92" s="286"/>
      <c r="O92" s="286"/>
      <c r="P92" s="286"/>
      <c r="Q92" s="286"/>
      <c r="R92" s="286"/>
    </row>
    <row r="93">
      <c r="A93" s="286"/>
      <c r="B93" s="286"/>
      <c r="C93" s="286"/>
      <c r="D93" s="286"/>
      <c r="E93" s="286"/>
      <c r="F93" s="436"/>
      <c r="G93" s="286"/>
      <c r="H93" s="286"/>
      <c r="I93" s="286"/>
      <c r="J93" s="286"/>
      <c r="K93" s="286"/>
      <c r="L93" s="286"/>
      <c r="M93" s="286"/>
      <c r="N93" s="286"/>
      <c r="O93" s="286"/>
      <c r="P93" s="286"/>
      <c r="Q93" s="286"/>
      <c r="R93" s="286"/>
    </row>
    <row r="94">
      <c r="A94" s="286"/>
      <c r="B94" s="286"/>
      <c r="C94" s="286"/>
      <c r="D94" s="286"/>
      <c r="E94" s="286"/>
      <c r="F94" s="436"/>
      <c r="G94" s="286"/>
      <c r="H94" s="286"/>
      <c r="I94" s="286"/>
      <c r="J94" s="286"/>
      <c r="K94" s="286"/>
      <c r="L94" s="286"/>
      <c r="M94" s="286"/>
      <c r="N94" s="286"/>
      <c r="O94" s="286"/>
      <c r="P94" s="286"/>
      <c r="Q94" s="286"/>
      <c r="R94" s="286"/>
    </row>
    <row r="95">
      <c r="A95" s="286"/>
      <c r="B95" s="286"/>
      <c r="C95" s="286"/>
      <c r="D95" s="286"/>
      <c r="E95" s="286"/>
      <c r="F95" s="436"/>
      <c r="G95" s="286"/>
      <c r="H95" s="286"/>
      <c r="I95" s="286"/>
      <c r="J95" s="286"/>
      <c r="K95" s="286"/>
      <c r="L95" s="286"/>
      <c r="M95" s="286"/>
      <c r="N95" s="286"/>
      <c r="O95" s="286"/>
      <c r="P95" s="286"/>
      <c r="Q95" s="286"/>
      <c r="R95" s="286"/>
    </row>
    <row r="96">
      <c r="A96" s="286"/>
      <c r="B96" s="286"/>
      <c r="C96" s="286"/>
      <c r="D96" s="286"/>
      <c r="E96" s="286"/>
      <c r="F96" s="436"/>
      <c r="G96" s="286"/>
      <c r="H96" s="286"/>
      <c r="I96" s="286"/>
      <c r="J96" s="286"/>
      <c r="K96" s="286"/>
      <c r="L96" s="286"/>
      <c r="M96" s="286"/>
      <c r="N96" s="286"/>
      <c r="O96" s="286"/>
      <c r="P96" s="286"/>
      <c r="Q96" s="286"/>
      <c r="R96" s="286"/>
    </row>
    <row r="97">
      <c r="A97" s="286"/>
      <c r="B97" s="286"/>
      <c r="C97" s="286"/>
      <c r="D97" s="286"/>
      <c r="E97" s="286"/>
      <c r="F97" s="436"/>
      <c r="G97" s="286"/>
      <c r="H97" s="286"/>
      <c r="I97" s="286"/>
      <c r="J97" s="286"/>
      <c r="K97" s="286"/>
      <c r="L97" s="286"/>
      <c r="M97" s="286"/>
      <c r="N97" s="286"/>
      <c r="O97" s="286"/>
      <c r="P97" s="286"/>
      <c r="Q97" s="286"/>
      <c r="R97" s="286"/>
    </row>
    <row r="98">
      <c r="A98" s="286"/>
      <c r="B98" s="286"/>
      <c r="C98" s="286"/>
      <c r="D98" s="286"/>
      <c r="E98" s="286"/>
      <c r="F98" s="436"/>
      <c r="G98" s="286"/>
      <c r="H98" s="286"/>
      <c r="I98" s="286"/>
      <c r="J98" s="286"/>
      <c r="K98" s="286"/>
      <c r="L98" s="286"/>
      <c r="M98" s="286"/>
      <c r="N98" s="286"/>
      <c r="O98" s="286"/>
      <c r="P98" s="286"/>
      <c r="Q98" s="286"/>
      <c r="R98" s="286"/>
    </row>
    <row r="99">
      <c r="A99" s="286"/>
      <c r="B99" s="286"/>
      <c r="C99" s="286"/>
      <c r="D99" s="286"/>
      <c r="E99" s="286"/>
      <c r="F99" s="436"/>
      <c r="G99" s="286"/>
      <c r="H99" s="286"/>
      <c r="I99" s="286"/>
      <c r="J99" s="286"/>
      <c r="K99" s="286"/>
      <c r="L99" s="286"/>
      <c r="M99" s="286"/>
      <c r="N99" s="286"/>
      <c r="O99" s="286"/>
      <c r="P99" s="286"/>
      <c r="Q99" s="286"/>
      <c r="R99" s="286"/>
    </row>
    <row r="100">
      <c r="A100" s="286"/>
      <c r="B100" s="286"/>
      <c r="C100" s="286"/>
      <c r="D100" s="286"/>
      <c r="E100" s="286"/>
      <c r="F100" s="436"/>
      <c r="G100" s="286"/>
      <c r="H100" s="286"/>
      <c r="I100" s="286"/>
      <c r="J100" s="286"/>
      <c r="K100" s="286"/>
      <c r="L100" s="286"/>
      <c r="M100" s="286"/>
      <c r="N100" s="286"/>
      <c r="O100" s="286"/>
      <c r="P100" s="286"/>
      <c r="Q100" s="286"/>
      <c r="R100" s="286"/>
    </row>
    <row r="101">
      <c r="A101" s="286"/>
      <c r="B101" s="286"/>
      <c r="C101" s="286"/>
      <c r="D101" s="286"/>
      <c r="E101" s="286"/>
      <c r="F101" s="436"/>
      <c r="G101" s="286"/>
      <c r="H101" s="286"/>
      <c r="I101" s="286"/>
      <c r="J101" s="286"/>
      <c r="K101" s="286"/>
      <c r="L101" s="286"/>
      <c r="M101" s="286"/>
      <c r="N101" s="286"/>
      <c r="O101" s="286"/>
      <c r="P101" s="286"/>
      <c r="Q101" s="286"/>
      <c r="R101" s="286"/>
    </row>
    <row r="102">
      <c r="A102" s="286"/>
      <c r="B102" s="286"/>
      <c r="C102" s="286"/>
      <c r="D102" s="286"/>
      <c r="E102" s="286"/>
      <c r="F102" s="436"/>
      <c r="G102" s="286"/>
      <c r="H102" s="286"/>
      <c r="I102" s="286"/>
      <c r="J102" s="286"/>
      <c r="K102" s="286"/>
      <c r="L102" s="286"/>
      <c r="M102" s="286"/>
      <c r="N102" s="286"/>
      <c r="O102" s="286"/>
      <c r="P102" s="286"/>
      <c r="Q102" s="286"/>
      <c r="R102" s="286"/>
    </row>
    <row r="103">
      <c r="A103" s="286"/>
      <c r="B103" s="286"/>
      <c r="C103" s="286"/>
      <c r="D103" s="286"/>
      <c r="E103" s="286"/>
      <c r="F103" s="436"/>
      <c r="G103" s="286"/>
      <c r="H103" s="286"/>
      <c r="I103" s="286"/>
      <c r="J103" s="286"/>
      <c r="K103" s="286"/>
      <c r="L103" s="286"/>
      <c r="M103" s="286"/>
      <c r="N103" s="286"/>
      <c r="O103" s="286"/>
      <c r="P103" s="286"/>
      <c r="Q103" s="286"/>
      <c r="R103" s="286"/>
    </row>
    <row r="104">
      <c r="A104" s="286"/>
      <c r="B104" s="286"/>
      <c r="C104" s="286"/>
      <c r="D104" s="286"/>
      <c r="E104" s="286"/>
      <c r="F104" s="436"/>
      <c r="G104" s="286"/>
      <c r="H104" s="286"/>
      <c r="I104" s="286"/>
      <c r="J104" s="286"/>
      <c r="K104" s="286"/>
      <c r="L104" s="286"/>
      <c r="M104" s="286"/>
      <c r="N104" s="286"/>
      <c r="O104" s="286"/>
      <c r="P104" s="286"/>
      <c r="Q104" s="286"/>
      <c r="R104" s="286"/>
    </row>
    <row r="105">
      <c r="A105" s="286"/>
      <c r="B105" s="286"/>
      <c r="C105" s="286"/>
      <c r="D105" s="286"/>
      <c r="E105" s="286"/>
      <c r="F105" s="436"/>
      <c r="G105" s="286"/>
      <c r="H105" s="286"/>
      <c r="I105" s="286"/>
      <c r="J105" s="286"/>
      <c r="K105" s="286"/>
      <c r="L105" s="286"/>
      <c r="M105" s="286"/>
      <c r="N105" s="286"/>
      <c r="O105" s="286"/>
      <c r="P105" s="286"/>
      <c r="Q105" s="286"/>
      <c r="R105" s="286"/>
    </row>
    <row r="106">
      <c r="A106" s="286"/>
      <c r="B106" s="286"/>
      <c r="C106" s="286"/>
      <c r="D106" s="286"/>
      <c r="E106" s="286"/>
      <c r="F106" s="436"/>
      <c r="G106" s="286"/>
      <c r="H106" s="286"/>
      <c r="I106" s="286"/>
      <c r="J106" s="286"/>
      <c r="K106" s="286"/>
      <c r="L106" s="286"/>
      <c r="M106" s="286"/>
      <c r="N106" s="286"/>
      <c r="O106" s="286"/>
      <c r="P106" s="286"/>
      <c r="Q106" s="286"/>
      <c r="R106" s="286"/>
    </row>
    <row r="107">
      <c r="A107" s="286"/>
      <c r="B107" s="286"/>
      <c r="C107" s="286"/>
      <c r="D107" s="286"/>
      <c r="E107" s="286"/>
      <c r="F107" s="436"/>
      <c r="G107" s="286"/>
      <c r="H107" s="286"/>
      <c r="I107" s="286"/>
      <c r="J107" s="286"/>
      <c r="K107" s="286"/>
      <c r="L107" s="286"/>
      <c r="M107" s="286"/>
      <c r="N107" s="286"/>
      <c r="O107" s="286"/>
      <c r="P107" s="286"/>
      <c r="Q107" s="286"/>
      <c r="R107" s="286"/>
    </row>
    <row r="108">
      <c r="A108" s="286"/>
      <c r="B108" s="286"/>
      <c r="C108" s="286"/>
      <c r="D108" s="286"/>
      <c r="E108" s="286"/>
      <c r="F108" s="436"/>
      <c r="G108" s="286"/>
      <c r="H108" s="286"/>
      <c r="I108" s="286"/>
      <c r="J108" s="286"/>
      <c r="K108" s="286"/>
      <c r="L108" s="286"/>
      <c r="M108" s="286"/>
      <c r="N108" s="286"/>
      <c r="O108" s="286"/>
      <c r="P108" s="286"/>
      <c r="Q108" s="286"/>
      <c r="R108" s="286"/>
    </row>
    <row r="109">
      <c r="A109" s="286"/>
      <c r="B109" s="286"/>
      <c r="C109" s="286"/>
      <c r="D109" s="286"/>
      <c r="E109" s="286"/>
      <c r="F109" s="436"/>
      <c r="G109" s="286"/>
      <c r="H109" s="286"/>
      <c r="I109" s="286"/>
      <c r="J109" s="286"/>
      <c r="K109" s="286"/>
      <c r="L109" s="286"/>
      <c r="M109" s="286"/>
      <c r="N109" s="286"/>
      <c r="O109" s="286"/>
      <c r="P109" s="286"/>
      <c r="Q109" s="286"/>
      <c r="R109" s="286"/>
    </row>
    <row r="110">
      <c r="A110" s="286"/>
      <c r="B110" s="286"/>
      <c r="C110" s="286"/>
      <c r="D110" s="286"/>
      <c r="E110" s="286"/>
      <c r="F110" s="436"/>
      <c r="G110" s="286"/>
      <c r="H110" s="286"/>
      <c r="I110" s="286"/>
      <c r="J110" s="286"/>
      <c r="K110" s="286"/>
      <c r="L110" s="286"/>
      <c r="M110" s="286"/>
      <c r="N110" s="286"/>
      <c r="O110" s="286"/>
      <c r="P110" s="286"/>
      <c r="Q110" s="286"/>
      <c r="R110" s="286"/>
    </row>
    <row r="111">
      <c r="A111" s="286"/>
      <c r="B111" s="286"/>
      <c r="C111" s="286"/>
      <c r="D111" s="286"/>
      <c r="E111" s="286"/>
      <c r="F111" s="436"/>
      <c r="G111" s="286"/>
      <c r="H111" s="286"/>
      <c r="I111" s="286"/>
      <c r="J111" s="286"/>
      <c r="K111" s="286"/>
      <c r="L111" s="286"/>
      <c r="M111" s="286"/>
      <c r="N111" s="286"/>
      <c r="O111" s="286"/>
      <c r="P111" s="286"/>
      <c r="Q111" s="286"/>
      <c r="R111" s="286"/>
    </row>
    <row r="112">
      <c r="A112" s="286"/>
      <c r="B112" s="286"/>
      <c r="C112" s="286"/>
      <c r="D112" s="286"/>
      <c r="E112" s="286"/>
      <c r="F112" s="436"/>
      <c r="G112" s="286"/>
      <c r="H112" s="286"/>
      <c r="I112" s="286"/>
      <c r="J112" s="286"/>
      <c r="K112" s="286"/>
      <c r="L112" s="286"/>
      <c r="M112" s="286"/>
      <c r="N112" s="286"/>
      <c r="O112" s="286"/>
      <c r="P112" s="286"/>
      <c r="Q112" s="286"/>
      <c r="R112" s="286"/>
    </row>
    <row r="113">
      <c r="A113" s="286"/>
      <c r="B113" s="286"/>
      <c r="C113" s="286"/>
      <c r="D113" s="286"/>
      <c r="E113" s="286"/>
      <c r="F113" s="436"/>
      <c r="G113" s="286"/>
      <c r="H113" s="286"/>
      <c r="I113" s="286"/>
      <c r="J113" s="286"/>
      <c r="K113" s="286"/>
      <c r="L113" s="286"/>
      <c r="M113" s="286"/>
      <c r="N113" s="286"/>
      <c r="O113" s="286"/>
      <c r="P113" s="286"/>
      <c r="Q113" s="286"/>
      <c r="R113" s="286"/>
    </row>
    <row r="114">
      <c r="A114" s="286"/>
      <c r="B114" s="286"/>
      <c r="C114" s="286"/>
      <c r="D114" s="286"/>
      <c r="E114" s="286"/>
      <c r="F114" s="436"/>
      <c r="G114" s="286"/>
      <c r="H114" s="286"/>
      <c r="I114" s="286"/>
      <c r="J114" s="286"/>
      <c r="K114" s="286"/>
      <c r="L114" s="286"/>
      <c r="M114" s="286"/>
      <c r="N114" s="286"/>
      <c r="O114" s="286"/>
      <c r="P114" s="286"/>
      <c r="Q114" s="286"/>
      <c r="R114" s="286"/>
    </row>
    <row r="115">
      <c r="A115" s="286"/>
      <c r="B115" s="286"/>
      <c r="C115" s="286"/>
      <c r="D115" s="286"/>
      <c r="E115" s="286"/>
      <c r="F115" s="436"/>
      <c r="G115" s="286"/>
      <c r="H115" s="286"/>
      <c r="I115" s="286"/>
      <c r="J115" s="286"/>
      <c r="K115" s="286"/>
      <c r="L115" s="286"/>
      <c r="M115" s="286"/>
      <c r="N115" s="286"/>
      <c r="O115" s="286"/>
      <c r="P115" s="286"/>
      <c r="Q115" s="286"/>
      <c r="R115" s="286"/>
    </row>
    <row r="116">
      <c r="A116" s="286"/>
      <c r="B116" s="286"/>
      <c r="C116" s="286"/>
      <c r="D116" s="286"/>
      <c r="E116" s="286"/>
      <c r="F116" s="436"/>
      <c r="G116" s="286"/>
      <c r="H116" s="286"/>
      <c r="I116" s="286"/>
      <c r="J116" s="286"/>
      <c r="K116" s="286"/>
      <c r="L116" s="286"/>
      <c r="M116" s="286"/>
      <c r="N116" s="286"/>
      <c r="O116" s="286"/>
      <c r="P116" s="286"/>
      <c r="Q116" s="286"/>
      <c r="R116" s="286"/>
    </row>
    <row r="117">
      <c r="A117" s="286"/>
      <c r="B117" s="286"/>
      <c r="C117" s="286"/>
      <c r="D117" s="286"/>
      <c r="E117" s="286"/>
      <c r="F117" s="436"/>
      <c r="G117" s="286"/>
      <c r="H117" s="286"/>
      <c r="I117" s="286"/>
      <c r="J117" s="286"/>
      <c r="K117" s="286"/>
      <c r="L117" s="286"/>
      <c r="M117" s="286"/>
      <c r="N117" s="286"/>
      <c r="O117" s="286"/>
      <c r="P117" s="286"/>
      <c r="Q117" s="286"/>
      <c r="R117" s="286"/>
    </row>
    <row r="118">
      <c r="A118" s="286"/>
      <c r="B118" s="286"/>
      <c r="C118" s="286"/>
      <c r="D118" s="286"/>
      <c r="E118" s="286"/>
      <c r="F118" s="436"/>
      <c r="G118" s="286"/>
      <c r="H118" s="286"/>
      <c r="I118" s="286"/>
      <c r="J118" s="286"/>
      <c r="K118" s="286"/>
      <c r="L118" s="286"/>
      <c r="M118" s="286"/>
      <c r="N118" s="286"/>
      <c r="O118" s="286"/>
      <c r="P118" s="286"/>
      <c r="Q118" s="286"/>
      <c r="R118" s="286"/>
    </row>
    <row r="119">
      <c r="A119" s="286"/>
      <c r="B119" s="286"/>
      <c r="C119" s="286"/>
      <c r="D119" s="286"/>
      <c r="E119" s="286"/>
      <c r="F119" s="436"/>
      <c r="G119" s="286"/>
      <c r="H119" s="286"/>
      <c r="I119" s="286"/>
      <c r="J119" s="286"/>
      <c r="K119" s="286"/>
      <c r="L119" s="286"/>
      <c r="M119" s="286"/>
      <c r="N119" s="286"/>
      <c r="O119" s="286"/>
      <c r="P119" s="286"/>
      <c r="Q119" s="286"/>
      <c r="R119" s="286"/>
    </row>
    <row r="120">
      <c r="A120" s="286"/>
      <c r="B120" s="286"/>
      <c r="C120" s="286"/>
      <c r="D120" s="286"/>
      <c r="E120" s="286"/>
      <c r="F120" s="436"/>
      <c r="G120" s="286"/>
      <c r="H120" s="286"/>
      <c r="I120" s="286"/>
      <c r="J120" s="286"/>
      <c r="K120" s="286"/>
      <c r="L120" s="286"/>
      <c r="M120" s="286"/>
      <c r="N120" s="286"/>
      <c r="O120" s="286"/>
      <c r="P120" s="286"/>
      <c r="Q120" s="286"/>
      <c r="R120" s="286"/>
    </row>
    <row r="121">
      <c r="A121" s="286"/>
      <c r="B121" s="286"/>
      <c r="C121" s="286"/>
      <c r="D121" s="286"/>
      <c r="E121" s="286"/>
      <c r="F121" s="436"/>
      <c r="G121" s="286"/>
      <c r="H121" s="286"/>
      <c r="I121" s="286"/>
      <c r="J121" s="286"/>
      <c r="K121" s="286"/>
      <c r="L121" s="286"/>
      <c r="M121" s="286"/>
      <c r="N121" s="286"/>
      <c r="O121" s="286"/>
      <c r="P121" s="286"/>
      <c r="Q121" s="286"/>
      <c r="R121" s="286"/>
    </row>
    <row r="122">
      <c r="A122" s="286"/>
      <c r="B122" s="286"/>
      <c r="C122" s="286"/>
      <c r="D122" s="286"/>
      <c r="E122" s="286"/>
      <c r="F122" s="436"/>
      <c r="G122" s="286"/>
      <c r="H122" s="286"/>
      <c r="I122" s="286"/>
      <c r="J122" s="286"/>
      <c r="K122" s="286"/>
      <c r="L122" s="286"/>
      <c r="M122" s="286"/>
      <c r="N122" s="286"/>
      <c r="O122" s="286"/>
      <c r="P122" s="286"/>
      <c r="Q122" s="286"/>
      <c r="R122" s="286"/>
    </row>
    <row r="123">
      <c r="A123" s="286"/>
      <c r="B123" s="286"/>
      <c r="C123" s="286"/>
      <c r="D123" s="286"/>
      <c r="E123" s="286"/>
      <c r="F123" s="436"/>
      <c r="G123" s="286"/>
      <c r="H123" s="286"/>
      <c r="I123" s="286"/>
      <c r="J123" s="286"/>
      <c r="K123" s="286"/>
      <c r="L123" s="286"/>
      <c r="M123" s="286"/>
      <c r="N123" s="286"/>
      <c r="O123" s="286"/>
      <c r="P123" s="286"/>
      <c r="Q123" s="286"/>
      <c r="R123" s="286"/>
    </row>
    <row r="124">
      <c r="A124" s="286"/>
      <c r="B124" s="286"/>
      <c r="C124" s="286"/>
      <c r="D124" s="286"/>
      <c r="E124" s="286"/>
      <c r="F124" s="436"/>
      <c r="G124" s="286"/>
      <c r="H124" s="286"/>
      <c r="I124" s="286"/>
      <c r="J124" s="286"/>
      <c r="K124" s="286"/>
      <c r="L124" s="286"/>
      <c r="M124" s="286"/>
      <c r="N124" s="286"/>
      <c r="O124" s="286"/>
      <c r="P124" s="286"/>
      <c r="Q124" s="286"/>
      <c r="R124" s="286"/>
    </row>
    <row r="125">
      <c r="A125" s="286"/>
      <c r="B125" s="286"/>
      <c r="C125" s="286"/>
      <c r="D125" s="286"/>
      <c r="E125" s="286"/>
      <c r="F125" s="436"/>
      <c r="G125" s="286"/>
      <c r="H125" s="286"/>
      <c r="I125" s="286"/>
      <c r="J125" s="286"/>
      <c r="K125" s="286"/>
      <c r="L125" s="286"/>
      <c r="M125" s="286"/>
      <c r="N125" s="286"/>
      <c r="O125" s="286"/>
      <c r="P125" s="286"/>
      <c r="Q125" s="286"/>
      <c r="R125" s="286"/>
    </row>
    <row r="126">
      <c r="A126" s="286"/>
      <c r="B126" s="286"/>
      <c r="C126" s="286"/>
      <c r="D126" s="286"/>
      <c r="E126" s="286"/>
      <c r="F126" s="436"/>
      <c r="G126" s="286"/>
      <c r="H126" s="286"/>
      <c r="I126" s="286"/>
      <c r="J126" s="286"/>
      <c r="K126" s="286"/>
      <c r="L126" s="286"/>
      <c r="M126" s="286"/>
      <c r="N126" s="286"/>
      <c r="O126" s="286"/>
      <c r="P126" s="286"/>
      <c r="Q126" s="286"/>
      <c r="R126" s="286"/>
    </row>
    <row r="127">
      <c r="A127" s="286"/>
      <c r="B127" s="286"/>
      <c r="C127" s="286"/>
      <c r="D127" s="286"/>
      <c r="E127" s="286"/>
      <c r="F127" s="436"/>
      <c r="G127" s="286"/>
      <c r="H127" s="286"/>
      <c r="I127" s="286"/>
      <c r="J127" s="286"/>
      <c r="K127" s="286"/>
      <c r="L127" s="286"/>
      <c r="M127" s="286"/>
      <c r="N127" s="286"/>
      <c r="O127" s="286"/>
      <c r="P127" s="286"/>
      <c r="Q127" s="286"/>
      <c r="R127" s="286"/>
    </row>
    <row r="128">
      <c r="A128" s="286"/>
      <c r="B128" s="286"/>
      <c r="C128" s="286"/>
      <c r="D128" s="286"/>
      <c r="E128" s="286"/>
      <c r="F128" s="436"/>
      <c r="G128" s="286"/>
      <c r="H128" s="286"/>
      <c r="I128" s="286"/>
      <c r="J128" s="286"/>
      <c r="K128" s="286"/>
      <c r="L128" s="286"/>
      <c r="M128" s="286"/>
      <c r="N128" s="286"/>
      <c r="O128" s="286"/>
      <c r="P128" s="286"/>
      <c r="Q128" s="286"/>
      <c r="R128" s="286"/>
    </row>
    <row r="129">
      <c r="A129" s="286"/>
      <c r="B129" s="286"/>
      <c r="C129" s="286"/>
      <c r="D129" s="286"/>
      <c r="E129" s="286"/>
      <c r="F129" s="436"/>
      <c r="G129" s="286"/>
      <c r="H129" s="286"/>
      <c r="I129" s="286"/>
      <c r="J129" s="286"/>
      <c r="K129" s="286"/>
      <c r="L129" s="286"/>
      <c r="M129" s="286"/>
      <c r="N129" s="286"/>
      <c r="O129" s="286"/>
      <c r="P129" s="286"/>
      <c r="Q129" s="286"/>
      <c r="R129" s="286"/>
    </row>
    <row r="130">
      <c r="A130" s="286"/>
      <c r="B130" s="286"/>
      <c r="C130" s="286"/>
      <c r="D130" s="286"/>
      <c r="E130" s="286"/>
      <c r="F130" s="436"/>
      <c r="G130" s="286"/>
      <c r="H130" s="286"/>
      <c r="I130" s="286"/>
      <c r="J130" s="286"/>
      <c r="K130" s="286"/>
      <c r="L130" s="286"/>
      <c r="M130" s="286"/>
      <c r="N130" s="286"/>
      <c r="O130" s="286"/>
      <c r="P130" s="286"/>
      <c r="Q130" s="286"/>
      <c r="R130" s="286"/>
    </row>
    <row r="131">
      <c r="A131" s="286"/>
      <c r="B131" s="286"/>
      <c r="C131" s="286"/>
      <c r="D131" s="286"/>
      <c r="E131" s="286"/>
      <c r="F131" s="436"/>
      <c r="G131" s="286"/>
      <c r="H131" s="286"/>
      <c r="I131" s="286"/>
      <c r="J131" s="286"/>
      <c r="K131" s="286"/>
      <c r="L131" s="286"/>
      <c r="M131" s="286"/>
      <c r="N131" s="286"/>
      <c r="O131" s="286"/>
      <c r="P131" s="286"/>
      <c r="Q131" s="286"/>
      <c r="R131" s="286"/>
    </row>
    <row r="132">
      <c r="A132" s="286"/>
      <c r="B132" s="286"/>
      <c r="C132" s="286"/>
      <c r="D132" s="286"/>
      <c r="E132" s="286"/>
      <c r="F132" s="436"/>
      <c r="G132" s="286"/>
      <c r="H132" s="286"/>
      <c r="I132" s="286"/>
      <c r="J132" s="286"/>
      <c r="K132" s="286"/>
      <c r="L132" s="286"/>
      <c r="M132" s="286"/>
      <c r="N132" s="286"/>
      <c r="O132" s="286"/>
      <c r="P132" s="286"/>
      <c r="Q132" s="286"/>
      <c r="R132" s="286"/>
    </row>
    <row r="133">
      <c r="A133" s="286"/>
      <c r="B133" s="286"/>
      <c r="C133" s="286"/>
      <c r="D133" s="286"/>
      <c r="E133" s="286"/>
      <c r="F133" s="436"/>
      <c r="G133" s="286"/>
      <c r="H133" s="286"/>
      <c r="I133" s="286"/>
      <c r="J133" s="286"/>
      <c r="K133" s="286"/>
      <c r="L133" s="286"/>
      <c r="M133" s="286"/>
      <c r="N133" s="286"/>
      <c r="O133" s="286"/>
      <c r="P133" s="286"/>
      <c r="Q133" s="286"/>
      <c r="R133" s="286"/>
    </row>
    <row r="134">
      <c r="A134" s="286"/>
      <c r="B134" s="286"/>
      <c r="C134" s="286"/>
      <c r="D134" s="286"/>
      <c r="E134" s="286"/>
      <c r="F134" s="436"/>
      <c r="G134" s="286"/>
      <c r="H134" s="286"/>
      <c r="I134" s="286"/>
      <c r="J134" s="286"/>
      <c r="K134" s="286"/>
      <c r="L134" s="286"/>
      <c r="M134" s="286"/>
      <c r="N134" s="286"/>
      <c r="O134" s="286"/>
      <c r="P134" s="286"/>
      <c r="Q134" s="286"/>
      <c r="R134" s="286"/>
    </row>
    <row r="135">
      <c r="A135" s="286"/>
      <c r="B135" s="286"/>
      <c r="C135" s="286"/>
      <c r="D135" s="286"/>
      <c r="E135" s="286"/>
      <c r="F135" s="436"/>
      <c r="G135" s="286"/>
      <c r="H135" s="286"/>
      <c r="I135" s="286"/>
      <c r="J135" s="286"/>
      <c r="K135" s="286"/>
      <c r="L135" s="286"/>
      <c r="M135" s="286"/>
      <c r="N135" s="286"/>
      <c r="O135" s="286"/>
      <c r="P135" s="286"/>
      <c r="Q135" s="286"/>
      <c r="R135" s="286"/>
    </row>
    <row r="136">
      <c r="A136" s="286"/>
      <c r="B136" s="286"/>
      <c r="C136" s="286"/>
      <c r="D136" s="286"/>
      <c r="E136" s="286"/>
      <c r="F136" s="436"/>
      <c r="G136" s="286"/>
      <c r="H136" s="286"/>
      <c r="I136" s="286"/>
      <c r="J136" s="286"/>
      <c r="K136" s="286"/>
      <c r="L136" s="286"/>
      <c r="M136" s="286"/>
      <c r="N136" s="286"/>
      <c r="O136" s="286"/>
      <c r="P136" s="286"/>
      <c r="Q136" s="286"/>
      <c r="R136" s="286"/>
    </row>
    <row r="137">
      <c r="A137" s="286"/>
      <c r="B137" s="286"/>
      <c r="C137" s="286"/>
      <c r="D137" s="286"/>
      <c r="E137" s="286"/>
      <c r="F137" s="436"/>
      <c r="G137" s="286"/>
      <c r="H137" s="286"/>
      <c r="I137" s="286"/>
      <c r="J137" s="286"/>
      <c r="K137" s="286"/>
      <c r="L137" s="286"/>
      <c r="M137" s="286"/>
      <c r="N137" s="286"/>
      <c r="O137" s="286"/>
      <c r="P137" s="286"/>
      <c r="Q137" s="286"/>
      <c r="R137" s="286"/>
    </row>
    <row r="138">
      <c r="A138" s="286"/>
      <c r="B138" s="286"/>
      <c r="C138" s="286"/>
      <c r="D138" s="286"/>
      <c r="E138" s="286"/>
      <c r="F138" s="436"/>
      <c r="G138" s="286"/>
      <c r="H138" s="286"/>
      <c r="I138" s="286"/>
      <c r="J138" s="286"/>
      <c r="K138" s="286"/>
      <c r="L138" s="286"/>
      <c r="M138" s="286"/>
      <c r="N138" s="286"/>
      <c r="O138" s="286"/>
      <c r="P138" s="286"/>
      <c r="Q138" s="286"/>
      <c r="R138" s="286"/>
    </row>
    <row r="139">
      <c r="A139" s="286"/>
      <c r="B139" s="286"/>
      <c r="C139" s="286"/>
      <c r="D139" s="286"/>
      <c r="E139" s="286"/>
      <c r="F139" s="436"/>
      <c r="G139" s="286"/>
      <c r="H139" s="286"/>
      <c r="I139" s="286"/>
      <c r="J139" s="286"/>
      <c r="K139" s="286"/>
      <c r="L139" s="286"/>
      <c r="M139" s="286"/>
      <c r="N139" s="286"/>
      <c r="O139" s="286"/>
      <c r="P139" s="286"/>
      <c r="Q139" s="286"/>
      <c r="R139" s="286"/>
    </row>
    <row r="140">
      <c r="A140" s="286"/>
      <c r="B140" s="286"/>
      <c r="C140" s="286"/>
      <c r="D140" s="286"/>
      <c r="E140" s="286"/>
      <c r="F140" s="436"/>
      <c r="G140" s="286"/>
      <c r="H140" s="286"/>
      <c r="I140" s="286"/>
      <c r="J140" s="286"/>
      <c r="K140" s="286"/>
      <c r="L140" s="286"/>
      <c r="M140" s="286"/>
      <c r="N140" s="286"/>
      <c r="O140" s="286"/>
      <c r="P140" s="286"/>
      <c r="Q140" s="286"/>
      <c r="R140" s="286"/>
    </row>
    <row r="141">
      <c r="A141" s="286"/>
      <c r="B141" s="286"/>
      <c r="C141" s="286"/>
      <c r="D141" s="286"/>
      <c r="E141" s="286"/>
      <c r="F141" s="436"/>
      <c r="G141" s="286"/>
      <c r="H141" s="286"/>
      <c r="I141" s="286"/>
      <c r="J141" s="286"/>
      <c r="K141" s="286"/>
      <c r="L141" s="286"/>
      <c r="M141" s="286"/>
      <c r="N141" s="286"/>
      <c r="O141" s="286"/>
      <c r="P141" s="286"/>
      <c r="Q141" s="286"/>
      <c r="R141" s="286"/>
    </row>
    <row r="142">
      <c r="A142" s="286"/>
      <c r="B142" s="286"/>
      <c r="C142" s="286"/>
      <c r="D142" s="286"/>
      <c r="E142" s="286"/>
      <c r="F142" s="436"/>
      <c r="G142" s="286"/>
      <c r="H142" s="286"/>
      <c r="I142" s="286"/>
      <c r="J142" s="286"/>
      <c r="K142" s="286"/>
      <c r="L142" s="286"/>
      <c r="M142" s="286"/>
      <c r="N142" s="286"/>
      <c r="O142" s="286"/>
      <c r="P142" s="286"/>
      <c r="Q142" s="286"/>
      <c r="R142" s="286"/>
    </row>
    <row r="143">
      <c r="A143" s="286"/>
      <c r="B143" s="286"/>
      <c r="C143" s="286"/>
      <c r="D143" s="286"/>
      <c r="E143" s="286"/>
      <c r="F143" s="436"/>
      <c r="G143" s="286"/>
      <c r="H143" s="286"/>
      <c r="I143" s="286"/>
      <c r="J143" s="286"/>
      <c r="K143" s="286"/>
      <c r="L143" s="286"/>
      <c r="M143" s="286"/>
      <c r="N143" s="286"/>
      <c r="O143" s="286"/>
      <c r="P143" s="286"/>
      <c r="Q143" s="286"/>
      <c r="R143" s="286"/>
    </row>
    <row r="144">
      <c r="A144" s="286"/>
      <c r="B144" s="286"/>
      <c r="C144" s="286"/>
      <c r="D144" s="286"/>
      <c r="E144" s="286"/>
      <c r="F144" s="436"/>
      <c r="G144" s="286"/>
      <c r="H144" s="286"/>
      <c r="I144" s="286"/>
      <c r="J144" s="286"/>
      <c r="K144" s="286"/>
      <c r="L144" s="286"/>
      <c r="M144" s="286"/>
      <c r="N144" s="286"/>
      <c r="O144" s="286"/>
      <c r="P144" s="286"/>
      <c r="Q144" s="286"/>
      <c r="R144" s="286"/>
    </row>
    <row r="145">
      <c r="A145" s="286"/>
      <c r="B145" s="286"/>
      <c r="C145" s="286"/>
      <c r="D145" s="286"/>
      <c r="E145" s="286"/>
      <c r="F145" s="436"/>
      <c r="G145" s="286"/>
      <c r="H145" s="286"/>
      <c r="I145" s="286"/>
      <c r="J145" s="286"/>
      <c r="K145" s="286"/>
      <c r="L145" s="286"/>
      <c r="M145" s="286"/>
      <c r="N145" s="286"/>
      <c r="O145" s="286"/>
      <c r="P145" s="286"/>
      <c r="Q145" s="286"/>
      <c r="R145" s="286"/>
    </row>
    <row r="146">
      <c r="A146" s="286"/>
      <c r="B146" s="286"/>
      <c r="C146" s="286"/>
      <c r="D146" s="286"/>
      <c r="E146" s="286"/>
      <c r="F146" s="436"/>
      <c r="G146" s="286"/>
      <c r="H146" s="286"/>
      <c r="I146" s="286"/>
      <c r="J146" s="286"/>
      <c r="K146" s="286"/>
      <c r="L146" s="286"/>
      <c r="M146" s="286"/>
      <c r="N146" s="286"/>
      <c r="O146" s="286"/>
      <c r="P146" s="286"/>
      <c r="Q146" s="286"/>
      <c r="R146" s="286"/>
    </row>
    <row r="147">
      <c r="A147" s="286"/>
      <c r="B147" s="286"/>
      <c r="C147" s="286"/>
      <c r="D147" s="286"/>
      <c r="E147" s="286"/>
      <c r="F147" s="436"/>
      <c r="G147" s="286"/>
      <c r="H147" s="286"/>
      <c r="I147" s="286"/>
      <c r="J147" s="286"/>
      <c r="K147" s="286"/>
      <c r="L147" s="286"/>
      <c r="M147" s="286"/>
      <c r="N147" s="286"/>
      <c r="O147" s="286"/>
      <c r="P147" s="286"/>
      <c r="Q147" s="286"/>
      <c r="R147" s="286"/>
    </row>
    <row r="148">
      <c r="A148" s="286"/>
      <c r="B148" s="286"/>
      <c r="C148" s="286"/>
      <c r="D148" s="286"/>
      <c r="E148" s="286"/>
      <c r="F148" s="436"/>
      <c r="G148" s="286"/>
      <c r="H148" s="286"/>
      <c r="I148" s="286"/>
      <c r="J148" s="286"/>
      <c r="K148" s="286"/>
      <c r="L148" s="286"/>
      <c r="M148" s="286"/>
      <c r="N148" s="286"/>
      <c r="O148" s="286"/>
      <c r="P148" s="286"/>
      <c r="Q148" s="286"/>
      <c r="R148" s="286"/>
    </row>
    <row r="149">
      <c r="A149" s="286"/>
      <c r="B149" s="286"/>
      <c r="C149" s="286"/>
      <c r="D149" s="286"/>
      <c r="E149" s="286"/>
      <c r="F149" s="436"/>
      <c r="G149" s="286"/>
      <c r="H149" s="286"/>
      <c r="I149" s="286"/>
      <c r="J149" s="286"/>
      <c r="K149" s="286"/>
      <c r="L149" s="286"/>
      <c r="M149" s="286"/>
      <c r="N149" s="286"/>
      <c r="O149" s="286"/>
      <c r="P149" s="286"/>
      <c r="Q149" s="286"/>
      <c r="R149" s="286"/>
    </row>
    <row r="150">
      <c r="A150" s="286"/>
      <c r="B150" s="286"/>
      <c r="C150" s="286"/>
      <c r="D150" s="286"/>
      <c r="E150" s="286"/>
      <c r="F150" s="436"/>
      <c r="G150" s="286"/>
      <c r="H150" s="286"/>
      <c r="I150" s="286"/>
      <c r="J150" s="286"/>
      <c r="K150" s="286"/>
      <c r="L150" s="286"/>
      <c r="M150" s="286"/>
      <c r="N150" s="286"/>
      <c r="O150" s="286"/>
      <c r="P150" s="286"/>
      <c r="Q150" s="286"/>
      <c r="R150" s="286"/>
    </row>
    <row r="151">
      <c r="A151" s="286"/>
      <c r="B151" s="286"/>
      <c r="C151" s="286"/>
      <c r="D151" s="286"/>
      <c r="E151" s="286"/>
      <c r="F151" s="436"/>
      <c r="G151" s="286"/>
      <c r="H151" s="286"/>
      <c r="I151" s="286"/>
      <c r="J151" s="286"/>
      <c r="K151" s="286"/>
      <c r="L151" s="286"/>
      <c r="M151" s="286"/>
      <c r="N151" s="286"/>
      <c r="O151" s="286"/>
      <c r="P151" s="286"/>
      <c r="Q151" s="286"/>
      <c r="R151" s="286"/>
    </row>
    <row r="152">
      <c r="A152" s="286"/>
      <c r="B152" s="286"/>
      <c r="C152" s="286"/>
      <c r="D152" s="286"/>
      <c r="E152" s="286"/>
      <c r="F152" s="436"/>
      <c r="G152" s="286"/>
      <c r="H152" s="286"/>
      <c r="I152" s="286"/>
      <c r="J152" s="286"/>
      <c r="K152" s="286"/>
      <c r="L152" s="286"/>
      <c r="M152" s="286"/>
      <c r="N152" s="286"/>
      <c r="O152" s="286"/>
      <c r="P152" s="286"/>
      <c r="Q152" s="286"/>
      <c r="R152" s="286"/>
    </row>
    <row r="153">
      <c r="A153" s="286"/>
      <c r="B153" s="286"/>
      <c r="C153" s="286"/>
      <c r="D153" s="286"/>
      <c r="E153" s="286"/>
      <c r="F153" s="436"/>
      <c r="G153" s="286"/>
      <c r="H153" s="286"/>
      <c r="I153" s="286"/>
      <c r="J153" s="286"/>
      <c r="K153" s="286"/>
      <c r="L153" s="286"/>
      <c r="M153" s="286"/>
      <c r="N153" s="286"/>
      <c r="O153" s="286"/>
      <c r="P153" s="286"/>
      <c r="Q153" s="286"/>
      <c r="R153" s="286"/>
    </row>
    <row r="154">
      <c r="A154" s="286"/>
      <c r="B154" s="286"/>
      <c r="C154" s="286"/>
      <c r="D154" s="286"/>
      <c r="E154" s="286"/>
      <c r="F154" s="436"/>
      <c r="G154" s="286"/>
      <c r="H154" s="286"/>
      <c r="I154" s="286"/>
      <c r="J154" s="286"/>
      <c r="K154" s="286"/>
      <c r="L154" s="286"/>
      <c r="M154" s="286"/>
      <c r="N154" s="286"/>
      <c r="O154" s="286"/>
      <c r="P154" s="286"/>
      <c r="Q154" s="286"/>
      <c r="R154" s="286"/>
    </row>
    <row r="155">
      <c r="A155" s="286"/>
      <c r="B155" s="286"/>
      <c r="C155" s="286"/>
      <c r="D155" s="286"/>
      <c r="E155" s="286"/>
      <c r="F155" s="436"/>
      <c r="G155" s="286"/>
      <c r="H155" s="286"/>
      <c r="I155" s="286"/>
      <c r="J155" s="286"/>
      <c r="K155" s="286"/>
      <c r="L155" s="286"/>
      <c r="M155" s="286"/>
      <c r="N155" s="286"/>
      <c r="O155" s="286"/>
      <c r="P155" s="286"/>
      <c r="Q155" s="286"/>
      <c r="R155" s="286"/>
    </row>
    <row r="156">
      <c r="A156" s="286"/>
      <c r="B156" s="286"/>
      <c r="C156" s="286"/>
      <c r="D156" s="286"/>
      <c r="E156" s="286"/>
      <c r="F156" s="436"/>
      <c r="G156" s="286"/>
      <c r="H156" s="286"/>
      <c r="I156" s="286"/>
      <c r="J156" s="286"/>
      <c r="K156" s="286"/>
      <c r="L156" s="286"/>
      <c r="M156" s="286"/>
      <c r="N156" s="286"/>
      <c r="O156" s="286"/>
      <c r="P156" s="286"/>
      <c r="Q156" s="286"/>
      <c r="R156" s="286"/>
    </row>
    <row r="157">
      <c r="A157" s="286"/>
      <c r="B157" s="286"/>
      <c r="C157" s="286"/>
      <c r="D157" s="286"/>
      <c r="E157" s="286"/>
      <c r="F157" s="436"/>
      <c r="G157" s="286"/>
      <c r="H157" s="286"/>
      <c r="I157" s="286"/>
      <c r="J157" s="286"/>
      <c r="K157" s="286"/>
      <c r="L157" s="286"/>
      <c r="M157" s="286"/>
      <c r="N157" s="286"/>
      <c r="O157" s="286"/>
      <c r="P157" s="286"/>
      <c r="Q157" s="286"/>
      <c r="R157" s="286"/>
    </row>
    <row r="158">
      <c r="A158" s="286"/>
      <c r="B158" s="286"/>
      <c r="C158" s="286"/>
      <c r="D158" s="286"/>
      <c r="E158" s="286"/>
      <c r="F158" s="436"/>
      <c r="G158" s="286"/>
      <c r="H158" s="286"/>
      <c r="I158" s="286"/>
      <c r="J158" s="286"/>
      <c r="K158" s="286"/>
      <c r="L158" s="286"/>
      <c r="M158" s="286"/>
      <c r="N158" s="286"/>
      <c r="O158" s="286"/>
      <c r="P158" s="286"/>
      <c r="Q158" s="286"/>
      <c r="R158" s="286"/>
    </row>
    <row r="159">
      <c r="A159" s="286"/>
      <c r="B159" s="286"/>
      <c r="C159" s="286"/>
      <c r="D159" s="286"/>
      <c r="E159" s="286"/>
      <c r="F159" s="436"/>
      <c r="G159" s="286"/>
      <c r="H159" s="286"/>
      <c r="I159" s="286"/>
      <c r="J159" s="286"/>
      <c r="K159" s="286"/>
      <c r="L159" s="286"/>
      <c r="M159" s="286"/>
      <c r="N159" s="286"/>
      <c r="O159" s="286"/>
      <c r="P159" s="286"/>
      <c r="Q159" s="286"/>
      <c r="R159" s="286"/>
    </row>
    <row r="160">
      <c r="A160" s="286"/>
      <c r="B160" s="286"/>
      <c r="C160" s="286"/>
      <c r="D160" s="286"/>
      <c r="E160" s="286"/>
      <c r="F160" s="436"/>
      <c r="G160" s="286"/>
      <c r="H160" s="286"/>
      <c r="I160" s="286"/>
      <c r="J160" s="286"/>
      <c r="K160" s="286"/>
      <c r="L160" s="286"/>
      <c r="M160" s="286"/>
      <c r="N160" s="286"/>
      <c r="O160" s="286"/>
      <c r="P160" s="286"/>
      <c r="Q160" s="286"/>
      <c r="R160" s="286"/>
    </row>
    <row r="161">
      <c r="A161" s="286"/>
      <c r="B161" s="286"/>
      <c r="C161" s="286"/>
      <c r="D161" s="286"/>
      <c r="E161" s="286"/>
      <c r="F161" s="436"/>
      <c r="G161" s="286"/>
      <c r="H161" s="286"/>
      <c r="I161" s="286"/>
      <c r="J161" s="286"/>
      <c r="K161" s="286"/>
      <c r="L161" s="286"/>
      <c r="M161" s="286"/>
      <c r="N161" s="286"/>
      <c r="O161" s="286"/>
      <c r="P161" s="286"/>
      <c r="Q161" s="286"/>
      <c r="R161" s="286"/>
    </row>
    <row r="162">
      <c r="A162" s="286"/>
      <c r="B162" s="286"/>
      <c r="C162" s="286"/>
      <c r="D162" s="286"/>
      <c r="E162" s="286"/>
      <c r="F162" s="436"/>
      <c r="G162" s="286"/>
      <c r="H162" s="286"/>
      <c r="I162" s="286"/>
      <c r="J162" s="286"/>
      <c r="K162" s="286"/>
      <c r="L162" s="286"/>
      <c r="M162" s="286"/>
      <c r="N162" s="286"/>
      <c r="O162" s="286"/>
      <c r="P162" s="286"/>
      <c r="Q162" s="286"/>
      <c r="R162" s="286"/>
    </row>
    <row r="163">
      <c r="A163" s="286"/>
      <c r="B163" s="286"/>
      <c r="C163" s="286"/>
      <c r="D163" s="286"/>
      <c r="E163" s="286"/>
      <c r="F163" s="436"/>
      <c r="G163" s="286"/>
      <c r="H163" s="286"/>
      <c r="I163" s="286"/>
      <c r="J163" s="286"/>
      <c r="K163" s="286"/>
      <c r="L163" s="286"/>
      <c r="M163" s="286"/>
      <c r="N163" s="286"/>
      <c r="O163" s="286"/>
      <c r="P163" s="286"/>
      <c r="Q163" s="286"/>
      <c r="R163" s="286"/>
    </row>
    <row r="164">
      <c r="A164" s="286"/>
      <c r="B164" s="286"/>
      <c r="C164" s="286"/>
      <c r="D164" s="286"/>
      <c r="E164" s="286"/>
      <c r="F164" s="436"/>
      <c r="G164" s="286"/>
      <c r="H164" s="286"/>
      <c r="I164" s="286"/>
      <c r="J164" s="286"/>
      <c r="K164" s="286"/>
      <c r="L164" s="286"/>
      <c r="M164" s="286"/>
      <c r="N164" s="286"/>
      <c r="O164" s="286"/>
      <c r="P164" s="286"/>
      <c r="Q164" s="286"/>
      <c r="R164" s="286"/>
    </row>
    <row r="165">
      <c r="A165" s="286"/>
      <c r="B165" s="286"/>
      <c r="C165" s="286"/>
      <c r="D165" s="286"/>
      <c r="E165" s="286"/>
      <c r="F165" s="436"/>
      <c r="G165" s="286"/>
      <c r="H165" s="286"/>
      <c r="I165" s="286"/>
      <c r="J165" s="286"/>
      <c r="K165" s="286"/>
      <c r="L165" s="286"/>
      <c r="M165" s="286"/>
      <c r="N165" s="286"/>
      <c r="O165" s="286"/>
      <c r="P165" s="286"/>
      <c r="Q165" s="286"/>
      <c r="R165" s="286"/>
    </row>
    <row r="166">
      <c r="A166" s="286"/>
      <c r="B166" s="286"/>
      <c r="C166" s="286"/>
      <c r="D166" s="286"/>
      <c r="E166" s="286"/>
      <c r="F166" s="436"/>
      <c r="G166" s="286"/>
      <c r="H166" s="286"/>
      <c r="I166" s="286"/>
      <c r="J166" s="286"/>
      <c r="K166" s="286"/>
      <c r="L166" s="286"/>
      <c r="M166" s="286"/>
      <c r="N166" s="286"/>
      <c r="O166" s="286"/>
      <c r="P166" s="286"/>
      <c r="Q166" s="286"/>
      <c r="R166" s="286"/>
    </row>
    <row r="167">
      <c r="A167" s="286"/>
      <c r="B167" s="286"/>
      <c r="C167" s="286"/>
      <c r="D167" s="286"/>
      <c r="E167" s="286"/>
      <c r="F167" s="436"/>
      <c r="G167" s="286"/>
      <c r="H167" s="286"/>
      <c r="I167" s="286"/>
      <c r="J167" s="286"/>
      <c r="K167" s="286"/>
      <c r="L167" s="286"/>
      <c r="M167" s="286"/>
      <c r="N167" s="286"/>
      <c r="O167" s="286"/>
      <c r="P167" s="286"/>
      <c r="Q167" s="286"/>
      <c r="R167" s="286"/>
    </row>
    <row r="168">
      <c r="A168" s="286"/>
      <c r="B168" s="286"/>
      <c r="C168" s="286"/>
      <c r="D168" s="286"/>
      <c r="E168" s="286"/>
      <c r="F168" s="436"/>
      <c r="G168" s="286"/>
      <c r="H168" s="286"/>
      <c r="I168" s="286"/>
      <c r="J168" s="286"/>
      <c r="K168" s="286"/>
      <c r="L168" s="286"/>
      <c r="M168" s="286"/>
      <c r="N168" s="286"/>
      <c r="O168" s="286"/>
      <c r="P168" s="286"/>
      <c r="Q168" s="286"/>
      <c r="R168" s="286"/>
    </row>
    <row r="169">
      <c r="A169" s="286"/>
      <c r="B169" s="286"/>
      <c r="C169" s="286"/>
      <c r="D169" s="286"/>
      <c r="E169" s="286"/>
      <c r="F169" s="436"/>
      <c r="G169" s="286"/>
      <c r="H169" s="286"/>
      <c r="I169" s="286"/>
      <c r="J169" s="286"/>
      <c r="K169" s="286"/>
      <c r="L169" s="286"/>
      <c r="M169" s="286"/>
      <c r="N169" s="286"/>
      <c r="O169" s="286"/>
      <c r="P169" s="286"/>
      <c r="Q169" s="286"/>
      <c r="R169" s="286"/>
    </row>
    <row r="170">
      <c r="A170" s="286"/>
      <c r="B170" s="286"/>
      <c r="C170" s="286"/>
      <c r="D170" s="286"/>
      <c r="E170" s="286"/>
      <c r="F170" s="436"/>
      <c r="G170" s="286"/>
      <c r="H170" s="286"/>
      <c r="I170" s="286"/>
      <c r="J170" s="286"/>
      <c r="K170" s="286"/>
      <c r="L170" s="286"/>
      <c r="M170" s="286"/>
      <c r="N170" s="286"/>
      <c r="O170" s="286"/>
      <c r="P170" s="286"/>
      <c r="Q170" s="286"/>
      <c r="R170" s="286"/>
    </row>
    <row r="171">
      <c r="A171" s="286"/>
      <c r="B171" s="286"/>
      <c r="C171" s="286"/>
      <c r="D171" s="286"/>
      <c r="E171" s="286"/>
      <c r="F171" s="436"/>
      <c r="G171" s="286"/>
      <c r="H171" s="286"/>
      <c r="I171" s="286"/>
      <c r="J171" s="286"/>
      <c r="K171" s="286"/>
      <c r="L171" s="286"/>
      <c r="M171" s="286"/>
      <c r="N171" s="286"/>
      <c r="O171" s="286"/>
      <c r="P171" s="286"/>
      <c r="Q171" s="286"/>
      <c r="R171" s="286"/>
    </row>
    <row r="172">
      <c r="A172" s="286"/>
      <c r="B172" s="286"/>
      <c r="C172" s="286"/>
      <c r="D172" s="286"/>
      <c r="E172" s="286"/>
      <c r="F172" s="436"/>
      <c r="G172" s="286"/>
      <c r="H172" s="286"/>
      <c r="I172" s="286"/>
      <c r="J172" s="286"/>
      <c r="K172" s="286"/>
      <c r="L172" s="286"/>
      <c r="M172" s="286"/>
      <c r="N172" s="286"/>
      <c r="O172" s="286"/>
      <c r="P172" s="286"/>
      <c r="Q172" s="286"/>
      <c r="R172" s="286"/>
    </row>
    <row r="173">
      <c r="A173" s="286"/>
      <c r="B173" s="286"/>
      <c r="C173" s="286"/>
      <c r="D173" s="286"/>
      <c r="E173" s="286"/>
      <c r="F173" s="436"/>
      <c r="G173" s="286"/>
      <c r="H173" s="286"/>
      <c r="I173" s="286"/>
      <c r="J173" s="286"/>
      <c r="K173" s="286"/>
      <c r="L173" s="286"/>
      <c r="M173" s="286"/>
      <c r="N173" s="286"/>
      <c r="O173" s="286"/>
      <c r="P173" s="286"/>
      <c r="Q173" s="286"/>
      <c r="R173" s="286"/>
    </row>
    <row r="174">
      <c r="A174" s="286"/>
      <c r="B174" s="286"/>
      <c r="C174" s="286"/>
      <c r="D174" s="286"/>
      <c r="E174" s="286"/>
      <c r="F174" s="436"/>
      <c r="G174" s="286"/>
      <c r="H174" s="286"/>
      <c r="I174" s="286"/>
      <c r="J174" s="286"/>
      <c r="K174" s="286"/>
      <c r="L174" s="286"/>
      <c r="M174" s="286"/>
      <c r="N174" s="286"/>
      <c r="O174" s="286"/>
      <c r="P174" s="286"/>
      <c r="Q174" s="286"/>
      <c r="R174" s="286"/>
    </row>
    <row r="175">
      <c r="A175" s="286"/>
      <c r="B175" s="286"/>
      <c r="C175" s="286"/>
      <c r="D175" s="286"/>
      <c r="E175" s="286"/>
      <c r="F175" s="436"/>
      <c r="G175" s="286"/>
      <c r="H175" s="286"/>
      <c r="I175" s="286"/>
      <c r="J175" s="286"/>
      <c r="K175" s="286"/>
      <c r="L175" s="286"/>
      <c r="M175" s="286"/>
      <c r="N175" s="286"/>
      <c r="O175" s="286"/>
      <c r="P175" s="286"/>
      <c r="Q175" s="286"/>
      <c r="R175" s="286"/>
    </row>
    <row r="176">
      <c r="A176" s="286"/>
      <c r="B176" s="286"/>
      <c r="C176" s="286"/>
      <c r="D176" s="286"/>
      <c r="E176" s="286"/>
      <c r="F176" s="436"/>
      <c r="G176" s="286"/>
      <c r="H176" s="286"/>
      <c r="I176" s="286"/>
      <c r="J176" s="286"/>
      <c r="K176" s="286"/>
      <c r="L176" s="286"/>
      <c r="M176" s="286"/>
      <c r="N176" s="286"/>
      <c r="O176" s="286"/>
      <c r="P176" s="286"/>
      <c r="Q176" s="286"/>
      <c r="R176" s="286"/>
    </row>
    <row r="177">
      <c r="A177" s="286"/>
      <c r="B177" s="286"/>
      <c r="C177" s="286"/>
      <c r="D177" s="286"/>
      <c r="E177" s="286"/>
      <c r="F177" s="436"/>
      <c r="G177" s="286"/>
      <c r="H177" s="286"/>
      <c r="I177" s="286"/>
      <c r="J177" s="286"/>
      <c r="K177" s="286"/>
      <c r="L177" s="286"/>
      <c r="M177" s="286"/>
      <c r="N177" s="286"/>
      <c r="O177" s="286"/>
      <c r="P177" s="286"/>
      <c r="Q177" s="286"/>
      <c r="R177" s="286"/>
    </row>
    <row r="178">
      <c r="A178" s="286"/>
      <c r="B178" s="286"/>
      <c r="C178" s="286"/>
      <c r="D178" s="286"/>
      <c r="E178" s="286"/>
      <c r="F178" s="436"/>
      <c r="G178" s="286"/>
      <c r="H178" s="286"/>
      <c r="I178" s="286"/>
      <c r="J178" s="286"/>
      <c r="K178" s="286"/>
      <c r="L178" s="286"/>
      <c r="M178" s="286"/>
      <c r="N178" s="286"/>
      <c r="O178" s="286"/>
      <c r="P178" s="286"/>
      <c r="Q178" s="286"/>
      <c r="R178" s="286"/>
    </row>
    <row r="179">
      <c r="A179" s="286"/>
      <c r="B179" s="286"/>
      <c r="C179" s="286"/>
      <c r="D179" s="286"/>
      <c r="E179" s="286"/>
      <c r="F179" s="436"/>
      <c r="G179" s="286"/>
      <c r="H179" s="286"/>
      <c r="I179" s="286"/>
      <c r="J179" s="286"/>
      <c r="K179" s="286"/>
      <c r="L179" s="286"/>
      <c r="M179" s="286"/>
      <c r="N179" s="286"/>
      <c r="O179" s="286"/>
      <c r="P179" s="286"/>
      <c r="Q179" s="286"/>
      <c r="R179" s="286"/>
    </row>
    <row r="180">
      <c r="A180" s="286"/>
      <c r="B180" s="286"/>
      <c r="C180" s="286"/>
      <c r="D180" s="286"/>
      <c r="E180" s="286"/>
      <c r="F180" s="436"/>
      <c r="G180" s="286"/>
      <c r="H180" s="286"/>
      <c r="I180" s="286"/>
      <c r="J180" s="286"/>
      <c r="K180" s="286"/>
      <c r="L180" s="286"/>
      <c r="M180" s="286"/>
      <c r="N180" s="286"/>
      <c r="O180" s="286"/>
      <c r="P180" s="286"/>
      <c r="Q180" s="286"/>
      <c r="R180" s="286"/>
    </row>
    <row r="181">
      <c r="A181" s="286"/>
      <c r="B181" s="286"/>
      <c r="C181" s="286"/>
      <c r="D181" s="286"/>
      <c r="E181" s="286"/>
      <c r="F181" s="436"/>
      <c r="G181" s="286"/>
      <c r="H181" s="286"/>
      <c r="I181" s="286"/>
      <c r="J181" s="286"/>
      <c r="K181" s="286"/>
      <c r="L181" s="286"/>
      <c r="M181" s="286"/>
      <c r="N181" s="286"/>
      <c r="O181" s="286"/>
      <c r="P181" s="286"/>
      <c r="Q181" s="286"/>
      <c r="R181" s="286"/>
    </row>
    <row r="182">
      <c r="A182" s="286"/>
      <c r="B182" s="286"/>
      <c r="C182" s="286"/>
      <c r="D182" s="286"/>
      <c r="E182" s="286"/>
      <c r="F182" s="436"/>
      <c r="G182" s="286"/>
      <c r="H182" s="286"/>
      <c r="I182" s="286"/>
      <c r="J182" s="286"/>
      <c r="K182" s="286"/>
      <c r="L182" s="286"/>
      <c r="M182" s="286"/>
      <c r="N182" s="286"/>
      <c r="O182" s="286"/>
      <c r="P182" s="286"/>
      <c r="Q182" s="286"/>
      <c r="R182" s="286"/>
    </row>
    <row r="183">
      <c r="A183" s="286"/>
      <c r="B183" s="286"/>
      <c r="C183" s="286"/>
      <c r="D183" s="286"/>
      <c r="E183" s="286"/>
      <c r="F183" s="436"/>
      <c r="G183" s="286"/>
      <c r="H183" s="286"/>
      <c r="I183" s="286"/>
      <c r="J183" s="286"/>
      <c r="K183" s="286"/>
      <c r="L183" s="286"/>
      <c r="M183" s="286"/>
      <c r="N183" s="286"/>
      <c r="O183" s="286"/>
      <c r="P183" s="286"/>
      <c r="Q183" s="286"/>
      <c r="R183" s="286"/>
    </row>
    <row r="184">
      <c r="A184" s="286"/>
      <c r="B184" s="286"/>
      <c r="C184" s="286"/>
      <c r="D184" s="286"/>
      <c r="E184" s="286"/>
      <c r="F184" s="436"/>
      <c r="G184" s="286"/>
      <c r="H184" s="286"/>
      <c r="I184" s="286"/>
      <c r="J184" s="286"/>
      <c r="K184" s="286"/>
      <c r="L184" s="286"/>
      <c r="M184" s="286"/>
      <c r="N184" s="286"/>
      <c r="O184" s="286"/>
      <c r="P184" s="286"/>
      <c r="Q184" s="286"/>
      <c r="R184" s="286"/>
    </row>
    <row r="185">
      <c r="A185" s="286"/>
      <c r="B185" s="286"/>
      <c r="C185" s="286"/>
      <c r="D185" s="286"/>
      <c r="E185" s="286"/>
      <c r="F185" s="436"/>
      <c r="G185" s="286"/>
      <c r="H185" s="286"/>
      <c r="I185" s="286"/>
      <c r="J185" s="286"/>
      <c r="K185" s="286"/>
      <c r="L185" s="286"/>
      <c r="M185" s="286"/>
      <c r="N185" s="286"/>
      <c r="O185" s="286"/>
      <c r="P185" s="286"/>
      <c r="Q185" s="286"/>
      <c r="R185" s="286"/>
    </row>
    <row r="186">
      <c r="A186" s="286"/>
      <c r="B186" s="286"/>
      <c r="C186" s="286"/>
      <c r="D186" s="286"/>
      <c r="E186" s="286"/>
      <c r="F186" s="436"/>
      <c r="G186" s="286"/>
      <c r="H186" s="286"/>
      <c r="I186" s="286"/>
      <c r="J186" s="286"/>
      <c r="K186" s="286"/>
      <c r="L186" s="286"/>
      <c r="M186" s="286"/>
      <c r="N186" s="286"/>
      <c r="O186" s="286"/>
      <c r="P186" s="286"/>
      <c r="Q186" s="286"/>
      <c r="R186" s="286"/>
    </row>
    <row r="187">
      <c r="A187" s="286"/>
      <c r="B187" s="286"/>
      <c r="C187" s="286"/>
      <c r="D187" s="286"/>
      <c r="E187" s="286"/>
      <c r="F187" s="436"/>
      <c r="G187" s="286"/>
      <c r="H187" s="286"/>
      <c r="I187" s="286"/>
      <c r="J187" s="286"/>
      <c r="K187" s="286"/>
      <c r="L187" s="286"/>
      <c r="M187" s="286"/>
      <c r="N187" s="286"/>
      <c r="O187" s="286"/>
      <c r="P187" s="286"/>
      <c r="Q187" s="286"/>
      <c r="R187" s="286"/>
    </row>
    <row r="188">
      <c r="A188" s="286"/>
      <c r="B188" s="286"/>
      <c r="C188" s="286"/>
      <c r="D188" s="286"/>
      <c r="E188" s="286"/>
      <c r="F188" s="436"/>
      <c r="G188" s="286"/>
      <c r="H188" s="286"/>
      <c r="I188" s="286"/>
      <c r="J188" s="286"/>
      <c r="K188" s="286"/>
      <c r="L188" s="286"/>
      <c r="M188" s="286"/>
      <c r="N188" s="286"/>
      <c r="O188" s="286"/>
      <c r="P188" s="286"/>
      <c r="Q188" s="286"/>
      <c r="R188" s="286"/>
    </row>
    <row r="189">
      <c r="A189" s="286"/>
      <c r="B189" s="286"/>
      <c r="C189" s="286"/>
      <c r="D189" s="286"/>
      <c r="E189" s="286"/>
      <c r="F189" s="436"/>
      <c r="G189" s="286"/>
      <c r="H189" s="286"/>
      <c r="I189" s="286"/>
      <c r="J189" s="286"/>
      <c r="K189" s="286"/>
      <c r="L189" s="286"/>
      <c r="M189" s="286"/>
      <c r="N189" s="286"/>
      <c r="O189" s="286"/>
      <c r="P189" s="286"/>
      <c r="Q189" s="286"/>
      <c r="R189" s="286"/>
    </row>
    <row r="190">
      <c r="A190" s="286"/>
      <c r="B190" s="286"/>
      <c r="C190" s="286"/>
      <c r="D190" s="286"/>
      <c r="E190" s="286"/>
      <c r="F190" s="436"/>
      <c r="G190" s="286"/>
      <c r="H190" s="286"/>
      <c r="I190" s="286"/>
      <c r="J190" s="286"/>
      <c r="K190" s="286"/>
      <c r="L190" s="286"/>
      <c r="M190" s="286"/>
      <c r="N190" s="286"/>
      <c r="O190" s="286"/>
      <c r="P190" s="286"/>
      <c r="Q190" s="286"/>
      <c r="R190" s="286"/>
    </row>
    <row r="191">
      <c r="A191" s="286"/>
      <c r="B191" s="286"/>
      <c r="C191" s="286"/>
      <c r="D191" s="286"/>
      <c r="E191" s="286"/>
      <c r="F191" s="436"/>
      <c r="G191" s="286"/>
      <c r="H191" s="286"/>
      <c r="I191" s="286"/>
      <c r="J191" s="286"/>
      <c r="K191" s="286"/>
      <c r="L191" s="286"/>
      <c r="M191" s="286"/>
      <c r="N191" s="286"/>
      <c r="O191" s="286"/>
      <c r="P191" s="286"/>
      <c r="Q191" s="286"/>
      <c r="R191" s="286"/>
    </row>
    <row r="192">
      <c r="A192" s="286"/>
      <c r="B192" s="286"/>
      <c r="C192" s="286"/>
      <c r="D192" s="286"/>
      <c r="E192" s="286"/>
      <c r="F192" s="436"/>
      <c r="G192" s="286"/>
      <c r="H192" s="286"/>
      <c r="I192" s="286"/>
      <c r="J192" s="286"/>
      <c r="K192" s="286"/>
      <c r="L192" s="286"/>
      <c r="M192" s="286"/>
      <c r="N192" s="286"/>
      <c r="O192" s="286"/>
      <c r="P192" s="286"/>
      <c r="Q192" s="286"/>
      <c r="R192" s="286"/>
    </row>
    <row r="193">
      <c r="A193" s="286"/>
      <c r="B193" s="286"/>
      <c r="C193" s="286"/>
      <c r="D193" s="286"/>
      <c r="E193" s="286"/>
      <c r="F193" s="436"/>
      <c r="G193" s="286"/>
      <c r="H193" s="286"/>
      <c r="I193" s="286"/>
      <c r="J193" s="286"/>
      <c r="K193" s="286"/>
      <c r="L193" s="286"/>
      <c r="M193" s="286"/>
      <c r="N193" s="286"/>
      <c r="O193" s="286"/>
      <c r="P193" s="286"/>
      <c r="Q193" s="286"/>
      <c r="R193" s="286"/>
    </row>
    <row r="194">
      <c r="A194" s="286"/>
      <c r="B194" s="286"/>
      <c r="C194" s="286"/>
      <c r="D194" s="286"/>
      <c r="E194" s="286"/>
      <c r="F194" s="436"/>
      <c r="G194" s="286"/>
      <c r="H194" s="286"/>
      <c r="I194" s="286"/>
      <c r="J194" s="286"/>
      <c r="K194" s="286"/>
      <c r="L194" s="286"/>
      <c r="M194" s="286"/>
      <c r="N194" s="286"/>
      <c r="O194" s="286"/>
      <c r="P194" s="286"/>
      <c r="Q194" s="286"/>
      <c r="R194" s="286"/>
    </row>
    <row r="195">
      <c r="A195" s="286"/>
      <c r="B195" s="286"/>
      <c r="C195" s="286"/>
      <c r="D195" s="286"/>
      <c r="E195" s="286"/>
      <c r="F195" s="436"/>
      <c r="G195" s="286"/>
      <c r="H195" s="286"/>
      <c r="I195" s="286"/>
      <c r="J195" s="286"/>
      <c r="K195" s="286"/>
      <c r="L195" s="286"/>
      <c r="M195" s="286"/>
      <c r="N195" s="286"/>
      <c r="O195" s="286"/>
      <c r="P195" s="286"/>
      <c r="Q195" s="286"/>
      <c r="R195" s="286"/>
    </row>
    <row r="196">
      <c r="A196" s="286"/>
      <c r="B196" s="286"/>
      <c r="C196" s="286"/>
      <c r="D196" s="286"/>
      <c r="E196" s="286"/>
      <c r="F196" s="436"/>
      <c r="G196" s="286"/>
      <c r="H196" s="286"/>
      <c r="I196" s="286"/>
      <c r="J196" s="286"/>
      <c r="K196" s="286"/>
      <c r="L196" s="286"/>
      <c r="M196" s="286"/>
      <c r="N196" s="286"/>
      <c r="O196" s="286"/>
      <c r="P196" s="286"/>
      <c r="Q196" s="286"/>
      <c r="R196" s="286"/>
    </row>
    <row r="197">
      <c r="A197" s="286"/>
      <c r="B197" s="286"/>
      <c r="C197" s="286"/>
      <c r="D197" s="286"/>
      <c r="E197" s="286"/>
      <c r="F197" s="436"/>
      <c r="G197" s="286"/>
      <c r="H197" s="286"/>
      <c r="I197" s="286"/>
      <c r="J197" s="286"/>
      <c r="K197" s="286"/>
      <c r="L197" s="286"/>
      <c r="M197" s="286"/>
      <c r="N197" s="286"/>
      <c r="O197" s="286"/>
      <c r="P197" s="286"/>
      <c r="Q197" s="286"/>
      <c r="R197" s="286"/>
    </row>
    <row r="198">
      <c r="A198" s="286"/>
      <c r="B198" s="286"/>
      <c r="C198" s="286"/>
      <c r="D198" s="286"/>
      <c r="E198" s="286"/>
      <c r="F198" s="436"/>
      <c r="G198" s="286"/>
      <c r="H198" s="286"/>
      <c r="I198" s="286"/>
      <c r="J198" s="286"/>
      <c r="K198" s="286"/>
      <c r="L198" s="286"/>
      <c r="M198" s="286"/>
      <c r="N198" s="286"/>
      <c r="O198" s="286"/>
      <c r="P198" s="286"/>
      <c r="Q198" s="286"/>
      <c r="R198" s="286"/>
    </row>
    <row r="199">
      <c r="A199" s="286"/>
      <c r="B199" s="286"/>
      <c r="C199" s="286"/>
      <c r="D199" s="286"/>
      <c r="E199" s="286"/>
      <c r="F199" s="436"/>
      <c r="G199" s="286"/>
      <c r="H199" s="286"/>
      <c r="I199" s="286"/>
      <c r="J199" s="286"/>
      <c r="K199" s="286"/>
      <c r="L199" s="286"/>
      <c r="M199" s="286"/>
      <c r="N199" s="286"/>
      <c r="O199" s="286"/>
      <c r="P199" s="286"/>
      <c r="Q199" s="286"/>
      <c r="R199" s="286"/>
    </row>
    <row r="200">
      <c r="A200" s="286"/>
      <c r="B200" s="286"/>
      <c r="C200" s="286"/>
      <c r="D200" s="286"/>
      <c r="E200" s="286"/>
      <c r="F200" s="436"/>
      <c r="G200" s="286"/>
      <c r="H200" s="286"/>
      <c r="I200" s="286"/>
      <c r="J200" s="286"/>
      <c r="K200" s="286"/>
      <c r="L200" s="286"/>
      <c r="M200" s="286"/>
      <c r="N200" s="286"/>
      <c r="O200" s="286"/>
      <c r="P200" s="286"/>
      <c r="Q200" s="286"/>
      <c r="R200" s="286"/>
    </row>
    <row r="201">
      <c r="A201" s="286"/>
      <c r="B201" s="286"/>
      <c r="C201" s="286"/>
      <c r="D201" s="286"/>
      <c r="E201" s="286"/>
      <c r="F201" s="436"/>
      <c r="G201" s="286"/>
      <c r="H201" s="286"/>
      <c r="I201" s="286"/>
      <c r="J201" s="286"/>
      <c r="K201" s="286"/>
      <c r="L201" s="286"/>
      <c r="M201" s="286"/>
      <c r="N201" s="286"/>
      <c r="O201" s="286"/>
      <c r="P201" s="286"/>
      <c r="Q201" s="286"/>
      <c r="R201" s="286"/>
    </row>
    <row r="202">
      <c r="A202" s="286"/>
      <c r="B202" s="286"/>
      <c r="C202" s="286"/>
      <c r="D202" s="286"/>
      <c r="E202" s="286"/>
      <c r="F202" s="436"/>
      <c r="G202" s="286"/>
      <c r="H202" s="286"/>
      <c r="I202" s="286"/>
      <c r="J202" s="286"/>
      <c r="K202" s="286"/>
      <c r="L202" s="286"/>
      <c r="M202" s="286"/>
      <c r="N202" s="286"/>
      <c r="O202" s="286"/>
      <c r="P202" s="286"/>
      <c r="Q202" s="286"/>
      <c r="R202" s="286"/>
    </row>
    <row r="203">
      <c r="A203" s="286"/>
      <c r="B203" s="286"/>
      <c r="C203" s="286"/>
      <c r="D203" s="286"/>
      <c r="E203" s="286"/>
      <c r="F203" s="436"/>
      <c r="G203" s="286"/>
      <c r="H203" s="286"/>
      <c r="I203" s="286"/>
      <c r="J203" s="286"/>
      <c r="K203" s="286"/>
      <c r="L203" s="286"/>
      <c r="M203" s="286"/>
      <c r="N203" s="286"/>
      <c r="O203" s="286"/>
      <c r="P203" s="286"/>
      <c r="Q203" s="286"/>
      <c r="R203" s="286"/>
    </row>
    <row r="204">
      <c r="A204" s="286"/>
      <c r="B204" s="286"/>
      <c r="C204" s="286"/>
      <c r="D204" s="286"/>
      <c r="E204" s="286"/>
      <c r="F204" s="436"/>
      <c r="G204" s="286"/>
      <c r="H204" s="286"/>
      <c r="I204" s="286"/>
      <c r="J204" s="286"/>
      <c r="K204" s="286"/>
      <c r="L204" s="286"/>
      <c r="M204" s="286"/>
      <c r="N204" s="286"/>
      <c r="O204" s="286"/>
      <c r="P204" s="286"/>
      <c r="Q204" s="286"/>
      <c r="R204" s="286"/>
    </row>
    <row r="205">
      <c r="A205" s="286"/>
      <c r="B205" s="286"/>
      <c r="C205" s="286"/>
      <c r="D205" s="286"/>
      <c r="E205" s="286"/>
      <c r="F205" s="436"/>
      <c r="G205" s="286"/>
      <c r="H205" s="286"/>
      <c r="I205" s="286"/>
      <c r="J205" s="286"/>
      <c r="K205" s="286"/>
      <c r="L205" s="286"/>
      <c r="M205" s="286"/>
      <c r="N205" s="286"/>
      <c r="O205" s="286"/>
      <c r="P205" s="286"/>
      <c r="Q205" s="286"/>
      <c r="R205" s="286"/>
    </row>
    <row r="206">
      <c r="A206" s="286"/>
      <c r="B206" s="286"/>
      <c r="C206" s="286"/>
      <c r="D206" s="286"/>
      <c r="E206" s="286"/>
      <c r="F206" s="436"/>
      <c r="G206" s="286"/>
      <c r="H206" s="286"/>
      <c r="I206" s="286"/>
      <c r="J206" s="286"/>
      <c r="K206" s="286"/>
      <c r="L206" s="286"/>
      <c r="M206" s="286"/>
      <c r="N206" s="286"/>
      <c r="O206" s="286"/>
      <c r="P206" s="286"/>
      <c r="Q206" s="286"/>
      <c r="R206" s="286"/>
    </row>
    <row r="207">
      <c r="A207" s="286"/>
      <c r="B207" s="286"/>
      <c r="C207" s="286"/>
      <c r="D207" s="286"/>
      <c r="E207" s="286"/>
      <c r="F207" s="436"/>
      <c r="G207" s="286"/>
      <c r="H207" s="286"/>
      <c r="I207" s="286"/>
      <c r="J207" s="286"/>
      <c r="K207" s="286"/>
      <c r="L207" s="286"/>
      <c r="M207" s="286"/>
      <c r="N207" s="286"/>
      <c r="O207" s="286"/>
      <c r="P207" s="286"/>
      <c r="Q207" s="286"/>
      <c r="R207" s="286"/>
    </row>
    <row r="208">
      <c r="A208" s="286"/>
      <c r="B208" s="286"/>
      <c r="C208" s="286"/>
      <c r="D208" s="286"/>
      <c r="E208" s="286"/>
      <c r="F208" s="436"/>
      <c r="G208" s="286"/>
      <c r="H208" s="286"/>
      <c r="I208" s="286"/>
      <c r="J208" s="286"/>
      <c r="K208" s="286"/>
      <c r="L208" s="286"/>
      <c r="M208" s="286"/>
      <c r="N208" s="286"/>
      <c r="O208" s="286"/>
      <c r="P208" s="286"/>
      <c r="Q208" s="286"/>
      <c r="R208" s="286"/>
    </row>
    <row r="209">
      <c r="A209" s="286"/>
      <c r="B209" s="286"/>
      <c r="C209" s="286"/>
      <c r="D209" s="286"/>
      <c r="E209" s="286"/>
      <c r="F209" s="436"/>
      <c r="G209" s="286"/>
      <c r="H209" s="286"/>
      <c r="I209" s="286"/>
      <c r="J209" s="286"/>
      <c r="K209" s="286"/>
      <c r="L209" s="286"/>
      <c r="M209" s="286"/>
      <c r="N209" s="286"/>
      <c r="O209" s="286"/>
      <c r="P209" s="286"/>
      <c r="Q209" s="286"/>
      <c r="R209" s="286"/>
    </row>
    <row r="210">
      <c r="A210" s="286"/>
      <c r="B210" s="286"/>
      <c r="C210" s="286"/>
      <c r="D210" s="286"/>
      <c r="E210" s="286"/>
      <c r="F210" s="436"/>
      <c r="G210" s="286"/>
      <c r="H210" s="286"/>
      <c r="I210" s="286"/>
      <c r="J210" s="286"/>
      <c r="K210" s="286"/>
      <c r="L210" s="286"/>
      <c r="M210" s="286"/>
      <c r="N210" s="286"/>
      <c r="O210" s="286"/>
      <c r="P210" s="286"/>
      <c r="Q210" s="286"/>
      <c r="R210" s="286"/>
    </row>
    <row r="211">
      <c r="A211" s="286"/>
      <c r="B211" s="286"/>
      <c r="C211" s="286"/>
      <c r="D211" s="286"/>
      <c r="E211" s="286"/>
      <c r="F211" s="436"/>
      <c r="G211" s="286"/>
      <c r="H211" s="286"/>
      <c r="I211" s="286"/>
      <c r="J211" s="286"/>
      <c r="K211" s="286"/>
      <c r="L211" s="286"/>
      <c r="M211" s="286"/>
      <c r="N211" s="286"/>
      <c r="O211" s="286"/>
      <c r="P211" s="286"/>
      <c r="Q211" s="286"/>
      <c r="R211" s="286"/>
    </row>
    <row r="212">
      <c r="A212" s="286"/>
      <c r="B212" s="286"/>
      <c r="C212" s="286"/>
      <c r="D212" s="286"/>
      <c r="E212" s="286"/>
      <c r="F212" s="436"/>
      <c r="G212" s="286"/>
      <c r="H212" s="286"/>
      <c r="I212" s="286"/>
      <c r="J212" s="286"/>
      <c r="K212" s="286"/>
      <c r="L212" s="286"/>
      <c r="M212" s="286"/>
      <c r="N212" s="286"/>
      <c r="O212" s="286"/>
      <c r="P212" s="286"/>
      <c r="Q212" s="286"/>
      <c r="R212" s="286"/>
    </row>
    <row r="213">
      <c r="A213" s="286"/>
      <c r="B213" s="286"/>
      <c r="C213" s="286"/>
      <c r="D213" s="286"/>
      <c r="E213" s="286"/>
      <c r="F213" s="436"/>
      <c r="G213" s="286"/>
      <c r="H213" s="286"/>
      <c r="I213" s="286"/>
      <c r="J213" s="286"/>
      <c r="K213" s="286"/>
      <c r="L213" s="286"/>
      <c r="M213" s="286"/>
      <c r="N213" s="286"/>
      <c r="O213" s="286"/>
      <c r="P213" s="286"/>
      <c r="Q213" s="286"/>
      <c r="R213" s="286"/>
    </row>
    <row r="214">
      <c r="A214" s="286"/>
      <c r="B214" s="286"/>
      <c r="C214" s="286"/>
      <c r="D214" s="286"/>
      <c r="E214" s="286"/>
      <c r="F214" s="436"/>
      <c r="G214" s="286"/>
      <c r="H214" s="286"/>
      <c r="I214" s="286"/>
      <c r="J214" s="286"/>
      <c r="K214" s="286"/>
      <c r="L214" s="286"/>
      <c r="M214" s="286"/>
      <c r="N214" s="286"/>
      <c r="O214" s="286"/>
      <c r="P214" s="286"/>
      <c r="Q214" s="286"/>
      <c r="R214" s="286"/>
    </row>
    <row r="215">
      <c r="A215" s="286"/>
      <c r="B215" s="286"/>
      <c r="C215" s="286"/>
      <c r="D215" s="286"/>
      <c r="E215" s="286"/>
      <c r="F215" s="436"/>
      <c r="G215" s="286"/>
      <c r="H215" s="286"/>
      <c r="I215" s="286"/>
      <c r="J215" s="286"/>
      <c r="K215" s="286"/>
      <c r="L215" s="286"/>
      <c r="M215" s="286"/>
      <c r="N215" s="286"/>
      <c r="O215" s="286"/>
      <c r="P215" s="286"/>
      <c r="Q215" s="286"/>
      <c r="R215" s="286"/>
    </row>
    <row r="216">
      <c r="A216" s="286"/>
      <c r="B216" s="286"/>
      <c r="C216" s="286"/>
      <c r="D216" s="286"/>
      <c r="E216" s="286"/>
      <c r="F216" s="436"/>
      <c r="G216" s="286"/>
      <c r="H216" s="286"/>
      <c r="I216" s="286"/>
      <c r="J216" s="286"/>
      <c r="K216" s="286"/>
      <c r="L216" s="286"/>
      <c r="M216" s="286"/>
      <c r="N216" s="286"/>
      <c r="O216" s="286"/>
      <c r="P216" s="286"/>
      <c r="Q216" s="286"/>
      <c r="R216" s="286"/>
    </row>
    <row r="217">
      <c r="A217" s="286"/>
      <c r="B217" s="286"/>
      <c r="C217" s="286"/>
      <c r="D217" s="286"/>
      <c r="E217" s="286"/>
      <c r="F217" s="436"/>
      <c r="G217" s="286"/>
      <c r="H217" s="286"/>
      <c r="I217" s="286"/>
      <c r="J217" s="286"/>
      <c r="K217" s="286"/>
      <c r="L217" s="286"/>
      <c r="M217" s="286"/>
      <c r="N217" s="286"/>
      <c r="O217" s="286"/>
      <c r="P217" s="286"/>
      <c r="Q217" s="286"/>
      <c r="R217" s="286"/>
    </row>
    <row r="218">
      <c r="A218" s="286"/>
      <c r="B218" s="286"/>
      <c r="C218" s="286"/>
      <c r="D218" s="286"/>
      <c r="E218" s="286"/>
      <c r="F218" s="436"/>
      <c r="G218" s="286"/>
      <c r="H218" s="286"/>
      <c r="I218" s="286"/>
      <c r="J218" s="286"/>
      <c r="K218" s="286"/>
      <c r="L218" s="286"/>
      <c r="M218" s="286"/>
      <c r="N218" s="286"/>
      <c r="O218" s="286"/>
      <c r="P218" s="286"/>
      <c r="Q218" s="286"/>
      <c r="R218" s="286"/>
    </row>
    <row r="219">
      <c r="A219" s="286"/>
      <c r="B219" s="286"/>
      <c r="C219" s="286"/>
      <c r="D219" s="286"/>
      <c r="E219" s="286"/>
      <c r="F219" s="436"/>
      <c r="G219" s="286"/>
      <c r="H219" s="286"/>
      <c r="I219" s="286"/>
      <c r="J219" s="286"/>
      <c r="K219" s="286"/>
      <c r="L219" s="286"/>
      <c r="M219" s="286"/>
      <c r="N219" s="286"/>
      <c r="O219" s="286"/>
      <c r="P219" s="286"/>
      <c r="Q219" s="286"/>
      <c r="R219" s="286"/>
    </row>
    <row r="220">
      <c r="A220" s="286"/>
      <c r="B220" s="286"/>
      <c r="C220" s="286"/>
      <c r="D220" s="286"/>
      <c r="E220" s="286"/>
      <c r="F220" s="436"/>
      <c r="G220" s="286"/>
      <c r="H220" s="286"/>
      <c r="I220" s="286"/>
      <c r="J220" s="286"/>
      <c r="K220" s="286"/>
      <c r="L220" s="286"/>
      <c r="M220" s="286"/>
      <c r="N220" s="286"/>
      <c r="O220" s="286"/>
      <c r="P220" s="286"/>
      <c r="Q220" s="286"/>
      <c r="R220" s="286"/>
    </row>
    <row r="221">
      <c r="A221" s="286"/>
      <c r="B221" s="286"/>
      <c r="C221" s="286"/>
      <c r="D221" s="286"/>
      <c r="E221" s="286"/>
      <c r="F221" s="436"/>
      <c r="G221" s="286"/>
      <c r="H221" s="286"/>
      <c r="I221" s="286"/>
      <c r="J221" s="286"/>
      <c r="K221" s="286"/>
      <c r="L221" s="286"/>
      <c r="M221" s="286"/>
      <c r="N221" s="286"/>
      <c r="O221" s="286"/>
      <c r="P221" s="286"/>
      <c r="Q221" s="286"/>
      <c r="R221" s="286"/>
    </row>
    <row r="222">
      <c r="A222" s="286"/>
      <c r="B222" s="286"/>
      <c r="C222" s="286"/>
      <c r="D222" s="286"/>
      <c r="E222" s="286"/>
      <c r="F222" s="436"/>
      <c r="G222" s="286"/>
      <c r="H222" s="286"/>
      <c r="I222" s="286"/>
      <c r="J222" s="286"/>
      <c r="K222" s="286"/>
      <c r="L222" s="286"/>
      <c r="M222" s="286"/>
      <c r="N222" s="286"/>
      <c r="O222" s="286"/>
      <c r="P222" s="286"/>
      <c r="Q222" s="286"/>
      <c r="R222" s="286"/>
    </row>
    <row r="223">
      <c r="A223" s="286"/>
      <c r="B223" s="286"/>
      <c r="C223" s="286"/>
      <c r="D223" s="286"/>
      <c r="E223" s="286"/>
      <c r="F223" s="436"/>
      <c r="G223" s="286"/>
      <c r="H223" s="286"/>
      <c r="I223" s="286"/>
      <c r="J223" s="286"/>
      <c r="K223" s="286"/>
      <c r="L223" s="286"/>
      <c r="M223" s="286"/>
      <c r="N223" s="286"/>
      <c r="O223" s="286"/>
      <c r="P223" s="286"/>
      <c r="Q223" s="286"/>
      <c r="R223" s="286"/>
    </row>
    <row r="224">
      <c r="A224" s="286"/>
      <c r="B224" s="286"/>
      <c r="C224" s="286"/>
      <c r="D224" s="286"/>
      <c r="E224" s="286"/>
      <c r="F224" s="436"/>
      <c r="G224" s="286"/>
      <c r="H224" s="286"/>
      <c r="I224" s="286"/>
      <c r="J224" s="286"/>
      <c r="K224" s="286"/>
      <c r="L224" s="286"/>
      <c r="M224" s="286"/>
      <c r="N224" s="286"/>
      <c r="O224" s="286"/>
      <c r="P224" s="286"/>
      <c r="Q224" s="286"/>
      <c r="R224" s="286"/>
    </row>
    <row r="225">
      <c r="A225" s="286"/>
      <c r="B225" s="286"/>
      <c r="C225" s="286"/>
      <c r="D225" s="286"/>
      <c r="E225" s="286"/>
      <c r="F225" s="436"/>
      <c r="G225" s="286"/>
      <c r="H225" s="286"/>
      <c r="I225" s="286"/>
      <c r="J225" s="286"/>
      <c r="K225" s="286"/>
      <c r="L225" s="286"/>
      <c r="M225" s="286"/>
      <c r="N225" s="286"/>
      <c r="O225" s="286"/>
      <c r="P225" s="286"/>
      <c r="Q225" s="286"/>
      <c r="R225" s="286"/>
    </row>
    <row r="226">
      <c r="A226" s="286"/>
      <c r="B226" s="286"/>
      <c r="C226" s="286"/>
      <c r="D226" s="286"/>
      <c r="E226" s="286"/>
      <c r="F226" s="436"/>
      <c r="G226" s="286"/>
      <c r="H226" s="286"/>
      <c r="I226" s="286"/>
      <c r="J226" s="286"/>
      <c r="K226" s="286"/>
      <c r="L226" s="286"/>
      <c r="M226" s="286"/>
      <c r="N226" s="286"/>
      <c r="O226" s="286"/>
      <c r="P226" s="286"/>
      <c r="Q226" s="286"/>
      <c r="R226" s="286"/>
    </row>
    <row r="227">
      <c r="A227" s="286"/>
      <c r="B227" s="286"/>
      <c r="C227" s="286"/>
      <c r="D227" s="286"/>
      <c r="E227" s="286"/>
      <c r="F227" s="436"/>
      <c r="G227" s="286"/>
      <c r="H227" s="286"/>
      <c r="I227" s="286"/>
      <c r="J227" s="286"/>
      <c r="K227" s="286"/>
      <c r="L227" s="286"/>
      <c r="M227" s="286"/>
      <c r="N227" s="286"/>
      <c r="O227" s="286"/>
      <c r="P227" s="286"/>
      <c r="Q227" s="286"/>
      <c r="R227" s="286"/>
    </row>
    <row r="228">
      <c r="A228" s="286"/>
      <c r="B228" s="286"/>
      <c r="C228" s="286"/>
      <c r="D228" s="286"/>
      <c r="E228" s="286"/>
      <c r="F228" s="436"/>
      <c r="G228" s="286"/>
      <c r="H228" s="286"/>
      <c r="I228" s="286"/>
      <c r="J228" s="286"/>
      <c r="K228" s="286"/>
      <c r="L228" s="286"/>
      <c r="M228" s="286"/>
      <c r="N228" s="286"/>
      <c r="O228" s="286"/>
      <c r="P228" s="286"/>
      <c r="Q228" s="286"/>
      <c r="R228" s="286"/>
    </row>
    <row r="229">
      <c r="A229" s="286"/>
      <c r="B229" s="286"/>
      <c r="C229" s="286"/>
      <c r="D229" s="286"/>
      <c r="E229" s="286"/>
      <c r="F229" s="436"/>
      <c r="G229" s="286"/>
      <c r="H229" s="286"/>
      <c r="I229" s="286"/>
      <c r="J229" s="286"/>
      <c r="K229" s="286"/>
      <c r="L229" s="286"/>
      <c r="M229" s="286"/>
      <c r="N229" s="286"/>
      <c r="O229" s="286"/>
      <c r="P229" s="286"/>
      <c r="Q229" s="286"/>
      <c r="R229" s="286"/>
    </row>
    <row r="230">
      <c r="A230" s="286"/>
      <c r="B230" s="286"/>
      <c r="C230" s="286"/>
      <c r="D230" s="286"/>
      <c r="E230" s="286"/>
      <c r="F230" s="436"/>
      <c r="G230" s="286"/>
      <c r="H230" s="286"/>
      <c r="I230" s="286"/>
      <c r="J230" s="286"/>
      <c r="K230" s="286"/>
      <c r="L230" s="286"/>
      <c r="M230" s="286"/>
      <c r="N230" s="286"/>
      <c r="O230" s="286"/>
      <c r="P230" s="286"/>
      <c r="Q230" s="286"/>
      <c r="R230" s="286"/>
    </row>
    <row r="231">
      <c r="A231" s="286"/>
      <c r="B231" s="286"/>
      <c r="C231" s="286"/>
      <c r="D231" s="286"/>
      <c r="E231" s="286"/>
      <c r="F231" s="436"/>
      <c r="G231" s="286"/>
      <c r="H231" s="286"/>
      <c r="I231" s="286"/>
      <c r="J231" s="286"/>
      <c r="K231" s="286"/>
      <c r="L231" s="286"/>
      <c r="M231" s="286"/>
      <c r="N231" s="286"/>
      <c r="O231" s="286"/>
      <c r="P231" s="286"/>
      <c r="Q231" s="286"/>
      <c r="R231" s="286"/>
    </row>
    <row r="232">
      <c r="A232" s="286"/>
      <c r="B232" s="286"/>
      <c r="C232" s="286"/>
      <c r="D232" s="286"/>
      <c r="E232" s="286"/>
      <c r="F232" s="436"/>
      <c r="G232" s="286"/>
      <c r="H232" s="286"/>
      <c r="I232" s="286"/>
      <c r="J232" s="286"/>
      <c r="K232" s="286"/>
      <c r="L232" s="286"/>
      <c r="M232" s="286"/>
      <c r="N232" s="286"/>
      <c r="O232" s="286"/>
      <c r="P232" s="286"/>
      <c r="Q232" s="286"/>
      <c r="R232" s="286"/>
    </row>
    <row r="233">
      <c r="A233" s="286"/>
      <c r="B233" s="286"/>
      <c r="C233" s="286"/>
      <c r="D233" s="286"/>
      <c r="E233" s="286"/>
      <c r="F233" s="436"/>
      <c r="G233" s="286"/>
      <c r="H233" s="286"/>
      <c r="I233" s="286"/>
      <c r="J233" s="286"/>
      <c r="K233" s="286"/>
      <c r="L233" s="286"/>
      <c r="M233" s="286"/>
      <c r="N233" s="286"/>
      <c r="O233" s="286"/>
      <c r="P233" s="286"/>
      <c r="Q233" s="286"/>
      <c r="R233" s="286"/>
    </row>
    <row r="234">
      <c r="A234" s="286"/>
      <c r="B234" s="286"/>
      <c r="C234" s="286"/>
      <c r="D234" s="286"/>
      <c r="E234" s="286"/>
      <c r="F234" s="436"/>
      <c r="G234" s="286"/>
      <c r="H234" s="286"/>
      <c r="I234" s="286"/>
      <c r="J234" s="286"/>
      <c r="K234" s="286"/>
      <c r="L234" s="286"/>
      <c r="M234" s="286"/>
      <c r="N234" s="286"/>
      <c r="O234" s="286"/>
      <c r="P234" s="286"/>
      <c r="Q234" s="286"/>
      <c r="R234" s="286"/>
    </row>
    <row r="235">
      <c r="A235" s="286"/>
      <c r="B235" s="286"/>
      <c r="C235" s="286"/>
      <c r="D235" s="286"/>
      <c r="E235" s="286"/>
      <c r="F235" s="436"/>
      <c r="G235" s="286"/>
      <c r="H235" s="286"/>
      <c r="I235" s="286"/>
      <c r="J235" s="286"/>
      <c r="K235" s="286"/>
      <c r="L235" s="286"/>
      <c r="M235" s="286"/>
      <c r="N235" s="286"/>
      <c r="O235" s="286"/>
      <c r="P235" s="286"/>
      <c r="Q235" s="286"/>
      <c r="R235" s="286"/>
    </row>
    <row r="236">
      <c r="A236" s="286"/>
      <c r="B236" s="286"/>
      <c r="C236" s="286"/>
      <c r="D236" s="286"/>
      <c r="E236" s="286"/>
      <c r="F236" s="436"/>
      <c r="G236" s="286"/>
      <c r="H236" s="286"/>
      <c r="I236" s="286"/>
      <c r="J236" s="286"/>
      <c r="K236" s="286"/>
      <c r="L236" s="286"/>
      <c r="M236" s="286"/>
      <c r="N236" s="286"/>
      <c r="O236" s="286"/>
      <c r="P236" s="286"/>
      <c r="Q236" s="286"/>
      <c r="R236" s="286"/>
    </row>
    <row r="237">
      <c r="A237" s="286"/>
      <c r="B237" s="286"/>
      <c r="C237" s="286"/>
      <c r="D237" s="286"/>
      <c r="E237" s="286"/>
      <c r="F237" s="436"/>
      <c r="G237" s="286"/>
      <c r="H237" s="286"/>
      <c r="I237" s="286"/>
      <c r="J237" s="286"/>
      <c r="K237" s="286"/>
      <c r="L237" s="286"/>
      <c r="M237" s="286"/>
      <c r="N237" s="286"/>
      <c r="O237" s="286"/>
      <c r="P237" s="286"/>
      <c r="Q237" s="286"/>
      <c r="R237" s="286"/>
    </row>
    <row r="238">
      <c r="A238" s="286"/>
      <c r="B238" s="286"/>
      <c r="C238" s="286"/>
      <c r="D238" s="286"/>
      <c r="E238" s="286"/>
      <c r="F238" s="436"/>
      <c r="G238" s="286"/>
      <c r="H238" s="286"/>
      <c r="I238" s="286"/>
      <c r="J238" s="286"/>
      <c r="K238" s="286"/>
      <c r="L238" s="286"/>
      <c r="M238" s="286"/>
      <c r="N238" s="286"/>
      <c r="O238" s="286"/>
      <c r="P238" s="286"/>
      <c r="Q238" s="286"/>
      <c r="R238" s="286"/>
    </row>
    <row r="239">
      <c r="A239" s="286"/>
      <c r="B239" s="286"/>
      <c r="C239" s="286"/>
      <c r="D239" s="286"/>
      <c r="E239" s="286"/>
      <c r="F239" s="436"/>
      <c r="G239" s="286"/>
      <c r="H239" s="286"/>
      <c r="I239" s="286"/>
      <c r="J239" s="286"/>
      <c r="K239" s="286"/>
      <c r="L239" s="286"/>
      <c r="M239" s="286"/>
      <c r="N239" s="286"/>
      <c r="O239" s="286"/>
      <c r="P239" s="286"/>
      <c r="Q239" s="286"/>
      <c r="R239" s="286"/>
    </row>
    <row r="240">
      <c r="A240" s="286"/>
      <c r="B240" s="286"/>
      <c r="C240" s="286"/>
      <c r="D240" s="286"/>
      <c r="E240" s="286"/>
      <c r="F240" s="436"/>
      <c r="G240" s="286"/>
      <c r="H240" s="286"/>
      <c r="I240" s="286"/>
      <c r="J240" s="286"/>
      <c r="K240" s="286"/>
      <c r="L240" s="286"/>
      <c r="M240" s="286"/>
      <c r="N240" s="286"/>
      <c r="O240" s="286"/>
      <c r="P240" s="286"/>
      <c r="Q240" s="286"/>
      <c r="R240" s="286"/>
    </row>
    <row r="241">
      <c r="A241" s="286"/>
      <c r="B241" s="286"/>
      <c r="C241" s="286"/>
      <c r="D241" s="286"/>
      <c r="E241" s="286"/>
      <c r="F241" s="436"/>
      <c r="G241" s="286"/>
      <c r="H241" s="286"/>
      <c r="I241" s="286"/>
      <c r="J241" s="286"/>
      <c r="K241" s="286"/>
      <c r="L241" s="286"/>
      <c r="M241" s="286"/>
      <c r="N241" s="286"/>
      <c r="O241" s="286"/>
      <c r="P241" s="286"/>
      <c r="Q241" s="286"/>
      <c r="R241" s="286"/>
    </row>
    <row r="242">
      <c r="A242" s="286"/>
      <c r="B242" s="286"/>
      <c r="C242" s="286"/>
      <c r="D242" s="286"/>
      <c r="E242" s="286"/>
      <c r="F242" s="436"/>
      <c r="G242" s="286"/>
      <c r="H242" s="286"/>
      <c r="I242" s="286"/>
      <c r="J242" s="286"/>
      <c r="K242" s="286"/>
      <c r="L242" s="286"/>
      <c r="M242" s="286"/>
      <c r="N242" s="286"/>
      <c r="O242" s="286"/>
      <c r="P242" s="286"/>
      <c r="Q242" s="286"/>
      <c r="R242" s="286"/>
    </row>
    <row r="243">
      <c r="A243" s="286"/>
      <c r="B243" s="286"/>
      <c r="C243" s="286"/>
      <c r="D243" s="286"/>
      <c r="E243" s="286"/>
      <c r="F243" s="436"/>
      <c r="G243" s="286"/>
      <c r="H243" s="286"/>
      <c r="I243" s="286"/>
      <c r="J243" s="286"/>
      <c r="K243" s="286"/>
      <c r="L243" s="286"/>
      <c r="M243" s="286"/>
      <c r="N243" s="286"/>
      <c r="O243" s="286"/>
      <c r="P243" s="286"/>
      <c r="Q243" s="286"/>
      <c r="R243" s="286"/>
    </row>
    <row r="244">
      <c r="A244" s="286"/>
      <c r="B244" s="286"/>
      <c r="C244" s="286"/>
      <c r="D244" s="286"/>
      <c r="E244" s="286"/>
      <c r="F244" s="436"/>
      <c r="G244" s="286"/>
      <c r="H244" s="286"/>
      <c r="I244" s="286"/>
      <c r="J244" s="286"/>
      <c r="K244" s="286"/>
      <c r="L244" s="286"/>
      <c r="M244" s="286"/>
      <c r="N244" s="286"/>
      <c r="O244" s="286"/>
      <c r="P244" s="286"/>
      <c r="Q244" s="286"/>
      <c r="R244" s="286"/>
    </row>
    <row r="245">
      <c r="A245" s="286"/>
      <c r="B245" s="286"/>
      <c r="C245" s="286"/>
      <c r="D245" s="286"/>
      <c r="E245" s="286"/>
      <c r="F245" s="436"/>
      <c r="G245" s="286"/>
      <c r="H245" s="286"/>
      <c r="I245" s="286"/>
      <c r="J245" s="286"/>
      <c r="K245" s="286"/>
      <c r="L245" s="286"/>
      <c r="M245" s="286"/>
      <c r="N245" s="286"/>
      <c r="O245" s="286"/>
      <c r="P245" s="286"/>
      <c r="Q245" s="286"/>
      <c r="R245" s="286"/>
    </row>
    <row r="246">
      <c r="A246" s="286"/>
      <c r="B246" s="286"/>
      <c r="C246" s="286"/>
      <c r="D246" s="286"/>
      <c r="E246" s="286"/>
      <c r="F246" s="436"/>
      <c r="G246" s="286"/>
      <c r="H246" s="286"/>
      <c r="I246" s="286"/>
      <c r="J246" s="286"/>
      <c r="K246" s="286"/>
      <c r="L246" s="286"/>
      <c r="M246" s="286"/>
      <c r="N246" s="286"/>
      <c r="O246" s="286"/>
      <c r="P246" s="286"/>
      <c r="Q246" s="286"/>
      <c r="R246" s="286"/>
    </row>
    <row r="247">
      <c r="A247" s="286"/>
      <c r="B247" s="286"/>
      <c r="C247" s="286"/>
      <c r="D247" s="286"/>
      <c r="E247" s="286"/>
      <c r="F247" s="436"/>
      <c r="G247" s="286"/>
      <c r="H247" s="286"/>
      <c r="I247" s="286"/>
      <c r="J247" s="286"/>
      <c r="K247" s="286"/>
      <c r="L247" s="286"/>
      <c r="M247" s="286"/>
      <c r="N247" s="286"/>
      <c r="O247" s="286"/>
      <c r="P247" s="286"/>
      <c r="Q247" s="286"/>
      <c r="R247" s="286"/>
    </row>
    <row r="248">
      <c r="A248" s="286"/>
      <c r="B248" s="286"/>
      <c r="C248" s="286"/>
      <c r="D248" s="286"/>
      <c r="E248" s="286"/>
      <c r="F248" s="436"/>
      <c r="G248" s="286"/>
      <c r="H248" s="286"/>
      <c r="I248" s="286"/>
      <c r="J248" s="286"/>
      <c r="K248" s="286"/>
      <c r="L248" s="286"/>
      <c r="M248" s="286"/>
      <c r="N248" s="286"/>
      <c r="O248" s="286"/>
      <c r="P248" s="286"/>
      <c r="Q248" s="286"/>
      <c r="R248" s="286"/>
    </row>
    <row r="249">
      <c r="A249" s="286"/>
      <c r="B249" s="286"/>
      <c r="C249" s="286"/>
      <c r="D249" s="286"/>
      <c r="E249" s="286"/>
      <c r="F249" s="436"/>
      <c r="G249" s="286"/>
      <c r="H249" s="286"/>
      <c r="I249" s="286"/>
      <c r="J249" s="286"/>
      <c r="K249" s="286"/>
      <c r="L249" s="286"/>
      <c r="M249" s="286"/>
      <c r="N249" s="286"/>
      <c r="O249" s="286"/>
      <c r="P249" s="286"/>
      <c r="Q249" s="286"/>
      <c r="R249" s="286"/>
    </row>
    <row r="250">
      <c r="A250" s="286"/>
      <c r="B250" s="286"/>
      <c r="C250" s="286"/>
      <c r="D250" s="286"/>
      <c r="E250" s="286"/>
      <c r="F250" s="436"/>
      <c r="G250" s="286"/>
      <c r="H250" s="286"/>
      <c r="I250" s="286"/>
      <c r="J250" s="286"/>
      <c r="K250" s="286"/>
      <c r="L250" s="286"/>
      <c r="M250" s="286"/>
      <c r="N250" s="286"/>
      <c r="O250" s="286"/>
      <c r="P250" s="286"/>
      <c r="Q250" s="286"/>
      <c r="R250" s="286"/>
    </row>
    <row r="251">
      <c r="A251" s="286"/>
      <c r="B251" s="286"/>
      <c r="C251" s="286"/>
      <c r="D251" s="286"/>
      <c r="E251" s="286"/>
      <c r="F251" s="436"/>
      <c r="G251" s="286"/>
      <c r="H251" s="286"/>
      <c r="I251" s="286"/>
      <c r="J251" s="286"/>
      <c r="K251" s="286"/>
      <c r="L251" s="286"/>
      <c r="M251" s="286"/>
      <c r="N251" s="286"/>
      <c r="O251" s="286"/>
      <c r="P251" s="286"/>
      <c r="Q251" s="286"/>
      <c r="R251" s="286"/>
    </row>
    <row r="252">
      <c r="A252" s="286"/>
      <c r="B252" s="286"/>
      <c r="C252" s="286"/>
      <c r="D252" s="286"/>
      <c r="E252" s="286"/>
      <c r="F252" s="436"/>
      <c r="G252" s="286"/>
      <c r="H252" s="286"/>
      <c r="I252" s="286"/>
      <c r="J252" s="286"/>
      <c r="K252" s="286"/>
      <c r="L252" s="286"/>
      <c r="M252" s="286"/>
      <c r="N252" s="286"/>
      <c r="O252" s="286"/>
      <c r="P252" s="286"/>
      <c r="Q252" s="286"/>
      <c r="R252" s="286"/>
    </row>
    <row r="253">
      <c r="A253" s="286"/>
      <c r="B253" s="286"/>
      <c r="C253" s="286"/>
      <c r="D253" s="286"/>
      <c r="E253" s="286"/>
      <c r="F253" s="436"/>
      <c r="G253" s="286"/>
      <c r="H253" s="286"/>
      <c r="I253" s="286"/>
      <c r="J253" s="286"/>
      <c r="K253" s="286"/>
      <c r="L253" s="286"/>
      <c r="M253" s="286"/>
      <c r="N253" s="286"/>
      <c r="O253" s="286"/>
      <c r="P253" s="286"/>
      <c r="Q253" s="286"/>
      <c r="R253" s="286"/>
    </row>
    <row r="254">
      <c r="A254" s="286"/>
      <c r="B254" s="286"/>
      <c r="C254" s="286"/>
      <c r="D254" s="286"/>
      <c r="E254" s="286"/>
      <c r="F254" s="436"/>
      <c r="G254" s="286"/>
      <c r="H254" s="286"/>
      <c r="I254" s="286"/>
      <c r="J254" s="286"/>
      <c r="K254" s="286"/>
      <c r="L254" s="286"/>
      <c r="M254" s="286"/>
      <c r="N254" s="286"/>
      <c r="O254" s="286"/>
      <c r="P254" s="286"/>
      <c r="Q254" s="286"/>
      <c r="R254" s="286"/>
    </row>
    <row r="255">
      <c r="A255" s="286"/>
      <c r="B255" s="286"/>
      <c r="C255" s="286"/>
      <c r="D255" s="286"/>
      <c r="E255" s="286"/>
      <c r="F255" s="436"/>
      <c r="G255" s="286"/>
      <c r="H255" s="286"/>
      <c r="I255" s="286"/>
      <c r="J255" s="286"/>
      <c r="K255" s="286"/>
      <c r="L255" s="286"/>
      <c r="M255" s="286"/>
      <c r="N255" s="286"/>
      <c r="O255" s="286"/>
      <c r="P255" s="286"/>
      <c r="Q255" s="286"/>
      <c r="R255" s="286"/>
    </row>
    <row r="256">
      <c r="A256" s="286"/>
      <c r="B256" s="286"/>
      <c r="C256" s="286"/>
      <c r="D256" s="286"/>
      <c r="E256" s="286"/>
      <c r="F256" s="436"/>
      <c r="G256" s="286"/>
      <c r="H256" s="286"/>
      <c r="I256" s="286"/>
      <c r="J256" s="286"/>
      <c r="K256" s="286"/>
      <c r="L256" s="286"/>
      <c r="M256" s="286"/>
      <c r="N256" s="286"/>
      <c r="O256" s="286"/>
      <c r="P256" s="286"/>
      <c r="Q256" s="286"/>
      <c r="R256" s="286"/>
    </row>
    <row r="257">
      <c r="A257" s="286"/>
      <c r="B257" s="286"/>
      <c r="C257" s="286"/>
      <c r="D257" s="286"/>
      <c r="E257" s="286"/>
      <c r="F257" s="436"/>
      <c r="G257" s="286"/>
      <c r="H257" s="286"/>
      <c r="I257" s="286"/>
      <c r="J257" s="286"/>
      <c r="K257" s="286"/>
      <c r="L257" s="286"/>
      <c r="M257" s="286"/>
      <c r="N257" s="286"/>
      <c r="O257" s="286"/>
      <c r="P257" s="286"/>
      <c r="Q257" s="286"/>
      <c r="R257" s="286"/>
    </row>
    <row r="258">
      <c r="A258" s="286"/>
      <c r="B258" s="286"/>
      <c r="C258" s="286"/>
      <c r="D258" s="286"/>
      <c r="E258" s="286"/>
      <c r="F258" s="436"/>
      <c r="G258" s="286"/>
      <c r="H258" s="286"/>
      <c r="I258" s="286"/>
      <c r="J258" s="286"/>
      <c r="K258" s="286"/>
      <c r="L258" s="286"/>
      <c r="M258" s="286"/>
      <c r="N258" s="286"/>
      <c r="O258" s="286"/>
      <c r="P258" s="286"/>
      <c r="Q258" s="286"/>
      <c r="R258" s="286"/>
    </row>
    <row r="259">
      <c r="A259" s="286"/>
      <c r="B259" s="286"/>
      <c r="C259" s="286"/>
      <c r="D259" s="286"/>
      <c r="E259" s="286"/>
      <c r="F259" s="436"/>
      <c r="G259" s="286"/>
      <c r="H259" s="286"/>
      <c r="I259" s="286"/>
      <c r="J259" s="286"/>
      <c r="K259" s="286"/>
      <c r="L259" s="286"/>
      <c r="M259" s="286"/>
      <c r="N259" s="286"/>
      <c r="O259" s="286"/>
      <c r="P259" s="286"/>
      <c r="Q259" s="286"/>
      <c r="R259" s="286"/>
    </row>
    <row r="260">
      <c r="A260" s="286"/>
      <c r="B260" s="286"/>
      <c r="C260" s="286"/>
      <c r="D260" s="286"/>
      <c r="E260" s="286"/>
      <c r="F260" s="436"/>
      <c r="G260" s="286"/>
      <c r="H260" s="286"/>
      <c r="I260" s="286"/>
      <c r="J260" s="286"/>
      <c r="K260" s="286"/>
      <c r="L260" s="286"/>
      <c r="M260" s="286"/>
      <c r="N260" s="286"/>
      <c r="O260" s="286"/>
      <c r="P260" s="286"/>
      <c r="Q260" s="286"/>
      <c r="R260" s="286"/>
    </row>
    <row r="261">
      <c r="A261" s="286"/>
      <c r="B261" s="286"/>
      <c r="C261" s="286"/>
      <c r="D261" s="286"/>
      <c r="E261" s="286"/>
      <c r="F261" s="436"/>
      <c r="G261" s="286"/>
      <c r="H261" s="286"/>
      <c r="I261" s="286"/>
      <c r="J261" s="286"/>
      <c r="K261" s="286"/>
      <c r="L261" s="286"/>
      <c r="M261" s="286"/>
      <c r="N261" s="286"/>
      <c r="O261" s="286"/>
      <c r="P261" s="286"/>
      <c r="Q261" s="286"/>
      <c r="R261" s="286"/>
    </row>
    <row r="262">
      <c r="A262" s="286"/>
      <c r="B262" s="286"/>
      <c r="C262" s="286"/>
      <c r="D262" s="286"/>
      <c r="E262" s="286"/>
      <c r="F262" s="436"/>
      <c r="G262" s="286"/>
      <c r="H262" s="286"/>
      <c r="I262" s="286"/>
      <c r="J262" s="286"/>
      <c r="K262" s="286"/>
      <c r="L262" s="286"/>
      <c r="M262" s="286"/>
      <c r="N262" s="286"/>
      <c r="O262" s="286"/>
      <c r="P262" s="286"/>
      <c r="Q262" s="286"/>
      <c r="R262" s="286"/>
    </row>
    <row r="263">
      <c r="A263" s="286"/>
      <c r="B263" s="286"/>
      <c r="C263" s="286"/>
      <c r="D263" s="286"/>
      <c r="E263" s="286"/>
      <c r="F263" s="436"/>
      <c r="G263" s="286"/>
      <c r="H263" s="286"/>
      <c r="I263" s="286"/>
      <c r="J263" s="286"/>
      <c r="K263" s="286"/>
      <c r="L263" s="286"/>
      <c r="M263" s="286"/>
      <c r="N263" s="286"/>
      <c r="O263" s="286"/>
      <c r="P263" s="286"/>
      <c r="Q263" s="286"/>
      <c r="R263" s="286"/>
    </row>
    <row r="264">
      <c r="A264" s="286"/>
      <c r="B264" s="286"/>
      <c r="C264" s="286"/>
      <c r="D264" s="286"/>
      <c r="E264" s="286"/>
      <c r="F264" s="436"/>
      <c r="G264" s="286"/>
      <c r="H264" s="286"/>
      <c r="I264" s="286"/>
      <c r="J264" s="286"/>
      <c r="K264" s="286"/>
      <c r="L264" s="286"/>
      <c r="M264" s="286"/>
      <c r="N264" s="286"/>
      <c r="O264" s="286"/>
      <c r="P264" s="286"/>
      <c r="Q264" s="286"/>
      <c r="R264" s="286"/>
    </row>
    <row r="265">
      <c r="A265" s="286"/>
      <c r="B265" s="286"/>
      <c r="C265" s="286"/>
      <c r="D265" s="286"/>
      <c r="E265" s="286"/>
      <c r="F265" s="436"/>
      <c r="G265" s="286"/>
      <c r="H265" s="286"/>
      <c r="I265" s="286"/>
      <c r="J265" s="286"/>
      <c r="K265" s="286"/>
      <c r="L265" s="286"/>
      <c r="M265" s="286"/>
      <c r="N265" s="286"/>
      <c r="O265" s="286"/>
      <c r="P265" s="286"/>
      <c r="Q265" s="286"/>
      <c r="R265" s="286"/>
    </row>
    <row r="266">
      <c r="A266" s="286"/>
      <c r="B266" s="286"/>
      <c r="C266" s="286"/>
      <c r="D266" s="286"/>
      <c r="E266" s="286"/>
      <c r="F266" s="436"/>
      <c r="G266" s="286"/>
      <c r="H266" s="286"/>
      <c r="I266" s="286"/>
      <c r="J266" s="286"/>
      <c r="K266" s="286"/>
      <c r="L266" s="286"/>
      <c r="M266" s="286"/>
      <c r="N266" s="286"/>
      <c r="O266" s="286"/>
      <c r="P266" s="286"/>
      <c r="Q266" s="286"/>
      <c r="R266" s="286"/>
    </row>
    <row r="267">
      <c r="A267" s="286"/>
      <c r="B267" s="286"/>
      <c r="C267" s="286"/>
      <c r="D267" s="286"/>
      <c r="E267" s="286"/>
      <c r="F267" s="436"/>
      <c r="G267" s="286"/>
      <c r="H267" s="286"/>
      <c r="I267" s="286"/>
      <c r="J267" s="286"/>
      <c r="K267" s="286"/>
      <c r="L267" s="286"/>
      <c r="M267" s="286"/>
      <c r="N267" s="286"/>
      <c r="O267" s="286"/>
      <c r="P267" s="286"/>
      <c r="Q267" s="286"/>
      <c r="R267" s="286"/>
    </row>
    <row r="268">
      <c r="A268" s="286"/>
      <c r="B268" s="286"/>
      <c r="C268" s="286"/>
      <c r="D268" s="286"/>
      <c r="E268" s="286"/>
      <c r="F268" s="436"/>
      <c r="G268" s="286"/>
      <c r="H268" s="286"/>
      <c r="I268" s="286"/>
      <c r="J268" s="286"/>
      <c r="K268" s="286"/>
      <c r="L268" s="286"/>
      <c r="M268" s="286"/>
      <c r="N268" s="286"/>
      <c r="O268" s="286"/>
      <c r="P268" s="286"/>
      <c r="Q268" s="286"/>
      <c r="R268" s="286"/>
    </row>
    <row r="269">
      <c r="A269" s="286"/>
      <c r="B269" s="286"/>
      <c r="C269" s="286"/>
      <c r="D269" s="286"/>
      <c r="E269" s="286"/>
      <c r="F269" s="436"/>
      <c r="G269" s="286"/>
      <c r="H269" s="286"/>
      <c r="I269" s="286"/>
      <c r="J269" s="286"/>
      <c r="K269" s="286"/>
      <c r="L269" s="286"/>
      <c r="M269" s="286"/>
      <c r="N269" s="286"/>
      <c r="O269" s="286"/>
      <c r="P269" s="286"/>
      <c r="Q269" s="286"/>
      <c r="R269" s="286"/>
    </row>
    <row r="270">
      <c r="A270" s="286"/>
      <c r="B270" s="286"/>
      <c r="C270" s="286"/>
      <c r="D270" s="286"/>
      <c r="E270" s="286"/>
      <c r="F270" s="436"/>
      <c r="G270" s="286"/>
      <c r="H270" s="286"/>
      <c r="I270" s="286"/>
      <c r="J270" s="286"/>
      <c r="K270" s="286"/>
      <c r="L270" s="286"/>
      <c r="M270" s="286"/>
      <c r="N270" s="286"/>
      <c r="O270" s="286"/>
      <c r="P270" s="286"/>
      <c r="Q270" s="286"/>
      <c r="R270" s="286"/>
    </row>
    <row r="271">
      <c r="A271" s="286"/>
      <c r="B271" s="286"/>
      <c r="C271" s="286"/>
      <c r="D271" s="286"/>
      <c r="E271" s="286"/>
      <c r="F271" s="436"/>
      <c r="G271" s="286"/>
      <c r="H271" s="286"/>
      <c r="I271" s="286"/>
      <c r="J271" s="286"/>
      <c r="K271" s="286"/>
      <c r="L271" s="286"/>
      <c r="M271" s="286"/>
      <c r="N271" s="286"/>
      <c r="O271" s="286"/>
      <c r="P271" s="286"/>
      <c r="Q271" s="286"/>
      <c r="R271" s="286"/>
    </row>
    <row r="272">
      <c r="A272" s="286"/>
      <c r="B272" s="286"/>
      <c r="C272" s="286"/>
      <c r="D272" s="286"/>
      <c r="E272" s="286"/>
      <c r="F272" s="436"/>
      <c r="G272" s="286"/>
      <c r="H272" s="286"/>
      <c r="I272" s="286"/>
      <c r="J272" s="286"/>
      <c r="K272" s="286"/>
      <c r="L272" s="286"/>
      <c r="M272" s="286"/>
      <c r="N272" s="286"/>
      <c r="O272" s="286"/>
      <c r="P272" s="286"/>
      <c r="Q272" s="286"/>
      <c r="R272" s="286"/>
    </row>
    <row r="273">
      <c r="A273" s="286"/>
      <c r="B273" s="286"/>
      <c r="C273" s="286"/>
      <c r="D273" s="286"/>
      <c r="E273" s="286"/>
      <c r="F273" s="436"/>
      <c r="G273" s="286"/>
      <c r="H273" s="286"/>
      <c r="I273" s="286"/>
      <c r="J273" s="286"/>
      <c r="K273" s="286"/>
      <c r="L273" s="286"/>
      <c r="M273" s="286"/>
      <c r="N273" s="286"/>
      <c r="O273" s="286"/>
      <c r="P273" s="286"/>
      <c r="Q273" s="286"/>
      <c r="R273" s="286"/>
    </row>
    <row r="274">
      <c r="A274" s="286"/>
      <c r="B274" s="286"/>
      <c r="C274" s="286"/>
      <c r="D274" s="286"/>
      <c r="E274" s="286"/>
      <c r="F274" s="436"/>
      <c r="G274" s="286"/>
      <c r="H274" s="286"/>
      <c r="I274" s="286"/>
      <c r="J274" s="286"/>
      <c r="K274" s="286"/>
      <c r="L274" s="286"/>
      <c r="M274" s="286"/>
      <c r="N274" s="286"/>
      <c r="O274" s="286"/>
      <c r="P274" s="286"/>
      <c r="Q274" s="286"/>
      <c r="R274" s="286"/>
    </row>
    <row r="275">
      <c r="A275" s="286"/>
      <c r="B275" s="286"/>
      <c r="C275" s="286"/>
      <c r="D275" s="286"/>
      <c r="E275" s="286"/>
      <c r="F275" s="436"/>
      <c r="G275" s="286"/>
      <c r="H275" s="286"/>
      <c r="I275" s="286"/>
      <c r="J275" s="286"/>
      <c r="K275" s="286"/>
      <c r="L275" s="286"/>
      <c r="M275" s="286"/>
      <c r="N275" s="286"/>
      <c r="O275" s="286"/>
      <c r="P275" s="286"/>
      <c r="Q275" s="286"/>
      <c r="R275" s="286"/>
    </row>
    <row r="276">
      <c r="A276" s="286"/>
      <c r="B276" s="286"/>
      <c r="C276" s="286"/>
      <c r="D276" s="286"/>
      <c r="E276" s="286"/>
      <c r="F276" s="436"/>
      <c r="G276" s="286"/>
      <c r="H276" s="286"/>
      <c r="I276" s="286"/>
      <c r="J276" s="286"/>
      <c r="K276" s="286"/>
      <c r="L276" s="286"/>
      <c r="M276" s="286"/>
      <c r="N276" s="286"/>
      <c r="O276" s="286"/>
      <c r="P276" s="286"/>
      <c r="Q276" s="286"/>
      <c r="R276" s="286"/>
    </row>
    <row r="277">
      <c r="A277" s="286"/>
      <c r="B277" s="286"/>
      <c r="C277" s="286"/>
      <c r="D277" s="286"/>
      <c r="E277" s="286"/>
      <c r="F277" s="436"/>
      <c r="G277" s="286"/>
      <c r="H277" s="286"/>
      <c r="I277" s="286"/>
      <c r="J277" s="286"/>
      <c r="K277" s="286"/>
      <c r="L277" s="286"/>
      <c r="M277" s="286"/>
      <c r="N277" s="286"/>
      <c r="O277" s="286"/>
      <c r="P277" s="286"/>
      <c r="Q277" s="286"/>
      <c r="R277" s="286"/>
    </row>
    <row r="278">
      <c r="A278" s="286"/>
      <c r="B278" s="286"/>
      <c r="C278" s="286"/>
      <c r="D278" s="286"/>
      <c r="E278" s="286"/>
      <c r="F278" s="436"/>
      <c r="G278" s="286"/>
      <c r="H278" s="286"/>
      <c r="I278" s="286"/>
      <c r="J278" s="286"/>
      <c r="K278" s="286"/>
      <c r="L278" s="286"/>
      <c r="M278" s="286"/>
      <c r="N278" s="286"/>
      <c r="O278" s="286"/>
      <c r="P278" s="286"/>
      <c r="Q278" s="286"/>
      <c r="R278" s="286"/>
    </row>
    <row r="279">
      <c r="A279" s="286"/>
      <c r="B279" s="286"/>
      <c r="C279" s="286"/>
      <c r="D279" s="286"/>
      <c r="E279" s="286"/>
      <c r="F279" s="436"/>
      <c r="G279" s="286"/>
      <c r="H279" s="286"/>
      <c r="I279" s="286"/>
      <c r="J279" s="286"/>
      <c r="K279" s="286"/>
      <c r="L279" s="286"/>
      <c r="M279" s="286"/>
      <c r="N279" s="286"/>
      <c r="O279" s="286"/>
      <c r="P279" s="286"/>
      <c r="Q279" s="286"/>
      <c r="R279" s="286"/>
    </row>
    <row r="280">
      <c r="A280" s="286"/>
      <c r="B280" s="286"/>
      <c r="C280" s="286"/>
      <c r="D280" s="286"/>
      <c r="E280" s="286"/>
      <c r="F280" s="436"/>
      <c r="G280" s="286"/>
      <c r="H280" s="286"/>
      <c r="I280" s="286"/>
      <c r="J280" s="286"/>
      <c r="K280" s="286"/>
      <c r="L280" s="286"/>
      <c r="M280" s="286"/>
      <c r="N280" s="286"/>
      <c r="O280" s="286"/>
      <c r="P280" s="286"/>
      <c r="Q280" s="286"/>
      <c r="R280" s="286"/>
    </row>
    <row r="281">
      <c r="A281" s="286"/>
      <c r="B281" s="286"/>
      <c r="C281" s="286"/>
      <c r="D281" s="286"/>
      <c r="E281" s="286"/>
      <c r="F281" s="436"/>
      <c r="G281" s="286"/>
      <c r="H281" s="286"/>
      <c r="I281" s="286"/>
      <c r="J281" s="286"/>
      <c r="K281" s="286"/>
      <c r="L281" s="286"/>
      <c r="M281" s="286"/>
      <c r="N281" s="286"/>
      <c r="O281" s="286"/>
      <c r="P281" s="286"/>
      <c r="Q281" s="286"/>
      <c r="R281" s="286"/>
    </row>
    <row r="282">
      <c r="A282" s="286"/>
      <c r="B282" s="286"/>
      <c r="C282" s="286"/>
      <c r="D282" s="286"/>
      <c r="E282" s="286"/>
      <c r="F282" s="436"/>
      <c r="G282" s="286"/>
      <c r="H282" s="286"/>
      <c r="I282" s="286"/>
      <c r="J282" s="286"/>
      <c r="K282" s="286"/>
      <c r="L282" s="286"/>
      <c r="M282" s="286"/>
      <c r="N282" s="286"/>
      <c r="O282" s="286"/>
      <c r="P282" s="286"/>
      <c r="Q282" s="286"/>
      <c r="R282" s="286"/>
    </row>
    <row r="283">
      <c r="A283" s="286"/>
      <c r="B283" s="286"/>
      <c r="C283" s="286"/>
      <c r="D283" s="286"/>
      <c r="E283" s="286"/>
      <c r="F283" s="436"/>
      <c r="G283" s="286"/>
      <c r="H283" s="286"/>
      <c r="I283" s="286"/>
      <c r="J283" s="286"/>
      <c r="K283" s="286"/>
      <c r="L283" s="286"/>
      <c r="M283" s="286"/>
      <c r="N283" s="286"/>
      <c r="O283" s="286"/>
      <c r="P283" s="286"/>
      <c r="Q283" s="286"/>
      <c r="R283" s="286"/>
    </row>
    <row r="284">
      <c r="A284" s="286"/>
      <c r="B284" s="286"/>
      <c r="C284" s="286"/>
      <c r="D284" s="286"/>
      <c r="E284" s="286"/>
      <c r="F284" s="436"/>
      <c r="G284" s="286"/>
      <c r="H284" s="286"/>
      <c r="I284" s="286"/>
      <c r="J284" s="286"/>
      <c r="K284" s="286"/>
      <c r="L284" s="286"/>
      <c r="M284" s="286"/>
      <c r="N284" s="286"/>
      <c r="O284" s="286"/>
      <c r="P284" s="286"/>
      <c r="Q284" s="286"/>
      <c r="R284" s="286"/>
    </row>
    <row r="285">
      <c r="A285" s="286"/>
      <c r="B285" s="286"/>
      <c r="C285" s="286"/>
      <c r="D285" s="286"/>
      <c r="E285" s="286"/>
      <c r="F285" s="436"/>
      <c r="G285" s="286"/>
      <c r="H285" s="286"/>
      <c r="I285" s="286"/>
      <c r="J285" s="286"/>
      <c r="K285" s="286"/>
      <c r="L285" s="286"/>
      <c r="M285" s="286"/>
      <c r="N285" s="286"/>
      <c r="O285" s="286"/>
      <c r="P285" s="286"/>
      <c r="Q285" s="286"/>
      <c r="R285" s="286"/>
    </row>
    <row r="286">
      <c r="A286" s="286"/>
      <c r="B286" s="286"/>
      <c r="C286" s="286"/>
      <c r="D286" s="286"/>
      <c r="E286" s="286"/>
      <c r="F286" s="436"/>
      <c r="G286" s="286"/>
      <c r="H286" s="286"/>
      <c r="I286" s="286"/>
      <c r="J286" s="286"/>
      <c r="K286" s="286"/>
      <c r="L286" s="286"/>
      <c r="M286" s="286"/>
      <c r="N286" s="286"/>
      <c r="O286" s="286"/>
      <c r="P286" s="286"/>
      <c r="Q286" s="286"/>
      <c r="R286" s="286"/>
    </row>
    <row r="287">
      <c r="A287" s="286"/>
      <c r="B287" s="286"/>
      <c r="C287" s="286"/>
      <c r="D287" s="286"/>
      <c r="E287" s="286"/>
      <c r="F287" s="436"/>
      <c r="G287" s="286"/>
      <c r="H287" s="286"/>
      <c r="I287" s="286"/>
      <c r="J287" s="286"/>
      <c r="K287" s="286"/>
      <c r="L287" s="286"/>
      <c r="M287" s="286"/>
      <c r="N287" s="286"/>
      <c r="O287" s="286"/>
      <c r="P287" s="286"/>
      <c r="Q287" s="286"/>
      <c r="R287" s="286"/>
    </row>
    <row r="288">
      <c r="A288" s="286"/>
      <c r="B288" s="286"/>
      <c r="C288" s="286"/>
      <c r="D288" s="286"/>
      <c r="E288" s="286"/>
      <c r="F288" s="436"/>
      <c r="G288" s="286"/>
      <c r="H288" s="286"/>
      <c r="I288" s="286"/>
      <c r="J288" s="286"/>
      <c r="K288" s="286"/>
      <c r="L288" s="286"/>
      <c r="M288" s="286"/>
      <c r="N288" s="286"/>
      <c r="O288" s="286"/>
      <c r="P288" s="286"/>
      <c r="Q288" s="286"/>
      <c r="R288" s="286"/>
    </row>
    <row r="289">
      <c r="A289" s="286"/>
      <c r="B289" s="286"/>
      <c r="C289" s="286"/>
      <c r="D289" s="286"/>
      <c r="E289" s="286"/>
      <c r="F289" s="436"/>
      <c r="G289" s="286"/>
      <c r="H289" s="286"/>
      <c r="I289" s="286"/>
      <c r="J289" s="286"/>
      <c r="K289" s="286"/>
      <c r="L289" s="286"/>
      <c r="M289" s="286"/>
      <c r="N289" s="286"/>
      <c r="O289" s="286"/>
      <c r="P289" s="286"/>
      <c r="Q289" s="286"/>
      <c r="R289" s="286"/>
    </row>
    <row r="290">
      <c r="A290" s="286"/>
      <c r="B290" s="286"/>
      <c r="C290" s="286"/>
      <c r="D290" s="286"/>
      <c r="E290" s="286"/>
      <c r="F290" s="436"/>
      <c r="G290" s="286"/>
      <c r="H290" s="286"/>
      <c r="I290" s="286"/>
      <c r="J290" s="286"/>
      <c r="K290" s="286"/>
      <c r="L290" s="286"/>
      <c r="M290" s="286"/>
      <c r="N290" s="286"/>
      <c r="O290" s="286"/>
      <c r="P290" s="286"/>
      <c r="Q290" s="286"/>
      <c r="R290" s="286"/>
    </row>
    <row r="291">
      <c r="A291" s="286"/>
      <c r="B291" s="286"/>
      <c r="C291" s="286"/>
      <c r="D291" s="286"/>
      <c r="E291" s="286"/>
      <c r="F291" s="436"/>
      <c r="G291" s="286"/>
      <c r="H291" s="286"/>
      <c r="I291" s="286"/>
      <c r="J291" s="286"/>
      <c r="K291" s="286"/>
      <c r="L291" s="286"/>
      <c r="M291" s="286"/>
      <c r="N291" s="286"/>
      <c r="O291" s="286"/>
      <c r="P291" s="286"/>
      <c r="Q291" s="286"/>
      <c r="R291" s="286"/>
    </row>
    <row r="292">
      <c r="A292" s="286"/>
      <c r="B292" s="286"/>
      <c r="C292" s="286"/>
      <c r="D292" s="286"/>
      <c r="E292" s="286"/>
      <c r="F292" s="436"/>
      <c r="G292" s="286"/>
      <c r="H292" s="286"/>
      <c r="I292" s="286"/>
      <c r="J292" s="286"/>
      <c r="K292" s="286"/>
      <c r="L292" s="286"/>
      <c r="M292" s="286"/>
      <c r="N292" s="286"/>
      <c r="O292" s="286"/>
      <c r="P292" s="286"/>
      <c r="Q292" s="286"/>
      <c r="R292" s="286"/>
    </row>
    <row r="293">
      <c r="A293" s="286"/>
      <c r="B293" s="286"/>
      <c r="C293" s="286"/>
      <c r="D293" s="286"/>
      <c r="E293" s="286"/>
      <c r="F293" s="436"/>
      <c r="G293" s="286"/>
      <c r="H293" s="286"/>
      <c r="I293" s="286"/>
      <c r="J293" s="286"/>
      <c r="K293" s="286"/>
      <c r="L293" s="286"/>
      <c r="M293" s="286"/>
      <c r="N293" s="286"/>
      <c r="O293" s="286"/>
      <c r="P293" s="286"/>
      <c r="Q293" s="286"/>
      <c r="R293" s="286"/>
    </row>
    <row r="294">
      <c r="A294" s="286"/>
      <c r="B294" s="286"/>
      <c r="C294" s="286"/>
      <c r="D294" s="286"/>
      <c r="E294" s="286"/>
      <c r="F294" s="436"/>
      <c r="G294" s="286"/>
      <c r="H294" s="286"/>
      <c r="I294" s="286"/>
      <c r="J294" s="286"/>
      <c r="K294" s="286"/>
      <c r="L294" s="286"/>
      <c r="M294" s="286"/>
      <c r="N294" s="286"/>
      <c r="O294" s="286"/>
      <c r="P294" s="286"/>
      <c r="Q294" s="286"/>
      <c r="R294" s="286"/>
    </row>
    <row r="295">
      <c r="A295" s="286"/>
      <c r="B295" s="286"/>
      <c r="C295" s="286"/>
      <c r="D295" s="286"/>
      <c r="E295" s="286"/>
      <c r="F295" s="436"/>
      <c r="G295" s="286"/>
      <c r="H295" s="286"/>
      <c r="I295" s="286"/>
      <c r="J295" s="286"/>
      <c r="K295" s="286"/>
      <c r="L295" s="286"/>
      <c r="M295" s="286"/>
      <c r="N295" s="286"/>
      <c r="O295" s="286"/>
      <c r="P295" s="286"/>
      <c r="Q295" s="286"/>
      <c r="R295" s="286"/>
    </row>
    <row r="296">
      <c r="A296" s="286"/>
      <c r="B296" s="286"/>
      <c r="C296" s="286"/>
      <c r="D296" s="286"/>
      <c r="E296" s="286"/>
      <c r="F296" s="436"/>
      <c r="G296" s="286"/>
      <c r="H296" s="286"/>
      <c r="I296" s="286"/>
      <c r="J296" s="286"/>
      <c r="K296" s="286"/>
      <c r="L296" s="286"/>
      <c r="M296" s="286"/>
      <c r="N296" s="286"/>
      <c r="O296" s="286"/>
      <c r="P296" s="286"/>
      <c r="Q296" s="286"/>
      <c r="R296" s="286"/>
    </row>
    <row r="297">
      <c r="A297" s="286"/>
      <c r="B297" s="286"/>
      <c r="C297" s="286"/>
      <c r="D297" s="286"/>
      <c r="E297" s="286"/>
      <c r="F297" s="436"/>
      <c r="G297" s="286"/>
      <c r="H297" s="286"/>
      <c r="I297" s="286"/>
      <c r="J297" s="286"/>
      <c r="K297" s="286"/>
      <c r="L297" s="286"/>
      <c r="M297" s="286"/>
      <c r="N297" s="286"/>
      <c r="O297" s="286"/>
      <c r="P297" s="286"/>
      <c r="Q297" s="286"/>
      <c r="R297" s="286"/>
    </row>
    <row r="298">
      <c r="A298" s="286"/>
      <c r="B298" s="286"/>
      <c r="C298" s="286"/>
      <c r="D298" s="286"/>
      <c r="E298" s="286"/>
      <c r="F298" s="436"/>
      <c r="G298" s="286"/>
      <c r="H298" s="286"/>
      <c r="I298" s="286"/>
      <c r="J298" s="286"/>
      <c r="K298" s="286"/>
      <c r="L298" s="286"/>
      <c r="M298" s="286"/>
      <c r="N298" s="286"/>
      <c r="O298" s="286"/>
      <c r="P298" s="286"/>
      <c r="Q298" s="286"/>
      <c r="R298" s="286"/>
    </row>
    <row r="299">
      <c r="A299" s="286"/>
      <c r="B299" s="286"/>
      <c r="C299" s="286"/>
      <c r="D299" s="286"/>
      <c r="E299" s="286"/>
      <c r="F299" s="436"/>
      <c r="G299" s="286"/>
      <c r="H299" s="286"/>
      <c r="I299" s="286"/>
      <c r="J299" s="286"/>
      <c r="K299" s="286"/>
      <c r="L299" s="286"/>
      <c r="M299" s="286"/>
      <c r="N299" s="286"/>
      <c r="O299" s="286"/>
      <c r="P299" s="286"/>
      <c r="Q299" s="286"/>
      <c r="R299" s="286"/>
    </row>
    <row r="300">
      <c r="A300" s="286"/>
      <c r="B300" s="286"/>
      <c r="C300" s="286"/>
      <c r="D300" s="286"/>
      <c r="E300" s="286"/>
      <c r="F300" s="436"/>
      <c r="G300" s="286"/>
      <c r="H300" s="286"/>
      <c r="I300" s="286"/>
      <c r="J300" s="286"/>
      <c r="K300" s="286"/>
      <c r="L300" s="286"/>
      <c r="M300" s="286"/>
      <c r="N300" s="286"/>
      <c r="O300" s="286"/>
      <c r="P300" s="286"/>
      <c r="Q300" s="286"/>
      <c r="R300" s="286"/>
    </row>
    <row r="301">
      <c r="A301" s="286"/>
      <c r="B301" s="286"/>
      <c r="C301" s="286"/>
      <c r="D301" s="286"/>
      <c r="E301" s="286"/>
      <c r="F301" s="436"/>
      <c r="G301" s="286"/>
      <c r="H301" s="286"/>
      <c r="I301" s="286"/>
      <c r="J301" s="286"/>
      <c r="K301" s="286"/>
      <c r="L301" s="286"/>
      <c r="M301" s="286"/>
      <c r="N301" s="286"/>
      <c r="O301" s="286"/>
      <c r="P301" s="286"/>
      <c r="Q301" s="286"/>
      <c r="R301" s="286"/>
    </row>
    <row r="302">
      <c r="A302" s="286"/>
      <c r="B302" s="286"/>
      <c r="C302" s="286"/>
      <c r="D302" s="286"/>
      <c r="E302" s="286"/>
      <c r="F302" s="436"/>
      <c r="G302" s="286"/>
      <c r="H302" s="286"/>
      <c r="I302" s="286"/>
      <c r="J302" s="286"/>
      <c r="K302" s="286"/>
      <c r="L302" s="286"/>
      <c r="M302" s="286"/>
      <c r="N302" s="286"/>
      <c r="O302" s="286"/>
      <c r="P302" s="286"/>
      <c r="Q302" s="286"/>
      <c r="R302" s="286"/>
    </row>
    <row r="303">
      <c r="A303" s="286"/>
      <c r="B303" s="286"/>
      <c r="C303" s="286"/>
      <c r="D303" s="286"/>
      <c r="E303" s="286"/>
      <c r="F303" s="436"/>
      <c r="G303" s="286"/>
      <c r="H303" s="286"/>
      <c r="I303" s="286"/>
      <c r="J303" s="286"/>
      <c r="K303" s="286"/>
      <c r="L303" s="286"/>
      <c r="M303" s="286"/>
      <c r="N303" s="286"/>
      <c r="O303" s="286"/>
      <c r="P303" s="286"/>
      <c r="Q303" s="286"/>
      <c r="R303" s="286"/>
    </row>
    <row r="304">
      <c r="A304" s="286"/>
      <c r="B304" s="286"/>
      <c r="C304" s="286"/>
      <c r="D304" s="286"/>
      <c r="E304" s="286"/>
      <c r="F304" s="436"/>
      <c r="G304" s="286"/>
      <c r="H304" s="286"/>
      <c r="I304" s="286"/>
      <c r="J304" s="286"/>
      <c r="K304" s="286"/>
      <c r="L304" s="286"/>
      <c r="M304" s="286"/>
      <c r="N304" s="286"/>
      <c r="O304" s="286"/>
      <c r="P304" s="286"/>
      <c r="Q304" s="286"/>
      <c r="R304" s="286"/>
    </row>
    <row r="305">
      <c r="A305" s="286"/>
      <c r="B305" s="286"/>
      <c r="C305" s="286"/>
      <c r="D305" s="286"/>
      <c r="E305" s="286"/>
      <c r="F305" s="436"/>
      <c r="G305" s="286"/>
      <c r="H305" s="286"/>
      <c r="I305" s="286"/>
      <c r="J305" s="286"/>
      <c r="K305" s="286"/>
      <c r="L305" s="286"/>
      <c r="M305" s="286"/>
      <c r="N305" s="286"/>
      <c r="O305" s="286"/>
      <c r="P305" s="286"/>
      <c r="Q305" s="286"/>
      <c r="R305" s="286"/>
    </row>
    <row r="306">
      <c r="A306" s="286"/>
      <c r="B306" s="286"/>
      <c r="C306" s="286"/>
      <c r="D306" s="286"/>
      <c r="E306" s="286"/>
      <c r="F306" s="436"/>
      <c r="G306" s="286"/>
      <c r="H306" s="286"/>
      <c r="I306" s="286"/>
      <c r="J306" s="286"/>
      <c r="K306" s="286"/>
      <c r="L306" s="286"/>
      <c r="M306" s="286"/>
      <c r="N306" s="286"/>
      <c r="O306" s="286"/>
      <c r="P306" s="286"/>
      <c r="Q306" s="286"/>
      <c r="R306" s="286"/>
    </row>
    <row r="307">
      <c r="A307" s="286"/>
      <c r="B307" s="286"/>
      <c r="C307" s="286"/>
      <c r="D307" s="286"/>
      <c r="E307" s="286"/>
      <c r="F307" s="436"/>
      <c r="G307" s="286"/>
      <c r="H307" s="286"/>
      <c r="I307" s="286"/>
      <c r="J307" s="286"/>
      <c r="K307" s="286"/>
      <c r="L307" s="286"/>
      <c r="M307" s="286"/>
      <c r="N307" s="286"/>
      <c r="O307" s="286"/>
      <c r="P307" s="286"/>
      <c r="Q307" s="286"/>
      <c r="R307" s="286"/>
    </row>
    <row r="308">
      <c r="A308" s="286"/>
      <c r="B308" s="286"/>
      <c r="C308" s="286"/>
      <c r="D308" s="286"/>
      <c r="E308" s="286"/>
      <c r="F308" s="436"/>
      <c r="G308" s="286"/>
      <c r="H308" s="286"/>
      <c r="I308" s="286"/>
      <c r="J308" s="286"/>
      <c r="K308" s="286"/>
      <c r="L308" s="286"/>
      <c r="M308" s="286"/>
      <c r="N308" s="286"/>
      <c r="O308" s="286"/>
      <c r="P308" s="286"/>
      <c r="Q308" s="286"/>
      <c r="R308" s="286"/>
    </row>
    <row r="309">
      <c r="A309" s="286"/>
      <c r="B309" s="286"/>
      <c r="C309" s="286"/>
      <c r="D309" s="286"/>
      <c r="E309" s="286"/>
      <c r="F309" s="436"/>
      <c r="G309" s="286"/>
      <c r="H309" s="286"/>
      <c r="I309" s="286"/>
      <c r="J309" s="286"/>
      <c r="K309" s="286"/>
      <c r="L309" s="286"/>
      <c r="M309" s="286"/>
      <c r="N309" s="286"/>
      <c r="O309" s="286"/>
      <c r="P309" s="286"/>
      <c r="Q309" s="286"/>
      <c r="R309" s="286"/>
    </row>
    <row r="310">
      <c r="A310" s="286"/>
      <c r="B310" s="286"/>
      <c r="C310" s="286"/>
      <c r="D310" s="286"/>
      <c r="E310" s="286"/>
      <c r="F310" s="436"/>
      <c r="G310" s="286"/>
      <c r="H310" s="286"/>
      <c r="I310" s="286"/>
      <c r="J310" s="286"/>
      <c r="K310" s="286"/>
      <c r="L310" s="286"/>
      <c r="M310" s="286"/>
      <c r="N310" s="286"/>
      <c r="O310" s="286"/>
      <c r="P310" s="286"/>
      <c r="Q310" s="286"/>
      <c r="R310" s="286"/>
    </row>
    <row r="311">
      <c r="A311" s="286"/>
      <c r="B311" s="286"/>
      <c r="C311" s="286"/>
      <c r="D311" s="286"/>
      <c r="E311" s="286"/>
      <c r="F311" s="436"/>
      <c r="G311" s="286"/>
      <c r="H311" s="286"/>
      <c r="I311" s="286"/>
      <c r="J311" s="286"/>
      <c r="K311" s="286"/>
      <c r="L311" s="286"/>
      <c r="M311" s="286"/>
      <c r="N311" s="286"/>
      <c r="O311" s="286"/>
      <c r="P311" s="286"/>
      <c r="Q311" s="286"/>
      <c r="R311" s="286"/>
    </row>
    <row r="312">
      <c r="A312" s="286"/>
      <c r="B312" s="286"/>
      <c r="C312" s="286"/>
      <c r="D312" s="286"/>
      <c r="E312" s="286"/>
      <c r="F312" s="436"/>
      <c r="G312" s="286"/>
      <c r="H312" s="286"/>
      <c r="I312" s="286"/>
      <c r="J312" s="286"/>
      <c r="K312" s="286"/>
      <c r="L312" s="286"/>
      <c r="M312" s="286"/>
      <c r="N312" s="286"/>
      <c r="O312" s="286"/>
      <c r="P312" s="286"/>
      <c r="Q312" s="286"/>
      <c r="R312" s="286"/>
    </row>
    <row r="313">
      <c r="A313" s="286"/>
      <c r="B313" s="286"/>
      <c r="C313" s="286"/>
      <c r="D313" s="286"/>
      <c r="E313" s="286"/>
      <c r="F313" s="436"/>
      <c r="G313" s="286"/>
      <c r="H313" s="286"/>
      <c r="I313" s="286"/>
      <c r="J313" s="286"/>
      <c r="K313" s="286"/>
      <c r="L313" s="286"/>
      <c r="M313" s="286"/>
      <c r="N313" s="286"/>
      <c r="O313" s="286"/>
      <c r="P313" s="286"/>
      <c r="Q313" s="286"/>
      <c r="R313" s="286"/>
    </row>
    <row r="314">
      <c r="A314" s="286"/>
      <c r="B314" s="286"/>
      <c r="C314" s="286"/>
      <c r="D314" s="286"/>
      <c r="E314" s="286"/>
      <c r="F314" s="436"/>
      <c r="G314" s="286"/>
      <c r="H314" s="286"/>
      <c r="I314" s="286"/>
      <c r="J314" s="286"/>
      <c r="K314" s="286"/>
      <c r="L314" s="286"/>
      <c r="M314" s="286"/>
      <c r="N314" s="286"/>
      <c r="O314" s="286"/>
      <c r="P314" s="286"/>
      <c r="Q314" s="286"/>
      <c r="R314" s="286"/>
    </row>
    <row r="315">
      <c r="A315" s="286"/>
      <c r="B315" s="286"/>
      <c r="C315" s="286"/>
      <c r="D315" s="286"/>
      <c r="E315" s="286"/>
      <c r="F315" s="436"/>
      <c r="G315" s="286"/>
      <c r="H315" s="286"/>
      <c r="I315" s="286"/>
      <c r="J315" s="286"/>
      <c r="K315" s="286"/>
      <c r="L315" s="286"/>
      <c r="M315" s="286"/>
      <c r="N315" s="286"/>
      <c r="O315" s="286"/>
      <c r="P315" s="286"/>
      <c r="Q315" s="286"/>
      <c r="R315" s="286"/>
    </row>
    <row r="316">
      <c r="A316" s="286"/>
      <c r="B316" s="286"/>
      <c r="C316" s="286"/>
      <c r="D316" s="286"/>
      <c r="E316" s="286"/>
      <c r="F316" s="436"/>
      <c r="G316" s="286"/>
      <c r="H316" s="286"/>
      <c r="I316" s="286"/>
      <c r="J316" s="286"/>
      <c r="K316" s="286"/>
      <c r="L316" s="286"/>
      <c r="M316" s="286"/>
      <c r="N316" s="286"/>
      <c r="O316" s="286"/>
      <c r="P316" s="286"/>
      <c r="Q316" s="286"/>
      <c r="R316" s="286"/>
    </row>
    <row r="317">
      <c r="A317" s="286"/>
      <c r="B317" s="286"/>
      <c r="C317" s="286"/>
      <c r="D317" s="286"/>
      <c r="E317" s="286"/>
      <c r="F317" s="436"/>
      <c r="G317" s="286"/>
      <c r="H317" s="286"/>
      <c r="I317" s="286"/>
      <c r="J317" s="286"/>
      <c r="K317" s="286"/>
      <c r="L317" s="286"/>
      <c r="M317" s="286"/>
      <c r="N317" s="286"/>
      <c r="O317" s="286"/>
      <c r="P317" s="286"/>
      <c r="Q317" s="286"/>
      <c r="R317" s="286"/>
    </row>
    <row r="318">
      <c r="A318" s="286"/>
      <c r="B318" s="286"/>
      <c r="C318" s="286"/>
      <c r="D318" s="286"/>
      <c r="E318" s="286"/>
      <c r="F318" s="436"/>
      <c r="G318" s="286"/>
      <c r="H318" s="286"/>
      <c r="I318" s="286"/>
      <c r="J318" s="286"/>
      <c r="K318" s="286"/>
      <c r="L318" s="286"/>
      <c r="M318" s="286"/>
      <c r="N318" s="286"/>
      <c r="O318" s="286"/>
      <c r="P318" s="286"/>
      <c r="Q318" s="286"/>
      <c r="R318" s="286"/>
    </row>
    <row r="319">
      <c r="A319" s="286"/>
      <c r="B319" s="286"/>
      <c r="C319" s="286"/>
      <c r="D319" s="286"/>
      <c r="E319" s="286"/>
      <c r="F319" s="436"/>
      <c r="G319" s="286"/>
      <c r="H319" s="286"/>
      <c r="I319" s="286"/>
      <c r="J319" s="286"/>
      <c r="K319" s="286"/>
      <c r="L319" s="286"/>
      <c r="M319" s="286"/>
      <c r="N319" s="286"/>
      <c r="O319" s="286"/>
      <c r="P319" s="286"/>
      <c r="Q319" s="286"/>
      <c r="R319" s="286"/>
    </row>
    <row r="320">
      <c r="A320" s="286"/>
      <c r="B320" s="286"/>
      <c r="C320" s="286"/>
      <c r="D320" s="286"/>
      <c r="E320" s="286"/>
      <c r="F320" s="436"/>
      <c r="G320" s="286"/>
      <c r="H320" s="286"/>
      <c r="I320" s="286"/>
      <c r="J320" s="286"/>
      <c r="K320" s="286"/>
      <c r="L320" s="286"/>
      <c r="M320" s="286"/>
      <c r="N320" s="286"/>
      <c r="O320" s="286"/>
      <c r="P320" s="286"/>
      <c r="Q320" s="286"/>
      <c r="R320" s="286"/>
    </row>
    <row r="321">
      <c r="A321" s="286"/>
      <c r="B321" s="286"/>
      <c r="C321" s="286"/>
      <c r="D321" s="286"/>
      <c r="E321" s="286"/>
      <c r="F321" s="436"/>
      <c r="G321" s="286"/>
      <c r="H321" s="286"/>
      <c r="I321" s="286"/>
      <c r="J321" s="286"/>
      <c r="K321" s="286"/>
      <c r="L321" s="286"/>
      <c r="M321" s="286"/>
      <c r="N321" s="286"/>
      <c r="O321" s="286"/>
      <c r="P321" s="286"/>
      <c r="Q321" s="286"/>
      <c r="R321" s="286"/>
    </row>
    <row r="322">
      <c r="A322" s="286"/>
      <c r="B322" s="286"/>
      <c r="C322" s="286"/>
      <c r="D322" s="286"/>
      <c r="E322" s="286"/>
      <c r="F322" s="436"/>
      <c r="G322" s="286"/>
      <c r="H322" s="286"/>
      <c r="I322" s="286"/>
      <c r="J322" s="286"/>
      <c r="K322" s="286"/>
      <c r="L322" s="286"/>
      <c r="M322" s="286"/>
      <c r="N322" s="286"/>
      <c r="O322" s="286"/>
      <c r="P322" s="286"/>
      <c r="Q322" s="286"/>
      <c r="R322" s="286"/>
    </row>
    <row r="323">
      <c r="A323" s="286"/>
      <c r="B323" s="286"/>
      <c r="C323" s="286"/>
      <c r="D323" s="286"/>
      <c r="E323" s="286"/>
      <c r="F323" s="436"/>
      <c r="G323" s="286"/>
      <c r="H323" s="286"/>
      <c r="I323" s="286"/>
      <c r="J323" s="286"/>
      <c r="K323" s="286"/>
      <c r="L323" s="286"/>
      <c r="M323" s="286"/>
      <c r="N323" s="286"/>
      <c r="O323" s="286"/>
      <c r="P323" s="286"/>
      <c r="Q323" s="286"/>
      <c r="R323" s="286"/>
    </row>
    <row r="324">
      <c r="A324" s="286"/>
      <c r="B324" s="286"/>
      <c r="C324" s="286"/>
      <c r="D324" s="286"/>
      <c r="E324" s="286"/>
      <c r="F324" s="436"/>
      <c r="G324" s="286"/>
      <c r="H324" s="286"/>
      <c r="I324" s="286"/>
      <c r="J324" s="286"/>
      <c r="K324" s="286"/>
      <c r="L324" s="286"/>
      <c r="M324" s="286"/>
      <c r="N324" s="286"/>
      <c r="O324" s="286"/>
      <c r="P324" s="286"/>
      <c r="Q324" s="286"/>
      <c r="R324" s="286"/>
    </row>
    <row r="325">
      <c r="A325" s="286"/>
      <c r="B325" s="286"/>
      <c r="C325" s="286"/>
      <c r="D325" s="286"/>
      <c r="E325" s="286"/>
      <c r="F325" s="436"/>
      <c r="G325" s="286"/>
      <c r="H325" s="286"/>
      <c r="I325" s="286"/>
      <c r="J325" s="286"/>
      <c r="K325" s="286"/>
      <c r="L325" s="286"/>
      <c r="M325" s="286"/>
      <c r="N325" s="286"/>
      <c r="O325" s="286"/>
      <c r="P325" s="286"/>
      <c r="Q325" s="286"/>
      <c r="R325" s="286"/>
    </row>
    <row r="326">
      <c r="A326" s="286"/>
      <c r="B326" s="286"/>
      <c r="C326" s="286"/>
      <c r="D326" s="286"/>
      <c r="E326" s="286"/>
      <c r="F326" s="436"/>
      <c r="G326" s="286"/>
      <c r="H326" s="286"/>
      <c r="I326" s="286"/>
      <c r="J326" s="286"/>
      <c r="K326" s="286"/>
      <c r="L326" s="286"/>
      <c r="M326" s="286"/>
      <c r="N326" s="286"/>
      <c r="O326" s="286"/>
      <c r="P326" s="286"/>
      <c r="Q326" s="286"/>
      <c r="R326" s="286"/>
    </row>
    <row r="327">
      <c r="A327" s="286"/>
      <c r="B327" s="286"/>
      <c r="C327" s="286"/>
      <c r="D327" s="286"/>
      <c r="E327" s="286"/>
      <c r="F327" s="436"/>
      <c r="G327" s="286"/>
      <c r="H327" s="286"/>
      <c r="I327" s="286"/>
      <c r="J327" s="286"/>
      <c r="K327" s="286"/>
      <c r="L327" s="286"/>
      <c r="M327" s="286"/>
      <c r="N327" s="286"/>
      <c r="O327" s="286"/>
      <c r="P327" s="286"/>
      <c r="Q327" s="286"/>
      <c r="R327" s="286"/>
    </row>
    <row r="328">
      <c r="A328" s="286"/>
      <c r="B328" s="286"/>
      <c r="C328" s="286"/>
      <c r="D328" s="286"/>
      <c r="E328" s="286"/>
      <c r="F328" s="436"/>
      <c r="G328" s="286"/>
      <c r="H328" s="286"/>
      <c r="I328" s="286"/>
      <c r="J328" s="286"/>
      <c r="K328" s="286"/>
      <c r="L328" s="286"/>
      <c r="M328" s="286"/>
      <c r="N328" s="286"/>
      <c r="O328" s="286"/>
      <c r="P328" s="286"/>
      <c r="Q328" s="286"/>
      <c r="R328" s="286"/>
    </row>
    <row r="329">
      <c r="A329" s="286"/>
      <c r="B329" s="286"/>
      <c r="C329" s="286"/>
      <c r="D329" s="286"/>
      <c r="E329" s="286"/>
      <c r="F329" s="436"/>
      <c r="G329" s="286"/>
      <c r="H329" s="286"/>
      <c r="I329" s="286"/>
      <c r="J329" s="286"/>
      <c r="K329" s="286"/>
      <c r="L329" s="286"/>
      <c r="M329" s="286"/>
      <c r="N329" s="286"/>
      <c r="O329" s="286"/>
      <c r="P329" s="286"/>
      <c r="Q329" s="286"/>
      <c r="R329" s="286"/>
    </row>
    <row r="330">
      <c r="A330" s="286"/>
      <c r="B330" s="286"/>
      <c r="C330" s="286"/>
      <c r="D330" s="286"/>
      <c r="E330" s="286"/>
      <c r="F330" s="436"/>
      <c r="G330" s="286"/>
      <c r="H330" s="286"/>
      <c r="I330" s="286"/>
      <c r="J330" s="286"/>
      <c r="K330" s="286"/>
      <c r="L330" s="286"/>
      <c r="M330" s="286"/>
      <c r="N330" s="286"/>
      <c r="O330" s="286"/>
      <c r="P330" s="286"/>
      <c r="Q330" s="286"/>
      <c r="R330" s="286"/>
    </row>
    <row r="331">
      <c r="A331" s="286"/>
      <c r="B331" s="286"/>
      <c r="C331" s="286"/>
      <c r="D331" s="286"/>
      <c r="E331" s="286"/>
      <c r="F331" s="436"/>
      <c r="G331" s="286"/>
      <c r="H331" s="286"/>
      <c r="I331" s="286"/>
      <c r="J331" s="286"/>
      <c r="K331" s="286"/>
      <c r="L331" s="286"/>
      <c r="M331" s="286"/>
      <c r="N331" s="286"/>
      <c r="O331" s="286"/>
      <c r="P331" s="286"/>
      <c r="Q331" s="286"/>
      <c r="R331" s="286"/>
    </row>
    <row r="332">
      <c r="A332" s="286"/>
      <c r="B332" s="286"/>
      <c r="C332" s="286"/>
      <c r="D332" s="286"/>
      <c r="E332" s="286"/>
      <c r="F332" s="436"/>
      <c r="G332" s="286"/>
      <c r="H332" s="286"/>
      <c r="I332" s="286"/>
      <c r="J332" s="286"/>
      <c r="K332" s="286"/>
      <c r="L332" s="286"/>
      <c r="M332" s="286"/>
      <c r="N332" s="286"/>
      <c r="O332" s="286"/>
      <c r="P332" s="286"/>
      <c r="Q332" s="286"/>
      <c r="R332" s="286"/>
    </row>
    <row r="333">
      <c r="A333" s="286"/>
      <c r="B333" s="286"/>
      <c r="C333" s="286"/>
      <c r="D333" s="286"/>
      <c r="E333" s="286"/>
      <c r="F333" s="436"/>
      <c r="G333" s="286"/>
      <c r="H333" s="286"/>
      <c r="I333" s="286"/>
      <c r="J333" s="286"/>
      <c r="K333" s="286"/>
      <c r="L333" s="286"/>
      <c r="M333" s="286"/>
      <c r="N333" s="286"/>
      <c r="O333" s="286"/>
      <c r="P333" s="286"/>
      <c r="Q333" s="286"/>
      <c r="R333" s="286"/>
    </row>
    <row r="334">
      <c r="A334" s="286"/>
      <c r="B334" s="286"/>
      <c r="C334" s="286"/>
      <c r="D334" s="286"/>
      <c r="E334" s="286"/>
      <c r="F334" s="436"/>
      <c r="G334" s="286"/>
      <c r="H334" s="286"/>
      <c r="I334" s="286"/>
      <c r="J334" s="286"/>
      <c r="K334" s="286"/>
      <c r="L334" s="286"/>
      <c r="M334" s="286"/>
      <c r="N334" s="286"/>
      <c r="O334" s="286"/>
      <c r="P334" s="286"/>
      <c r="Q334" s="286"/>
      <c r="R334" s="286"/>
    </row>
    <row r="335">
      <c r="A335" s="286"/>
      <c r="B335" s="286"/>
      <c r="C335" s="286"/>
      <c r="D335" s="286"/>
      <c r="E335" s="286"/>
      <c r="F335" s="436"/>
      <c r="G335" s="286"/>
      <c r="H335" s="286"/>
      <c r="I335" s="286"/>
      <c r="J335" s="286"/>
      <c r="K335" s="286"/>
      <c r="L335" s="286"/>
      <c r="M335" s="286"/>
      <c r="N335" s="286"/>
      <c r="O335" s="286"/>
      <c r="P335" s="286"/>
      <c r="Q335" s="286"/>
      <c r="R335" s="286"/>
    </row>
    <row r="336">
      <c r="A336" s="286"/>
      <c r="B336" s="286"/>
      <c r="C336" s="286"/>
      <c r="D336" s="286"/>
      <c r="E336" s="286"/>
      <c r="F336" s="436"/>
      <c r="G336" s="286"/>
      <c r="H336" s="286"/>
      <c r="I336" s="286"/>
      <c r="J336" s="286"/>
      <c r="K336" s="286"/>
      <c r="L336" s="286"/>
      <c r="M336" s="286"/>
      <c r="N336" s="286"/>
      <c r="O336" s="286"/>
      <c r="P336" s="286"/>
      <c r="Q336" s="286"/>
      <c r="R336" s="286"/>
    </row>
    <row r="337">
      <c r="A337" s="286"/>
      <c r="B337" s="286"/>
      <c r="C337" s="286"/>
      <c r="D337" s="286"/>
      <c r="E337" s="286"/>
      <c r="F337" s="436"/>
      <c r="G337" s="286"/>
      <c r="H337" s="286"/>
      <c r="I337" s="286"/>
      <c r="J337" s="286"/>
      <c r="K337" s="286"/>
      <c r="L337" s="286"/>
      <c r="M337" s="286"/>
      <c r="N337" s="286"/>
      <c r="O337" s="286"/>
      <c r="P337" s="286"/>
      <c r="Q337" s="286"/>
      <c r="R337" s="286"/>
    </row>
    <row r="338">
      <c r="A338" s="286"/>
      <c r="B338" s="286"/>
      <c r="C338" s="286"/>
      <c r="D338" s="286"/>
      <c r="E338" s="286"/>
      <c r="F338" s="436"/>
      <c r="G338" s="286"/>
      <c r="H338" s="286"/>
      <c r="I338" s="286"/>
      <c r="J338" s="286"/>
      <c r="K338" s="286"/>
      <c r="L338" s="286"/>
      <c r="M338" s="286"/>
      <c r="N338" s="286"/>
      <c r="O338" s="286"/>
      <c r="P338" s="286"/>
      <c r="Q338" s="286"/>
      <c r="R338" s="286"/>
    </row>
    <row r="339">
      <c r="A339" s="286"/>
      <c r="B339" s="286"/>
      <c r="C339" s="286"/>
      <c r="D339" s="286"/>
      <c r="E339" s="286"/>
      <c r="F339" s="436"/>
      <c r="G339" s="286"/>
      <c r="H339" s="286"/>
      <c r="I339" s="286"/>
      <c r="J339" s="286"/>
      <c r="K339" s="286"/>
      <c r="L339" s="286"/>
      <c r="M339" s="286"/>
      <c r="N339" s="286"/>
      <c r="O339" s="286"/>
      <c r="P339" s="286"/>
      <c r="Q339" s="286"/>
      <c r="R339" s="286"/>
    </row>
    <row r="340">
      <c r="A340" s="286"/>
      <c r="B340" s="286"/>
      <c r="C340" s="286"/>
      <c r="D340" s="286"/>
      <c r="E340" s="286"/>
      <c r="F340" s="436"/>
      <c r="G340" s="286"/>
      <c r="H340" s="286"/>
      <c r="I340" s="286"/>
      <c r="J340" s="286"/>
      <c r="K340" s="286"/>
      <c r="L340" s="286"/>
      <c r="M340" s="286"/>
      <c r="N340" s="286"/>
      <c r="O340" s="286"/>
      <c r="P340" s="286"/>
      <c r="Q340" s="286"/>
      <c r="R340" s="286"/>
    </row>
    <row r="341">
      <c r="A341" s="286"/>
      <c r="B341" s="286"/>
      <c r="C341" s="286"/>
      <c r="D341" s="286"/>
      <c r="E341" s="286"/>
      <c r="F341" s="436"/>
      <c r="G341" s="286"/>
      <c r="H341" s="286"/>
      <c r="I341" s="286"/>
      <c r="J341" s="286"/>
      <c r="K341" s="286"/>
      <c r="L341" s="286"/>
      <c r="M341" s="286"/>
      <c r="N341" s="286"/>
      <c r="O341" s="286"/>
      <c r="P341" s="286"/>
      <c r="Q341" s="286"/>
      <c r="R341" s="286"/>
    </row>
    <row r="342">
      <c r="A342" s="286"/>
      <c r="B342" s="286"/>
      <c r="C342" s="286"/>
      <c r="D342" s="286"/>
      <c r="E342" s="286"/>
      <c r="F342" s="436"/>
      <c r="G342" s="286"/>
      <c r="H342" s="286"/>
      <c r="I342" s="286"/>
      <c r="J342" s="286"/>
      <c r="K342" s="286"/>
      <c r="L342" s="286"/>
      <c r="M342" s="286"/>
      <c r="N342" s="286"/>
      <c r="O342" s="286"/>
      <c r="P342" s="286"/>
      <c r="Q342" s="286"/>
      <c r="R342" s="286"/>
    </row>
    <row r="343">
      <c r="A343" s="286"/>
      <c r="B343" s="286"/>
      <c r="C343" s="286"/>
      <c r="D343" s="286"/>
      <c r="E343" s="286"/>
      <c r="F343" s="436"/>
      <c r="G343" s="286"/>
      <c r="H343" s="286"/>
      <c r="I343" s="286"/>
      <c r="J343" s="286"/>
      <c r="K343" s="286"/>
      <c r="L343" s="286"/>
      <c r="M343" s="286"/>
      <c r="N343" s="286"/>
      <c r="O343" s="286"/>
      <c r="P343" s="286"/>
      <c r="Q343" s="286"/>
      <c r="R343" s="286"/>
    </row>
    <row r="344">
      <c r="A344" s="286"/>
      <c r="B344" s="286"/>
      <c r="C344" s="286"/>
      <c r="D344" s="286"/>
      <c r="E344" s="286"/>
      <c r="F344" s="436"/>
      <c r="G344" s="286"/>
      <c r="H344" s="286"/>
      <c r="I344" s="286"/>
      <c r="J344" s="286"/>
      <c r="K344" s="286"/>
      <c r="L344" s="286"/>
      <c r="M344" s="286"/>
      <c r="N344" s="286"/>
      <c r="O344" s="286"/>
      <c r="P344" s="286"/>
      <c r="Q344" s="286"/>
      <c r="R344" s="286"/>
    </row>
    <row r="345">
      <c r="A345" s="286"/>
      <c r="B345" s="286"/>
      <c r="C345" s="286"/>
      <c r="D345" s="286"/>
      <c r="E345" s="286"/>
      <c r="F345" s="436"/>
      <c r="G345" s="286"/>
      <c r="H345" s="286"/>
      <c r="I345" s="286"/>
      <c r="J345" s="286"/>
      <c r="K345" s="286"/>
      <c r="L345" s="286"/>
      <c r="M345" s="286"/>
      <c r="N345" s="286"/>
      <c r="O345" s="286"/>
      <c r="P345" s="286"/>
      <c r="Q345" s="286"/>
      <c r="R345" s="286"/>
    </row>
    <row r="346">
      <c r="A346" s="286"/>
      <c r="B346" s="286"/>
      <c r="C346" s="286"/>
      <c r="D346" s="286"/>
      <c r="E346" s="286"/>
      <c r="F346" s="436"/>
      <c r="G346" s="286"/>
      <c r="H346" s="286"/>
      <c r="I346" s="286"/>
      <c r="J346" s="286"/>
      <c r="K346" s="286"/>
      <c r="L346" s="286"/>
      <c r="M346" s="286"/>
      <c r="N346" s="286"/>
      <c r="O346" s="286"/>
      <c r="P346" s="286"/>
      <c r="Q346" s="286"/>
      <c r="R346" s="286"/>
    </row>
    <row r="347">
      <c r="A347" s="286"/>
      <c r="B347" s="286"/>
      <c r="C347" s="286"/>
      <c r="D347" s="286"/>
      <c r="E347" s="286"/>
      <c r="F347" s="436"/>
      <c r="G347" s="286"/>
      <c r="H347" s="286"/>
      <c r="I347" s="286"/>
      <c r="J347" s="286"/>
      <c r="K347" s="286"/>
      <c r="L347" s="286"/>
      <c r="M347" s="286"/>
      <c r="N347" s="286"/>
      <c r="O347" s="286"/>
      <c r="P347" s="286"/>
      <c r="Q347" s="286"/>
      <c r="R347" s="286"/>
    </row>
    <row r="348">
      <c r="A348" s="286"/>
      <c r="B348" s="286"/>
      <c r="C348" s="286"/>
      <c r="D348" s="286"/>
      <c r="E348" s="286"/>
      <c r="F348" s="436"/>
      <c r="G348" s="286"/>
      <c r="H348" s="286"/>
      <c r="I348" s="286"/>
      <c r="J348" s="286"/>
      <c r="K348" s="286"/>
      <c r="L348" s="286"/>
      <c r="M348" s="286"/>
      <c r="N348" s="286"/>
      <c r="O348" s="286"/>
      <c r="P348" s="286"/>
      <c r="Q348" s="286"/>
      <c r="R348" s="286"/>
    </row>
    <row r="349">
      <c r="A349" s="286"/>
      <c r="B349" s="286"/>
      <c r="C349" s="286"/>
      <c r="D349" s="286"/>
      <c r="E349" s="286"/>
      <c r="F349" s="436"/>
      <c r="G349" s="286"/>
      <c r="H349" s="286"/>
      <c r="I349" s="286"/>
      <c r="J349" s="286"/>
      <c r="K349" s="286"/>
      <c r="L349" s="286"/>
      <c r="M349" s="286"/>
      <c r="N349" s="286"/>
      <c r="O349" s="286"/>
      <c r="P349" s="286"/>
      <c r="Q349" s="286"/>
      <c r="R349" s="286"/>
    </row>
    <row r="350">
      <c r="A350" s="286"/>
      <c r="B350" s="286"/>
      <c r="C350" s="286"/>
      <c r="D350" s="286"/>
      <c r="E350" s="286"/>
      <c r="F350" s="436"/>
      <c r="G350" s="286"/>
      <c r="H350" s="286"/>
      <c r="I350" s="286"/>
      <c r="J350" s="286"/>
      <c r="K350" s="286"/>
      <c r="L350" s="286"/>
      <c r="M350" s="286"/>
      <c r="N350" s="286"/>
      <c r="O350" s="286"/>
      <c r="P350" s="286"/>
      <c r="Q350" s="286"/>
      <c r="R350" s="286"/>
    </row>
    <row r="351">
      <c r="A351" s="286"/>
      <c r="B351" s="286"/>
      <c r="C351" s="286"/>
      <c r="D351" s="286"/>
      <c r="E351" s="286"/>
      <c r="F351" s="436"/>
      <c r="G351" s="286"/>
      <c r="H351" s="286"/>
      <c r="I351" s="286"/>
      <c r="J351" s="286"/>
      <c r="K351" s="286"/>
      <c r="L351" s="286"/>
      <c r="M351" s="286"/>
      <c r="N351" s="286"/>
      <c r="O351" s="286"/>
      <c r="P351" s="286"/>
      <c r="Q351" s="286"/>
      <c r="R351" s="286"/>
    </row>
    <row r="352">
      <c r="A352" s="286"/>
      <c r="B352" s="286"/>
      <c r="C352" s="286"/>
      <c r="D352" s="286"/>
      <c r="E352" s="286"/>
      <c r="F352" s="436"/>
      <c r="G352" s="286"/>
      <c r="H352" s="286"/>
      <c r="I352" s="286"/>
      <c r="J352" s="286"/>
      <c r="K352" s="286"/>
      <c r="L352" s="286"/>
      <c r="M352" s="286"/>
      <c r="N352" s="286"/>
      <c r="O352" s="286"/>
      <c r="P352" s="286"/>
      <c r="Q352" s="286"/>
      <c r="R352" s="286"/>
    </row>
    <row r="353">
      <c r="A353" s="286"/>
      <c r="B353" s="286"/>
      <c r="C353" s="286"/>
      <c r="D353" s="286"/>
      <c r="E353" s="286"/>
      <c r="F353" s="436"/>
      <c r="G353" s="286"/>
      <c r="H353" s="286"/>
      <c r="I353" s="286"/>
      <c r="J353" s="286"/>
      <c r="K353" s="286"/>
      <c r="L353" s="286"/>
      <c r="M353" s="286"/>
      <c r="N353" s="286"/>
      <c r="O353" s="286"/>
      <c r="P353" s="286"/>
      <c r="Q353" s="286"/>
      <c r="R353" s="286"/>
    </row>
    <row r="354">
      <c r="A354" s="286"/>
      <c r="B354" s="286"/>
      <c r="C354" s="286"/>
      <c r="D354" s="286"/>
      <c r="E354" s="286"/>
      <c r="F354" s="436"/>
      <c r="G354" s="286"/>
      <c r="H354" s="286"/>
      <c r="I354" s="286"/>
      <c r="J354" s="286"/>
      <c r="K354" s="286"/>
      <c r="L354" s="286"/>
      <c r="M354" s="286"/>
      <c r="N354" s="286"/>
      <c r="O354" s="286"/>
      <c r="P354" s="286"/>
      <c r="Q354" s="286"/>
      <c r="R354" s="286"/>
    </row>
    <row r="355">
      <c r="A355" s="286"/>
      <c r="B355" s="286"/>
      <c r="C355" s="286"/>
      <c r="D355" s="286"/>
      <c r="E355" s="286"/>
      <c r="F355" s="436"/>
      <c r="G355" s="286"/>
      <c r="H355" s="286"/>
      <c r="I355" s="286"/>
      <c r="J355" s="286"/>
      <c r="K355" s="286"/>
      <c r="L355" s="286"/>
      <c r="M355" s="286"/>
      <c r="N355" s="286"/>
      <c r="O355" s="286"/>
      <c r="P355" s="286"/>
      <c r="Q355" s="286"/>
      <c r="R355" s="286"/>
    </row>
    <row r="356">
      <c r="A356" s="286"/>
      <c r="B356" s="286"/>
      <c r="C356" s="286"/>
      <c r="D356" s="286"/>
      <c r="E356" s="286"/>
      <c r="F356" s="436"/>
      <c r="G356" s="286"/>
      <c r="H356" s="286"/>
      <c r="I356" s="286"/>
      <c r="J356" s="286"/>
      <c r="K356" s="286"/>
      <c r="L356" s="286"/>
      <c r="M356" s="286"/>
      <c r="N356" s="286"/>
      <c r="O356" s="286"/>
      <c r="P356" s="286"/>
      <c r="Q356" s="286"/>
      <c r="R356" s="286"/>
    </row>
    <row r="357">
      <c r="A357" s="286"/>
      <c r="B357" s="286"/>
      <c r="C357" s="286"/>
      <c r="D357" s="286"/>
      <c r="E357" s="286"/>
      <c r="F357" s="436"/>
      <c r="G357" s="286"/>
      <c r="H357" s="286"/>
      <c r="I357" s="286"/>
      <c r="J357" s="286"/>
      <c r="K357" s="286"/>
      <c r="L357" s="286"/>
      <c r="M357" s="286"/>
      <c r="N357" s="286"/>
      <c r="O357" s="286"/>
      <c r="P357" s="286"/>
      <c r="Q357" s="286"/>
      <c r="R357" s="286"/>
    </row>
    <row r="358">
      <c r="A358" s="286"/>
      <c r="B358" s="286"/>
      <c r="C358" s="286"/>
      <c r="D358" s="286"/>
      <c r="E358" s="286"/>
      <c r="F358" s="436"/>
      <c r="G358" s="286"/>
      <c r="H358" s="286"/>
      <c r="I358" s="286"/>
      <c r="J358" s="286"/>
      <c r="K358" s="286"/>
      <c r="L358" s="286"/>
      <c r="M358" s="286"/>
      <c r="N358" s="286"/>
      <c r="O358" s="286"/>
      <c r="P358" s="286"/>
      <c r="Q358" s="286"/>
      <c r="R358" s="286"/>
    </row>
    <row r="359">
      <c r="A359" s="286"/>
      <c r="B359" s="286"/>
      <c r="C359" s="286"/>
      <c r="D359" s="286"/>
      <c r="E359" s="286"/>
      <c r="F359" s="436"/>
      <c r="G359" s="286"/>
      <c r="H359" s="286"/>
      <c r="I359" s="286"/>
      <c r="J359" s="286"/>
      <c r="K359" s="286"/>
      <c r="L359" s="286"/>
      <c r="M359" s="286"/>
      <c r="N359" s="286"/>
      <c r="O359" s="286"/>
      <c r="P359" s="286"/>
      <c r="Q359" s="286"/>
      <c r="R359" s="286"/>
    </row>
    <row r="360">
      <c r="A360" s="286"/>
      <c r="B360" s="286"/>
      <c r="C360" s="286"/>
      <c r="D360" s="286"/>
      <c r="E360" s="286"/>
      <c r="F360" s="436"/>
      <c r="G360" s="286"/>
      <c r="H360" s="286"/>
      <c r="I360" s="286"/>
      <c r="J360" s="286"/>
      <c r="K360" s="286"/>
      <c r="L360" s="286"/>
      <c r="M360" s="286"/>
      <c r="N360" s="286"/>
      <c r="O360" s="286"/>
      <c r="P360" s="286"/>
      <c r="Q360" s="286"/>
      <c r="R360" s="286"/>
    </row>
    <row r="361">
      <c r="A361" s="286"/>
      <c r="B361" s="286"/>
      <c r="C361" s="286"/>
      <c r="D361" s="286"/>
      <c r="E361" s="286"/>
      <c r="F361" s="436"/>
      <c r="G361" s="286"/>
      <c r="H361" s="286"/>
      <c r="I361" s="286"/>
      <c r="J361" s="286"/>
      <c r="K361" s="286"/>
      <c r="L361" s="286"/>
      <c r="M361" s="286"/>
      <c r="N361" s="286"/>
      <c r="O361" s="286"/>
      <c r="P361" s="286"/>
      <c r="Q361" s="286"/>
      <c r="R361" s="286"/>
    </row>
    <row r="362">
      <c r="A362" s="286"/>
      <c r="B362" s="286"/>
      <c r="C362" s="286"/>
      <c r="D362" s="286"/>
      <c r="E362" s="286"/>
      <c r="F362" s="436"/>
      <c r="G362" s="286"/>
      <c r="H362" s="286"/>
      <c r="I362" s="286"/>
      <c r="J362" s="286"/>
      <c r="K362" s="286"/>
      <c r="L362" s="286"/>
      <c r="M362" s="286"/>
      <c r="N362" s="286"/>
      <c r="O362" s="286"/>
      <c r="P362" s="286"/>
      <c r="Q362" s="286"/>
      <c r="R362" s="286"/>
    </row>
    <row r="363">
      <c r="A363" s="286"/>
      <c r="B363" s="286"/>
      <c r="C363" s="286"/>
      <c r="D363" s="286"/>
      <c r="E363" s="286"/>
      <c r="F363" s="436"/>
      <c r="G363" s="286"/>
      <c r="H363" s="286"/>
      <c r="I363" s="286"/>
      <c r="J363" s="286"/>
      <c r="K363" s="286"/>
      <c r="L363" s="286"/>
      <c r="M363" s="286"/>
      <c r="N363" s="286"/>
      <c r="O363" s="286"/>
      <c r="P363" s="286"/>
      <c r="Q363" s="286"/>
      <c r="R363" s="286"/>
    </row>
    <row r="364">
      <c r="A364" s="286"/>
      <c r="B364" s="286"/>
      <c r="C364" s="286"/>
      <c r="D364" s="286"/>
      <c r="E364" s="286"/>
      <c r="F364" s="436"/>
      <c r="G364" s="286"/>
      <c r="H364" s="286"/>
      <c r="I364" s="286"/>
      <c r="J364" s="286"/>
      <c r="K364" s="286"/>
      <c r="L364" s="286"/>
      <c r="M364" s="286"/>
      <c r="N364" s="286"/>
      <c r="O364" s="286"/>
      <c r="P364" s="286"/>
      <c r="Q364" s="286"/>
      <c r="R364" s="286"/>
    </row>
    <row r="365">
      <c r="A365" s="286"/>
      <c r="B365" s="286"/>
      <c r="C365" s="286"/>
      <c r="D365" s="286"/>
      <c r="E365" s="286"/>
      <c r="F365" s="436"/>
      <c r="G365" s="286"/>
      <c r="H365" s="286"/>
      <c r="I365" s="286"/>
      <c r="J365" s="286"/>
      <c r="K365" s="286"/>
      <c r="L365" s="286"/>
      <c r="M365" s="286"/>
      <c r="N365" s="286"/>
      <c r="O365" s="286"/>
      <c r="P365" s="286"/>
      <c r="Q365" s="286"/>
      <c r="R365" s="286"/>
    </row>
    <row r="366">
      <c r="A366" s="286"/>
      <c r="B366" s="286"/>
      <c r="C366" s="286"/>
      <c r="D366" s="286"/>
      <c r="E366" s="286"/>
      <c r="F366" s="436"/>
      <c r="G366" s="286"/>
      <c r="H366" s="286"/>
      <c r="I366" s="286"/>
      <c r="J366" s="286"/>
      <c r="K366" s="286"/>
      <c r="L366" s="286"/>
      <c r="M366" s="286"/>
      <c r="N366" s="286"/>
      <c r="O366" s="286"/>
      <c r="P366" s="286"/>
      <c r="Q366" s="286"/>
      <c r="R366" s="286"/>
    </row>
    <row r="367">
      <c r="A367" s="286"/>
      <c r="B367" s="286"/>
      <c r="C367" s="286"/>
      <c r="D367" s="286"/>
      <c r="E367" s="286"/>
      <c r="F367" s="436"/>
      <c r="G367" s="286"/>
      <c r="H367" s="286"/>
      <c r="I367" s="286"/>
      <c r="J367" s="286"/>
      <c r="K367" s="286"/>
      <c r="L367" s="286"/>
      <c r="M367" s="286"/>
      <c r="N367" s="286"/>
      <c r="O367" s="286"/>
      <c r="P367" s="286"/>
      <c r="Q367" s="286"/>
      <c r="R367" s="286"/>
    </row>
    <row r="368">
      <c r="A368" s="286"/>
      <c r="B368" s="286"/>
      <c r="C368" s="286"/>
      <c r="D368" s="286"/>
      <c r="E368" s="286"/>
      <c r="F368" s="436"/>
      <c r="G368" s="286"/>
      <c r="H368" s="286"/>
      <c r="I368" s="286"/>
      <c r="J368" s="286"/>
      <c r="K368" s="286"/>
      <c r="L368" s="286"/>
      <c r="M368" s="286"/>
      <c r="N368" s="286"/>
      <c r="O368" s="286"/>
      <c r="P368" s="286"/>
      <c r="Q368" s="286"/>
      <c r="R368" s="286"/>
    </row>
    <row r="369">
      <c r="A369" s="286"/>
      <c r="B369" s="286"/>
      <c r="C369" s="286"/>
      <c r="D369" s="286"/>
      <c r="E369" s="286"/>
      <c r="F369" s="436"/>
      <c r="G369" s="286"/>
      <c r="H369" s="286"/>
      <c r="I369" s="286"/>
      <c r="J369" s="286"/>
      <c r="K369" s="286"/>
      <c r="L369" s="286"/>
      <c r="M369" s="286"/>
      <c r="N369" s="286"/>
      <c r="O369" s="286"/>
      <c r="P369" s="286"/>
      <c r="Q369" s="286"/>
      <c r="R369" s="286"/>
    </row>
    <row r="370">
      <c r="A370" s="286"/>
      <c r="B370" s="286"/>
      <c r="C370" s="286"/>
      <c r="D370" s="286"/>
      <c r="E370" s="286"/>
      <c r="F370" s="436"/>
      <c r="G370" s="286"/>
      <c r="H370" s="286"/>
      <c r="I370" s="286"/>
      <c r="J370" s="286"/>
      <c r="K370" s="286"/>
      <c r="L370" s="286"/>
      <c r="M370" s="286"/>
      <c r="N370" s="286"/>
      <c r="O370" s="286"/>
      <c r="P370" s="286"/>
      <c r="Q370" s="286"/>
      <c r="R370" s="286"/>
    </row>
    <row r="371">
      <c r="A371" s="286"/>
      <c r="B371" s="286"/>
      <c r="C371" s="286"/>
      <c r="D371" s="286"/>
      <c r="E371" s="286"/>
      <c r="F371" s="436"/>
      <c r="G371" s="286"/>
      <c r="H371" s="286"/>
      <c r="I371" s="286"/>
      <c r="J371" s="286"/>
      <c r="K371" s="286"/>
      <c r="L371" s="286"/>
      <c r="M371" s="286"/>
      <c r="N371" s="286"/>
      <c r="O371" s="286"/>
      <c r="P371" s="286"/>
      <c r="Q371" s="286"/>
      <c r="R371" s="286"/>
    </row>
    <row r="372">
      <c r="A372" s="286"/>
      <c r="B372" s="286"/>
      <c r="C372" s="286"/>
      <c r="D372" s="286"/>
      <c r="E372" s="286"/>
      <c r="F372" s="436"/>
      <c r="G372" s="286"/>
      <c r="H372" s="286"/>
      <c r="I372" s="286"/>
      <c r="J372" s="286"/>
      <c r="K372" s="286"/>
      <c r="L372" s="286"/>
      <c r="M372" s="286"/>
      <c r="N372" s="286"/>
      <c r="O372" s="286"/>
      <c r="P372" s="286"/>
      <c r="Q372" s="286"/>
      <c r="R372" s="286"/>
    </row>
    <row r="373">
      <c r="A373" s="286"/>
      <c r="B373" s="286"/>
      <c r="C373" s="286"/>
      <c r="D373" s="286"/>
      <c r="E373" s="286"/>
      <c r="F373" s="436"/>
      <c r="G373" s="286"/>
      <c r="H373" s="286"/>
      <c r="I373" s="286"/>
      <c r="J373" s="286"/>
      <c r="K373" s="286"/>
      <c r="L373" s="286"/>
      <c r="M373" s="286"/>
      <c r="N373" s="286"/>
      <c r="O373" s="286"/>
      <c r="P373" s="286"/>
      <c r="Q373" s="286"/>
      <c r="R373" s="286"/>
    </row>
    <row r="374">
      <c r="A374" s="286"/>
      <c r="B374" s="286"/>
      <c r="C374" s="286"/>
      <c r="D374" s="286"/>
      <c r="E374" s="286"/>
      <c r="F374" s="436"/>
      <c r="G374" s="286"/>
      <c r="H374" s="286"/>
      <c r="I374" s="286"/>
      <c r="J374" s="286"/>
      <c r="K374" s="286"/>
      <c r="L374" s="286"/>
      <c r="M374" s="286"/>
      <c r="N374" s="286"/>
      <c r="O374" s="286"/>
      <c r="P374" s="286"/>
      <c r="Q374" s="286"/>
      <c r="R374" s="286"/>
    </row>
    <row r="375">
      <c r="A375" s="286"/>
      <c r="B375" s="286"/>
      <c r="C375" s="286"/>
      <c r="D375" s="286"/>
      <c r="E375" s="286"/>
      <c r="F375" s="436"/>
      <c r="G375" s="286"/>
      <c r="H375" s="286"/>
      <c r="I375" s="286"/>
      <c r="J375" s="286"/>
      <c r="K375" s="286"/>
      <c r="L375" s="286"/>
      <c r="M375" s="286"/>
      <c r="N375" s="286"/>
      <c r="O375" s="286"/>
      <c r="P375" s="286"/>
      <c r="Q375" s="286"/>
      <c r="R375" s="286"/>
    </row>
    <row r="376">
      <c r="A376" s="286"/>
      <c r="B376" s="286"/>
      <c r="C376" s="286"/>
      <c r="D376" s="286"/>
      <c r="E376" s="286"/>
      <c r="F376" s="436"/>
      <c r="G376" s="286"/>
      <c r="H376" s="286"/>
      <c r="I376" s="286"/>
      <c r="J376" s="286"/>
      <c r="K376" s="286"/>
      <c r="L376" s="286"/>
      <c r="M376" s="286"/>
      <c r="N376" s="286"/>
      <c r="O376" s="286"/>
      <c r="P376" s="286"/>
      <c r="Q376" s="286"/>
      <c r="R376" s="286"/>
    </row>
    <row r="377">
      <c r="A377" s="286"/>
      <c r="B377" s="286"/>
      <c r="C377" s="286"/>
      <c r="D377" s="286"/>
      <c r="E377" s="286"/>
      <c r="F377" s="436"/>
      <c r="G377" s="286"/>
      <c r="H377" s="286"/>
      <c r="I377" s="286"/>
      <c r="J377" s="286"/>
      <c r="K377" s="286"/>
      <c r="L377" s="286"/>
      <c r="M377" s="286"/>
      <c r="N377" s="286"/>
      <c r="O377" s="286"/>
      <c r="P377" s="286"/>
      <c r="Q377" s="286"/>
      <c r="R377" s="286"/>
    </row>
    <row r="378">
      <c r="A378" s="286"/>
      <c r="B378" s="286"/>
      <c r="C378" s="286"/>
      <c r="D378" s="286"/>
      <c r="E378" s="286"/>
      <c r="F378" s="436"/>
      <c r="G378" s="286"/>
      <c r="H378" s="286"/>
      <c r="I378" s="286"/>
      <c r="J378" s="286"/>
      <c r="K378" s="286"/>
      <c r="L378" s="286"/>
      <c r="M378" s="286"/>
      <c r="N378" s="286"/>
      <c r="O378" s="286"/>
      <c r="P378" s="286"/>
      <c r="Q378" s="286"/>
      <c r="R378" s="286"/>
    </row>
    <row r="379">
      <c r="A379" s="286"/>
      <c r="B379" s="286"/>
      <c r="C379" s="286"/>
      <c r="D379" s="286"/>
      <c r="E379" s="286"/>
      <c r="F379" s="436"/>
      <c r="G379" s="286"/>
      <c r="H379" s="286"/>
      <c r="I379" s="286"/>
      <c r="J379" s="286"/>
      <c r="K379" s="286"/>
      <c r="L379" s="286"/>
      <c r="M379" s="286"/>
      <c r="N379" s="286"/>
      <c r="O379" s="286"/>
      <c r="P379" s="286"/>
      <c r="Q379" s="286"/>
      <c r="R379" s="286"/>
    </row>
    <row r="380">
      <c r="A380" s="286"/>
      <c r="B380" s="286"/>
      <c r="C380" s="286"/>
      <c r="D380" s="286"/>
      <c r="E380" s="286"/>
      <c r="F380" s="436"/>
      <c r="G380" s="286"/>
      <c r="H380" s="286"/>
      <c r="I380" s="286"/>
      <c r="J380" s="286"/>
      <c r="K380" s="286"/>
      <c r="L380" s="286"/>
      <c r="M380" s="286"/>
      <c r="N380" s="286"/>
      <c r="O380" s="286"/>
      <c r="P380" s="286"/>
      <c r="Q380" s="286"/>
      <c r="R380" s="286"/>
    </row>
    <row r="381">
      <c r="A381" s="286"/>
      <c r="B381" s="286"/>
      <c r="C381" s="286"/>
      <c r="D381" s="286"/>
      <c r="E381" s="286"/>
      <c r="F381" s="436"/>
      <c r="G381" s="286"/>
      <c r="H381" s="286"/>
      <c r="I381" s="286"/>
      <c r="J381" s="286"/>
      <c r="K381" s="286"/>
      <c r="L381" s="286"/>
      <c r="M381" s="286"/>
      <c r="N381" s="286"/>
      <c r="O381" s="286"/>
      <c r="P381" s="286"/>
      <c r="Q381" s="286"/>
      <c r="R381" s="286"/>
    </row>
    <row r="382">
      <c r="A382" s="286"/>
      <c r="B382" s="286"/>
      <c r="C382" s="286"/>
      <c r="D382" s="286"/>
      <c r="E382" s="286"/>
      <c r="F382" s="436"/>
      <c r="G382" s="286"/>
      <c r="H382" s="286"/>
      <c r="I382" s="286"/>
      <c r="J382" s="286"/>
      <c r="K382" s="286"/>
      <c r="L382" s="286"/>
      <c r="M382" s="286"/>
      <c r="N382" s="286"/>
      <c r="O382" s="286"/>
      <c r="P382" s="286"/>
      <c r="Q382" s="286"/>
      <c r="R382" s="286"/>
    </row>
    <row r="383">
      <c r="A383" s="286"/>
      <c r="B383" s="286"/>
      <c r="C383" s="286"/>
      <c r="D383" s="286"/>
      <c r="E383" s="286"/>
      <c r="F383" s="436"/>
      <c r="G383" s="286"/>
      <c r="H383" s="286"/>
      <c r="I383" s="286"/>
      <c r="J383" s="286"/>
      <c r="K383" s="286"/>
      <c r="L383" s="286"/>
      <c r="M383" s="286"/>
      <c r="N383" s="286"/>
      <c r="O383" s="286"/>
      <c r="P383" s="286"/>
      <c r="Q383" s="286"/>
      <c r="R383" s="286"/>
    </row>
    <row r="384">
      <c r="A384" s="286"/>
      <c r="B384" s="286"/>
      <c r="C384" s="286"/>
      <c r="D384" s="286"/>
      <c r="E384" s="286"/>
      <c r="F384" s="436"/>
      <c r="G384" s="286"/>
      <c r="H384" s="286"/>
      <c r="I384" s="286"/>
      <c r="J384" s="286"/>
      <c r="K384" s="286"/>
      <c r="L384" s="286"/>
      <c r="M384" s="286"/>
      <c r="N384" s="286"/>
      <c r="O384" s="286"/>
      <c r="P384" s="286"/>
      <c r="Q384" s="286"/>
      <c r="R384" s="286"/>
    </row>
    <row r="385">
      <c r="A385" s="286"/>
      <c r="B385" s="286"/>
      <c r="C385" s="286"/>
      <c r="D385" s="286"/>
      <c r="E385" s="286"/>
      <c r="F385" s="436"/>
      <c r="G385" s="286"/>
      <c r="H385" s="286"/>
      <c r="I385" s="286"/>
      <c r="J385" s="286"/>
      <c r="K385" s="286"/>
      <c r="L385" s="286"/>
      <c r="M385" s="286"/>
      <c r="N385" s="286"/>
      <c r="O385" s="286"/>
      <c r="P385" s="286"/>
      <c r="Q385" s="286"/>
      <c r="R385" s="286"/>
    </row>
    <row r="386">
      <c r="A386" s="286"/>
      <c r="B386" s="286"/>
      <c r="C386" s="286"/>
      <c r="D386" s="286"/>
      <c r="E386" s="286"/>
      <c r="F386" s="436"/>
      <c r="G386" s="286"/>
      <c r="H386" s="286"/>
      <c r="I386" s="286"/>
      <c r="J386" s="286"/>
      <c r="K386" s="286"/>
      <c r="L386" s="286"/>
      <c r="M386" s="286"/>
      <c r="N386" s="286"/>
      <c r="O386" s="286"/>
      <c r="P386" s="286"/>
      <c r="Q386" s="286"/>
      <c r="R386" s="286"/>
    </row>
    <row r="387">
      <c r="A387" s="286"/>
      <c r="B387" s="286"/>
      <c r="C387" s="286"/>
      <c r="D387" s="286"/>
      <c r="E387" s="286"/>
      <c r="F387" s="436"/>
      <c r="G387" s="286"/>
      <c r="H387" s="286"/>
      <c r="I387" s="286"/>
      <c r="J387" s="286"/>
      <c r="K387" s="286"/>
      <c r="L387" s="286"/>
      <c r="M387" s="286"/>
      <c r="N387" s="286"/>
      <c r="O387" s="286"/>
      <c r="P387" s="286"/>
      <c r="Q387" s="286"/>
      <c r="R387" s="286"/>
    </row>
    <row r="388">
      <c r="A388" s="286"/>
      <c r="B388" s="286"/>
      <c r="C388" s="286"/>
      <c r="D388" s="286"/>
      <c r="E388" s="286"/>
      <c r="F388" s="436"/>
      <c r="G388" s="286"/>
      <c r="H388" s="286"/>
      <c r="I388" s="286"/>
      <c r="J388" s="286"/>
      <c r="K388" s="286"/>
      <c r="L388" s="286"/>
      <c r="M388" s="286"/>
      <c r="N388" s="286"/>
      <c r="O388" s="286"/>
      <c r="P388" s="286"/>
      <c r="Q388" s="286"/>
      <c r="R388" s="286"/>
    </row>
    <row r="389">
      <c r="A389" s="286"/>
      <c r="B389" s="286"/>
      <c r="C389" s="286"/>
      <c r="D389" s="286"/>
      <c r="E389" s="286"/>
      <c r="F389" s="436"/>
      <c r="G389" s="286"/>
      <c r="H389" s="286"/>
      <c r="I389" s="286"/>
      <c r="J389" s="286"/>
      <c r="K389" s="286"/>
      <c r="L389" s="286"/>
      <c r="M389" s="286"/>
      <c r="N389" s="286"/>
      <c r="O389" s="286"/>
      <c r="P389" s="286"/>
      <c r="Q389" s="286"/>
      <c r="R389" s="286"/>
    </row>
    <row r="390">
      <c r="A390" s="286"/>
      <c r="B390" s="286"/>
      <c r="C390" s="286"/>
      <c r="D390" s="286"/>
      <c r="E390" s="286"/>
      <c r="F390" s="436"/>
      <c r="G390" s="286"/>
      <c r="H390" s="286"/>
      <c r="I390" s="286"/>
      <c r="J390" s="286"/>
      <c r="K390" s="286"/>
      <c r="L390" s="286"/>
      <c r="M390" s="286"/>
      <c r="N390" s="286"/>
      <c r="O390" s="286"/>
      <c r="P390" s="286"/>
      <c r="Q390" s="286"/>
      <c r="R390" s="286"/>
    </row>
    <row r="391">
      <c r="A391" s="286"/>
      <c r="B391" s="286"/>
      <c r="C391" s="286"/>
      <c r="D391" s="286"/>
      <c r="E391" s="286"/>
      <c r="F391" s="436"/>
      <c r="G391" s="286"/>
      <c r="H391" s="286"/>
      <c r="I391" s="286"/>
      <c r="J391" s="286"/>
      <c r="K391" s="286"/>
      <c r="L391" s="286"/>
      <c r="M391" s="286"/>
      <c r="N391" s="286"/>
      <c r="O391" s="286"/>
      <c r="P391" s="286"/>
      <c r="Q391" s="286"/>
      <c r="R391" s="286"/>
    </row>
    <row r="392">
      <c r="A392" s="286"/>
      <c r="B392" s="286"/>
      <c r="C392" s="286"/>
      <c r="D392" s="286"/>
      <c r="E392" s="286"/>
      <c r="F392" s="436"/>
      <c r="G392" s="286"/>
      <c r="H392" s="286"/>
      <c r="I392" s="286"/>
      <c r="J392" s="286"/>
      <c r="K392" s="286"/>
      <c r="L392" s="286"/>
      <c r="M392" s="286"/>
      <c r="N392" s="286"/>
      <c r="O392" s="286"/>
      <c r="P392" s="286"/>
      <c r="Q392" s="286"/>
      <c r="R392" s="286"/>
    </row>
    <row r="393">
      <c r="A393" s="286"/>
      <c r="B393" s="286"/>
      <c r="C393" s="286"/>
      <c r="D393" s="286"/>
      <c r="E393" s="286"/>
      <c r="F393" s="436"/>
      <c r="G393" s="286"/>
      <c r="H393" s="286"/>
      <c r="I393" s="286"/>
      <c r="J393" s="286"/>
      <c r="K393" s="286"/>
      <c r="L393" s="286"/>
      <c r="M393" s="286"/>
      <c r="N393" s="286"/>
      <c r="O393" s="286"/>
      <c r="P393" s="286"/>
      <c r="Q393" s="286"/>
      <c r="R393" s="286"/>
    </row>
    <row r="394">
      <c r="A394" s="286"/>
      <c r="B394" s="286"/>
      <c r="C394" s="286"/>
      <c r="D394" s="286"/>
      <c r="E394" s="286"/>
      <c r="F394" s="436"/>
      <c r="G394" s="286"/>
      <c r="H394" s="286"/>
      <c r="I394" s="286"/>
      <c r="J394" s="286"/>
      <c r="K394" s="286"/>
      <c r="L394" s="286"/>
      <c r="M394" s="286"/>
      <c r="N394" s="286"/>
      <c r="O394" s="286"/>
      <c r="P394" s="286"/>
      <c r="Q394" s="286"/>
      <c r="R394" s="286"/>
    </row>
    <row r="395">
      <c r="A395" s="286"/>
      <c r="B395" s="286"/>
      <c r="C395" s="286"/>
      <c r="D395" s="286"/>
      <c r="E395" s="286"/>
      <c r="F395" s="436"/>
      <c r="G395" s="286"/>
      <c r="H395" s="286"/>
      <c r="I395" s="286"/>
      <c r="J395" s="286"/>
      <c r="K395" s="286"/>
      <c r="L395" s="286"/>
      <c r="M395" s="286"/>
      <c r="N395" s="286"/>
      <c r="O395" s="286"/>
      <c r="P395" s="286"/>
      <c r="Q395" s="286"/>
      <c r="R395" s="286"/>
    </row>
    <row r="396">
      <c r="A396" s="286"/>
      <c r="B396" s="286"/>
      <c r="C396" s="286"/>
      <c r="D396" s="286"/>
      <c r="E396" s="286"/>
      <c r="F396" s="436"/>
      <c r="G396" s="286"/>
      <c r="H396" s="286"/>
      <c r="I396" s="286"/>
      <c r="J396" s="286"/>
      <c r="K396" s="286"/>
      <c r="L396" s="286"/>
      <c r="M396" s="286"/>
      <c r="N396" s="286"/>
      <c r="O396" s="286"/>
      <c r="P396" s="286"/>
      <c r="Q396" s="286"/>
      <c r="R396" s="286"/>
    </row>
    <row r="397">
      <c r="A397" s="286"/>
      <c r="B397" s="286"/>
      <c r="C397" s="286"/>
      <c r="D397" s="286"/>
      <c r="E397" s="286"/>
      <c r="F397" s="436"/>
      <c r="G397" s="286"/>
      <c r="H397" s="286"/>
      <c r="I397" s="286"/>
      <c r="J397" s="286"/>
      <c r="K397" s="286"/>
      <c r="L397" s="286"/>
      <c r="M397" s="286"/>
      <c r="N397" s="286"/>
      <c r="O397" s="286"/>
      <c r="P397" s="286"/>
      <c r="Q397" s="286"/>
      <c r="R397" s="286"/>
    </row>
    <row r="398">
      <c r="A398" s="286"/>
      <c r="B398" s="286"/>
      <c r="C398" s="286"/>
      <c r="D398" s="286"/>
      <c r="E398" s="286"/>
      <c r="F398" s="436"/>
      <c r="G398" s="286"/>
      <c r="H398" s="286"/>
      <c r="I398" s="286"/>
      <c r="J398" s="286"/>
      <c r="K398" s="286"/>
      <c r="L398" s="286"/>
      <c r="M398" s="286"/>
      <c r="N398" s="286"/>
      <c r="O398" s="286"/>
      <c r="P398" s="286"/>
      <c r="Q398" s="286"/>
      <c r="R398" s="286"/>
    </row>
    <row r="399">
      <c r="A399" s="286"/>
      <c r="B399" s="286"/>
      <c r="C399" s="286"/>
      <c r="D399" s="286"/>
      <c r="E399" s="286"/>
      <c r="F399" s="436"/>
      <c r="G399" s="286"/>
      <c r="H399" s="286"/>
      <c r="I399" s="286"/>
      <c r="J399" s="286"/>
      <c r="K399" s="286"/>
      <c r="L399" s="286"/>
      <c r="M399" s="286"/>
      <c r="N399" s="286"/>
      <c r="O399" s="286"/>
      <c r="P399" s="286"/>
      <c r="Q399" s="286"/>
      <c r="R399" s="286"/>
    </row>
    <row r="400">
      <c r="A400" s="286"/>
      <c r="B400" s="286"/>
      <c r="C400" s="286"/>
      <c r="D400" s="286"/>
      <c r="E400" s="286"/>
      <c r="F400" s="436"/>
      <c r="G400" s="286"/>
      <c r="H400" s="286"/>
      <c r="I400" s="286"/>
      <c r="J400" s="286"/>
      <c r="K400" s="286"/>
      <c r="L400" s="286"/>
      <c r="M400" s="286"/>
      <c r="N400" s="286"/>
      <c r="O400" s="286"/>
      <c r="P400" s="286"/>
      <c r="Q400" s="286"/>
      <c r="R400" s="286"/>
    </row>
    <row r="401">
      <c r="A401" s="286"/>
      <c r="B401" s="286"/>
      <c r="C401" s="286"/>
      <c r="D401" s="286"/>
      <c r="E401" s="286"/>
      <c r="F401" s="436"/>
      <c r="G401" s="286"/>
      <c r="H401" s="286"/>
      <c r="I401" s="286"/>
      <c r="J401" s="286"/>
      <c r="K401" s="286"/>
      <c r="L401" s="286"/>
      <c r="M401" s="286"/>
      <c r="N401" s="286"/>
      <c r="O401" s="286"/>
      <c r="P401" s="286"/>
      <c r="Q401" s="286"/>
      <c r="R401" s="286"/>
    </row>
    <row r="402">
      <c r="A402" s="286"/>
      <c r="B402" s="286"/>
      <c r="C402" s="286"/>
      <c r="D402" s="286"/>
      <c r="E402" s="286"/>
      <c r="F402" s="436"/>
      <c r="G402" s="286"/>
      <c r="H402" s="286"/>
      <c r="I402" s="286"/>
      <c r="J402" s="286"/>
      <c r="K402" s="286"/>
      <c r="L402" s="286"/>
      <c r="M402" s="286"/>
      <c r="N402" s="286"/>
      <c r="O402" s="286"/>
      <c r="P402" s="286"/>
      <c r="Q402" s="286"/>
      <c r="R402" s="286"/>
    </row>
    <row r="403">
      <c r="A403" s="286"/>
      <c r="B403" s="286"/>
      <c r="C403" s="286"/>
      <c r="D403" s="286"/>
      <c r="E403" s="286"/>
      <c r="F403" s="436"/>
      <c r="G403" s="286"/>
      <c r="H403" s="286"/>
      <c r="I403" s="286"/>
      <c r="J403" s="286"/>
      <c r="K403" s="286"/>
      <c r="L403" s="286"/>
      <c r="M403" s="286"/>
      <c r="N403" s="286"/>
      <c r="O403" s="286"/>
      <c r="P403" s="286"/>
      <c r="Q403" s="286"/>
      <c r="R403" s="286"/>
    </row>
    <row r="404">
      <c r="A404" s="286"/>
      <c r="B404" s="286"/>
      <c r="C404" s="286"/>
      <c r="D404" s="286"/>
      <c r="E404" s="286"/>
      <c r="F404" s="436"/>
      <c r="G404" s="286"/>
      <c r="H404" s="286"/>
      <c r="I404" s="286"/>
      <c r="J404" s="286"/>
      <c r="K404" s="286"/>
      <c r="L404" s="286"/>
      <c r="M404" s="286"/>
      <c r="N404" s="286"/>
      <c r="O404" s="286"/>
      <c r="P404" s="286"/>
      <c r="Q404" s="286"/>
      <c r="R404" s="286"/>
    </row>
    <row r="405">
      <c r="A405" s="286"/>
      <c r="B405" s="286"/>
      <c r="C405" s="286"/>
      <c r="D405" s="286"/>
      <c r="E405" s="286"/>
      <c r="F405" s="436"/>
      <c r="G405" s="286"/>
      <c r="H405" s="286"/>
      <c r="I405" s="286"/>
      <c r="J405" s="286"/>
      <c r="K405" s="286"/>
      <c r="L405" s="286"/>
      <c r="M405" s="286"/>
      <c r="N405" s="286"/>
      <c r="O405" s="286"/>
      <c r="P405" s="286"/>
      <c r="Q405" s="286"/>
      <c r="R405" s="286"/>
    </row>
    <row r="406">
      <c r="A406" s="286"/>
      <c r="B406" s="286"/>
      <c r="C406" s="286"/>
      <c r="D406" s="286"/>
      <c r="E406" s="286"/>
      <c r="F406" s="436"/>
      <c r="G406" s="286"/>
      <c r="H406" s="286"/>
      <c r="I406" s="286"/>
      <c r="J406" s="286"/>
      <c r="K406" s="286"/>
      <c r="L406" s="286"/>
      <c r="M406" s="286"/>
      <c r="N406" s="286"/>
      <c r="O406" s="286"/>
      <c r="P406" s="286"/>
      <c r="Q406" s="286"/>
      <c r="R406" s="286"/>
    </row>
    <row r="407">
      <c r="A407" s="286"/>
      <c r="B407" s="286"/>
      <c r="C407" s="286"/>
      <c r="D407" s="286"/>
      <c r="E407" s="286"/>
      <c r="F407" s="436"/>
      <c r="G407" s="286"/>
      <c r="H407" s="286"/>
      <c r="I407" s="286"/>
      <c r="J407" s="286"/>
      <c r="K407" s="286"/>
      <c r="L407" s="286"/>
      <c r="M407" s="286"/>
      <c r="N407" s="286"/>
      <c r="O407" s="286"/>
      <c r="P407" s="286"/>
      <c r="Q407" s="286"/>
      <c r="R407" s="286"/>
    </row>
    <row r="408">
      <c r="A408" s="286"/>
      <c r="B408" s="286"/>
      <c r="C408" s="286"/>
      <c r="D408" s="286"/>
      <c r="E408" s="286"/>
      <c r="F408" s="436"/>
      <c r="G408" s="286"/>
      <c r="H408" s="286"/>
      <c r="I408" s="286"/>
      <c r="J408" s="286"/>
      <c r="K408" s="286"/>
      <c r="L408" s="286"/>
      <c r="M408" s="286"/>
      <c r="N408" s="286"/>
      <c r="O408" s="286"/>
      <c r="P408" s="286"/>
      <c r="Q408" s="286"/>
      <c r="R408" s="286"/>
    </row>
    <row r="409">
      <c r="A409" s="286"/>
      <c r="B409" s="286"/>
      <c r="C409" s="286"/>
      <c r="D409" s="286"/>
      <c r="E409" s="286"/>
      <c r="F409" s="436"/>
      <c r="G409" s="286"/>
      <c r="H409" s="286"/>
      <c r="I409" s="286"/>
      <c r="J409" s="286"/>
      <c r="K409" s="286"/>
      <c r="L409" s="286"/>
      <c r="M409" s="286"/>
      <c r="N409" s="286"/>
      <c r="O409" s="286"/>
      <c r="P409" s="286"/>
      <c r="Q409" s="286"/>
      <c r="R409" s="286"/>
    </row>
    <row r="410">
      <c r="A410" s="286"/>
      <c r="B410" s="286"/>
      <c r="C410" s="286"/>
      <c r="D410" s="286"/>
      <c r="E410" s="286"/>
      <c r="F410" s="436"/>
      <c r="G410" s="286"/>
      <c r="H410" s="286"/>
      <c r="I410" s="286"/>
      <c r="J410" s="286"/>
      <c r="K410" s="286"/>
      <c r="L410" s="286"/>
      <c r="M410" s="286"/>
      <c r="N410" s="286"/>
      <c r="O410" s="286"/>
      <c r="P410" s="286"/>
      <c r="Q410" s="286"/>
      <c r="R410" s="286"/>
    </row>
    <row r="411">
      <c r="A411" s="286"/>
      <c r="B411" s="286"/>
      <c r="C411" s="286"/>
      <c r="D411" s="286"/>
      <c r="E411" s="286"/>
      <c r="F411" s="436"/>
      <c r="G411" s="286"/>
      <c r="H411" s="286"/>
      <c r="I411" s="286"/>
      <c r="J411" s="286"/>
      <c r="K411" s="286"/>
      <c r="L411" s="286"/>
      <c r="M411" s="286"/>
      <c r="N411" s="286"/>
      <c r="O411" s="286"/>
      <c r="P411" s="286"/>
      <c r="Q411" s="286"/>
      <c r="R411" s="286"/>
    </row>
    <row r="412">
      <c r="A412" s="286"/>
      <c r="B412" s="286"/>
      <c r="C412" s="286"/>
      <c r="D412" s="286"/>
      <c r="E412" s="286"/>
      <c r="F412" s="436"/>
      <c r="G412" s="286"/>
      <c r="H412" s="286"/>
      <c r="I412" s="286"/>
      <c r="J412" s="286"/>
      <c r="K412" s="286"/>
      <c r="L412" s="286"/>
      <c r="M412" s="286"/>
      <c r="N412" s="286"/>
      <c r="O412" s="286"/>
      <c r="P412" s="286"/>
      <c r="Q412" s="286"/>
      <c r="R412" s="286"/>
    </row>
    <row r="413">
      <c r="A413" s="286"/>
      <c r="B413" s="286"/>
      <c r="C413" s="286"/>
      <c r="D413" s="286"/>
      <c r="E413" s="286"/>
      <c r="F413" s="436"/>
      <c r="G413" s="286"/>
      <c r="H413" s="286"/>
      <c r="I413" s="286"/>
      <c r="J413" s="286"/>
      <c r="K413" s="286"/>
      <c r="L413" s="286"/>
      <c r="M413" s="286"/>
      <c r="N413" s="286"/>
      <c r="O413" s="286"/>
      <c r="P413" s="286"/>
      <c r="Q413" s="286"/>
      <c r="R413" s="286"/>
    </row>
    <row r="414">
      <c r="A414" s="286"/>
      <c r="B414" s="286"/>
      <c r="C414" s="286"/>
      <c r="D414" s="286"/>
      <c r="E414" s="286"/>
      <c r="F414" s="436"/>
      <c r="G414" s="286"/>
      <c r="H414" s="286"/>
      <c r="I414" s="286"/>
      <c r="J414" s="286"/>
      <c r="K414" s="286"/>
      <c r="L414" s="286"/>
      <c r="M414" s="286"/>
      <c r="N414" s="286"/>
      <c r="O414" s="286"/>
      <c r="P414" s="286"/>
      <c r="Q414" s="286"/>
      <c r="R414" s="286"/>
    </row>
    <row r="415">
      <c r="A415" s="286"/>
      <c r="B415" s="286"/>
      <c r="C415" s="286"/>
      <c r="D415" s="286"/>
      <c r="E415" s="286"/>
      <c r="F415" s="436"/>
      <c r="G415" s="286"/>
      <c r="H415" s="286"/>
      <c r="I415" s="286"/>
      <c r="J415" s="286"/>
      <c r="K415" s="286"/>
      <c r="L415" s="286"/>
      <c r="M415" s="286"/>
      <c r="N415" s="286"/>
      <c r="O415" s="286"/>
      <c r="P415" s="286"/>
      <c r="Q415" s="286"/>
      <c r="R415" s="286"/>
    </row>
    <row r="416">
      <c r="A416" s="286"/>
      <c r="B416" s="286"/>
      <c r="C416" s="286"/>
      <c r="D416" s="286"/>
      <c r="E416" s="286"/>
      <c r="F416" s="436"/>
      <c r="G416" s="286"/>
      <c r="H416" s="286"/>
      <c r="I416" s="286"/>
      <c r="J416" s="286"/>
      <c r="K416" s="286"/>
      <c r="L416" s="286"/>
      <c r="M416" s="286"/>
      <c r="N416" s="286"/>
      <c r="O416" s="286"/>
      <c r="P416" s="286"/>
      <c r="Q416" s="286"/>
      <c r="R416" s="286"/>
    </row>
    <row r="417">
      <c r="A417" s="286"/>
      <c r="B417" s="286"/>
      <c r="C417" s="286"/>
      <c r="D417" s="286"/>
      <c r="E417" s="286"/>
      <c r="F417" s="436"/>
      <c r="G417" s="286"/>
      <c r="H417" s="286"/>
      <c r="I417" s="286"/>
      <c r="J417" s="286"/>
      <c r="K417" s="286"/>
      <c r="L417" s="286"/>
      <c r="M417" s="286"/>
      <c r="N417" s="286"/>
      <c r="O417" s="286"/>
      <c r="P417" s="286"/>
      <c r="Q417" s="286"/>
      <c r="R417" s="286"/>
    </row>
    <row r="418">
      <c r="A418" s="286"/>
      <c r="B418" s="286"/>
      <c r="C418" s="286"/>
      <c r="D418" s="286"/>
      <c r="E418" s="286"/>
      <c r="F418" s="436"/>
      <c r="G418" s="286"/>
      <c r="H418" s="286"/>
      <c r="I418" s="286"/>
      <c r="J418" s="286"/>
      <c r="K418" s="286"/>
      <c r="L418" s="286"/>
      <c r="M418" s="286"/>
      <c r="N418" s="286"/>
      <c r="O418" s="286"/>
      <c r="P418" s="286"/>
      <c r="Q418" s="286"/>
      <c r="R418" s="286"/>
    </row>
    <row r="419">
      <c r="A419" s="286"/>
      <c r="B419" s="286"/>
      <c r="C419" s="286"/>
      <c r="D419" s="286"/>
      <c r="E419" s="286"/>
      <c r="F419" s="436"/>
      <c r="G419" s="286"/>
      <c r="H419" s="286"/>
      <c r="I419" s="286"/>
      <c r="J419" s="286"/>
      <c r="K419" s="286"/>
      <c r="L419" s="286"/>
      <c r="M419" s="286"/>
      <c r="N419" s="286"/>
      <c r="O419" s="286"/>
      <c r="P419" s="286"/>
      <c r="Q419" s="286"/>
      <c r="R419" s="286"/>
    </row>
    <row r="420">
      <c r="A420" s="286"/>
      <c r="B420" s="286"/>
      <c r="C420" s="286"/>
      <c r="D420" s="286"/>
      <c r="E420" s="286"/>
      <c r="F420" s="436"/>
      <c r="G420" s="286"/>
      <c r="H420" s="286"/>
      <c r="I420" s="286"/>
      <c r="J420" s="286"/>
      <c r="K420" s="286"/>
      <c r="L420" s="286"/>
      <c r="M420" s="286"/>
      <c r="N420" s="286"/>
      <c r="O420" s="286"/>
      <c r="P420" s="286"/>
      <c r="Q420" s="286"/>
      <c r="R420" s="286"/>
    </row>
    <row r="421">
      <c r="A421" s="286"/>
      <c r="B421" s="286"/>
      <c r="C421" s="286"/>
      <c r="D421" s="286"/>
      <c r="E421" s="286"/>
      <c r="F421" s="436"/>
      <c r="G421" s="286"/>
      <c r="H421" s="286"/>
      <c r="I421" s="286"/>
      <c r="J421" s="286"/>
      <c r="K421" s="286"/>
      <c r="L421" s="286"/>
      <c r="M421" s="286"/>
      <c r="N421" s="286"/>
      <c r="O421" s="286"/>
      <c r="P421" s="286"/>
      <c r="Q421" s="286"/>
      <c r="R421" s="286"/>
    </row>
    <row r="422">
      <c r="A422" s="286"/>
      <c r="B422" s="286"/>
      <c r="C422" s="286"/>
      <c r="D422" s="286"/>
      <c r="E422" s="286"/>
      <c r="F422" s="436"/>
      <c r="G422" s="286"/>
      <c r="H422" s="286"/>
      <c r="I422" s="286"/>
      <c r="J422" s="286"/>
      <c r="K422" s="286"/>
      <c r="L422" s="286"/>
      <c r="M422" s="286"/>
      <c r="N422" s="286"/>
      <c r="O422" s="286"/>
      <c r="P422" s="286"/>
      <c r="Q422" s="286"/>
      <c r="R422" s="286"/>
    </row>
    <row r="423">
      <c r="A423" s="286"/>
      <c r="B423" s="286"/>
      <c r="C423" s="286"/>
      <c r="D423" s="286"/>
      <c r="E423" s="286"/>
      <c r="F423" s="436"/>
      <c r="G423" s="286"/>
      <c r="H423" s="286"/>
      <c r="I423" s="286"/>
      <c r="J423" s="286"/>
      <c r="K423" s="286"/>
      <c r="L423" s="286"/>
      <c r="M423" s="286"/>
      <c r="N423" s="286"/>
      <c r="O423" s="286"/>
      <c r="P423" s="286"/>
      <c r="Q423" s="286"/>
      <c r="R423" s="286"/>
    </row>
    <row r="424">
      <c r="A424" s="286"/>
      <c r="B424" s="286"/>
      <c r="C424" s="286"/>
      <c r="D424" s="286"/>
      <c r="E424" s="286"/>
      <c r="F424" s="436"/>
      <c r="G424" s="286"/>
      <c r="H424" s="286"/>
      <c r="I424" s="286"/>
      <c r="J424" s="286"/>
      <c r="K424" s="286"/>
      <c r="L424" s="286"/>
      <c r="M424" s="286"/>
      <c r="N424" s="286"/>
      <c r="O424" s="286"/>
      <c r="P424" s="286"/>
      <c r="Q424" s="286"/>
      <c r="R424" s="286"/>
    </row>
    <row r="425">
      <c r="A425" s="286"/>
      <c r="B425" s="286"/>
      <c r="C425" s="286"/>
      <c r="D425" s="286"/>
      <c r="E425" s="286"/>
      <c r="F425" s="436"/>
      <c r="G425" s="286"/>
      <c r="H425" s="286"/>
      <c r="I425" s="286"/>
      <c r="J425" s="286"/>
      <c r="K425" s="286"/>
      <c r="L425" s="286"/>
      <c r="M425" s="286"/>
      <c r="N425" s="286"/>
      <c r="O425" s="286"/>
      <c r="P425" s="286"/>
      <c r="Q425" s="286"/>
      <c r="R425" s="286"/>
    </row>
    <row r="426">
      <c r="A426" s="286"/>
      <c r="B426" s="286"/>
      <c r="C426" s="286"/>
      <c r="D426" s="286"/>
      <c r="E426" s="286"/>
      <c r="F426" s="436"/>
      <c r="G426" s="286"/>
      <c r="H426" s="286"/>
      <c r="I426" s="286"/>
      <c r="J426" s="286"/>
      <c r="K426" s="286"/>
      <c r="L426" s="286"/>
      <c r="M426" s="286"/>
      <c r="N426" s="286"/>
      <c r="O426" s="286"/>
      <c r="P426" s="286"/>
      <c r="Q426" s="286"/>
      <c r="R426" s="286"/>
    </row>
    <row r="427">
      <c r="A427" s="286"/>
      <c r="B427" s="286"/>
      <c r="C427" s="286"/>
      <c r="D427" s="286"/>
      <c r="E427" s="286"/>
      <c r="F427" s="436"/>
      <c r="G427" s="286"/>
      <c r="H427" s="286"/>
      <c r="I427" s="286"/>
      <c r="J427" s="286"/>
      <c r="K427" s="286"/>
      <c r="L427" s="286"/>
      <c r="M427" s="286"/>
      <c r="N427" s="286"/>
      <c r="O427" s="286"/>
      <c r="P427" s="286"/>
      <c r="Q427" s="286"/>
      <c r="R427" s="286"/>
    </row>
    <row r="428">
      <c r="A428" s="286"/>
      <c r="B428" s="286"/>
      <c r="C428" s="286"/>
      <c r="D428" s="286"/>
      <c r="E428" s="286"/>
      <c r="F428" s="436"/>
      <c r="G428" s="286"/>
      <c r="H428" s="286"/>
      <c r="I428" s="286"/>
      <c r="J428" s="286"/>
      <c r="K428" s="286"/>
      <c r="L428" s="286"/>
      <c r="M428" s="286"/>
      <c r="N428" s="286"/>
      <c r="O428" s="286"/>
      <c r="P428" s="286"/>
      <c r="Q428" s="286"/>
      <c r="R428" s="286"/>
    </row>
    <row r="429">
      <c r="A429" s="286"/>
      <c r="B429" s="286"/>
      <c r="C429" s="286"/>
      <c r="D429" s="286"/>
      <c r="E429" s="286"/>
      <c r="F429" s="436"/>
      <c r="G429" s="286"/>
      <c r="H429" s="286"/>
      <c r="I429" s="286"/>
      <c r="J429" s="286"/>
      <c r="K429" s="286"/>
      <c r="L429" s="286"/>
      <c r="M429" s="286"/>
      <c r="N429" s="286"/>
      <c r="O429" s="286"/>
      <c r="P429" s="286"/>
      <c r="Q429" s="286"/>
      <c r="R429" s="286"/>
    </row>
    <row r="430">
      <c r="A430" s="286"/>
      <c r="B430" s="286"/>
      <c r="C430" s="286"/>
      <c r="D430" s="286"/>
      <c r="E430" s="286"/>
      <c r="F430" s="436"/>
      <c r="G430" s="286"/>
      <c r="H430" s="286"/>
      <c r="I430" s="286"/>
      <c r="J430" s="286"/>
      <c r="K430" s="286"/>
      <c r="L430" s="286"/>
      <c r="M430" s="286"/>
      <c r="N430" s="286"/>
      <c r="O430" s="286"/>
      <c r="P430" s="286"/>
      <c r="Q430" s="286"/>
      <c r="R430" s="286"/>
    </row>
    <row r="431">
      <c r="A431" s="286"/>
      <c r="B431" s="286"/>
      <c r="C431" s="286"/>
      <c r="D431" s="286"/>
      <c r="E431" s="286"/>
      <c r="F431" s="436"/>
      <c r="G431" s="286"/>
      <c r="H431" s="286"/>
      <c r="I431" s="286"/>
      <c r="J431" s="286"/>
      <c r="K431" s="286"/>
      <c r="L431" s="286"/>
      <c r="M431" s="286"/>
      <c r="N431" s="286"/>
      <c r="O431" s="286"/>
      <c r="P431" s="286"/>
      <c r="Q431" s="286"/>
      <c r="R431" s="286"/>
    </row>
    <row r="432">
      <c r="A432" s="286"/>
      <c r="B432" s="286"/>
      <c r="C432" s="286"/>
      <c r="D432" s="286"/>
      <c r="E432" s="286"/>
      <c r="F432" s="436"/>
      <c r="G432" s="286"/>
      <c r="H432" s="286"/>
      <c r="I432" s="286"/>
      <c r="J432" s="286"/>
      <c r="K432" s="286"/>
      <c r="L432" s="286"/>
      <c r="M432" s="286"/>
      <c r="N432" s="286"/>
      <c r="O432" s="286"/>
      <c r="P432" s="286"/>
      <c r="Q432" s="286"/>
      <c r="R432" s="286"/>
    </row>
    <row r="433">
      <c r="A433" s="286"/>
      <c r="B433" s="286"/>
      <c r="C433" s="286"/>
      <c r="D433" s="286"/>
      <c r="E433" s="286"/>
      <c r="F433" s="436"/>
      <c r="G433" s="286"/>
      <c r="H433" s="286"/>
      <c r="I433" s="286"/>
      <c r="J433" s="286"/>
      <c r="K433" s="286"/>
      <c r="L433" s="286"/>
      <c r="M433" s="286"/>
      <c r="N433" s="286"/>
      <c r="O433" s="286"/>
      <c r="P433" s="286"/>
      <c r="Q433" s="286"/>
      <c r="R433" s="286"/>
    </row>
    <row r="434">
      <c r="A434" s="286"/>
      <c r="B434" s="286"/>
      <c r="C434" s="286"/>
      <c r="D434" s="286"/>
      <c r="E434" s="286"/>
      <c r="F434" s="436"/>
      <c r="G434" s="286"/>
      <c r="H434" s="286"/>
      <c r="I434" s="286"/>
      <c r="J434" s="286"/>
      <c r="K434" s="286"/>
      <c r="L434" s="286"/>
      <c r="M434" s="286"/>
      <c r="N434" s="286"/>
      <c r="O434" s="286"/>
      <c r="P434" s="286"/>
      <c r="Q434" s="286"/>
      <c r="R434" s="286"/>
    </row>
    <row r="435">
      <c r="A435" s="286"/>
      <c r="B435" s="286"/>
      <c r="C435" s="286"/>
      <c r="D435" s="286"/>
      <c r="E435" s="286"/>
      <c r="F435" s="436"/>
      <c r="G435" s="286"/>
      <c r="H435" s="286"/>
      <c r="I435" s="286"/>
      <c r="J435" s="286"/>
      <c r="K435" s="286"/>
      <c r="L435" s="286"/>
      <c r="M435" s="286"/>
      <c r="N435" s="286"/>
      <c r="O435" s="286"/>
      <c r="P435" s="286"/>
      <c r="Q435" s="286"/>
      <c r="R435" s="286"/>
    </row>
    <row r="436">
      <c r="A436" s="286"/>
      <c r="B436" s="286"/>
      <c r="C436" s="286"/>
      <c r="D436" s="286"/>
      <c r="E436" s="286"/>
      <c r="F436" s="436"/>
      <c r="G436" s="286"/>
      <c r="H436" s="286"/>
      <c r="I436" s="286"/>
      <c r="J436" s="286"/>
      <c r="K436" s="286"/>
      <c r="L436" s="286"/>
      <c r="M436" s="286"/>
      <c r="N436" s="286"/>
      <c r="O436" s="286"/>
      <c r="P436" s="286"/>
      <c r="Q436" s="286"/>
      <c r="R436" s="286"/>
    </row>
    <row r="437">
      <c r="A437" s="286"/>
      <c r="B437" s="286"/>
      <c r="C437" s="286"/>
      <c r="D437" s="286"/>
      <c r="E437" s="286"/>
      <c r="F437" s="436"/>
      <c r="G437" s="286"/>
      <c r="H437" s="286"/>
      <c r="I437" s="286"/>
      <c r="J437" s="286"/>
      <c r="K437" s="286"/>
      <c r="L437" s="286"/>
      <c r="M437" s="286"/>
      <c r="N437" s="286"/>
      <c r="O437" s="286"/>
      <c r="P437" s="286"/>
      <c r="Q437" s="286"/>
      <c r="R437" s="286"/>
    </row>
    <row r="438">
      <c r="A438" s="286"/>
      <c r="B438" s="286"/>
      <c r="C438" s="286"/>
      <c r="D438" s="286"/>
      <c r="E438" s="286"/>
      <c r="F438" s="436"/>
      <c r="G438" s="286"/>
      <c r="H438" s="286"/>
      <c r="I438" s="286"/>
      <c r="J438" s="286"/>
      <c r="K438" s="286"/>
      <c r="L438" s="286"/>
      <c r="M438" s="286"/>
      <c r="N438" s="286"/>
      <c r="O438" s="286"/>
      <c r="P438" s="286"/>
      <c r="Q438" s="286"/>
      <c r="R438" s="286"/>
    </row>
    <row r="439">
      <c r="A439" s="286"/>
      <c r="B439" s="286"/>
      <c r="C439" s="286"/>
      <c r="D439" s="286"/>
      <c r="E439" s="286"/>
      <c r="F439" s="436"/>
      <c r="G439" s="286"/>
      <c r="H439" s="286"/>
      <c r="I439" s="286"/>
      <c r="J439" s="286"/>
      <c r="K439" s="286"/>
      <c r="L439" s="286"/>
      <c r="M439" s="286"/>
      <c r="N439" s="286"/>
      <c r="O439" s="286"/>
      <c r="P439" s="286"/>
      <c r="Q439" s="286"/>
      <c r="R439" s="286"/>
    </row>
    <row r="440">
      <c r="A440" s="286"/>
      <c r="B440" s="286"/>
      <c r="C440" s="286"/>
      <c r="D440" s="286"/>
      <c r="E440" s="286"/>
      <c r="F440" s="436"/>
      <c r="G440" s="286"/>
      <c r="H440" s="286"/>
      <c r="I440" s="286"/>
      <c r="J440" s="286"/>
      <c r="K440" s="286"/>
      <c r="L440" s="286"/>
      <c r="M440" s="286"/>
      <c r="N440" s="286"/>
      <c r="O440" s="286"/>
      <c r="P440" s="286"/>
      <c r="Q440" s="286"/>
      <c r="R440" s="286"/>
    </row>
    <row r="441">
      <c r="A441" s="286"/>
      <c r="B441" s="286"/>
      <c r="C441" s="286"/>
      <c r="D441" s="286"/>
      <c r="E441" s="286"/>
      <c r="F441" s="436"/>
      <c r="G441" s="286"/>
      <c r="H441" s="286"/>
      <c r="I441" s="286"/>
      <c r="J441" s="286"/>
      <c r="K441" s="286"/>
      <c r="L441" s="286"/>
      <c r="M441" s="286"/>
      <c r="N441" s="286"/>
      <c r="O441" s="286"/>
      <c r="P441" s="286"/>
      <c r="Q441" s="286"/>
      <c r="R441" s="286"/>
    </row>
    <row r="442">
      <c r="A442" s="286"/>
      <c r="B442" s="286"/>
      <c r="C442" s="286"/>
      <c r="D442" s="286"/>
      <c r="E442" s="286"/>
      <c r="F442" s="436"/>
      <c r="G442" s="286"/>
      <c r="H442" s="286"/>
      <c r="I442" s="286"/>
      <c r="J442" s="286"/>
      <c r="K442" s="286"/>
      <c r="L442" s="286"/>
      <c r="M442" s="286"/>
      <c r="N442" s="286"/>
      <c r="O442" s="286"/>
      <c r="P442" s="286"/>
      <c r="Q442" s="286"/>
      <c r="R442" s="286"/>
    </row>
    <row r="443">
      <c r="A443" s="286"/>
      <c r="B443" s="286"/>
      <c r="C443" s="286"/>
      <c r="D443" s="286"/>
      <c r="E443" s="286"/>
      <c r="F443" s="436"/>
      <c r="G443" s="286"/>
      <c r="H443" s="286"/>
      <c r="I443" s="286"/>
      <c r="J443" s="286"/>
      <c r="K443" s="286"/>
      <c r="L443" s="286"/>
      <c r="M443" s="286"/>
      <c r="N443" s="286"/>
      <c r="O443" s="286"/>
      <c r="P443" s="286"/>
      <c r="Q443" s="286"/>
      <c r="R443" s="286"/>
    </row>
    <row r="444">
      <c r="A444" s="286"/>
      <c r="B444" s="286"/>
      <c r="C444" s="286"/>
      <c r="D444" s="286"/>
      <c r="E444" s="286"/>
      <c r="F444" s="436"/>
      <c r="G444" s="286"/>
      <c r="H444" s="286"/>
      <c r="I444" s="286"/>
      <c r="J444" s="286"/>
      <c r="K444" s="286"/>
      <c r="L444" s="286"/>
      <c r="M444" s="286"/>
      <c r="N444" s="286"/>
      <c r="O444" s="286"/>
      <c r="P444" s="286"/>
      <c r="Q444" s="286"/>
      <c r="R444" s="286"/>
    </row>
    <row r="445">
      <c r="A445" s="286"/>
      <c r="B445" s="286"/>
      <c r="C445" s="286"/>
      <c r="D445" s="286"/>
      <c r="E445" s="286"/>
      <c r="F445" s="436"/>
      <c r="G445" s="286"/>
      <c r="H445" s="286"/>
      <c r="I445" s="286"/>
      <c r="J445" s="286"/>
      <c r="K445" s="286"/>
      <c r="L445" s="286"/>
      <c r="M445" s="286"/>
      <c r="N445" s="286"/>
      <c r="O445" s="286"/>
      <c r="P445" s="286"/>
      <c r="Q445" s="286"/>
      <c r="R445" s="286"/>
    </row>
    <row r="446">
      <c r="A446" s="286"/>
      <c r="B446" s="286"/>
      <c r="C446" s="286"/>
      <c r="D446" s="286"/>
      <c r="E446" s="286"/>
      <c r="F446" s="436"/>
      <c r="G446" s="286"/>
      <c r="H446" s="286"/>
      <c r="I446" s="286"/>
      <c r="J446" s="286"/>
      <c r="K446" s="286"/>
      <c r="L446" s="286"/>
      <c r="M446" s="286"/>
      <c r="N446" s="286"/>
      <c r="O446" s="286"/>
      <c r="P446" s="286"/>
      <c r="Q446" s="286"/>
      <c r="R446" s="286"/>
    </row>
    <row r="447">
      <c r="A447" s="286"/>
      <c r="B447" s="286"/>
      <c r="C447" s="286"/>
      <c r="D447" s="286"/>
      <c r="E447" s="286"/>
      <c r="F447" s="436"/>
      <c r="G447" s="286"/>
      <c r="H447" s="286"/>
      <c r="I447" s="286"/>
      <c r="J447" s="286"/>
      <c r="K447" s="286"/>
      <c r="L447" s="286"/>
      <c r="M447" s="286"/>
      <c r="N447" s="286"/>
      <c r="O447" s="286"/>
      <c r="P447" s="286"/>
      <c r="Q447" s="286"/>
      <c r="R447" s="286"/>
    </row>
    <row r="448">
      <c r="A448" s="286"/>
      <c r="B448" s="286"/>
      <c r="C448" s="286"/>
      <c r="D448" s="286"/>
      <c r="E448" s="286"/>
      <c r="F448" s="436"/>
      <c r="G448" s="286"/>
      <c r="H448" s="286"/>
      <c r="I448" s="286"/>
      <c r="J448" s="286"/>
      <c r="K448" s="286"/>
      <c r="L448" s="286"/>
      <c r="M448" s="286"/>
      <c r="N448" s="286"/>
      <c r="O448" s="286"/>
      <c r="P448" s="286"/>
      <c r="Q448" s="286"/>
      <c r="R448" s="286"/>
    </row>
    <row r="449">
      <c r="A449" s="286"/>
      <c r="B449" s="286"/>
      <c r="C449" s="286"/>
      <c r="D449" s="286"/>
      <c r="E449" s="286"/>
      <c r="F449" s="436"/>
      <c r="G449" s="286"/>
      <c r="H449" s="286"/>
      <c r="I449" s="286"/>
      <c r="J449" s="286"/>
      <c r="K449" s="286"/>
      <c r="L449" s="286"/>
      <c r="M449" s="286"/>
      <c r="N449" s="286"/>
      <c r="O449" s="286"/>
      <c r="P449" s="286"/>
      <c r="Q449" s="286"/>
      <c r="R449" s="286"/>
    </row>
    <row r="450">
      <c r="A450" s="286"/>
      <c r="B450" s="286"/>
      <c r="C450" s="286"/>
      <c r="D450" s="286"/>
      <c r="E450" s="286"/>
      <c r="F450" s="436"/>
      <c r="G450" s="286"/>
      <c r="H450" s="286"/>
      <c r="I450" s="286"/>
      <c r="J450" s="286"/>
      <c r="K450" s="286"/>
      <c r="L450" s="286"/>
      <c r="M450" s="286"/>
      <c r="N450" s="286"/>
      <c r="O450" s="286"/>
      <c r="P450" s="286"/>
      <c r="Q450" s="286"/>
      <c r="R450" s="286"/>
    </row>
    <row r="451">
      <c r="A451" s="286"/>
      <c r="B451" s="286"/>
      <c r="C451" s="286"/>
      <c r="D451" s="286"/>
      <c r="E451" s="286"/>
      <c r="F451" s="436"/>
      <c r="G451" s="286"/>
      <c r="H451" s="286"/>
      <c r="I451" s="286"/>
      <c r="J451" s="286"/>
      <c r="K451" s="286"/>
      <c r="L451" s="286"/>
      <c r="M451" s="286"/>
      <c r="N451" s="286"/>
      <c r="O451" s="286"/>
      <c r="P451" s="286"/>
      <c r="Q451" s="286"/>
      <c r="R451" s="286"/>
    </row>
    <row r="452">
      <c r="A452" s="286"/>
      <c r="B452" s="286"/>
      <c r="C452" s="286"/>
      <c r="D452" s="286"/>
      <c r="E452" s="286"/>
      <c r="F452" s="436"/>
      <c r="G452" s="286"/>
      <c r="H452" s="286"/>
      <c r="I452" s="286"/>
      <c r="J452" s="286"/>
      <c r="K452" s="286"/>
      <c r="L452" s="286"/>
      <c r="M452" s="286"/>
      <c r="N452" s="286"/>
      <c r="O452" s="286"/>
      <c r="P452" s="286"/>
      <c r="Q452" s="286"/>
      <c r="R452" s="286"/>
    </row>
    <row r="453">
      <c r="A453" s="286"/>
      <c r="B453" s="286"/>
      <c r="C453" s="286"/>
      <c r="D453" s="286"/>
      <c r="E453" s="286"/>
      <c r="F453" s="436"/>
      <c r="G453" s="286"/>
      <c r="H453" s="286"/>
      <c r="I453" s="286"/>
      <c r="J453" s="286"/>
      <c r="K453" s="286"/>
      <c r="L453" s="286"/>
      <c r="M453" s="286"/>
      <c r="N453" s="286"/>
      <c r="O453" s="286"/>
      <c r="P453" s="286"/>
      <c r="Q453" s="286"/>
      <c r="R453" s="286"/>
    </row>
    <row r="454">
      <c r="A454" s="286"/>
      <c r="B454" s="286"/>
      <c r="C454" s="286"/>
      <c r="D454" s="286"/>
      <c r="E454" s="286"/>
      <c r="F454" s="436"/>
      <c r="G454" s="286"/>
      <c r="H454" s="286"/>
      <c r="I454" s="286"/>
      <c r="J454" s="286"/>
      <c r="K454" s="286"/>
      <c r="L454" s="286"/>
      <c r="M454" s="286"/>
      <c r="N454" s="286"/>
      <c r="O454" s="286"/>
      <c r="P454" s="286"/>
      <c r="Q454" s="286"/>
      <c r="R454" s="286"/>
    </row>
    <row r="455">
      <c r="A455" s="286"/>
      <c r="B455" s="286"/>
      <c r="C455" s="286"/>
      <c r="D455" s="286"/>
      <c r="E455" s="286"/>
      <c r="F455" s="436"/>
      <c r="G455" s="286"/>
      <c r="H455" s="286"/>
      <c r="I455" s="286"/>
      <c r="J455" s="286"/>
      <c r="K455" s="286"/>
      <c r="L455" s="286"/>
      <c r="M455" s="286"/>
      <c r="N455" s="286"/>
      <c r="O455" s="286"/>
      <c r="P455" s="286"/>
      <c r="Q455" s="286"/>
      <c r="R455" s="286"/>
    </row>
    <row r="456">
      <c r="A456" s="286"/>
      <c r="B456" s="286"/>
      <c r="C456" s="286"/>
      <c r="D456" s="286"/>
      <c r="E456" s="286"/>
      <c r="F456" s="436"/>
      <c r="G456" s="286"/>
      <c r="H456" s="286"/>
      <c r="I456" s="286"/>
      <c r="J456" s="286"/>
      <c r="K456" s="286"/>
      <c r="L456" s="286"/>
      <c r="M456" s="286"/>
      <c r="N456" s="286"/>
      <c r="O456" s="286"/>
      <c r="P456" s="286"/>
      <c r="Q456" s="286"/>
      <c r="R456" s="286"/>
    </row>
    <row r="457">
      <c r="A457" s="286"/>
      <c r="B457" s="286"/>
      <c r="C457" s="286"/>
      <c r="D457" s="286"/>
      <c r="E457" s="286"/>
      <c r="F457" s="436"/>
      <c r="G457" s="286"/>
      <c r="H457" s="286"/>
      <c r="I457" s="286"/>
      <c r="J457" s="286"/>
      <c r="K457" s="286"/>
      <c r="L457" s="286"/>
      <c r="M457" s="286"/>
      <c r="N457" s="286"/>
      <c r="O457" s="286"/>
      <c r="P457" s="286"/>
      <c r="Q457" s="286"/>
      <c r="R457" s="286"/>
    </row>
    <row r="458">
      <c r="A458" s="286"/>
      <c r="B458" s="286"/>
      <c r="C458" s="286"/>
      <c r="D458" s="286"/>
      <c r="E458" s="286"/>
      <c r="F458" s="436"/>
      <c r="G458" s="286"/>
      <c r="H458" s="286"/>
      <c r="I458" s="286"/>
      <c r="J458" s="286"/>
      <c r="K458" s="286"/>
      <c r="L458" s="286"/>
      <c r="M458" s="286"/>
      <c r="N458" s="286"/>
      <c r="O458" s="286"/>
      <c r="P458" s="286"/>
      <c r="Q458" s="286"/>
      <c r="R458" s="286"/>
    </row>
    <row r="459">
      <c r="A459" s="286"/>
      <c r="B459" s="286"/>
      <c r="C459" s="286"/>
      <c r="D459" s="286"/>
      <c r="E459" s="286"/>
      <c r="F459" s="436"/>
      <c r="G459" s="286"/>
      <c r="H459" s="286"/>
      <c r="I459" s="286"/>
      <c r="J459" s="286"/>
      <c r="K459" s="286"/>
      <c r="L459" s="286"/>
      <c r="M459" s="286"/>
      <c r="N459" s="286"/>
      <c r="O459" s="286"/>
      <c r="P459" s="286"/>
      <c r="Q459" s="286"/>
      <c r="R459" s="286"/>
    </row>
    <row r="460">
      <c r="A460" s="286"/>
      <c r="B460" s="286"/>
      <c r="C460" s="286"/>
      <c r="D460" s="286"/>
      <c r="E460" s="286"/>
      <c r="F460" s="436"/>
      <c r="G460" s="286"/>
      <c r="H460" s="286"/>
      <c r="I460" s="286"/>
      <c r="J460" s="286"/>
      <c r="K460" s="286"/>
      <c r="L460" s="286"/>
      <c r="M460" s="286"/>
      <c r="N460" s="286"/>
      <c r="O460" s="286"/>
      <c r="P460" s="286"/>
      <c r="Q460" s="286"/>
      <c r="R460" s="286"/>
    </row>
    <row r="461">
      <c r="A461" s="286"/>
      <c r="B461" s="286"/>
      <c r="C461" s="286"/>
      <c r="D461" s="286"/>
      <c r="E461" s="286"/>
      <c r="F461" s="436"/>
      <c r="G461" s="286"/>
      <c r="H461" s="286"/>
      <c r="I461" s="286"/>
      <c r="J461" s="286"/>
      <c r="K461" s="286"/>
      <c r="L461" s="286"/>
      <c r="M461" s="286"/>
      <c r="N461" s="286"/>
      <c r="O461" s="286"/>
      <c r="P461" s="286"/>
      <c r="Q461" s="286"/>
      <c r="R461" s="286"/>
    </row>
    <row r="462">
      <c r="A462" s="286"/>
      <c r="B462" s="286"/>
      <c r="C462" s="286"/>
      <c r="D462" s="286"/>
      <c r="E462" s="286"/>
      <c r="F462" s="436"/>
      <c r="G462" s="286"/>
      <c r="H462" s="286"/>
      <c r="I462" s="286"/>
      <c r="J462" s="286"/>
      <c r="K462" s="286"/>
      <c r="L462" s="286"/>
      <c r="M462" s="286"/>
      <c r="N462" s="286"/>
      <c r="O462" s="286"/>
      <c r="P462" s="286"/>
      <c r="Q462" s="286"/>
      <c r="R462" s="286"/>
    </row>
    <row r="463">
      <c r="A463" s="286"/>
      <c r="B463" s="286"/>
      <c r="C463" s="286"/>
      <c r="D463" s="286"/>
      <c r="E463" s="286"/>
      <c r="F463" s="436"/>
      <c r="G463" s="286"/>
      <c r="H463" s="286"/>
      <c r="I463" s="286"/>
      <c r="J463" s="286"/>
      <c r="K463" s="286"/>
      <c r="L463" s="286"/>
      <c r="M463" s="286"/>
      <c r="N463" s="286"/>
      <c r="O463" s="286"/>
      <c r="P463" s="286"/>
      <c r="Q463" s="286"/>
      <c r="R463" s="286"/>
    </row>
    <row r="464">
      <c r="A464" s="286"/>
      <c r="B464" s="286"/>
      <c r="C464" s="286"/>
      <c r="D464" s="286"/>
      <c r="E464" s="286"/>
      <c r="F464" s="436"/>
      <c r="G464" s="286"/>
      <c r="H464" s="286"/>
      <c r="I464" s="286"/>
      <c r="J464" s="286"/>
      <c r="K464" s="286"/>
      <c r="L464" s="286"/>
      <c r="M464" s="286"/>
      <c r="N464" s="286"/>
      <c r="O464" s="286"/>
      <c r="P464" s="286"/>
      <c r="Q464" s="286"/>
      <c r="R464" s="286"/>
    </row>
    <row r="465">
      <c r="A465" s="286"/>
      <c r="B465" s="286"/>
      <c r="C465" s="286"/>
      <c r="D465" s="286"/>
      <c r="E465" s="286"/>
      <c r="F465" s="436"/>
      <c r="G465" s="286"/>
      <c r="H465" s="286"/>
      <c r="I465" s="286"/>
      <c r="J465" s="286"/>
      <c r="K465" s="286"/>
      <c r="L465" s="286"/>
      <c r="M465" s="286"/>
      <c r="N465" s="286"/>
      <c r="O465" s="286"/>
      <c r="P465" s="286"/>
      <c r="Q465" s="286"/>
      <c r="R465" s="286"/>
    </row>
    <row r="466">
      <c r="A466" s="286"/>
      <c r="B466" s="286"/>
      <c r="C466" s="286"/>
      <c r="D466" s="286"/>
      <c r="E466" s="286"/>
      <c r="F466" s="436"/>
      <c r="G466" s="286"/>
      <c r="H466" s="286"/>
      <c r="I466" s="286"/>
      <c r="J466" s="286"/>
      <c r="K466" s="286"/>
      <c r="L466" s="286"/>
      <c r="M466" s="286"/>
      <c r="N466" s="286"/>
      <c r="O466" s="286"/>
      <c r="P466" s="286"/>
      <c r="Q466" s="286"/>
      <c r="R466" s="286"/>
    </row>
    <row r="467">
      <c r="A467" s="286"/>
      <c r="B467" s="286"/>
      <c r="C467" s="286"/>
      <c r="D467" s="286"/>
      <c r="E467" s="286"/>
      <c r="F467" s="436"/>
      <c r="G467" s="286"/>
      <c r="H467" s="286"/>
      <c r="I467" s="286"/>
      <c r="J467" s="286"/>
      <c r="K467" s="286"/>
      <c r="L467" s="286"/>
      <c r="M467" s="286"/>
      <c r="N467" s="286"/>
      <c r="O467" s="286"/>
      <c r="P467" s="286"/>
      <c r="Q467" s="286"/>
      <c r="R467" s="286"/>
    </row>
    <row r="468">
      <c r="A468" s="286"/>
      <c r="B468" s="286"/>
      <c r="C468" s="286"/>
      <c r="D468" s="286"/>
      <c r="E468" s="286"/>
      <c r="F468" s="436"/>
      <c r="G468" s="286"/>
      <c r="H468" s="286"/>
      <c r="I468" s="286"/>
      <c r="J468" s="286"/>
      <c r="K468" s="286"/>
      <c r="L468" s="286"/>
      <c r="M468" s="286"/>
      <c r="N468" s="286"/>
      <c r="O468" s="286"/>
      <c r="P468" s="286"/>
      <c r="Q468" s="286"/>
      <c r="R468" s="286"/>
    </row>
    <row r="469">
      <c r="A469" s="286"/>
      <c r="B469" s="286"/>
      <c r="C469" s="286"/>
      <c r="D469" s="286"/>
      <c r="E469" s="286"/>
      <c r="F469" s="436"/>
      <c r="G469" s="286"/>
      <c r="H469" s="286"/>
      <c r="I469" s="286"/>
      <c r="J469" s="286"/>
      <c r="K469" s="286"/>
      <c r="L469" s="286"/>
      <c r="M469" s="286"/>
      <c r="N469" s="286"/>
      <c r="O469" s="286"/>
      <c r="P469" s="286"/>
      <c r="Q469" s="286"/>
      <c r="R469" s="286"/>
    </row>
    <row r="470">
      <c r="A470" s="286"/>
      <c r="B470" s="286"/>
      <c r="C470" s="286"/>
      <c r="D470" s="286"/>
      <c r="E470" s="286"/>
      <c r="F470" s="436"/>
      <c r="G470" s="286"/>
      <c r="H470" s="286"/>
      <c r="I470" s="286"/>
      <c r="J470" s="286"/>
      <c r="K470" s="286"/>
      <c r="L470" s="286"/>
      <c r="M470" s="286"/>
      <c r="N470" s="286"/>
      <c r="O470" s="286"/>
      <c r="P470" s="286"/>
      <c r="Q470" s="286"/>
      <c r="R470" s="286"/>
    </row>
    <row r="471">
      <c r="A471" s="286"/>
      <c r="B471" s="286"/>
      <c r="C471" s="286"/>
      <c r="D471" s="286"/>
      <c r="E471" s="286"/>
      <c r="F471" s="436"/>
      <c r="G471" s="286"/>
      <c r="H471" s="286"/>
      <c r="I471" s="286"/>
      <c r="J471" s="286"/>
      <c r="K471" s="286"/>
      <c r="L471" s="286"/>
      <c r="M471" s="286"/>
      <c r="N471" s="286"/>
      <c r="O471" s="286"/>
      <c r="P471" s="286"/>
      <c r="Q471" s="286"/>
      <c r="R471" s="286"/>
    </row>
    <row r="472">
      <c r="A472" s="286"/>
      <c r="B472" s="286"/>
      <c r="C472" s="286"/>
      <c r="D472" s="286"/>
      <c r="E472" s="286"/>
      <c r="F472" s="436"/>
      <c r="G472" s="286"/>
      <c r="H472" s="286"/>
      <c r="I472" s="286"/>
      <c r="J472" s="286"/>
      <c r="K472" s="286"/>
      <c r="L472" s="286"/>
      <c r="M472" s="286"/>
      <c r="N472" s="286"/>
      <c r="O472" s="286"/>
      <c r="P472" s="286"/>
      <c r="Q472" s="286"/>
      <c r="R472" s="286"/>
    </row>
    <row r="473">
      <c r="A473" s="286"/>
      <c r="B473" s="286"/>
      <c r="C473" s="286"/>
      <c r="D473" s="286"/>
      <c r="E473" s="286"/>
      <c r="F473" s="436"/>
      <c r="G473" s="286"/>
      <c r="H473" s="286"/>
      <c r="I473" s="286"/>
      <c r="J473" s="286"/>
      <c r="K473" s="286"/>
      <c r="L473" s="286"/>
      <c r="M473" s="286"/>
      <c r="N473" s="286"/>
      <c r="O473" s="286"/>
      <c r="P473" s="286"/>
      <c r="Q473" s="286"/>
      <c r="R473" s="286"/>
    </row>
    <row r="474">
      <c r="A474" s="286"/>
      <c r="B474" s="286"/>
      <c r="C474" s="286"/>
      <c r="D474" s="286"/>
      <c r="E474" s="286"/>
      <c r="F474" s="436"/>
      <c r="G474" s="286"/>
      <c r="H474" s="286"/>
      <c r="I474" s="286"/>
      <c r="J474" s="286"/>
      <c r="K474" s="286"/>
      <c r="L474" s="286"/>
      <c r="M474" s="286"/>
      <c r="N474" s="286"/>
      <c r="O474" s="286"/>
      <c r="P474" s="286"/>
      <c r="Q474" s="286"/>
      <c r="R474" s="286"/>
    </row>
    <row r="475">
      <c r="A475" s="286"/>
      <c r="B475" s="286"/>
      <c r="C475" s="286"/>
      <c r="D475" s="286"/>
      <c r="E475" s="286"/>
      <c r="F475" s="436"/>
      <c r="G475" s="286"/>
      <c r="H475" s="286"/>
      <c r="I475" s="286"/>
      <c r="J475" s="286"/>
      <c r="K475" s="286"/>
      <c r="L475" s="286"/>
      <c r="M475" s="286"/>
      <c r="N475" s="286"/>
      <c r="O475" s="286"/>
      <c r="P475" s="286"/>
      <c r="Q475" s="286"/>
      <c r="R475" s="286"/>
    </row>
    <row r="476">
      <c r="A476" s="286"/>
      <c r="B476" s="286"/>
      <c r="C476" s="286"/>
      <c r="D476" s="286"/>
      <c r="E476" s="286"/>
      <c r="F476" s="436"/>
      <c r="G476" s="286"/>
      <c r="H476" s="286"/>
      <c r="I476" s="286"/>
      <c r="J476" s="286"/>
      <c r="K476" s="286"/>
      <c r="L476" s="286"/>
      <c r="M476" s="286"/>
      <c r="N476" s="286"/>
      <c r="O476" s="286"/>
      <c r="P476" s="286"/>
      <c r="Q476" s="286"/>
      <c r="R476" s="286"/>
    </row>
    <row r="477">
      <c r="A477" s="286"/>
      <c r="B477" s="286"/>
      <c r="C477" s="286"/>
      <c r="D477" s="286"/>
      <c r="E477" s="286"/>
      <c r="F477" s="436"/>
      <c r="G477" s="286"/>
      <c r="H477" s="286"/>
      <c r="I477" s="286"/>
      <c r="J477" s="286"/>
      <c r="K477" s="286"/>
      <c r="L477" s="286"/>
      <c r="M477" s="286"/>
      <c r="N477" s="286"/>
      <c r="O477" s="286"/>
      <c r="P477" s="286"/>
      <c r="Q477" s="286"/>
      <c r="R477" s="286"/>
    </row>
    <row r="478">
      <c r="A478" s="286"/>
      <c r="B478" s="286"/>
      <c r="C478" s="286"/>
      <c r="D478" s="286"/>
      <c r="E478" s="286"/>
      <c r="F478" s="436"/>
      <c r="G478" s="286"/>
      <c r="H478" s="286"/>
      <c r="I478" s="286"/>
      <c r="J478" s="286"/>
      <c r="K478" s="286"/>
      <c r="L478" s="286"/>
      <c r="M478" s="286"/>
      <c r="N478" s="286"/>
      <c r="O478" s="286"/>
      <c r="P478" s="286"/>
      <c r="Q478" s="286"/>
      <c r="R478" s="286"/>
    </row>
    <row r="479">
      <c r="A479" s="286"/>
      <c r="B479" s="286"/>
      <c r="C479" s="286"/>
      <c r="D479" s="286"/>
      <c r="E479" s="286"/>
      <c r="F479" s="436"/>
      <c r="G479" s="286"/>
      <c r="H479" s="286"/>
      <c r="I479" s="286"/>
      <c r="J479" s="286"/>
      <c r="K479" s="286"/>
      <c r="L479" s="286"/>
      <c r="M479" s="286"/>
      <c r="N479" s="286"/>
      <c r="O479" s="286"/>
      <c r="P479" s="286"/>
      <c r="Q479" s="286"/>
      <c r="R479" s="286"/>
    </row>
    <row r="480">
      <c r="A480" s="286"/>
      <c r="B480" s="286"/>
      <c r="C480" s="286"/>
      <c r="D480" s="286"/>
      <c r="E480" s="286"/>
      <c r="F480" s="436"/>
      <c r="G480" s="286"/>
      <c r="H480" s="286"/>
      <c r="I480" s="286"/>
      <c r="J480" s="286"/>
      <c r="K480" s="286"/>
      <c r="L480" s="286"/>
      <c r="M480" s="286"/>
      <c r="N480" s="286"/>
      <c r="O480" s="286"/>
      <c r="P480" s="286"/>
      <c r="Q480" s="286"/>
      <c r="R480" s="286"/>
    </row>
    <row r="481">
      <c r="A481" s="286"/>
      <c r="B481" s="286"/>
      <c r="C481" s="286"/>
      <c r="D481" s="286"/>
      <c r="E481" s="286"/>
      <c r="F481" s="436"/>
      <c r="G481" s="286"/>
      <c r="H481" s="286"/>
      <c r="I481" s="286"/>
      <c r="J481" s="286"/>
      <c r="K481" s="286"/>
      <c r="L481" s="286"/>
      <c r="M481" s="286"/>
      <c r="N481" s="286"/>
      <c r="O481" s="286"/>
      <c r="P481" s="286"/>
      <c r="Q481" s="286"/>
      <c r="R481" s="286"/>
    </row>
    <row r="482">
      <c r="A482" s="286"/>
      <c r="B482" s="286"/>
      <c r="C482" s="286"/>
      <c r="D482" s="286"/>
      <c r="E482" s="286"/>
      <c r="F482" s="436"/>
      <c r="G482" s="286"/>
      <c r="H482" s="286"/>
      <c r="I482" s="286"/>
      <c r="J482" s="286"/>
      <c r="K482" s="286"/>
      <c r="L482" s="286"/>
      <c r="M482" s="286"/>
      <c r="N482" s="286"/>
      <c r="O482" s="286"/>
      <c r="P482" s="286"/>
      <c r="Q482" s="286"/>
      <c r="R482" s="286"/>
    </row>
    <row r="483">
      <c r="A483" s="286"/>
      <c r="B483" s="286"/>
      <c r="C483" s="286"/>
      <c r="D483" s="286"/>
      <c r="E483" s="286"/>
      <c r="F483" s="436"/>
      <c r="G483" s="286"/>
      <c r="H483" s="286"/>
      <c r="I483" s="286"/>
      <c r="J483" s="286"/>
      <c r="K483" s="286"/>
      <c r="L483" s="286"/>
      <c r="M483" s="286"/>
      <c r="N483" s="286"/>
      <c r="O483" s="286"/>
      <c r="P483" s="286"/>
      <c r="Q483" s="286"/>
      <c r="R483" s="286"/>
    </row>
    <row r="484">
      <c r="A484" s="286"/>
      <c r="B484" s="286"/>
      <c r="C484" s="286"/>
      <c r="D484" s="286"/>
      <c r="E484" s="286"/>
      <c r="F484" s="436"/>
      <c r="G484" s="286"/>
      <c r="H484" s="286"/>
      <c r="I484" s="286"/>
      <c r="J484" s="286"/>
      <c r="K484" s="286"/>
      <c r="L484" s="286"/>
      <c r="M484" s="286"/>
      <c r="N484" s="286"/>
      <c r="O484" s="286"/>
      <c r="P484" s="286"/>
      <c r="Q484" s="286"/>
      <c r="R484" s="286"/>
    </row>
    <row r="485">
      <c r="A485" s="286"/>
      <c r="B485" s="286"/>
      <c r="C485" s="286"/>
      <c r="D485" s="286"/>
      <c r="E485" s="286"/>
      <c r="F485" s="436"/>
      <c r="G485" s="286"/>
      <c r="H485" s="286"/>
      <c r="I485" s="286"/>
      <c r="J485" s="286"/>
      <c r="K485" s="286"/>
      <c r="L485" s="286"/>
      <c r="M485" s="286"/>
      <c r="N485" s="286"/>
      <c r="O485" s="286"/>
      <c r="P485" s="286"/>
      <c r="Q485" s="286"/>
      <c r="R485" s="286"/>
    </row>
    <row r="486">
      <c r="A486" s="286"/>
      <c r="B486" s="286"/>
      <c r="C486" s="286"/>
      <c r="D486" s="286"/>
      <c r="E486" s="286"/>
      <c r="F486" s="436"/>
      <c r="G486" s="286"/>
      <c r="H486" s="286"/>
      <c r="I486" s="286"/>
      <c r="J486" s="286"/>
      <c r="K486" s="286"/>
      <c r="L486" s="286"/>
      <c r="M486" s="286"/>
      <c r="N486" s="286"/>
      <c r="O486" s="286"/>
      <c r="P486" s="286"/>
      <c r="Q486" s="286"/>
      <c r="R486" s="286"/>
    </row>
    <row r="487">
      <c r="A487" s="286"/>
      <c r="B487" s="286"/>
      <c r="C487" s="286"/>
      <c r="D487" s="286"/>
      <c r="E487" s="286"/>
      <c r="F487" s="436"/>
      <c r="G487" s="286"/>
      <c r="H487" s="286"/>
      <c r="I487" s="286"/>
      <c r="J487" s="286"/>
      <c r="K487" s="286"/>
      <c r="L487" s="286"/>
      <c r="M487" s="286"/>
      <c r="N487" s="286"/>
      <c r="O487" s="286"/>
      <c r="P487" s="286"/>
      <c r="Q487" s="286"/>
      <c r="R487" s="286"/>
    </row>
    <row r="488">
      <c r="A488" s="286"/>
      <c r="B488" s="286"/>
      <c r="C488" s="286"/>
      <c r="D488" s="286"/>
      <c r="E488" s="286"/>
      <c r="F488" s="436"/>
      <c r="G488" s="286"/>
      <c r="H488" s="286"/>
      <c r="I488" s="286"/>
      <c r="J488" s="286"/>
      <c r="K488" s="286"/>
      <c r="L488" s="286"/>
      <c r="M488" s="286"/>
      <c r="N488" s="286"/>
      <c r="O488" s="286"/>
      <c r="P488" s="286"/>
      <c r="Q488" s="286"/>
      <c r="R488" s="286"/>
    </row>
    <row r="489">
      <c r="A489" s="286"/>
      <c r="B489" s="286"/>
      <c r="C489" s="286"/>
      <c r="D489" s="286"/>
      <c r="E489" s="286"/>
      <c r="F489" s="436"/>
      <c r="G489" s="286"/>
      <c r="H489" s="286"/>
      <c r="I489" s="286"/>
      <c r="J489" s="286"/>
      <c r="K489" s="286"/>
      <c r="L489" s="286"/>
      <c r="M489" s="286"/>
      <c r="N489" s="286"/>
      <c r="O489" s="286"/>
      <c r="P489" s="286"/>
      <c r="Q489" s="286"/>
      <c r="R489" s="286"/>
    </row>
    <row r="490">
      <c r="A490" s="286"/>
      <c r="B490" s="286"/>
      <c r="C490" s="286"/>
      <c r="D490" s="286"/>
      <c r="E490" s="286"/>
      <c r="F490" s="436"/>
      <c r="G490" s="286"/>
      <c r="H490" s="286"/>
      <c r="I490" s="286"/>
      <c r="J490" s="286"/>
      <c r="K490" s="286"/>
      <c r="L490" s="286"/>
      <c r="M490" s="286"/>
      <c r="N490" s="286"/>
      <c r="O490" s="286"/>
      <c r="P490" s="286"/>
      <c r="Q490" s="286"/>
      <c r="R490" s="286"/>
    </row>
    <row r="491">
      <c r="A491" s="286"/>
      <c r="B491" s="286"/>
      <c r="C491" s="286"/>
      <c r="D491" s="286"/>
      <c r="E491" s="286"/>
      <c r="F491" s="436"/>
      <c r="G491" s="286"/>
      <c r="H491" s="286"/>
      <c r="I491" s="286"/>
      <c r="J491" s="286"/>
      <c r="K491" s="286"/>
      <c r="L491" s="286"/>
      <c r="M491" s="286"/>
      <c r="N491" s="286"/>
      <c r="O491" s="286"/>
      <c r="P491" s="286"/>
      <c r="Q491" s="286"/>
      <c r="R491" s="286"/>
    </row>
    <row r="492">
      <c r="A492" s="286"/>
      <c r="B492" s="286"/>
      <c r="C492" s="286"/>
      <c r="D492" s="286"/>
      <c r="E492" s="286"/>
      <c r="F492" s="436"/>
      <c r="G492" s="286"/>
      <c r="H492" s="286"/>
      <c r="I492" s="286"/>
      <c r="J492" s="286"/>
      <c r="K492" s="286"/>
      <c r="L492" s="286"/>
      <c r="M492" s="286"/>
      <c r="N492" s="286"/>
      <c r="O492" s="286"/>
      <c r="P492" s="286"/>
      <c r="Q492" s="286"/>
      <c r="R492" s="286"/>
    </row>
    <row r="493">
      <c r="A493" s="286"/>
      <c r="B493" s="286"/>
      <c r="C493" s="286"/>
      <c r="D493" s="286"/>
      <c r="E493" s="286"/>
      <c r="F493" s="436"/>
      <c r="G493" s="286"/>
      <c r="H493" s="286"/>
      <c r="I493" s="286"/>
      <c r="J493" s="286"/>
      <c r="K493" s="286"/>
      <c r="L493" s="286"/>
      <c r="M493" s="286"/>
      <c r="N493" s="286"/>
      <c r="O493" s="286"/>
      <c r="P493" s="286"/>
      <c r="Q493" s="286"/>
      <c r="R493" s="286"/>
    </row>
    <row r="494">
      <c r="A494" s="286"/>
      <c r="B494" s="286"/>
      <c r="C494" s="286"/>
      <c r="D494" s="286"/>
      <c r="E494" s="286"/>
      <c r="F494" s="436"/>
      <c r="G494" s="286"/>
      <c r="H494" s="286"/>
      <c r="I494" s="286"/>
      <c r="J494" s="286"/>
      <c r="K494" s="286"/>
      <c r="L494" s="286"/>
      <c r="M494" s="286"/>
      <c r="N494" s="286"/>
      <c r="O494" s="286"/>
      <c r="P494" s="286"/>
      <c r="Q494" s="286"/>
      <c r="R494" s="286"/>
    </row>
    <row r="495">
      <c r="A495" s="286"/>
      <c r="B495" s="286"/>
      <c r="C495" s="286"/>
      <c r="D495" s="286"/>
      <c r="E495" s="286"/>
      <c r="F495" s="436"/>
      <c r="G495" s="286"/>
      <c r="H495" s="286"/>
      <c r="I495" s="286"/>
      <c r="J495" s="286"/>
      <c r="K495" s="286"/>
      <c r="L495" s="286"/>
      <c r="M495" s="286"/>
      <c r="N495" s="286"/>
      <c r="O495" s="286"/>
      <c r="P495" s="286"/>
      <c r="Q495" s="286"/>
      <c r="R495" s="286"/>
    </row>
    <row r="496">
      <c r="A496" s="286"/>
      <c r="B496" s="286"/>
      <c r="C496" s="286"/>
      <c r="D496" s="286"/>
      <c r="E496" s="286"/>
      <c r="F496" s="436"/>
      <c r="G496" s="286"/>
      <c r="H496" s="286"/>
      <c r="I496" s="286"/>
      <c r="J496" s="286"/>
      <c r="K496" s="286"/>
      <c r="L496" s="286"/>
      <c r="M496" s="286"/>
      <c r="N496" s="286"/>
      <c r="O496" s="286"/>
      <c r="P496" s="286"/>
      <c r="Q496" s="286"/>
      <c r="R496" s="286"/>
    </row>
    <row r="497">
      <c r="A497" s="286"/>
      <c r="B497" s="286"/>
      <c r="C497" s="286"/>
      <c r="D497" s="286"/>
      <c r="E497" s="286"/>
      <c r="F497" s="436"/>
      <c r="G497" s="286"/>
      <c r="H497" s="286"/>
      <c r="I497" s="286"/>
      <c r="J497" s="286"/>
      <c r="K497" s="286"/>
      <c r="L497" s="286"/>
      <c r="M497" s="286"/>
      <c r="N497" s="286"/>
      <c r="O497" s="286"/>
      <c r="P497" s="286"/>
      <c r="Q497" s="286"/>
      <c r="R497" s="286"/>
    </row>
    <row r="498">
      <c r="A498" s="286"/>
      <c r="B498" s="286"/>
      <c r="C498" s="286"/>
      <c r="D498" s="286"/>
      <c r="E498" s="286"/>
      <c r="F498" s="436"/>
      <c r="G498" s="286"/>
      <c r="H498" s="286"/>
      <c r="I498" s="286"/>
      <c r="J498" s="286"/>
      <c r="K498" s="286"/>
      <c r="L498" s="286"/>
      <c r="M498" s="286"/>
      <c r="N498" s="286"/>
      <c r="O498" s="286"/>
      <c r="P498" s="286"/>
      <c r="Q498" s="286"/>
      <c r="R498" s="286"/>
    </row>
    <row r="499">
      <c r="A499" s="286"/>
      <c r="B499" s="286"/>
      <c r="C499" s="286"/>
      <c r="D499" s="286"/>
      <c r="E499" s="286"/>
      <c r="F499" s="436"/>
      <c r="G499" s="286"/>
      <c r="H499" s="286"/>
      <c r="I499" s="286"/>
      <c r="J499" s="286"/>
      <c r="K499" s="286"/>
      <c r="L499" s="286"/>
      <c r="M499" s="286"/>
      <c r="N499" s="286"/>
      <c r="O499" s="286"/>
      <c r="P499" s="286"/>
      <c r="Q499" s="286"/>
      <c r="R499" s="286"/>
    </row>
    <row r="500">
      <c r="A500" s="286"/>
      <c r="B500" s="286"/>
      <c r="C500" s="286"/>
      <c r="D500" s="286"/>
      <c r="E500" s="286"/>
      <c r="F500" s="436"/>
      <c r="G500" s="286"/>
      <c r="H500" s="286"/>
      <c r="I500" s="286"/>
      <c r="J500" s="286"/>
      <c r="K500" s="286"/>
      <c r="L500" s="286"/>
      <c r="M500" s="286"/>
      <c r="N500" s="286"/>
      <c r="O500" s="286"/>
      <c r="P500" s="286"/>
      <c r="Q500" s="286"/>
      <c r="R500" s="286"/>
    </row>
    <row r="501">
      <c r="A501" s="286"/>
      <c r="B501" s="286"/>
      <c r="C501" s="286"/>
      <c r="D501" s="286"/>
      <c r="E501" s="286"/>
      <c r="F501" s="436"/>
      <c r="G501" s="286"/>
      <c r="H501" s="286"/>
      <c r="I501" s="286"/>
      <c r="J501" s="286"/>
      <c r="K501" s="286"/>
      <c r="L501" s="286"/>
      <c r="M501" s="286"/>
      <c r="N501" s="286"/>
      <c r="O501" s="286"/>
      <c r="P501" s="286"/>
      <c r="Q501" s="286"/>
      <c r="R501" s="286"/>
    </row>
    <row r="502">
      <c r="A502" s="286"/>
      <c r="B502" s="286"/>
      <c r="C502" s="286"/>
      <c r="D502" s="286"/>
      <c r="E502" s="286"/>
      <c r="F502" s="436"/>
      <c r="G502" s="286"/>
      <c r="H502" s="286"/>
      <c r="I502" s="286"/>
      <c r="J502" s="286"/>
      <c r="K502" s="286"/>
      <c r="L502" s="286"/>
      <c r="M502" s="286"/>
      <c r="N502" s="286"/>
      <c r="O502" s="286"/>
      <c r="P502" s="286"/>
      <c r="Q502" s="286"/>
      <c r="R502" s="286"/>
    </row>
    <row r="503">
      <c r="A503" s="286"/>
      <c r="B503" s="286"/>
      <c r="C503" s="286"/>
      <c r="D503" s="286"/>
      <c r="E503" s="286"/>
      <c r="F503" s="436"/>
      <c r="G503" s="286"/>
      <c r="H503" s="286"/>
      <c r="I503" s="286"/>
      <c r="J503" s="286"/>
      <c r="K503" s="286"/>
      <c r="L503" s="286"/>
      <c r="M503" s="286"/>
      <c r="N503" s="286"/>
      <c r="O503" s="286"/>
      <c r="P503" s="286"/>
      <c r="Q503" s="286"/>
      <c r="R503" s="286"/>
    </row>
    <row r="504">
      <c r="A504" s="286"/>
      <c r="B504" s="286"/>
      <c r="C504" s="286"/>
      <c r="D504" s="286"/>
      <c r="E504" s="286"/>
      <c r="F504" s="436"/>
      <c r="G504" s="286"/>
      <c r="H504" s="286"/>
      <c r="I504" s="286"/>
      <c r="J504" s="286"/>
      <c r="K504" s="286"/>
      <c r="L504" s="286"/>
      <c r="M504" s="286"/>
      <c r="N504" s="286"/>
      <c r="O504" s="286"/>
      <c r="P504" s="286"/>
      <c r="Q504" s="286"/>
      <c r="R504" s="286"/>
    </row>
    <row r="505">
      <c r="A505" s="286"/>
      <c r="B505" s="286"/>
      <c r="C505" s="286"/>
      <c r="D505" s="286"/>
      <c r="E505" s="286"/>
      <c r="F505" s="436"/>
      <c r="G505" s="286"/>
      <c r="H505" s="286"/>
      <c r="I505" s="286"/>
      <c r="J505" s="286"/>
      <c r="K505" s="286"/>
      <c r="L505" s="286"/>
      <c r="M505" s="286"/>
      <c r="N505" s="286"/>
      <c r="O505" s="286"/>
      <c r="P505" s="286"/>
      <c r="Q505" s="286"/>
      <c r="R505" s="286"/>
    </row>
    <row r="506">
      <c r="A506" s="286"/>
      <c r="B506" s="286"/>
      <c r="C506" s="286"/>
      <c r="D506" s="286"/>
      <c r="E506" s="286"/>
      <c r="F506" s="436"/>
      <c r="G506" s="286"/>
      <c r="H506" s="286"/>
      <c r="I506" s="286"/>
      <c r="J506" s="286"/>
      <c r="K506" s="286"/>
      <c r="L506" s="286"/>
      <c r="M506" s="286"/>
      <c r="N506" s="286"/>
      <c r="O506" s="286"/>
      <c r="P506" s="286"/>
      <c r="Q506" s="286"/>
      <c r="R506" s="286"/>
    </row>
    <row r="507">
      <c r="A507" s="286"/>
      <c r="B507" s="286"/>
      <c r="C507" s="286"/>
      <c r="D507" s="286"/>
      <c r="E507" s="286"/>
      <c r="F507" s="436"/>
      <c r="G507" s="286"/>
      <c r="H507" s="286"/>
      <c r="I507" s="286"/>
      <c r="J507" s="286"/>
      <c r="K507" s="286"/>
      <c r="L507" s="286"/>
      <c r="M507" s="286"/>
      <c r="N507" s="286"/>
      <c r="O507" s="286"/>
      <c r="P507" s="286"/>
      <c r="Q507" s="286"/>
      <c r="R507" s="286"/>
    </row>
    <row r="508">
      <c r="A508" s="286"/>
      <c r="B508" s="286"/>
      <c r="C508" s="286"/>
      <c r="D508" s="286"/>
      <c r="E508" s="286"/>
      <c r="F508" s="436"/>
      <c r="G508" s="286"/>
      <c r="H508" s="286"/>
      <c r="I508" s="286"/>
      <c r="J508" s="286"/>
      <c r="K508" s="286"/>
      <c r="L508" s="286"/>
      <c r="M508" s="286"/>
      <c r="N508" s="286"/>
      <c r="O508" s="286"/>
      <c r="P508" s="286"/>
      <c r="Q508" s="286"/>
      <c r="R508" s="286"/>
    </row>
    <row r="509">
      <c r="A509" s="286"/>
      <c r="B509" s="286"/>
      <c r="C509" s="286"/>
      <c r="D509" s="286"/>
      <c r="E509" s="286"/>
      <c r="F509" s="436"/>
      <c r="G509" s="286"/>
      <c r="H509" s="286"/>
      <c r="I509" s="286"/>
      <c r="J509" s="286"/>
      <c r="K509" s="286"/>
      <c r="L509" s="286"/>
      <c r="M509" s="286"/>
      <c r="N509" s="286"/>
      <c r="O509" s="286"/>
      <c r="P509" s="286"/>
      <c r="Q509" s="286"/>
      <c r="R509" s="286"/>
    </row>
    <row r="510">
      <c r="A510" s="286"/>
      <c r="B510" s="286"/>
      <c r="C510" s="286"/>
      <c r="D510" s="286"/>
      <c r="E510" s="286"/>
      <c r="F510" s="436"/>
      <c r="G510" s="286"/>
      <c r="H510" s="286"/>
      <c r="I510" s="286"/>
      <c r="J510" s="286"/>
      <c r="K510" s="286"/>
      <c r="L510" s="286"/>
      <c r="M510" s="286"/>
      <c r="N510" s="286"/>
      <c r="O510" s="286"/>
      <c r="P510" s="286"/>
      <c r="Q510" s="286"/>
      <c r="R510" s="286"/>
    </row>
    <row r="511">
      <c r="A511" s="286"/>
      <c r="B511" s="286"/>
      <c r="C511" s="286"/>
      <c r="D511" s="286"/>
      <c r="E511" s="286"/>
      <c r="F511" s="436"/>
      <c r="G511" s="286"/>
      <c r="H511" s="286"/>
      <c r="I511" s="286"/>
      <c r="J511" s="286"/>
      <c r="K511" s="286"/>
      <c r="L511" s="286"/>
      <c r="M511" s="286"/>
      <c r="N511" s="286"/>
      <c r="O511" s="286"/>
      <c r="P511" s="286"/>
      <c r="Q511" s="286"/>
      <c r="R511" s="286"/>
    </row>
    <row r="512">
      <c r="A512" s="286"/>
      <c r="B512" s="286"/>
      <c r="C512" s="286"/>
      <c r="D512" s="286"/>
      <c r="E512" s="286"/>
      <c r="F512" s="436"/>
      <c r="G512" s="286"/>
      <c r="H512" s="286"/>
      <c r="I512" s="286"/>
      <c r="J512" s="286"/>
      <c r="K512" s="286"/>
      <c r="L512" s="286"/>
      <c r="M512" s="286"/>
      <c r="N512" s="286"/>
      <c r="O512" s="286"/>
      <c r="P512" s="286"/>
      <c r="Q512" s="286"/>
      <c r="R512" s="286"/>
    </row>
    <row r="513">
      <c r="A513" s="286"/>
      <c r="B513" s="286"/>
      <c r="C513" s="286"/>
      <c r="D513" s="286"/>
      <c r="E513" s="286"/>
      <c r="F513" s="436"/>
      <c r="G513" s="286"/>
      <c r="H513" s="286"/>
      <c r="I513" s="286"/>
      <c r="J513" s="286"/>
      <c r="K513" s="286"/>
      <c r="L513" s="286"/>
      <c r="M513" s="286"/>
      <c r="N513" s="286"/>
      <c r="O513" s="286"/>
      <c r="P513" s="286"/>
      <c r="Q513" s="286"/>
      <c r="R513" s="286"/>
    </row>
    <row r="514">
      <c r="A514" s="286"/>
      <c r="B514" s="286"/>
      <c r="C514" s="286"/>
      <c r="D514" s="286"/>
      <c r="E514" s="286"/>
      <c r="F514" s="436"/>
      <c r="G514" s="286"/>
      <c r="H514" s="286"/>
      <c r="I514" s="286"/>
      <c r="J514" s="286"/>
      <c r="K514" s="286"/>
      <c r="L514" s="286"/>
      <c r="M514" s="286"/>
      <c r="N514" s="286"/>
      <c r="O514" s="286"/>
      <c r="P514" s="286"/>
      <c r="Q514" s="286"/>
      <c r="R514" s="286"/>
    </row>
    <row r="515">
      <c r="A515" s="286"/>
      <c r="B515" s="286"/>
      <c r="C515" s="286"/>
      <c r="D515" s="286"/>
      <c r="E515" s="286"/>
      <c r="F515" s="436"/>
      <c r="G515" s="286"/>
      <c r="H515" s="286"/>
      <c r="I515" s="286"/>
      <c r="J515" s="286"/>
      <c r="K515" s="286"/>
      <c r="L515" s="286"/>
      <c r="M515" s="286"/>
      <c r="N515" s="286"/>
      <c r="O515" s="286"/>
      <c r="P515" s="286"/>
      <c r="Q515" s="286"/>
      <c r="R515" s="286"/>
    </row>
    <row r="516">
      <c r="A516" s="286"/>
      <c r="B516" s="286"/>
      <c r="C516" s="286"/>
      <c r="D516" s="286"/>
      <c r="E516" s="286"/>
      <c r="F516" s="436"/>
      <c r="G516" s="286"/>
      <c r="H516" s="286"/>
      <c r="I516" s="286"/>
      <c r="J516" s="286"/>
      <c r="K516" s="286"/>
      <c r="L516" s="286"/>
      <c r="M516" s="286"/>
      <c r="N516" s="286"/>
      <c r="O516" s="286"/>
      <c r="P516" s="286"/>
      <c r="Q516" s="286"/>
      <c r="R516" s="286"/>
    </row>
    <row r="517">
      <c r="A517" s="286"/>
      <c r="B517" s="286"/>
      <c r="C517" s="286"/>
      <c r="D517" s="286"/>
      <c r="E517" s="286"/>
      <c r="F517" s="436"/>
      <c r="G517" s="286"/>
      <c r="H517" s="286"/>
      <c r="I517" s="286"/>
      <c r="J517" s="286"/>
      <c r="K517" s="286"/>
      <c r="L517" s="286"/>
      <c r="M517" s="286"/>
      <c r="N517" s="286"/>
      <c r="O517" s="286"/>
      <c r="P517" s="286"/>
      <c r="Q517" s="286"/>
      <c r="R517" s="286"/>
    </row>
    <row r="518">
      <c r="A518" s="286"/>
      <c r="B518" s="286"/>
      <c r="C518" s="286"/>
      <c r="D518" s="286"/>
      <c r="E518" s="286"/>
      <c r="F518" s="436"/>
      <c r="G518" s="286"/>
      <c r="H518" s="286"/>
      <c r="I518" s="286"/>
      <c r="J518" s="286"/>
      <c r="K518" s="286"/>
      <c r="L518" s="286"/>
      <c r="M518" s="286"/>
      <c r="N518" s="286"/>
      <c r="O518" s="286"/>
      <c r="P518" s="286"/>
      <c r="Q518" s="286"/>
      <c r="R518" s="286"/>
    </row>
    <row r="519">
      <c r="A519" s="286"/>
      <c r="B519" s="286"/>
      <c r="C519" s="286"/>
      <c r="D519" s="286"/>
      <c r="E519" s="286"/>
      <c r="F519" s="436"/>
      <c r="G519" s="286"/>
      <c r="H519" s="286"/>
      <c r="I519" s="286"/>
      <c r="J519" s="286"/>
      <c r="K519" s="286"/>
      <c r="L519" s="286"/>
      <c r="M519" s="286"/>
      <c r="N519" s="286"/>
      <c r="O519" s="286"/>
      <c r="P519" s="286"/>
      <c r="Q519" s="286"/>
      <c r="R519" s="286"/>
    </row>
    <row r="520">
      <c r="A520" s="286"/>
      <c r="B520" s="286"/>
      <c r="C520" s="286"/>
      <c r="D520" s="286"/>
      <c r="E520" s="286"/>
      <c r="F520" s="436"/>
      <c r="G520" s="286"/>
      <c r="H520" s="286"/>
      <c r="I520" s="286"/>
      <c r="J520" s="286"/>
      <c r="K520" s="286"/>
      <c r="L520" s="286"/>
      <c r="M520" s="286"/>
      <c r="N520" s="286"/>
      <c r="O520" s="286"/>
      <c r="P520" s="286"/>
      <c r="Q520" s="286"/>
      <c r="R520" s="286"/>
    </row>
    <row r="521">
      <c r="A521" s="286"/>
      <c r="B521" s="286"/>
      <c r="C521" s="286"/>
      <c r="D521" s="286"/>
      <c r="E521" s="286"/>
      <c r="F521" s="436"/>
      <c r="G521" s="286"/>
      <c r="H521" s="286"/>
      <c r="I521" s="286"/>
      <c r="J521" s="286"/>
      <c r="K521" s="286"/>
      <c r="L521" s="286"/>
      <c r="M521" s="286"/>
      <c r="N521" s="286"/>
      <c r="O521" s="286"/>
      <c r="P521" s="286"/>
      <c r="Q521" s="286"/>
      <c r="R521" s="286"/>
    </row>
    <row r="522">
      <c r="A522" s="286"/>
      <c r="B522" s="286"/>
      <c r="C522" s="286"/>
      <c r="D522" s="286"/>
      <c r="E522" s="286"/>
      <c r="F522" s="436"/>
      <c r="G522" s="286"/>
      <c r="H522" s="286"/>
      <c r="I522" s="286"/>
      <c r="J522" s="286"/>
      <c r="K522" s="286"/>
      <c r="L522" s="286"/>
      <c r="M522" s="286"/>
      <c r="N522" s="286"/>
      <c r="O522" s="286"/>
      <c r="P522" s="286"/>
      <c r="Q522" s="286"/>
      <c r="R522" s="286"/>
    </row>
    <row r="523">
      <c r="A523" s="286"/>
      <c r="B523" s="286"/>
      <c r="C523" s="286"/>
      <c r="D523" s="286"/>
      <c r="E523" s="286"/>
      <c r="F523" s="436"/>
      <c r="G523" s="286"/>
      <c r="H523" s="286"/>
      <c r="I523" s="286"/>
      <c r="J523" s="286"/>
      <c r="K523" s="286"/>
      <c r="L523" s="286"/>
      <c r="M523" s="286"/>
      <c r="N523" s="286"/>
      <c r="O523" s="286"/>
      <c r="P523" s="286"/>
      <c r="Q523" s="286"/>
      <c r="R523" s="286"/>
    </row>
    <row r="524">
      <c r="A524" s="286"/>
      <c r="B524" s="286"/>
      <c r="C524" s="286"/>
      <c r="D524" s="286"/>
      <c r="E524" s="286"/>
      <c r="F524" s="436"/>
      <c r="G524" s="286"/>
      <c r="H524" s="286"/>
      <c r="I524" s="286"/>
      <c r="J524" s="286"/>
      <c r="K524" s="286"/>
      <c r="L524" s="286"/>
      <c r="M524" s="286"/>
      <c r="N524" s="286"/>
      <c r="O524" s="286"/>
      <c r="P524" s="286"/>
      <c r="Q524" s="286"/>
      <c r="R524" s="286"/>
    </row>
    <row r="525">
      <c r="A525" s="286"/>
      <c r="B525" s="286"/>
      <c r="C525" s="286"/>
      <c r="D525" s="286"/>
      <c r="E525" s="286"/>
      <c r="F525" s="436"/>
      <c r="G525" s="286"/>
      <c r="H525" s="286"/>
      <c r="I525" s="286"/>
      <c r="J525" s="286"/>
      <c r="K525" s="286"/>
      <c r="L525" s="286"/>
      <c r="M525" s="286"/>
      <c r="N525" s="286"/>
      <c r="O525" s="286"/>
      <c r="P525" s="286"/>
      <c r="Q525" s="286"/>
      <c r="R525" s="286"/>
    </row>
    <row r="526">
      <c r="A526" s="286"/>
      <c r="B526" s="286"/>
      <c r="C526" s="286"/>
      <c r="D526" s="286"/>
      <c r="E526" s="286"/>
      <c r="F526" s="436"/>
      <c r="G526" s="286"/>
      <c r="H526" s="286"/>
      <c r="I526" s="286"/>
      <c r="J526" s="286"/>
      <c r="K526" s="286"/>
      <c r="L526" s="286"/>
      <c r="M526" s="286"/>
      <c r="N526" s="286"/>
      <c r="O526" s="286"/>
      <c r="P526" s="286"/>
      <c r="Q526" s="286"/>
      <c r="R526" s="286"/>
    </row>
    <row r="527">
      <c r="A527" s="286"/>
      <c r="B527" s="286"/>
      <c r="C527" s="286"/>
      <c r="D527" s="286"/>
      <c r="E527" s="286"/>
      <c r="F527" s="436"/>
      <c r="G527" s="286"/>
      <c r="H527" s="286"/>
      <c r="I527" s="286"/>
      <c r="J527" s="286"/>
      <c r="K527" s="286"/>
      <c r="L527" s="286"/>
      <c r="M527" s="286"/>
      <c r="N527" s="286"/>
      <c r="O527" s="286"/>
      <c r="P527" s="286"/>
      <c r="Q527" s="286"/>
      <c r="R527" s="286"/>
    </row>
    <row r="528">
      <c r="A528" s="286"/>
      <c r="B528" s="286"/>
      <c r="C528" s="286"/>
      <c r="D528" s="286"/>
      <c r="E528" s="286"/>
      <c r="F528" s="436"/>
      <c r="G528" s="286"/>
      <c r="H528" s="286"/>
      <c r="I528" s="286"/>
      <c r="J528" s="286"/>
      <c r="K528" s="286"/>
      <c r="L528" s="286"/>
      <c r="M528" s="286"/>
      <c r="N528" s="286"/>
      <c r="O528" s="286"/>
      <c r="P528" s="286"/>
      <c r="Q528" s="286"/>
      <c r="R528" s="286"/>
    </row>
    <row r="529">
      <c r="A529" s="286"/>
      <c r="B529" s="286"/>
      <c r="C529" s="286"/>
      <c r="D529" s="286"/>
      <c r="E529" s="286"/>
      <c r="F529" s="436"/>
      <c r="G529" s="286"/>
      <c r="H529" s="286"/>
      <c r="I529" s="286"/>
      <c r="J529" s="286"/>
      <c r="K529" s="286"/>
      <c r="L529" s="286"/>
      <c r="M529" s="286"/>
      <c r="N529" s="286"/>
      <c r="O529" s="286"/>
      <c r="P529" s="286"/>
      <c r="Q529" s="286"/>
      <c r="R529" s="286"/>
    </row>
    <row r="530">
      <c r="A530" s="286"/>
      <c r="B530" s="286"/>
      <c r="C530" s="286"/>
      <c r="D530" s="286"/>
      <c r="E530" s="286"/>
      <c r="F530" s="436"/>
      <c r="G530" s="286"/>
      <c r="H530" s="286"/>
      <c r="I530" s="286"/>
      <c r="J530" s="286"/>
      <c r="K530" s="286"/>
      <c r="L530" s="286"/>
      <c r="M530" s="286"/>
      <c r="N530" s="286"/>
      <c r="O530" s="286"/>
      <c r="P530" s="286"/>
      <c r="Q530" s="286"/>
      <c r="R530" s="286"/>
    </row>
    <row r="531">
      <c r="A531" s="286"/>
      <c r="B531" s="286"/>
      <c r="C531" s="286"/>
      <c r="D531" s="286"/>
      <c r="E531" s="286"/>
      <c r="F531" s="436"/>
      <c r="G531" s="286"/>
      <c r="H531" s="286"/>
      <c r="I531" s="286"/>
      <c r="J531" s="286"/>
      <c r="K531" s="286"/>
      <c r="L531" s="286"/>
      <c r="M531" s="286"/>
      <c r="N531" s="286"/>
      <c r="O531" s="286"/>
      <c r="P531" s="286"/>
      <c r="Q531" s="286"/>
      <c r="R531" s="286"/>
    </row>
    <row r="532">
      <c r="A532" s="286"/>
      <c r="B532" s="286"/>
      <c r="C532" s="286"/>
      <c r="D532" s="286"/>
      <c r="E532" s="286"/>
      <c r="F532" s="436"/>
      <c r="G532" s="286"/>
      <c r="H532" s="286"/>
      <c r="I532" s="286"/>
      <c r="J532" s="286"/>
      <c r="K532" s="286"/>
      <c r="L532" s="286"/>
      <c r="M532" s="286"/>
      <c r="N532" s="286"/>
      <c r="O532" s="286"/>
      <c r="P532" s="286"/>
      <c r="Q532" s="286"/>
      <c r="R532" s="286"/>
    </row>
    <row r="533">
      <c r="A533" s="286"/>
      <c r="B533" s="286"/>
      <c r="C533" s="286"/>
      <c r="D533" s="286"/>
      <c r="E533" s="286"/>
      <c r="F533" s="436"/>
      <c r="G533" s="286"/>
      <c r="H533" s="286"/>
      <c r="I533" s="286"/>
      <c r="J533" s="286"/>
      <c r="K533" s="286"/>
      <c r="L533" s="286"/>
      <c r="M533" s="286"/>
      <c r="N533" s="286"/>
      <c r="O533" s="286"/>
      <c r="P533" s="286"/>
      <c r="Q533" s="286"/>
      <c r="R533" s="286"/>
    </row>
    <row r="534">
      <c r="A534" s="286"/>
      <c r="B534" s="286"/>
      <c r="C534" s="286"/>
      <c r="D534" s="286"/>
      <c r="E534" s="286"/>
      <c r="F534" s="436"/>
      <c r="G534" s="286"/>
      <c r="H534" s="286"/>
      <c r="I534" s="286"/>
      <c r="J534" s="286"/>
      <c r="K534" s="286"/>
      <c r="L534" s="286"/>
      <c r="M534" s="286"/>
      <c r="N534" s="286"/>
      <c r="O534" s="286"/>
      <c r="P534" s="286"/>
      <c r="Q534" s="286"/>
      <c r="R534" s="286"/>
    </row>
    <row r="535">
      <c r="A535" s="286"/>
      <c r="B535" s="286"/>
      <c r="C535" s="286"/>
      <c r="D535" s="286"/>
      <c r="E535" s="286"/>
      <c r="F535" s="436"/>
      <c r="G535" s="286"/>
      <c r="H535" s="286"/>
      <c r="I535" s="286"/>
      <c r="J535" s="286"/>
      <c r="K535" s="286"/>
      <c r="L535" s="286"/>
      <c r="M535" s="286"/>
      <c r="N535" s="286"/>
      <c r="O535" s="286"/>
      <c r="P535" s="286"/>
      <c r="Q535" s="286"/>
      <c r="R535" s="286"/>
    </row>
    <row r="536">
      <c r="A536" s="286"/>
      <c r="B536" s="286"/>
      <c r="C536" s="286"/>
      <c r="D536" s="286"/>
      <c r="E536" s="286"/>
      <c r="F536" s="436"/>
      <c r="G536" s="286"/>
      <c r="H536" s="286"/>
      <c r="I536" s="286"/>
      <c r="J536" s="286"/>
      <c r="K536" s="286"/>
      <c r="L536" s="286"/>
      <c r="M536" s="286"/>
      <c r="N536" s="286"/>
      <c r="O536" s="286"/>
      <c r="P536" s="286"/>
      <c r="Q536" s="286"/>
      <c r="R536" s="286"/>
    </row>
    <row r="537">
      <c r="A537" s="286"/>
      <c r="B537" s="286"/>
      <c r="C537" s="286"/>
      <c r="D537" s="286"/>
      <c r="E537" s="286"/>
      <c r="F537" s="436"/>
      <c r="G537" s="286"/>
      <c r="H537" s="286"/>
      <c r="I537" s="286"/>
      <c r="J537" s="286"/>
      <c r="K537" s="286"/>
      <c r="L537" s="286"/>
      <c r="M537" s="286"/>
      <c r="N537" s="286"/>
      <c r="O537" s="286"/>
      <c r="P537" s="286"/>
      <c r="Q537" s="286"/>
      <c r="R537" s="286"/>
    </row>
    <row r="538">
      <c r="A538" s="286"/>
      <c r="B538" s="286"/>
      <c r="C538" s="286"/>
      <c r="D538" s="286"/>
      <c r="E538" s="286"/>
      <c r="F538" s="436"/>
      <c r="G538" s="286"/>
      <c r="H538" s="286"/>
      <c r="I538" s="286"/>
      <c r="J538" s="286"/>
      <c r="K538" s="286"/>
      <c r="L538" s="286"/>
      <c r="M538" s="286"/>
      <c r="N538" s="286"/>
      <c r="O538" s="286"/>
      <c r="P538" s="286"/>
      <c r="Q538" s="286"/>
      <c r="R538" s="286"/>
    </row>
    <row r="539">
      <c r="A539" s="286"/>
      <c r="B539" s="286"/>
      <c r="C539" s="286"/>
      <c r="D539" s="286"/>
      <c r="E539" s="286"/>
      <c r="F539" s="436"/>
      <c r="G539" s="286"/>
      <c r="H539" s="286"/>
      <c r="I539" s="286"/>
      <c r="J539" s="286"/>
      <c r="K539" s="286"/>
      <c r="L539" s="286"/>
      <c r="M539" s="286"/>
      <c r="N539" s="286"/>
      <c r="O539" s="286"/>
      <c r="P539" s="286"/>
      <c r="Q539" s="286"/>
      <c r="R539" s="286"/>
    </row>
    <row r="540">
      <c r="A540" s="286"/>
      <c r="B540" s="286"/>
      <c r="C540" s="286"/>
      <c r="D540" s="286"/>
      <c r="E540" s="286"/>
      <c r="F540" s="436"/>
      <c r="G540" s="286"/>
      <c r="H540" s="286"/>
      <c r="I540" s="286"/>
      <c r="J540" s="286"/>
      <c r="K540" s="286"/>
      <c r="L540" s="286"/>
      <c r="M540" s="286"/>
      <c r="N540" s="286"/>
      <c r="O540" s="286"/>
      <c r="P540" s="286"/>
      <c r="Q540" s="286"/>
      <c r="R540" s="286"/>
    </row>
    <row r="541">
      <c r="A541" s="286"/>
      <c r="B541" s="286"/>
      <c r="C541" s="286"/>
      <c r="D541" s="286"/>
      <c r="E541" s="286"/>
      <c r="F541" s="436"/>
      <c r="G541" s="286"/>
      <c r="H541" s="286"/>
      <c r="I541" s="286"/>
      <c r="J541" s="286"/>
      <c r="K541" s="286"/>
      <c r="L541" s="286"/>
      <c r="M541" s="286"/>
      <c r="N541" s="286"/>
      <c r="O541" s="286"/>
      <c r="P541" s="286"/>
      <c r="Q541" s="286"/>
      <c r="R541" s="286"/>
    </row>
    <row r="542">
      <c r="A542" s="286"/>
      <c r="B542" s="286"/>
      <c r="C542" s="286"/>
      <c r="D542" s="286"/>
      <c r="E542" s="286"/>
      <c r="F542" s="436"/>
      <c r="G542" s="286"/>
      <c r="H542" s="286"/>
      <c r="I542" s="286"/>
      <c r="J542" s="286"/>
      <c r="K542" s="286"/>
      <c r="L542" s="286"/>
      <c r="M542" s="286"/>
      <c r="N542" s="286"/>
      <c r="O542" s="286"/>
      <c r="P542" s="286"/>
      <c r="Q542" s="286"/>
      <c r="R542" s="286"/>
    </row>
    <row r="543">
      <c r="A543" s="286"/>
      <c r="B543" s="286"/>
      <c r="C543" s="286"/>
      <c r="D543" s="286"/>
      <c r="E543" s="286"/>
      <c r="F543" s="436"/>
      <c r="G543" s="286"/>
      <c r="H543" s="286"/>
      <c r="I543" s="286"/>
      <c r="J543" s="286"/>
      <c r="K543" s="286"/>
      <c r="L543" s="286"/>
      <c r="M543" s="286"/>
      <c r="N543" s="286"/>
      <c r="O543" s="286"/>
      <c r="P543" s="286"/>
      <c r="Q543" s="286"/>
      <c r="R543" s="286"/>
    </row>
    <row r="544">
      <c r="A544" s="286"/>
      <c r="B544" s="286"/>
      <c r="C544" s="286"/>
      <c r="D544" s="286"/>
      <c r="E544" s="286"/>
      <c r="F544" s="436"/>
      <c r="G544" s="286"/>
      <c r="H544" s="286"/>
      <c r="I544" s="286"/>
      <c r="J544" s="286"/>
      <c r="K544" s="286"/>
      <c r="L544" s="286"/>
      <c r="M544" s="286"/>
      <c r="N544" s="286"/>
      <c r="O544" s="286"/>
      <c r="P544" s="286"/>
      <c r="Q544" s="286"/>
      <c r="R544" s="286"/>
    </row>
    <row r="545">
      <c r="A545" s="286"/>
      <c r="B545" s="286"/>
      <c r="C545" s="286"/>
      <c r="D545" s="286"/>
      <c r="E545" s="286"/>
      <c r="F545" s="436"/>
      <c r="G545" s="286"/>
      <c r="H545" s="286"/>
      <c r="I545" s="286"/>
      <c r="J545" s="286"/>
      <c r="K545" s="286"/>
      <c r="L545" s="286"/>
      <c r="M545" s="286"/>
      <c r="N545" s="286"/>
      <c r="O545" s="286"/>
      <c r="P545" s="286"/>
      <c r="Q545" s="286"/>
      <c r="R545" s="286"/>
    </row>
    <row r="546">
      <c r="A546" s="286"/>
      <c r="B546" s="286"/>
      <c r="C546" s="286"/>
      <c r="D546" s="286"/>
      <c r="E546" s="286"/>
      <c r="F546" s="436"/>
      <c r="G546" s="286"/>
      <c r="H546" s="286"/>
      <c r="I546" s="286"/>
      <c r="J546" s="286"/>
      <c r="K546" s="286"/>
      <c r="L546" s="286"/>
      <c r="M546" s="286"/>
      <c r="N546" s="286"/>
      <c r="O546" s="286"/>
      <c r="P546" s="286"/>
      <c r="Q546" s="286"/>
      <c r="R546" s="286"/>
    </row>
    <row r="547">
      <c r="A547" s="286"/>
      <c r="B547" s="286"/>
      <c r="C547" s="286"/>
      <c r="D547" s="286"/>
      <c r="E547" s="286"/>
      <c r="F547" s="436"/>
      <c r="G547" s="286"/>
      <c r="H547" s="286"/>
      <c r="I547" s="286"/>
      <c r="J547" s="286"/>
      <c r="K547" s="286"/>
      <c r="L547" s="286"/>
      <c r="M547" s="286"/>
      <c r="N547" s="286"/>
      <c r="O547" s="286"/>
      <c r="P547" s="286"/>
      <c r="Q547" s="286"/>
      <c r="R547" s="286"/>
    </row>
    <row r="548">
      <c r="A548" s="286"/>
      <c r="B548" s="286"/>
      <c r="C548" s="286"/>
      <c r="D548" s="286"/>
      <c r="E548" s="286"/>
      <c r="F548" s="436"/>
      <c r="G548" s="286"/>
      <c r="H548" s="286"/>
      <c r="I548" s="286"/>
      <c r="J548" s="286"/>
      <c r="K548" s="286"/>
      <c r="L548" s="286"/>
      <c r="M548" s="286"/>
      <c r="N548" s="286"/>
      <c r="O548" s="286"/>
      <c r="P548" s="286"/>
      <c r="Q548" s="286"/>
      <c r="R548" s="286"/>
    </row>
    <row r="549">
      <c r="A549" s="286"/>
      <c r="B549" s="286"/>
      <c r="C549" s="286"/>
      <c r="D549" s="286"/>
      <c r="E549" s="286"/>
      <c r="F549" s="436"/>
      <c r="G549" s="286"/>
      <c r="H549" s="286"/>
      <c r="I549" s="286"/>
      <c r="J549" s="286"/>
      <c r="K549" s="286"/>
      <c r="L549" s="286"/>
      <c r="M549" s="286"/>
      <c r="N549" s="286"/>
      <c r="O549" s="286"/>
      <c r="P549" s="286"/>
      <c r="Q549" s="286"/>
      <c r="R549" s="286"/>
    </row>
    <row r="550">
      <c r="A550" s="286"/>
      <c r="B550" s="286"/>
      <c r="C550" s="286"/>
      <c r="D550" s="286"/>
      <c r="E550" s="286"/>
      <c r="F550" s="436"/>
      <c r="G550" s="286"/>
      <c r="H550" s="286"/>
      <c r="I550" s="286"/>
      <c r="J550" s="286"/>
      <c r="K550" s="286"/>
      <c r="L550" s="286"/>
      <c r="M550" s="286"/>
      <c r="N550" s="286"/>
      <c r="O550" s="286"/>
      <c r="P550" s="286"/>
      <c r="Q550" s="286"/>
      <c r="R550" s="286"/>
    </row>
    <row r="551">
      <c r="A551" s="286"/>
      <c r="B551" s="286"/>
      <c r="C551" s="286"/>
      <c r="D551" s="286"/>
      <c r="E551" s="286"/>
      <c r="F551" s="436"/>
      <c r="G551" s="286"/>
      <c r="H551" s="286"/>
      <c r="I551" s="286"/>
      <c r="J551" s="286"/>
      <c r="K551" s="286"/>
      <c r="L551" s="286"/>
      <c r="M551" s="286"/>
      <c r="N551" s="286"/>
      <c r="O551" s="286"/>
      <c r="P551" s="286"/>
      <c r="Q551" s="286"/>
      <c r="R551" s="286"/>
    </row>
    <row r="552">
      <c r="A552" s="286"/>
      <c r="B552" s="286"/>
      <c r="C552" s="286"/>
      <c r="D552" s="286"/>
      <c r="E552" s="286"/>
      <c r="F552" s="436"/>
      <c r="G552" s="286"/>
      <c r="H552" s="286"/>
      <c r="I552" s="286"/>
      <c r="J552" s="286"/>
      <c r="K552" s="286"/>
      <c r="L552" s="286"/>
      <c r="M552" s="286"/>
      <c r="N552" s="286"/>
      <c r="O552" s="286"/>
      <c r="P552" s="286"/>
      <c r="Q552" s="286"/>
      <c r="R552" s="286"/>
    </row>
    <row r="553">
      <c r="A553" s="286"/>
      <c r="B553" s="286"/>
      <c r="C553" s="286"/>
      <c r="D553" s="286"/>
      <c r="E553" s="286"/>
      <c r="F553" s="436"/>
      <c r="G553" s="286"/>
      <c r="H553" s="286"/>
      <c r="I553" s="286"/>
      <c r="J553" s="286"/>
      <c r="K553" s="286"/>
      <c r="L553" s="286"/>
      <c r="M553" s="286"/>
      <c r="N553" s="286"/>
      <c r="O553" s="286"/>
      <c r="P553" s="286"/>
      <c r="Q553" s="286"/>
      <c r="R553" s="286"/>
    </row>
    <row r="554">
      <c r="A554" s="286"/>
      <c r="B554" s="286"/>
      <c r="C554" s="286"/>
      <c r="D554" s="286"/>
      <c r="E554" s="286"/>
      <c r="F554" s="436"/>
      <c r="G554" s="286"/>
      <c r="H554" s="286"/>
      <c r="I554" s="286"/>
      <c r="J554" s="286"/>
      <c r="K554" s="286"/>
      <c r="L554" s="286"/>
      <c r="M554" s="286"/>
      <c r="N554" s="286"/>
      <c r="O554" s="286"/>
      <c r="P554" s="286"/>
      <c r="Q554" s="286"/>
      <c r="R554" s="286"/>
    </row>
    <row r="555">
      <c r="A555" s="286"/>
      <c r="B555" s="286"/>
      <c r="C555" s="286"/>
      <c r="D555" s="286"/>
      <c r="E555" s="286"/>
      <c r="F555" s="436"/>
      <c r="G555" s="286"/>
      <c r="H555" s="286"/>
      <c r="I555" s="286"/>
      <c r="J555" s="286"/>
      <c r="K555" s="286"/>
      <c r="L555" s="286"/>
      <c r="M555" s="286"/>
      <c r="N555" s="286"/>
      <c r="O555" s="286"/>
      <c r="P555" s="286"/>
      <c r="Q555" s="286"/>
      <c r="R555" s="286"/>
    </row>
    <row r="556">
      <c r="A556" s="286"/>
      <c r="B556" s="286"/>
      <c r="C556" s="286"/>
      <c r="D556" s="286"/>
      <c r="E556" s="286"/>
      <c r="F556" s="436"/>
      <c r="G556" s="286"/>
      <c r="H556" s="286"/>
      <c r="I556" s="286"/>
      <c r="J556" s="286"/>
      <c r="K556" s="286"/>
      <c r="L556" s="286"/>
      <c r="M556" s="286"/>
      <c r="N556" s="286"/>
      <c r="O556" s="286"/>
      <c r="P556" s="286"/>
      <c r="Q556" s="286"/>
      <c r="R556" s="286"/>
    </row>
    <row r="557">
      <c r="A557" s="286"/>
      <c r="B557" s="286"/>
      <c r="C557" s="286"/>
      <c r="D557" s="286"/>
      <c r="E557" s="286"/>
      <c r="F557" s="436"/>
      <c r="G557" s="286"/>
      <c r="H557" s="286"/>
      <c r="I557" s="286"/>
      <c r="J557" s="286"/>
      <c r="K557" s="286"/>
      <c r="L557" s="286"/>
      <c r="M557" s="286"/>
      <c r="N557" s="286"/>
      <c r="O557" s="286"/>
      <c r="P557" s="286"/>
      <c r="Q557" s="286"/>
      <c r="R557" s="286"/>
    </row>
    <row r="558">
      <c r="A558" s="286"/>
      <c r="B558" s="286"/>
      <c r="C558" s="286"/>
      <c r="D558" s="286"/>
      <c r="E558" s="286"/>
      <c r="F558" s="436"/>
      <c r="G558" s="286"/>
      <c r="H558" s="286"/>
      <c r="I558" s="286"/>
      <c r="J558" s="286"/>
      <c r="K558" s="286"/>
      <c r="L558" s="286"/>
      <c r="M558" s="286"/>
      <c r="N558" s="286"/>
      <c r="O558" s="286"/>
      <c r="P558" s="286"/>
      <c r="Q558" s="286"/>
      <c r="R558" s="286"/>
    </row>
    <row r="559">
      <c r="A559" s="286"/>
      <c r="B559" s="286"/>
      <c r="C559" s="286"/>
      <c r="D559" s="286"/>
      <c r="E559" s="286"/>
      <c r="F559" s="436"/>
      <c r="G559" s="286"/>
      <c r="H559" s="286"/>
      <c r="I559" s="286"/>
      <c r="J559" s="286"/>
      <c r="K559" s="286"/>
      <c r="L559" s="286"/>
      <c r="M559" s="286"/>
      <c r="N559" s="286"/>
      <c r="O559" s="286"/>
      <c r="P559" s="286"/>
      <c r="Q559" s="286"/>
      <c r="R559" s="286"/>
    </row>
    <row r="560">
      <c r="A560" s="286"/>
      <c r="B560" s="286"/>
      <c r="C560" s="286"/>
      <c r="D560" s="286"/>
      <c r="E560" s="286"/>
      <c r="F560" s="436"/>
      <c r="G560" s="286"/>
      <c r="H560" s="286"/>
      <c r="I560" s="286"/>
      <c r="J560" s="286"/>
      <c r="K560" s="286"/>
      <c r="L560" s="286"/>
      <c r="M560" s="286"/>
      <c r="N560" s="286"/>
      <c r="O560" s="286"/>
      <c r="P560" s="286"/>
      <c r="Q560" s="286"/>
      <c r="R560" s="286"/>
    </row>
    <row r="561">
      <c r="A561" s="286"/>
      <c r="B561" s="286"/>
      <c r="C561" s="286"/>
      <c r="D561" s="286"/>
      <c r="E561" s="286"/>
      <c r="F561" s="436"/>
      <c r="G561" s="286"/>
      <c r="H561" s="286"/>
      <c r="I561" s="286"/>
      <c r="J561" s="286"/>
      <c r="K561" s="286"/>
      <c r="L561" s="286"/>
      <c r="M561" s="286"/>
      <c r="N561" s="286"/>
      <c r="O561" s="286"/>
      <c r="P561" s="286"/>
      <c r="Q561" s="286"/>
      <c r="R561" s="286"/>
    </row>
    <row r="562">
      <c r="A562" s="286"/>
      <c r="B562" s="286"/>
      <c r="C562" s="286"/>
      <c r="D562" s="286"/>
      <c r="E562" s="286"/>
      <c r="F562" s="436"/>
      <c r="G562" s="286"/>
      <c r="H562" s="286"/>
      <c r="I562" s="286"/>
      <c r="J562" s="286"/>
      <c r="K562" s="286"/>
      <c r="L562" s="286"/>
      <c r="M562" s="286"/>
      <c r="N562" s="286"/>
      <c r="O562" s="286"/>
      <c r="P562" s="286"/>
      <c r="Q562" s="286"/>
      <c r="R562" s="286"/>
    </row>
    <row r="563">
      <c r="A563" s="286"/>
      <c r="B563" s="286"/>
      <c r="C563" s="286"/>
      <c r="D563" s="286"/>
      <c r="E563" s="286"/>
      <c r="F563" s="436"/>
      <c r="G563" s="286"/>
      <c r="H563" s="286"/>
      <c r="I563" s="286"/>
      <c r="J563" s="286"/>
      <c r="K563" s="286"/>
      <c r="L563" s="286"/>
      <c r="M563" s="286"/>
      <c r="N563" s="286"/>
      <c r="O563" s="286"/>
      <c r="P563" s="286"/>
      <c r="Q563" s="286"/>
      <c r="R563" s="286"/>
    </row>
    <row r="564">
      <c r="A564" s="286"/>
      <c r="B564" s="286"/>
      <c r="C564" s="286"/>
      <c r="D564" s="286"/>
      <c r="E564" s="286"/>
      <c r="F564" s="436"/>
      <c r="G564" s="286"/>
      <c r="H564" s="286"/>
      <c r="I564" s="286"/>
      <c r="J564" s="286"/>
      <c r="K564" s="286"/>
      <c r="L564" s="286"/>
      <c r="M564" s="286"/>
      <c r="N564" s="286"/>
      <c r="O564" s="286"/>
      <c r="P564" s="286"/>
      <c r="Q564" s="286"/>
      <c r="R564" s="286"/>
    </row>
    <row r="565">
      <c r="A565" s="286"/>
      <c r="B565" s="286"/>
      <c r="C565" s="286"/>
      <c r="D565" s="286"/>
      <c r="E565" s="286"/>
      <c r="F565" s="436"/>
      <c r="G565" s="286"/>
      <c r="H565" s="286"/>
      <c r="I565" s="286"/>
      <c r="J565" s="286"/>
      <c r="K565" s="286"/>
      <c r="L565" s="286"/>
      <c r="M565" s="286"/>
      <c r="N565" s="286"/>
      <c r="O565" s="286"/>
      <c r="P565" s="286"/>
      <c r="Q565" s="286"/>
      <c r="R565" s="286"/>
    </row>
    <row r="566">
      <c r="A566" s="286"/>
      <c r="B566" s="286"/>
      <c r="C566" s="286"/>
      <c r="D566" s="286"/>
      <c r="E566" s="286"/>
      <c r="F566" s="436"/>
      <c r="G566" s="286"/>
      <c r="H566" s="286"/>
      <c r="I566" s="286"/>
      <c r="J566" s="286"/>
      <c r="K566" s="286"/>
      <c r="L566" s="286"/>
      <c r="M566" s="286"/>
      <c r="N566" s="286"/>
      <c r="O566" s="286"/>
      <c r="P566" s="286"/>
      <c r="Q566" s="286"/>
      <c r="R566" s="286"/>
    </row>
    <row r="567">
      <c r="A567" s="286"/>
      <c r="B567" s="286"/>
      <c r="C567" s="286"/>
      <c r="D567" s="286"/>
      <c r="E567" s="286"/>
      <c r="F567" s="436"/>
      <c r="G567" s="286"/>
      <c r="H567" s="286"/>
      <c r="I567" s="286"/>
      <c r="J567" s="286"/>
      <c r="K567" s="286"/>
      <c r="L567" s="286"/>
      <c r="M567" s="286"/>
      <c r="N567" s="286"/>
      <c r="O567" s="286"/>
      <c r="P567" s="286"/>
      <c r="Q567" s="286"/>
      <c r="R567" s="286"/>
    </row>
    <row r="568">
      <c r="A568" s="286"/>
      <c r="B568" s="286"/>
      <c r="C568" s="286"/>
      <c r="D568" s="286"/>
      <c r="E568" s="286"/>
      <c r="F568" s="436"/>
      <c r="G568" s="286"/>
      <c r="H568" s="286"/>
      <c r="I568" s="286"/>
      <c r="J568" s="286"/>
      <c r="K568" s="286"/>
      <c r="L568" s="286"/>
      <c r="M568" s="286"/>
      <c r="N568" s="286"/>
      <c r="O568" s="286"/>
      <c r="P568" s="286"/>
      <c r="Q568" s="286"/>
      <c r="R568" s="286"/>
    </row>
    <row r="569">
      <c r="A569" s="286"/>
      <c r="B569" s="286"/>
      <c r="C569" s="286"/>
      <c r="D569" s="286"/>
      <c r="E569" s="286"/>
      <c r="F569" s="436"/>
      <c r="G569" s="286"/>
      <c r="H569" s="286"/>
      <c r="I569" s="286"/>
      <c r="J569" s="286"/>
      <c r="K569" s="286"/>
      <c r="L569" s="286"/>
      <c r="M569" s="286"/>
      <c r="N569" s="286"/>
      <c r="O569" s="286"/>
      <c r="P569" s="286"/>
      <c r="Q569" s="286"/>
      <c r="R569" s="286"/>
    </row>
    <row r="570">
      <c r="A570" s="286"/>
      <c r="B570" s="286"/>
      <c r="C570" s="286"/>
      <c r="D570" s="286"/>
      <c r="E570" s="286"/>
      <c r="F570" s="436"/>
      <c r="G570" s="286"/>
      <c r="H570" s="286"/>
      <c r="I570" s="286"/>
      <c r="J570" s="286"/>
      <c r="K570" s="286"/>
      <c r="L570" s="286"/>
      <c r="M570" s="286"/>
      <c r="N570" s="286"/>
      <c r="O570" s="286"/>
      <c r="P570" s="286"/>
      <c r="Q570" s="286"/>
      <c r="R570" s="286"/>
    </row>
    <row r="571">
      <c r="A571" s="286"/>
      <c r="B571" s="286"/>
      <c r="C571" s="286"/>
      <c r="D571" s="286"/>
      <c r="E571" s="286"/>
      <c r="F571" s="436"/>
      <c r="G571" s="286"/>
      <c r="H571" s="286"/>
      <c r="I571" s="286"/>
      <c r="J571" s="286"/>
      <c r="K571" s="286"/>
      <c r="L571" s="286"/>
      <c r="M571" s="286"/>
      <c r="N571" s="286"/>
      <c r="O571" s="286"/>
      <c r="P571" s="286"/>
      <c r="Q571" s="286"/>
      <c r="R571" s="286"/>
    </row>
    <row r="572">
      <c r="A572" s="286"/>
      <c r="B572" s="286"/>
      <c r="C572" s="286"/>
      <c r="D572" s="286"/>
      <c r="E572" s="286"/>
      <c r="F572" s="436"/>
      <c r="G572" s="286"/>
      <c r="H572" s="286"/>
      <c r="I572" s="286"/>
      <c r="J572" s="286"/>
      <c r="K572" s="286"/>
      <c r="L572" s="286"/>
      <c r="M572" s="286"/>
      <c r="N572" s="286"/>
      <c r="O572" s="286"/>
      <c r="P572" s="286"/>
      <c r="Q572" s="286"/>
      <c r="R572" s="286"/>
    </row>
    <row r="573">
      <c r="A573" s="286"/>
      <c r="B573" s="286"/>
      <c r="C573" s="286"/>
      <c r="D573" s="286"/>
      <c r="E573" s="286"/>
      <c r="F573" s="436"/>
      <c r="G573" s="286"/>
      <c r="H573" s="286"/>
      <c r="I573" s="286"/>
      <c r="J573" s="286"/>
      <c r="K573" s="286"/>
      <c r="L573" s="286"/>
      <c r="M573" s="286"/>
      <c r="N573" s="286"/>
      <c r="O573" s="286"/>
      <c r="P573" s="286"/>
      <c r="Q573" s="286"/>
      <c r="R573" s="286"/>
    </row>
    <row r="574">
      <c r="A574" s="286"/>
      <c r="B574" s="286"/>
      <c r="C574" s="286"/>
      <c r="D574" s="286"/>
      <c r="E574" s="286"/>
      <c r="F574" s="436"/>
      <c r="G574" s="286"/>
      <c r="H574" s="286"/>
      <c r="I574" s="286"/>
      <c r="J574" s="286"/>
      <c r="K574" s="286"/>
      <c r="L574" s="286"/>
      <c r="M574" s="286"/>
      <c r="N574" s="286"/>
      <c r="O574" s="286"/>
      <c r="P574" s="286"/>
      <c r="Q574" s="286"/>
      <c r="R574" s="286"/>
    </row>
    <row r="575">
      <c r="A575" s="286"/>
      <c r="B575" s="286"/>
      <c r="C575" s="286"/>
      <c r="D575" s="286"/>
      <c r="E575" s="286"/>
      <c r="F575" s="436"/>
      <c r="G575" s="286"/>
      <c r="H575" s="286"/>
      <c r="I575" s="286"/>
      <c r="J575" s="286"/>
      <c r="K575" s="286"/>
      <c r="L575" s="286"/>
      <c r="M575" s="286"/>
      <c r="N575" s="286"/>
      <c r="O575" s="286"/>
      <c r="P575" s="286"/>
      <c r="Q575" s="286"/>
      <c r="R575" s="286"/>
    </row>
    <row r="576">
      <c r="A576" s="286"/>
      <c r="B576" s="286"/>
      <c r="C576" s="286"/>
      <c r="D576" s="286"/>
      <c r="E576" s="286"/>
      <c r="F576" s="436"/>
      <c r="G576" s="286"/>
      <c r="H576" s="286"/>
      <c r="I576" s="286"/>
      <c r="J576" s="286"/>
      <c r="K576" s="286"/>
      <c r="L576" s="286"/>
      <c r="M576" s="286"/>
      <c r="N576" s="286"/>
      <c r="O576" s="286"/>
      <c r="P576" s="286"/>
      <c r="Q576" s="286"/>
      <c r="R576" s="286"/>
    </row>
    <row r="577">
      <c r="A577" s="286"/>
      <c r="B577" s="286"/>
      <c r="C577" s="286"/>
      <c r="D577" s="286"/>
      <c r="E577" s="286"/>
      <c r="F577" s="436"/>
      <c r="G577" s="286"/>
      <c r="H577" s="286"/>
      <c r="I577" s="286"/>
      <c r="J577" s="286"/>
      <c r="K577" s="286"/>
      <c r="L577" s="286"/>
      <c r="M577" s="286"/>
      <c r="N577" s="286"/>
      <c r="O577" s="286"/>
      <c r="P577" s="286"/>
      <c r="Q577" s="286"/>
      <c r="R577" s="286"/>
    </row>
    <row r="578">
      <c r="A578" s="286"/>
      <c r="B578" s="286"/>
      <c r="C578" s="286"/>
      <c r="D578" s="286"/>
      <c r="E578" s="286"/>
      <c r="F578" s="436"/>
      <c r="G578" s="286"/>
      <c r="H578" s="286"/>
      <c r="I578" s="286"/>
      <c r="J578" s="286"/>
      <c r="K578" s="286"/>
      <c r="L578" s="286"/>
      <c r="M578" s="286"/>
      <c r="N578" s="286"/>
      <c r="O578" s="286"/>
      <c r="P578" s="286"/>
      <c r="Q578" s="286"/>
      <c r="R578" s="286"/>
    </row>
    <row r="579">
      <c r="A579" s="286"/>
      <c r="B579" s="286"/>
      <c r="C579" s="286"/>
      <c r="D579" s="286"/>
      <c r="E579" s="286"/>
      <c r="F579" s="436"/>
      <c r="G579" s="286"/>
      <c r="H579" s="286"/>
      <c r="I579" s="286"/>
      <c r="J579" s="286"/>
      <c r="K579" s="286"/>
      <c r="L579" s="286"/>
      <c r="M579" s="286"/>
      <c r="N579" s="286"/>
      <c r="O579" s="286"/>
      <c r="P579" s="286"/>
      <c r="Q579" s="286"/>
      <c r="R579" s="286"/>
    </row>
    <row r="580">
      <c r="A580" s="286"/>
      <c r="B580" s="286"/>
      <c r="C580" s="286"/>
      <c r="D580" s="286"/>
      <c r="E580" s="286"/>
      <c r="F580" s="436"/>
      <c r="G580" s="286"/>
      <c r="H580" s="286"/>
      <c r="I580" s="286"/>
      <c r="J580" s="286"/>
      <c r="K580" s="286"/>
      <c r="L580" s="286"/>
      <c r="M580" s="286"/>
      <c r="N580" s="286"/>
      <c r="O580" s="286"/>
      <c r="P580" s="286"/>
      <c r="Q580" s="286"/>
      <c r="R580" s="286"/>
    </row>
    <row r="581">
      <c r="A581" s="286"/>
      <c r="B581" s="286"/>
      <c r="C581" s="286"/>
      <c r="D581" s="286"/>
      <c r="E581" s="286"/>
      <c r="F581" s="436"/>
      <c r="G581" s="286"/>
      <c r="H581" s="286"/>
      <c r="I581" s="286"/>
      <c r="J581" s="286"/>
      <c r="K581" s="286"/>
      <c r="L581" s="286"/>
      <c r="M581" s="286"/>
      <c r="N581" s="286"/>
      <c r="O581" s="286"/>
      <c r="P581" s="286"/>
      <c r="Q581" s="286"/>
      <c r="R581" s="286"/>
    </row>
    <row r="582">
      <c r="A582" s="286"/>
      <c r="B582" s="286"/>
      <c r="C582" s="286"/>
      <c r="D582" s="286"/>
      <c r="E582" s="286"/>
      <c r="F582" s="436"/>
      <c r="G582" s="286"/>
      <c r="H582" s="286"/>
      <c r="I582" s="286"/>
      <c r="J582" s="286"/>
      <c r="K582" s="286"/>
      <c r="L582" s="286"/>
      <c r="M582" s="286"/>
      <c r="N582" s="286"/>
      <c r="O582" s="286"/>
      <c r="P582" s="286"/>
      <c r="Q582" s="286"/>
      <c r="R582" s="286"/>
    </row>
    <row r="583">
      <c r="A583" s="286"/>
      <c r="B583" s="286"/>
      <c r="C583" s="286"/>
      <c r="D583" s="286"/>
      <c r="E583" s="286"/>
      <c r="F583" s="436"/>
      <c r="G583" s="286"/>
      <c r="H583" s="286"/>
      <c r="I583" s="286"/>
      <c r="J583" s="286"/>
      <c r="K583" s="286"/>
      <c r="L583" s="286"/>
      <c r="M583" s="286"/>
      <c r="N583" s="286"/>
      <c r="O583" s="286"/>
      <c r="P583" s="286"/>
      <c r="Q583" s="286"/>
      <c r="R583" s="286"/>
    </row>
    <row r="584">
      <c r="A584" s="286"/>
      <c r="B584" s="286"/>
      <c r="C584" s="286"/>
      <c r="D584" s="286"/>
      <c r="E584" s="286"/>
      <c r="F584" s="436"/>
      <c r="G584" s="286"/>
      <c r="H584" s="286"/>
      <c r="I584" s="286"/>
      <c r="J584" s="286"/>
      <c r="K584" s="286"/>
      <c r="L584" s="286"/>
      <c r="M584" s="286"/>
      <c r="N584" s="286"/>
      <c r="O584" s="286"/>
      <c r="P584" s="286"/>
      <c r="Q584" s="286"/>
      <c r="R584" s="286"/>
    </row>
    <row r="585">
      <c r="A585" s="286"/>
      <c r="B585" s="286"/>
      <c r="C585" s="286"/>
      <c r="D585" s="286"/>
      <c r="E585" s="286"/>
      <c r="F585" s="436"/>
      <c r="G585" s="286"/>
      <c r="H585" s="286"/>
      <c r="I585" s="286"/>
      <c r="J585" s="286"/>
      <c r="K585" s="286"/>
      <c r="L585" s="286"/>
      <c r="M585" s="286"/>
      <c r="N585" s="286"/>
      <c r="O585" s="286"/>
      <c r="P585" s="286"/>
      <c r="Q585" s="286"/>
      <c r="R585" s="286"/>
    </row>
    <row r="586">
      <c r="A586" s="286"/>
      <c r="B586" s="286"/>
      <c r="C586" s="286"/>
      <c r="D586" s="286"/>
      <c r="E586" s="286"/>
      <c r="F586" s="436"/>
      <c r="G586" s="286"/>
      <c r="H586" s="286"/>
      <c r="I586" s="286"/>
      <c r="J586" s="286"/>
      <c r="K586" s="286"/>
      <c r="L586" s="286"/>
      <c r="M586" s="286"/>
      <c r="N586" s="286"/>
      <c r="O586" s="286"/>
      <c r="P586" s="286"/>
      <c r="Q586" s="286"/>
      <c r="R586" s="286"/>
    </row>
    <row r="587">
      <c r="A587" s="286"/>
      <c r="B587" s="286"/>
      <c r="C587" s="286"/>
      <c r="D587" s="286"/>
      <c r="E587" s="286"/>
      <c r="F587" s="436"/>
      <c r="G587" s="286"/>
      <c r="H587" s="286"/>
      <c r="I587" s="286"/>
      <c r="J587" s="286"/>
      <c r="K587" s="286"/>
      <c r="L587" s="286"/>
      <c r="M587" s="286"/>
      <c r="N587" s="286"/>
      <c r="O587" s="286"/>
      <c r="P587" s="286"/>
      <c r="Q587" s="286"/>
      <c r="R587" s="286"/>
    </row>
    <row r="588">
      <c r="A588" s="286"/>
      <c r="B588" s="286"/>
      <c r="C588" s="286"/>
      <c r="D588" s="286"/>
      <c r="E588" s="286"/>
      <c r="F588" s="436"/>
      <c r="G588" s="286"/>
      <c r="H588" s="286"/>
      <c r="I588" s="286"/>
      <c r="J588" s="286"/>
      <c r="K588" s="286"/>
      <c r="L588" s="286"/>
      <c r="M588" s="286"/>
      <c r="N588" s="286"/>
      <c r="O588" s="286"/>
      <c r="P588" s="286"/>
      <c r="Q588" s="286"/>
      <c r="R588" s="286"/>
    </row>
    <row r="589">
      <c r="A589" s="286"/>
      <c r="B589" s="286"/>
      <c r="C589" s="286"/>
      <c r="D589" s="286"/>
      <c r="E589" s="286"/>
      <c r="F589" s="436"/>
      <c r="G589" s="286"/>
      <c r="H589" s="286"/>
      <c r="I589" s="286"/>
      <c r="J589" s="286"/>
      <c r="K589" s="286"/>
      <c r="L589" s="286"/>
      <c r="M589" s="286"/>
      <c r="N589" s="286"/>
      <c r="O589" s="286"/>
      <c r="P589" s="286"/>
      <c r="Q589" s="286"/>
      <c r="R589" s="286"/>
    </row>
    <row r="590">
      <c r="A590" s="286"/>
      <c r="B590" s="286"/>
      <c r="C590" s="286"/>
      <c r="D590" s="286"/>
      <c r="E590" s="286"/>
      <c r="F590" s="436"/>
      <c r="G590" s="286"/>
      <c r="H590" s="286"/>
      <c r="I590" s="286"/>
      <c r="J590" s="286"/>
      <c r="K590" s="286"/>
      <c r="L590" s="286"/>
      <c r="M590" s="286"/>
      <c r="N590" s="286"/>
      <c r="O590" s="286"/>
      <c r="P590" s="286"/>
      <c r="Q590" s="286"/>
      <c r="R590" s="286"/>
    </row>
    <row r="591">
      <c r="A591" s="286"/>
      <c r="B591" s="286"/>
      <c r="C591" s="286"/>
      <c r="D591" s="286"/>
      <c r="E591" s="286"/>
      <c r="F591" s="436"/>
      <c r="G591" s="286"/>
      <c r="H591" s="286"/>
      <c r="I591" s="286"/>
      <c r="J591" s="286"/>
      <c r="K591" s="286"/>
      <c r="L591" s="286"/>
      <c r="M591" s="286"/>
      <c r="N591" s="286"/>
      <c r="O591" s="286"/>
      <c r="P591" s="286"/>
      <c r="Q591" s="286"/>
      <c r="R591" s="286"/>
    </row>
    <row r="592">
      <c r="A592" s="286"/>
      <c r="B592" s="286"/>
      <c r="C592" s="286"/>
      <c r="D592" s="286"/>
      <c r="E592" s="286"/>
      <c r="F592" s="436"/>
      <c r="G592" s="286"/>
      <c r="H592" s="286"/>
      <c r="I592" s="286"/>
      <c r="J592" s="286"/>
      <c r="K592" s="286"/>
      <c r="L592" s="286"/>
      <c r="M592" s="286"/>
      <c r="N592" s="286"/>
      <c r="O592" s="286"/>
      <c r="P592" s="286"/>
      <c r="Q592" s="286"/>
      <c r="R592" s="286"/>
    </row>
    <row r="593">
      <c r="A593" s="286"/>
      <c r="B593" s="286"/>
      <c r="C593" s="286"/>
      <c r="D593" s="286"/>
      <c r="E593" s="286"/>
      <c r="F593" s="436"/>
      <c r="G593" s="286"/>
      <c r="H593" s="286"/>
      <c r="I593" s="286"/>
      <c r="J593" s="286"/>
      <c r="K593" s="286"/>
      <c r="L593" s="286"/>
      <c r="M593" s="286"/>
      <c r="N593" s="286"/>
      <c r="O593" s="286"/>
      <c r="P593" s="286"/>
      <c r="Q593" s="286"/>
      <c r="R593" s="286"/>
    </row>
    <row r="594">
      <c r="A594" s="286"/>
      <c r="B594" s="286"/>
      <c r="C594" s="286"/>
      <c r="D594" s="286"/>
      <c r="E594" s="286"/>
      <c r="F594" s="436"/>
      <c r="G594" s="286"/>
      <c r="H594" s="286"/>
      <c r="I594" s="286"/>
      <c r="J594" s="286"/>
      <c r="K594" s="286"/>
      <c r="L594" s="286"/>
      <c r="M594" s="286"/>
      <c r="N594" s="286"/>
      <c r="O594" s="286"/>
      <c r="P594" s="286"/>
      <c r="Q594" s="286"/>
      <c r="R594" s="286"/>
    </row>
    <row r="595">
      <c r="A595" s="286"/>
      <c r="B595" s="286"/>
      <c r="C595" s="286"/>
      <c r="D595" s="286"/>
      <c r="E595" s="286"/>
      <c r="F595" s="436"/>
      <c r="G595" s="286"/>
      <c r="H595" s="286"/>
      <c r="I595" s="286"/>
      <c r="J595" s="286"/>
      <c r="K595" s="286"/>
      <c r="L595" s="286"/>
      <c r="M595" s="286"/>
      <c r="N595" s="286"/>
      <c r="O595" s="286"/>
      <c r="P595" s="286"/>
      <c r="Q595" s="286"/>
      <c r="R595" s="286"/>
    </row>
    <row r="596">
      <c r="A596" s="286"/>
      <c r="B596" s="286"/>
      <c r="C596" s="286"/>
      <c r="D596" s="286"/>
      <c r="E596" s="286"/>
      <c r="F596" s="436"/>
      <c r="G596" s="286"/>
      <c r="H596" s="286"/>
      <c r="I596" s="286"/>
      <c r="J596" s="286"/>
      <c r="K596" s="286"/>
      <c r="L596" s="286"/>
      <c r="M596" s="286"/>
      <c r="N596" s="286"/>
      <c r="O596" s="286"/>
      <c r="P596" s="286"/>
      <c r="Q596" s="286"/>
      <c r="R596" s="286"/>
    </row>
    <row r="597">
      <c r="A597" s="286"/>
      <c r="B597" s="286"/>
      <c r="C597" s="286"/>
      <c r="D597" s="286"/>
      <c r="E597" s="286"/>
      <c r="F597" s="436"/>
      <c r="G597" s="286"/>
      <c r="H597" s="286"/>
      <c r="I597" s="286"/>
      <c r="J597" s="286"/>
      <c r="K597" s="286"/>
      <c r="L597" s="286"/>
      <c r="M597" s="286"/>
      <c r="N597" s="286"/>
      <c r="O597" s="286"/>
      <c r="P597" s="286"/>
      <c r="Q597" s="286"/>
      <c r="R597" s="286"/>
    </row>
    <row r="598">
      <c r="A598" s="286"/>
      <c r="B598" s="286"/>
      <c r="C598" s="286"/>
      <c r="D598" s="286"/>
      <c r="E598" s="286"/>
      <c r="F598" s="436"/>
      <c r="G598" s="286"/>
      <c r="H598" s="286"/>
      <c r="I598" s="286"/>
      <c r="J598" s="286"/>
      <c r="K598" s="286"/>
      <c r="L598" s="286"/>
      <c r="M598" s="286"/>
      <c r="N598" s="286"/>
      <c r="O598" s="286"/>
      <c r="P598" s="286"/>
      <c r="Q598" s="286"/>
      <c r="R598" s="286"/>
    </row>
    <row r="599">
      <c r="A599" s="286"/>
      <c r="B599" s="286"/>
      <c r="C599" s="286"/>
      <c r="D599" s="286"/>
      <c r="E599" s="286"/>
      <c r="F599" s="436"/>
      <c r="G599" s="286"/>
      <c r="H599" s="286"/>
      <c r="I599" s="286"/>
      <c r="J599" s="286"/>
      <c r="K599" s="286"/>
      <c r="L599" s="286"/>
      <c r="M599" s="286"/>
      <c r="N599" s="286"/>
      <c r="O599" s="286"/>
      <c r="P599" s="286"/>
      <c r="Q599" s="286"/>
      <c r="R599" s="286"/>
    </row>
    <row r="600">
      <c r="A600" s="286"/>
      <c r="B600" s="286"/>
      <c r="C600" s="286"/>
      <c r="D600" s="286"/>
      <c r="E600" s="286"/>
      <c r="F600" s="436"/>
      <c r="G600" s="286"/>
      <c r="H600" s="286"/>
      <c r="I600" s="286"/>
      <c r="J600" s="286"/>
      <c r="K600" s="286"/>
      <c r="L600" s="286"/>
      <c r="M600" s="286"/>
      <c r="N600" s="286"/>
      <c r="O600" s="286"/>
      <c r="P600" s="286"/>
      <c r="Q600" s="286"/>
      <c r="R600" s="286"/>
    </row>
    <row r="601">
      <c r="A601" s="286"/>
      <c r="B601" s="286"/>
      <c r="C601" s="286"/>
      <c r="D601" s="286"/>
      <c r="E601" s="286"/>
      <c r="F601" s="436"/>
      <c r="G601" s="286"/>
      <c r="H601" s="286"/>
      <c r="I601" s="286"/>
      <c r="J601" s="286"/>
      <c r="K601" s="286"/>
      <c r="L601" s="286"/>
      <c r="M601" s="286"/>
      <c r="N601" s="286"/>
      <c r="O601" s="286"/>
      <c r="P601" s="286"/>
      <c r="Q601" s="286"/>
      <c r="R601" s="286"/>
    </row>
    <row r="602">
      <c r="A602" s="286"/>
      <c r="B602" s="286"/>
      <c r="C602" s="286"/>
      <c r="D602" s="286"/>
      <c r="E602" s="286"/>
      <c r="F602" s="436"/>
      <c r="G602" s="286"/>
      <c r="H602" s="286"/>
      <c r="I602" s="286"/>
      <c r="J602" s="286"/>
      <c r="K602" s="286"/>
      <c r="L602" s="286"/>
      <c r="M602" s="286"/>
      <c r="N602" s="286"/>
      <c r="O602" s="286"/>
      <c r="P602" s="286"/>
      <c r="Q602" s="286"/>
      <c r="R602" s="286"/>
    </row>
    <row r="603">
      <c r="A603" s="286"/>
      <c r="B603" s="286"/>
      <c r="C603" s="286"/>
      <c r="D603" s="286"/>
      <c r="E603" s="286"/>
      <c r="F603" s="436"/>
      <c r="G603" s="286"/>
      <c r="H603" s="286"/>
      <c r="I603" s="286"/>
      <c r="J603" s="286"/>
      <c r="K603" s="286"/>
      <c r="L603" s="286"/>
      <c r="M603" s="286"/>
      <c r="N603" s="286"/>
      <c r="O603" s="286"/>
      <c r="P603" s="286"/>
      <c r="Q603" s="286"/>
      <c r="R603" s="286"/>
    </row>
    <row r="604">
      <c r="A604" s="286"/>
      <c r="B604" s="286"/>
      <c r="C604" s="286"/>
      <c r="D604" s="286"/>
      <c r="E604" s="286"/>
      <c r="F604" s="436"/>
      <c r="G604" s="286"/>
      <c r="H604" s="286"/>
      <c r="I604" s="286"/>
      <c r="J604" s="286"/>
      <c r="K604" s="286"/>
      <c r="L604" s="286"/>
      <c r="M604" s="286"/>
      <c r="N604" s="286"/>
      <c r="O604" s="286"/>
      <c r="P604" s="286"/>
      <c r="Q604" s="286"/>
      <c r="R604" s="286"/>
    </row>
    <row r="605">
      <c r="A605" s="286"/>
      <c r="B605" s="286"/>
      <c r="C605" s="286"/>
      <c r="D605" s="286"/>
      <c r="E605" s="286"/>
      <c r="F605" s="436"/>
      <c r="G605" s="286"/>
      <c r="H605" s="286"/>
      <c r="I605" s="286"/>
      <c r="J605" s="286"/>
      <c r="K605" s="286"/>
      <c r="L605" s="286"/>
      <c r="M605" s="286"/>
      <c r="N605" s="286"/>
      <c r="O605" s="286"/>
      <c r="P605" s="286"/>
      <c r="Q605" s="286"/>
      <c r="R605" s="286"/>
    </row>
    <row r="606">
      <c r="A606" s="286"/>
      <c r="B606" s="286"/>
      <c r="C606" s="286"/>
      <c r="D606" s="286"/>
      <c r="E606" s="286"/>
      <c r="F606" s="436"/>
      <c r="G606" s="286"/>
      <c r="H606" s="286"/>
      <c r="I606" s="286"/>
      <c r="J606" s="286"/>
      <c r="K606" s="286"/>
      <c r="L606" s="286"/>
      <c r="M606" s="286"/>
      <c r="N606" s="286"/>
      <c r="O606" s="286"/>
      <c r="P606" s="286"/>
      <c r="Q606" s="286"/>
      <c r="R606" s="286"/>
    </row>
    <row r="607">
      <c r="A607" s="286"/>
      <c r="B607" s="286"/>
      <c r="C607" s="286"/>
      <c r="D607" s="286"/>
      <c r="E607" s="286"/>
      <c r="F607" s="436"/>
      <c r="G607" s="286"/>
      <c r="H607" s="286"/>
      <c r="I607" s="286"/>
      <c r="J607" s="286"/>
      <c r="K607" s="286"/>
      <c r="L607" s="286"/>
      <c r="M607" s="286"/>
      <c r="N607" s="286"/>
      <c r="O607" s="286"/>
      <c r="P607" s="286"/>
      <c r="Q607" s="286"/>
      <c r="R607" s="286"/>
    </row>
    <row r="608">
      <c r="A608" s="286"/>
      <c r="B608" s="286"/>
      <c r="C608" s="286"/>
      <c r="D608" s="286"/>
      <c r="E608" s="286"/>
      <c r="F608" s="436"/>
      <c r="G608" s="286"/>
      <c r="H608" s="286"/>
      <c r="I608" s="286"/>
      <c r="J608" s="286"/>
      <c r="K608" s="286"/>
      <c r="L608" s="286"/>
      <c r="M608" s="286"/>
      <c r="N608" s="286"/>
      <c r="O608" s="286"/>
      <c r="P608" s="286"/>
      <c r="Q608" s="286"/>
      <c r="R608" s="286"/>
    </row>
    <row r="609">
      <c r="A609" s="286"/>
      <c r="B609" s="286"/>
      <c r="C609" s="286"/>
      <c r="D609" s="286"/>
      <c r="E609" s="286"/>
      <c r="F609" s="436"/>
      <c r="G609" s="286"/>
      <c r="H609" s="286"/>
      <c r="I609" s="286"/>
      <c r="J609" s="286"/>
      <c r="K609" s="286"/>
      <c r="L609" s="286"/>
      <c r="M609" s="286"/>
      <c r="N609" s="286"/>
      <c r="O609" s="286"/>
      <c r="P609" s="286"/>
      <c r="Q609" s="286"/>
      <c r="R609" s="286"/>
    </row>
    <row r="610">
      <c r="A610" s="286"/>
      <c r="B610" s="286"/>
      <c r="C610" s="286"/>
      <c r="D610" s="286"/>
      <c r="E610" s="286"/>
      <c r="F610" s="436"/>
      <c r="G610" s="286"/>
      <c r="H610" s="286"/>
      <c r="I610" s="286"/>
      <c r="J610" s="286"/>
      <c r="K610" s="286"/>
      <c r="L610" s="286"/>
      <c r="M610" s="286"/>
      <c r="N610" s="286"/>
      <c r="O610" s="286"/>
      <c r="P610" s="286"/>
      <c r="Q610" s="286"/>
      <c r="R610" s="286"/>
    </row>
    <row r="611">
      <c r="A611" s="286"/>
      <c r="B611" s="286"/>
      <c r="C611" s="286"/>
      <c r="D611" s="286"/>
      <c r="E611" s="286"/>
      <c r="F611" s="436"/>
      <c r="G611" s="286"/>
      <c r="H611" s="286"/>
      <c r="I611" s="286"/>
      <c r="J611" s="286"/>
      <c r="K611" s="286"/>
      <c r="L611" s="286"/>
      <c r="M611" s="286"/>
      <c r="N611" s="286"/>
      <c r="O611" s="286"/>
      <c r="P611" s="286"/>
      <c r="Q611" s="286"/>
      <c r="R611" s="286"/>
    </row>
    <row r="612">
      <c r="A612" s="286"/>
      <c r="B612" s="286"/>
      <c r="C612" s="286"/>
      <c r="D612" s="286"/>
      <c r="E612" s="286"/>
      <c r="F612" s="436"/>
      <c r="G612" s="286"/>
      <c r="H612" s="286"/>
      <c r="I612" s="286"/>
      <c r="J612" s="286"/>
      <c r="K612" s="286"/>
      <c r="L612" s="286"/>
      <c r="M612" s="286"/>
      <c r="N612" s="286"/>
      <c r="O612" s="286"/>
      <c r="P612" s="286"/>
      <c r="Q612" s="286"/>
      <c r="R612" s="286"/>
    </row>
    <row r="613">
      <c r="A613" s="286"/>
      <c r="B613" s="286"/>
      <c r="C613" s="286"/>
      <c r="D613" s="286"/>
      <c r="E613" s="286"/>
      <c r="F613" s="436"/>
      <c r="G613" s="286"/>
      <c r="H613" s="286"/>
      <c r="I613" s="286"/>
      <c r="J613" s="286"/>
      <c r="K613" s="286"/>
      <c r="L613" s="286"/>
      <c r="M613" s="286"/>
      <c r="N613" s="286"/>
      <c r="O613" s="286"/>
      <c r="P613" s="286"/>
      <c r="Q613" s="286"/>
      <c r="R613" s="286"/>
    </row>
    <row r="614">
      <c r="A614" s="286"/>
      <c r="B614" s="286"/>
      <c r="C614" s="286"/>
      <c r="D614" s="286"/>
      <c r="E614" s="286"/>
      <c r="F614" s="436"/>
      <c r="G614" s="286"/>
      <c r="H614" s="286"/>
      <c r="I614" s="286"/>
      <c r="J614" s="286"/>
      <c r="K614" s="286"/>
      <c r="L614" s="286"/>
      <c r="M614" s="286"/>
      <c r="N614" s="286"/>
      <c r="O614" s="286"/>
      <c r="P614" s="286"/>
      <c r="Q614" s="286"/>
      <c r="R614" s="286"/>
    </row>
    <row r="615">
      <c r="A615" s="286"/>
      <c r="B615" s="286"/>
      <c r="C615" s="286"/>
      <c r="D615" s="286"/>
      <c r="E615" s="286"/>
      <c r="F615" s="436"/>
      <c r="G615" s="286"/>
      <c r="H615" s="286"/>
      <c r="I615" s="286"/>
      <c r="J615" s="286"/>
      <c r="K615" s="286"/>
      <c r="L615" s="286"/>
      <c r="M615" s="286"/>
      <c r="N615" s="286"/>
      <c r="O615" s="286"/>
      <c r="P615" s="286"/>
      <c r="Q615" s="286"/>
      <c r="R615" s="286"/>
    </row>
    <row r="616">
      <c r="A616" s="286"/>
      <c r="B616" s="286"/>
      <c r="C616" s="286"/>
      <c r="D616" s="286"/>
      <c r="E616" s="286"/>
      <c r="F616" s="436"/>
      <c r="G616" s="286"/>
      <c r="H616" s="286"/>
      <c r="I616" s="286"/>
      <c r="J616" s="286"/>
      <c r="K616" s="286"/>
      <c r="L616" s="286"/>
      <c r="M616" s="286"/>
      <c r="N616" s="286"/>
      <c r="O616" s="286"/>
      <c r="P616" s="286"/>
      <c r="Q616" s="286"/>
      <c r="R616" s="286"/>
    </row>
    <row r="617">
      <c r="A617" s="286"/>
      <c r="B617" s="286"/>
      <c r="C617" s="286"/>
      <c r="D617" s="286"/>
      <c r="E617" s="286"/>
      <c r="F617" s="436"/>
      <c r="G617" s="286"/>
      <c r="H617" s="286"/>
      <c r="I617" s="286"/>
      <c r="J617" s="286"/>
      <c r="K617" s="286"/>
      <c r="L617" s="286"/>
      <c r="M617" s="286"/>
      <c r="N617" s="286"/>
      <c r="O617" s="286"/>
      <c r="P617" s="286"/>
      <c r="Q617" s="286"/>
      <c r="R617" s="286"/>
    </row>
    <row r="618">
      <c r="A618" s="286"/>
      <c r="B618" s="286"/>
      <c r="C618" s="286"/>
      <c r="D618" s="286"/>
      <c r="E618" s="286"/>
      <c r="F618" s="436"/>
      <c r="G618" s="286"/>
      <c r="H618" s="286"/>
      <c r="I618" s="286"/>
      <c r="J618" s="286"/>
      <c r="K618" s="286"/>
      <c r="L618" s="286"/>
      <c r="M618" s="286"/>
      <c r="N618" s="286"/>
      <c r="O618" s="286"/>
      <c r="P618" s="286"/>
      <c r="Q618" s="286"/>
      <c r="R618" s="286"/>
    </row>
    <row r="619">
      <c r="A619" s="286"/>
      <c r="B619" s="286"/>
      <c r="C619" s="286"/>
      <c r="D619" s="286"/>
      <c r="E619" s="286"/>
      <c r="F619" s="436"/>
      <c r="G619" s="286"/>
      <c r="H619" s="286"/>
      <c r="I619" s="286"/>
      <c r="J619" s="286"/>
      <c r="K619" s="286"/>
      <c r="L619" s="286"/>
      <c r="M619" s="286"/>
      <c r="N619" s="286"/>
      <c r="O619" s="286"/>
      <c r="P619" s="286"/>
      <c r="Q619" s="286"/>
      <c r="R619" s="286"/>
    </row>
    <row r="620">
      <c r="A620" s="286"/>
      <c r="B620" s="286"/>
      <c r="C620" s="286"/>
      <c r="D620" s="286"/>
      <c r="E620" s="286"/>
      <c r="F620" s="436"/>
      <c r="G620" s="286"/>
      <c r="H620" s="286"/>
      <c r="I620" s="286"/>
      <c r="J620" s="286"/>
      <c r="K620" s="286"/>
      <c r="L620" s="286"/>
      <c r="M620" s="286"/>
      <c r="N620" s="286"/>
      <c r="O620" s="286"/>
      <c r="P620" s="286"/>
      <c r="Q620" s="286"/>
      <c r="R620" s="286"/>
    </row>
    <row r="621">
      <c r="A621" s="286"/>
      <c r="B621" s="286"/>
      <c r="C621" s="286"/>
      <c r="D621" s="286"/>
      <c r="E621" s="286"/>
      <c r="F621" s="436"/>
      <c r="G621" s="286"/>
      <c r="H621" s="286"/>
      <c r="I621" s="286"/>
      <c r="J621" s="286"/>
      <c r="K621" s="286"/>
      <c r="L621" s="286"/>
      <c r="M621" s="286"/>
      <c r="N621" s="286"/>
      <c r="O621" s="286"/>
      <c r="P621" s="286"/>
      <c r="Q621" s="286"/>
      <c r="R621" s="286"/>
    </row>
    <row r="622">
      <c r="A622" s="286"/>
      <c r="B622" s="286"/>
      <c r="C622" s="286"/>
      <c r="D622" s="286"/>
      <c r="E622" s="286"/>
      <c r="F622" s="436"/>
      <c r="G622" s="286"/>
      <c r="H622" s="286"/>
      <c r="I622" s="286"/>
      <c r="J622" s="286"/>
      <c r="K622" s="286"/>
      <c r="L622" s="286"/>
      <c r="M622" s="286"/>
      <c r="N622" s="286"/>
      <c r="O622" s="286"/>
      <c r="P622" s="286"/>
      <c r="Q622" s="286"/>
      <c r="R622" s="286"/>
    </row>
    <row r="623">
      <c r="A623" s="286"/>
      <c r="B623" s="286"/>
      <c r="C623" s="286"/>
      <c r="D623" s="286"/>
      <c r="E623" s="286"/>
      <c r="F623" s="436"/>
      <c r="G623" s="286"/>
      <c r="H623" s="286"/>
      <c r="I623" s="286"/>
      <c r="J623" s="286"/>
      <c r="K623" s="286"/>
      <c r="L623" s="286"/>
      <c r="M623" s="286"/>
      <c r="N623" s="286"/>
      <c r="O623" s="286"/>
      <c r="P623" s="286"/>
      <c r="Q623" s="286"/>
      <c r="R623" s="286"/>
    </row>
    <row r="624">
      <c r="A624" s="286"/>
      <c r="B624" s="286"/>
      <c r="C624" s="286"/>
      <c r="D624" s="286"/>
      <c r="E624" s="286"/>
      <c r="F624" s="436"/>
      <c r="G624" s="286"/>
      <c r="H624" s="286"/>
      <c r="I624" s="286"/>
      <c r="J624" s="286"/>
      <c r="K624" s="286"/>
      <c r="L624" s="286"/>
      <c r="M624" s="286"/>
      <c r="N624" s="286"/>
      <c r="O624" s="286"/>
      <c r="P624" s="286"/>
      <c r="Q624" s="286"/>
      <c r="R624" s="286"/>
    </row>
    <row r="625">
      <c r="A625" s="286"/>
      <c r="B625" s="286"/>
      <c r="C625" s="286"/>
      <c r="D625" s="286"/>
      <c r="E625" s="286"/>
      <c r="F625" s="436"/>
      <c r="G625" s="286"/>
      <c r="H625" s="286"/>
      <c r="I625" s="286"/>
      <c r="J625" s="286"/>
      <c r="K625" s="286"/>
      <c r="L625" s="286"/>
      <c r="M625" s="286"/>
      <c r="N625" s="286"/>
      <c r="O625" s="286"/>
      <c r="P625" s="286"/>
      <c r="Q625" s="286"/>
      <c r="R625" s="286"/>
    </row>
    <row r="626">
      <c r="A626" s="286"/>
      <c r="B626" s="286"/>
      <c r="C626" s="286"/>
      <c r="D626" s="286"/>
      <c r="E626" s="286"/>
      <c r="F626" s="436"/>
      <c r="G626" s="286"/>
      <c r="H626" s="286"/>
      <c r="I626" s="286"/>
      <c r="J626" s="286"/>
      <c r="K626" s="286"/>
      <c r="L626" s="286"/>
      <c r="M626" s="286"/>
      <c r="N626" s="286"/>
      <c r="O626" s="286"/>
      <c r="P626" s="286"/>
      <c r="Q626" s="286"/>
      <c r="R626" s="286"/>
    </row>
    <row r="627">
      <c r="A627" s="286"/>
      <c r="B627" s="286"/>
      <c r="C627" s="286"/>
      <c r="D627" s="286"/>
      <c r="E627" s="286"/>
      <c r="F627" s="436"/>
      <c r="G627" s="286"/>
      <c r="H627" s="286"/>
      <c r="I627" s="286"/>
      <c r="J627" s="286"/>
      <c r="K627" s="286"/>
      <c r="L627" s="286"/>
      <c r="M627" s="286"/>
      <c r="N627" s="286"/>
      <c r="O627" s="286"/>
      <c r="P627" s="286"/>
      <c r="Q627" s="286"/>
      <c r="R627" s="286"/>
    </row>
    <row r="628">
      <c r="A628" s="286"/>
      <c r="B628" s="286"/>
      <c r="C628" s="286"/>
      <c r="D628" s="286"/>
      <c r="E628" s="286"/>
      <c r="F628" s="436"/>
      <c r="G628" s="286"/>
      <c r="H628" s="286"/>
      <c r="I628" s="286"/>
      <c r="J628" s="286"/>
      <c r="K628" s="286"/>
      <c r="L628" s="286"/>
      <c r="M628" s="286"/>
      <c r="N628" s="286"/>
      <c r="O628" s="286"/>
      <c r="P628" s="286"/>
      <c r="Q628" s="286"/>
      <c r="R628" s="286"/>
    </row>
    <row r="629">
      <c r="A629" s="286"/>
      <c r="B629" s="286"/>
      <c r="C629" s="286"/>
      <c r="D629" s="286"/>
      <c r="E629" s="286"/>
      <c r="F629" s="436"/>
      <c r="G629" s="286"/>
      <c r="H629" s="286"/>
      <c r="I629" s="286"/>
      <c r="J629" s="286"/>
      <c r="K629" s="286"/>
      <c r="L629" s="286"/>
      <c r="M629" s="286"/>
      <c r="N629" s="286"/>
      <c r="O629" s="286"/>
      <c r="P629" s="286"/>
      <c r="Q629" s="286"/>
      <c r="R629" s="286"/>
    </row>
    <row r="630">
      <c r="A630" s="286"/>
      <c r="B630" s="286"/>
      <c r="C630" s="286"/>
      <c r="D630" s="286"/>
      <c r="E630" s="286"/>
      <c r="F630" s="436"/>
      <c r="G630" s="286"/>
      <c r="H630" s="286"/>
      <c r="I630" s="286"/>
      <c r="J630" s="286"/>
      <c r="K630" s="286"/>
      <c r="L630" s="286"/>
      <c r="M630" s="286"/>
      <c r="N630" s="286"/>
      <c r="O630" s="286"/>
      <c r="P630" s="286"/>
      <c r="Q630" s="286"/>
      <c r="R630" s="286"/>
    </row>
    <row r="631">
      <c r="A631" s="286"/>
      <c r="B631" s="286"/>
      <c r="C631" s="286"/>
      <c r="D631" s="286"/>
      <c r="E631" s="286"/>
      <c r="F631" s="436"/>
      <c r="G631" s="286"/>
      <c r="H631" s="286"/>
      <c r="I631" s="286"/>
      <c r="J631" s="286"/>
      <c r="K631" s="286"/>
      <c r="L631" s="286"/>
      <c r="M631" s="286"/>
      <c r="N631" s="286"/>
      <c r="O631" s="286"/>
      <c r="P631" s="286"/>
      <c r="Q631" s="286"/>
      <c r="R631" s="286"/>
    </row>
    <row r="632">
      <c r="A632" s="286"/>
      <c r="B632" s="286"/>
      <c r="C632" s="286"/>
      <c r="D632" s="286"/>
      <c r="E632" s="286"/>
      <c r="F632" s="436"/>
      <c r="G632" s="286"/>
      <c r="H632" s="286"/>
      <c r="I632" s="286"/>
      <c r="J632" s="286"/>
      <c r="K632" s="286"/>
      <c r="L632" s="286"/>
      <c r="M632" s="286"/>
      <c r="N632" s="286"/>
      <c r="O632" s="286"/>
      <c r="P632" s="286"/>
      <c r="Q632" s="286"/>
      <c r="R632" s="286"/>
    </row>
    <row r="633">
      <c r="A633" s="286"/>
      <c r="B633" s="286"/>
      <c r="C633" s="286"/>
      <c r="D633" s="286"/>
      <c r="E633" s="286"/>
      <c r="F633" s="436"/>
      <c r="G633" s="286"/>
      <c r="H633" s="286"/>
      <c r="I633" s="286"/>
      <c r="J633" s="286"/>
      <c r="K633" s="286"/>
      <c r="L633" s="286"/>
      <c r="M633" s="286"/>
      <c r="N633" s="286"/>
      <c r="O633" s="286"/>
      <c r="P633" s="286"/>
      <c r="Q633" s="286"/>
      <c r="R633" s="286"/>
    </row>
    <row r="634">
      <c r="A634" s="286"/>
      <c r="B634" s="286"/>
      <c r="C634" s="286"/>
      <c r="D634" s="286"/>
      <c r="E634" s="286"/>
      <c r="F634" s="436"/>
      <c r="G634" s="286"/>
      <c r="H634" s="286"/>
      <c r="I634" s="286"/>
      <c r="J634" s="286"/>
      <c r="K634" s="286"/>
      <c r="L634" s="286"/>
      <c r="M634" s="286"/>
      <c r="N634" s="286"/>
      <c r="O634" s="286"/>
      <c r="P634" s="286"/>
      <c r="Q634" s="286"/>
      <c r="R634" s="286"/>
    </row>
    <row r="635">
      <c r="A635" s="286"/>
      <c r="B635" s="286"/>
      <c r="C635" s="286"/>
      <c r="D635" s="286"/>
      <c r="E635" s="286"/>
      <c r="F635" s="436"/>
      <c r="G635" s="286"/>
      <c r="H635" s="286"/>
      <c r="I635" s="286"/>
      <c r="J635" s="286"/>
      <c r="K635" s="286"/>
      <c r="L635" s="286"/>
      <c r="M635" s="286"/>
      <c r="N635" s="286"/>
      <c r="O635" s="286"/>
      <c r="P635" s="286"/>
      <c r="Q635" s="286"/>
      <c r="R635" s="286"/>
    </row>
    <row r="636">
      <c r="A636" s="286"/>
      <c r="B636" s="286"/>
      <c r="C636" s="286"/>
      <c r="D636" s="286"/>
      <c r="E636" s="286"/>
      <c r="F636" s="436"/>
      <c r="G636" s="286"/>
      <c r="H636" s="286"/>
      <c r="I636" s="286"/>
      <c r="J636" s="286"/>
      <c r="K636" s="286"/>
      <c r="L636" s="286"/>
      <c r="M636" s="286"/>
      <c r="N636" s="286"/>
      <c r="O636" s="286"/>
      <c r="P636" s="286"/>
      <c r="Q636" s="286"/>
      <c r="R636" s="286"/>
    </row>
    <row r="637">
      <c r="A637" s="286"/>
      <c r="B637" s="286"/>
      <c r="C637" s="286"/>
      <c r="D637" s="286"/>
      <c r="E637" s="286"/>
      <c r="F637" s="436"/>
      <c r="G637" s="286"/>
      <c r="H637" s="286"/>
      <c r="I637" s="286"/>
      <c r="J637" s="286"/>
      <c r="K637" s="286"/>
      <c r="L637" s="286"/>
      <c r="M637" s="286"/>
      <c r="N637" s="286"/>
      <c r="O637" s="286"/>
      <c r="P637" s="286"/>
      <c r="Q637" s="286"/>
      <c r="R637" s="286"/>
    </row>
    <row r="638">
      <c r="A638" s="286"/>
      <c r="B638" s="286"/>
      <c r="C638" s="286"/>
      <c r="D638" s="286"/>
      <c r="E638" s="286"/>
      <c r="F638" s="436"/>
      <c r="G638" s="286"/>
      <c r="H638" s="286"/>
      <c r="I638" s="286"/>
      <c r="J638" s="286"/>
      <c r="K638" s="286"/>
      <c r="L638" s="286"/>
      <c r="M638" s="286"/>
      <c r="N638" s="286"/>
      <c r="O638" s="286"/>
      <c r="P638" s="286"/>
      <c r="Q638" s="286"/>
      <c r="R638" s="286"/>
    </row>
    <row r="639">
      <c r="A639" s="286"/>
      <c r="B639" s="286"/>
      <c r="C639" s="286"/>
      <c r="D639" s="286"/>
      <c r="E639" s="286"/>
      <c r="F639" s="436"/>
      <c r="G639" s="286"/>
      <c r="H639" s="286"/>
      <c r="I639" s="286"/>
      <c r="J639" s="286"/>
      <c r="K639" s="286"/>
      <c r="L639" s="286"/>
      <c r="M639" s="286"/>
      <c r="N639" s="286"/>
      <c r="O639" s="286"/>
      <c r="P639" s="286"/>
      <c r="Q639" s="286"/>
      <c r="R639" s="286"/>
    </row>
    <row r="640">
      <c r="A640" s="286"/>
      <c r="B640" s="286"/>
      <c r="C640" s="286"/>
      <c r="D640" s="286"/>
      <c r="E640" s="286"/>
      <c r="F640" s="436"/>
      <c r="G640" s="286"/>
      <c r="H640" s="286"/>
      <c r="I640" s="286"/>
      <c r="J640" s="286"/>
      <c r="K640" s="286"/>
      <c r="L640" s="286"/>
      <c r="M640" s="286"/>
      <c r="N640" s="286"/>
      <c r="O640" s="286"/>
      <c r="P640" s="286"/>
      <c r="Q640" s="286"/>
      <c r="R640" s="286"/>
    </row>
    <row r="641">
      <c r="A641" s="286"/>
      <c r="B641" s="286"/>
      <c r="C641" s="286"/>
      <c r="D641" s="286"/>
      <c r="E641" s="286"/>
      <c r="F641" s="436"/>
      <c r="G641" s="286"/>
      <c r="H641" s="286"/>
      <c r="I641" s="286"/>
      <c r="J641" s="286"/>
      <c r="K641" s="286"/>
      <c r="L641" s="286"/>
      <c r="M641" s="286"/>
      <c r="N641" s="286"/>
      <c r="O641" s="286"/>
      <c r="P641" s="286"/>
      <c r="Q641" s="286"/>
      <c r="R641" s="286"/>
    </row>
    <row r="642">
      <c r="A642" s="286"/>
      <c r="B642" s="286"/>
      <c r="C642" s="286"/>
      <c r="D642" s="286"/>
      <c r="E642" s="286"/>
      <c r="F642" s="436"/>
      <c r="G642" s="286"/>
      <c r="H642" s="286"/>
      <c r="I642" s="286"/>
      <c r="J642" s="286"/>
      <c r="K642" s="286"/>
      <c r="L642" s="286"/>
      <c r="M642" s="286"/>
      <c r="N642" s="286"/>
      <c r="O642" s="286"/>
      <c r="P642" s="286"/>
      <c r="Q642" s="286"/>
      <c r="R642" s="286"/>
    </row>
    <row r="643">
      <c r="A643" s="286"/>
      <c r="B643" s="286"/>
      <c r="C643" s="286"/>
      <c r="D643" s="286"/>
      <c r="E643" s="286"/>
      <c r="F643" s="436"/>
      <c r="G643" s="286"/>
      <c r="H643" s="286"/>
      <c r="I643" s="286"/>
      <c r="J643" s="286"/>
      <c r="K643" s="286"/>
      <c r="L643" s="286"/>
      <c r="M643" s="286"/>
      <c r="N643" s="286"/>
      <c r="O643" s="286"/>
      <c r="P643" s="286"/>
      <c r="Q643" s="286"/>
      <c r="R643" s="286"/>
    </row>
    <row r="644">
      <c r="A644" s="286"/>
      <c r="B644" s="286"/>
      <c r="C644" s="286"/>
      <c r="D644" s="286"/>
      <c r="E644" s="286"/>
      <c r="F644" s="436"/>
      <c r="G644" s="286"/>
      <c r="H644" s="286"/>
      <c r="I644" s="286"/>
      <c r="J644" s="286"/>
      <c r="K644" s="286"/>
      <c r="L644" s="286"/>
      <c r="M644" s="286"/>
      <c r="N644" s="286"/>
      <c r="O644" s="286"/>
      <c r="P644" s="286"/>
      <c r="Q644" s="286"/>
      <c r="R644" s="286"/>
    </row>
    <row r="645">
      <c r="A645" s="286"/>
      <c r="B645" s="286"/>
      <c r="C645" s="286"/>
      <c r="D645" s="286"/>
      <c r="E645" s="286"/>
      <c r="F645" s="436"/>
      <c r="G645" s="286"/>
      <c r="H645" s="286"/>
      <c r="I645" s="286"/>
      <c r="J645" s="286"/>
      <c r="K645" s="286"/>
      <c r="L645" s="286"/>
      <c r="M645" s="286"/>
      <c r="N645" s="286"/>
      <c r="O645" s="286"/>
      <c r="P645" s="286"/>
      <c r="Q645" s="286"/>
      <c r="R645" s="286"/>
    </row>
    <row r="646">
      <c r="A646" s="286"/>
      <c r="B646" s="286"/>
      <c r="C646" s="286"/>
      <c r="D646" s="286"/>
      <c r="E646" s="286"/>
      <c r="F646" s="436"/>
      <c r="G646" s="286"/>
      <c r="H646" s="286"/>
      <c r="I646" s="286"/>
      <c r="J646" s="286"/>
      <c r="K646" s="286"/>
      <c r="L646" s="286"/>
      <c r="M646" s="286"/>
      <c r="N646" s="286"/>
      <c r="O646" s="286"/>
      <c r="P646" s="286"/>
      <c r="Q646" s="286"/>
      <c r="R646" s="286"/>
    </row>
    <row r="647">
      <c r="A647" s="286"/>
      <c r="B647" s="286"/>
      <c r="C647" s="286"/>
      <c r="D647" s="286"/>
      <c r="E647" s="286"/>
      <c r="F647" s="436"/>
      <c r="G647" s="286"/>
      <c r="H647" s="286"/>
      <c r="I647" s="286"/>
      <c r="J647" s="286"/>
      <c r="K647" s="286"/>
      <c r="L647" s="286"/>
      <c r="M647" s="286"/>
      <c r="N647" s="286"/>
      <c r="O647" s="286"/>
      <c r="P647" s="286"/>
      <c r="Q647" s="286"/>
      <c r="R647" s="286"/>
    </row>
    <row r="648">
      <c r="A648" s="286"/>
      <c r="B648" s="286"/>
      <c r="C648" s="286"/>
      <c r="D648" s="286"/>
      <c r="E648" s="286"/>
      <c r="F648" s="436"/>
      <c r="G648" s="286"/>
      <c r="H648" s="286"/>
      <c r="I648" s="286"/>
      <c r="J648" s="286"/>
      <c r="K648" s="286"/>
      <c r="L648" s="286"/>
      <c r="M648" s="286"/>
      <c r="N648" s="286"/>
      <c r="O648" s="286"/>
      <c r="P648" s="286"/>
      <c r="Q648" s="286"/>
      <c r="R648" s="286"/>
    </row>
    <row r="649">
      <c r="A649" s="286"/>
      <c r="B649" s="286"/>
      <c r="C649" s="286"/>
      <c r="D649" s="286"/>
      <c r="E649" s="286"/>
      <c r="F649" s="436"/>
      <c r="G649" s="286"/>
      <c r="H649" s="286"/>
      <c r="I649" s="286"/>
      <c r="J649" s="286"/>
      <c r="K649" s="286"/>
      <c r="L649" s="286"/>
      <c r="M649" s="286"/>
      <c r="N649" s="286"/>
      <c r="O649" s="286"/>
      <c r="P649" s="286"/>
      <c r="Q649" s="286"/>
      <c r="R649" s="286"/>
    </row>
    <row r="650">
      <c r="A650" s="286"/>
      <c r="B650" s="286"/>
      <c r="C650" s="286"/>
      <c r="D650" s="286"/>
      <c r="E650" s="286"/>
      <c r="F650" s="436"/>
      <c r="G650" s="286"/>
      <c r="H650" s="286"/>
      <c r="I650" s="286"/>
      <c r="J650" s="286"/>
      <c r="K650" s="286"/>
      <c r="L650" s="286"/>
      <c r="M650" s="286"/>
      <c r="N650" s="286"/>
      <c r="O650" s="286"/>
      <c r="P650" s="286"/>
      <c r="Q650" s="286"/>
      <c r="R650" s="286"/>
    </row>
    <row r="651">
      <c r="A651" s="286"/>
      <c r="B651" s="286"/>
      <c r="C651" s="286"/>
      <c r="D651" s="286"/>
      <c r="E651" s="286"/>
      <c r="F651" s="436"/>
      <c r="G651" s="286"/>
      <c r="H651" s="286"/>
      <c r="I651" s="286"/>
      <c r="J651" s="286"/>
      <c r="K651" s="286"/>
      <c r="L651" s="286"/>
      <c r="M651" s="286"/>
      <c r="N651" s="286"/>
      <c r="O651" s="286"/>
      <c r="P651" s="286"/>
      <c r="Q651" s="286"/>
      <c r="R651" s="286"/>
    </row>
    <row r="652">
      <c r="A652" s="286"/>
      <c r="B652" s="286"/>
      <c r="C652" s="286"/>
      <c r="D652" s="286"/>
      <c r="E652" s="286"/>
      <c r="F652" s="436"/>
      <c r="G652" s="286"/>
      <c r="H652" s="286"/>
      <c r="I652" s="286"/>
      <c r="J652" s="286"/>
      <c r="K652" s="286"/>
      <c r="L652" s="286"/>
      <c r="M652" s="286"/>
      <c r="N652" s="286"/>
      <c r="O652" s="286"/>
      <c r="P652" s="286"/>
      <c r="Q652" s="286"/>
      <c r="R652" s="286"/>
    </row>
    <row r="653">
      <c r="A653" s="286"/>
      <c r="B653" s="286"/>
      <c r="C653" s="286"/>
      <c r="D653" s="286"/>
      <c r="E653" s="286"/>
      <c r="F653" s="436"/>
      <c r="G653" s="286"/>
      <c r="H653" s="286"/>
      <c r="I653" s="286"/>
      <c r="J653" s="286"/>
      <c r="K653" s="286"/>
      <c r="L653" s="286"/>
      <c r="M653" s="286"/>
      <c r="N653" s="286"/>
      <c r="O653" s="286"/>
      <c r="P653" s="286"/>
      <c r="Q653" s="286"/>
      <c r="R653" s="286"/>
    </row>
    <row r="654">
      <c r="A654" s="286"/>
      <c r="B654" s="286"/>
      <c r="C654" s="286"/>
      <c r="D654" s="286"/>
      <c r="E654" s="286"/>
      <c r="F654" s="436"/>
      <c r="G654" s="286"/>
      <c r="H654" s="286"/>
      <c r="I654" s="286"/>
      <c r="J654" s="286"/>
      <c r="K654" s="286"/>
      <c r="L654" s="286"/>
      <c r="M654" s="286"/>
      <c r="N654" s="286"/>
      <c r="O654" s="286"/>
      <c r="P654" s="286"/>
      <c r="Q654" s="286"/>
      <c r="R654" s="286"/>
    </row>
    <row r="655">
      <c r="A655" s="286"/>
      <c r="B655" s="286"/>
      <c r="C655" s="286"/>
      <c r="D655" s="286"/>
      <c r="E655" s="286"/>
      <c r="F655" s="436"/>
      <c r="G655" s="286"/>
      <c r="H655" s="286"/>
      <c r="I655" s="286"/>
      <c r="J655" s="286"/>
      <c r="K655" s="286"/>
      <c r="L655" s="286"/>
      <c r="M655" s="286"/>
      <c r="N655" s="286"/>
      <c r="O655" s="286"/>
      <c r="P655" s="286"/>
      <c r="Q655" s="286"/>
      <c r="R655" s="286"/>
    </row>
    <row r="656">
      <c r="A656" s="286"/>
      <c r="B656" s="286"/>
      <c r="C656" s="286"/>
      <c r="D656" s="286"/>
      <c r="E656" s="286"/>
      <c r="F656" s="436"/>
      <c r="G656" s="286"/>
      <c r="H656" s="286"/>
      <c r="I656" s="286"/>
      <c r="J656" s="286"/>
      <c r="K656" s="286"/>
      <c r="L656" s="286"/>
      <c r="M656" s="286"/>
      <c r="N656" s="286"/>
      <c r="O656" s="286"/>
      <c r="P656" s="286"/>
      <c r="Q656" s="286"/>
      <c r="R656" s="286"/>
    </row>
    <row r="657">
      <c r="A657" s="286"/>
      <c r="B657" s="286"/>
      <c r="C657" s="286"/>
      <c r="D657" s="286"/>
      <c r="E657" s="286"/>
      <c r="F657" s="436"/>
      <c r="G657" s="286"/>
      <c r="H657" s="286"/>
      <c r="I657" s="286"/>
      <c r="J657" s="286"/>
      <c r="K657" s="286"/>
      <c r="L657" s="286"/>
      <c r="M657" s="286"/>
      <c r="N657" s="286"/>
      <c r="O657" s="286"/>
      <c r="P657" s="286"/>
      <c r="Q657" s="286"/>
      <c r="R657" s="286"/>
    </row>
    <row r="658">
      <c r="A658" s="286"/>
      <c r="B658" s="286"/>
      <c r="C658" s="286"/>
      <c r="D658" s="286"/>
      <c r="E658" s="286"/>
      <c r="F658" s="436"/>
      <c r="G658" s="286"/>
      <c r="H658" s="286"/>
      <c r="I658" s="286"/>
      <c r="J658" s="286"/>
      <c r="K658" s="286"/>
      <c r="L658" s="286"/>
      <c r="M658" s="286"/>
      <c r="N658" s="286"/>
      <c r="O658" s="286"/>
      <c r="P658" s="286"/>
      <c r="Q658" s="286"/>
      <c r="R658" s="286"/>
    </row>
    <row r="659">
      <c r="A659" s="286"/>
      <c r="B659" s="286"/>
      <c r="C659" s="286"/>
      <c r="D659" s="286"/>
      <c r="E659" s="286"/>
      <c r="F659" s="436"/>
      <c r="G659" s="286"/>
      <c r="H659" s="286"/>
      <c r="I659" s="286"/>
      <c r="J659" s="286"/>
      <c r="K659" s="286"/>
      <c r="L659" s="286"/>
      <c r="M659" s="286"/>
      <c r="N659" s="286"/>
      <c r="O659" s="286"/>
      <c r="P659" s="286"/>
      <c r="Q659" s="286"/>
      <c r="R659" s="286"/>
    </row>
    <row r="660">
      <c r="A660" s="286"/>
      <c r="B660" s="286"/>
      <c r="C660" s="286"/>
      <c r="D660" s="286"/>
      <c r="E660" s="286"/>
      <c r="F660" s="436"/>
      <c r="G660" s="286"/>
      <c r="H660" s="286"/>
      <c r="I660" s="286"/>
      <c r="J660" s="286"/>
      <c r="K660" s="286"/>
      <c r="L660" s="286"/>
      <c r="M660" s="286"/>
      <c r="N660" s="286"/>
      <c r="O660" s="286"/>
      <c r="P660" s="286"/>
      <c r="Q660" s="286"/>
      <c r="R660" s="286"/>
    </row>
    <row r="661">
      <c r="A661" s="286"/>
      <c r="B661" s="286"/>
      <c r="C661" s="286"/>
      <c r="D661" s="286"/>
      <c r="E661" s="286"/>
      <c r="F661" s="436"/>
      <c r="G661" s="286"/>
      <c r="H661" s="286"/>
      <c r="I661" s="286"/>
      <c r="J661" s="286"/>
      <c r="K661" s="286"/>
      <c r="L661" s="286"/>
      <c r="M661" s="286"/>
      <c r="N661" s="286"/>
      <c r="O661" s="286"/>
      <c r="P661" s="286"/>
      <c r="Q661" s="286"/>
      <c r="R661" s="286"/>
    </row>
    <row r="662">
      <c r="A662" s="286"/>
      <c r="B662" s="286"/>
      <c r="C662" s="286"/>
      <c r="D662" s="286"/>
      <c r="E662" s="286"/>
      <c r="F662" s="436"/>
      <c r="G662" s="286"/>
      <c r="H662" s="286"/>
      <c r="I662" s="286"/>
      <c r="J662" s="286"/>
      <c r="K662" s="286"/>
      <c r="L662" s="286"/>
      <c r="M662" s="286"/>
      <c r="N662" s="286"/>
      <c r="O662" s="286"/>
      <c r="P662" s="286"/>
      <c r="Q662" s="286"/>
      <c r="R662" s="286"/>
    </row>
    <row r="663">
      <c r="A663" s="286"/>
      <c r="B663" s="286"/>
      <c r="C663" s="286"/>
      <c r="D663" s="286"/>
      <c r="E663" s="286"/>
      <c r="F663" s="436"/>
      <c r="G663" s="286"/>
      <c r="H663" s="286"/>
      <c r="I663" s="286"/>
      <c r="J663" s="286"/>
      <c r="K663" s="286"/>
      <c r="L663" s="286"/>
      <c r="M663" s="286"/>
      <c r="N663" s="286"/>
      <c r="O663" s="286"/>
      <c r="P663" s="286"/>
      <c r="Q663" s="286"/>
      <c r="R663" s="286"/>
    </row>
    <row r="664">
      <c r="A664" s="286"/>
      <c r="B664" s="286"/>
      <c r="C664" s="286"/>
      <c r="D664" s="286"/>
      <c r="E664" s="286"/>
      <c r="F664" s="436"/>
      <c r="G664" s="286"/>
      <c r="H664" s="286"/>
      <c r="I664" s="286"/>
      <c r="J664" s="286"/>
      <c r="K664" s="286"/>
      <c r="L664" s="286"/>
      <c r="M664" s="286"/>
      <c r="N664" s="286"/>
      <c r="O664" s="286"/>
      <c r="P664" s="286"/>
      <c r="Q664" s="286"/>
      <c r="R664" s="286"/>
    </row>
    <row r="665">
      <c r="A665" s="286"/>
      <c r="B665" s="286"/>
      <c r="C665" s="286"/>
      <c r="D665" s="286"/>
      <c r="E665" s="286"/>
      <c r="F665" s="436"/>
      <c r="G665" s="286"/>
      <c r="H665" s="286"/>
      <c r="I665" s="286"/>
      <c r="J665" s="286"/>
      <c r="K665" s="286"/>
      <c r="L665" s="286"/>
      <c r="M665" s="286"/>
      <c r="N665" s="286"/>
      <c r="O665" s="286"/>
      <c r="P665" s="286"/>
      <c r="Q665" s="286"/>
      <c r="R665" s="286"/>
    </row>
    <row r="666">
      <c r="A666" s="286"/>
      <c r="B666" s="286"/>
      <c r="C666" s="286"/>
      <c r="D666" s="286"/>
      <c r="E666" s="286"/>
      <c r="F666" s="436"/>
      <c r="G666" s="286"/>
      <c r="H666" s="286"/>
      <c r="I666" s="286"/>
      <c r="J666" s="286"/>
      <c r="K666" s="286"/>
      <c r="L666" s="286"/>
      <c r="M666" s="286"/>
      <c r="N666" s="286"/>
      <c r="O666" s="286"/>
      <c r="P666" s="286"/>
      <c r="Q666" s="286"/>
      <c r="R666" s="286"/>
    </row>
    <row r="667">
      <c r="A667" s="286"/>
      <c r="B667" s="286"/>
      <c r="C667" s="286"/>
      <c r="D667" s="286"/>
      <c r="E667" s="286"/>
      <c r="F667" s="436"/>
      <c r="G667" s="286"/>
      <c r="H667" s="286"/>
      <c r="I667" s="286"/>
      <c r="J667" s="286"/>
      <c r="K667" s="286"/>
      <c r="L667" s="286"/>
      <c r="M667" s="286"/>
      <c r="N667" s="286"/>
      <c r="O667" s="286"/>
      <c r="P667" s="286"/>
      <c r="Q667" s="286"/>
      <c r="R667" s="286"/>
    </row>
    <row r="668">
      <c r="A668" s="286"/>
      <c r="B668" s="286"/>
      <c r="C668" s="286"/>
      <c r="D668" s="286"/>
      <c r="E668" s="286"/>
      <c r="F668" s="436"/>
      <c r="G668" s="286"/>
      <c r="H668" s="286"/>
      <c r="I668" s="286"/>
      <c r="J668" s="286"/>
      <c r="K668" s="286"/>
      <c r="L668" s="286"/>
      <c r="M668" s="286"/>
      <c r="N668" s="286"/>
      <c r="O668" s="286"/>
      <c r="P668" s="286"/>
      <c r="Q668" s="286"/>
      <c r="R668" s="286"/>
    </row>
    <row r="669">
      <c r="A669" s="286"/>
      <c r="B669" s="286"/>
      <c r="C669" s="286"/>
      <c r="D669" s="286"/>
      <c r="E669" s="286"/>
      <c r="F669" s="436"/>
      <c r="G669" s="286"/>
      <c r="H669" s="286"/>
      <c r="I669" s="286"/>
      <c r="J669" s="286"/>
      <c r="K669" s="286"/>
      <c r="L669" s="286"/>
      <c r="M669" s="286"/>
      <c r="N669" s="286"/>
      <c r="O669" s="286"/>
      <c r="P669" s="286"/>
      <c r="Q669" s="286"/>
      <c r="R669" s="286"/>
    </row>
    <row r="670">
      <c r="A670" s="286"/>
      <c r="B670" s="286"/>
      <c r="C670" s="286"/>
      <c r="D670" s="286"/>
      <c r="E670" s="286"/>
      <c r="F670" s="436"/>
      <c r="G670" s="286"/>
      <c r="H670" s="286"/>
      <c r="I670" s="286"/>
      <c r="J670" s="286"/>
      <c r="K670" s="286"/>
      <c r="L670" s="286"/>
      <c r="M670" s="286"/>
      <c r="N670" s="286"/>
      <c r="O670" s="286"/>
      <c r="P670" s="286"/>
      <c r="Q670" s="286"/>
      <c r="R670" s="286"/>
    </row>
    <row r="671">
      <c r="A671" s="286"/>
      <c r="B671" s="286"/>
      <c r="C671" s="286"/>
      <c r="D671" s="286"/>
      <c r="E671" s="286"/>
      <c r="F671" s="436"/>
      <c r="G671" s="286"/>
      <c r="H671" s="286"/>
      <c r="I671" s="286"/>
      <c r="J671" s="286"/>
      <c r="K671" s="286"/>
      <c r="L671" s="286"/>
      <c r="M671" s="286"/>
      <c r="N671" s="286"/>
      <c r="O671" s="286"/>
      <c r="P671" s="286"/>
      <c r="Q671" s="286"/>
      <c r="R671" s="286"/>
    </row>
    <row r="672">
      <c r="A672" s="286"/>
      <c r="B672" s="286"/>
      <c r="C672" s="286"/>
      <c r="D672" s="286"/>
      <c r="E672" s="286"/>
      <c r="F672" s="436"/>
      <c r="G672" s="286"/>
      <c r="H672" s="286"/>
      <c r="I672" s="286"/>
      <c r="J672" s="286"/>
      <c r="K672" s="286"/>
      <c r="L672" s="286"/>
      <c r="M672" s="286"/>
      <c r="N672" s="286"/>
      <c r="O672" s="286"/>
      <c r="P672" s="286"/>
      <c r="Q672" s="286"/>
      <c r="R672" s="286"/>
    </row>
    <row r="673">
      <c r="A673" s="286"/>
      <c r="B673" s="286"/>
      <c r="C673" s="286"/>
      <c r="D673" s="286"/>
      <c r="E673" s="286"/>
      <c r="F673" s="436"/>
      <c r="G673" s="286"/>
      <c r="H673" s="286"/>
      <c r="I673" s="286"/>
      <c r="J673" s="286"/>
      <c r="K673" s="286"/>
      <c r="L673" s="286"/>
      <c r="M673" s="286"/>
      <c r="N673" s="286"/>
      <c r="O673" s="286"/>
      <c r="P673" s="286"/>
      <c r="Q673" s="286"/>
      <c r="R673" s="286"/>
    </row>
    <row r="674">
      <c r="A674" s="286"/>
      <c r="B674" s="286"/>
      <c r="C674" s="286"/>
      <c r="D674" s="286"/>
      <c r="E674" s="286"/>
      <c r="F674" s="436"/>
      <c r="G674" s="286"/>
      <c r="H674" s="286"/>
      <c r="I674" s="286"/>
      <c r="J674" s="286"/>
      <c r="K674" s="286"/>
      <c r="L674" s="286"/>
      <c r="M674" s="286"/>
      <c r="N674" s="286"/>
      <c r="O674" s="286"/>
      <c r="P674" s="286"/>
      <c r="Q674" s="286"/>
      <c r="R674" s="286"/>
    </row>
    <row r="675">
      <c r="A675" s="286"/>
      <c r="B675" s="286"/>
      <c r="C675" s="286"/>
      <c r="D675" s="286"/>
      <c r="E675" s="286"/>
      <c r="F675" s="436"/>
      <c r="G675" s="286"/>
      <c r="H675" s="286"/>
      <c r="I675" s="286"/>
      <c r="J675" s="286"/>
      <c r="K675" s="286"/>
      <c r="L675" s="286"/>
      <c r="M675" s="286"/>
      <c r="N675" s="286"/>
      <c r="O675" s="286"/>
      <c r="P675" s="286"/>
      <c r="Q675" s="286"/>
      <c r="R675" s="286"/>
    </row>
    <row r="676">
      <c r="A676" s="286"/>
      <c r="B676" s="286"/>
      <c r="C676" s="286"/>
      <c r="D676" s="286"/>
      <c r="E676" s="286"/>
      <c r="F676" s="436"/>
      <c r="G676" s="286"/>
      <c r="H676" s="286"/>
      <c r="I676" s="286"/>
      <c r="J676" s="286"/>
      <c r="K676" s="286"/>
      <c r="L676" s="286"/>
      <c r="M676" s="286"/>
      <c r="N676" s="286"/>
      <c r="O676" s="286"/>
      <c r="P676" s="286"/>
      <c r="Q676" s="286"/>
      <c r="R676" s="286"/>
    </row>
    <row r="677">
      <c r="A677" s="286"/>
      <c r="B677" s="286"/>
      <c r="C677" s="286"/>
      <c r="D677" s="286"/>
      <c r="E677" s="286"/>
      <c r="F677" s="436"/>
      <c r="G677" s="286"/>
      <c r="H677" s="286"/>
      <c r="I677" s="286"/>
      <c r="J677" s="286"/>
      <c r="K677" s="286"/>
      <c r="L677" s="286"/>
      <c r="M677" s="286"/>
      <c r="N677" s="286"/>
      <c r="O677" s="286"/>
      <c r="P677" s="286"/>
      <c r="Q677" s="286"/>
      <c r="R677" s="286"/>
    </row>
    <row r="678">
      <c r="A678" s="286"/>
      <c r="B678" s="286"/>
      <c r="C678" s="286"/>
      <c r="D678" s="286"/>
      <c r="E678" s="286"/>
      <c r="F678" s="436"/>
      <c r="G678" s="286"/>
      <c r="H678" s="286"/>
      <c r="I678" s="286"/>
      <c r="J678" s="286"/>
      <c r="K678" s="286"/>
      <c r="L678" s="286"/>
      <c r="M678" s="286"/>
      <c r="N678" s="286"/>
      <c r="O678" s="286"/>
      <c r="P678" s="286"/>
      <c r="Q678" s="286"/>
      <c r="R678" s="286"/>
    </row>
    <row r="679">
      <c r="A679" s="286"/>
      <c r="B679" s="286"/>
      <c r="C679" s="286"/>
      <c r="D679" s="286"/>
      <c r="E679" s="286"/>
      <c r="F679" s="436"/>
      <c r="G679" s="286"/>
      <c r="H679" s="286"/>
      <c r="I679" s="286"/>
      <c r="J679" s="286"/>
      <c r="K679" s="286"/>
      <c r="L679" s="286"/>
      <c r="M679" s="286"/>
      <c r="N679" s="286"/>
      <c r="O679" s="286"/>
      <c r="P679" s="286"/>
      <c r="Q679" s="286"/>
      <c r="R679" s="286"/>
    </row>
    <row r="680">
      <c r="A680" s="286"/>
      <c r="B680" s="286"/>
      <c r="C680" s="286"/>
      <c r="D680" s="286"/>
      <c r="E680" s="286"/>
      <c r="F680" s="436"/>
      <c r="G680" s="286"/>
      <c r="H680" s="286"/>
      <c r="I680" s="286"/>
      <c r="J680" s="286"/>
      <c r="K680" s="286"/>
      <c r="L680" s="286"/>
      <c r="M680" s="286"/>
      <c r="N680" s="286"/>
      <c r="O680" s="286"/>
      <c r="P680" s="286"/>
      <c r="Q680" s="286"/>
      <c r="R680" s="286"/>
    </row>
    <row r="681">
      <c r="A681" s="286"/>
      <c r="B681" s="286"/>
      <c r="C681" s="286"/>
      <c r="D681" s="286"/>
      <c r="E681" s="286"/>
      <c r="F681" s="436"/>
      <c r="G681" s="286"/>
      <c r="H681" s="286"/>
      <c r="I681" s="286"/>
      <c r="J681" s="286"/>
      <c r="K681" s="286"/>
      <c r="L681" s="286"/>
      <c r="M681" s="286"/>
      <c r="N681" s="286"/>
      <c r="O681" s="286"/>
      <c r="P681" s="286"/>
      <c r="Q681" s="286"/>
      <c r="R681" s="286"/>
    </row>
    <row r="682">
      <c r="A682" s="286"/>
      <c r="B682" s="286"/>
      <c r="C682" s="286"/>
      <c r="D682" s="286"/>
      <c r="E682" s="286"/>
      <c r="F682" s="436"/>
      <c r="G682" s="286"/>
      <c r="H682" s="286"/>
      <c r="I682" s="286"/>
      <c r="J682" s="286"/>
      <c r="K682" s="286"/>
      <c r="L682" s="286"/>
      <c r="M682" s="286"/>
      <c r="N682" s="286"/>
      <c r="O682" s="286"/>
      <c r="P682" s="286"/>
      <c r="Q682" s="286"/>
      <c r="R682" s="286"/>
    </row>
    <row r="683">
      <c r="A683" s="286"/>
      <c r="B683" s="286"/>
      <c r="C683" s="286"/>
      <c r="D683" s="286"/>
      <c r="E683" s="286"/>
      <c r="F683" s="436"/>
      <c r="G683" s="286"/>
      <c r="H683" s="286"/>
      <c r="I683" s="286"/>
      <c r="J683" s="286"/>
      <c r="K683" s="286"/>
      <c r="L683" s="286"/>
      <c r="M683" s="286"/>
      <c r="N683" s="286"/>
      <c r="O683" s="286"/>
      <c r="P683" s="286"/>
      <c r="Q683" s="286"/>
      <c r="R683" s="286"/>
    </row>
    <row r="684">
      <c r="A684" s="286"/>
      <c r="B684" s="286"/>
      <c r="C684" s="286"/>
      <c r="D684" s="286"/>
      <c r="E684" s="286"/>
      <c r="F684" s="436"/>
      <c r="G684" s="286"/>
      <c r="H684" s="286"/>
      <c r="I684" s="286"/>
      <c r="J684" s="286"/>
      <c r="K684" s="286"/>
      <c r="L684" s="286"/>
      <c r="M684" s="286"/>
      <c r="N684" s="286"/>
      <c r="O684" s="286"/>
      <c r="P684" s="286"/>
      <c r="Q684" s="286"/>
      <c r="R684" s="286"/>
    </row>
    <row r="685">
      <c r="A685" s="286"/>
      <c r="B685" s="286"/>
      <c r="C685" s="286"/>
      <c r="D685" s="286"/>
      <c r="E685" s="286"/>
      <c r="F685" s="436"/>
      <c r="G685" s="286"/>
      <c r="H685" s="286"/>
      <c r="I685" s="286"/>
      <c r="J685" s="286"/>
      <c r="K685" s="286"/>
      <c r="L685" s="286"/>
      <c r="M685" s="286"/>
      <c r="N685" s="286"/>
      <c r="O685" s="286"/>
      <c r="P685" s="286"/>
      <c r="Q685" s="286"/>
      <c r="R685" s="286"/>
    </row>
    <row r="686">
      <c r="A686" s="286"/>
      <c r="B686" s="286"/>
      <c r="C686" s="286"/>
      <c r="D686" s="286"/>
      <c r="E686" s="286"/>
      <c r="F686" s="436"/>
      <c r="G686" s="286"/>
      <c r="H686" s="286"/>
      <c r="I686" s="286"/>
      <c r="J686" s="286"/>
      <c r="K686" s="286"/>
      <c r="L686" s="286"/>
      <c r="M686" s="286"/>
      <c r="N686" s="286"/>
      <c r="O686" s="286"/>
      <c r="P686" s="286"/>
      <c r="Q686" s="286"/>
      <c r="R686" s="286"/>
    </row>
    <row r="687">
      <c r="A687" s="286"/>
      <c r="B687" s="286"/>
      <c r="C687" s="286"/>
      <c r="D687" s="286"/>
      <c r="E687" s="286"/>
      <c r="F687" s="436"/>
      <c r="G687" s="286"/>
      <c r="H687" s="286"/>
      <c r="I687" s="286"/>
      <c r="J687" s="286"/>
      <c r="K687" s="286"/>
      <c r="L687" s="286"/>
      <c r="M687" s="286"/>
      <c r="N687" s="286"/>
      <c r="O687" s="286"/>
      <c r="P687" s="286"/>
      <c r="Q687" s="286"/>
      <c r="R687" s="286"/>
    </row>
    <row r="688">
      <c r="A688" s="286"/>
      <c r="B688" s="286"/>
      <c r="C688" s="286"/>
      <c r="D688" s="286"/>
      <c r="E688" s="286"/>
      <c r="F688" s="436"/>
      <c r="G688" s="286"/>
      <c r="H688" s="286"/>
      <c r="I688" s="286"/>
      <c r="J688" s="286"/>
      <c r="K688" s="286"/>
      <c r="L688" s="286"/>
      <c r="M688" s="286"/>
      <c r="N688" s="286"/>
      <c r="O688" s="286"/>
      <c r="P688" s="286"/>
      <c r="Q688" s="286"/>
      <c r="R688" s="286"/>
    </row>
    <row r="689">
      <c r="A689" s="286"/>
      <c r="B689" s="286"/>
      <c r="C689" s="286"/>
      <c r="D689" s="286"/>
      <c r="E689" s="286"/>
      <c r="F689" s="436"/>
      <c r="G689" s="286"/>
      <c r="H689" s="286"/>
      <c r="I689" s="286"/>
      <c r="J689" s="286"/>
      <c r="K689" s="286"/>
      <c r="L689" s="286"/>
      <c r="M689" s="286"/>
      <c r="N689" s="286"/>
      <c r="O689" s="286"/>
      <c r="P689" s="286"/>
      <c r="Q689" s="286"/>
      <c r="R689" s="286"/>
    </row>
    <row r="690">
      <c r="A690" s="286"/>
      <c r="B690" s="286"/>
      <c r="C690" s="286"/>
      <c r="D690" s="286"/>
      <c r="E690" s="286"/>
      <c r="F690" s="436"/>
      <c r="G690" s="286"/>
      <c r="H690" s="286"/>
      <c r="I690" s="286"/>
      <c r="J690" s="286"/>
      <c r="K690" s="286"/>
      <c r="L690" s="286"/>
      <c r="M690" s="286"/>
      <c r="N690" s="286"/>
      <c r="O690" s="286"/>
      <c r="P690" s="286"/>
      <c r="Q690" s="286"/>
      <c r="R690" s="286"/>
    </row>
    <row r="691">
      <c r="A691" s="286"/>
      <c r="B691" s="286"/>
      <c r="C691" s="286"/>
      <c r="D691" s="286"/>
      <c r="E691" s="286"/>
      <c r="F691" s="436"/>
      <c r="G691" s="286"/>
      <c r="H691" s="286"/>
      <c r="I691" s="286"/>
      <c r="J691" s="286"/>
      <c r="K691" s="286"/>
      <c r="L691" s="286"/>
      <c r="M691" s="286"/>
      <c r="N691" s="286"/>
      <c r="O691" s="286"/>
      <c r="P691" s="286"/>
      <c r="Q691" s="286"/>
      <c r="R691" s="286"/>
    </row>
    <row r="692">
      <c r="A692" s="286"/>
      <c r="B692" s="286"/>
      <c r="C692" s="286"/>
      <c r="D692" s="286"/>
      <c r="E692" s="286"/>
      <c r="F692" s="436"/>
      <c r="G692" s="286"/>
      <c r="H692" s="286"/>
      <c r="I692" s="286"/>
      <c r="J692" s="286"/>
      <c r="K692" s="286"/>
      <c r="L692" s="286"/>
      <c r="M692" s="286"/>
      <c r="N692" s="286"/>
      <c r="O692" s="286"/>
      <c r="P692" s="286"/>
      <c r="Q692" s="286"/>
      <c r="R692" s="286"/>
    </row>
    <row r="693">
      <c r="A693" s="286"/>
      <c r="B693" s="286"/>
      <c r="C693" s="286"/>
      <c r="D693" s="286"/>
      <c r="E693" s="286"/>
      <c r="F693" s="436"/>
      <c r="G693" s="286"/>
      <c r="H693" s="286"/>
      <c r="I693" s="286"/>
      <c r="J693" s="286"/>
      <c r="K693" s="286"/>
      <c r="L693" s="286"/>
      <c r="M693" s="286"/>
      <c r="N693" s="286"/>
      <c r="O693" s="286"/>
      <c r="P693" s="286"/>
      <c r="Q693" s="286"/>
      <c r="R693" s="286"/>
    </row>
    <row r="694">
      <c r="A694" s="286"/>
      <c r="B694" s="286"/>
      <c r="C694" s="286"/>
      <c r="D694" s="286"/>
      <c r="E694" s="286"/>
      <c r="F694" s="436"/>
      <c r="G694" s="286"/>
      <c r="H694" s="286"/>
      <c r="I694" s="286"/>
      <c r="J694" s="286"/>
      <c r="K694" s="286"/>
      <c r="L694" s="286"/>
      <c r="M694" s="286"/>
      <c r="N694" s="286"/>
      <c r="O694" s="286"/>
      <c r="P694" s="286"/>
      <c r="Q694" s="286"/>
      <c r="R694" s="286"/>
    </row>
    <row r="695">
      <c r="A695" s="286"/>
      <c r="B695" s="286"/>
      <c r="C695" s="286"/>
      <c r="D695" s="286"/>
      <c r="E695" s="286"/>
      <c r="F695" s="436"/>
      <c r="G695" s="286"/>
      <c r="H695" s="286"/>
      <c r="I695" s="286"/>
      <c r="J695" s="286"/>
      <c r="K695" s="286"/>
      <c r="L695" s="286"/>
      <c r="M695" s="286"/>
      <c r="N695" s="286"/>
      <c r="O695" s="286"/>
      <c r="P695" s="286"/>
      <c r="Q695" s="286"/>
      <c r="R695" s="286"/>
    </row>
    <row r="696">
      <c r="A696" s="286"/>
      <c r="B696" s="286"/>
      <c r="C696" s="286"/>
      <c r="D696" s="286"/>
      <c r="E696" s="286"/>
      <c r="F696" s="436"/>
      <c r="G696" s="286"/>
      <c r="H696" s="286"/>
      <c r="I696" s="286"/>
      <c r="J696" s="286"/>
      <c r="K696" s="286"/>
      <c r="L696" s="286"/>
      <c r="M696" s="286"/>
      <c r="N696" s="286"/>
      <c r="O696" s="286"/>
      <c r="P696" s="286"/>
      <c r="Q696" s="286"/>
      <c r="R696" s="286"/>
    </row>
    <row r="697">
      <c r="A697" s="286"/>
      <c r="B697" s="286"/>
      <c r="C697" s="286"/>
      <c r="D697" s="286"/>
      <c r="E697" s="286"/>
      <c r="F697" s="436"/>
      <c r="G697" s="286"/>
      <c r="H697" s="286"/>
      <c r="I697" s="286"/>
      <c r="J697" s="286"/>
      <c r="K697" s="286"/>
      <c r="L697" s="286"/>
      <c r="M697" s="286"/>
      <c r="N697" s="286"/>
      <c r="O697" s="286"/>
      <c r="P697" s="286"/>
      <c r="Q697" s="286"/>
      <c r="R697" s="286"/>
    </row>
    <row r="698">
      <c r="A698" s="286"/>
      <c r="B698" s="286"/>
      <c r="C698" s="286"/>
      <c r="D698" s="286"/>
      <c r="E698" s="286"/>
      <c r="F698" s="436"/>
      <c r="G698" s="286"/>
      <c r="H698" s="286"/>
      <c r="I698" s="286"/>
      <c r="J698" s="286"/>
      <c r="K698" s="286"/>
      <c r="L698" s="286"/>
      <c r="M698" s="286"/>
      <c r="N698" s="286"/>
      <c r="O698" s="286"/>
      <c r="P698" s="286"/>
      <c r="Q698" s="286"/>
      <c r="R698" s="286"/>
    </row>
    <row r="699">
      <c r="A699" s="286"/>
      <c r="B699" s="286"/>
      <c r="C699" s="286"/>
      <c r="D699" s="286"/>
      <c r="E699" s="286"/>
      <c r="F699" s="436"/>
      <c r="G699" s="286"/>
      <c r="H699" s="286"/>
      <c r="I699" s="286"/>
      <c r="J699" s="286"/>
      <c r="K699" s="286"/>
      <c r="L699" s="286"/>
      <c r="M699" s="286"/>
      <c r="N699" s="286"/>
      <c r="O699" s="286"/>
      <c r="P699" s="286"/>
      <c r="Q699" s="286"/>
      <c r="R699" s="286"/>
    </row>
    <row r="700">
      <c r="A700" s="286"/>
      <c r="B700" s="286"/>
      <c r="C700" s="286"/>
      <c r="D700" s="286"/>
      <c r="E700" s="286"/>
      <c r="F700" s="436"/>
      <c r="G700" s="286"/>
      <c r="H700" s="286"/>
      <c r="I700" s="286"/>
      <c r="J700" s="286"/>
      <c r="K700" s="286"/>
      <c r="L700" s="286"/>
      <c r="M700" s="286"/>
      <c r="N700" s="286"/>
      <c r="O700" s="286"/>
      <c r="P700" s="286"/>
      <c r="Q700" s="286"/>
      <c r="R700" s="286"/>
    </row>
    <row r="701">
      <c r="A701" s="286"/>
      <c r="B701" s="286"/>
      <c r="C701" s="286"/>
      <c r="D701" s="286"/>
      <c r="E701" s="286"/>
      <c r="F701" s="436"/>
      <c r="G701" s="286"/>
      <c r="H701" s="286"/>
      <c r="I701" s="286"/>
      <c r="J701" s="286"/>
      <c r="K701" s="286"/>
      <c r="L701" s="286"/>
      <c r="M701" s="286"/>
      <c r="N701" s="286"/>
      <c r="O701" s="286"/>
      <c r="P701" s="286"/>
      <c r="Q701" s="286"/>
      <c r="R701" s="286"/>
    </row>
    <row r="702">
      <c r="A702" s="286"/>
      <c r="B702" s="286"/>
      <c r="C702" s="286"/>
      <c r="D702" s="286"/>
      <c r="E702" s="286"/>
      <c r="F702" s="436"/>
      <c r="G702" s="286"/>
      <c r="H702" s="286"/>
      <c r="I702" s="286"/>
      <c r="J702" s="286"/>
      <c r="K702" s="286"/>
      <c r="L702" s="286"/>
      <c r="M702" s="286"/>
      <c r="N702" s="286"/>
      <c r="O702" s="286"/>
      <c r="P702" s="286"/>
      <c r="Q702" s="286"/>
      <c r="R702" s="286"/>
    </row>
    <row r="703">
      <c r="A703" s="286"/>
      <c r="B703" s="286"/>
      <c r="C703" s="286"/>
      <c r="D703" s="286"/>
      <c r="E703" s="286"/>
      <c r="F703" s="436"/>
      <c r="G703" s="286"/>
      <c r="H703" s="286"/>
      <c r="I703" s="286"/>
      <c r="J703" s="286"/>
      <c r="K703" s="286"/>
      <c r="L703" s="286"/>
      <c r="M703" s="286"/>
      <c r="N703" s="286"/>
      <c r="O703" s="286"/>
      <c r="P703" s="286"/>
      <c r="Q703" s="286"/>
      <c r="R703" s="286"/>
    </row>
    <row r="704">
      <c r="A704" s="286"/>
      <c r="B704" s="286"/>
      <c r="C704" s="286"/>
      <c r="D704" s="286"/>
      <c r="E704" s="286"/>
      <c r="F704" s="436"/>
      <c r="G704" s="286"/>
      <c r="H704" s="286"/>
      <c r="I704" s="286"/>
      <c r="J704" s="286"/>
      <c r="K704" s="286"/>
      <c r="L704" s="286"/>
      <c r="M704" s="286"/>
      <c r="N704" s="286"/>
      <c r="O704" s="286"/>
      <c r="P704" s="286"/>
      <c r="Q704" s="286"/>
      <c r="R704" s="286"/>
    </row>
    <row r="705">
      <c r="A705" s="286"/>
      <c r="B705" s="286"/>
      <c r="C705" s="286"/>
      <c r="D705" s="286"/>
      <c r="E705" s="286"/>
      <c r="F705" s="436"/>
      <c r="G705" s="286"/>
      <c r="H705" s="286"/>
      <c r="I705" s="286"/>
      <c r="J705" s="286"/>
      <c r="K705" s="286"/>
      <c r="L705" s="286"/>
      <c r="M705" s="286"/>
      <c r="N705" s="286"/>
      <c r="O705" s="286"/>
      <c r="P705" s="286"/>
      <c r="Q705" s="286"/>
      <c r="R705" s="286"/>
    </row>
    <row r="706">
      <c r="A706" s="286"/>
      <c r="B706" s="286"/>
      <c r="C706" s="286"/>
      <c r="D706" s="286"/>
      <c r="E706" s="286"/>
      <c r="F706" s="436"/>
      <c r="G706" s="286"/>
      <c r="H706" s="286"/>
      <c r="I706" s="286"/>
      <c r="J706" s="286"/>
      <c r="K706" s="286"/>
      <c r="L706" s="286"/>
      <c r="M706" s="286"/>
      <c r="N706" s="286"/>
      <c r="O706" s="286"/>
      <c r="P706" s="286"/>
      <c r="Q706" s="286"/>
      <c r="R706" s="286"/>
    </row>
    <row r="707">
      <c r="A707" s="286"/>
      <c r="B707" s="286"/>
      <c r="C707" s="286"/>
      <c r="D707" s="286"/>
      <c r="E707" s="286"/>
      <c r="F707" s="436"/>
      <c r="G707" s="286"/>
      <c r="H707" s="286"/>
      <c r="I707" s="286"/>
      <c r="J707" s="286"/>
      <c r="K707" s="286"/>
      <c r="L707" s="286"/>
      <c r="M707" s="286"/>
      <c r="N707" s="286"/>
      <c r="O707" s="286"/>
      <c r="P707" s="286"/>
      <c r="Q707" s="286"/>
      <c r="R707" s="286"/>
    </row>
    <row r="708">
      <c r="A708" s="286"/>
      <c r="B708" s="286"/>
      <c r="C708" s="286"/>
      <c r="D708" s="286"/>
      <c r="E708" s="286"/>
      <c r="F708" s="436"/>
      <c r="G708" s="286"/>
      <c r="H708" s="286"/>
      <c r="I708" s="286"/>
      <c r="J708" s="286"/>
      <c r="K708" s="286"/>
      <c r="L708" s="286"/>
      <c r="M708" s="286"/>
      <c r="N708" s="286"/>
      <c r="O708" s="286"/>
      <c r="P708" s="286"/>
      <c r="Q708" s="286"/>
      <c r="R708" s="286"/>
    </row>
    <row r="709">
      <c r="A709" s="286"/>
      <c r="B709" s="286"/>
      <c r="C709" s="286"/>
      <c r="D709" s="286"/>
      <c r="E709" s="286"/>
      <c r="F709" s="436"/>
      <c r="G709" s="286"/>
      <c r="H709" s="286"/>
      <c r="I709" s="286"/>
      <c r="J709" s="286"/>
      <c r="K709" s="286"/>
      <c r="L709" s="286"/>
      <c r="M709" s="286"/>
      <c r="N709" s="286"/>
      <c r="O709" s="286"/>
      <c r="P709" s="286"/>
      <c r="Q709" s="286"/>
      <c r="R709" s="286"/>
    </row>
    <row r="710">
      <c r="A710" s="286"/>
      <c r="B710" s="286"/>
      <c r="C710" s="286"/>
      <c r="D710" s="286"/>
      <c r="E710" s="286"/>
      <c r="F710" s="436"/>
      <c r="G710" s="286"/>
      <c r="H710" s="286"/>
      <c r="I710" s="286"/>
      <c r="J710" s="286"/>
      <c r="K710" s="286"/>
      <c r="L710" s="286"/>
      <c r="M710" s="286"/>
      <c r="N710" s="286"/>
      <c r="O710" s="286"/>
      <c r="P710" s="286"/>
      <c r="Q710" s="286"/>
      <c r="R710" s="286"/>
    </row>
    <row r="711">
      <c r="A711" s="286"/>
      <c r="B711" s="286"/>
      <c r="C711" s="286"/>
      <c r="D711" s="286"/>
      <c r="E711" s="286"/>
      <c r="F711" s="436"/>
      <c r="G711" s="286"/>
      <c r="H711" s="286"/>
      <c r="I711" s="286"/>
      <c r="J711" s="286"/>
      <c r="K711" s="286"/>
      <c r="L711" s="286"/>
      <c r="M711" s="286"/>
      <c r="N711" s="286"/>
      <c r="O711" s="286"/>
      <c r="P711" s="286"/>
      <c r="Q711" s="286"/>
      <c r="R711" s="286"/>
    </row>
    <row r="712">
      <c r="A712" s="286"/>
      <c r="B712" s="286"/>
      <c r="C712" s="286"/>
      <c r="D712" s="286"/>
      <c r="E712" s="286"/>
      <c r="F712" s="436"/>
      <c r="G712" s="286"/>
      <c r="H712" s="286"/>
      <c r="I712" s="286"/>
      <c r="J712" s="286"/>
      <c r="K712" s="286"/>
      <c r="L712" s="286"/>
      <c r="M712" s="286"/>
      <c r="N712" s="286"/>
      <c r="O712" s="286"/>
      <c r="P712" s="286"/>
      <c r="Q712" s="286"/>
      <c r="R712" s="286"/>
    </row>
    <row r="713">
      <c r="A713" s="286"/>
      <c r="B713" s="286"/>
      <c r="C713" s="286"/>
      <c r="D713" s="286"/>
      <c r="E713" s="286"/>
      <c r="F713" s="436"/>
      <c r="G713" s="286"/>
      <c r="H713" s="286"/>
      <c r="I713" s="286"/>
      <c r="J713" s="286"/>
      <c r="K713" s="286"/>
      <c r="L713" s="286"/>
      <c r="M713" s="286"/>
      <c r="N713" s="286"/>
      <c r="O713" s="286"/>
      <c r="P713" s="286"/>
      <c r="Q713" s="286"/>
      <c r="R713" s="286"/>
    </row>
    <row r="714">
      <c r="A714" s="286"/>
      <c r="B714" s="286"/>
      <c r="C714" s="286"/>
      <c r="D714" s="286"/>
      <c r="E714" s="286"/>
      <c r="F714" s="436"/>
      <c r="G714" s="286"/>
      <c r="H714" s="286"/>
      <c r="I714" s="286"/>
      <c r="J714" s="286"/>
      <c r="K714" s="286"/>
      <c r="L714" s="286"/>
      <c r="M714" s="286"/>
      <c r="N714" s="286"/>
      <c r="O714" s="286"/>
      <c r="P714" s="286"/>
      <c r="Q714" s="286"/>
      <c r="R714" s="286"/>
    </row>
    <row r="715">
      <c r="A715" s="286"/>
      <c r="B715" s="286"/>
      <c r="C715" s="286"/>
      <c r="D715" s="286"/>
      <c r="E715" s="286"/>
      <c r="F715" s="436"/>
      <c r="G715" s="286"/>
      <c r="H715" s="286"/>
      <c r="I715" s="286"/>
      <c r="J715" s="286"/>
      <c r="K715" s="286"/>
      <c r="L715" s="286"/>
      <c r="M715" s="286"/>
      <c r="N715" s="286"/>
      <c r="O715" s="286"/>
      <c r="P715" s="286"/>
      <c r="Q715" s="286"/>
      <c r="R715" s="286"/>
    </row>
    <row r="716">
      <c r="A716" s="286"/>
      <c r="B716" s="286"/>
      <c r="C716" s="286"/>
      <c r="D716" s="286"/>
      <c r="E716" s="286"/>
      <c r="F716" s="436"/>
      <c r="G716" s="286"/>
      <c r="H716" s="286"/>
      <c r="I716" s="286"/>
      <c r="J716" s="286"/>
      <c r="K716" s="286"/>
      <c r="L716" s="286"/>
      <c r="M716" s="286"/>
      <c r="N716" s="286"/>
      <c r="O716" s="286"/>
      <c r="P716" s="286"/>
      <c r="Q716" s="286"/>
      <c r="R716" s="286"/>
    </row>
    <row r="717">
      <c r="A717" s="286"/>
      <c r="B717" s="286"/>
      <c r="C717" s="286"/>
      <c r="D717" s="286"/>
      <c r="E717" s="286"/>
      <c r="F717" s="436"/>
      <c r="G717" s="286"/>
      <c r="H717" s="286"/>
      <c r="I717" s="286"/>
      <c r="J717" s="286"/>
      <c r="K717" s="286"/>
      <c r="L717" s="286"/>
      <c r="M717" s="286"/>
      <c r="N717" s="286"/>
      <c r="O717" s="286"/>
      <c r="P717" s="286"/>
      <c r="Q717" s="286"/>
      <c r="R717" s="286"/>
    </row>
    <row r="718">
      <c r="A718" s="286"/>
      <c r="B718" s="286"/>
      <c r="C718" s="286"/>
      <c r="D718" s="286"/>
      <c r="E718" s="286"/>
      <c r="F718" s="436"/>
      <c r="G718" s="286"/>
      <c r="H718" s="286"/>
      <c r="I718" s="286"/>
      <c r="J718" s="286"/>
      <c r="K718" s="286"/>
      <c r="L718" s="286"/>
      <c r="M718" s="286"/>
      <c r="N718" s="286"/>
      <c r="O718" s="286"/>
      <c r="P718" s="286"/>
      <c r="Q718" s="286"/>
      <c r="R718" s="286"/>
    </row>
    <row r="719">
      <c r="A719" s="286"/>
      <c r="B719" s="286"/>
      <c r="C719" s="286"/>
      <c r="D719" s="286"/>
      <c r="E719" s="286"/>
      <c r="F719" s="436"/>
      <c r="G719" s="286"/>
      <c r="H719" s="286"/>
      <c r="I719" s="286"/>
      <c r="J719" s="286"/>
      <c r="K719" s="286"/>
      <c r="L719" s="286"/>
      <c r="M719" s="286"/>
      <c r="N719" s="286"/>
      <c r="O719" s="286"/>
      <c r="P719" s="286"/>
      <c r="Q719" s="286"/>
      <c r="R719" s="286"/>
    </row>
    <row r="720">
      <c r="A720" s="286"/>
      <c r="B720" s="286"/>
      <c r="C720" s="286"/>
      <c r="D720" s="286"/>
      <c r="E720" s="286"/>
      <c r="F720" s="436"/>
      <c r="G720" s="286"/>
      <c r="H720" s="286"/>
      <c r="I720" s="286"/>
      <c r="J720" s="286"/>
      <c r="K720" s="286"/>
      <c r="L720" s="286"/>
      <c r="M720" s="286"/>
      <c r="N720" s="286"/>
      <c r="O720" s="286"/>
      <c r="P720" s="286"/>
      <c r="Q720" s="286"/>
      <c r="R720" s="286"/>
    </row>
    <row r="721">
      <c r="A721" s="286"/>
      <c r="B721" s="286"/>
      <c r="C721" s="286"/>
      <c r="D721" s="286"/>
      <c r="E721" s="286"/>
      <c r="F721" s="436"/>
      <c r="G721" s="286"/>
      <c r="H721" s="286"/>
      <c r="I721" s="286"/>
      <c r="J721" s="286"/>
      <c r="K721" s="286"/>
      <c r="L721" s="286"/>
      <c r="M721" s="286"/>
      <c r="N721" s="286"/>
      <c r="O721" s="286"/>
      <c r="P721" s="286"/>
      <c r="Q721" s="286"/>
      <c r="R721" s="286"/>
    </row>
    <row r="722">
      <c r="A722" s="286"/>
      <c r="B722" s="286"/>
      <c r="C722" s="286"/>
      <c r="D722" s="286"/>
      <c r="E722" s="286"/>
      <c r="F722" s="436"/>
      <c r="G722" s="286"/>
      <c r="H722" s="286"/>
      <c r="I722" s="286"/>
      <c r="J722" s="286"/>
      <c r="K722" s="286"/>
      <c r="L722" s="286"/>
      <c r="M722" s="286"/>
      <c r="N722" s="286"/>
      <c r="O722" s="286"/>
      <c r="P722" s="286"/>
      <c r="Q722" s="286"/>
      <c r="R722" s="286"/>
    </row>
    <row r="723">
      <c r="A723" s="286"/>
      <c r="B723" s="286"/>
      <c r="C723" s="286"/>
      <c r="D723" s="286"/>
      <c r="E723" s="286"/>
      <c r="F723" s="436"/>
      <c r="G723" s="286"/>
      <c r="H723" s="286"/>
      <c r="I723" s="286"/>
      <c r="J723" s="286"/>
      <c r="K723" s="286"/>
      <c r="L723" s="286"/>
      <c r="M723" s="286"/>
      <c r="N723" s="286"/>
      <c r="O723" s="286"/>
      <c r="P723" s="286"/>
      <c r="Q723" s="286"/>
      <c r="R723" s="286"/>
    </row>
    <row r="724">
      <c r="A724" s="286"/>
      <c r="B724" s="286"/>
      <c r="C724" s="286"/>
      <c r="D724" s="286"/>
      <c r="E724" s="286"/>
      <c r="F724" s="436"/>
      <c r="G724" s="286"/>
      <c r="H724" s="286"/>
      <c r="I724" s="286"/>
      <c r="J724" s="286"/>
      <c r="K724" s="286"/>
      <c r="L724" s="286"/>
      <c r="M724" s="286"/>
      <c r="N724" s="286"/>
      <c r="O724" s="286"/>
      <c r="P724" s="286"/>
      <c r="Q724" s="286"/>
      <c r="R724" s="286"/>
    </row>
    <row r="725">
      <c r="A725" s="286"/>
      <c r="B725" s="286"/>
      <c r="C725" s="286"/>
      <c r="D725" s="286"/>
      <c r="E725" s="286"/>
      <c r="F725" s="436"/>
      <c r="G725" s="286"/>
      <c r="H725" s="286"/>
      <c r="I725" s="286"/>
      <c r="J725" s="286"/>
      <c r="K725" s="286"/>
      <c r="L725" s="286"/>
      <c r="M725" s="286"/>
      <c r="N725" s="286"/>
      <c r="O725" s="286"/>
      <c r="P725" s="286"/>
      <c r="Q725" s="286"/>
      <c r="R725" s="286"/>
    </row>
    <row r="726">
      <c r="A726" s="286"/>
      <c r="B726" s="286"/>
      <c r="C726" s="286"/>
      <c r="D726" s="286"/>
      <c r="E726" s="286"/>
      <c r="F726" s="436"/>
      <c r="G726" s="286"/>
      <c r="H726" s="286"/>
      <c r="I726" s="286"/>
      <c r="J726" s="286"/>
      <c r="K726" s="286"/>
      <c r="L726" s="286"/>
      <c r="M726" s="286"/>
      <c r="N726" s="286"/>
      <c r="O726" s="286"/>
      <c r="P726" s="286"/>
      <c r="Q726" s="286"/>
      <c r="R726" s="286"/>
    </row>
    <row r="727">
      <c r="A727" s="286"/>
      <c r="B727" s="286"/>
      <c r="C727" s="286"/>
      <c r="D727" s="286"/>
      <c r="E727" s="286"/>
      <c r="F727" s="436"/>
      <c r="G727" s="286"/>
      <c r="H727" s="286"/>
      <c r="I727" s="286"/>
      <c r="J727" s="286"/>
      <c r="K727" s="286"/>
      <c r="L727" s="286"/>
      <c r="M727" s="286"/>
      <c r="N727" s="286"/>
      <c r="O727" s="286"/>
      <c r="P727" s="286"/>
      <c r="Q727" s="286"/>
      <c r="R727" s="286"/>
    </row>
    <row r="728">
      <c r="A728" s="286"/>
      <c r="B728" s="286"/>
      <c r="C728" s="286"/>
      <c r="D728" s="286"/>
      <c r="E728" s="286"/>
      <c r="F728" s="436"/>
      <c r="G728" s="286"/>
      <c r="H728" s="286"/>
      <c r="I728" s="286"/>
      <c r="J728" s="286"/>
      <c r="K728" s="286"/>
      <c r="L728" s="286"/>
      <c r="M728" s="286"/>
      <c r="N728" s="286"/>
      <c r="O728" s="286"/>
      <c r="P728" s="286"/>
      <c r="Q728" s="286"/>
      <c r="R728" s="286"/>
    </row>
    <row r="729">
      <c r="A729" s="286"/>
      <c r="B729" s="286"/>
      <c r="C729" s="286"/>
      <c r="D729" s="286"/>
      <c r="E729" s="286"/>
      <c r="F729" s="436"/>
      <c r="G729" s="286"/>
      <c r="H729" s="286"/>
      <c r="I729" s="286"/>
      <c r="J729" s="286"/>
      <c r="K729" s="286"/>
      <c r="L729" s="286"/>
      <c r="M729" s="286"/>
      <c r="N729" s="286"/>
      <c r="O729" s="286"/>
      <c r="P729" s="286"/>
      <c r="Q729" s="286"/>
      <c r="R729" s="286"/>
    </row>
    <row r="730">
      <c r="A730" s="286"/>
      <c r="B730" s="286"/>
      <c r="C730" s="286"/>
      <c r="D730" s="286"/>
      <c r="E730" s="286"/>
      <c r="F730" s="436"/>
      <c r="G730" s="286"/>
      <c r="H730" s="286"/>
      <c r="I730" s="286"/>
      <c r="J730" s="286"/>
      <c r="K730" s="286"/>
      <c r="L730" s="286"/>
      <c r="M730" s="286"/>
      <c r="N730" s="286"/>
      <c r="O730" s="286"/>
      <c r="P730" s="286"/>
      <c r="Q730" s="286"/>
      <c r="R730" s="286"/>
    </row>
    <row r="731">
      <c r="A731" s="286"/>
      <c r="B731" s="286"/>
      <c r="C731" s="286"/>
      <c r="D731" s="286"/>
      <c r="E731" s="286"/>
      <c r="F731" s="436"/>
      <c r="G731" s="286"/>
      <c r="H731" s="286"/>
      <c r="I731" s="286"/>
      <c r="J731" s="286"/>
      <c r="K731" s="286"/>
      <c r="L731" s="286"/>
      <c r="M731" s="286"/>
      <c r="N731" s="286"/>
      <c r="O731" s="286"/>
      <c r="P731" s="286"/>
      <c r="Q731" s="286"/>
      <c r="R731" s="286"/>
    </row>
    <row r="732">
      <c r="A732" s="286"/>
      <c r="B732" s="286"/>
      <c r="C732" s="286"/>
      <c r="D732" s="286"/>
      <c r="E732" s="286"/>
      <c r="F732" s="436"/>
      <c r="G732" s="286"/>
      <c r="H732" s="286"/>
      <c r="I732" s="286"/>
      <c r="J732" s="286"/>
      <c r="K732" s="286"/>
      <c r="L732" s="286"/>
      <c r="M732" s="286"/>
      <c r="N732" s="286"/>
      <c r="O732" s="286"/>
      <c r="P732" s="286"/>
      <c r="Q732" s="286"/>
      <c r="R732" s="286"/>
    </row>
    <row r="733">
      <c r="A733" s="286"/>
      <c r="B733" s="286"/>
      <c r="C733" s="286"/>
      <c r="D733" s="286"/>
      <c r="E733" s="286"/>
      <c r="F733" s="436"/>
      <c r="G733" s="286"/>
      <c r="H733" s="286"/>
      <c r="I733" s="286"/>
      <c r="J733" s="286"/>
      <c r="K733" s="286"/>
      <c r="L733" s="286"/>
      <c r="M733" s="286"/>
      <c r="N733" s="286"/>
      <c r="O733" s="286"/>
      <c r="P733" s="286"/>
      <c r="Q733" s="286"/>
      <c r="R733" s="286"/>
    </row>
    <row r="734">
      <c r="A734" s="286"/>
      <c r="B734" s="286"/>
      <c r="C734" s="286"/>
      <c r="D734" s="286"/>
      <c r="E734" s="286"/>
      <c r="F734" s="436"/>
      <c r="G734" s="286"/>
      <c r="H734" s="286"/>
      <c r="I734" s="286"/>
      <c r="J734" s="286"/>
      <c r="K734" s="286"/>
      <c r="L734" s="286"/>
      <c r="M734" s="286"/>
      <c r="N734" s="286"/>
      <c r="O734" s="286"/>
      <c r="P734" s="286"/>
      <c r="Q734" s="286"/>
      <c r="R734" s="286"/>
    </row>
    <row r="735">
      <c r="A735" s="286"/>
      <c r="B735" s="286"/>
      <c r="C735" s="286"/>
      <c r="D735" s="286"/>
      <c r="E735" s="286"/>
      <c r="F735" s="436"/>
      <c r="G735" s="286"/>
      <c r="H735" s="286"/>
      <c r="I735" s="286"/>
      <c r="J735" s="286"/>
      <c r="K735" s="286"/>
      <c r="L735" s="286"/>
      <c r="M735" s="286"/>
      <c r="N735" s="286"/>
      <c r="O735" s="286"/>
      <c r="P735" s="286"/>
      <c r="Q735" s="286"/>
      <c r="R735" s="286"/>
    </row>
    <row r="736">
      <c r="A736" s="286"/>
      <c r="B736" s="286"/>
      <c r="C736" s="286"/>
      <c r="D736" s="286"/>
      <c r="E736" s="286"/>
      <c r="F736" s="436"/>
      <c r="G736" s="286"/>
      <c r="H736" s="286"/>
      <c r="I736" s="286"/>
      <c r="J736" s="286"/>
      <c r="K736" s="286"/>
      <c r="L736" s="286"/>
      <c r="M736" s="286"/>
      <c r="N736" s="286"/>
      <c r="O736" s="286"/>
      <c r="P736" s="286"/>
      <c r="Q736" s="286"/>
      <c r="R736" s="286"/>
    </row>
    <row r="737">
      <c r="A737" s="286"/>
      <c r="B737" s="286"/>
      <c r="C737" s="286"/>
      <c r="D737" s="286"/>
      <c r="E737" s="286"/>
      <c r="F737" s="436"/>
      <c r="G737" s="286"/>
      <c r="H737" s="286"/>
      <c r="I737" s="286"/>
      <c r="J737" s="286"/>
      <c r="K737" s="286"/>
      <c r="L737" s="286"/>
      <c r="M737" s="286"/>
      <c r="N737" s="286"/>
      <c r="O737" s="286"/>
      <c r="P737" s="286"/>
      <c r="Q737" s="286"/>
      <c r="R737" s="286"/>
    </row>
    <row r="738">
      <c r="A738" s="286"/>
      <c r="B738" s="286"/>
      <c r="C738" s="286"/>
      <c r="D738" s="286"/>
      <c r="E738" s="286"/>
      <c r="F738" s="436"/>
      <c r="G738" s="286"/>
      <c r="H738" s="286"/>
      <c r="I738" s="286"/>
      <c r="J738" s="286"/>
      <c r="K738" s="286"/>
      <c r="L738" s="286"/>
      <c r="M738" s="286"/>
      <c r="N738" s="286"/>
      <c r="O738" s="286"/>
      <c r="P738" s="286"/>
      <c r="Q738" s="286"/>
      <c r="R738" s="286"/>
    </row>
    <row r="739">
      <c r="A739" s="286"/>
      <c r="B739" s="286"/>
      <c r="C739" s="286"/>
      <c r="D739" s="286"/>
      <c r="E739" s="286"/>
      <c r="F739" s="436"/>
      <c r="G739" s="286"/>
      <c r="H739" s="286"/>
      <c r="I739" s="286"/>
      <c r="J739" s="286"/>
      <c r="K739" s="286"/>
      <c r="L739" s="286"/>
      <c r="M739" s="286"/>
      <c r="N739" s="286"/>
      <c r="O739" s="286"/>
      <c r="P739" s="286"/>
      <c r="Q739" s="286"/>
      <c r="R739" s="286"/>
    </row>
    <row r="740">
      <c r="A740" s="286"/>
      <c r="B740" s="286"/>
      <c r="C740" s="286"/>
      <c r="D740" s="286"/>
      <c r="E740" s="286"/>
      <c r="F740" s="436"/>
      <c r="G740" s="286"/>
      <c r="H740" s="286"/>
      <c r="I740" s="286"/>
      <c r="J740" s="286"/>
      <c r="K740" s="286"/>
      <c r="L740" s="286"/>
      <c r="M740" s="286"/>
      <c r="N740" s="286"/>
      <c r="O740" s="286"/>
      <c r="P740" s="286"/>
      <c r="Q740" s="286"/>
      <c r="R740" s="286"/>
    </row>
    <row r="741">
      <c r="A741" s="286"/>
      <c r="B741" s="286"/>
      <c r="C741" s="286"/>
      <c r="D741" s="286"/>
      <c r="E741" s="286"/>
      <c r="F741" s="436"/>
      <c r="G741" s="286"/>
      <c r="H741" s="286"/>
      <c r="I741" s="286"/>
      <c r="J741" s="286"/>
      <c r="K741" s="286"/>
      <c r="L741" s="286"/>
      <c r="M741" s="286"/>
      <c r="N741" s="286"/>
      <c r="O741" s="286"/>
      <c r="P741" s="286"/>
      <c r="Q741" s="286"/>
      <c r="R741" s="286"/>
    </row>
    <row r="742">
      <c r="A742" s="286"/>
      <c r="B742" s="286"/>
      <c r="C742" s="286"/>
      <c r="D742" s="286"/>
      <c r="E742" s="286"/>
      <c r="F742" s="436"/>
      <c r="G742" s="286"/>
      <c r="H742" s="286"/>
      <c r="I742" s="286"/>
      <c r="J742" s="286"/>
      <c r="K742" s="286"/>
      <c r="L742" s="286"/>
      <c r="M742" s="286"/>
      <c r="N742" s="286"/>
      <c r="O742" s="286"/>
      <c r="P742" s="286"/>
      <c r="Q742" s="286"/>
      <c r="R742" s="286"/>
    </row>
    <row r="743">
      <c r="A743" s="286"/>
      <c r="B743" s="286"/>
      <c r="C743" s="286"/>
      <c r="D743" s="286"/>
      <c r="E743" s="286"/>
      <c r="F743" s="436"/>
      <c r="G743" s="286"/>
      <c r="H743" s="286"/>
      <c r="I743" s="286"/>
      <c r="J743" s="286"/>
      <c r="K743" s="286"/>
      <c r="L743" s="286"/>
      <c r="M743" s="286"/>
      <c r="N743" s="286"/>
      <c r="O743" s="286"/>
      <c r="P743" s="286"/>
      <c r="Q743" s="286"/>
      <c r="R743" s="286"/>
    </row>
    <row r="744">
      <c r="A744" s="286"/>
      <c r="B744" s="286"/>
      <c r="C744" s="286"/>
      <c r="D744" s="286"/>
      <c r="E744" s="286"/>
      <c r="F744" s="436"/>
      <c r="G744" s="286"/>
      <c r="H744" s="286"/>
      <c r="I744" s="286"/>
      <c r="J744" s="286"/>
      <c r="K744" s="286"/>
      <c r="L744" s="286"/>
      <c r="M744" s="286"/>
      <c r="N744" s="286"/>
      <c r="O744" s="286"/>
      <c r="P744" s="286"/>
      <c r="Q744" s="286"/>
      <c r="R744" s="286"/>
    </row>
    <row r="745">
      <c r="A745" s="286"/>
      <c r="B745" s="286"/>
      <c r="C745" s="286"/>
      <c r="D745" s="286"/>
      <c r="E745" s="286"/>
      <c r="F745" s="436"/>
      <c r="G745" s="286"/>
      <c r="H745" s="286"/>
      <c r="I745" s="286"/>
      <c r="J745" s="286"/>
      <c r="K745" s="286"/>
      <c r="L745" s="286"/>
      <c r="M745" s="286"/>
      <c r="N745" s="286"/>
      <c r="O745" s="286"/>
      <c r="P745" s="286"/>
      <c r="Q745" s="286"/>
      <c r="R745" s="286"/>
    </row>
    <row r="746">
      <c r="A746" s="286"/>
      <c r="B746" s="286"/>
      <c r="C746" s="286"/>
      <c r="D746" s="286"/>
      <c r="E746" s="286"/>
      <c r="F746" s="436"/>
      <c r="G746" s="286"/>
      <c r="H746" s="286"/>
      <c r="I746" s="286"/>
      <c r="J746" s="286"/>
      <c r="K746" s="286"/>
      <c r="L746" s="286"/>
      <c r="M746" s="286"/>
      <c r="N746" s="286"/>
      <c r="O746" s="286"/>
      <c r="P746" s="286"/>
      <c r="Q746" s="286"/>
      <c r="R746" s="286"/>
    </row>
    <row r="747">
      <c r="A747" s="286"/>
      <c r="B747" s="286"/>
      <c r="C747" s="286"/>
      <c r="D747" s="286"/>
      <c r="E747" s="286"/>
      <c r="F747" s="436"/>
      <c r="G747" s="286"/>
      <c r="H747" s="286"/>
      <c r="I747" s="286"/>
      <c r="J747" s="286"/>
      <c r="K747" s="286"/>
      <c r="L747" s="286"/>
      <c r="M747" s="286"/>
      <c r="N747" s="286"/>
      <c r="O747" s="286"/>
      <c r="P747" s="286"/>
      <c r="Q747" s="286"/>
      <c r="R747" s="286"/>
    </row>
    <row r="748">
      <c r="A748" s="286"/>
      <c r="B748" s="286"/>
      <c r="C748" s="286"/>
      <c r="D748" s="286"/>
      <c r="E748" s="286"/>
      <c r="F748" s="436"/>
      <c r="G748" s="286"/>
      <c r="H748" s="286"/>
      <c r="I748" s="286"/>
      <c r="J748" s="286"/>
      <c r="K748" s="286"/>
      <c r="L748" s="286"/>
      <c r="M748" s="286"/>
      <c r="N748" s="286"/>
      <c r="O748" s="286"/>
      <c r="P748" s="286"/>
      <c r="Q748" s="286"/>
      <c r="R748" s="286"/>
    </row>
    <row r="749">
      <c r="A749" s="286"/>
      <c r="B749" s="286"/>
      <c r="C749" s="286"/>
      <c r="D749" s="286"/>
      <c r="E749" s="286"/>
      <c r="F749" s="436"/>
      <c r="G749" s="286"/>
      <c r="H749" s="286"/>
      <c r="I749" s="286"/>
      <c r="J749" s="286"/>
      <c r="K749" s="286"/>
      <c r="L749" s="286"/>
      <c r="M749" s="286"/>
      <c r="N749" s="286"/>
      <c r="O749" s="286"/>
      <c r="P749" s="286"/>
      <c r="Q749" s="286"/>
      <c r="R749" s="286"/>
    </row>
    <row r="750">
      <c r="A750" s="286"/>
      <c r="B750" s="286"/>
      <c r="C750" s="286"/>
      <c r="D750" s="286"/>
      <c r="E750" s="286"/>
      <c r="F750" s="436"/>
      <c r="G750" s="286"/>
      <c r="H750" s="286"/>
      <c r="I750" s="286"/>
      <c r="J750" s="286"/>
      <c r="K750" s="286"/>
      <c r="L750" s="286"/>
      <c r="M750" s="286"/>
      <c r="N750" s="286"/>
      <c r="O750" s="286"/>
      <c r="P750" s="286"/>
      <c r="Q750" s="286"/>
      <c r="R750" s="286"/>
    </row>
    <row r="751">
      <c r="A751" s="286"/>
      <c r="B751" s="286"/>
      <c r="C751" s="286"/>
      <c r="D751" s="286"/>
      <c r="E751" s="286"/>
      <c r="F751" s="436"/>
      <c r="G751" s="286"/>
      <c r="H751" s="286"/>
      <c r="I751" s="286"/>
      <c r="J751" s="286"/>
      <c r="K751" s="286"/>
      <c r="L751" s="286"/>
      <c r="M751" s="286"/>
      <c r="N751" s="286"/>
      <c r="O751" s="286"/>
      <c r="P751" s="286"/>
      <c r="Q751" s="286"/>
      <c r="R751" s="286"/>
    </row>
    <row r="752">
      <c r="A752" s="286"/>
      <c r="B752" s="286"/>
      <c r="C752" s="286"/>
      <c r="D752" s="286"/>
      <c r="E752" s="286"/>
      <c r="F752" s="436"/>
      <c r="G752" s="286"/>
      <c r="H752" s="286"/>
      <c r="I752" s="286"/>
      <c r="J752" s="286"/>
      <c r="K752" s="286"/>
      <c r="L752" s="286"/>
      <c r="M752" s="286"/>
      <c r="N752" s="286"/>
      <c r="O752" s="286"/>
      <c r="P752" s="286"/>
      <c r="Q752" s="286"/>
      <c r="R752" s="286"/>
    </row>
    <row r="753">
      <c r="A753" s="286"/>
      <c r="B753" s="286"/>
      <c r="C753" s="286"/>
      <c r="D753" s="286"/>
      <c r="E753" s="286"/>
      <c r="F753" s="436"/>
      <c r="G753" s="286"/>
      <c r="H753" s="286"/>
      <c r="I753" s="286"/>
      <c r="J753" s="286"/>
      <c r="K753" s="286"/>
      <c r="L753" s="286"/>
      <c r="M753" s="286"/>
      <c r="N753" s="286"/>
      <c r="O753" s="286"/>
      <c r="P753" s="286"/>
      <c r="Q753" s="286"/>
      <c r="R753" s="286"/>
    </row>
    <row r="754">
      <c r="A754" s="286"/>
      <c r="B754" s="286"/>
      <c r="C754" s="286"/>
      <c r="D754" s="286"/>
      <c r="E754" s="286"/>
      <c r="F754" s="436"/>
      <c r="G754" s="286"/>
      <c r="H754" s="286"/>
      <c r="I754" s="286"/>
      <c r="J754" s="286"/>
      <c r="K754" s="286"/>
      <c r="L754" s="286"/>
      <c r="M754" s="286"/>
      <c r="N754" s="286"/>
      <c r="O754" s="286"/>
      <c r="P754" s="286"/>
      <c r="Q754" s="286"/>
      <c r="R754" s="286"/>
    </row>
    <row r="755">
      <c r="A755" s="286"/>
      <c r="B755" s="286"/>
      <c r="C755" s="286"/>
      <c r="D755" s="286"/>
      <c r="E755" s="286"/>
      <c r="F755" s="436"/>
      <c r="G755" s="286"/>
      <c r="H755" s="286"/>
      <c r="I755" s="286"/>
      <c r="J755" s="286"/>
      <c r="K755" s="286"/>
      <c r="L755" s="286"/>
      <c r="M755" s="286"/>
      <c r="N755" s="286"/>
      <c r="O755" s="286"/>
      <c r="P755" s="286"/>
      <c r="Q755" s="286"/>
      <c r="R755" s="286"/>
    </row>
    <row r="756">
      <c r="A756" s="286"/>
      <c r="B756" s="286"/>
      <c r="C756" s="286"/>
      <c r="D756" s="286"/>
      <c r="E756" s="286"/>
      <c r="F756" s="436"/>
      <c r="G756" s="286"/>
      <c r="H756" s="286"/>
      <c r="I756" s="286"/>
      <c r="J756" s="286"/>
      <c r="K756" s="286"/>
      <c r="L756" s="286"/>
      <c r="M756" s="286"/>
      <c r="N756" s="286"/>
      <c r="O756" s="286"/>
      <c r="P756" s="286"/>
      <c r="Q756" s="286"/>
      <c r="R756" s="286"/>
    </row>
    <row r="757">
      <c r="A757" s="286"/>
      <c r="B757" s="286"/>
      <c r="C757" s="286"/>
      <c r="D757" s="286"/>
      <c r="E757" s="286"/>
      <c r="F757" s="436"/>
      <c r="G757" s="286"/>
      <c r="H757" s="286"/>
      <c r="I757" s="286"/>
      <c r="J757" s="286"/>
      <c r="K757" s="286"/>
      <c r="L757" s="286"/>
      <c r="M757" s="286"/>
      <c r="N757" s="286"/>
      <c r="O757" s="286"/>
      <c r="P757" s="286"/>
      <c r="Q757" s="286"/>
      <c r="R757" s="286"/>
    </row>
    <row r="758">
      <c r="A758" s="286"/>
      <c r="B758" s="286"/>
      <c r="C758" s="286"/>
      <c r="D758" s="286"/>
      <c r="E758" s="286"/>
      <c r="F758" s="436"/>
      <c r="G758" s="286"/>
      <c r="H758" s="286"/>
      <c r="I758" s="286"/>
      <c r="J758" s="286"/>
      <c r="K758" s="286"/>
      <c r="L758" s="286"/>
      <c r="M758" s="286"/>
      <c r="N758" s="286"/>
      <c r="O758" s="286"/>
      <c r="P758" s="286"/>
      <c r="Q758" s="286"/>
      <c r="R758" s="286"/>
    </row>
    <row r="759">
      <c r="A759" s="286"/>
      <c r="B759" s="286"/>
      <c r="C759" s="286"/>
      <c r="D759" s="286"/>
      <c r="E759" s="286"/>
      <c r="F759" s="436"/>
      <c r="G759" s="286"/>
      <c r="H759" s="286"/>
      <c r="I759" s="286"/>
      <c r="J759" s="286"/>
      <c r="K759" s="286"/>
      <c r="L759" s="286"/>
      <c r="M759" s="286"/>
      <c r="N759" s="286"/>
      <c r="O759" s="286"/>
      <c r="P759" s="286"/>
      <c r="Q759" s="286"/>
      <c r="R759" s="286"/>
    </row>
    <row r="760">
      <c r="A760" s="286"/>
      <c r="B760" s="286"/>
      <c r="C760" s="286"/>
      <c r="D760" s="286"/>
      <c r="E760" s="286"/>
      <c r="F760" s="436"/>
      <c r="G760" s="286"/>
      <c r="H760" s="286"/>
      <c r="I760" s="286"/>
      <c r="J760" s="286"/>
      <c r="K760" s="286"/>
      <c r="L760" s="286"/>
      <c r="M760" s="286"/>
      <c r="N760" s="286"/>
      <c r="O760" s="286"/>
      <c r="P760" s="286"/>
      <c r="Q760" s="286"/>
      <c r="R760" s="286"/>
    </row>
    <row r="761">
      <c r="A761" s="286"/>
      <c r="B761" s="286"/>
      <c r="C761" s="286"/>
      <c r="D761" s="286"/>
      <c r="E761" s="286"/>
      <c r="F761" s="436"/>
      <c r="G761" s="286"/>
      <c r="H761" s="286"/>
      <c r="I761" s="286"/>
      <c r="J761" s="286"/>
      <c r="K761" s="286"/>
      <c r="L761" s="286"/>
      <c r="M761" s="286"/>
      <c r="N761" s="286"/>
      <c r="O761" s="286"/>
      <c r="P761" s="286"/>
      <c r="Q761" s="286"/>
      <c r="R761" s="286"/>
    </row>
    <row r="762">
      <c r="A762" s="286"/>
      <c r="B762" s="286"/>
      <c r="C762" s="286"/>
      <c r="D762" s="286"/>
      <c r="E762" s="286"/>
      <c r="F762" s="436"/>
      <c r="G762" s="286"/>
      <c r="H762" s="286"/>
      <c r="I762" s="286"/>
      <c r="J762" s="286"/>
      <c r="K762" s="286"/>
      <c r="L762" s="286"/>
      <c r="M762" s="286"/>
      <c r="N762" s="286"/>
      <c r="O762" s="286"/>
      <c r="P762" s="286"/>
      <c r="Q762" s="286"/>
      <c r="R762" s="286"/>
    </row>
    <row r="763">
      <c r="A763" s="286"/>
      <c r="B763" s="286"/>
      <c r="C763" s="286"/>
      <c r="D763" s="286"/>
      <c r="E763" s="286"/>
      <c r="F763" s="436"/>
      <c r="G763" s="286"/>
      <c r="H763" s="286"/>
      <c r="I763" s="286"/>
      <c r="J763" s="286"/>
      <c r="K763" s="286"/>
      <c r="L763" s="286"/>
      <c r="M763" s="286"/>
      <c r="N763" s="286"/>
      <c r="O763" s="286"/>
      <c r="P763" s="286"/>
      <c r="Q763" s="286"/>
      <c r="R763" s="286"/>
    </row>
    <row r="764">
      <c r="A764" s="286"/>
      <c r="B764" s="286"/>
      <c r="C764" s="286"/>
      <c r="D764" s="286"/>
      <c r="E764" s="286"/>
      <c r="F764" s="436"/>
      <c r="G764" s="286"/>
      <c r="H764" s="286"/>
      <c r="I764" s="286"/>
      <c r="J764" s="286"/>
      <c r="K764" s="286"/>
      <c r="L764" s="286"/>
      <c r="M764" s="286"/>
      <c r="N764" s="286"/>
      <c r="O764" s="286"/>
      <c r="P764" s="286"/>
      <c r="Q764" s="286"/>
      <c r="R764" s="286"/>
    </row>
    <row r="765">
      <c r="A765" s="286"/>
      <c r="B765" s="286"/>
      <c r="C765" s="286"/>
      <c r="D765" s="286"/>
      <c r="E765" s="286"/>
      <c r="F765" s="436"/>
      <c r="G765" s="286"/>
      <c r="H765" s="286"/>
      <c r="I765" s="286"/>
      <c r="J765" s="286"/>
      <c r="K765" s="286"/>
      <c r="L765" s="286"/>
      <c r="M765" s="286"/>
      <c r="N765" s="286"/>
      <c r="O765" s="286"/>
      <c r="P765" s="286"/>
      <c r="Q765" s="286"/>
      <c r="R765" s="286"/>
    </row>
    <row r="766">
      <c r="A766" s="286"/>
      <c r="B766" s="286"/>
      <c r="C766" s="286"/>
      <c r="D766" s="286"/>
      <c r="E766" s="286"/>
      <c r="F766" s="436"/>
      <c r="G766" s="286"/>
      <c r="H766" s="286"/>
      <c r="I766" s="286"/>
      <c r="J766" s="286"/>
      <c r="K766" s="286"/>
      <c r="L766" s="286"/>
      <c r="M766" s="286"/>
      <c r="N766" s="286"/>
      <c r="O766" s="286"/>
      <c r="P766" s="286"/>
      <c r="Q766" s="286"/>
      <c r="R766" s="286"/>
    </row>
    <row r="767">
      <c r="A767" s="286"/>
      <c r="B767" s="286"/>
      <c r="C767" s="286"/>
      <c r="D767" s="286"/>
      <c r="E767" s="286"/>
      <c r="F767" s="436"/>
      <c r="G767" s="286"/>
      <c r="H767" s="286"/>
      <c r="I767" s="286"/>
      <c r="J767" s="286"/>
      <c r="K767" s="286"/>
      <c r="L767" s="286"/>
      <c r="M767" s="286"/>
      <c r="N767" s="286"/>
      <c r="O767" s="286"/>
      <c r="P767" s="286"/>
      <c r="Q767" s="286"/>
      <c r="R767" s="286"/>
    </row>
    <row r="768">
      <c r="A768" s="286"/>
      <c r="B768" s="286"/>
      <c r="C768" s="286"/>
      <c r="D768" s="286"/>
      <c r="E768" s="286"/>
      <c r="F768" s="436"/>
      <c r="G768" s="286"/>
      <c r="H768" s="286"/>
      <c r="I768" s="286"/>
      <c r="J768" s="286"/>
      <c r="K768" s="286"/>
      <c r="L768" s="286"/>
      <c r="M768" s="286"/>
      <c r="N768" s="286"/>
      <c r="O768" s="286"/>
      <c r="P768" s="286"/>
      <c r="Q768" s="286"/>
      <c r="R768" s="286"/>
    </row>
    <row r="769">
      <c r="A769" s="286"/>
      <c r="B769" s="286"/>
      <c r="C769" s="286"/>
      <c r="D769" s="286"/>
      <c r="E769" s="286"/>
      <c r="F769" s="436"/>
      <c r="G769" s="286"/>
      <c r="H769" s="286"/>
      <c r="I769" s="286"/>
      <c r="J769" s="286"/>
      <c r="K769" s="286"/>
      <c r="L769" s="286"/>
      <c r="M769" s="286"/>
      <c r="N769" s="286"/>
      <c r="O769" s="286"/>
      <c r="P769" s="286"/>
      <c r="Q769" s="286"/>
      <c r="R769" s="286"/>
    </row>
    <row r="770">
      <c r="A770" s="286"/>
      <c r="B770" s="286"/>
      <c r="C770" s="286"/>
      <c r="D770" s="286"/>
      <c r="E770" s="286"/>
      <c r="F770" s="436"/>
      <c r="G770" s="286"/>
      <c r="H770" s="286"/>
      <c r="I770" s="286"/>
      <c r="J770" s="286"/>
      <c r="K770" s="286"/>
      <c r="L770" s="286"/>
      <c r="M770" s="286"/>
      <c r="N770" s="286"/>
      <c r="O770" s="286"/>
      <c r="P770" s="286"/>
      <c r="Q770" s="286"/>
      <c r="R770" s="286"/>
    </row>
    <row r="771">
      <c r="A771" s="286"/>
      <c r="B771" s="286"/>
      <c r="C771" s="286"/>
      <c r="D771" s="286"/>
      <c r="E771" s="286"/>
      <c r="F771" s="436"/>
      <c r="G771" s="286"/>
      <c r="H771" s="286"/>
      <c r="I771" s="286"/>
      <c r="J771" s="286"/>
      <c r="K771" s="286"/>
      <c r="L771" s="286"/>
      <c r="M771" s="286"/>
      <c r="N771" s="286"/>
      <c r="O771" s="286"/>
      <c r="P771" s="286"/>
      <c r="Q771" s="286"/>
      <c r="R771" s="286"/>
    </row>
    <row r="772">
      <c r="A772" s="286"/>
      <c r="B772" s="286"/>
      <c r="C772" s="286"/>
      <c r="D772" s="286"/>
      <c r="E772" s="286"/>
      <c r="F772" s="436"/>
      <c r="G772" s="286"/>
      <c r="H772" s="286"/>
      <c r="I772" s="286"/>
      <c r="J772" s="286"/>
      <c r="K772" s="286"/>
      <c r="L772" s="286"/>
      <c r="M772" s="286"/>
      <c r="N772" s="286"/>
      <c r="O772" s="286"/>
      <c r="P772" s="286"/>
      <c r="Q772" s="286"/>
      <c r="R772" s="286"/>
    </row>
    <row r="773">
      <c r="A773" s="286"/>
      <c r="B773" s="286"/>
      <c r="C773" s="286"/>
      <c r="D773" s="286"/>
      <c r="E773" s="286"/>
      <c r="F773" s="436"/>
      <c r="G773" s="286"/>
      <c r="H773" s="286"/>
      <c r="I773" s="286"/>
      <c r="J773" s="286"/>
      <c r="K773" s="286"/>
      <c r="L773" s="286"/>
      <c r="M773" s="286"/>
      <c r="N773" s="286"/>
      <c r="O773" s="286"/>
      <c r="P773" s="286"/>
      <c r="Q773" s="286"/>
      <c r="R773" s="286"/>
    </row>
    <row r="774">
      <c r="A774" s="286"/>
      <c r="B774" s="286"/>
      <c r="C774" s="286"/>
      <c r="D774" s="286"/>
      <c r="E774" s="286"/>
      <c r="F774" s="436"/>
      <c r="G774" s="286"/>
      <c r="H774" s="286"/>
      <c r="I774" s="286"/>
      <c r="J774" s="286"/>
      <c r="K774" s="286"/>
      <c r="L774" s="286"/>
      <c r="M774" s="286"/>
      <c r="N774" s="286"/>
      <c r="O774" s="286"/>
      <c r="P774" s="286"/>
      <c r="Q774" s="286"/>
      <c r="R774" s="286"/>
    </row>
    <row r="775">
      <c r="A775" s="286"/>
      <c r="B775" s="286"/>
      <c r="C775" s="286"/>
      <c r="D775" s="286"/>
      <c r="E775" s="286"/>
      <c r="F775" s="436"/>
      <c r="G775" s="286"/>
      <c r="H775" s="286"/>
      <c r="I775" s="286"/>
      <c r="J775" s="286"/>
      <c r="K775" s="286"/>
      <c r="L775" s="286"/>
      <c r="M775" s="286"/>
      <c r="N775" s="286"/>
      <c r="O775" s="286"/>
      <c r="P775" s="286"/>
      <c r="Q775" s="286"/>
      <c r="R775" s="286"/>
    </row>
    <row r="776">
      <c r="A776" s="286"/>
      <c r="B776" s="286"/>
      <c r="C776" s="286"/>
      <c r="D776" s="286"/>
      <c r="E776" s="286"/>
      <c r="F776" s="436"/>
      <c r="G776" s="286"/>
      <c r="H776" s="286"/>
      <c r="I776" s="286"/>
      <c r="J776" s="286"/>
      <c r="K776" s="286"/>
      <c r="L776" s="286"/>
      <c r="M776" s="286"/>
      <c r="N776" s="286"/>
      <c r="O776" s="286"/>
      <c r="P776" s="286"/>
      <c r="Q776" s="286"/>
      <c r="R776" s="286"/>
    </row>
    <row r="777">
      <c r="A777" s="286"/>
      <c r="B777" s="286"/>
      <c r="C777" s="286"/>
      <c r="D777" s="286"/>
      <c r="E777" s="286"/>
      <c r="F777" s="436"/>
      <c r="G777" s="286"/>
      <c r="H777" s="286"/>
      <c r="I777" s="286"/>
      <c r="J777" s="286"/>
      <c r="K777" s="286"/>
      <c r="L777" s="286"/>
      <c r="M777" s="286"/>
      <c r="N777" s="286"/>
      <c r="O777" s="286"/>
      <c r="P777" s="286"/>
      <c r="Q777" s="286"/>
      <c r="R777" s="286"/>
    </row>
    <row r="778">
      <c r="A778" s="286"/>
      <c r="B778" s="286"/>
      <c r="C778" s="286"/>
      <c r="D778" s="286"/>
      <c r="E778" s="286"/>
      <c r="F778" s="436"/>
      <c r="G778" s="286"/>
      <c r="H778" s="286"/>
      <c r="I778" s="286"/>
      <c r="J778" s="286"/>
      <c r="K778" s="286"/>
      <c r="L778" s="286"/>
      <c r="M778" s="286"/>
      <c r="N778" s="286"/>
      <c r="O778" s="286"/>
      <c r="P778" s="286"/>
      <c r="Q778" s="286"/>
      <c r="R778" s="286"/>
    </row>
    <row r="779">
      <c r="A779" s="286"/>
      <c r="B779" s="286"/>
      <c r="C779" s="286"/>
      <c r="D779" s="286"/>
      <c r="E779" s="286"/>
      <c r="F779" s="436"/>
      <c r="G779" s="286"/>
      <c r="H779" s="286"/>
      <c r="I779" s="286"/>
      <c r="J779" s="286"/>
      <c r="K779" s="286"/>
      <c r="L779" s="286"/>
      <c r="M779" s="286"/>
      <c r="N779" s="286"/>
      <c r="O779" s="286"/>
      <c r="P779" s="286"/>
      <c r="Q779" s="286"/>
      <c r="R779" s="286"/>
    </row>
    <row r="780">
      <c r="A780" s="286"/>
      <c r="B780" s="286"/>
      <c r="C780" s="286"/>
      <c r="D780" s="286"/>
      <c r="E780" s="286"/>
      <c r="F780" s="436"/>
      <c r="G780" s="286"/>
      <c r="H780" s="286"/>
      <c r="I780" s="286"/>
      <c r="J780" s="286"/>
      <c r="K780" s="286"/>
      <c r="L780" s="286"/>
      <c r="M780" s="286"/>
      <c r="N780" s="286"/>
      <c r="O780" s="286"/>
      <c r="P780" s="286"/>
      <c r="Q780" s="286"/>
      <c r="R780" s="286"/>
    </row>
    <row r="781">
      <c r="A781" s="286"/>
      <c r="B781" s="286"/>
      <c r="C781" s="286"/>
      <c r="D781" s="286"/>
      <c r="E781" s="286"/>
      <c r="F781" s="436"/>
      <c r="G781" s="286"/>
      <c r="H781" s="286"/>
      <c r="I781" s="286"/>
      <c r="J781" s="286"/>
      <c r="K781" s="286"/>
      <c r="L781" s="286"/>
      <c r="M781" s="286"/>
      <c r="N781" s="286"/>
      <c r="O781" s="286"/>
      <c r="P781" s="286"/>
      <c r="Q781" s="286"/>
      <c r="R781" s="286"/>
    </row>
    <row r="782">
      <c r="A782" s="286"/>
      <c r="B782" s="286"/>
      <c r="C782" s="286"/>
      <c r="D782" s="286"/>
      <c r="E782" s="286"/>
      <c r="F782" s="436"/>
      <c r="G782" s="286"/>
      <c r="H782" s="286"/>
      <c r="I782" s="286"/>
      <c r="J782" s="286"/>
      <c r="K782" s="286"/>
      <c r="L782" s="286"/>
      <c r="M782" s="286"/>
      <c r="N782" s="286"/>
      <c r="O782" s="286"/>
      <c r="P782" s="286"/>
      <c r="Q782" s="286"/>
      <c r="R782" s="286"/>
    </row>
    <row r="783">
      <c r="A783" s="286"/>
      <c r="B783" s="286"/>
      <c r="C783" s="286"/>
      <c r="D783" s="286"/>
      <c r="E783" s="286"/>
      <c r="F783" s="436"/>
      <c r="G783" s="286"/>
      <c r="H783" s="286"/>
      <c r="I783" s="286"/>
      <c r="J783" s="286"/>
      <c r="K783" s="286"/>
      <c r="L783" s="286"/>
      <c r="M783" s="286"/>
      <c r="N783" s="286"/>
      <c r="O783" s="286"/>
      <c r="P783" s="286"/>
      <c r="Q783" s="286"/>
      <c r="R783" s="286"/>
    </row>
    <row r="784">
      <c r="A784" s="286"/>
      <c r="B784" s="286"/>
      <c r="C784" s="286"/>
      <c r="D784" s="286"/>
      <c r="E784" s="286"/>
      <c r="F784" s="436"/>
      <c r="G784" s="286"/>
      <c r="H784" s="286"/>
      <c r="I784" s="286"/>
      <c r="J784" s="286"/>
      <c r="K784" s="286"/>
      <c r="L784" s="286"/>
      <c r="M784" s="286"/>
      <c r="N784" s="286"/>
      <c r="O784" s="286"/>
      <c r="P784" s="286"/>
      <c r="Q784" s="286"/>
      <c r="R784" s="286"/>
    </row>
    <row r="785">
      <c r="A785" s="286"/>
      <c r="B785" s="286"/>
      <c r="C785" s="286"/>
      <c r="D785" s="286"/>
      <c r="E785" s="286"/>
      <c r="F785" s="436"/>
      <c r="G785" s="286"/>
      <c r="H785" s="286"/>
      <c r="I785" s="286"/>
      <c r="J785" s="286"/>
      <c r="K785" s="286"/>
      <c r="L785" s="286"/>
      <c r="M785" s="286"/>
      <c r="N785" s="286"/>
      <c r="O785" s="286"/>
      <c r="P785" s="286"/>
      <c r="Q785" s="286"/>
      <c r="R785" s="286"/>
    </row>
    <row r="786">
      <c r="A786" s="286"/>
      <c r="B786" s="286"/>
      <c r="C786" s="286"/>
      <c r="D786" s="286"/>
      <c r="E786" s="286"/>
      <c r="F786" s="436"/>
      <c r="G786" s="286"/>
      <c r="H786" s="286"/>
      <c r="I786" s="286"/>
      <c r="J786" s="286"/>
      <c r="K786" s="286"/>
      <c r="L786" s="286"/>
      <c r="M786" s="286"/>
      <c r="N786" s="286"/>
      <c r="O786" s="286"/>
      <c r="P786" s="286"/>
      <c r="Q786" s="286"/>
      <c r="R786" s="286"/>
    </row>
    <row r="787">
      <c r="A787" s="286"/>
      <c r="B787" s="286"/>
      <c r="C787" s="286"/>
      <c r="D787" s="286"/>
      <c r="E787" s="286"/>
      <c r="F787" s="436"/>
      <c r="G787" s="286"/>
      <c r="H787" s="286"/>
      <c r="I787" s="286"/>
      <c r="J787" s="286"/>
      <c r="K787" s="286"/>
      <c r="L787" s="286"/>
      <c r="M787" s="286"/>
      <c r="N787" s="286"/>
      <c r="O787" s="286"/>
      <c r="P787" s="286"/>
      <c r="Q787" s="286"/>
      <c r="R787" s="286"/>
    </row>
    <row r="788">
      <c r="A788" s="286"/>
      <c r="B788" s="286"/>
      <c r="C788" s="286"/>
      <c r="D788" s="286"/>
      <c r="E788" s="286"/>
      <c r="F788" s="436"/>
      <c r="G788" s="286"/>
      <c r="H788" s="286"/>
      <c r="I788" s="286"/>
      <c r="J788" s="286"/>
      <c r="K788" s="286"/>
      <c r="L788" s="286"/>
      <c r="M788" s="286"/>
      <c r="N788" s="286"/>
      <c r="O788" s="286"/>
      <c r="P788" s="286"/>
      <c r="Q788" s="286"/>
      <c r="R788" s="286"/>
    </row>
    <row r="789">
      <c r="A789" s="286"/>
      <c r="B789" s="286"/>
      <c r="C789" s="286"/>
      <c r="D789" s="286"/>
      <c r="E789" s="286"/>
      <c r="F789" s="436"/>
      <c r="G789" s="286"/>
      <c r="H789" s="286"/>
      <c r="I789" s="286"/>
      <c r="J789" s="286"/>
      <c r="K789" s="286"/>
      <c r="L789" s="286"/>
      <c r="M789" s="286"/>
      <c r="N789" s="286"/>
      <c r="O789" s="286"/>
      <c r="P789" s="286"/>
      <c r="Q789" s="286"/>
      <c r="R789" s="286"/>
    </row>
    <row r="790">
      <c r="A790" s="286"/>
      <c r="B790" s="286"/>
      <c r="C790" s="286"/>
      <c r="D790" s="286"/>
      <c r="E790" s="286"/>
      <c r="F790" s="436"/>
      <c r="G790" s="286"/>
      <c r="H790" s="286"/>
      <c r="I790" s="286"/>
      <c r="J790" s="286"/>
      <c r="K790" s="286"/>
      <c r="L790" s="286"/>
      <c r="M790" s="286"/>
      <c r="N790" s="286"/>
      <c r="O790" s="286"/>
      <c r="P790" s="286"/>
      <c r="Q790" s="286"/>
      <c r="R790" s="286"/>
    </row>
    <row r="791">
      <c r="A791" s="286"/>
      <c r="B791" s="286"/>
      <c r="C791" s="286"/>
      <c r="D791" s="286"/>
      <c r="E791" s="286"/>
      <c r="F791" s="436"/>
      <c r="G791" s="286"/>
      <c r="H791" s="286"/>
      <c r="I791" s="286"/>
      <c r="J791" s="286"/>
      <c r="K791" s="286"/>
      <c r="L791" s="286"/>
      <c r="M791" s="286"/>
      <c r="N791" s="286"/>
      <c r="O791" s="286"/>
      <c r="P791" s="286"/>
      <c r="Q791" s="286"/>
      <c r="R791" s="286"/>
    </row>
    <row r="792">
      <c r="A792" s="286"/>
      <c r="B792" s="286"/>
      <c r="C792" s="286"/>
      <c r="D792" s="286"/>
      <c r="E792" s="286"/>
      <c r="F792" s="436"/>
      <c r="G792" s="286"/>
      <c r="H792" s="286"/>
      <c r="I792" s="286"/>
      <c r="J792" s="286"/>
      <c r="K792" s="286"/>
      <c r="L792" s="286"/>
      <c r="M792" s="286"/>
      <c r="N792" s="286"/>
      <c r="O792" s="286"/>
      <c r="P792" s="286"/>
      <c r="Q792" s="286"/>
      <c r="R792" s="286"/>
    </row>
    <row r="793">
      <c r="A793" s="286"/>
      <c r="B793" s="286"/>
      <c r="C793" s="286"/>
      <c r="D793" s="286"/>
      <c r="E793" s="286"/>
      <c r="F793" s="436"/>
      <c r="G793" s="286"/>
      <c r="H793" s="286"/>
      <c r="I793" s="286"/>
      <c r="J793" s="286"/>
      <c r="K793" s="286"/>
      <c r="L793" s="286"/>
      <c r="M793" s="286"/>
      <c r="N793" s="286"/>
      <c r="O793" s="286"/>
      <c r="P793" s="286"/>
      <c r="Q793" s="286"/>
      <c r="R793" s="286"/>
    </row>
    <row r="794">
      <c r="A794" s="286"/>
      <c r="B794" s="286"/>
      <c r="C794" s="286"/>
      <c r="D794" s="286"/>
      <c r="E794" s="286"/>
      <c r="F794" s="436"/>
      <c r="G794" s="286"/>
      <c r="H794" s="286"/>
      <c r="I794" s="286"/>
      <c r="J794" s="286"/>
      <c r="K794" s="286"/>
      <c r="L794" s="286"/>
      <c r="M794" s="286"/>
      <c r="N794" s="286"/>
      <c r="O794" s="286"/>
      <c r="P794" s="286"/>
      <c r="Q794" s="286"/>
      <c r="R794" s="286"/>
    </row>
    <row r="795">
      <c r="A795" s="286"/>
      <c r="B795" s="286"/>
      <c r="C795" s="286"/>
      <c r="D795" s="286"/>
      <c r="E795" s="286"/>
      <c r="F795" s="436"/>
      <c r="G795" s="286"/>
      <c r="H795" s="286"/>
      <c r="I795" s="286"/>
      <c r="J795" s="286"/>
      <c r="K795" s="286"/>
      <c r="L795" s="286"/>
      <c r="M795" s="286"/>
      <c r="N795" s="286"/>
      <c r="O795" s="286"/>
      <c r="P795" s="286"/>
      <c r="Q795" s="286"/>
      <c r="R795" s="286"/>
    </row>
    <row r="796">
      <c r="A796" s="286"/>
      <c r="B796" s="286"/>
      <c r="C796" s="286"/>
      <c r="D796" s="286"/>
      <c r="E796" s="286"/>
      <c r="F796" s="436"/>
      <c r="G796" s="286"/>
      <c r="H796" s="286"/>
      <c r="I796" s="286"/>
      <c r="J796" s="286"/>
      <c r="K796" s="286"/>
      <c r="L796" s="286"/>
      <c r="M796" s="286"/>
      <c r="N796" s="286"/>
      <c r="O796" s="286"/>
      <c r="P796" s="286"/>
      <c r="Q796" s="286"/>
      <c r="R796" s="286"/>
    </row>
    <row r="797">
      <c r="A797" s="286"/>
      <c r="B797" s="286"/>
      <c r="C797" s="286"/>
      <c r="D797" s="286"/>
      <c r="E797" s="286"/>
      <c r="F797" s="436"/>
      <c r="G797" s="286"/>
      <c r="H797" s="286"/>
      <c r="I797" s="286"/>
      <c r="J797" s="286"/>
      <c r="K797" s="286"/>
      <c r="L797" s="286"/>
      <c r="M797" s="286"/>
      <c r="N797" s="286"/>
      <c r="O797" s="286"/>
      <c r="P797" s="286"/>
      <c r="Q797" s="286"/>
      <c r="R797" s="286"/>
    </row>
    <row r="798">
      <c r="A798" s="286"/>
      <c r="B798" s="286"/>
      <c r="C798" s="286"/>
      <c r="D798" s="286"/>
      <c r="E798" s="286"/>
      <c r="F798" s="436"/>
      <c r="G798" s="286"/>
      <c r="H798" s="286"/>
      <c r="I798" s="286"/>
      <c r="J798" s="286"/>
      <c r="K798" s="286"/>
      <c r="L798" s="286"/>
      <c r="M798" s="286"/>
      <c r="N798" s="286"/>
      <c r="O798" s="286"/>
      <c r="P798" s="286"/>
      <c r="Q798" s="286"/>
      <c r="R798" s="286"/>
    </row>
    <row r="799">
      <c r="A799" s="286"/>
      <c r="B799" s="286"/>
      <c r="C799" s="286"/>
      <c r="D799" s="286"/>
      <c r="E799" s="286"/>
      <c r="F799" s="436"/>
      <c r="G799" s="286"/>
      <c r="H799" s="286"/>
      <c r="I799" s="286"/>
      <c r="J799" s="286"/>
      <c r="K799" s="286"/>
      <c r="L799" s="286"/>
      <c r="M799" s="286"/>
      <c r="N799" s="286"/>
      <c r="O799" s="286"/>
      <c r="P799" s="286"/>
      <c r="Q799" s="286"/>
      <c r="R799" s="286"/>
    </row>
    <row r="800">
      <c r="A800" s="286"/>
      <c r="B800" s="286"/>
      <c r="C800" s="286"/>
      <c r="D800" s="286"/>
      <c r="E800" s="286"/>
      <c r="F800" s="436"/>
      <c r="G800" s="286"/>
      <c r="H800" s="286"/>
      <c r="I800" s="286"/>
      <c r="J800" s="286"/>
      <c r="K800" s="286"/>
      <c r="L800" s="286"/>
      <c r="M800" s="286"/>
      <c r="N800" s="286"/>
      <c r="O800" s="286"/>
      <c r="P800" s="286"/>
      <c r="Q800" s="286"/>
      <c r="R800" s="286"/>
    </row>
    <row r="801">
      <c r="A801" s="286"/>
      <c r="B801" s="286"/>
      <c r="C801" s="286"/>
      <c r="D801" s="286"/>
      <c r="E801" s="286"/>
      <c r="F801" s="436"/>
      <c r="G801" s="286"/>
      <c r="H801" s="286"/>
      <c r="I801" s="286"/>
      <c r="J801" s="286"/>
      <c r="K801" s="286"/>
      <c r="L801" s="286"/>
      <c r="M801" s="286"/>
      <c r="N801" s="286"/>
      <c r="O801" s="286"/>
      <c r="P801" s="286"/>
      <c r="Q801" s="286"/>
      <c r="R801" s="286"/>
    </row>
    <row r="802">
      <c r="A802" s="286"/>
      <c r="B802" s="286"/>
      <c r="C802" s="286"/>
      <c r="D802" s="286"/>
      <c r="E802" s="286"/>
      <c r="F802" s="436"/>
      <c r="G802" s="286"/>
      <c r="H802" s="286"/>
      <c r="I802" s="286"/>
      <c r="J802" s="286"/>
      <c r="K802" s="286"/>
      <c r="L802" s="286"/>
      <c r="M802" s="286"/>
      <c r="N802" s="286"/>
      <c r="O802" s="286"/>
      <c r="P802" s="286"/>
      <c r="Q802" s="286"/>
      <c r="R802" s="286"/>
    </row>
    <row r="803">
      <c r="A803" s="286"/>
      <c r="B803" s="286"/>
      <c r="C803" s="286"/>
      <c r="D803" s="286"/>
      <c r="E803" s="286"/>
      <c r="F803" s="436"/>
      <c r="G803" s="286"/>
      <c r="H803" s="286"/>
      <c r="I803" s="286"/>
      <c r="J803" s="286"/>
      <c r="K803" s="286"/>
      <c r="L803" s="286"/>
      <c r="M803" s="286"/>
      <c r="N803" s="286"/>
      <c r="O803" s="286"/>
      <c r="P803" s="286"/>
      <c r="Q803" s="286"/>
      <c r="R803" s="286"/>
    </row>
    <row r="804">
      <c r="A804" s="286"/>
      <c r="B804" s="286"/>
      <c r="C804" s="286"/>
      <c r="D804" s="286"/>
      <c r="E804" s="286"/>
      <c r="F804" s="436"/>
      <c r="G804" s="286"/>
      <c r="H804" s="286"/>
      <c r="I804" s="286"/>
      <c r="J804" s="286"/>
      <c r="K804" s="286"/>
      <c r="L804" s="286"/>
      <c r="M804" s="286"/>
      <c r="N804" s="286"/>
      <c r="O804" s="286"/>
      <c r="P804" s="286"/>
      <c r="Q804" s="286"/>
      <c r="R804" s="286"/>
    </row>
    <row r="805">
      <c r="A805" s="286"/>
      <c r="B805" s="286"/>
      <c r="C805" s="286"/>
      <c r="D805" s="286"/>
      <c r="E805" s="286"/>
      <c r="F805" s="436"/>
      <c r="G805" s="286"/>
      <c r="H805" s="286"/>
      <c r="I805" s="286"/>
      <c r="J805" s="286"/>
      <c r="K805" s="286"/>
      <c r="L805" s="286"/>
      <c r="M805" s="286"/>
      <c r="N805" s="286"/>
      <c r="O805" s="286"/>
      <c r="P805" s="286"/>
      <c r="Q805" s="286"/>
      <c r="R805" s="286"/>
    </row>
    <row r="806">
      <c r="A806" s="286"/>
      <c r="B806" s="286"/>
      <c r="C806" s="286"/>
      <c r="D806" s="286"/>
      <c r="E806" s="286"/>
      <c r="F806" s="436"/>
      <c r="G806" s="286"/>
      <c r="H806" s="286"/>
      <c r="I806" s="286"/>
      <c r="J806" s="286"/>
      <c r="K806" s="286"/>
      <c r="L806" s="286"/>
      <c r="M806" s="286"/>
      <c r="N806" s="286"/>
      <c r="O806" s="286"/>
      <c r="P806" s="286"/>
      <c r="Q806" s="286"/>
      <c r="R806" s="286"/>
    </row>
    <row r="807">
      <c r="A807" s="286"/>
      <c r="B807" s="286"/>
      <c r="C807" s="286"/>
      <c r="D807" s="286"/>
      <c r="E807" s="286"/>
      <c r="F807" s="436"/>
      <c r="G807" s="286"/>
      <c r="H807" s="286"/>
      <c r="I807" s="286"/>
      <c r="J807" s="286"/>
      <c r="K807" s="286"/>
      <c r="L807" s="286"/>
      <c r="M807" s="286"/>
      <c r="N807" s="286"/>
      <c r="O807" s="286"/>
      <c r="P807" s="286"/>
      <c r="Q807" s="286"/>
      <c r="R807" s="286"/>
    </row>
    <row r="808">
      <c r="A808" s="286"/>
      <c r="B808" s="286"/>
      <c r="C808" s="286"/>
      <c r="D808" s="286"/>
      <c r="E808" s="286"/>
      <c r="F808" s="436"/>
      <c r="G808" s="286"/>
      <c r="H808" s="286"/>
      <c r="I808" s="286"/>
      <c r="J808" s="286"/>
      <c r="K808" s="286"/>
      <c r="L808" s="286"/>
      <c r="M808" s="286"/>
      <c r="N808" s="286"/>
      <c r="O808" s="286"/>
      <c r="P808" s="286"/>
      <c r="Q808" s="286"/>
      <c r="R808" s="286"/>
    </row>
    <row r="809">
      <c r="A809" s="286"/>
      <c r="B809" s="286"/>
      <c r="C809" s="286"/>
      <c r="D809" s="286"/>
      <c r="E809" s="286"/>
      <c r="F809" s="436"/>
      <c r="G809" s="286"/>
      <c r="H809" s="286"/>
      <c r="I809" s="286"/>
      <c r="J809" s="286"/>
      <c r="K809" s="286"/>
      <c r="L809" s="286"/>
      <c r="M809" s="286"/>
      <c r="N809" s="286"/>
      <c r="O809" s="286"/>
      <c r="P809" s="286"/>
      <c r="Q809" s="286"/>
      <c r="R809" s="286"/>
    </row>
    <row r="810">
      <c r="A810" s="286"/>
      <c r="B810" s="286"/>
      <c r="C810" s="286"/>
      <c r="D810" s="286"/>
      <c r="E810" s="286"/>
      <c r="F810" s="436"/>
      <c r="G810" s="286"/>
      <c r="H810" s="286"/>
      <c r="I810" s="286"/>
      <c r="J810" s="286"/>
      <c r="K810" s="286"/>
      <c r="L810" s="286"/>
      <c r="M810" s="286"/>
      <c r="N810" s="286"/>
      <c r="O810" s="286"/>
      <c r="P810" s="286"/>
      <c r="Q810" s="286"/>
      <c r="R810" s="286"/>
    </row>
    <row r="811">
      <c r="A811" s="286"/>
      <c r="B811" s="286"/>
      <c r="C811" s="286"/>
      <c r="D811" s="286"/>
      <c r="E811" s="286"/>
      <c r="F811" s="436"/>
      <c r="G811" s="286"/>
      <c r="H811" s="286"/>
      <c r="I811" s="286"/>
      <c r="J811" s="286"/>
      <c r="K811" s="286"/>
      <c r="L811" s="286"/>
      <c r="M811" s="286"/>
      <c r="N811" s="286"/>
      <c r="O811" s="286"/>
      <c r="P811" s="286"/>
      <c r="Q811" s="286"/>
      <c r="R811" s="286"/>
    </row>
    <row r="812">
      <c r="A812" s="286"/>
      <c r="B812" s="286"/>
      <c r="C812" s="286"/>
      <c r="D812" s="286"/>
      <c r="E812" s="286"/>
      <c r="F812" s="436"/>
      <c r="G812" s="286"/>
      <c r="H812" s="286"/>
      <c r="I812" s="286"/>
      <c r="J812" s="286"/>
      <c r="K812" s="286"/>
      <c r="L812" s="286"/>
      <c r="M812" s="286"/>
      <c r="N812" s="286"/>
      <c r="O812" s="286"/>
      <c r="P812" s="286"/>
      <c r="Q812" s="286"/>
      <c r="R812" s="286"/>
    </row>
    <row r="813">
      <c r="A813" s="286"/>
      <c r="B813" s="286"/>
      <c r="C813" s="286"/>
      <c r="D813" s="286"/>
      <c r="E813" s="286"/>
      <c r="F813" s="436"/>
      <c r="G813" s="286"/>
      <c r="H813" s="286"/>
      <c r="I813" s="286"/>
      <c r="J813" s="286"/>
      <c r="K813" s="286"/>
      <c r="L813" s="286"/>
      <c r="M813" s="286"/>
      <c r="N813" s="286"/>
      <c r="O813" s="286"/>
      <c r="P813" s="286"/>
      <c r="Q813" s="286"/>
      <c r="R813" s="286"/>
    </row>
    <row r="814">
      <c r="A814" s="286"/>
      <c r="B814" s="286"/>
      <c r="C814" s="286"/>
      <c r="D814" s="286"/>
      <c r="E814" s="286"/>
      <c r="F814" s="436"/>
      <c r="G814" s="286"/>
      <c r="H814" s="286"/>
      <c r="I814" s="286"/>
      <c r="J814" s="286"/>
      <c r="K814" s="286"/>
      <c r="L814" s="286"/>
      <c r="M814" s="286"/>
      <c r="N814" s="286"/>
      <c r="O814" s="286"/>
      <c r="P814" s="286"/>
      <c r="Q814" s="286"/>
      <c r="R814" s="286"/>
    </row>
    <row r="815">
      <c r="A815" s="286"/>
      <c r="B815" s="286"/>
      <c r="C815" s="286"/>
      <c r="D815" s="286"/>
      <c r="E815" s="286"/>
      <c r="F815" s="436"/>
      <c r="G815" s="286"/>
      <c r="H815" s="286"/>
      <c r="I815" s="286"/>
      <c r="J815" s="286"/>
      <c r="K815" s="286"/>
      <c r="L815" s="286"/>
      <c r="M815" s="286"/>
      <c r="N815" s="286"/>
      <c r="O815" s="286"/>
      <c r="P815" s="286"/>
      <c r="Q815" s="286"/>
      <c r="R815" s="286"/>
    </row>
    <row r="816">
      <c r="A816" s="286"/>
      <c r="B816" s="286"/>
      <c r="C816" s="286"/>
      <c r="D816" s="286"/>
      <c r="E816" s="286"/>
      <c r="F816" s="436"/>
      <c r="G816" s="286"/>
      <c r="H816" s="286"/>
      <c r="I816" s="286"/>
      <c r="J816" s="286"/>
      <c r="K816" s="286"/>
      <c r="L816" s="286"/>
      <c r="M816" s="286"/>
      <c r="N816" s="286"/>
      <c r="O816" s="286"/>
      <c r="P816" s="286"/>
      <c r="Q816" s="286"/>
      <c r="R816" s="286"/>
    </row>
    <row r="817">
      <c r="A817" s="286"/>
      <c r="B817" s="286"/>
      <c r="C817" s="286"/>
      <c r="D817" s="286"/>
      <c r="E817" s="286"/>
      <c r="F817" s="436"/>
      <c r="G817" s="286"/>
      <c r="H817" s="286"/>
      <c r="I817" s="286"/>
      <c r="J817" s="286"/>
      <c r="K817" s="286"/>
      <c r="L817" s="286"/>
      <c r="M817" s="286"/>
      <c r="N817" s="286"/>
      <c r="O817" s="286"/>
      <c r="P817" s="286"/>
      <c r="Q817" s="286"/>
      <c r="R817" s="286"/>
    </row>
    <row r="818">
      <c r="A818" s="286"/>
      <c r="B818" s="286"/>
      <c r="C818" s="286"/>
      <c r="D818" s="286"/>
      <c r="E818" s="286"/>
      <c r="F818" s="436"/>
      <c r="G818" s="286"/>
      <c r="H818" s="286"/>
      <c r="I818" s="286"/>
      <c r="J818" s="286"/>
      <c r="K818" s="286"/>
      <c r="L818" s="286"/>
      <c r="M818" s="286"/>
      <c r="N818" s="286"/>
      <c r="O818" s="286"/>
      <c r="P818" s="286"/>
      <c r="Q818" s="286"/>
      <c r="R818" s="286"/>
    </row>
    <row r="819">
      <c r="A819" s="286"/>
      <c r="B819" s="286"/>
      <c r="C819" s="286"/>
      <c r="D819" s="286"/>
      <c r="E819" s="286"/>
      <c r="F819" s="436"/>
      <c r="G819" s="286"/>
      <c r="H819" s="286"/>
      <c r="I819" s="286"/>
      <c r="J819" s="286"/>
      <c r="K819" s="286"/>
      <c r="L819" s="286"/>
      <c r="M819" s="286"/>
      <c r="N819" s="286"/>
      <c r="O819" s="286"/>
      <c r="P819" s="286"/>
      <c r="Q819" s="286"/>
      <c r="R819" s="286"/>
    </row>
    <row r="820">
      <c r="A820" s="286"/>
      <c r="B820" s="286"/>
      <c r="C820" s="286"/>
      <c r="D820" s="286"/>
      <c r="E820" s="286"/>
      <c r="F820" s="436"/>
      <c r="G820" s="286"/>
      <c r="H820" s="286"/>
      <c r="I820" s="286"/>
      <c r="J820" s="286"/>
      <c r="K820" s="286"/>
      <c r="L820" s="286"/>
      <c r="M820" s="286"/>
      <c r="N820" s="286"/>
      <c r="O820" s="286"/>
      <c r="P820" s="286"/>
      <c r="Q820" s="286"/>
      <c r="R820" s="286"/>
    </row>
    <row r="821">
      <c r="A821" s="286"/>
      <c r="B821" s="286"/>
      <c r="C821" s="286"/>
      <c r="D821" s="286"/>
      <c r="E821" s="286"/>
      <c r="F821" s="436"/>
      <c r="G821" s="286"/>
      <c r="H821" s="286"/>
      <c r="I821" s="286"/>
      <c r="J821" s="286"/>
      <c r="K821" s="286"/>
      <c r="L821" s="286"/>
      <c r="M821" s="286"/>
      <c r="N821" s="286"/>
      <c r="O821" s="286"/>
      <c r="P821" s="286"/>
      <c r="Q821" s="286"/>
      <c r="R821" s="286"/>
    </row>
    <row r="822">
      <c r="A822" s="286"/>
      <c r="B822" s="286"/>
      <c r="C822" s="286"/>
      <c r="D822" s="286"/>
      <c r="E822" s="286"/>
      <c r="F822" s="436"/>
      <c r="G822" s="286"/>
      <c r="H822" s="286"/>
      <c r="I822" s="286"/>
      <c r="J822" s="286"/>
      <c r="K822" s="286"/>
      <c r="L822" s="286"/>
      <c r="M822" s="286"/>
      <c r="N822" s="286"/>
      <c r="O822" s="286"/>
      <c r="P822" s="286"/>
      <c r="Q822" s="286"/>
      <c r="R822" s="286"/>
    </row>
    <row r="823">
      <c r="A823" s="286"/>
      <c r="B823" s="286"/>
      <c r="C823" s="286"/>
      <c r="D823" s="286"/>
      <c r="E823" s="286"/>
      <c r="F823" s="436"/>
      <c r="G823" s="286"/>
      <c r="H823" s="286"/>
      <c r="I823" s="286"/>
      <c r="J823" s="286"/>
      <c r="K823" s="286"/>
      <c r="L823" s="286"/>
      <c r="M823" s="286"/>
      <c r="N823" s="286"/>
      <c r="O823" s="286"/>
      <c r="P823" s="286"/>
      <c r="Q823" s="286"/>
      <c r="R823" s="286"/>
    </row>
    <row r="824">
      <c r="A824" s="286"/>
      <c r="B824" s="286"/>
      <c r="C824" s="286"/>
      <c r="D824" s="286"/>
      <c r="E824" s="286"/>
      <c r="F824" s="436"/>
      <c r="G824" s="286"/>
      <c r="H824" s="286"/>
      <c r="I824" s="286"/>
      <c r="J824" s="286"/>
      <c r="K824" s="286"/>
      <c r="L824" s="286"/>
      <c r="M824" s="286"/>
      <c r="N824" s="286"/>
      <c r="O824" s="286"/>
      <c r="P824" s="286"/>
      <c r="Q824" s="286"/>
      <c r="R824" s="286"/>
    </row>
    <row r="825">
      <c r="A825" s="286"/>
      <c r="B825" s="286"/>
      <c r="C825" s="286"/>
      <c r="D825" s="286"/>
      <c r="E825" s="286"/>
      <c r="F825" s="436"/>
      <c r="G825" s="286"/>
      <c r="H825" s="286"/>
      <c r="I825" s="286"/>
      <c r="J825" s="286"/>
      <c r="K825" s="286"/>
      <c r="L825" s="286"/>
      <c r="M825" s="286"/>
      <c r="N825" s="286"/>
      <c r="O825" s="286"/>
      <c r="P825" s="286"/>
      <c r="Q825" s="286"/>
      <c r="R825" s="286"/>
    </row>
    <row r="826">
      <c r="A826" s="286"/>
      <c r="B826" s="286"/>
      <c r="C826" s="286"/>
      <c r="D826" s="286"/>
      <c r="E826" s="286"/>
      <c r="F826" s="436"/>
      <c r="G826" s="286"/>
      <c r="H826" s="286"/>
      <c r="I826" s="286"/>
      <c r="J826" s="286"/>
      <c r="K826" s="286"/>
      <c r="L826" s="286"/>
      <c r="M826" s="286"/>
      <c r="N826" s="286"/>
      <c r="O826" s="286"/>
      <c r="P826" s="286"/>
      <c r="Q826" s="286"/>
      <c r="R826" s="286"/>
    </row>
    <row r="827">
      <c r="A827" s="286"/>
      <c r="B827" s="286"/>
      <c r="C827" s="286"/>
      <c r="D827" s="286"/>
      <c r="E827" s="286"/>
      <c r="F827" s="436"/>
      <c r="G827" s="286"/>
      <c r="H827" s="286"/>
      <c r="I827" s="286"/>
      <c r="J827" s="286"/>
      <c r="K827" s="286"/>
      <c r="L827" s="286"/>
      <c r="M827" s="286"/>
      <c r="N827" s="286"/>
      <c r="O827" s="286"/>
      <c r="P827" s="286"/>
      <c r="Q827" s="286"/>
      <c r="R827" s="286"/>
    </row>
    <row r="828">
      <c r="A828" s="286"/>
      <c r="B828" s="286"/>
      <c r="C828" s="286"/>
      <c r="D828" s="286"/>
      <c r="E828" s="286"/>
      <c r="F828" s="436"/>
      <c r="G828" s="286"/>
      <c r="H828" s="286"/>
      <c r="I828" s="286"/>
      <c r="J828" s="286"/>
      <c r="K828" s="286"/>
      <c r="L828" s="286"/>
      <c r="M828" s="286"/>
      <c r="N828" s="286"/>
      <c r="O828" s="286"/>
      <c r="P828" s="286"/>
      <c r="Q828" s="286"/>
      <c r="R828" s="286"/>
    </row>
    <row r="829">
      <c r="A829" s="286"/>
      <c r="B829" s="286"/>
      <c r="C829" s="286"/>
      <c r="D829" s="286"/>
      <c r="E829" s="286"/>
      <c r="F829" s="436"/>
      <c r="G829" s="286"/>
      <c r="H829" s="286"/>
      <c r="I829" s="286"/>
      <c r="J829" s="286"/>
      <c r="K829" s="286"/>
      <c r="L829" s="286"/>
      <c r="M829" s="286"/>
      <c r="N829" s="286"/>
      <c r="O829" s="286"/>
      <c r="P829" s="286"/>
      <c r="Q829" s="286"/>
      <c r="R829" s="286"/>
    </row>
    <row r="830">
      <c r="A830" s="286"/>
      <c r="B830" s="286"/>
      <c r="C830" s="286"/>
      <c r="D830" s="286"/>
      <c r="E830" s="286"/>
      <c r="F830" s="436"/>
      <c r="G830" s="286"/>
      <c r="H830" s="286"/>
      <c r="I830" s="286"/>
      <c r="J830" s="286"/>
      <c r="K830" s="286"/>
      <c r="L830" s="286"/>
      <c r="M830" s="286"/>
      <c r="N830" s="286"/>
      <c r="O830" s="286"/>
      <c r="P830" s="286"/>
      <c r="Q830" s="286"/>
      <c r="R830" s="286"/>
    </row>
    <row r="831">
      <c r="A831" s="286"/>
      <c r="B831" s="286"/>
      <c r="C831" s="286"/>
      <c r="D831" s="286"/>
      <c r="E831" s="286"/>
      <c r="F831" s="436"/>
      <c r="G831" s="286"/>
      <c r="H831" s="286"/>
      <c r="I831" s="286"/>
      <c r="J831" s="286"/>
      <c r="K831" s="286"/>
      <c r="L831" s="286"/>
      <c r="M831" s="286"/>
      <c r="N831" s="286"/>
      <c r="O831" s="286"/>
      <c r="P831" s="286"/>
      <c r="Q831" s="286"/>
      <c r="R831" s="286"/>
    </row>
    <row r="832">
      <c r="A832" s="286"/>
      <c r="B832" s="286"/>
      <c r="C832" s="286"/>
      <c r="D832" s="286"/>
      <c r="E832" s="286"/>
      <c r="F832" s="436"/>
      <c r="G832" s="286"/>
      <c r="H832" s="286"/>
      <c r="I832" s="286"/>
      <c r="J832" s="286"/>
      <c r="K832" s="286"/>
      <c r="L832" s="286"/>
      <c r="M832" s="286"/>
      <c r="N832" s="286"/>
      <c r="O832" s="286"/>
      <c r="P832" s="286"/>
      <c r="Q832" s="286"/>
      <c r="R832" s="286"/>
    </row>
    <row r="833">
      <c r="A833" s="286"/>
      <c r="B833" s="286"/>
      <c r="C833" s="286"/>
      <c r="D833" s="286"/>
      <c r="E833" s="286"/>
      <c r="F833" s="436"/>
      <c r="G833" s="286"/>
      <c r="H833" s="286"/>
      <c r="I833" s="286"/>
      <c r="J833" s="286"/>
      <c r="K833" s="286"/>
      <c r="L833" s="286"/>
      <c r="M833" s="286"/>
      <c r="N833" s="286"/>
      <c r="O833" s="286"/>
      <c r="P833" s="286"/>
      <c r="Q833" s="286"/>
      <c r="R833" s="286"/>
    </row>
    <row r="834">
      <c r="A834" s="286"/>
      <c r="B834" s="286"/>
      <c r="C834" s="286"/>
      <c r="D834" s="286"/>
      <c r="E834" s="286"/>
      <c r="F834" s="436"/>
      <c r="G834" s="286"/>
      <c r="H834" s="286"/>
      <c r="I834" s="286"/>
      <c r="J834" s="286"/>
      <c r="K834" s="286"/>
      <c r="L834" s="286"/>
      <c r="M834" s="286"/>
      <c r="N834" s="286"/>
      <c r="O834" s="286"/>
      <c r="P834" s="286"/>
      <c r="Q834" s="286"/>
      <c r="R834" s="286"/>
    </row>
    <row r="835">
      <c r="A835" s="286"/>
      <c r="B835" s="286"/>
      <c r="C835" s="286"/>
      <c r="D835" s="286"/>
      <c r="E835" s="286"/>
      <c r="F835" s="436"/>
      <c r="G835" s="286"/>
      <c r="H835" s="286"/>
      <c r="I835" s="286"/>
      <c r="J835" s="286"/>
      <c r="K835" s="286"/>
      <c r="L835" s="286"/>
      <c r="M835" s="286"/>
      <c r="N835" s="286"/>
      <c r="O835" s="286"/>
      <c r="P835" s="286"/>
      <c r="Q835" s="286"/>
      <c r="R835" s="286"/>
    </row>
    <row r="836">
      <c r="A836" s="286"/>
      <c r="B836" s="286"/>
      <c r="C836" s="286"/>
      <c r="D836" s="286"/>
      <c r="E836" s="286"/>
      <c r="F836" s="436"/>
      <c r="G836" s="286"/>
      <c r="H836" s="286"/>
      <c r="I836" s="286"/>
      <c r="J836" s="286"/>
      <c r="K836" s="286"/>
      <c r="L836" s="286"/>
      <c r="M836" s="286"/>
      <c r="N836" s="286"/>
      <c r="O836" s="286"/>
      <c r="P836" s="286"/>
      <c r="Q836" s="286"/>
      <c r="R836" s="286"/>
    </row>
    <row r="837">
      <c r="A837" s="286"/>
      <c r="B837" s="286"/>
      <c r="C837" s="286"/>
      <c r="D837" s="286"/>
      <c r="E837" s="286"/>
      <c r="F837" s="436"/>
      <c r="G837" s="286"/>
      <c r="H837" s="286"/>
      <c r="I837" s="286"/>
      <c r="J837" s="286"/>
      <c r="K837" s="286"/>
      <c r="L837" s="286"/>
      <c r="M837" s="286"/>
      <c r="N837" s="286"/>
      <c r="O837" s="286"/>
      <c r="P837" s="286"/>
      <c r="Q837" s="286"/>
      <c r="R837" s="286"/>
    </row>
    <row r="838">
      <c r="A838" s="286"/>
      <c r="B838" s="286"/>
      <c r="C838" s="286"/>
      <c r="D838" s="286"/>
      <c r="E838" s="286"/>
      <c r="F838" s="436"/>
      <c r="G838" s="286"/>
      <c r="H838" s="286"/>
      <c r="I838" s="286"/>
      <c r="J838" s="286"/>
      <c r="K838" s="286"/>
      <c r="L838" s="286"/>
      <c r="M838" s="286"/>
      <c r="N838" s="286"/>
      <c r="O838" s="286"/>
      <c r="P838" s="286"/>
      <c r="Q838" s="286"/>
      <c r="R838" s="286"/>
    </row>
    <row r="839">
      <c r="A839" s="286"/>
      <c r="B839" s="286"/>
      <c r="C839" s="286"/>
      <c r="D839" s="286"/>
      <c r="E839" s="286"/>
      <c r="F839" s="436"/>
      <c r="G839" s="286"/>
      <c r="H839" s="286"/>
      <c r="I839" s="286"/>
      <c r="J839" s="286"/>
      <c r="K839" s="286"/>
      <c r="L839" s="286"/>
      <c r="M839" s="286"/>
      <c r="N839" s="286"/>
      <c r="O839" s="286"/>
      <c r="P839" s="286"/>
      <c r="Q839" s="286"/>
      <c r="R839" s="286"/>
    </row>
    <row r="840">
      <c r="A840" s="286"/>
      <c r="B840" s="286"/>
      <c r="C840" s="286"/>
      <c r="D840" s="286"/>
      <c r="E840" s="286"/>
      <c r="F840" s="436"/>
      <c r="G840" s="286"/>
      <c r="H840" s="286"/>
      <c r="I840" s="286"/>
      <c r="J840" s="286"/>
      <c r="K840" s="286"/>
      <c r="L840" s="286"/>
      <c r="M840" s="286"/>
      <c r="N840" s="286"/>
      <c r="O840" s="286"/>
      <c r="P840" s="286"/>
      <c r="Q840" s="286"/>
      <c r="R840" s="286"/>
    </row>
    <row r="841">
      <c r="A841" s="286"/>
      <c r="B841" s="286"/>
      <c r="C841" s="286"/>
      <c r="D841" s="286"/>
      <c r="E841" s="286"/>
      <c r="F841" s="436"/>
      <c r="G841" s="286"/>
      <c r="H841" s="286"/>
      <c r="I841" s="286"/>
      <c r="J841" s="286"/>
      <c r="K841" s="286"/>
      <c r="L841" s="286"/>
      <c r="M841" s="286"/>
      <c r="N841" s="286"/>
      <c r="O841" s="286"/>
      <c r="P841" s="286"/>
      <c r="Q841" s="286"/>
      <c r="R841" s="286"/>
    </row>
    <row r="842">
      <c r="A842" s="286"/>
      <c r="B842" s="286"/>
      <c r="C842" s="286"/>
      <c r="D842" s="286"/>
      <c r="E842" s="286"/>
      <c r="F842" s="436"/>
      <c r="G842" s="286"/>
      <c r="H842" s="286"/>
      <c r="I842" s="286"/>
      <c r="J842" s="286"/>
      <c r="K842" s="286"/>
      <c r="L842" s="286"/>
      <c r="M842" s="286"/>
      <c r="N842" s="286"/>
      <c r="O842" s="286"/>
      <c r="P842" s="286"/>
      <c r="Q842" s="286"/>
      <c r="R842" s="286"/>
    </row>
    <row r="843">
      <c r="A843" s="286"/>
      <c r="B843" s="286"/>
      <c r="C843" s="286"/>
      <c r="D843" s="286"/>
      <c r="E843" s="286"/>
      <c r="F843" s="436"/>
      <c r="G843" s="286"/>
      <c r="H843" s="286"/>
      <c r="I843" s="286"/>
      <c r="J843" s="286"/>
      <c r="K843" s="286"/>
      <c r="L843" s="286"/>
      <c r="M843" s="286"/>
      <c r="N843" s="286"/>
      <c r="O843" s="286"/>
      <c r="P843" s="286"/>
      <c r="Q843" s="286"/>
      <c r="R843" s="286"/>
    </row>
    <row r="844">
      <c r="A844" s="286"/>
      <c r="B844" s="286"/>
      <c r="C844" s="286"/>
      <c r="D844" s="286"/>
      <c r="E844" s="286"/>
      <c r="F844" s="436"/>
      <c r="G844" s="286"/>
      <c r="H844" s="286"/>
      <c r="I844" s="286"/>
      <c r="J844" s="286"/>
      <c r="K844" s="286"/>
      <c r="L844" s="286"/>
      <c r="M844" s="286"/>
      <c r="N844" s="286"/>
      <c r="O844" s="286"/>
      <c r="P844" s="286"/>
      <c r="Q844" s="286"/>
      <c r="R844" s="286"/>
    </row>
    <row r="845">
      <c r="A845" s="286"/>
      <c r="B845" s="286"/>
      <c r="C845" s="286"/>
      <c r="D845" s="286"/>
      <c r="E845" s="286"/>
      <c r="F845" s="436"/>
      <c r="G845" s="286"/>
      <c r="H845" s="286"/>
      <c r="I845" s="286"/>
      <c r="J845" s="286"/>
      <c r="K845" s="286"/>
      <c r="L845" s="286"/>
      <c r="M845" s="286"/>
      <c r="N845" s="286"/>
      <c r="O845" s="286"/>
      <c r="P845" s="286"/>
      <c r="Q845" s="286"/>
      <c r="R845" s="286"/>
    </row>
    <row r="846">
      <c r="A846" s="286"/>
      <c r="B846" s="286"/>
      <c r="C846" s="286"/>
      <c r="D846" s="286"/>
      <c r="E846" s="286"/>
      <c r="F846" s="436"/>
      <c r="G846" s="286"/>
      <c r="H846" s="286"/>
      <c r="I846" s="286"/>
      <c r="J846" s="286"/>
      <c r="K846" s="286"/>
      <c r="L846" s="286"/>
      <c r="M846" s="286"/>
      <c r="N846" s="286"/>
      <c r="O846" s="286"/>
      <c r="P846" s="286"/>
      <c r="Q846" s="286"/>
      <c r="R846" s="286"/>
    </row>
    <row r="847">
      <c r="A847" s="286"/>
      <c r="B847" s="286"/>
      <c r="C847" s="286"/>
      <c r="D847" s="286"/>
      <c r="E847" s="286"/>
      <c r="F847" s="436"/>
      <c r="G847" s="286"/>
      <c r="H847" s="286"/>
      <c r="I847" s="286"/>
      <c r="J847" s="286"/>
      <c r="K847" s="286"/>
      <c r="L847" s="286"/>
      <c r="M847" s="286"/>
      <c r="N847" s="286"/>
      <c r="O847" s="286"/>
      <c r="P847" s="286"/>
      <c r="Q847" s="286"/>
      <c r="R847" s="286"/>
    </row>
    <row r="848">
      <c r="A848" s="286"/>
      <c r="B848" s="286"/>
      <c r="C848" s="286"/>
      <c r="D848" s="286"/>
      <c r="E848" s="286"/>
      <c r="F848" s="436"/>
      <c r="G848" s="286"/>
      <c r="H848" s="286"/>
      <c r="I848" s="286"/>
      <c r="J848" s="286"/>
      <c r="K848" s="286"/>
      <c r="L848" s="286"/>
      <c r="M848" s="286"/>
      <c r="N848" s="286"/>
      <c r="O848" s="286"/>
      <c r="P848" s="286"/>
      <c r="Q848" s="286"/>
      <c r="R848" s="286"/>
    </row>
    <row r="849">
      <c r="A849" s="286"/>
      <c r="B849" s="286"/>
      <c r="C849" s="286"/>
      <c r="D849" s="286"/>
      <c r="E849" s="286"/>
      <c r="F849" s="436"/>
      <c r="G849" s="286"/>
      <c r="H849" s="286"/>
      <c r="I849" s="286"/>
      <c r="J849" s="286"/>
      <c r="K849" s="286"/>
      <c r="L849" s="286"/>
      <c r="M849" s="286"/>
      <c r="N849" s="286"/>
      <c r="O849" s="286"/>
      <c r="P849" s="286"/>
      <c r="Q849" s="286"/>
      <c r="R849" s="286"/>
    </row>
    <row r="850">
      <c r="A850" s="286"/>
      <c r="B850" s="286"/>
      <c r="C850" s="286"/>
      <c r="D850" s="286"/>
      <c r="E850" s="286"/>
      <c r="F850" s="436"/>
      <c r="G850" s="286"/>
      <c r="H850" s="286"/>
      <c r="I850" s="286"/>
      <c r="J850" s="286"/>
      <c r="K850" s="286"/>
      <c r="L850" s="286"/>
      <c r="M850" s="286"/>
      <c r="N850" s="286"/>
      <c r="O850" s="286"/>
      <c r="P850" s="286"/>
      <c r="Q850" s="286"/>
      <c r="R850" s="286"/>
    </row>
    <row r="851">
      <c r="A851" s="286"/>
      <c r="B851" s="286"/>
      <c r="C851" s="286"/>
      <c r="D851" s="286"/>
      <c r="E851" s="286"/>
      <c r="F851" s="436"/>
      <c r="G851" s="286"/>
      <c r="H851" s="286"/>
      <c r="I851" s="286"/>
      <c r="J851" s="286"/>
      <c r="K851" s="286"/>
      <c r="L851" s="286"/>
      <c r="M851" s="286"/>
      <c r="N851" s="286"/>
      <c r="O851" s="286"/>
      <c r="P851" s="286"/>
      <c r="Q851" s="286"/>
      <c r="R851" s="286"/>
    </row>
    <row r="852">
      <c r="A852" s="286"/>
      <c r="B852" s="286"/>
      <c r="C852" s="286"/>
      <c r="D852" s="286"/>
      <c r="E852" s="286"/>
      <c r="F852" s="436"/>
      <c r="G852" s="286"/>
      <c r="H852" s="286"/>
      <c r="I852" s="286"/>
      <c r="J852" s="286"/>
      <c r="K852" s="286"/>
      <c r="L852" s="286"/>
      <c r="M852" s="286"/>
      <c r="N852" s="286"/>
      <c r="O852" s="286"/>
      <c r="P852" s="286"/>
      <c r="Q852" s="286"/>
      <c r="R852" s="286"/>
    </row>
    <row r="853">
      <c r="A853" s="286"/>
      <c r="B853" s="286"/>
      <c r="C853" s="286"/>
      <c r="D853" s="286"/>
      <c r="E853" s="286"/>
      <c r="F853" s="436"/>
      <c r="G853" s="286"/>
      <c r="H853" s="286"/>
      <c r="I853" s="286"/>
      <c r="J853" s="286"/>
      <c r="K853" s="286"/>
      <c r="L853" s="286"/>
      <c r="M853" s="286"/>
      <c r="N853" s="286"/>
      <c r="O853" s="286"/>
      <c r="P853" s="286"/>
      <c r="Q853" s="286"/>
      <c r="R853" s="286"/>
    </row>
    <row r="854">
      <c r="A854" s="286"/>
      <c r="B854" s="286"/>
      <c r="C854" s="286"/>
      <c r="D854" s="286"/>
      <c r="E854" s="286"/>
      <c r="F854" s="436"/>
      <c r="G854" s="286"/>
      <c r="H854" s="286"/>
      <c r="I854" s="286"/>
      <c r="J854" s="286"/>
      <c r="K854" s="286"/>
      <c r="L854" s="286"/>
      <c r="M854" s="286"/>
      <c r="N854" s="286"/>
      <c r="O854" s="286"/>
      <c r="P854" s="286"/>
      <c r="Q854" s="286"/>
      <c r="R854" s="286"/>
    </row>
    <row r="855">
      <c r="A855" s="286"/>
      <c r="B855" s="286"/>
      <c r="C855" s="286"/>
      <c r="D855" s="286"/>
      <c r="E855" s="286"/>
      <c r="F855" s="436"/>
      <c r="G855" s="286"/>
      <c r="H855" s="286"/>
      <c r="I855" s="286"/>
      <c r="J855" s="286"/>
      <c r="K855" s="286"/>
      <c r="L855" s="286"/>
      <c r="M855" s="286"/>
      <c r="N855" s="286"/>
      <c r="O855" s="286"/>
      <c r="P855" s="286"/>
      <c r="Q855" s="286"/>
      <c r="R855" s="286"/>
    </row>
    <row r="856">
      <c r="A856" s="286"/>
      <c r="B856" s="286"/>
      <c r="C856" s="286"/>
      <c r="D856" s="286"/>
      <c r="E856" s="286"/>
      <c r="F856" s="436"/>
      <c r="G856" s="286"/>
      <c r="H856" s="286"/>
      <c r="I856" s="286"/>
      <c r="J856" s="286"/>
      <c r="K856" s="286"/>
      <c r="L856" s="286"/>
      <c r="M856" s="286"/>
      <c r="N856" s="286"/>
      <c r="O856" s="286"/>
      <c r="P856" s="286"/>
      <c r="Q856" s="286"/>
      <c r="R856" s="286"/>
    </row>
    <row r="857">
      <c r="A857" s="286"/>
      <c r="B857" s="286"/>
      <c r="C857" s="286"/>
      <c r="D857" s="286"/>
      <c r="E857" s="286"/>
      <c r="F857" s="436"/>
      <c r="G857" s="286"/>
      <c r="H857" s="286"/>
      <c r="I857" s="286"/>
      <c r="J857" s="286"/>
      <c r="K857" s="286"/>
      <c r="L857" s="286"/>
      <c r="M857" s="286"/>
      <c r="N857" s="286"/>
      <c r="O857" s="286"/>
      <c r="P857" s="286"/>
      <c r="Q857" s="286"/>
      <c r="R857" s="286"/>
    </row>
    <row r="858">
      <c r="A858" s="286"/>
      <c r="B858" s="286"/>
      <c r="C858" s="286"/>
      <c r="D858" s="286"/>
      <c r="E858" s="286"/>
      <c r="F858" s="436"/>
      <c r="G858" s="286"/>
      <c r="H858" s="286"/>
      <c r="I858" s="286"/>
      <c r="J858" s="286"/>
      <c r="K858" s="286"/>
      <c r="L858" s="286"/>
      <c r="M858" s="286"/>
      <c r="N858" s="286"/>
      <c r="O858" s="286"/>
      <c r="P858" s="286"/>
      <c r="Q858" s="286"/>
      <c r="R858" s="286"/>
    </row>
    <row r="859">
      <c r="A859" s="286"/>
      <c r="B859" s="286"/>
      <c r="C859" s="286"/>
      <c r="D859" s="286"/>
      <c r="E859" s="286"/>
      <c r="F859" s="436"/>
      <c r="G859" s="286"/>
      <c r="H859" s="286"/>
      <c r="I859" s="286"/>
      <c r="J859" s="286"/>
      <c r="K859" s="286"/>
      <c r="L859" s="286"/>
      <c r="M859" s="286"/>
      <c r="N859" s="286"/>
      <c r="O859" s="286"/>
      <c r="P859" s="286"/>
      <c r="Q859" s="286"/>
      <c r="R859" s="286"/>
    </row>
    <row r="860">
      <c r="A860" s="286"/>
      <c r="B860" s="286"/>
      <c r="C860" s="286"/>
      <c r="D860" s="286"/>
      <c r="E860" s="286"/>
      <c r="F860" s="436"/>
      <c r="G860" s="286"/>
      <c r="H860" s="286"/>
      <c r="I860" s="286"/>
      <c r="J860" s="286"/>
      <c r="K860" s="286"/>
      <c r="L860" s="286"/>
      <c r="M860" s="286"/>
      <c r="N860" s="286"/>
      <c r="O860" s="286"/>
      <c r="P860" s="286"/>
      <c r="Q860" s="286"/>
      <c r="R860" s="286"/>
    </row>
    <row r="861">
      <c r="A861" s="286"/>
      <c r="B861" s="286"/>
      <c r="C861" s="286"/>
      <c r="D861" s="286"/>
      <c r="E861" s="286"/>
      <c r="F861" s="436"/>
      <c r="G861" s="286"/>
      <c r="H861" s="286"/>
      <c r="I861" s="286"/>
      <c r="J861" s="286"/>
      <c r="K861" s="286"/>
      <c r="L861" s="286"/>
      <c r="M861" s="286"/>
      <c r="N861" s="286"/>
      <c r="O861" s="286"/>
      <c r="P861" s="286"/>
      <c r="Q861" s="286"/>
      <c r="R861" s="286"/>
    </row>
    <row r="862">
      <c r="A862" s="286"/>
      <c r="B862" s="286"/>
      <c r="C862" s="286"/>
      <c r="D862" s="286"/>
      <c r="E862" s="286"/>
      <c r="F862" s="436"/>
      <c r="G862" s="286"/>
      <c r="H862" s="286"/>
      <c r="I862" s="286"/>
      <c r="J862" s="286"/>
      <c r="K862" s="286"/>
      <c r="L862" s="286"/>
      <c r="M862" s="286"/>
      <c r="N862" s="286"/>
      <c r="O862" s="286"/>
      <c r="P862" s="286"/>
      <c r="Q862" s="286"/>
      <c r="R862" s="286"/>
    </row>
    <row r="863">
      <c r="A863" s="286"/>
      <c r="B863" s="286"/>
      <c r="C863" s="286"/>
      <c r="D863" s="286"/>
      <c r="E863" s="286"/>
      <c r="F863" s="436"/>
      <c r="G863" s="286"/>
      <c r="H863" s="286"/>
      <c r="I863" s="286"/>
      <c r="J863" s="286"/>
      <c r="K863" s="286"/>
      <c r="L863" s="286"/>
      <c r="M863" s="286"/>
      <c r="N863" s="286"/>
      <c r="O863" s="286"/>
      <c r="P863" s="286"/>
      <c r="Q863" s="286"/>
      <c r="R863" s="286"/>
    </row>
    <row r="864">
      <c r="A864" s="286"/>
      <c r="B864" s="286"/>
      <c r="C864" s="286"/>
      <c r="D864" s="286"/>
      <c r="E864" s="286"/>
      <c r="F864" s="436"/>
      <c r="G864" s="286"/>
      <c r="H864" s="286"/>
      <c r="I864" s="286"/>
      <c r="J864" s="286"/>
      <c r="K864" s="286"/>
      <c r="L864" s="286"/>
      <c r="M864" s="286"/>
      <c r="N864" s="286"/>
      <c r="O864" s="286"/>
      <c r="P864" s="286"/>
      <c r="Q864" s="286"/>
      <c r="R864" s="286"/>
    </row>
    <row r="865">
      <c r="A865" s="286"/>
      <c r="B865" s="286"/>
      <c r="C865" s="286"/>
      <c r="D865" s="286"/>
      <c r="E865" s="286"/>
      <c r="F865" s="436"/>
      <c r="G865" s="286"/>
      <c r="H865" s="286"/>
      <c r="I865" s="286"/>
      <c r="J865" s="286"/>
      <c r="K865" s="286"/>
      <c r="L865" s="286"/>
      <c r="M865" s="286"/>
      <c r="N865" s="286"/>
      <c r="O865" s="286"/>
      <c r="P865" s="286"/>
      <c r="Q865" s="286"/>
      <c r="R865" s="286"/>
    </row>
    <row r="866">
      <c r="A866" s="286"/>
      <c r="B866" s="286"/>
      <c r="C866" s="286"/>
      <c r="D866" s="286"/>
      <c r="E866" s="286"/>
      <c r="F866" s="436"/>
      <c r="G866" s="286"/>
      <c r="H866" s="286"/>
      <c r="I866" s="286"/>
      <c r="J866" s="286"/>
      <c r="K866" s="286"/>
      <c r="L866" s="286"/>
      <c r="M866" s="286"/>
      <c r="N866" s="286"/>
      <c r="O866" s="286"/>
      <c r="P866" s="286"/>
      <c r="Q866" s="286"/>
      <c r="R866" s="286"/>
    </row>
    <row r="867">
      <c r="A867" s="286"/>
      <c r="B867" s="286"/>
      <c r="C867" s="286"/>
      <c r="D867" s="286"/>
      <c r="E867" s="286"/>
      <c r="F867" s="436"/>
      <c r="G867" s="286"/>
      <c r="H867" s="286"/>
      <c r="I867" s="286"/>
      <c r="J867" s="286"/>
      <c r="K867" s="286"/>
      <c r="L867" s="286"/>
      <c r="M867" s="286"/>
      <c r="N867" s="286"/>
      <c r="O867" s="286"/>
      <c r="P867" s="286"/>
      <c r="Q867" s="286"/>
      <c r="R867" s="286"/>
    </row>
    <row r="868">
      <c r="A868" s="286"/>
      <c r="B868" s="286"/>
      <c r="C868" s="286"/>
      <c r="D868" s="286"/>
      <c r="E868" s="286"/>
      <c r="F868" s="436"/>
      <c r="G868" s="286"/>
      <c r="H868" s="286"/>
      <c r="I868" s="286"/>
      <c r="J868" s="286"/>
      <c r="K868" s="286"/>
      <c r="L868" s="286"/>
      <c r="M868" s="286"/>
      <c r="N868" s="286"/>
      <c r="O868" s="286"/>
      <c r="P868" s="286"/>
      <c r="Q868" s="286"/>
      <c r="R868" s="286"/>
    </row>
    <row r="869">
      <c r="A869" s="286"/>
      <c r="B869" s="286"/>
      <c r="C869" s="286"/>
      <c r="D869" s="286"/>
      <c r="E869" s="286"/>
      <c r="F869" s="436"/>
      <c r="G869" s="286"/>
      <c r="H869" s="286"/>
      <c r="I869" s="286"/>
      <c r="J869" s="286"/>
      <c r="K869" s="286"/>
      <c r="L869" s="286"/>
      <c r="M869" s="286"/>
      <c r="N869" s="286"/>
      <c r="O869" s="286"/>
      <c r="P869" s="286"/>
      <c r="Q869" s="286"/>
      <c r="R869" s="286"/>
    </row>
    <row r="870">
      <c r="A870" s="286"/>
      <c r="B870" s="286"/>
      <c r="C870" s="286"/>
      <c r="D870" s="286"/>
      <c r="E870" s="286"/>
      <c r="F870" s="436"/>
      <c r="G870" s="286"/>
      <c r="H870" s="286"/>
      <c r="I870" s="286"/>
      <c r="J870" s="286"/>
      <c r="K870" s="286"/>
      <c r="L870" s="286"/>
      <c r="M870" s="286"/>
      <c r="N870" s="286"/>
      <c r="O870" s="286"/>
      <c r="P870" s="286"/>
      <c r="Q870" s="286"/>
      <c r="R870" s="286"/>
    </row>
    <row r="871">
      <c r="A871" s="286"/>
      <c r="B871" s="286"/>
      <c r="C871" s="286"/>
      <c r="D871" s="286"/>
      <c r="E871" s="286"/>
      <c r="F871" s="436"/>
      <c r="G871" s="286"/>
      <c r="H871" s="286"/>
      <c r="I871" s="286"/>
      <c r="J871" s="286"/>
      <c r="K871" s="286"/>
      <c r="L871" s="286"/>
      <c r="M871" s="286"/>
      <c r="N871" s="286"/>
      <c r="O871" s="286"/>
      <c r="P871" s="286"/>
      <c r="Q871" s="286"/>
      <c r="R871" s="286"/>
    </row>
    <row r="872">
      <c r="A872" s="286"/>
      <c r="B872" s="286"/>
      <c r="C872" s="286"/>
      <c r="D872" s="286"/>
      <c r="E872" s="286"/>
      <c r="F872" s="436"/>
      <c r="G872" s="286"/>
      <c r="H872" s="286"/>
      <c r="I872" s="286"/>
      <c r="J872" s="286"/>
      <c r="K872" s="286"/>
      <c r="L872" s="286"/>
      <c r="M872" s="286"/>
      <c r="N872" s="286"/>
      <c r="O872" s="286"/>
      <c r="P872" s="286"/>
      <c r="Q872" s="286"/>
      <c r="R872" s="286"/>
    </row>
    <row r="873">
      <c r="A873" s="286"/>
      <c r="B873" s="286"/>
      <c r="C873" s="286"/>
      <c r="D873" s="286"/>
      <c r="E873" s="286"/>
      <c r="F873" s="436"/>
      <c r="G873" s="286"/>
      <c r="H873" s="286"/>
      <c r="I873" s="286"/>
      <c r="J873" s="286"/>
      <c r="K873" s="286"/>
      <c r="L873" s="286"/>
      <c r="M873" s="286"/>
      <c r="N873" s="286"/>
      <c r="O873" s="286"/>
      <c r="P873" s="286"/>
      <c r="Q873" s="286"/>
      <c r="R873" s="286"/>
    </row>
    <row r="874">
      <c r="A874" s="286"/>
      <c r="B874" s="286"/>
      <c r="C874" s="286"/>
      <c r="D874" s="286"/>
      <c r="E874" s="286"/>
      <c r="F874" s="436"/>
      <c r="G874" s="286"/>
      <c r="H874" s="286"/>
      <c r="I874" s="286"/>
      <c r="J874" s="286"/>
      <c r="K874" s="286"/>
      <c r="L874" s="286"/>
      <c r="M874" s="286"/>
      <c r="N874" s="286"/>
      <c r="O874" s="286"/>
      <c r="P874" s="286"/>
      <c r="Q874" s="286"/>
      <c r="R874" s="286"/>
    </row>
    <row r="875">
      <c r="A875" s="286"/>
      <c r="B875" s="286"/>
      <c r="C875" s="286"/>
      <c r="D875" s="286"/>
      <c r="E875" s="286"/>
      <c r="F875" s="436"/>
      <c r="G875" s="286"/>
      <c r="H875" s="286"/>
      <c r="I875" s="286"/>
      <c r="J875" s="286"/>
      <c r="K875" s="286"/>
      <c r="L875" s="286"/>
      <c r="M875" s="286"/>
      <c r="N875" s="286"/>
      <c r="O875" s="286"/>
      <c r="P875" s="286"/>
      <c r="Q875" s="286"/>
      <c r="R875" s="286"/>
    </row>
    <row r="876">
      <c r="A876" s="286"/>
      <c r="B876" s="286"/>
      <c r="C876" s="286"/>
      <c r="D876" s="286"/>
      <c r="E876" s="286"/>
      <c r="F876" s="436"/>
      <c r="G876" s="286"/>
      <c r="H876" s="286"/>
      <c r="I876" s="286"/>
      <c r="J876" s="286"/>
      <c r="K876" s="286"/>
      <c r="L876" s="286"/>
      <c r="M876" s="286"/>
      <c r="N876" s="286"/>
      <c r="O876" s="286"/>
      <c r="P876" s="286"/>
      <c r="Q876" s="286"/>
      <c r="R876" s="286"/>
    </row>
    <row r="877">
      <c r="A877" s="286"/>
      <c r="B877" s="286"/>
      <c r="C877" s="286"/>
      <c r="D877" s="286"/>
      <c r="E877" s="286"/>
      <c r="F877" s="436"/>
      <c r="G877" s="286"/>
      <c r="H877" s="286"/>
      <c r="I877" s="286"/>
      <c r="J877" s="286"/>
      <c r="K877" s="286"/>
      <c r="L877" s="286"/>
      <c r="M877" s="286"/>
      <c r="N877" s="286"/>
      <c r="O877" s="286"/>
      <c r="P877" s="286"/>
      <c r="Q877" s="286"/>
      <c r="R877" s="286"/>
    </row>
    <row r="878">
      <c r="A878" s="286"/>
      <c r="B878" s="286"/>
      <c r="C878" s="286"/>
      <c r="D878" s="286"/>
      <c r="E878" s="286"/>
      <c r="F878" s="436"/>
      <c r="G878" s="286"/>
      <c r="H878" s="286"/>
      <c r="I878" s="286"/>
      <c r="J878" s="286"/>
      <c r="K878" s="286"/>
      <c r="L878" s="286"/>
      <c r="M878" s="286"/>
      <c r="N878" s="286"/>
      <c r="O878" s="286"/>
      <c r="P878" s="286"/>
      <c r="Q878" s="286"/>
      <c r="R878" s="286"/>
    </row>
    <row r="879">
      <c r="A879" s="286"/>
      <c r="B879" s="286"/>
      <c r="C879" s="286"/>
      <c r="D879" s="286"/>
      <c r="E879" s="286"/>
      <c r="F879" s="436"/>
      <c r="G879" s="286"/>
      <c r="H879" s="286"/>
      <c r="I879" s="286"/>
      <c r="J879" s="286"/>
      <c r="K879" s="286"/>
      <c r="L879" s="286"/>
      <c r="M879" s="286"/>
      <c r="N879" s="286"/>
      <c r="O879" s="286"/>
      <c r="P879" s="286"/>
      <c r="Q879" s="286"/>
      <c r="R879" s="286"/>
    </row>
    <row r="880">
      <c r="A880" s="286"/>
      <c r="B880" s="286"/>
      <c r="C880" s="286"/>
      <c r="D880" s="286"/>
      <c r="E880" s="286"/>
      <c r="F880" s="436"/>
      <c r="G880" s="286"/>
      <c r="H880" s="286"/>
      <c r="I880" s="286"/>
      <c r="J880" s="286"/>
      <c r="K880" s="286"/>
      <c r="L880" s="286"/>
      <c r="M880" s="286"/>
      <c r="N880" s="286"/>
      <c r="O880" s="286"/>
      <c r="P880" s="286"/>
      <c r="Q880" s="286"/>
      <c r="R880" s="286"/>
    </row>
    <row r="881">
      <c r="A881" s="286"/>
      <c r="B881" s="286"/>
      <c r="C881" s="286"/>
      <c r="D881" s="286"/>
      <c r="E881" s="286"/>
      <c r="F881" s="436"/>
      <c r="G881" s="286"/>
      <c r="H881" s="286"/>
      <c r="I881" s="286"/>
      <c r="J881" s="286"/>
      <c r="K881" s="286"/>
      <c r="L881" s="286"/>
      <c r="M881" s="286"/>
      <c r="N881" s="286"/>
      <c r="O881" s="286"/>
      <c r="P881" s="286"/>
      <c r="Q881" s="286"/>
      <c r="R881" s="286"/>
    </row>
    <row r="882">
      <c r="A882" s="286"/>
      <c r="B882" s="286"/>
      <c r="C882" s="286"/>
      <c r="D882" s="286"/>
      <c r="E882" s="286"/>
      <c r="F882" s="436"/>
      <c r="G882" s="286"/>
      <c r="H882" s="286"/>
      <c r="I882" s="286"/>
      <c r="J882" s="286"/>
      <c r="K882" s="286"/>
      <c r="L882" s="286"/>
      <c r="M882" s="286"/>
      <c r="N882" s="286"/>
      <c r="O882" s="286"/>
      <c r="P882" s="286"/>
      <c r="Q882" s="286"/>
      <c r="R882" s="286"/>
    </row>
    <row r="883">
      <c r="A883" s="286"/>
      <c r="B883" s="286"/>
      <c r="C883" s="286"/>
      <c r="D883" s="286"/>
      <c r="E883" s="286"/>
      <c r="F883" s="436"/>
      <c r="G883" s="286"/>
      <c r="H883" s="286"/>
      <c r="I883" s="286"/>
      <c r="J883" s="286"/>
      <c r="K883" s="286"/>
      <c r="L883" s="286"/>
      <c r="M883" s="286"/>
      <c r="N883" s="286"/>
      <c r="O883" s="286"/>
      <c r="P883" s="286"/>
      <c r="Q883" s="286"/>
      <c r="R883" s="286"/>
    </row>
    <row r="884">
      <c r="A884" s="286"/>
      <c r="B884" s="286"/>
      <c r="C884" s="286"/>
      <c r="D884" s="286"/>
      <c r="E884" s="286"/>
      <c r="F884" s="436"/>
      <c r="G884" s="286"/>
      <c r="H884" s="286"/>
      <c r="I884" s="286"/>
      <c r="J884" s="286"/>
      <c r="K884" s="286"/>
      <c r="L884" s="286"/>
      <c r="M884" s="286"/>
      <c r="N884" s="286"/>
      <c r="O884" s="286"/>
      <c r="P884" s="286"/>
      <c r="Q884" s="286"/>
      <c r="R884" s="286"/>
    </row>
    <row r="885">
      <c r="A885" s="286"/>
      <c r="B885" s="286"/>
      <c r="C885" s="286"/>
      <c r="D885" s="286"/>
      <c r="E885" s="286"/>
      <c r="F885" s="436"/>
      <c r="G885" s="286"/>
      <c r="H885" s="286"/>
      <c r="I885" s="286"/>
      <c r="J885" s="286"/>
      <c r="K885" s="286"/>
      <c r="L885" s="286"/>
      <c r="M885" s="286"/>
      <c r="N885" s="286"/>
      <c r="O885" s="286"/>
      <c r="P885" s="286"/>
      <c r="Q885" s="286"/>
      <c r="R885" s="286"/>
    </row>
    <row r="886">
      <c r="A886" s="286"/>
      <c r="B886" s="286"/>
      <c r="C886" s="286"/>
      <c r="D886" s="286"/>
      <c r="E886" s="286"/>
      <c r="F886" s="436"/>
      <c r="G886" s="286"/>
      <c r="H886" s="286"/>
      <c r="I886" s="286"/>
      <c r="J886" s="286"/>
      <c r="K886" s="286"/>
      <c r="L886" s="286"/>
      <c r="M886" s="286"/>
      <c r="N886" s="286"/>
      <c r="O886" s="286"/>
      <c r="P886" s="286"/>
      <c r="Q886" s="286"/>
      <c r="R886" s="286"/>
    </row>
    <row r="887">
      <c r="A887" s="286"/>
      <c r="B887" s="286"/>
      <c r="C887" s="286"/>
      <c r="D887" s="286"/>
      <c r="E887" s="286"/>
      <c r="F887" s="436"/>
      <c r="G887" s="286"/>
      <c r="H887" s="286"/>
      <c r="I887" s="286"/>
      <c r="J887" s="286"/>
      <c r="K887" s="286"/>
      <c r="L887" s="286"/>
      <c r="M887" s="286"/>
      <c r="N887" s="286"/>
      <c r="O887" s="286"/>
      <c r="P887" s="286"/>
      <c r="Q887" s="286"/>
      <c r="R887" s="286"/>
    </row>
    <row r="888">
      <c r="A888" s="286"/>
      <c r="B888" s="286"/>
      <c r="C888" s="286"/>
      <c r="D888" s="286"/>
      <c r="E888" s="286"/>
      <c r="F888" s="436"/>
      <c r="G888" s="286"/>
      <c r="H888" s="286"/>
      <c r="I888" s="286"/>
      <c r="J888" s="286"/>
      <c r="K888" s="286"/>
      <c r="L888" s="286"/>
      <c r="M888" s="286"/>
      <c r="N888" s="286"/>
      <c r="O888" s="286"/>
      <c r="P888" s="286"/>
      <c r="Q888" s="286"/>
      <c r="R888" s="286"/>
    </row>
    <row r="889">
      <c r="A889" s="286"/>
      <c r="B889" s="286"/>
      <c r="C889" s="286"/>
      <c r="D889" s="286"/>
      <c r="E889" s="286"/>
      <c r="F889" s="436"/>
      <c r="G889" s="286"/>
      <c r="H889" s="286"/>
      <c r="I889" s="286"/>
      <c r="J889" s="286"/>
      <c r="K889" s="286"/>
      <c r="L889" s="286"/>
      <c r="M889" s="286"/>
      <c r="N889" s="286"/>
      <c r="O889" s="286"/>
      <c r="P889" s="286"/>
      <c r="Q889" s="286"/>
      <c r="R889" s="286"/>
    </row>
    <row r="890">
      <c r="A890" s="286"/>
      <c r="B890" s="286"/>
      <c r="C890" s="286"/>
      <c r="D890" s="286"/>
      <c r="E890" s="286"/>
      <c r="F890" s="436"/>
      <c r="G890" s="286"/>
      <c r="H890" s="286"/>
      <c r="I890" s="286"/>
      <c r="J890" s="286"/>
      <c r="K890" s="286"/>
      <c r="L890" s="286"/>
      <c r="M890" s="286"/>
      <c r="N890" s="286"/>
      <c r="O890" s="286"/>
      <c r="P890" s="286"/>
      <c r="Q890" s="286"/>
      <c r="R890" s="286"/>
    </row>
    <row r="891">
      <c r="A891" s="286"/>
      <c r="B891" s="286"/>
      <c r="C891" s="286"/>
      <c r="D891" s="286"/>
      <c r="E891" s="286"/>
      <c r="F891" s="436"/>
      <c r="G891" s="286"/>
      <c r="H891" s="286"/>
      <c r="I891" s="286"/>
      <c r="J891" s="286"/>
      <c r="K891" s="286"/>
      <c r="L891" s="286"/>
      <c r="M891" s="286"/>
      <c r="N891" s="286"/>
      <c r="O891" s="286"/>
      <c r="P891" s="286"/>
      <c r="Q891" s="286"/>
      <c r="R891" s="286"/>
    </row>
    <row r="892">
      <c r="A892" s="286"/>
      <c r="B892" s="286"/>
      <c r="C892" s="286"/>
      <c r="D892" s="286"/>
      <c r="E892" s="286"/>
      <c r="F892" s="436"/>
      <c r="G892" s="286"/>
      <c r="H892" s="286"/>
      <c r="I892" s="286"/>
      <c r="J892" s="286"/>
      <c r="K892" s="286"/>
      <c r="L892" s="286"/>
      <c r="M892" s="286"/>
      <c r="N892" s="286"/>
      <c r="O892" s="286"/>
      <c r="P892" s="286"/>
      <c r="Q892" s="286"/>
      <c r="R892" s="286"/>
    </row>
    <row r="893">
      <c r="A893" s="286"/>
      <c r="B893" s="286"/>
      <c r="C893" s="286"/>
      <c r="D893" s="286"/>
      <c r="E893" s="286"/>
      <c r="F893" s="436"/>
      <c r="G893" s="286"/>
      <c r="H893" s="286"/>
      <c r="I893" s="286"/>
      <c r="J893" s="286"/>
      <c r="K893" s="286"/>
      <c r="L893" s="286"/>
      <c r="M893" s="286"/>
      <c r="N893" s="286"/>
      <c r="O893" s="286"/>
      <c r="P893" s="286"/>
      <c r="Q893" s="286"/>
      <c r="R893" s="286"/>
    </row>
    <row r="894">
      <c r="A894" s="286"/>
      <c r="B894" s="286"/>
      <c r="C894" s="286"/>
      <c r="D894" s="286"/>
      <c r="E894" s="286"/>
      <c r="F894" s="436"/>
      <c r="G894" s="286"/>
      <c r="H894" s="286"/>
      <c r="I894" s="286"/>
      <c r="J894" s="286"/>
      <c r="K894" s="286"/>
      <c r="L894" s="286"/>
      <c r="M894" s="286"/>
      <c r="N894" s="286"/>
      <c r="O894" s="286"/>
      <c r="P894" s="286"/>
      <c r="Q894" s="286"/>
      <c r="R894" s="286"/>
    </row>
    <row r="895">
      <c r="A895" s="286"/>
      <c r="B895" s="286"/>
      <c r="C895" s="286"/>
      <c r="D895" s="286"/>
      <c r="E895" s="286"/>
      <c r="F895" s="436"/>
      <c r="G895" s="286"/>
      <c r="H895" s="286"/>
      <c r="I895" s="286"/>
      <c r="J895" s="286"/>
      <c r="K895" s="286"/>
      <c r="L895" s="286"/>
      <c r="M895" s="286"/>
      <c r="N895" s="286"/>
      <c r="O895" s="286"/>
      <c r="P895" s="286"/>
      <c r="Q895" s="286"/>
      <c r="R895" s="286"/>
    </row>
    <row r="896">
      <c r="A896" s="286"/>
      <c r="B896" s="286"/>
      <c r="C896" s="286"/>
      <c r="D896" s="286"/>
      <c r="E896" s="286"/>
      <c r="F896" s="436"/>
      <c r="G896" s="286"/>
      <c r="H896" s="286"/>
      <c r="I896" s="286"/>
      <c r="J896" s="286"/>
      <c r="K896" s="286"/>
      <c r="L896" s="286"/>
      <c r="M896" s="286"/>
      <c r="N896" s="286"/>
      <c r="O896" s="286"/>
      <c r="P896" s="286"/>
      <c r="Q896" s="286"/>
      <c r="R896" s="286"/>
    </row>
    <row r="897">
      <c r="A897" s="286"/>
      <c r="B897" s="286"/>
      <c r="C897" s="286"/>
      <c r="D897" s="286"/>
      <c r="E897" s="286"/>
      <c r="F897" s="436"/>
      <c r="G897" s="286"/>
      <c r="H897" s="286"/>
      <c r="I897" s="286"/>
      <c r="J897" s="286"/>
      <c r="K897" s="286"/>
      <c r="L897" s="286"/>
      <c r="M897" s="286"/>
      <c r="N897" s="286"/>
      <c r="O897" s="286"/>
      <c r="P897" s="286"/>
      <c r="Q897" s="286"/>
      <c r="R897" s="286"/>
    </row>
    <row r="898">
      <c r="A898" s="286"/>
      <c r="B898" s="286"/>
      <c r="C898" s="286"/>
      <c r="D898" s="286"/>
      <c r="E898" s="286"/>
      <c r="F898" s="436"/>
      <c r="G898" s="286"/>
      <c r="H898" s="286"/>
      <c r="I898" s="286"/>
      <c r="J898" s="286"/>
      <c r="K898" s="286"/>
      <c r="L898" s="286"/>
      <c r="M898" s="286"/>
      <c r="N898" s="286"/>
      <c r="O898" s="286"/>
      <c r="P898" s="286"/>
      <c r="Q898" s="286"/>
      <c r="R898" s="286"/>
    </row>
    <row r="899">
      <c r="A899" s="286"/>
      <c r="B899" s="286"/>
      <c r="C899" s="286"/>
      <c r="D899" s="286"/>
      <c r="E899" s="286"/>
      <c r="F899" s="436"/>
      <c r="G899" s="286"/>
      <c r="H899" s="286"/>
      <c r="I899" s="286"/>
      <c r="J899" s="286"/>
      <c r="K899" s="286"/>
      <c r="L899" s="286"/>
      <c r="M899" s="286"/>
      <c r="N899" s="286"/>
      <c r="O899" s="286"/>
      <c r="P899" s="286"/>
      <c r="Q899" s="286"/>
      <c r="R899" s="286"/>
    </row>
    <row r="900">
      <c r="A900" s="286"/>
      <c r="B900" s="286"/>
      <c r="C900" s="286"/>
      <c r="D900" s="286"/>
      <c r="E900" s="286"/>
      <c r="F900" s="436"/>
      <c r="G900" s="286"/>
      <c r="H900" s="286"/>
      <c r="I900" s="286"/>
      <c r="J900" s="286"/>
      <c r="K900" s="286"/>
      <c r="L900" s="286"/>
      <c r="M900" s="286"/>
      <c r="N900" s="286"/>
      <c r="O900" s="286"/>
      <c r="P900" s="286"/>
      <c r="Q900" s="286"/>
      <c r="R900" s="286"/>
    </row>
    <row r="901">
      <c r="A901" s="286"/>
      <c r="B901" s="286"/>
      <c r="C901" s="286"/>
      <c r="D901" s="286"/>
      <c r="E901" s="286"/>
      <c r="F901" s="436"/>
      <c r="G901" s="286"/>
      <c r="H901" s="286"/>
      <c r="I901" s="286"/>
      <c r="J901" s="286"/>
      <c r="K901" s="286"/>
      <c r="L901" s="286"/>
      <c r="M901" s="286"/>
      <c r="N901" s="286"/>
      <c r="O901" s="286"/>
      <c r="P901" s="286"/>
      <c r="Q901" s="286"/>
      <c r="R901" s="286"/>
    </row>
    <row r="902">
      <c r="A902" s="286"/>
      <c r="B902" s="286"/>
      <c r="C902" s="286"/>
      <c r="D902" s="286"/>
      <c r="E902" s="286"/>
      <c r="F902" s="436"/>
      <c r="G902" s="286"/>
      <c r="H902" s="286"/>
      <c r="I902" s="286"/>
      <c r="J902" s="286"/>
      <c r="K902" s="286"/>
      <c r="L902" s="286"/>
      <c r="M902" s="286"/>
      <c r="N902" s="286"/>
      <c r="O902" s="286"/>
      <c r="P902" s="286"/>
      <c r="Q902" s="286"/>
      <c r="R902" s="286"/>
    </row>
    <row r="903">
      <c r="A903" s="286"/>
      <c r="B903" s="286"/>
      <c r="C903" s="286"/>
      <c r="D903" s="286"/>
      <c r="E903" s="286"/>
      <c r="F903" s="436"/>
      <c r="G903" s="286"/>
      <c r="H903" s="286"/>
      <c r="I903" s="286"/>
      <c r="J903" s="286"/>
      <c r="K903" s="286"/>
      <c r="L903" s="286"/>
      <c r="M903" s="286"/>
      <c r="N903" s="286"/>
      <c r="O903" s="286"/>
      <c r="P903" s="286"/>
      <c r="Q903" s="286"/>
      <c r="R903" s="286"/>
    </row>
    <row r="904">
      <c r="A904" s="286"/>
      <c r="B904" s="286"/>
      <c r="C904" s="286"/>
      <c r="D904" s="286"/>
      <c r="E904" s="286"/>
      <c r="F904" s="436"/>
      <c r="G904" s="286"/>
      <c r="H904" s="286"/>
      <c r="I904" s="286"/>
      <c r="J904" s="286"/>
      <c r="K904" s="286"/>
      <c r="L904" s="286"/>
      <c r="M904" s="286"/>
      <c r="N904" s="286"/>
      <c r="O904" s="286"/>
      <c r="P904" s="286"/>
      <c r="Q904" s="286"/>
      <c r="R904" s="286"/>
    </row>
    <row r="905">
      <c r="A905" s="286"/>
      <c r="B905" s="286"/>
      <c r="C905" s="286"/>
      <c r="D905" s="286"/>
      <c r="E905" s="286"/>
      <c r="F905" s="436"/>
      <c r="G905" s="286"/>
      <c r="H905" s="286"/>
      <c r="I905" s="286"/>
      <c r="J905" s="286"/>
      <c r="K905" s="286"/>
      <c r="L905" s="286"/>
      <c r="M905" s="286"/>
      <c r="N905" s="286"/>
      <c r="O905" s="286"/>
      <c r="P905" s="286"/>
      <c r="Q905" s="286"/>
      <c r="R905" s="286"/>
    </row>
    <row r="906">
      <c r="A906" s="286"/>
      <c r="B906" s="286"/>
      <c r="C906" s="286"/>
      <c r="D906" s="286"/>
      <c r="E906" s="286"/>
      <c r="F906" s="436"/>
      <c r="G906" s="286"/>
      <c r="H906" s="286"/>
      <c r="I906" s="286"/>
      <c r="J906" s="286"/>
      <c r="K906" s="286"/>
      <c r="L906" s="286"/>
      <c r="M906" s="286"/>
      <c r="N906" s="286"/>
      <c r="O906" s="286"/>
      <c r="P906" s="286"/>
      <c r="Q906" s="286"/>
      <c r="R906" s="286"/>
    </row>
    <row r="907">
      <c r="A907" s="286"/>
      <c r="B907" s="286"/>
      <c r="C907" s="286"/>
      <c r="D907" s="286"/>
      <c r="E907" s="286"/>
      <c r="F907" s="436"/>
      <c r="G907" s="286"/>
      <c r="H907" s="286"/>
      <c r="I907" s="286"/>
      <c r="J907" s="286"/>
      <c r="K907" s="286"/>
      <c r="L907" s="286"/>
      <c r="M907" s="286"/>
      <c r="N907" s="286"/>
      <c r="O907" s="286"/>
      <c r="P907" s="286"/>
      <c r="Q907" s="286"/>
      <c r="R907" s="286"/>
    </row>
    <row r="908">
      <c r="A908" s="286"/>
      <c r="B908" s="286"/>
      <c r="C908" s="286"/>
      <c r="D908" s="286"/>
      <c r="E908" s="286"/>
      <c r="F908" s="436"/>
      <c r="G908" s="286"/>
      <c r="H908" s="286"/>
      <c r="I908" s="286"/>
      <c r="J908" s="286"/>
      <c r="K908" s="286"/>
      <c r="L908" s="286"/>
      <c r="M908" s="286"/>
      <c r="N908" s="286"/>
      <c r="O908" s="286"/>
      <c r="P908" s="286"/>
      <c r="Q908" s="286"/>
      <c r="R908" s="286"/>
    </row>
    <row r="909">
      <c r="A909" s="286"/>
      <c r="B909" s="286"/>
      <c r="C909" s="286"/>
      <c r="D909" s="286"/>
      <c r="E909" s="286"/>
      <c r="F909" s="436"/>
      <c r="G909" s="286"/>
      <c r="H909" s="286"/>
      <c r="I909" s="286"/>
      <c r="J909" s="286"/>
      <c r="K909" s="286"/>
      <c r="L909" s="286"/>
      <c r="M909" s="286"/>
      <c r="N909" s="286"/>
      <c r="O909" s="286"/>
      <c r="P909" s="286"/>
      <c r="Q909" s="286"/>
      <c r="R909" s="286"/>
    </row>
    <row r="910">
      <c r="A910" s="286"/>
      <c r="B910" s="286"/>
      <c r="C910" s="286"/>
      <c r="D910" s="286"/>
      <c r="E910" s="286"/>
      <c r="F910" s="436"/>
      <c r="G910" s="286"/>
      <c r="H910" s="286"/>
      <c r="I910" s="286"/>
      <c r="J910" s="286"/>
      <c r="K910" s="286"/>
      <c r="L910" s="286"/>
      <c r="M910" s="286"/>
      <c r="N910" s="286"/>
      <c r="O910" s="286"/>
      <c r="P910" s="286"/>
      <c r="Q910" s="286"/>
      <c r="R910" s="286"/>
    </row>
    <row r="911">
      <c r="A911" s="286"/>
      <c r="B911" s="286"/>
      <c r="C911" s="286"/>
      <c r="D911" s="286"/>
      <c r="E911" s="286"/>
      <c r="F911" s="436"/>
      <c r="G911" s="286"/>
      <c r="H911" s="286"/>
      <c r="I911" s="286"/>
      <c r="J911" s="286"/>
      <c r="K911" s="286"/>
      <c r="L911" s="286"/>
      <c r="M911" s="286"/>
      <c r="N911" s="286"/>
      <c r="O911" s="286"/>
      <c r="P911" s="286"/>
      <c r="Q911" s="286"/>
      <c r="R911" s="286"/>
    </row>
    <row r="912">
      <c r="A912" s="286"/>
      <c r="B912" s="286"/>
      <c r="C912" s="286"/>
      <c r="D912" s="286"/>
      <c r="E912" s="286"/>
      <c r="F912" s="436"/>
      <c r="G912" s="286"/>
      <c r="H912" s="286"/>
      <c r="I912" s="286"/>
      <c r="J912" s="286"/>
      <c r="K912" s="286"/>
      <c r="L912" s="286"/>
      <c r="M912" s="286"/>
      <c r="N912" s="286"/>
      <c r="O912" s="286"/>
      <c r="P912" s="286"/>
      <c r="Q912" s="286"/>
      <c r="R912" s="286"/>
    </row>
    <row r="913">
      <c r="A913" s="286"/>
      <c r="B913" s="286"/>
      <c r="C913" s="286"/>
      <c r="D913" s="286"/>
      <c r="E913" s="286"/>
      <c r="F913" s="436"/>
      <c r="G913" s="286"/>
      <c r="H913" s="286"/>
      <c r="I913" s="286"/>
      <c r="J913" s="286"/>
      <c r="K913" s="286"/>
      <c r="L913" s="286"/>
      <c r="M913" s="286"/>
      <c r="N913" s="286"/>
      <c r="O913" s="286"/>
      <c r="P913" s="286"/>
      <c r="Q913" s="286"/>
      <c r="R913" s="286"/>
    </row>
    <row r="914">
      <c r="A914" s="286"/>
      <c r="B914" s="286"/>
      <c r="C914" s="286"/>
      <c r="D914" s="286"/>
      <c r="E914" s="286"/>
      <c r="F914" s="436"/>
      <c r="G914" s="286"/>
      <c r="H914" s="286"/>
      <c r="I914" s="286"/>
      <c r="J914" s="286"/>
      <c r="K914" s="286"/>
      <c r="L914" s="286"/>
      <c r="M914" s="286"/>
      <c r="N914" s="286"/>
      <c r="O914" s="286"/>
      <c r="P914" s="286"/>
      <c r="Q914" s="286"/>
      <c r="R914" s="286"/>
    </row>
    <row r="915">
      <c r="A915" s="286"/>
      <c r="B915" s="286"/>
      <c r="C915" s="286"/>
      <c r="D915" s="286"/>
      <c r="E915" s="286"/>
      <c r="F915" s="436"/>
      <c r="G915" s="286"/>
      <c r="H915" s="286"/>
      <c r="I915" s="286"/>
      <c r="J915" s="286"/>
      <c r="K915" s="286"/>
      <c r="L915" s="286"/>
      <c r="M915" s="286"/>
      <c r="N915" s="286"/>
      <c r="O915" s="286"/>
      <c r="P915" s="286"/>
      <c r="Q915" s="286"/>
      <c r="R915" s="286"/>
    </row>
    <row r="916">
      <c r="A916" s="286"/>
      <c r="B916" s="286"/>
      <c r="C916" s="286"/>
      <c r="D916" s="286"/>
      <c r="E916" s="286"/>
      <c r="F916" s="436"/>
      <c r="G916" s="286"/>
      <c r="H916" s="286"/>
      <c r="I916" s="286"/>
      <c r="J916" s="286"/>
      <c r="K916" s="286"/>
      <c r="L916" s="286"/>
      <c r="M916" s="286"/>
      <c r="N916" s="286"/>
      <c r="O916" s="286"/>
      <c r="P916" s="286"/>
      <c r="Q916" s="286"/>
      <c r="R916" s="286"/>
    </row>
    <row r="917">
      <c r="A917" s="286"/>
      <c r="B917" s="286"/>
      <c r="C917" s="286"/>
      <c r="D917" s="286"/>
      <c r="E917" s="286"/>
      <c r="F917" s="436"/>
      <c r="G917" s="286"/>
      <c r="H917" s="286"/>
      <c r="I917" s="286"/>
      <c r="J917" s="286"/>
      <c r="K917" s="286"/>
      <c r="L917" s="286"/>
      <c r="M917" s="286"/>
      <c r="N917" s="286"/>
      <c r="O917" s="286"/>
      <c r="P917" s="286"/>
      <c r="Q917" s="286"/>
      <c r="R917" s="286"/>
    </row>
    <row r="918">
      <c r="A918" s="286"/>
      <c r="B918" s="286"/>
      <c r="C918" s="286"/>
      <c r="D918" s="286"/>
      <c r="E918" s="286"/>
      <c r="F918" s="436"/>
      <c r="G918" s="286"/>
      <c r="H918" s="286"/>
      <c r="I918" s="286"/>
      <c r="J918" s="286"/>
      <c r="K918" s="286"/>
      <c r="L918" s="286"/>
      <c r="M918" s="286"/>
      <c r="N918" s="286"/>
      <c r="O918" s="286"/>
      <c r="P918" s="286"/>
      <c r="Q918" s="286"/>
      <c r="R918" s="286"/>
    </row>
    <row r="919">
      <c r="A919" s="286"/>
      <c r="B919" s="286"/>
      <c r="C919" s="286"/>
      <c r="D919" s="286"/>
      <c r="E919" s="286"/>
      <c r="F919" s="436"/>
      <c r="G919" s="286"/>
      <c r="H919" s="286"/>
      <c r="I919" s="286"/>
      <c r="J919" s="286"/>
      <c r="K919" s="286"/>
      <c r="L919" s="286"/>
      <c r="M919" s="286"/>
      <c r="N919" s="286"/>
      <c r="O919" s="286"/>
      <c r="P919" s="286"/>
      <c r="Q919" s="286"/>
      <c r="R919" s="286"/>
    </row>
    <row r="920">
      <c r="A920" s="286"/>
      <c r="B920" s="286"/>
      <c r="C920" s="286"/>
      <c r="D920" s="286"/>
      <c r="E920" s="286"/>
      <c r="F920" s="436"/>
      <c r="G920" s="286"/>
      <c r="H920" s="286"/>
      <c r="I920" s="286"/>
      <c r="J920" s="286"/>
      <c r="K920" s="286"/>
      <c r="L920" s="286"/>
      <c r="M920" s="286"/>
      <c r="N920" s="286"/>
      <c r="O920" s="286"/>
      <c r="P920" s="286"/>
      <c r="Q920" s="286"/>
      <c r="R920" s="286"/>
    </row>
    <row r="921">
      <c r="A921" s="286"/>
      <c r="B921" s="286"/>
      <c r="C921" s="286"/>
      <c r="D921" s="286"/>
      <c r="E921" s="286"/>
      <c r="F921" s="436"/>
      <c r="G921" s="286"/>
      <c r="H921" s="286"/>
      <c r="I921" s="286"/>
      <c r="J921" s="286"/>
      <c r="K921" s="286"/>
      <c r="L921" s="286"/>
      <c r="M921" s="286"/>
      <c r="N921" s="286"/>
      <c r="O921" s="286"/>
      <c r="P921" s="286"/>
      <c r="Q921" s="286"/>
      <c r="R921" s="286"/>
    </row>
    <row r="922">
      <c r="A922" s="286"/>
      <c r="B922" s="286"/>
      <c r="C922" s="286"/>
      <c r="D922" s="286"/>
      <c r="E922" s="286"/>
      <c r="F922" s="436"/>
      <c r="G922" s="286"/>
      <c r="H922" s="286"/>
      <c r="I922" s="286"/>
      <c r="J922" s="286"/>
      <c r="K922" s="286"/>
      <c r="L922" s="286"/>
      <c r="M922" s="286"/>
      <c r="N922" s="286"/>
      <c r="O922" s="286"/>
      <c r="P922" s="286"/>
      <c r="Q922" s="286"/>
      <c r="R922" s="286"/>
    </row>
    <row r="923">
      <c r="A923" s="286"/>
      <c r="B923" s="286"/>
      <c r="C923" s="286"/>
      <c r="D923" s="286"/>
      <c r="E923" s="286"/>
      <c r="F923" s="436"/>
      <c r="G923" s="286"/>
      <c r="H923" s="286"/>
      <c r="I923" s="286"/>
      <c r="J923" s="286"/>
      <c r="K923" s="286"/>
      <c r="L923" s="286"/>
      <c r="M923" s="286"/>
      <c r="N923" s="286"/>
      <c r="O923" s="286"/>
      <c r="P923" s="286"/>
      <c r="Q923" s="286"/>
      <c r="R923" s="286"/>
    </row>
    <row r="924">
      <c r="A924" s="286"/>
      <c r="B924" s="286"/>
      <c r="C924" s="286"/>
      <c r="D924" s="286"/>
      <c r="E924" s="286"/>
      <c r="F924" s="436"/>
      <c r="G924" s="286"/>
      <c r="H924" s="286"/>
      <c r="I924" s="286"/>
      <c r="J924" s="286"/>
      <c r="K924" s="286"/>
      <c r="L924" s="286"/>
      <c r="M924" s="286"/>
      <c r="N924" s="286"/>
      <c r="O924" s="286"/>
      <c r="P924" s="286"/>
      <c r="Q924" s="286"/>
      <c r="R924" s="286"/>
    </row>
    <row r="925">
      <c r="A925" s="286"/>
      <c r="B925" s="286"/>
      <c r="C925" s="286"/>
      <c r="D925" s="286"/>
      <c r="E925" s="286"/>
      <c r="F925" s="436"/>
      <c r="G925" s="286"/>
      <c r="H925" s="286"/>
      <c r="I925" s="286"/>
      <c r="J925" s="286"/>
      <c r="K925" s="286"/>
      <c r="L925" s="286"/>
      <c r="M925" s="286"/>
      <c r="N925" s="286"/>
      <c r="O925" s="286"/>
      <c r="P925" s="286"/>
      <c r="Q925" s="286"/>
      <c r="R925" s="286"/>
    </row>
    <row r="926">
      <c r="A926" s="286"/>
      <c r="B926" s="286"/>
      <c r="C926" s="286"/>
      <c r="D926" s="286"/>
      <c r="E926" s="286"/>
      <c r="F926" s="436"/>
      <c r="G926" s="286"/>
      <c r="H926" s="286"/>
      <c r="I926" s="286"/>
      <c r="J926" s="286"/>
      <c r="K926" s="286"/>
      <c r="L926" s="286"/>
      <c r="M926" s="286"/>
      <c r="N926" s="286"/>
      <c r="O926" s="286"/>
      <c r="P926" s="286"/>
      <c r="Q926" s="286"/>
      <c r="R926" s="286"/>
    </row>
    <row r="927">
      <c r="A927" s="286"/>
      <c r="B927" s="286"/>
      <c r="C927" s="286"/>
      <c r="D927" s="286"/>
      <c r="E927" s="286"/>
      <c r="F927" s="436"/>
      <c r="G927" s="286"/>
      <c r="H927" s="286"/>
      <c r="I927" s="286"/>
      <c r="J927" s="286"/>
      <c r="K927" s="286"/>
      <c r="L927" s="286"/>
      <c r="M927" s="286"/>
      <c r="N927" s="286"/>
      <c r="O927" s="286"/>
      <c r="P927" s="286"/>
      <c r="Q927" s="286"/>
      <c r="R927" s="286"/>
    </row>
    <row r="928">
      <c r="A928" s="286"/>
      <c r="B928" s="286"/>
      <c r="C928" s="286"/>
      <c r="D928" s="286"/>
      <c r="E928" s="286"/>
      <c r="F928" s="436"/>
      <c r="G928" s="286"/>
      <c r="H928" s="286"/>
      <c r="I928" s="286"/>
      <c r="J928" s="286"/>
      <c r="K928" s="286"/>
      <c r="L928" s="286"/>
      <c r="M928" s="286"/>
      <c r="N928" s="286"/>
      <c r="O928" s="286"/>
      <c r="P928" s="286"/>
      <c r="Q928" s="286"/>
      <c r="R928" s="286"/>
    </row>
    <row r="929">
      <c r="A929" s="286"/>
      <c r="B929" s="286"/>
      <c r="C929" s="286"/>
      <c r="D929" s="286"/>
      <c r="E929" s="286"/>
      <c r="F929" s="436"/>
      <c r="G929" s="286"/>
      <c r="H929" s="286"/>
      <c r="I929" s="286"/>
      <c r="J929" s="286"/>
      <c r="K929" s="286"/>
      <c r="L929" s="286"/>
      <c r="M929" s="286"/>
      <c r="N929" s="286"/>
      <c r="O929" s="286"/>
      <c r="P929" s="286"/>
      <c r="Q929" s="286"/>
      <c r="R929" s="286"/>
    </row>
    <row r="930">
      <c r="A930" s="286"/>
      <c r="B930" s="286"/>
      <c r="C930" s="286"/>
      <c r="D930" s="286"/>
      <c r="E930" s="286"/>
      <c r="F930" s="436"/>
      <c r="G930" s="286"/>
      <c r="H930" s="286"/>
      <c r="I930" s="286"/>
      <c r="J930" s="286"/>
      <c r="K930" s="286"/>
      <c r="L930" s="286"/>
      <c r="M930" s="286"/>
      <c r="N930" s="286"/>
      <c r="O930" s="286"/>
      <c r="P930" s="286"/>
      <c r="Q930" s="286"/>
      <c r="R930" s="286"/>
    </row>
    <row r="931">
      <c r="A931" s="286"/>
      <c r="B931" s="286"/>
      <c r="C931" s="286"/>
      <c r="D931" s="286"/>
      <c r="E931" s="286"/>
      <c r="F931" s="436"/>
      <c r="G931" s="286"/>
      <c r="H931" s="286"/>
      <c r="I931" s="286"/>
      <c r="J931" s="286"/>
      <c r="K931" s="286"/>
      <c r="L931" s="286"/>
      <c r="M931" s="286"/>
      <c r="N931" s="286"/>
      <c r="O931" s="286"/>
      <c r="P931" s="286"/>
      <c r="Q931" s="286"/>
      <c r="R931" s="286"/>
    </row>
    <row r="932">
      <c r="A932" s="286"/>
      <c r="B932" s="286"/>
      <c r="C932" s="286"/>
      <c r="D932" s="286"/>
      <c r="E932" s="286"/>
      <c r="F932" s="436"/>
      <c r="G932" s="286"/>
      <c r="H932" s="286"/>
      <c r="I932" s="286"/>
      <c r="J932" s="286"/>
      <c r="K932" s="286"/>
      <c r="L932" s="286"/>
      <c r="M932" s="286"/>
      <c r="N932" s="286"/>
      <c r="O932" s="286"/>
      <c r="P932" s="286"/>
      <c r="Q932" s="286"/>
      <c r="R932" s="286"/>
    </row>
    <row r="933">
      <c r="A933" s="286"/>
      <c r="B933" s="286"/>
      <c r="C933" s="286"/>
      <c r="D933" s="286"/>
      <c r="E933" s="286"/>
      <c r="F933" s="436"/>
      <c r="G933" s="286"/>
      <c r="H933" s="286"/>
      <c r="I933" s="286"/>
      <c r="J933" s="286"/>
      <c r="K933" s="286"/>
      <c r="L933" s="286"/>
      <c r="M933" s="286"/>
      <c r="N933" s="286"/>
      <c r="O933" s="286"/>
      <c r="P933" s="286"/>
      <c r="Q933" s="286"/>
      <c r="R933" s="286"/>
    </row>
    <row r="934">
      <c r="A934" s="286"/>
      <c r="B934" s="286"/>
      <c r="C934" s="286"/>
      <c r="D934" s="286"/>
      <c r="E934" s="286"/>
      <c r="F934" s="436"/>
      <c r="G934" s="286"/>
      <c r="H934" s="286"/>
      <c r="I934" s="286"/>
      <c r="J934" s="286"/>
      <c r="K934" s="286"/>
      <c r="L934" s="286"/>
      <c r="M934" s="286"/>
      <c r="N934" s="286"/>
      <c r="O934" s="286"/>
      <c r="P934" s="286"/>
      <c r="Q934" s="286"/>
      <c r="R934" s="286"/>
    </row>
    <row r="935">
      <c r="A935" s="286"/>
      <c r="B935" s="286"/>
      <c r="C935" s="286"/>
      <c r="D935" s="286"/>
      <c r="E935" s="286"/>
      <c r="F935" s="436"/>
      <c r="G935" s="286"/>
      <c r="H935" s="286"/>
      <c r="I935" s="286"/>
      <c r="J935" s="286"/>
      <c r="K935" s="286"/>
      <c r="L935" s="286"/>
      <c r="M935" s="286"/>
      <c r="N935" s="286"/>
      <c r="O935" s="286"/>
      <c r="P935" s="286"/>
      <c r="Q935" s="286"/>
      <c r="R935" s="286"/>
    </row>
    <row r="936">
      <c r="A936" s="286"/>
      <c r="B936" s="286"/>
      <c r="C936" s="286"/>
      <c r="D936" s="286"/>
      <c r="E936" s="286"/>
      <c r="F936" s="436"/>
      <c r="G936" s="286"/>
      <c r="H936" s="286"/>
      <c r="I936" s="286"/>
      <c r="J936" s="286"/>
      <c r="K936" s="286"/>
      <c r="L936" s="286"/>
      <c r="M936" s="286"/>
      <c r="N936" s="286"/>
      <c r="O936" s="286"/>
      <c r="P936" s="286"/>
      <c r="Q936" s="286"/>
      <c r="R936" s="286"/>
    </row>
    <row r="937">
      <c r="A937" s="286"/>
      <c r="B937" s="286"/>
      <c r="C937" s="286"/>
      <c r="D937" s="286"/>
      <c r="E937" s="286"/>
      <c r="F937" s="436"/>
      <c r="G937" s="286"/>
      <c r="H937" s="286"/>
      <c r="I937" s="286"/>
      <c r="J937" s="286"/>
      <c r="K937" s="286"/>
      <c r="L937" s="286"/>
      <c r="M937" s="286"/>
      <c r="N937" s="286"/>
      <c r="O937" s="286"/>
      <c r="P937" s="286"/>
      <c r="Q937" s="286"/>
      <c r="R937" s="286"/>
    </row>
    <row r="938">
      <c r="A938" s="286"/>
      <c r="B938" s="286"/>
      <c r="C938" s="286"/>
      <c r="D938" s="286"/>
      <c r="E938" s="286"/>
      <c r="F938" s="436"/>
      <c r="G938" s="286"/>
      <c r="H938" s="286"/>
      <c r="I938" s="286"/>
      <c r="J938" s="286"/>
      <c r="K938" s="286"/>
      <c r="L938" s="286"/>
      <c r="M938" s="286"/>
      <c r="N938" s="286"/>
      <c r="O938" s="286"/>
      <c r="P938" s="286"/>
      <c r="Q938" s="286"/>
      <c r="R938" s="286"/>
    </row>
    <row r="939">
      <c r="A939" s="286"/>
      <c r="B939" s="286"/>
      <c r="C939" s="286"/>
      <c r="D939" s="286"/>
      <c r="E939" s="286"/>
      <c r="F939" s="436"/>
      <c r="G939" s="286"/>
      <c r="H939" s="286"/>
      <c r="I939" s="286"/>
      <c r="J939" s="286"/>
      <c r="K939" s="286"/>
      <c r="L939" s="286"/>
      <c r="M939" s="286"/>
      <c r="N939" s="286"/>
      <c r="O939" s="286"/>
      <c r="P939" s="286"/>
      <c r="Q939" s="286"/>
      <c r="R939" s="286"/>
    </row>
    <row r="940">
      <c r="A940" s="286"/>
      <c r="B940" s="286"/>
      <c r="C940" s="286"/>
      <c r="D940" s="286"/>
      <c r="E940" s="286"/>
      <c r="F940" s="436"/>
      <c r="G940" s="286"/>
      <c r="H940" s="286"/>
      <c r="I940" s="286"/>
      <c r="J940" s="286"/>
      <c r="K940" s="286"/>
      <c r="L940" s="286"/>
      <c r="M940" s="286"/>
      <c r="N940" s="286"/>
      <c r="O940" s="286"/>
      <c r="P940" s="286"/>
      <c r="Q940" s="286"/>
      <c r="R940" s="286"/>
    </row>
    <row r="941">
      <c r="A941" s="286"/>
      <c r="B941" s="286"/>
      <c r="C941" s="286"/>
      <c r="D941" s="286"/>
      <c r="E941" s="286"/>
      <c r="F941" s="436"/>
      <c r="G941" s="286"/>
      <c r="H941" s="286"/>
      <c r="I941" s="286"/>
      <c r="J941" s="286"/>
      <c r="K941" s="286"/>
      <c r="L941" s="286"/>
      <c r="M941" s="286"/>
      <c r="N941" s="286"/>
      <c r="O941" s="286"/>
      <c r="P941" s="286"/>
      <c r="Q941" s="286"/>
      <c r="R941" s="286"/>
    </row>
    <row r="942">
      <c r="A942" s="286"/>
      <c r="B942" s="286"/>
      <c r="C942" s="286"/>
      <c r="D942" s="286"/>
      <c r="E942" s="286"/>
      <c r="F942" s="436"/>
      <c r="G942" s="286"/>
      <c r="H942" s="286"/>
      <c r="I942" s="286"/>
      <c r="J942" s="286"/>
      <c r="K942" s="286"/>
      <c r="L942" s="286"/>
      <c r="M942" s="286"/>
      <c r="N942" s="286"/>
      <c r="O942" s="286"/>
      <c r="P942" s="286"/>
      <c r="Q942" s="286"/>
      <c r="R942" s="286"/>
    </row>
    <row r="943">
      <c r="A943" s="286"/>
      <c r="B943" s="286"/>
      <c r="C943" s="286"/>
      <c r="D943" s="286"/>
      <c r="E943" s="286"/>
      <c r="F943" s="436"/>
      <c r="G943" s="286"/>
      <c r="H943" s="286"/>
      <c r="I943" s="286"/>
      <c r="J943" s="286"/>
      <c r="K943" s="286"/>
      <c r="L943" s="286"/>
      <c r="M943" s="286"/>
      <c r="N943" s="286"/>
      <c r="O943" s="286"/>
      <c r="P943" s="286"/>
      <c r="Q943" s="286"/>
      <c r="R943" s="286"/>
    </row>
    <row r="944">
      <c r="A944" s="286"/>
      <c r="B944" s="286"/>
      <c r="C944" s="286"/>
      <c r="D944" s="286"/>
      <c r="E944" s="286"/>
      <c r="F944" s="436"/>
      <c r="G944" s="286"/>
      <c r="H944" s="286"/>
      <c r="I944" s="286"/>
      <c r="J944" s="286"/>
      <c r="K944" s="286"/>
      <c r="L944" s="286"/>
      <c r="M944" s="286"/>
      <c r="N944" s="286"/>
      <c r="O944" s="286"/>
      <c r="P944" s="286"/>
      <c r="Q944" s="286"/>
      <c r="R944" s="286"/>
    </row>
    <row r="945">
      <c r="A945" s="286"/>
      <c r="B945" s="286"/>
      <c r="C945" s="286"/>
      <c r="D945" s="286"/>
      <c r="E945" s="286"/>
      <c r="F945" s="436"/>
      <c r="G945" s="286"/>
      <c r="H945" s="286"/>
      <c r="I945" s="286"/>
      <c r="J945" s="286"/>
      <c r="K945" s="286"/>
      <c r="L945" s="286"/>
      <c r="M945" s="286"/>
      <c r="N945" s="286"/>
      <c r="O945" s="286"/>
      <c r="P945" s="286"/>
      <c r="Q945" s="286"/>
      <c r="R945" s="286"/>
    </row>
    <row r="946">
      <c r="A946" s="286"/>
      <c r="B946" s="286"/>
      <c r="C946" s="286"/>
      <c r="D946" s="286"/>
      <c r="E946" s="286"/>
      <c r="F946" s="436"/>
      <c r="G946" s="286"/>
      <c r="H946" s="286"/>
      <c r="I946" s="286"/>
      <c r="J946" s="286"/>
      <c r="K946" s="286"/>
      <c r="L946" s="286"/>
      <c r="M946" s="286"/>
      <c r="N946" s="286"/>
      <c r="O946" s="286"/>
      <c r="P946" s="286"/>
      <c r="Q946" s="286"/>
      <c r="R946" s="286"/>
    </row>
    <row r="947">
      <c r="A947" s="286"/>
      <c r="B947" s="286"/>
      <c r="C947" s="286"/>
      <c r="D947" s="286"/>
      <c r="E947" s="286"/>
      <c r="F947" s="436"/>
      <c r="G947" s="286"/>
      <c r="H947" s="286"/>
      <c r="I947" s="286"/>
      <c r="J947" s="286"/>
      <c r="K947" s="286"/>
      <c r="L947" s="286"/>
      <c r="M947" s="286"/>
      <c r="N947" s="286"/>
      <c r="O947" s="286"/>
      <c r="P947" s="286"/>
      <c r="Q947" s="286"/>
      <c r="R947" s="286"/>
    </row>
    <row r="948">
      <c r="A948" s="286"/>
      <c r="B948" s="286"/>
      <c r="C948" s="286"/>
      <c r="D948" s="286"/>
      <c r="E948" s="286"/>
      <c r="F948" s="436"/>
      <c r="G948" s="286"/>
      <c r="H948" s="286"/>
      <c r="I948" s="286"/>
      <c r="J948" s="286"/>
      <c r="K948" s="286"/>
      <c r="L948" s="286"/>
      <c r="M948" s="286"/>
      <c r="N948" s="286"/>
      <c r="O948" s="286"/>
      <c r="P948" s="286"/>
      <c r="Q948" s="286"/>
      <c r="R948" s="286"/>
    </row>
    <row r="949">
      <c r="A949" s="286"/>
      <c r="B949" s="286"/>
      <c r="C949" s="286"/>
      <c r="D949" s="286"/>
      <c r="E949" s="286"/>
      <c r="F949" s="436"/>
      <c r="G949" s="286"/>
      <c r="H949" s="286"/>
      <c r="I949" s="286"/>
      <c r="J949" s="286"/>
      <c r="K949" s="286"/>
      <c r="L949" s="286"/>
      <c r="M949" s="286"/>
      <c r="N949" s="286"/>
      <c r="O949" s="286"/>
      <c r="P949" s="286"/>
      <c r="Q949" s="286"/>
      <c r="R949" s="286"/>
    </row>
    <row r="950">
      <c r="A950" s="286"/>
      <c r="B950" s="286"/>
      <c r="C950" s="286"/>
      <c r="D950" s="286"/>
      <c r="E950" s="286"/>
      <c r="F950" s="436"/>
      <c r="G950" s="286"/>
      <c r="H950" s="286"/>
      <c r="I950" s="286"/>
      <c r="J950" s="286"/>
      <c r="K950" s="286"/>
      <c r="L950" s="286"/>
      <c r="M950" s="286"/>
      <c r="N950" s="286"/>
      <c r="O950" s="286"/>
      <c r="P950" s="286"/>
      <c r="Q950" s="286"/>
      <c r="R950" s="286"/>
    </row>
    <row r="951">
      <c r="A951" s="286"/>
      <c r="B951" s="286"/>
      <c r="C951" s="286"/>
      <c r="D951" s="286"/>
      <c r="E951" s="286"/>
      <c r="F951" s="436"/>
      <c r="G951" s="286"/>
      <c r="H951" s="286"/>
      <c r="I951" s="286"/>
      <c r="J951" s="286"/>
      <c r="K951" s="286"/>
      <c r="L951" s="286"/>
      <c r="M951" s="286"/>
      <c r="N951" s="286"/>
      <c r="O951" s="286"/>
      <c r="P951" s="286"/>
      <c r="Q951" s="286"/>
      <c r="R951" s="286"/>
    </row>
    <row r="952">
      <c r="A952" s="286"/>
      <c r="B952" s="286"/>
      <c r="C952" s="286"/>
      <c r="D952" s="286"/>
      <c r="E952" s="286"/>
      <c r="F952" s="436"/>
      <c r="G952" s="286"/>
      <c r="H952" s="286"/>
      <c r="I952" s="286"/>
      <c r="J952" s="286"/>
      <c r="K952" s="286"/>
      <c r="L952" s="286"/>
      <c r="M952" s="286"/>
      <c r="N952" s="286"/>
      <c r="O952" s="286"/>
      <c r="P952" s="286"/>
      <c r="Q952" s="286"/>
      <c r="R952" s="286"/>
    </row>
    <row r="953">
      <c r="A953" s="286"/>
      <c r="B953" s="286"/>
      <c r="C953" s="286"/>
      <c r="D953" s="286"/>
      <c r="E953" s="286"/>
      <c r="F953" s="436"/>
      <c r="G953" s="286"/>
      <c r="H953" s="286"/>
      <c r="I953" s="286"/>
      <c r="J953" s="286"/>
      <c r="K953" s="286"/>
      <c r="L953" s="286"/>
      <c r="M953" s="286"/>
      <c r="N953" s="286"/>
      <c r="O953" s="286"/>
      <c r="P953" s="286"/>
      <c r="Q953" s="286"/>
      <c r="R953" s="286"/>
    </row>
    <row r="954">
      <c r="A954" s="286"/>
      <c r="B954" s="286"/>
      <c r="C954" s="286"/>
      <c r="D954" s="286"/>
      <c r="E954" s="286"/>
      <c r="F954" s="436"/>
      <c r="G954" s="286"/>
      <c r="H954" s="286"/>
      <c r="I954" s="286"/>
      <c r="J954" s="286"/>
      <c r="K954" s="286"/>
      <c r="L954" s="286"/>
      <c r="M954" s="286"/>
      <c r="N954" s="286"/>
      <c r="O954" s="286"/>
      <c r="P954" s="286"/>
      <c r="Q954" s="286"/>
      <c r="R954" s="286"/>
    </row>
    <row r="955">
      <c r="A955" s="286"/>
      <c r="B955" s="286"/>
      <c r="C955" s="286"/>
      <c r="D955" s="286"/>
      <c r="E955" s="286"/>
      <c r="F955" s="436"/>
      <c r="G955" s="286"/>
      <c r="H955" s="286"/>
      <c r="I955" s="286"/>
      <c r="J955" s="286"/>
      <c r="K955" s="286"/>
      <c r="L955" s="286"/>
      <c r="M955" s="286"/>
      <c r="N955" s="286"/>
      <c r="O955" s="286"/>
      <c r="P955" s="286"/>
      <c r="Q955" s="286"/>
      <c r="R955" s="286"/>
    </row>
    <row r="956">
      <c r="A956" s="286"/>
      <c r="B956" s="286"/>
      <c r="C956" s="286"/>
      <c r="D956" s="286"/>
      <c r="E956" s="286"/>
      <c r="F956" s="436"/>
      <c r="G956" s="286"/>
      <c r="H956" s="286"/>
      <c r="I956" s="286"/>
      <c r="J956" s="286"/>
      <c r="K956" s="286"/>
      <c r="L956" s="286"/>
      <c r="M956" s="286"/>
      <c r="N956" s="286"/>
      <c r="O956" s="286"/>
      <c r="P956" s="286"/>
      <c r="Q956" s="286"/>
      <c r="R956" s="286"/>
    </row>
    <row r="957">
      <c r="A957" s="286"/>
      <c r="B957" s="286"/>
      <c r="C957" s="286"/>
      <c r="D957" s="286"/>
      <c r="E957" s="286"/>
      <c r="F957" s="436"/>
      <c r="G957" s="286"/>
      <c r="H957" s="286"/>
      <c r="I957" s="286"/>
      <c r="J957" s="286"/>
      <c r="K957" s="286"/>
      <c r="L957" s="286"/>
      <c r="M957" s="286"/>
      <c r="N957" s="286"/>
      <c r="O957" s="286"/>
      <c r="P957" s="286"/>
      <c r="Q957" s="286"/>
      <c r="R957" s="286"/>
    </row>
    <row r="958">
      <c r="A958" s="286"/>
      <c r="B958" s="286"/>
      <c r="C958" s="286"/>
      <c r="D958" s="286"/>
      <c r="E958" s="286"/>
      <c r="F958" s="436"/>
      <c r="G958" s="286"/>
      <c r="H958" s="286"/>
      <c r="I958" s="286"/>
      <c r="J958" s="286"/>
      <c r="K958" s="286"/>
      <c r="L958" s="286"/>
      <c r="M958" s="286"/>
      <c r="N958" s="286"/>
      <c r="O958" s="286"/>
      <c r="P958" s="286"/>
      <c r="Q958" s="286"/>
      <c r="R958" s="286"/>
    </row>
    <row r="959">
      <c r="A959" s="286"/>
      <c r="B959" s="286"/>
      <c r="C959" s="286"/>
      <c r="D959" s="286"/>
      <c r="E959" s="286"/>
      <c r="F959" s="436"/>
      <c r="G959" s="286"/>
      <c r="H959" s="286"/>
      <c r="I959" s="286"/>
      <c r="J959" s="286"/>
      <c r="K959" s="286"/>
      <c r="L959" s="286"/>
      <c r="M959" s="286"/>
      <c r="N959" s="286"/>
      <c r="O959" s="286"/>
      <c r="P959" s="286"/>
      <c r="Q959" s="286"/>
      <c r="R959" s="286"/>
    </row>
    <row r="960">
      <c r="A960" s="286"/>
      <c r="B960" s="286"/>
      <c r="C960" s="286"/>
      <c r="D960" s="286"/>
      <c r="E960" s="286"/>
      <c r="F960" s="436"/>
      <c r="G960" s="286"/>
      <c r="H960" s="286"/>
      <c r="I960" s="286"/>
      <c r="J960" s="286"/>
      <c r="K960" s="286"/>
      <c r="L960" s="286"/>
      <c r="M960" s="286"/>
      <c r="N960" s="286"/>
      <c r="O960" s="286"/>
      <c r="P960" s="286"/>
      <c r="Q960" s="286"/>
      <c r="R960" s="286"/>
    </row>
    <row r="961">
      <c r="A961" s="286"/>
      <c r="B961" s="286"/>
      <c r="C961" s="286"/>
      <c r="D961" s="286"/>
      <c r="E961" s="286"/>
      <c r="F961" s="436"/>
      <c r="G961" s="286"/>
      <c r="H961" s="286"/>
      <c r="I961" s="286"/>
      <c r="J961" s="286"/>
      <c r="K961" s="286"/>
      <c r="L961" s="286"/>
      <c r="M961" s="286"/>
      <c r="N961" s="286"/>
      <c r="O961" s="286"/>
      <c r="P961" s="286"/>
      <c r="Q961" s="286"/>
      <c r="R961" s="286"/>
    </row>
    <row r="962">
      <c r="A962" s="286"/>
      <c r="B962" s="286"/>
      <c r="C962" s="286"/>
      <c r="D962" s="286"/>
      <c r="E962" s="286"/>
      <c r="F962" s="436"/>
      <c r="G962" s="286"/>
      <c r="H962" s="286"/>
      <c r="I962" s="286"/>
      <c r="J962" s="286"/>
      <c r="K962" s="286"/>
      <c r="L962" s="286"/>
      <c r="M962" s="286"/>
      <c r="N962" s="286"/>
      <c r="O962" s="286"/>
      <c r="P962" s="286"/>
      <c r="Q962" s="286"/>
      <c r="R962" s="286"/>
    </row>
    <row r="963">
      <c r="A963" s="286"/>
      <c r="B963" s="286"/>
      <c r="C963" s="286"/>
      <c r="D963" s="286"/>
      <c r="E963" s="286"/>
      <c r="F963" s="436"/>
      <c r="G963" s="286"/>
      <c r="H963" s="286"/>
      <c r="I963" s="286"/>
      <c r="J963" s="286"/>
      <c r="K963" s="286"/>
      <c r="L963" s="286"/>
      <c r="M963" s="286"/>
      <c r="N963" s="286"/>
      <c r="O963" s="286"/>
      <c r="P963" s="286"/>
      <c r="Q963" s="286"/>
      <c r="R963" s="286"/>
    </row>
    <row r="964">
      <c r="A964" s="286"/>
      <c r="B964" s="286"/>
      <c r="C964" s="286"/>
      <c r="D964" s="286"/>
      <c r="E964" s="286"/>
      <c r="F964" s="436"/>
      <c r="G964" s="286"/>
      <c r="H964" s="286"/>
      <c r="I964" s="286"/>
      <c r="J964" s="286"/>
      <c r="K964" s="286"/>
      <c r="L964" s="286"/>
      <c r="M964" s="286"/>
      <c r="N964" s="286"/>
      <c r="O964" s="286"/>
      <c r="P964" s="286"/>
      <c r="Q964" s="286"/>
      <c r="R964" s="286"/>
    </row>
    <row r="965">
      <c r="A965" s="286"/>
      <c r="B965" s="286"/>
      <c r="C965" s="286"/>
      <c r="D965" s="286"/>
      <c r="E965" s="286"/>
      <c r="F965" s="436"/>
      <c r="G965" s="286"/>
      <c r="H965" s="286"/>
      <c r="I965" s="286"/>
      <c r="J965" s="286"/>
      <c r="K965" s="286"/>
      <c r="L965" s="286"/>
      <c r="M965" s="286"/>
      <c r="N965" s="286"/>
      <c r="O965" s="286"/>
      <c r="P965" s="286"/>
      <c r="Q965" s="286"/>
      <c r="R965" s="286"/>
    </row>
    <row r="966">
      <c r="A966" s="286"/>
      <c r="B966" s="286"/>
      <c r="C966" s="286"/>
      <c r="D966" s="286"/>
      <c r="E966" s="286"/>
      <c r="F966" s="436"/>
      <c r="G966" s="286"/>
      <c r="H966" s="286"/>
      <c r="I966" s="286"/>
      <c r="J966" s="286"/>
      <c r="K966" s="286"/>
      <c r="L966" s="286"/>
      <c r="M966" s="286"/>
      <c r="N966" s="286"/>
      <c r="O966" s="286"/>
      <c r="P966" s="286"/>
      <c r="Q966" s="286"/>
      <c r="R966" s="286"/>
    </row>
    <row r="967">
      <c r="A967" s="286"/>
      <c r="B967" s="286"/>
      <c r="C967" s="286"/>
      <c r="D967" s="286"/>
      <c r="E967" s="286"/>
      <c r="F967" s="436"/>
      <c r="G967" s="286"/>
      <c r="H967" s="286"/>
      <c r="I967" s="286"/>
      <c r="J967" s="286"/>
      <c r="K967" s="286"/>
      <c r="L967" s="286"/>
      <c r="M967" s="286"/>
      <c r="N967" s="286"/>
      <c r="O967" s="286"/>
      <c r="P967" s="286"/>
      <c r="Q967" s="286"/>
      <c r="R967" s="286"/>
    </row>
    <row r="968">
      <c r="A968" s="286"/>
      <c r="B968" s="286"/>
      <c r="C968" s="286"/>
      <c r="D968" s="286"/>
      <c r="E968" s="286"/>
      <c r="F968" s="436"/>
      <c r="G968" s="286"/>
      <c r="H968" s="286"/>
      <c r="I968" s="286"/>
      <c r="J968" s="286"/>
      <c r="K968" s="286"/>
      <c r="L968" s="286"/>
      <c r="M968" s="286"/>
      <c r="N968" s="286"/>
      <c r="O968" s="286"/>
      <c r="P968" s="286"/>
      <c r="Q968" s="286"/>
      <c r="R968" s="286"/>
    </row>
    <row r="969">
      <c r="A969" s="286"/>
      <c r="B969" s="286"/>
      <c r="C969" s="286"/>
      <c r="D969" s="286"/>
      <c r="E969" s="286"/>
      <c r="F969" s="436"/>
      <c r="G969" s="286"/>
      <c r="H969" s="286"/>
      <c r="I969" s="286"/>
      <c r="J969" s="286"/>
      <c r="K969" s="286"/>
      <c r="L969" s="286"/>
      <c r="M969" s="286"/>
      <c r="N969" s="286"/>
      <c r="O969" s="286"/>
      <c r="P969" s="286"/>
      <c r="Q969" s="286"/>
      <c r="R969" s="286"/>
    </row>
    <row r="970">
      <c r="A970" s="286"/>
      <c r="B970" s="286"/>
      <c r="C970" s="286"/>
      <c r="D970" s="286"/>
      <c r="E970" s="286"/>
      <c r="F970" s="436"/>
      <c r="G970" s="286"/>
      <c r="H970" s="286"/>
      <c r="I970" s="286"/>
      <c r="J970" s="286"/>
      <c r="K970" s="286"/>
      <c r="L970" s="286"/>
      <c r="M970" s="286"/>
      <c r="N970" s="286"/>
      <c r="O970" s="286"/>
      <c r="P970" s="286"/>
      <c r="Q970" s="286"/>
      <c r="R970" s="286"/>
    </row>
    <row r="971">
      <c r="A971" s="286"/>
      <c r="B971" s="286"/>
      <c r="C971" s="286"/>
      <c r="D971" s="286"/>
      <c r="E971" s="286"/>
      <c r="F971" s="436"/>
      <c r="G971" s="286"/>
      <c r="H971" s="286"/>
      <c r="I971" s="286"/>
      <c r="J971" s="286"/>
      <c r="K971" s="286"/>
      <c r="L971" s="286"/>
      <c r="M971" s="286"/>
      <c r="N971" s="286"/>
      <c r="O971" s="286"/>
      <c r="P971" s="286"/>
      <c r="Q971" s="286"/>
      <c r="R971" s="286"/>
    </row>
    <row r="972">
      <c r="A972" s="286"/>
      <c r="B972" s="286"/>
      <c r="C972" s="286"/>
      <c r="D972" s="286"/>
      <c r="E972" s="286"/>
      <c r="F972" s="436"/>
      <c r="G972" s="286"/>
      <c r="H972" s="286"/>
      <c r="I972" s="286"/>
      <c r="J972" s="286"/>
      <c r="K972" s="286"/>
      <c r="L972" s="286"/>
      <c r="M972" s="286"/>
      <c r="N972" s="286"/>
      <c r="O972" s="286"/>
      <c r="P972" s="286"/>
      <c r="Q972" s="286"/>
      <c r="R972" s="286"/>
    </row>
    <row r="973">
      <c r="A973" s="286"/>
      <c r="B973" s="286"/>
      <c r="C973" s="286"/>
      <c r="D973" s="286"/>
      <c r="E973" s="286"/>
      <c r="F973" s="436"/>
      <c r="G973" s="286"/>
      <c r="H973" s="286"/>
      <c r="I973" s="286"/>
      <c r="J973" s="286"/>
      <c r="K973" s="286"/>
      <c r="L973" s="286"/>
      <c r="M973" s="286"/>
      <c r="N973" s="286"/>
      <c r="O973" s="286"/>
      <c r="P973" s="286"/>
      <c r="Q973" s="286"/>
      <c r="R973" s="286"/>
    </row>
    <row r="974">
      <c r="A974" s="286"/>
      <c r="B974" s="286"/>
      <c r="C974" s="286"/>
      <c r="D974" s="286"/>
      <c r="E974" s="286"/>
      <c r="F974" s="436"/>
      <c r="G974" s="286"/>
      <c r="H974" s="286"/>
      <c r="I974" s="286"/>
      <c r="J974" s="286"/>
      <c r="K974" s="286"/>
      <c r="L974" s="286"/>
      <c r="M974" s="286"/>
      <c r="N974" s="286"/>
      <c r="O974" s="286"/>
      <c r="P974" s="286"/>
      <c r="Q974" s="286"/>
      <c r="R974" s="286"/>
    </row>
    <row r="975">
      <c r="A975" s="286"/>
      <c r="B975" s="286"/>
      <c r="C975" s="286"/>
      <c r="D975" s="286"/>
      <c r="E975" s="286"/>
      <c r="F975" s="436"/>
      <c r="G975" s="286"/>
      <c r="H975" s="286"/>
      <c r="I975" s="286"/>
      <c r="J975" s="286"/>
      <c r="K975" s="286"/>
      <c r="L975" s="286"/>
      <c r="M975" s="286"/>
      <c r="N975" s="286"/>
      <c r="O975" s="286"/>
      <c r="P975" s="286"/>
      <c r="Q975" s="286"/>
      <c r="R975" s="286"/>
    </row>
    <row r="976">
      <c r="A976" s="286"/>
      <c r="B976" s="286"/>
      <c r="C976" s="286"/>
      <c r="D976" s="286"/>
      <c r="E976" s="286"/>
      <c r="F976" s="436"/>
      <c r="G976" s="286"/>
      <c r="H976" s="286"/>
      <c r="I976" s="286"/>
      <c r="J976" s="286"/>
      <c r="K976" s="286"/>
      <c r="L976" s="286"/>
      <c r="M976" s="286"/>
      <c r="N976" s="286"/>
      <c r="O976" s="286"/>
      <c r="P976" s="286"/>
      <c r="Q976" s="286"/>
      <c r="R976" s="286"/>
    </row>
    <row r="977">
      <c r="A977" s="286"/>
      <c r="B977" s="286"/>
      <c r="C977" s="286"/>
      <c r="D977" s="286"/>
      <c r="E977" s="286"/>
      <c r="F977" s="436"/>
      <c r="G977" s="286"/>
      <c r="H977" s="286"/>
      <c r="I977" s="286"/>
      <c r="J977" s="286"/>
      <c r="K977" s="286"/>
      <c r="L977" s="286"/>
      <c r="M977" s="286"/>
      <c r="N977" s="286"/>
      <c r="O977" s="286"/>
      <c r="P977" s="286"/>
      <c r="Q977" s="286"/>
      <c r="R977" s="286"/>
    </row>
    <row r="978">
      <c r="A978" s="286"/>
      <c r="B978" s="286"/>
      <c r="C978" s="286"/>
      <c r="D978" s="286"/>
      <c r="E978" s="286"/>
      <c r="F978" s="436"/>
      <c r="G978" s="286"/>
      <c r="H978" s="286"/>
      <c r="I978" s="286"/>
      <c r="J978" s="286"/>
      <c r="K978" s="286"/>
      <c r="L978" s="286"/>
      <c r="M978" s="286"/>
      <c r="N978" s="286"/>
      <c r="O978" s="286"/>
      <c r="P978" s="286"/>
      <c r="Q978" s="286"/>
      <c r="R978" s="286"/>
    </row>
    <row r="979">
      <c r="A979" s="286"/>
      <c r="B979" s="286"/>
      <c r="C979" s="286"/>
      <c r="D979" s="286"/>
      <c r="E979" s="286"/>
      <c r="F979" s="436"/>
      <c r="G979" s="286"/>
      <c r="H979" s="286"/>
      <c r="I979" s="286"/>
      <c r="J979" s="286"/>
      <c r="K979" s="286"/>
      <c r="L979" s="286"/>
      <c r="M979" s="286"/>
      <c r="N979" s="286"/>
      <c r="O979" s="286"/>
      <c r="P979" s="286"/>
      <c r="Q979" s="286"/>
      <c r="R979" s="286"/>
    </row>
    <row r="980">
      <c r="A980" s="286"/>
      <c r="B980" s="286"/>
      <c r="C980" s="286"/>
      <c r="D980" s="286"/>
      <c r="E980" s="286"/>
      <c r="F980" s="436"/>
      <c r="G980" s="286"/>
      <c r="H980" s="286"/>
      <c r="I980" s="286"/>
      <c r="J980" s="286"/>
      <c r="K980" s="286"/>
      <c r="L980" s="286"/>
      <c r="M980" s="286"/>
      <c r="N980" s="286"/>
      <c r="O980" s="286"/>
      <c r="P980" s="286"/>
      <c r="Q980" s="286"/>
      <c r="R980" s="286"/>
    </row>
    <row r="981">
      <c r="A981" s="286"/>
      <c r="B981" s="286"/>
      <c r="C981" s="286"/>
      <c r="D981" s="286"/>
      <c r="E981" s="286"/>
      <c r="F981" s="436"/>
      <c r="G981" s="286"/>
      <c r="H981" s="286"/>
      <c r="I981" s="286"/>
      <c r="J981" s="286"/>
      <c r="K981" s="286"/>
      <c r="L981" s="286"/>
      <c r="M981" s="286"/>
      <c r="N981" s="286"/>
      <c r="O981" s="286"/>
      <c r="P981" s="286"/>
      <c r="Q981" s="286"/>
      <c r="R981" s="286"/>
    </row>
    <row r="982">
      <c r="A982" s="286"/>
      <c r="B982" s="286"/>
      <c r="C982" s="286"/>
      <c r="D982" s="286"/>
      <c r="E982" s="286"/>
      <c r="F982" s="436"/>
      <c r="G982" s="286"/>
      <c r="H982" s="286"/>
      <c r="I982" s="286"/>
      <c r="J982" s="286"/>
      <c r="K982" s="286"/>
      <c r="L982" s="286"/>
      <c r="M982" s="286"/>
      <c r="N982" s="286"/>
      <c r="O982" s="286"/>
      <c r="P982" s="286"/>
      <c r="Q982" s="286"/>
      <c r="R982" s="286"/>
    </row>
    <row r="983">
      <c r="A983" s="286"/>
      <c r="B983" s="286"/>
      <c r="C983" s="286"/>
      <c r="D983" s="286"/>
      <c r="E983" s="286"/>
      <c r="F983" s="436"/>
      <c r="G983" s="286"/>
      <c r="H983" s="286"/>
      <c r="I983" s="286"/>
      <c r="J983" s="286"/>
      <c r="K983" s="286"/>
      <c r="L983" s="286"/>
      <c r="M983" s="286"/>
      <c r="N983" s="286"/>
      <c r="O983" s="286"/>
      <c r="P983" s="286"/>
      <c r="Q983" s="286"/>
      <c r="R983" s="286"/>
    </row>
    <row r="984">
      <c r="A984" s="286"/>
      <c r="B984" s="286"/>
      <c r="C984" s="286"/>
      <c r="D984" s="286"/>
      <c r="E984" s="286"/>
      <c r="F984" s="436"/>
      <c r="G984" s="286"/>
      <c r="H984" s="286"/>
      <c r="I984" s="286"/>
      <c r="J984" s="286"/>
      <c r="K984" s="286"/>
      <c r="L984" s="286"/>
      <c r="M984" s="286"/>
      <c r="N984" s="286"/>
      <c r="O984" s="286"/>
      <c r="P984" s="286"/>
      <c r="Q984" s="286"/>
      <c r="R984" s="286"/>
    </row>
    <row r="985">
      <c r="A985" s="286"/>
      <c r="B985" s="286"/>
      <c r="C985" s="286"/>
      <c r="D985" s="286"/>
      <c r="E985" s="286"/>
      <c r="F985" s="436"/>
      <c r="G985" s="286"/>
      <c r="H985" s="286"/>
      <c r="I985" s="286"/>
      <c r="J985" s="286"/>
      <c r="K985" s="286"/>
      <c r="L985" s="286"/>
      <c r="M985" s="286"/>
      <c r="N985" s="286"/>
      <c r="O985" s="286"/>
      <c r="P985" s="286"/>
      <c r="Q985" s="286"/>
      <c r="R985" s="286"/>
    </row>
    <row r="986">
      <c r="A986" s="286"/>
      <c r="B986" s="286"/>
      <c r="C986" s="286"/>
      <c r="D986" s="286"/>
      <c r="E986" s="286"/>
      <c r="F986" s="436"/>
      <c r="G986" s="286"/>
      <c r="H986" s="286"/>
      <c r="I986" s="286"/>
      <c r="J986" s="286"/>
      <c r="K986" s="286"/>
      <c r="L986" s="286"/>
      <c r="M986" s="286"/>
      <c r="N986" s="286"/>
      <c r="O986" s="286"/>
      <c r="P986" s="286"/>
      <c r="Q986" s="286"/>
      <c r="R986" s="286"/>
    </row>
    <row r="987">
      <c r="A987" s="286"/>
      <c r="B987" s="286"/>
      <c r="C987" s="286"/>
      <c r="D987" s="286"/>
      <c r="E987" s="286"/>
      <c r="F987" s="436"/>
      <c r="G987" s="286"/>
      <c r="H987" s="286"/>
      <c r="I987" s="286"/>
      <c r="J987" s="286"/>
      <c r="K987" s="286"/>
      <c r="L987" s="286"/>
      <c r="M987" s="286"/>
      <c r="N987" s="286"/>
      <c r="O987" s="286"/>
      <c r="P987" s="286"/>
      <c r="Q987" s="286"/>
      <c r="R987" s="286"/>
    </row>
    <row r="988">
      <c r="A988" s="286"/>
      <c r="B988" s="286"/>
      <c r="C988" s="286"/>
      <c r="D988" s="286"/>
      <c r="E988" s="286"/>
      <c r="F988" s="436"/>
      <c r="G988" s="286"/>
      <c r="H988" s="286"/>
      <c r="I988" s="286"/>
      <c r="J988" s="286"/>
      <c r="K988" s="286"/>
      <c r="L988" s="286"/>
      <c r="M988" s="286"/>
      <c r="N988" s="286"/>
      <c r="O988" s="286"/>
      <c r="P988" s="286"/>
      <c r="Q988" s="286"/>
      <c r="R988" s="286"/>
    </row>
    <row r="989">
      <c r="A989" s="286"/>
      <c r="B989" s="286"/>
      <c r="C989" s="286"/>
      <c r="D989" s="286"/>
      <c r="E989" s="286"/>
      <c r="F989" s="436"/>
      <c r="G989" s="286"/>
      <c r="H989" s="286"/>
      <c r="I989" s="286"/>
      <c r="J989" s="286"/>
      <c r="K989" s="286"/>
      <c r="L989" s="286"/>
      <c r="M989" s="286"/>
      <c r="N989" s="286"/>
      <c r="O989" s="286"/>
      <c r="P989" s="286"/>
      <c r="Q989" s="286"/>
      <c r="R989" s="286"/>
    </row>
    <row r="990">
      <c r="A990" s="286"/>
      <c r="B990" s="286"/>
      <c r="C990" s="286"/>
      <c r="D990" s="286"/>
      <c r="E990" s="286"/>
      <c r="F990" s="436"/>
      <c r="G990" s="286"/>
      <c r="H990" s="286"/>
      <c r="I990" s="286"/>
      <c r="J990" s="286"/>
      <c r="K990" s="286"/>
      <c r="L990" s="286"/>
      <c r="M990" s="286"/>
      <c r="N990" s="286"/>
      <c r="O990" s="286"/>
      <c r="P990" s="286"/>
      <c r="Q990" s="286"/>
      <c r="R990" s="286"/>
    </row>
    <row r="991">
      <c r="A991" s="286"/>
      <c r="B991" s="286"/>
      <c r="C991" s="286"/>
      <c r="D991" s="286"/>
      <c r="E991" s="286"/>
      <c r="F991" s="436"/>
      <c r="G991" s="286"/>
      <c r="H991" s="286"/>
      <c r="I991" s="286"/>
      <c r="J991" s="286"/>
      <c r="K991" s="286"/>
      <c r="L991" s="286"/>
      <c r="M991" s="286"/>
      <c r="N991" s="286"/>
      <c r="O991" s="286"/>
      <c r="P991" s="286"/>
      <c r="Q991" s="286"/>
      <c r="R991" s="286"/>
    </row>
    <row r="992">
      <c r="A992" s="286"/>
      <c r="B992" s="286"/>
      <c r="C992" s="286"/>
      <c r="D992" s="286"/>
      <c r="E992" s="286"/>
      <c r="F992" s="436"/>
      <c r="G992" s="286"/>
      <c r="H992" s="286"/>
      <c r="I992" s="286"/>
      <c r="J992" s="286"/>
      <c r="K992" s="286"/>
      <c r="L992" s="286"/>
      <c r="M992" s="286"/>
      <c r="N992" s="286"/>
      <c r="O992" s="286"/>
      <c r="P992" s="286"/>
      <c r="Q992" s="286"/>
      <c r="R992" s="286"/>
    </row>
    <row r="993">
      <c r="A993" s="286"/>
      <c r="B993" s="286"/>
      <c r="C993" s="286"/>
      <c r="D993" s="286"/>
      <c r="E993" s="286"/>
      <c r="F993" s="436"/>
      <c r="G993" s="286"/>
      <c r="H993" s="286"/>
      <c r="I993" s="286"/>
      <c r="J993" s="286"/>
      <c r="K993" s="286"/>
      <c r="L993" s="286"/>
      <c r="M993" s="286"/>
      <c r="N993" s="286"/>
      <c r="O993" s="286"/>
      <c r="P993" s="286"/>
      <c r="Q993" s="286"/>
      <c r="R993" s="286"/>
    </row>
    <row r="994">
      <c r="A994" s="286"/>
      <c r="B994" s="286"/>
      <c r="C994" s="286"/>
      <c r="D994" s="286"/>
      <c r="E994" s="286"/>
      <c r="F994" s="436"/>
      <c r="G994" s="286"/>
      <c r="H994" s="286"/>
      <c r="I994" s="286"/>
      <c r="J994" s="286"/>
      <c r="K994" s="286"/>
      <c r="L994" s="286"/>
      <c r="M994" s="286"/>
      <c r="N994" s="286"/>
      <c r="O994" s="286"/>
      <c r="P994" s="286"/>
      <c r="Q994" s="286"/>
      <c r="R994" s="286"/>
    </row>
    <row r="995">
      <c r="A995" s="286"/>
      <c r="B995" s="286"/>
      <c r="C995" s="286"/>
      <c r="D995" s="286"/>
      <c r="E995" s="286"/>
      <c r="F995" s="436"/>
      <c r="G995" s="286"/>
      <c r="H995" s="286"/>
      <c r="I995" s="286"/>
      <c r="J995" s="286"/>
      <c r="K995" s="286"/>
      <c r="L995" s="286"/>
      <c r="M995" s="286"/>
      <c r="N995" s="286"/>
      <c r="O995" s="286"/>
      <c r="P995" s="286"/>
      <c r="Q995" s="286"/>
      <c r="R995" s="286"/>
    </row>
    <row r="996">
      <c r="A996" s="286"/>
      <c r="B996" s="286"/>
      <c r="C996" s="286"/>
      <c r="D996" s="286"/>
      <c r="E996" s="286"/>
      <c r="F996" s="436"/>
      <c r="G996" s="286"/>
      <c r="H996" s="286"/>
      <c r="I996" s="286"/>
      <c r="J996" s="286"/>
      <c r="K996" s="286"/>
      <c r="L996" s="286"/>
      <c r="M996" s="286"/>
      <c r="N996" s="286"/>
      <c r="O996" s="286"/>
      <c r="P996" s="286"/>
      <c r="Q996" s="286"/>
      <c r="R996" s="286"/>
    </row>
    <row r="997">
      <c r="A997" s="286"/>
      <c r="B997" s="286"/>
      <c r="C997" s="286"/>
      <c r="D997" s="286"/>
      <c r="E997" s="286"/>
      <c r="F997" s="436"/>
      <c r="G997" s="286"/>
      <c r="H997" s="286"/>
      <c r="I997" s="286"/>
      <c r="J997" s="286"/>
      <c r="K997" s="286"/>
      <c r="L997" s="286"/>
      <c r="M997" s="286"/>
      <c r="N997" s="286"/>
      <c r="O997" s="286"/>
      <c r="P997" s="286"/>
      <c r="Q997" s="286"/>
      <c r="R997" s="286"/>
    </row>
    <row r="998">
      <c r="A998" s="286"/>
      <c r="B998" s="286"/>
      <c r="C998" s="286"/>
      <c r="D998" s="286"/>
      <c r="E998" s="286"/>
      <c r="F998" s="436"/>
      <c r="G998" s="286"/>
      <c r="H998" s="286"/>
      <c r="I998" s="286"/>
      <c r="J998" s="286"/>
      <c r="K998" s="286"/>
      <c r="L998" s="286"/>
      <c r="M998" s="286"/>
      <c r="N998" s="286"/>
      <c r="O998" s="286"/>
      <c r="P998" s="286"/>
      <c r="Q998" s="286"/>
      <c r="R998" s="286"/>
    </row>
    <row r="999">
      <c r="A999" s="286"/>
      <c r="B999" s="286"/>
      <c r="C999" s="286"/>
      <c r="D999" s="286"/>
      <c r="E999" s="286"/>
      <c r="F999" s="436"/>
      <c r="G999" s="286"/>
      <c r="H999" s="286"/>
      <c r="I999" s="286"/>
      <c r="J999" s="286"/>
      <c r="K999" s="286"/>
      <c r="L999" s="286"/>
      <c r="M999" s="286"/>
      <c r="N999" s="286"/>
      <c r="O999" s="286"/>
      <c r="P999" s="286"/>
      <c r="Q999" s="286"/>
      <c r="R999" s="286"/>
    </row>
    <row r="1000">
      <c r="A1000" s="286"/>
      <c r="B1000" s="286"/>
      <c r="C1000" s="286"/>
      <c r="D1000" s="286"/>
      <c r="E1000" s="286"/>
      <c r="F1000" s="436"/>
      <c r="G1000" s="286"/>
      <c r="H1000" s="286"/>
      <c r="I1000" s="286"/>
      <c r="J1000" s="286"/>
      <c r="K1000" s="286"/>
      <c r="L1000" s="286"/>
      <c r="M1000" s="286"/>
      <c r="N1000" s="286"/>
      <c r="O1000" s="286"/>
      <c r="P1000" s="286"/>
      <c r="Q1000" s="286"/>
      <c r="R1000" s="286"/>
    </row>
    <row r="1001">
      <c r="A1001" s="286"/>
      <c r="B1001" s="286"/>
      <c r="C1001" s="286"/>
      <c r="D1001" s="286"/>
      <c r="E1001" s="286"/>
      <c r="F1001" s="286"/>
      <c r="G1001" s="286"/>
      <c r="H1001" s="286"/>
      <c r="I1001" s="286"/>
      <c r="J1001" s="286"/>
      <c r="K1001" s="286"/>
      <c r="L1001" s="286"/>
      <c r="M1001" s="286"/>
      <c r="N1001" s="286"/>
      <c r="O1001" s="286"/>
      <c r="P1001" s="286"/>
      <c r="Q1001" s="286"/>
      <c r="R1001" s="286"/>
    </row>
    <row r="1002">
      <c r="A1002" s="286"/>
      <c r="B1002" s="286"/>
      <c r="C1002" s="286"/>
      <c r="D1002" s="286"/>
      <c r="E1002" s="286"/>
      <c r="F1002" s="286"/>
      <c r="G1002" s="286"/>
      <c r="H1002" s="286"/>
      <c r="I1002" s="286"/>
      <c r="J1002" s="286"/>
      <c r="K1002" s="286"/>
      <c r="L1002" s="286"/>
      <c r="M1002" s="286"/>
      <c r="N1002" s="286"/>
      <c r="O1002" s="286"/>
      <c r="P1002" s="286"/>
      <c r="Q1002" s="286"/>
      <c r="R1002" s="286"/>
    </row>
    <row r="1003">
      <c r="A1003" s="286"/>
      <c r="B1003" s="286"/>
      <c r="C1003" s="286"/>
      <c r="D1003" s="286"/>
      <c r="E1003" s="286"/>
      <c r="F1003" s="286"/>
      <c r="G1003" s="286"/>
      <c r="H1003" s="286"/>
      <c r="I1003" s="286"/>
      <c r="J1003" s="286"/>
      <c r="K1003" s="286"/>
      <c r="L1003" s="286"/>
      <c r="M1003" s="286"/>
      <c r="N1003" s="286"/>
      <c r="O1003" s="286"/>
      <c r="P1003" s="286"/>
      <c r="Q1003" s="286"/>
      <c r="R1003" s="286"/>
    </row>
    <row r="1004">
      <c r="A1004" s="286"/>
      <c r="B1004" s="286"/>
      <c r="C1004" s="286"/>
      <c r="D1004" s="286"/>
      <c r="E1004" s="286"/>
      <c r="F1004" s="286"/>
      <c r="G1004" s="286"/>
      <c r="H1004" s="286"/>
      <c r="I1004" s="286"/>
      <c r="J1004" s="286"/>
      <c r="K1004" s="286"/>
      <c r="L1004" s="286"/>
      <c r="M1004" s="286"/>
      <c r="N1004" s="286"/>
      <c r="O1004" s="286"/>
      <c r="P1004" s="286"/>
      <c r="Q1004" s="286"/>
      <c r="R1004" s="286"/>
    </row>
    <row r="1005">
      <c r="A1005" s="286"/>
      <c r="B1005" s="286"/>
      <c r="C1005" s="286"/>
      <c r="D1005" s="286"/>
      <c r="E1005" s="286"/>
      <c r="F1005" s="286"/>
      <c r="G1005" s="286"/>
      <c r="H1005" s="286"/>
      <c r="I1005" s="286"/>
      <c r="J1005" s="286"/>
      <c r="K1005" s="286"/>
      <c r="L1005" s="286"/>
      <c r="M1005" s="286"/>
      <c r="N1005" s="286"/>
      <c r="O1005" s="286"/>
      <c r="P1005" s="286"/>
      <c r="Q1005" s="286"/>
      <c r="R1005" s="286"/>
    </row>
    <row r="1006">
      <c r="A1006" s="286"/>
      <c r="B1006" s="286"/>
      <c r="C1006" s="286"/>
      <c r="D1006" s="286"/>
      <c r="E1006" s="286"/>
      <c r="F1006" s="286"/>
      <c r="G1006" s="286"/>
      <c r="H1006" s="286"/>
      <c r="I1006" s="286"/>
      <c r="J1006" s="286"/>
      <c r="K1006" s="286"/>
      <c r="L1006" s="286"/>
      <c r="M1006" s="286"/>
      <c r="N1006" s="286"/>
      <c r="O1006" s="286"/>
      <c r="P1006" s="286"/>
      <c r="Q1006" s="286"/>
      <c r="R1006" s="286"/>
    </row>
    <row r="1007">
      <c r="A1007" s="286"/>
      <c r="B1007" s="286"/>
      <c r="C1007" s="286"/>
      <c r="D1007" s="286"/>
      <c r="E1007" s="286"/>
      <c r="F1007" s="286"/>
      <c r="G1007" s="286"/>
      <c r="H1007" s="286"/>
      <c r="I1007" s="286"/>
      <c r="J1007" s="286"/>
      <c r="K1007" s="286"/>
      <c r="L1007" s="286"/>
      <c r="M1007" s="286"/>
      <c r="N1007" s="286"/>
      <c r="O1007" s="286"/>
      <c r="P1007" s="286"/>
      <c r="Q1007" s="286"/>
      <c r="R1007" s="286"/>
    </row>
    <row r="1008">
      <c r="A1008" s="286"/>
      <c r="B1008" s="286"/>
      <c r="C1008" s="286"/>
      <c r="D1008" s="286"/>
      <c r="E1008" s="286"/>
      <c r="F1008" s="286"/>
      <c r="G1008" s="286"/>
      <c r="H1008" s="286"/>
      <c r="I1008" s="286"/>
      <c r="J1008" s="286"/>
      <c r="K1008" s="286"/>
      <c r="L1008" s="286"/>
      <c r="M1008" s="286"/>
      <c r="N1008" s="286"/>
      <c r="O1008" s="286"/>
      <c r="P1008" s="286"/>
      <c r="Q1008" s="286"/>
      <c r="R1008" s="286"/>
    </row>
    <row r="1009">
      <c r="A1009" s="286"/>
      <c r="B1009" s="286"/>
      <c r="C1009" s="286"/>
      <c r="D1009" s="286"/>
      <c r="E1009" s="286"/>
      <c r="F1009" s="286"/>
      <c r="G1009" s="286"/>
      <c r="H1009" s="286"/>
      <c r="I1009" s="286"/>
      <c r="J1009" s="286"/>
      <c r="K1009" s="286"/>
      <c r="L1009" s="286"/>
      <c r="M1009" s="286"/>
      <c r="N1009" s="286"/>
      <c r="O1009" s="286"/>
      <c r="P1009" s="286"/>
      <c r="Q1009" s="286"/>
      <c r="R1009" s="286"/>
    </row>
    <row r="1010">
      <c r="A1010" s="286"/>
      <c r="B1010" s="286"/>
      <c r="C1010" s="286"/>
      <c r="D1010" s="286"/>
      <c r="E1010" s="286"/>
      <c r="F1010" s="286"/>
      <c r="G1010" s="286"/>
      <c r="H1010" s="286"/>
      <c r="I1010" s="286"/>
      <c r="J1010" s="286"/>
      <c r="K1010" s="286"/>
      <c r="L1010" s="286"/>
      <c r="M1010" s="286"/>
      <c r="N1010" s="286"/>
      <c r="O1010" s="286"/>
      <c r="P1010" s="286"/>
      <c r="Q1010" s="286"/>
      <c r="R1010" s="286"/>
    </row>
    <row r="1011">
      <c r="A1011" s="286"/>
      <c r="B1011" s="286"/>
      <c r="C1011" s="286"/>
      <c r="D1011" s="286"/>
      <c r="E1011" s="286"/>
      <c r="F1011" s="286"/>
      <c r="G1011" s="286"/>
      <c r="H1011" s="286"/>
      <c r="I1011" s="286"/>
      <c r="J1011" s="286"/>
      <c r="K1011" s="286"/>
      <c r="L1011" s="286"/>
      <c r="M1011" s="286"/>
      <c r="N1011" s="286"/>
      <c r="O1011" s="286"/>
      <c r="P1011" s="286"/>
      <c r="Q1011" s="286"/>
      <c r="R1011" s="286"/>
    </row>
    <row r="1012">
      <c r="A1012" s="286"/>
      <c r="B1012" s="286"/>
      <c r="C1012" s="286"/>
      <c r="D1012" s="286"/>
      <c r="E1012" s="286"/>
      <c r="F1012" s="286"/>
      <c r="G1012" s="286"/>
      <c r="H1012" s="286"/>
      <c r="I1012" s="286"/>
      <c r="J1012" s="286"/>
      <c r="K1012" s="286"/>
      <c r="L1012" s="286"/>
      <c r="M1012" s="286"/>
      <c r="N1012" s="286"/>
      <c r="O1012" s="286"/>
      <c r="P1012" s="286"/>
      <c r="Q1012" s="286"/>
      <c r="R1012" s="286"/>
    </row>
    <row r="1013">
      <c r="A1013" s="286"/>
      <c r="B1013" s="286"/>
      <c r="C1013" s="286"/>
      <c r="D1013" s="286"/>
      <c r="E1013" s="286"/>
      <c r="F1013" s="286"/>
      <c r="G1013" s="286"/>
      <c r="H1013" s="286"/>
      <c r="I1013" s="286"/>
      <c r="J1013" s="286"/>
      <c r="K1013" s="286"/>
      <c r="L1013" s="286"/>
      <c r="M1013" s="286"/>
      <c r="N1013" s="286"/>
      <c r="O1013" s="286"/>
      <c r="P1013" s="286"/>
      <c r="Q1013" s="286"/>
      <c r="R1013" s="286"/>
    </row>
    <row r="1014">
      <c r="A1014" s="286"/>
      <c r="B1014" s="286"/>
      <c r="C1014" s="286"/>
      <c r="D1014" s="286"/>
      <c r="E1014" s="286"/>
      <c r="F1014" s="286"/>
      <c r="G1014" s="286"/>
      <c r="H1014" s="286"/>
      <c r="I1014" s="286"/>
      <c r="J1014" s="286"/>
      <c r="K1014" s="286"/>
      <c r="L1014" s="286"/>
      <c r="M1014" s="286"/>
      <c r="N1014" s="286"/>
      <c r="O1014" s="286"/>
      <c r="P1014" s="286"/>
      <c r="Q1014" s="286"/>
      <c r="R1014" s="286"/>
    </row>
    <row r="1015">
      <c r="A1015" s="286"/>
      <c r="B1015" s="286"/>
      <c r="C1015" s="286"/>
      <c r="D1015" s="286"/>
      <c r="E1015" s="286"/>
      <c r="F1015" s="286"/>
      <c r="G1015" s="286"/>
      <c r="H1015" s="286"/>
      <c r="I1015" s="286"/>
      <c r="J1015" s="286"/>
      <c r="K1015" s="286"/>
      <c r="L1015" s="286"/>
      <c r="M1015" s="286"/>
      <c r="N1015" s="286"/>
      <c r="O1015" s="286"/>
      <c r="P1015" s="286"/>
      <c r="Q1015" s="286"/>
      <c r="R1015" s="286"/>
    </row>
    <row r="1016">
      <c r="A1016" s="286"/>
      <c r="B1016" s="286"/>
      <c r="C1016" s="286"/>
      <c r="D1016" s="286"/>
      <c r="E1016" s="286"/>
      <c r="F1016" s="286"/>
      <c r="G1016" s="286"/>
      <c r="H1016" s="286"/>
      <c r="I1016" s="286"/>
      <c r="J1016" s="286"/>
      <c r="K1016" s="286"/>
      <c r="L1016" s="286"/>
      <c r="M1016" s="286"/>
      <c r="N1016" s="286"/>
      <c r="O1016" s="286"/>
      <c r="P1016" s="286"/>
      <c r="Q1016" s="286"/>
      <c r="R1016" s="286"/>
    </row>
    <row r="1017">
      <c r="A1017" s="286"/>
      <c r="B1017" s="286"/>
      <c r="C1017" s="286"/>
      <c r="D1017" s="286"/>
      <c r="E1017" s="286"/>
      <c r="F1017" s="286"/>
      <c r="G1017" s="286"/>
      <c r="H1017" s="286"/>
      <c r="I1017" s="286"/>
      <c r="J1017" s="286"/>
      <c r="K1017" s="286"/>
      <c r="L1017" s="286"/>
      <c r="M1017" s="286"/>
      <c r="N1017" s="286"/>
      <c r="O1017" s="286"/>
      <c r="P1017" s="286"/>
      <c r="Q1017" s="286"/>
      <c r="R1017" s="286"/>
    </row>
    <row r="1018">
      <c r="A1018" s="286"/>
      <c r="B1018" s="286"/>
      <c r="C1018" s="286"/>
      <c r="D1018" s="286"/>
      <c r="E1018" s="286"/>
      <c r="F1018" s="286"/>
      <c r="G1018" s="286"/>
      <c r="H1018" s="286"/>
      <c r="I1018" s="286"/>
      <c r="J1018" s="286"/>
      <c r="K1018" s="286"/>
      <c r="L1018" s="286"/>
      <c r="M1018" s="286"/>
      <c r="N1018" s="286"/>
      <c r="O1018" s="286"/>
      <c r="P1018" s="286"/>
      <c r="Q1018" s="286"/>
      <c r="R1018" s="286"/>
    </row>
    <row r="1019">
      <c r="A1019" s="286"/>
      <c r="B1019" s="286"/>
      <c r="C1019" s="286"/>
      <c r="D1019" s="286"/>
      <c r="E1019" s="286"/>
      <c r="F1019" s="286"/>
      <c r="G1019" s="286"/>
      <c r="H1019" s="286"/>
      <c r="I1019" s="286"/>
      <c r="J1019" s="286"/>
      <c r="K1019" s="286"/>
      <c r="L1019" s="286"/>
      <c r="M1019" s="286"/>
      <c r="N1019" s="286"/>
      <c r="O1019" s="286"/>
      <c r="P1019" s="286"/>
      <c r="Q1019" s="286"/>
      <c r="R1019" s="286"/>
    </row>
    <row r="1020">
      <c r="A1020" s="286"/>
      <c r="B1020" s="286"/>
      <c r="C1020" s="286"/>
      <c r="D1020" s="286"/>
      <c r="E1020" s="286"/>
      <c r="F1020" s="286"/>
      <c r="G1020" s="286"/>
      <c r="H1020" s="286"/>
      <c r="I1020" s="286"/>
      <c r="J1020" s="286"/>
      <c r="K1020" s="286"/>
      <c r="L1020" s="286"/>
      <c r="M1020" s="286"/>
      <c r="N1020" s="286"/>
      <c r="O1020" s="286"/>
      <c r="P1020" s="286"/>
      <c r="Q1020" s="286"/>
      <c r="R1020" s="286"/>
    </row>
    <row r="1021">
      <c r="A1021" s="286"/>
      <c r="B1021" s="286"/>
      <c r="C1021" s="286"/>
      <c r="D1021" s="286"/>
      <c r="E1021" s="286"/>
      <c r="F1021" s="286"/>
      <c r="G1021" s="286"/>
      <c r="H1021" s="286"/>
      <c r="I1021" s="286"/>
      <c r="J1021" s="286"/>
      <c r="K1021" s="286"/>
      <c r="L1021" s="286"/>
      <c r="M1021" s="286"/>
      <c r="N1021" s="286"/>
      <c r="O1021" s="286"/>
      <c r="P1021" s="286"/>
      <c r="Q1021" s="286"/>
      <c r="R1021" s="286"/>
    </row>
    <row r="1022">
      <c r="A1022" s="286"/>
      <c r="B1022" s="286"/>
      <c r="C1022" s="286"/>
      <c r="D1022" s="286"/>
      <c r="E1022" s="286"/>
      <c r="F1022" s="286"/>
      <c r="G1022" s="286"/>
      <c r="H1022" s="286"/>
      <c r="I1022" s="286"/>
      <c r="J1022" s="286"/>
      <c r="K1022" s="286"/>
      <c r="L1022" s="286"/>
      <c r="M1022" s="286"/>
      <c r="N1022" s="286"/>
      <c r="O1022" s="286"/>
      <c r="P1022" s="286"/>
      <c r="Q1022" s="286"/>
      <c r="R1022" s="286"/>
    </row>
  </sheetData>
  <hyperlinks>
    <hyperlink r:id="rId1" ref="A6"/>
    <hyperlink r:id="rId2" ref="B6"/>
    <hyperlink r:id="rId3" ref="C6"/>
    <hyperlink r:id="rId4" ref="D6"/>
    <hyperlink r:id="rId5" ref="E6"/>
    <hyperlink r:id="rId6" ref="F6"/>
    <hyperlink r:id="rId7" ref="G6"/>
    <hyperlink r:id="rId8" ref="H6"/>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660" t="s">
        <v>14611</v>
      </c>
      <c r="B1" s="661"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（投稿者の情報は記載されますが、動画・音声ファイルに関するその後の問題や収益・権利については一切責任を負いません。）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AI翻訳の都合上、URLを埋め込むこ"&amp;"とはできません。動画・音声ファイルへは、繁体字中国語のリンクを直接クリックしてください。
投稿ルール：
1. 動画が1本のみの場合は、タイトルのみを投稿してください。
2. 動画が複数ある場合は、リストが長くなりすぎないよう、指定されたチャンネルにまとめて投稿してください。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プラットフォー"&amp;"ムの規約を遵守してください。イエロータグ付きコンテンツ、ヌード等は禁止されています。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（投稿者の情報は記載されますが、動画・音声ファイルに関するその後の問題や収益・権利については一切責任を負いません。）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AI翻訳の都合上、URLを埋め込むことはできません。動画・音声ファイルへは、繁体字中国語のリンクを直接クリックしてください。
投稿ルール：
1. 動画が1本のみの場合は、タイトルのみを投稿してください。
2. 動画が複数ある場合は、リストが長くなりすぎないよう、指定されたチャンネルにまとめて投稿してください。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v>
      </c>
      <c r="C1" s="662"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628"/>
      <c r="E1" s="663"/>
      <c r="F1" s="663"/>
      <c r="G1" s="663"/>
      <c r="H1" s="663"/>
      <c r="I1" s="663"/>
      <c r="J1" s="663"/>
      <c r="K1" s="663"/>
      <c r="L1" s="663"/>
      <c r="M1" s="663"/>
      <c r="N1" s="663"/>
      <c r="O1" s="663"/>
      <c r="P1" s="663"/>
      <c r="Q1" s="663"/>
      <c r="R1" s="663"/>
      <c r="S1" s="663"/>
      <c r="T1" s="663"/>
      <c r="U1" s="663"/>
      <c r="V1" s="663"/>
      <c r="W1" s="663"/>
      <c r="X1" s="663"/>
      <c r="Y1" s="663"/>
      <c r="Z1" s="663"/>
    </row>
    <row r="2">
      <c r="A2" s="664" t="s">
        <v>14612</v>
      </c>
      <c r="B2" s="98" t="str">
        <f>IFERROR(__xludf.DUMMYFUNCTION("GOOGLETRANSLATE(A2,""zh-tw"",""ja"")"),"公式Discordグループ：
https://discord.gg/2Bt7RWknyH")</f>
        <v>公式Discordグループ：
https://discord.gg/2Bt7RWknyH</v>
      </c>
      <c r="C2" s="665" t="str">
        <f>IFERROR(__xludf.DUMMYFUNCTION("GOOGLETRANSLATE(A2,""zh-tw"",""en"")"),"Official Discord group:
https://discord.gg/2Bt7RWknyH")</f>
        <v>Official Discord group:
https://discord.gg/2Bt7RWknyH</v>
      </c>
      <c r="E2" s="663"/>
      <c r="F2" s="663"/>
      <c r="G2" s="663"/>
      <c r="H2" s="663"/>
      <c r="I2" s="663"/>
      <c r="J2" s="663"/>
      <c r="K2" s="663"/>
      <c r="L2" s="663"/>
      <c r="M2" s="663"/>
      <c r="N2" s="663"/>
      <c r="O2" s="663"/>
      <c r="P2" s="663"/>
      <c r="Q2" s="663"/>
      <c r="R2" s="663"/>
      <c r="S2" s="663"/>
      <c r="T2" s="663"/>
      <c r="U2" s="663"/>
      <c r="V2" s="663"/>
      <c r="W2" s="663"/>
      <c r="X2" s="663"/>
      <c r="Y2" s="663"/>
      <c r="Z2" s="663"/>
    </row>
    <row r="3">
      <c r="A3" s="666" t="s">
        <v>14613</v>
      </c>
      <c r="B3" s="98" t="s">
        <v>14613</v>
      </c>
      <c r="C3" s="665" t="s">
        <v>14613</v>
      </c>
      <c r="E3" s="663"/>
      <c r="F3" s="663"/>
      <c r="G3" s="663"/>
      <c r="H3" s="663"/>
      <c r="I3" s="663"/>
      <c r="J3" s="663"/>
      <c r="K3" s="663"/>
      <c r="L3" s="663"/>
      <c r="M3" s="663"/>
      <c r="N3" s="663"/>
      <c r="O3" s="663"/>
      <c r="P3" s="663"/>
      <c r="Q3" s="663"/>
      <c r="R3" s="663"/>
      <c r="S3" s="663"/>
      <c r="T3" s="663"/>
      <c r="U3" s="663"/>
      <c r="V3" s="663"/>
      <c r="W3" s="663"/>
      <c r="X3" s="663"/>
      <c r="Y3" s="663"/>
      <c r="Z3" s="663"/>
    </row>
    <row r="4">
      <c r="A4" s="667"/>
      <c r="E4" s="663"/>
      <c r="F4" s="663"/>
      <c r="G4" s="663"/>
      <c r="H4" s="663"/>
      <c r="I4" s="663"/>
      <c r="J4" s="663"/>
      <c r="K4" s="663"/>
      <c r="L4" s="663"/>
      <c r="M4" s="663"/>
      <c r="N4" s="663"/>
      <c r="O4" s="663"/>
      <c r="P4" s="663"/>
      <c r="Q4" s="663"/>
      <c r="R4" s="663"/>
      <c r="S4" s="663"/>
      <c r="T4" s="663"/>
      <c r="U4" s="663"/>
      <c r="V4" s="663"/>
      <c r="W4" s="663"/>
      <c r="X4" s="663"/>
      <c r="Y4" s="663"/>
      <c r="Z4" s="663"/>
    </row>
    <row r="5">
      <c r="A5" s="664" t="s">
        <v>14614</v>
      </c>
      <c r="B5" s="98" t="str">
        <f>IFERROR(__xludf.DUMMYFUNCTION("GOOGLETRANSLATE(A5,""zh-tw"",""ja"")"),"公式YouTubeチャンネル")</f>
        <v>公式YouTubeチャンネル</v>
      </c>
      <c r="C5" s="665" t="str">
        <f>IFERROR(__xludf.DUMMYFUNCTION("GOOGLETRANSLATE(A5,""zh-tw"",""en"")"),"Official YouTube channel")</f>
        <v>Official YouTube channel</v>
      </c>
      <c r="D5" s="606" t="s">
        <v>14615</v>
      </c>
      <c r="E5" s="663"/>
      <c r="F5" s="663"/>
      <c r="G5" s="663"/>
      <c r="H5" s="663"/>
      <c r="I5" s="663"/>
      <c r="J5" s="663"/>
      <c r="K5" s="663"/>
      <c r="L5" s="663"/>
      <c r="M5" s="663"/>
      <c r="N5" s="663"/>
      <c r="O5" s="663"/>
      <c r="P5" s="663"/>
      <c r="Q5" s="663"/>
      <c r="R5" s="663"/>
      <c r="S5" s="663"/>
      <c r="T5" s="663"/>
      <c r="U5" s="663"/>
      <c r="V5" s="663"/>
      <c r="W5" s="663"/>
      <c r="X5" s="663"/>
      <c r="Y5" s="663"/>
      <c r="Z5" s="663"/>
    </row>
    <row r="6">
      <c r="A6" s="664" t="s">
        <v>14616</v>
      </c>
      <c r="B6" s="98" t="str">
        <f>IFERROR(__xludf.DUMMYFUNCTION("GOOGLETRANSLATE(A6,""zh-tw"",""ja"")"),"公式法案")</f>
        <v>公式法案</v>
      </c>
      <c r="C6" s="665" t="str">
        <f>IFERROR(__xludf.DUMMYFUNCTION("GOOGLETRANSLATE(A6,""zh-tw"",""en"")"),"Official bill")</f>
        <v>Official bill</v>
      </c>
      <c r="D6" s="606" t="s">
        <v>14615</v>
      </c>
      <c r="E6" s="663"/>
      <c r="F6" s="663"/>
      <c r="G6" s="663"/>
      <c r="H6" s="663"/>
      <c r="I6" s="663"/>
      <c r="J6" s="663"/>
      <c r="K6" s="663"/>
      <c r="L6" s="663"/>
      <c r="M6" s="663"/>
      <c r="N6" s="663"/>
      <c r="O6" s="663"/>
      <c r="P6" s="663"/>
      <c r="Q6" s="663"/>
      <c r="R6" s="663"/>
      <c r="S6" s="663"/>
      <c r="T6" s="663"/>
      <c r="U6" s="663"/>
      <c r="V6" s="663"/>
      <c r="W6" s="663"/>
      <c r="X6" s="663"/>
      <c r="Y6" s="663"/>
      <c r="Z6" s="663"/>
    </row>
    <row r="7">
      <c r="A7" s="664" t="s">
        <v>14617</v>
      </c>
      <c r="B7" s="98" t="str">
        <f>IFERROR(__xludf.DUMMYFUNCTION("GOOGLETRANSLATE(A7,""zh-tw"",""ja"")"),"片桐あきさんのYouTubeチャンネル
（妹役の声優）")</f>
        <v>片桐あきさんのYouTubeチャンネル
（妹役の声優）</v>
      </c>
      <c r="C7" s="665" t="str">
        <f>IFERROR(__xludf.DUMMYFUNCTION("GOOGLETRANSLATE(A7,""zh-tw"",""en"")"),"Aki Katagiri's YouTube channel
(Voice actress for her younger sister)")</f>
        <v>Aki Katagiri's YouTube channel
(Voice actress for her younger sister)</v>
      </c>
      <c r="D7" s="606" t="s">
        <v>14618</v>
      </c>
      <c r="E7" s="663"/>
      <c r="F7" s="663"/>
      <c r="G7" s="663"/>
      <c r="H7" s="663"/>
      <c r="I7" s="663"/>
      <c r="J7" s="663"/>
      <c r="K7" s="663"/>
      <c r="L7" s="663"/>
      <c r="M7" s="663"/>
      <c r="N7" s="663"/>
      <c r="O7" s="663"/>
      <c r="P7" s="663"/>
      <c r="Q7" s="663"/>
      <c r="R7" s="663"/>
      <c r="S7" s="663"/>
      <c r="T7" s="663"/>
      <c r="U7" s="663"/>
      <c r="V7" s="663"/>
      <c r="W7" s="663"/>
      <c r="X7" s="663"/>
      <c r="Y7" s="663"/>
      <c r="Z7" s="663"/>
    </row>
    <row r="8">
      <c r="A8" s="664" t="s">
        <v>14619</v>
      </c>
      <c r="B8" s="98" t="str">
        <f>IFERROR(__xludf.DUMMYFUNCTION("GOOGLETRANSLATE(A8,""zh-tw"",""ja"")"),"片桐亜紀（ビルビルチャンネル）
（妹役の声優）")</f>
        <v>片桐亜紀（ビルビルチャンネル）
（妹役の声優）</v>
      </c>
      <c r="C8" s="665" t="str">
        <f>IFERROR(__xludf.DUMMYFUNCTION("GOOGLETRANSLATE(A8,""zh-tw"",""en"")"),"Aki Katagiri (bilbill channel)
(Voice actress for the younger sister)")</f>
        <v>Aki Katagiri (bilbill channel)
(Voice actress for the younger sister)</v>
      </c>
      <c r="D8" s="606" t="s">
        <v>14618</v>
      </c>
      <c r="E8" s="663"/>
      <c r="F8" s="663"/>
      <c r="G8" s="663"/>
      <c r="H8" s="663"/>
      <c r="I8" s="663"/>
      <c r="J8" s="663"/>
      <c r="K8" s="663"/>
      <c r="L8" s="663"/>
      <c r="M8" s="663"/>
      <c r="N8" s="663"/>
      <c r="O8" s="663"/>
      <c r="P8" s="663"/>
      <c r="Q8" s="663"/>
      <c r="R8" s="663"/>
      <c r="S8" s="663"/>
      <c r="T8" s="663"/>
      <c r="U8" s="663"/>
      <c r="V8" s="663"/>
      <c r="W8" s="663"/>
      <c r="X8" s="663"/>
      <c r="Y8" s="663"/>
      <c r="Z8" s="663"/>
    </row>
    <row r="9">
      <c r="A9" s="664" t="s">
        <v>14620</v>
      </c>
      <c r="B9" s="98" t="str">
        <f>IFERROR(__xludf.DUMMYFUNCTION("GOOGLETRANSLATE(A9,""zh-tw"",""ja"")"),"ROROのYouTubeチャンネル（攻略ガイド作成チャンネル、現在準備中、チャンネル登録歓迎）")</f>
        <v>ROROのYouTubeチャンネル（攻略ガイド作成チャンネル、現在準備中、チャンネル登録歓迎）</v>
      </c>
      <c r="C9" s="665" t="str">
        <f>IFERROR(__xludf.DUMMYFUNCTION("GOOGLETRANSLATE(A9,""zh-tw"",""en"")"),"RORO's YouTube channel (Strategy guide creator channel, currently in preparation, welcome to subscribe)")</f>
        <v>RORO's YouTube channel (Strategy guide creator channel, currently in preparation, welcome to subscribe)</v>
      </c>
      <c r="D9" s="606" t="s">
        <v>14621</v>
      </c>
      <c r="E9" s="663"/>
      <c r="F9" s="663"/>
      <c r="G9" s="663"/>
      <c r="H9" s="663"/>
      <c r="I9" s="663"/>
      <c r="J9" s="663"/>
      <c r="K9" s="663"/>
      <c r="L9" s="663"/>
      <c r="M9" s="663"/>
      <c r="N9" s="663"/>
      <c r="O9" s="663"/>
      <c r="P9" s="663"/>
      <c r="Q9" s="663"/>
      <c r="R9" s="663"/>
      <c r="S9" s="663"/>
      <c r="T9" s="663"/>
      <c r="U9" s="663"/>
      <c r="V9" s="663"/>
      <c r="W9" s="663"/>
      <c r="X9" s="663"/>
      <c r="Y9" s="663"/>
      <c r="Z9" s="663"/>
    </row>
    <row r="10">
      <c r="A10" s="667"/>
      <c r="E10" s="663"/>
      <c r="F10" s="663"/>
      <c r="G10" s="663"/>
      <c r="H10" s="663"/>
      <c r="I10" s="663"/>
      <c r="J10" s="663"/>
      <c r="K10" s="663"/>
      <c r="L10" s="663"/>
      <c r="M10" s="663"/>
      <c r="N10" s="663"/>
      <c r="O10" s="663"/>
      <c r="P10" s="663"/>
      <c r="Q10" s="663"/>
      <c r="R10" s="663"/>
      <c r="S10" s="663"/>
      <c r="T10" s="663"/>
      <c r="U10" s="663"/>
      <c r="V10" s="663"/>
      <c r="W10" s="663"/>
      <c r="X10" s="663"/>
      <c r="Y10" s="663"/>
      <c r="Z10" s="663"/>
    </row>
    <row r="11">
      <c r="A11" s="668" t="s">
        <v>14622</v>
      </c>
      <c r="B11" s="98" t="str">
        <f>IFERROR(__xludf.DUMMYFUNCTION("GOOGLETRANSLATE(A11,""zh-tw"",""ja"")"),"プレイヤー応募受付中（準備中、応募歓迎）")</f>
        <v>プレイヤー応募受付中（準備中、応募歓迎）</v>
      </c>
      <c r="C11" s="665" t="str">
        <f>IFERROR(__xludf.DUMMYFUNCTION("GOOGLETRANSLATE(A11,""zh-tw"",""en"")"),"Player submissions (in preparation, submissions are welcome)")</f>
        <v>Player submissions (in preparation, submissions are welcome)</v>
      </c>
      <c r="D11" s="669" t="s">
        <v>14623</v>
      </c>
      <c r="E11" s="663"/>
      <c r="F11" s="663"/>
      <c r="G11" s="663"/>
      <c r="H11" s="663"/>
      <c r="I11" s="663"/>
      <c r="J11" s="663"/>
      <c r="K11" s="663"/>
      <c r="L11" s="663"/>
      <c r="M11" s="663"/>
      <c r="N11" s="663"/>
      <c r="O11" s="663"/>
      <c r="P11" s="663"/>
      <c r="Q11" s="663"/>
      <c r="R11" s="663"/>
      <c r="S11" s="663"/>
      <c r="T11" s="663"/>
      <c r="U11" s="663"/>
      <c r="V11" s="663"/>
      <c r="W11" s="663"/>
      <c r="X11" s="663"/>
      <c r="Y11" s="663"/>
      <c r="Z11" s="663"/>
    </row>
    <row r="12">
      <c r="A12" s="670"/>
      <c r="B12" s="671"/>
      <c r="C12" s="672"/>
      <c r="D12" s="673"/>
      <c r="E12" s="663"/>
      <c r="F12" s="663"/>
      <c r="G12" s="663"/>
      <c r="H12" s="663"/>
      <c r="I12" s="663"/>
      <c r="J12" s="663"/>
      <c r="K12" s="663"/>
      <c r="L12" s="663"/>
      <c r="M12" s="663"/>
      <c r="N12" s="663"/>
      <c r="O12" s="663"/>
      <c r="P12" s="663"/>
      <c r="Q12" s="663"/>
      <c r="R12" s="663"/>
      <c r="S12" s="663"/>
      <c r="T12" s="663"/>
      <c r="U12" s="663"/>
      <c r="V12" s="663"/>
      <c r="W12" s="663"/>
      <c r="X12" s="663"/>
      <c r="Y12" s="663"/>
      <c r="Z12" s="663"/>
    </row>
    <row r="13">
      <c r="A13" s="670"/>
      <c r="B13" s="671"/>
      <c r="C13" s="672"/>
      <c r="D13" s="673"/>
      <c r="E13" s="663"/>
      <c r="F13" s="663"/>
      <c r="G13" s="663"/>
      <c r="H13" s="663"/>
      <c r="I13" s="663"/>
      <c r="J13" s="663"/>
      <c r="K13" s="663"/>
      <c r="L13" s="663"/>
      <c r="M13" s="663"/>
      <c r="N13" s="663"/>
      <c r="O13" s="663"/>
      <c r="P13" s="663"/>
      <c r="Q13" s="663"/>
      <c r="R13" s="663"/>
      <c r="S13" s="663"/>
      <c r="T13" s="663"/>
      <c r="U13" s="663"/>
      <c r="V13" s="663"/>
      <c r="W13" s="663"/>
      <c r="X13" s="663"/>
      <c r="Y13" s="663"/>
      <c r="Z13" s="663"/>
    </row>
    <row r="14">
      <c r="A14" s="670"/>
      <c r="B14" s="671"/>
      <c r="C14" s="672"/>
      <c r="D14" s="673"/>
      <c r="E14" s="663"/>
      <c r="F14" s="663"/>
      <c r="G14" s="663"/>
      <c r="H14" s="663"/>
      <c r="I14" s="663"/>
      <c r="J14" s="663"/>
      <c r="K14" s="663"/>
      <c r="L14" s="663"/>
      <c r="M14" s="663"/>
      <c r="N14" s="663"/>
      <c r="O14" s="663"/>
      <c r="P14" s="663"/>
      <c r="Q14" s="663"/>
      <c r="R14" s="663"/>
      <c r="S14" s="663"/>
      <c r="T14" s="663"/>
      <c r="U14" s="663"/>
      <c r="V14" s="663"/>
      <c r="W14" s="663"/>
      <c r="X14" s="663"/>
      <c r="Y14" s="663"/>
      <c r="Z14" s="663"/>
    </row>
    <row r="15">
      <c r="A15" s="670"/>
      <c r="B15" s="671"/>
      <c r="C15" s="672"/>
      <c r="D15" s="673"/>
      <c r="E15" s="663"/>
      <c r="F15" s="663"/>
      <c r="G15" s="663"/>
      <c r="H15" s="663"/>
      <c r="I15" s="663"/>
      <c r="J15" s="663"/>
      <c r="K15" s="663"/>
      <c r="L15" s="663"/>
      <c r="M15" s="663"/>
      <c r="N15" s="663"/>
      <c r="O15" s="663"/>
      <c r="P15" s="663"/>
      <c r="Q15" s="663"/>
      <c r="R15" s="663"/>
      <c r="S15" s="663"/>
      <c r="T15" s="663"/>
      <c r="U15" s="663"/>
      <c r="V15" s="663"/>
      <c r="W15" s="663"/>
      <c r="X15" s="663"/>
      <c r="Y15" s="663"/>
      <c r="Z15" s="663"/>
    </row>
    <row r="16">
      <c r="A16" s="670"/>
      <c r="B16" s="671"/>
      <c r="C16" s="672"/>
      <c r="D16" s="673"/>
      <c r="E16" s="663"/>
      <c r="F16" s="663"/>
      <c r="G16" s="663"/>
      <c r="H16" s="663"/>
      <c r="I16" s="663"/>
      <c r="J16" s="663"/>
      <c r="K16" s="663"/>
      <c r="L16" s="663"/>
      <c r="M16" s="663"/>
      <c r="N16" s="663"/>
      <c r="O16" s="663"/>
      <c r="P16" s="663"/>
      <c r="Q16" s="663"/>
      <c r="R16" s="663"/>
      <c r="S16" s="663"/>
      <c r="T16" s="663"/>
      <c r="U16" s="663"/>
      <c r="V16" s="663"/>
      <c r="W16" s="663"/>
      <c r="X16" s="663"/>
      <c r="Y16" s="663"/>
      <c r="Z16" s="663"/>
    </row>
    <row r="17">
      <c r="A17" s="670"/>
      <c r="B17" s="671"/>
      <c r="C17" s="672"/>
      <c r="D17" s="673"/>
      <c r="E17" s="663"/>
      <c r="F17" s="663"/>
      <c r="G17" s="663"/>
      <c r="H17" s="663"/>
      <c r="I17" s="663"/>
      <c r="J17" s="663"/>
      <c r="K17" s="663"/>
      <c r="L17" s="663"/>
      <c r="M17" s="663"/>
      <c r="N17" s="663"/>
      <c r="O17" s="663"/>
      <c r="P17" s="663"/>
      <c r="Q17" s="663"/>
      <c r="R17" s="663"/>
      <c r="S17" s="663"/>
      <c r="T17" s="663"/>
      <c r="U17" s="663"/>
      <c r="V17" s="663"/>
      <c r="W17" s="663"/>
      <c r="X17" s="663"/>
      <c r="Y17" s="663"/>
      <c r="Z17" s="663"/>
    </row>
    <row r="18">
      <c r="A18" s="670"/>
      <c r="B18" s="671"/>
      <c r="C18" s="672"/>
      <c r="D18" s="673"/>
      <c r="E18" s="663"/>
      <c r="F18" s="663"/>
      <c r="G18" s="663"/>
      <c r="H18" s="663"/>
      <c r="I18" s="663"/>
      <c r="J18" s="663"/>
      <c r="K18" s="663"/>
      <c r="L18" s="663"/>
      <c r="M18" s="663"/>
      <c r="N18" s="663"/>
      <c r="O18" s="663"/>
      <c r="P18" s="663"/>
      <c r="Q18" s="663"/>
      <c r="R18" s="663"/>
      <c r="S18" s="663"/>
      <c r="T18" s="663"/>
      <c r="U18" s="663"/>
      <c r="V18" s="663"/>
      <c r="W18" s="663"/>
      <c r="X18" s="663"/>
      <c r="Y18" s="663"/>
      <c r="Z18" s="663"/>
    </row>
    <row r="19">
      <c r="A19" s="670"/>
      <c r="B19" s="671"/>
      <c r="C19" s="672"/>
      <c r="D19" s="673"/>
      <c r="E19" s="663"/>
      <c r="F19" s="663"/>
      <c r="G19" s="663"/>
      <c r="H19" s="663"/>
      <c r="I19" s="663"/>
      <c r="J19" s="663"/>
      <c r="K19" s="663"/>
      <c r="L19" s="663"/>
      <c r="M19" s="663"/>
      <c r="N19" s="663"/>
      <c r="O19" s="663"/>
      <c r="P19" s="663"/>
      <c r="Q19" s="663"/>
      <c r="R19" s="663"/>
      <c r="S19" s="663"/>
      <c r="T19" s="663"/>
      <c r="U19" s="663"/>
      <c r="V19" s="663"/>
      <c r="W19" s="663"/>
      <c r="X19" s="663"/>
      <c r="Y19" s="663"/>
      <c r="Z19" s="663"/>
    </row>
    <row r="20">
      <c r="A20" s="670"/>
      <c r="B20" s="671"/>
      <c r="C20" s="672"/>
      <c r="D20" s="673"/>
      <c r="E20" s="663"/>
      <c r="F20" s="663"/>
      <c r="G20" s="663"/>
      <c r="H20" s="663"/>
      <c r="I20" s="663"/>
      <c r="J20" s="663"/>
      <c r="K20" s="663"/>
      <c r="L20" s="663"/>
      <c r="M20" s="663"/>
      <c r="N20" s="663"/>
      <c r="O20" s="663"/>
      <c r="P20" s="663"/>
      <c r="Q20" s="663"/>
      <c r="R20" s="663"/>
      <c r="S20" s="663"/>
      <c r="T20" s="663"/>
      <c r="U20" s="663"/>
      <c r="V20" s="663"/>
      <c r="W20" s="663"/>
      <c r="X20" s="663"/>
      <c r="Y20" s="663"/>
      <c r="Z20" s="663"/>
    </row>
    <row r="21">
      <c r="A21" s="670"/>
      <c r="B21" s="671"/>
      <c r="C21" s="672"/>
      <c r="D21" s="673"/>
      <c r="E21" s="663"/>
      <c r="F21" s="663"/>
      <c r="G21" s="663"/>
      <c r="H21" s="663"/>
      <c r="I21" s="663"/>
      <c r="J21" s="663"/>
      <c r="K21" s="663"/>
      <c r="L21" s="663"/>
      <c r="M21" s="663"/>
      <c r="N21" s="663"/>
      <c r="O21" s="663"/>
      <c r="P21" s="663"/>
      <c r="Q21" s="663"/>
      <c r="R21" s="663"/>
      <c r="S21" s="663"/>
      <c r="T21" s="663"/>
      <c r="U21" s="663"/>
      <c r="V21" s="663"/>
      <c r="W21" s="663"/>
      <c r="X21" s="663"/>
      <c r="Y21" s="663"/>
      <c r="Z21" s="663"/>
    </row>
    <row r="22">
      <c r="A22" s="670"/>
      <c r="B22" s="671"/>
      <c r="C22" s="672"/>
      <c r="D22" s="673"/>
      <c r="E22" s="663"/>
      <c r="F22" s="663"/>
      <c r="G22" s="663"/>
      <c r="H22" s="663"/>
      <c r="I22" s="663"/>
      <c r="J22" s="663"/>
      <c r="K22" s="663"/>
      <c r="L22" s="663"/>
      <c r="M22" s="663"/>
      <c r="N22" s="663"/>
      <c r="O22" s="663"/>
      <c r="P22" s="663"/>
      <c r="Q22" s="663"/>
      <c r="R22" s="663"/>
      <c r="S22" s="663"/>
      <c r="T22" s="663"/>
      <c r="U22" s="663"/>
      <c r="V22" s="663"/>
      <c r="W22" s="663"/>
      <c r="X22" s="663"/>
      <c r="Y22" s="663"/>
      <c r="Z22" s="663"/>
    </row>
    <row r="23">
      <c r="A23" s="670"/>
      <c r="B23" s="671"/>
      <c r="C23" s="672"/>
      <c r="D23" s="673"/>
      <c r="E23" s="663"/>
      <c r="F23" s="663"/>
      <c r="G23" s="663"/>
      <c r="H23" s="663"/>
      <c r="I23" s="663"/>
      <c r="J23" s="663"/>
      <c r="K23" s="663"/>
      <c r="L23" s="663"/>
      <c r="M23" s="663"/>
      <c r="N23" s="663"/>
      <c r="O23" s="663"/>
      <c r="P23" s="663"/>
      <c r="Q23" s="663"/>
      <c r="R23" s="663"/>
      <c r="S23" s="663"/>
      <c r="T23" s="663"/>
      <c r="U23" s="663"/>
      <c r="V23" s="663"/>
      <c r="W23" s="663"/>
      <c r="X23" s="663"/>
      <c r="Y23" s="663"/>
      <c r="Z23" s="663"/>
    </row>
    <row r="24">
      <c r="A24" s="670"/>
      <c r="B24" s="671"/>
      <c r="C24" s="672"/>
      <c r="D24" s="673"/>
      <c r="E24" s="663"/>
      <c r="F24" s="663"/>
      <c r="G24" s="663"/>
      <c r="H24" s="663"/>
      <c r="I24" s="663"/>
      <c r="J24" s="663"/>
      <c r="K24" s="663"/>
      <c r="L24" s="663"/>
      <c r="M24" s="663"/>
      <c r="N24" s="663"/>
      <c r="O24" s="663"/>
      <c r="P24" s="663"/>
      <c r="Q24" s="663"/>
      <c r="R24" s="663"/>
      <c r="S24" s="663"/>
      <c r="T24" s="663"/>
      <c r="U24" s="663"/>
      <c r="V24" s="663"/>
      <c r="W24" s="663"/>
      <c r="X24" s="663"/>
      <c r="Y24" s="663"/>
      <c r="Z24" s="663"/>
    </row>
    <row r="25">
      <c r="A25" s="670"/>
      <c r="B25" s="671"/>
      <c r="C25" s="672"/>
      <c r="D25" s="673"/>
      <c r="E25" s="663"/>
      <c r="F25" s="663"/>
      <c r="G25" s="663"/>
      <c r="H25" s="663"/>
      <c r="I25" s="663"/>
      <c r="J25" s="663"/>
      <c r="K25" s="663"/>
      <c r="L25" s="663"/>
      <c r="M25" s="663"/>
      <c r="N25" s="663"/>
      <c r="O25" s="663"/>
      <c r="P25" s="663"/>
      <c r="Q25" s="663"/>
      <c r="R25" s="663"/>
      <c r="S25" s="663"/>
      <c r="T25" s="663"/>
      <c r="U25" s="663"/>
      <c r="V25" s="663"/>
      <c r="W25" s="663"/>
      <c r="X25" s="663"/>
      <c r="Y25" s="663"/>
      <c r="Z25" s="663"/>
    </row>
    <row r="26">
      <c r="A26" s="670"/>
      <c r="B26" s="671"/>
      <c r="C26" s="672"/>
      <c r="D26" s="673"/>
      <c r="E26" s="663"/>
      <c r="F26" s="663"/>
      <c r="G26" s="663"/>
      <c r="H26" s="663"/>
      <c r="I26" s="663"/>
      <c r="J26" s="663"/>
      <c r="K26" s="663"/>
      <c r="L26" s="663"/>
      <c r="M26" s="663"/>
      <c r="N26" s="663"/>
      <c r="O26" s="663"/>
      <c r="P26" s="663"/>
      <c r="Q26" s="663"/>
      <c r="R26" s="663"/>
      <c r="S26" s="663"/>
      <c r="T26" s="663"/>
      <c r="U26" s="663"/>
      <c r="V26" s="663"/>
      <c r="W26" s="663"/>
      <c r="X26" s="663"/>
      <c r="Y26" s="663"/>
      <c r="Z26" s="663"/>
    </row>
    <row r="27">
      <c r="A27" s="670"/>
      <c r="B27" s="671"/>
      <c r="C27" s="672"/>
      <c r="D27" s="673"/>
      <c r="E27" s="663"/>
      <c r="F27" s="663"/>
      <c r="G27" s="663"/>
      <c r="H27" s="663"/>
      <c r="I27" s="663"/>
      <c r="J27" s="663"/>
      <c r="K27" s="663"/>
      <c r="L27" s="663"/>
      <c r="M27" s="663"/>
      <c r="N27" s="663"/>
      <c r="O27" s="663"/>
      <c r="P27" s="663"/>
      <c r="Q27" s="663"/>
      <c r="R27" s="663"/>
      <c r="S27" s="663"/>
      <c r="T27" s="663"/>
      <c r="U27" s="663"/>
      <c r="V27" s="663"/>
      <c r="W27" s="663"/>
      <c r="X27" s="663"/>
      <c r="Y27" s="663"/>
      <c r="Z27" s="663"/>
    </row>
    <row r="28">
      <c r="A28" s="670"/>
      <c r="B28" s="671"/>
      <c r="C28" s="672"/>
      <c r="D28" s="673"/>
      <c r="E28" s="663"/>
      <c r="F28" s="663"/>
      <c r="G28" s="663"/>
      <c r="H28" s="663"/>
      <c r="I28" s="663"/>
      <c r="J28" s="663"/>
      <c r="K28" s="663"/>
      <c r="L28" s="663"/>
      <c r="M28" s="663"/>
      <c r="N28" s="663"/>
      <c r="O28" s="663"/>
      <c r="P28" s="663"/>
      <c r="Q28" s="663"/>
      <c r="R28" s="663"/>
      <c r="S28" s="663"/>
      <c r="T28" s="663"/>
      <c r="U28" s="663"/>
      <c r="V28" s="663"/>
      <c r="W28" s="663"/>
      <c r="X28" s="663"/>
      <c r="Y28" s="663"/>
      <c r="Z28" s="663"/>
    </row>
    <row r="29">
      <c r="A29" s="670"/>
      <c r="B29" s="671"/>
      <c r="C29" s="672"/>
      <c r="D29" s="673"/>
      <c r="E29" s="663"/>
      <c r="F29" s="663"/>
      <c r="G29" s="663"/>
      <c r="H29" s="663"/>
      <c r="I29" s="663"/>
      <c r="J29" s="663"/>
      <c r="K29" s="663"/>
      <c r="L29" s="663"/>
      <c r="M29" s="663"/>
      <c r="N29" s="663"/>
      <c r="O29" s="663"/>
      <c r="P29" s="663"/>
      <c r="Q29" s="663"/>
      <c r="R29" s="663"/>
      <c r="S29" s="663"/>
      <c r="T29" s="663"/>
      <c r="U29" s="663"/>
      <c r="V29" s="663"/>
      <c r="W29" s="663"/>
      <c r="X29" s="663"/>
      <c r="Y29" s="663"/>
      <c r="Z29" s="663"/>
    </row>
    <row r="30">
      <c r="A30" s="670"/>
      <c r="B30" s="671"/>
      <c r="C30" s="672"/>
      <c r="D30" s="673"/>
      <c r="E30" s="663"/>
      <c r="F30" s="663"/>
      <c r="G30" s="663"/>
      <c r="H30" s="663"/>
      <c r="I30" s="663"/>
      <c r="J30" s="663"/>
      <c r="K30" s="663"/>
      <c r="L30" s="663"/>
      <c r="M30" s="663"/>
      <c r="N30" s="663"/>
      <c r="O30" s="663"/>
      <c r="P30" s="663"/>
      <c r="Q30" s="663"/>
      <c r="R30" s="663"/>
      <c r="S30" s="663"/>
      <c r="T30" s="663"/>
      <c r="U30" s="663"/>
      <c r="V30" s="663"/>
      <c r="W30" s="663"/>
      <c r="X30" s="663"/>
      <c r="Y30" s="663"/>
      <c r="Z30" s="663"/>
    </row>
    <row r="31">
      <c r="A31" s="670"/>
      <c r="B31" s="671"/>
      <c r="C31" s="672"/>
      <c r="D31" s="673"/>
      <c r="E31" s="663"/>
      <c r="F31" s="663"/>
      <c r="G31" s="663"/>
      <c r="H31" s="663"/>
      <c r="I31" s="663"/>
      <c r="J31" s="663"/>
      <c r="K31" s="663"/>
      <c r="L31" s="663"/>
      <c r="M31" s="663"/>
      <c r="N31" s="663"/>
      <c r="O31" s="663"/>
      <c r="P31" s="663"/>
      <c r="Q31" s="663"/>
      <c r="R31" s="663"/>
      <c r="S31" s="663"/>
      <c r="T31" s="663"/>
      <c r="U31" s="663"/>
      <c r="V31" s="663"/>
      <c r="W31" s="663"/>
      <c r="X31" s="663"/>
      <c r="Y31" s="663"/>
      <c r="Z31" s="663"/>
    </row>
    <row r="32">
      <c r="A32" s="670"/>
      <c r="B32" s="671"/>
      <c r="C32" s="672"/>
      <c r="D32" s="673"/>
      <c r="E32" s="663"/>
      <c r="F32" s="663"/>
      <c r="G32" s="663"/>
      <c r="H32" s="663"/>
      <c r="I32" s="663"/>
      <c r="J32" s="663"/>
      <c r="K32" s="663"/>
      <c r="L32" s="663"/>
      <c r="M32" s="663"/>
      <c r="N32" s="663"/>
      <c r="O32" s="663"/>
      <c r="P32" s="663"/>
      <c r="Q32" s="663"/>
      <c r="R32" s="663"/>
      <c r="S32" s="663"/>
      <c r="T32" s="663"/>
      <c r="U32" s="663"/>
      <c r="V32" s="663"/>
      <c r="W32" s="663"/>
      <c r="X32" s="663"/>
      <c r="Y32" s="663"/>
      <c r="Z32" s="663"/>
    </row>
    <row r="33">
      <c r="A33" s="670"/>
      <c r="B33" s="671"/>
      <c r="C33" s="672"/>
      <c r="D33" s="673"/>
      <c r="E33" s="663"/>
      <c r="F33" s="663"/>
      <c r="G33" s="663"/>
      <c r="H33" s="663"/>
      <c r="I33" s="663"/>
      <c r="J33" s="663"/>
      <c r="K33" s="663"/>
      <c r="L33" s="663"/>
      <c r="M33" s="663"/>
      <c r="N33" s="663"/>
      <c r="O33" s="663"/>
      <c r="P33" s="663"/>
      <c r="Q33" s="663"/>
      <c r="R33" s="663"/>
      <c r="S33" s="663"/>
      <c r="T33" s="663"/>
      <c r="U33" s="663"/>
      <c r="V33" s="663"/>
      <c r="W33" s="663"/>
      <c r="X33" s="663"/>
      <c r="Y33" s="663"/>
      <c r="Z33" s="663"/>
    </row>
    <row r="34">
      <c r="A34" s="670"/>
      <c r="B34" s="671"/>
      <c r="C34" s="672"/>
      <c r="D34" s="673"/>
      <c r="E34" s="663"/>
      <c r="F34" s="663"/>
      <c r="G34" s="663"/>
      <c r="H34" s="663"/>
      <c r="I34" s="663"/>
      <c r="J34" s="663"/>
      <c r="K34" s="663"/>
      <c r="L34" s="663"/>
      <c r="M34" s="663"/>
      <c r="N34" s="663"/>
      <c r="O34" s="663"/>
      <c r="P34" s="663"/>
      <c r="Q34" s="663"/>
      <c r="R34" s="663"/>
      <c r="S34" s="663"/>
      <c r="T34" s="663"/>
      <c r="U34" s="663"/>
      <c r="V34" s="663"/>
      <c r="W34" s="663"/>
      <c r="X34" s="663"/>
      <c r="Y34" s="663"/>
      <c r="Z34" s="663"/>
    </row>
    <row r="35">
      <c r="A35" s="670"/>
      <c r="B35" s="671"/>
      <c r="C35" s="672"/>
      <c r="D35" s="673"/>
      <c r="E35" s="663"/>
      <c r="F35" s="663"/>
      <c r="G35" s="663"/>
      <c r="H35" s="663"/>
      <c r="I35" s="663"/>
      <c r="J35" s="663"/>
      <c r="K35" s="663"/>
      <c r="L35" s="663"/>
      <c r="M35" s="663"/>
      <c r="N35" s="663"/>
      <c r="O35" s="663"/>
      <c r="P35" s="663"/>
      <c r="Q35" s="663"/>
      <c r="R35" s="663"/>
      <c r="S35" s="663"/>
      <c r="T35" s="663"/>
      <c r="U35" s="663"/>
      <c r="V35" s="663"/>
      <c r="W35" s="663"/>
      <c r="X35" s="663"/>
      <c r="Y35" s="663"/>
      <c r="Z35" s="663"/>
    </row>
    <row r="36">
      <c r="A36" s="670"/>
      <c r="B36" s="671"/>
      <c r="C36" s="672"/>
      <c r="D36" s="673"/>
      <c r="E36" s="663"/>
      <c r="F36" s="663"/>
      <c r="G36" s="663"/>
      <c r="H36" s="663"/>
      <c r="I36" s="663"/>
      <c r="J36" s="663"/>
      <c r="K36" s="663"/>
      <c r="L36" s="663"/>
      <c r="M36" s="663"/>
      <c r="N36" s="663"/>
      <c r="O36" s="663"/>
      <c r="P36" s="663"/>
      <c r="Q36" s="663"/>
      <c r="R36" s="663"/>
      <c r="S36" s="663"/>
      <c r="T36" s="663"/>
      <c r="U36" s="663"/>
      <c r="V36" s="663"/>
      <c r="W36" s="663"/>
      <c r="X36" s="663"/>
      <c r="Y36" s="663"/>
      <c r="Z36" s="663"/>
    </row>
    <row r="37">
      <c r="A37" s="670"/>
      <c r="B37" s="671"/>
      <c r="C37" s="672"/>
      <c r="D37" s="673"/>
      <c r="E37" s="663"/>
      <c r="F37" s="663"/>
      <c r="G37" s="663"/>
      <c r="H37" s="663"/>
      <c r="I37" s="663"/>
      <c r="J37" s="663"/>
      <c r="K37" s="663"/>
      <c r="L37" s="663"/>
      <c r="M37" s="663"/>
      <c r="N37" s="663"/>
      <c r="O37" s="663"/>
      <c r="P37" s="663"/>
      <c r="Q37" s="663"/>
      <c r="R37" s="663"/>
      <c r="S37" s="663"/>
      <c r="T37" s="663"/>
      <c r="U37" s="663"/>
      <c r="V37" s="663"/>
      <c r="W37" s="663"/>
      <c r="X37" s="663"/>
      <c r="Y37" s="663"/>
      <c r="Z37" s="663"/>
    </row>
    <row r="38">
      <c r="A38" s="670"/>
      <c r="B38" s="671"/>
      <c r="C38" s="672"/>
      <c r="D38" s="673"/>
      <c r="E38" s="663"/>
      <c r="F38" s="663"/>
      <c r="G38" s="663"/>
      <c r="H38" s="663"/>
      <c r="I38" s="663"/>
      <c r="J38" s="663"/>
      <c r="K38" s="663"/>
      <c r="L38" s="663"/>
      <c r="M38" s="663"/>
      <c r="N38" s="663"/>
      <c r="O38" s="663"/>
      <c r="P38" s="663"/>
      <c r="Q38" s="663"/>
      <c r="R38" s="663"/>
      <c r="S38" s="663"/>
      <c r="T38" s="663"/>
      <c r="U38" s="663"/>
      <c r="V38" s="663"/>
      <c r="W38" s="663"/>
      <c r="X38" s="663"/>
      <c r="Y38" s="663"/>
      <c r="Z38" s="663"/>
    </row>
    <row r="39">
      <c r="A39" s="670"/>
      <c r="B39" s="671"/>
      <c r="C39" s="672"/>
      <c r="D39" s="673"/>
      <c r="E39" s="663"/>
      <c r="F39" s="663"/>
      <c r="G39" s="663"/>
      <c r="H39" s="663"/>
      <c r="I39" s="663"/>
      <c r="J39" s="663"/>
      <c r="K39" s="663"/>
      <c r="L39" s="663"/>
      <c r="M39" s="663"/>
      <c r="N39" s="663"/>
      <c r="O39" s="663"/>
      <c r="P39" s="663"/>
      <c r="Q39" s="663"/>
      <c r="R39" s="663"/>
      <c r="S39" s="663"/>
      <c r="T39" s="663"/>
      <c r="U39" s="663"/>
      <c r="V39" s="663"/>
      <c r="W39" s="663"/>
      <c r="X39" s="663"/>
      <c r="Y39" s="663"/>
      <c r="Z39" s="663"/>
    </row>
    <row r="40">
      <c r="A40" s="670"/>
      <c r="B40" s="671"/>
      <c r="C40" s="672"/>
      <c r="D40" s="673"/>
      <c r="E40" s="663"/>
      <c r="F40" s="663"/>
      <c r="G40" s="663"/>
      <c r="H40" s="663"/>
      <c r="I40" s="663"/>
      <c r="J40" s="663"/>
      <c r="K40" s="663"/>
      <c r="L40" s="663"/>
      <c r="M40" s="663"/>
      <c r="N40" s="663"/>
      <c r="O40" s="663"/>
      <c r="P40" s="663"/>
      <c r="Q40" s="663"/>
      <c r="R40" s="663"/>
      <c r="S40" s="663"/>
      <c r="T40" s="663"/>
      <c r="U40" s="663"/>
      <c r="V40" s="663"/>
      <c r="W40" s="663"/>
      <c r="X40" s="663"/>
      <c r="Y40" s="663"/>
      <c r="Z40" s="663"/>
    </row>
    <row r="41">
      <c r="A41" s="670"/>
      <c r="B41" s="671"/>
      <c r="C41" s="672"/>
      <c r="D41" s="673"/>
      <c r="E41" s="663"/>
      <c r="F41" s="663"/>
      <c r="G41" s="663"/>
      <c r="H41" s="663"/>
      <c r="I41" s="663"/>
      <c r="J41" s="663"/>
      <c r="K41" s="663"/>
      <c r="L41" s="663"/>
      <c r="M41" s="663"/>
      <c r="N41" s="663"/>
      <c r="O41" s="663"/>
      <c r="P41" s="663"/>
      <c r="Q41" s="663"/>
      <c r="R41" s="663"/>
      <c r="S41" s="663"/>
      <c r="T41" s="663"/>
      <c r="U41" s="663"/>
      <c r="V41" s="663"/>
      <c r="W41" s="663"/>
      <c r="X41" s="663"/>
      <c r="Y41" s="663"/>
      <c r="Z41" s="663"/>
    </row>
    <row r="42">
      <c r="A42" s="670"/>
      <c r="B42" s="671"/>
      <c r="C42" s="672"/>
      <c r="D42" s="673"/>
      <c r="E42" s="663"/>
      <c r="F42" s="663"/>
      <c r="G42" s="663"/>
      <c r="H42" s="663"/>
      <c r="I42" s="663"/>
      <c r="J42" s="663"/>
      <c r="K42" s="663"/>
      <c r="L42" s="663"/>
      <c r="M42" s="663"/>
      <c r="N42" s="663"/>
      <c r="O42" s="663"/>
      <c r="P42" s="663"/>
      <c r="Q42" s="663"/>
      <c r="R42" s="663"/>
      <c r="S42" s="663"/>
      <c r="T42" s="663"/>
      <c r="U42" s="663"/>
      <c r="V42" s="663"/>
      <c r="W42" s="663"/>
      <c r="X42" s="663"/>
      <c r="Y42" s="663"/>
      <c r="Z42" s="663"/>
    </row>
    <row r="43">
      <c r="A43" s="670"/>
      <c r="B43" s="671"/>
      <c r="C43" s="672"/>
      <c r="D43" s="673"/>
      <c r="E43" s="663"/>
      <c r="F43" s="663"/>
      <c r="G43" s="663"/>
      <c r="H43" s="663"/>
      <c r="I43" s="663"/>
      <c r="J43" s="663"/>
      <c r="K43" s="663"/>
      <c r="L43" s="663"/>
      <c r="M43" s="663"/>
      <c r="N43" s="663"/>
      <c r="O43" s="663"/>
      <c r="P43" s="663"/>
      <c r="Q43" s="663"/>
      <c r="R43" s="663"/>
      <c r="S43" s="663"/>
      <c r="T43" s="663"/>
      <c r="U43" s="663"/>
      <c r="V43" s="663"/>
      <c r="W43" s="663"/>
      <c r="X43" s="663"/>
      <c r="Y43" s="663"/>
      <c r="Z43" s="663"/>
    </row>
    <row r="44">
      <c r="A44" s="670"/>
      <c r="B44" s="671"/>
      <c r="C44" s="672"/>
      <c r="D44" s="673"/>
      <c r="E44" s="663"/>
      <c r="F44" s="663"/>
      <c r="G44" s="663"/>
      <c r="H44" s="663"/>
      <c r="I44" s="663"/>
      <c r="J44" s="663"/>
      <c r="K44" s="663"/>
      <c r="L44" s="663"/>
      <c r="M44" s="663"/>
      <c r="N44" s="663"/>
      <c r="O44" s="663"/>
      <c r="P44" s="663"/>
      <c r="Q44" s="663"/>
      <c r="R44" s="663"/>
      <c r="S44" s="663"/>
      <c r="T44" s="663"/>
      <c r="U44" s="663"/>
      <c r="V44" s="663"/>
      <c r="W44" s="663"/>
      <c r="X44" s="663"/>
      <c r="Y44" s="663"/>
      <c r="Z44" s="663"/>
    </row>
    <row r="45">
      <c r="A45" s="670"/>
      <c r="B45" s="671"/>
      <c r="C45" s="672"/>
      <c r="D45" s="673"/>
      <c r="E45" s="663"/>
      <c r="F45" s="663"/>
      <c r="G45" s="663"/>
      <c r="H45" s="663"/>
      <c r="I45" s="663"/>
      <c r="J45" s="663"/>
      <c r="K45" s="663"/>
      <c r="L45" s="663"/>
      <c r="M45" s="663"/>
      <c r="N45" s="663"/>
      <c r="O45" s="663"/>
      <c r="P45" s="663"/>
      <c r="Q45" s="663"/>
      <c r="R45" s="663"/>
      <c r="S45" s="663"/>
      <c r="T45" s="663"/>
      <c r="U45" s="663"/>
      <c r="V45" s="663"/>
      <c r="W45" s="663"/>
      <c r="X45" s="663"/>
      <c r="Y45" s="663"/>
      <c r="Z45" s="663"/>
    </row>
    <row r="46">
      <c r="A46" s="670"/>
      <c r="B46" s="671"/>
      <c r="C46" s="672"/>
      <c r="D46" s="673"/>
      <c r="E46" s="663"/>
      <c r="F46" s="663"/>
      <c r="G46" s="663"/>
      <c r="H46" s="663"/>
      <c r="I46" s="663"/>
      <c r="J46" s="663"/>
      <c r="K46" s="663"/>
      <c r="L46" s="663"/>
      <c r="M46" s="663"/>
      <c r="N46" s="663"/>
      <c r="O46" s="663"/>
      <c r="P46" s="663"/>
      <c r="Q46" s="663"/>
      <c r="R46" s="663"/>
      <c r="S46" s="663"/>
      <c r="T46" s="663"/>
      <c r="U46" s="663"/>
      <c r="V46" s="663"/>
      <c r="W46" s="663"/>
      <c r="X46" s="663"/>
      <c r="Y46" s="663"/>
      <c r="Z46" s="663"/>
    </row>
    <row r="47">
      <c r="A47" s="670"/>
      <c r="B47" s="671"/>
      <c r="C47" s="672"/>
      <c r="D47" s="673"/>
      <c r="E47" s="663"/>
      <c r="F47" s="663"/>
      <c r="G47" s="663"/>
      <c r="H47" s="663"/>
      <c r="I47" s="663"/>
      <c r="J47" s="663"/>
      <c r="K47" s="663"/>
      <c r="L47" s="663"/>
      <c r="M47" s="663"/>
      <c r="N47" s="663"/>
      <c r="O47" s="663"/>
      <c r="P47" s="663"/>
      <c r="Q47" s="663"/>
      <c r="R47" s="663"/>
      <c r="S47" s="663"/>
      <c r="T47" s="663"/>
      <c r="U47" s="663"/>
      <c r="V47" s="663"/>
      <c r="W47" s="663"/>
      <c r="X47" s="663"/>
      <c r="Y47" s="663"/>
      <c r="Z47" s="663"/>
    </row>
    <row r="48">
      <c r="A48" s="670"/>
      <c r="B48" s="671"/>
      <c r="C48" s="672"/>
      <c r="D48" s="673"/>
      <c r="E48" s="663"/>
      <c r="F48" s="663"/>
      <c r="G48" s="663"/>
      <c r="H48" s="663"/>
      <c r="I48" s="663"/>
      <c r="J48" s="663"/>
      <c r="K48" s="663"/>
      <c r="L48" s="663"/>
      <c r="M48" s="663"/>
      <c r="N48" s="663"/>
      <c r="O48" s="663"/>
      <c r="P48" s="663"/>
      <c r="Q48" s="663"/>
      <c r="R48" s="663"/>
      <c r="S48" s="663"/>
      <c r="T48" s="663"/>
      <c r="U48" s="663"/>
      <c r="V48" s="663"/>
      <c r="W48" s="663"/>
      <c r="X48" s="663"/>
      <c r="Y48" s="663"/>
      <c r="Z48" s="663"/>
    </row>
    <row r="49">
      <c r="A49" s="670"/>
      <c r="B49" s="671"/>
      <c r="C49" s="672"/>
      <c r="D49" s="673"/>
      <c r="E49" s="663"/>
      <c r="F49" s="663"/>
      <c r="G49" s="663"/>
      <c r="H49" s="663"/>
      <c r="I49" s="663"/>
      <c r="J49" s="663"/>
      <c r="K49" s="663"/>
      <c r="L49" s="663"/>
      <c r="M49" s="663"/>
      <c r="N49" s="663"/>
      <c r="O49" s="663"/>
      <c r="P49" s="663"/>
      <c r="Q49" s="663"/>
      <c r="R49" s="663"/>
      <c r="S49" s="663"/>
      <c r="T49" s="663"/>
      <c r="U49" s="663"/>
      <c r="V49" s="663"/>
      <c r="W49" s="663"/>
      <c r="X49" s="663"/>
      <c r="Y49" s="663"/>
      <c r="Z49" s="663"/>
    </row>
    <row r="50">
      <c r="A50" s="670"/>
      <c r="B50" s="671"/>
      <c r="C50" s="672"/>
      <c r="D50" s="673"/>
      <c r="E50" s="663"/>
      <c r="F50" s="663"/>
      <c r="G50" s="663"/>
      <c r="H50" s="663"/>
      <c r="I50" s="663"/>
      <c r="J50" s="663"/>
      <c r="K50" s="663"/>
      <c r="L50" s="663"/>
      <c r="M50" s="663"/>
      <c r="N50" s="663"/>
      <c r="O50" s="663"/>
      <c r="P50" s="663"/>
      <c r="Q50" s="663"/>
      <c r="R50" s="663"/>
      <c r="S50" s="663"/>
      <c r="T50" s="663"/>
      <c r="U50" s="663"/>
      <c r="V50" s="663"/>
      <c r="W50" s="663"/>
      <c r="X50" s="663"/>
      <c r="Y50" s="663"/>
      <c r="Z50" s="663"/>
    </row>
    <row r="51">
      <c r="A51" s="670"/>
      <c r="B51" s="671"/>
      <c r="C51" s="672"/>
      <c r="D51" s="673"/>
      <c r="E51" s="663"/>
      <c r="F51" s="663"/>
      <c r="G51" s="663"/>
      <c r="H51" s="663"/>
      <c r="I51" s="663"/>
      <c r="J51" s="663"/>
      <c r="K51" s="663"/>
      <c r="L51" s="663"/>
      <c r="M51" s="663"/>
      <c r="N51" s="663"/>
      <c r="O51" s="663"/>
      <c r="P51" s="663"/>
      <c r="Q51" s="663"/>
      <c r="R51" s="663"/>
      <c r="S51" s="663"/>
      <c r="T51" s="663"/>
      <c r="U51" s="663"/>
      <c r="V51" s="663"/>
      <c r="W51" s="663"/>
      <c r="X51" s="663"/>
      <c r="Y51" s="663"/>
      <c r="Z51" s="663"/>
    </row>
    <row r="52">
      <c r="A52" s="670"/>
      <c r="B52" s="671"/>
      <c r="C52" s="672"/>
      <c r="D52" s="673"/>
      <c r="E52" s="663"/>
      <c r="F52" s="663"/>
      <c r="G52" s="663"/>
      <c r="H52" s="663"/>
      <c r="I52" s="663"/>
      <c r="J52" s="663"/>
      <c r="K52" s="663"/>
      <c r="L52" s="663"/>
      <c r="M52" s="663"/>
      <c r="N52" s="663"/>
      <c r="O52" s="663"/>
      <c r="P52" s="663"/>
      <c r="Q52" s="663"/>
      <c r="R52" s="663"/>
      <c r="S52" s="663"/>
      <c r="T52" s="663"/>
      <c r="U52" s="663"/>
      <c r="V52" s="663"/>
      <c r="W52" s="663"/>
      <c r="X52" s="663"/>
      <c r="Y52" s="663"/>
      <c r="Z52" s="663"/>
    </row>
    <row r="53">
      <c r="A53" s="670"/>
      <c r="B53" s="671"/>
      <c r="C53" s="672"/>
      <c r="D53" s="673"/>
      <c r="E53" s="663"/>
      <c r="F53" s="663"/>
      <c r="G53" s="663"/>
      <c r="H53" s="663"/>
      <c r="I53" s="663"/>
      <c r="J53" s="663"/>
      <c r="K53" s="663"/>
      <c r="L53" s="663"/>
      <c r="M53" s="663"/>
      <c r="N53" s="663"/>
      <c r="O53" s="663"/>
      <c r="P53" s="663"/>
      <c r="Q53" s="663"/>
      <c r="R53" s="663"/>
      <c r="S53" s="663"/>
      <c r="T53" s="663"/>
      <c r="U53" s="663"/>
      <c r="V53" s="663"/>
      <c r="W53" s="663"/>
      <c r="X53" s="663"/>
      <c r="Y53" s="663"/>
      <c r="Z53" s="663"/>
    </row>
    <row r="54">
      <c r="A54" s="670"/>
      <c r="B54" s="671"/>
      <c r="C54" s="672"/>
      <c r="D54" s="673"/>
      <c r="E54" s="663"/>
      <c r="F54" s="663"/>
      <c r="G54" s="663"/>
      <c r="H54" s="663"/>
      <c r="I54" s="663"/>
      <c r="J54" s="663"/>
      <c r="K54" s="663"/>
      <c r="L54" s="663"/>
      <c r="M54" s="663"/>
      <c r="N54" s="663"/>
      <c r="O54" s="663"/>
      <c r="P54" s="663"/>
      <c r="Q54" s="663"/>
      <c r="R54" s="663"/>
      <c r="S54" s="663"/>
      <c r="T54" s="663"/>
      <c r="U54" s="663"/>
      <c r="V54" s="663"/>
      <c r="W54" s="663"/>
      <c r="X54" s="663"/>
      <c r="Y54" s="663"/>
      <c r="Z54" s="663"/>
    </row>
    <row r="55">
      <c r="A55" s="670"/>
      <c r="B55" s="671"/>
      <c r="C55" s="672"/>
      <c r="D55" s="673"/>
      <c r="E55" s="663"/>
      <c r="F55" s="663"/>
      <c r="G55" s="663"/>
      <c r="H55" s="663"/>
      <c r="I55" s="663"/>
      <c r="J55" s="663"/>
      <c r="K55" s="663"/>
      <c r="L55" s="663"/>
      <c r="M55" s="663"/>
      <c r="N55" s="663"/>
      <c r="O55" s="663"/>
      <c r="P55" s="663"/>
      <c r="Q55" s="663"/>
      <c r="R55" s="663"/>
      <c r="S55" s="663"/>
      <c r="T55" s="663"/>
      <c r="U55" s="663"/>
      <c r="V55" s="663"/>
      <c r="W55" s="663"/>
      <c r="X55" s="663"/>
      <c r="Y55" s="663"/>
      <c r="Z55" s="663"/>
    </row>
    <row r="56">
      <c r="A56" s="670"/>
      <c r="B56" s="671"/>
      <c r="C56" s="672"/>
      <c r="D56" s="673"/>
      <c r="E56" s="663"/>
      <c r="F56" s="663"/>
      <c r="G56" s="663"/>
      <c r="H56" s="663"/>
      <c r="I56" s="663"/>
      <c r="J56" s="663"/>
      <c r="K56" s="663"/>
      <c r="L56" s="663"/>
      <c r="M56" s="663"/>
      <c r="N56" s="663"/>
      <c r="O56" s="663"/>
      <c r="P56" s="663"/>
      <c r="Q56" s="663"/>
      <c r="R56" s="663"/>
      <c r="S56" s="663"/>
      <c r="T56" s="663"/>
      <c r="U56" s="663"/>
      <c r="V56" s="663"/>
      <c r="W56" s="663"/>
      <c r="X56" s="663"/>
      <c r="Y56" s="663"/>
      <c r="Z56" s="663"/>
    </row>
    <row r="57">
      <c r="A57" s="670"/>
      <c r="B57" s="671"/>
      <c r="C57" s="672"/>
      <c r="D57" s="673"/>
      <c r="E57" s="663"/>
      <c r="F57" s="663"/>
      <c r="G57" s="663"/>
      <c r="H57" s="663"/>
      <c r="I57" s="663"/>
      <c r="J57" s="663"/>
      <c r="K57" s="663"/>
      <c r="L57" s="663"/>
      <c r="M57" s="663"/>
      <c r="N57" s="663"/>
      <c r="O57" s="663"/>
      <c r="P57" s="663"/>
      <c r="Q57" s="663"/>
      <c r="R57" s="663"/>
      <c r="S57" s="663"/>
      <c r="T57" s="663"/>
      <c r="U57" s="663"/>
      <c r="V57" s="663"/>
      <c r="W57" s="663"/>
      <c r="X57" s="663"/>
      <c r="Y57" s="663"/>
      <c r="Z57" s="663"/>
    </row>
    <row r="58">
      <c r="A58" s="670"/>
      <c r="B58" s="671"/>
      <c r="C58" s="672"/>
      <c r="D58" s="673"/>
      <c r="E58" s="663"/>
      <c r="F58" s="663"/>
      <c r="G58" s="663"/>
      <c r="H58" s="663"/>
      <c r="I58" s="663"/>
      <c r="J58" s="663"/>
      <c r="K58" s="663"/>
      <c r="L58" s="663"/>
      <c r="M58" s="663"/>
      <c r="N58" s="663"/>
      <c r="O58" s="663"/>
      <c r="P58" s="663"/>
      <c r="Q58" s="663"/>
      <c r="R58" s="663"/>
      <c r="S58" s="663"/>
      <c r="T58" s="663"/>
      <c r="U58" s="663"/>
      <c r="V58" s="663"/>
      <c r="W58" s="663"/>
      <c r="X58" s="663"/>
      <c r="Y58" s="663"/>
      <c r="Z58" s="663"/>
    </row>
    <row r="59">
      <c r="A59" s="670"/>
      <c r="B59" s="671"/>
      <c r="C59" s="672"/>
      <c r="D59" s="673"/>
      <c r="E59" s="663"/>
      <c r="F59" s="663"/>
      <c r="G59" s="663"/>
      <c r="H59" s="663"/>
      <c r="I59" s="663"/>
      <c r="J59" s="663"/>
      <c r="K59" s="663"/>
      <c r="L59" s="663"/>
      <c r="M59" s="663"/>
      <c r="N59" s="663"/>
      <c r="O59" s="663"/>
      <c r="P59" s="663"/>
      <c r="Q59" s="663"/>
      <c r="R59" s="663"/>
      <c r="S59" s="663"/>
      <c r="T59" s="663"/>
      <c r="U59" s="663"/>
      <c r="V59" s="663"/>
      <c r="W59" s="663"/>
      <c r="X59" s="663"/>
      <c r="Y59" s="663"/>
      <c r="Z59" s="663"/>
    </row>
    <row r="60">
      <c r="A60" s="670"/>
      <c r="B60" s="671"/>
      <c r="C60" s="672"/>
      <c r="D60" s="673"/>
      <c r="E60" s="663"/>
      <c r="F60" s="663"/>
      <c r="G60" s="663"/>
      <c r="H60" s="663"/>
      <c r="I60" s="663"/>
      <c r="J60" s="663"/>
      <c r="K60" s="663"/>
      <c r="L60" s="663"/>
      <c r="M60" s="663"/>
      <c r="N60" s="663"/>
      <c r="O60" s="663"/>
      <c r="P60" s="663"/>
      <c r="Q60" s="663"/>
      <c r="R60" s="663"/>
      <c r="S60" s="663"/>
      <c r="T60" s="663"/>
      <c r="U60" s="663"/>
      <c r="V60" s="663"/>
      <c r="W60" s="663"/>
      <c r="X60" s="663"/>
      <c r="Y60" s="663"/>
      <c r="Z60" s="663"/>
    </row>
    <row r="61">
      <c r="A61" s="670"/>
      <c r="B61" s="671"/>
      <c r="C61" s="672"/>
      <c r="D61" s="673"/>
      <c r="E61" s="663"/>
      <c r="F61" s="663"/>
      <c r="G61" s="663"/>
      <c r="H61" s="663"/>
      <c r="I61" s="663"/>
      <c r="J61" s="663"/>
      <c r="K61" s="663"/>
      <c r="L61" s="663"/>
      <c r="M61" s="663"/>
      <c r="N61" s="663"/>
      <c r="O61" s="663"/>
      <c r="P61" s="663"/>
      <c r="Q61" s="663"/>
      <c r="R61" s="663"/>
      <c r="S61" s="663"/>
      <c r="T61" s="663"/>
      <c r="U61" s="663"/>
      <c r="V61" s="663"/>
      <c r="W61" s="663"/>
      <c r="X61" s="663"/>
      <c r="Y61" s="663"/>
      <c r="Z61" s="663"/>
    </row>
    <row r="62">
      <c r="A62" s="670"/>
      <c r="B62" s="671"/>
      <c r="C62" s="672"/>
      <c r="D62" s="673"/>
      <c r="E62" s="663"/>
      <c r="F62" s="663"/>
      <c r="G62" s="663"/>
      <c r="H62" s="663"/>
      <c r="I62" s="663"/>
      <c r="J62" s="663"/>
      <c r="K62" s="663"/>
      <c r="L62" s="663"/>
      <c r="M62" s="663"/>
      <c r="N62" s="663"/>
      <c r="O62" s="663"/>
      <c r="P62" s="663"/>
      <c r="Q62" s="663"/>
      <c r="R62" s="663"/>
      <c r="S62" s="663"/>
      <c r="T62" s="663"/>
      <c r="U62" s="663"/>
      <c r="V62" s="663"/>
      <c r="W62" s="663"/>
      <c r="X62" s="663"/>
      <c r="Y62" s="663"/>
      <c r="Z62" s="663"/>
    </row>
    <row r="63">
      <c r="A63" s="670"/>
      <c r="B63" s="671"/>
      <c r="C63" s="672"/>
      <c r="D63" s="673"/>
      <c r="E63" s="663"/>
      <c r="F63" s="663"/>
      <c r="G63" s="663"/>
      <c r="H63" s="663"/>
      <c r="I63" s="663"/>
      <c r="J63" s="663"/>
      <c r="K63" s="663"/>
      <c r="L63" s="663"/>
      <c r="M63" s="663"/>
      <c r="N63" s="663"/>
      <c r="O63" s="663"/>
      <c r="P63" s="663"/>
      <c r="Q63" s="663"/>
      <c r="R63" s="663"/>
      <c r="S63" s="663"/>
      <c r="T63" s="663"/>
      <c r="U63" s="663"/>
      <c r="V63" s="663"/>
      <c r="W63" s="663"/>
      <c r="X63" s="663"/>
      <c r="Y63" s="663"/>
      <c r="Z63" s="663"/>
    </row>
    <row r="64">
      <c r="A64" s="670"/>
      <c r="B64" s="671"/>
      <c r="C64" s="672"/>
      <c r="D64" s="673"/>
      <c r="E64" s="663"/>
      <c r="F64" s="663"/>
      <c r="G64" s="663"/>
      <c r="H64" s="663"/>
      <c r="I64" s="663"/>
      <c r="J64" s="663"/>
      <c r="K64" s="663"/>
      <c r="L64" s="663"/>
      <c r="M64" s="663"/>
      <c r="N64" s="663"/>
      <c r="O64" s="663"/>
      <c r="P64" s="663"/>
      <c r="Q64" s="663"/>
      <c r="R64" s="663"/>
      <c r="S64" s="663"/>
      <c r="T64" s="663"/>
      <c r="U64" s="663"/>
      <c r="V64" s="663"/>
      <c r="W64" s="663"/>
      <c r="X64" s="663"/>
      <c r="Y64" s="663"/>
      <c r="Z64" s="663"/>
    </row>
    <row r="65">
      <c r="A65" s="670"/>
      <c r="B65" s="671"/>
      <c r="C65" s="672"/>
      <c r="D65" s="673"/>
      <c r="E65" s="663"/>
      <c r="F65" s="663"/>
      <c r="G65" s="663"/>
      <c r="H65" s="663"/>
      <c r="I65" s="663"/>
      <c r="J65" s="663"/>
      <c r="K65" s="663"/>
      <c r="L65" s="663"/>
      <c r="M65" s="663"/>
      <c r="N65" s="663"/>
      <c r="O65" s="663"/>
      <c r="P65" s="663"/>
      <c r="Q65" s="663"/>
      <c r="R65" s="663"/>
      <c r="S65" s="663"/>
      <c r="T65" s="663"/>
      <c r="U65" s="663"/>
      <c r="V65" s="663"/>
      <c r="W65" s="663"/>
      <c r="X65" s="663"/>
      <c r="Y65" s="663"/>
      <c r="Z65" s="663"/>
    </row>
    <row r="66">
      <c r="A66" s="670"/>
      <c r="B66" s="671"/>
      <c r="C66" s="672"/>
      <c r="D66" s="673"/>
      <c r="E66" s="663"/>
      <c r="F66" s="663"/>
      <c r="G66" s="663"/>
      <c r="H66" s="663"/>
      <c r="I66" s="663"/>
      <c r="J66" s="663"/>
      <c r="K66" s="663"/>
      <c r="L66" s="663"/>
      <c r="M66" s="663"/>
      <c r="N66" s="663"/>
      <c r="O66" s="663"/>
      <c r="P66" s="663"/>
      <c r="Q66" s="663"/>
      <c r="R66" s="663"/>
      <c r="S66" s="663"/>
      <c r="T66" s="663"/>
      <c r="U66" s="663"/>
      <c r="V66" s="663"/>
      <c r="W66" s="663"/>
      <c r="X66" s="663"/>
      <c r="Y66" s="663"/>
      <c r="Z66" s="663"/>
    </row>
    <row r="67">
      <c r="A67" s="670"/>
      <c r="B67" s="671"/>
      <c r="C67" s="672"/>
      <c r="D67" s="673"/>
      <c r="E67" s="663"/>
      <c r="F67" s="663"/>
      <c r="G67" s="663"/>
      <c r="H67" s="663"/>
      <c r="I67" s="663"/>
      <c r="J67" s="663"/>
      <c r="K67" s="663"/>
      <c r="L67" s="663"/>
      <c r="M67" s="663"/>
      <c r="N67" s="663"/>
      <c r="O67" s="663"/>
      <c r="P67" s="663"/>
      <c r="Q67" s="663"/>
      <c r="R67" s="663"/>
      <c r="S67" s="663"/>
      <c r="T67" s="663"/>
      <c r="U67" s="663"/>
      <c r="V67" s="663"/>
      <c r="W67" s="663"/>
      <c r="X67" s="663"/>
      <c r="Y67" s="663"/>
      <c r="Z67" s="663"/>
    </row>
    <row r="68">
      <c r="A68" s="670"/>
      <c r="B68" s="671"/>
      <c r="C68" s="672"/>
      <c r="D68" s="673"/>
      <c r="E68" s="663"/>
      <c r="F68" s="663"/>
      <c r="G68" s="663"/>
      <c r="H68" s="663"/>
      <c r="I68" s="663"/>
      <c r="J68" s="663"/>
      <c r="K68" s="663"/>
      <c r="L68" s="663"/>
      <c r="M68" s="663"/>
      <c r="N68" s="663"/>
      <c r="O68" s="663"/>
      <c r="P68" s="663"/>
      <c r="Q68" s="663"/>
      <c r="R68" s="663"/>
      <c r="S68" s="663"/>
      <c r="T68" s="663"/>
      <c r="U68" s="663"/>
      <c r="V68" s="663"/>
      <c r="W68" s="663"/>
      <c r="X68" s="663"/>
      <c r="Y68" s="663"/>
      <c r="Z68" s="663"/>
    </row>
    <row r="69">
      <c r="A69" s="670"/>
      <c r="B69" s="671"/>
      <c r="C69" s="672"/>
      <c r="D69" s="673"/>
      <c r="E69" s="663"/>
      <c r="F69" s="663"/>
      <c r="G69" s="663"/>
      <c r="H69" s="663"/>
      <c r="I69" s="663"/>
      <c r="J69" s="663"/>
      <c r="K69" s="663"/>
      <c r="L69" s="663"/>
      <c r="M69" s="663"/>
      <c r="N69" s="663"/>
      <c r="O69" s="663"/>
      <c r="P69" s="663"/>
      <c r="Q69" s="663"/>
      <c r="R69" s="663"/>
      <c r="S69" s="663"/>
      <c r="T69" s="663"/>
      <c r="U69" s="663"/>
      <c r="V69" s="663"/>
      <c r="W69" s="663"/>
      <c r="X69" s="663"/>
      <c r="Y69" s="663"/>
      <c r="Z69" s="663"/>
    </row>
    <row r="70">
      <c r="A70" s="670"/>
      <c r="B70" s="671"/>
      <c r="C70" s="672"/>
      <c r="D70" s="673"/>
      <c r="E70" s="663"/>
      <c r="F70" s="663"/>
      <c r="G70" s="663"/>
      <c r="H70" s="663"/>
      <c r="I70" s="663"/>
      <c r="J70" s="663"/>
      <c r="K70" s="663"/>
      <c r="L70" s="663"/>
      <c r="M70" s="663"/>
      <c r="N70" s="663"/>
      <c r="O70" s="663"/>
      <c r="P70" s="663"/>
      <c r="Q70" s="663"/>
      <c r="R70" s="663"/>
      <c r="S70" s="663"/>
      <c r="T70" s="663"/>
      <c r="U70" s="663"/>
      <c r="V70" s="663"/>
      <c r="W70" s="663"/>
      <c r="X70" s="663"/>
      <c r="Y70" s="663"/>
      <c r="Z70" s="663"/>
    </row>
    <row r="71">
      <c r="A71" s="670"/>
      <c r="B71" s="671"/>
      <c r="C71" s="672"/>
      <c r="D71" s="673"/>
      <c r="E71" s="663"/>
      <c r="F71" s="663"/>
      <c r="G71" s="663"/>
      <c r="H71" s="663"/>
      <c r="I71" s="663"/>
      <c r="J71" s="663"/>
      <c r="K71" s="663"/>
      <c r="L71" s="663"/>
      <c r="M71" s="663"/>
      <c r="N71" s="663"/>
      <c r="O71" s="663"/>
      <c r="P71" s="663"/>
      <c r="Q71" s="663"/>
      <c r="R71" s="663"/>
      <c r="S71" s="663"/>
      <c r="T71" s="663"/>
      <c r="U71" s="663"/>
      <c r="V71" s="663"/>
      <c r="W71" s="663"/>
      <c r="X71" s="663"/>
      <c r="Y71" s="663"/>
      <c r="Z71" s="663"/>
    </row>
    <row r="72">
      <c r="A72" s="670"/>
      <c r="B72" s="671"/>
      <c r="C72" s="672"/>
      <c r="D72" s="673"/>
      <c r="E72" s="663"/>
      <c r="F72" s="663"/>
      <c r="G72" s="663"/>
      <c r="H72" s="663"/>
      <c r="I72" s="663"/>
      <c r="J72" s="663"/>
      <c r="K72" s="663"/>
      <c r="L72" s="663"/>
      <c r="M72" s="663"/>
      <c r="N72" s="663"/>
      <c r="O72" s="663"/>
      <c r="P72" s="663"/>
      <c r="Q72" s="663"/>
      <c r="R72" s="663"/>
      <c r="S72" s="663"/>
      <c r="T72" s="663"/>
      <c r="U72" s="663"/>
      <c r="V72" s="663"/>
      <c r="W72" s="663"/>
      <c r="X72" s="663"/>
      <c r="Y72" s="663"/>
      <c r="Z72" s="663"/>
    </row>
    <row r="73">
      <c r="A73" s="670"/>
      <c r="B73" s="671"/>
      <c r="C73" s="672"/>
      <c r="D73" s="673"/>
      <c r="E73" s="663"/>
      <c r="F73" s="663"/>
      <c r="G73" s="663"/>
      <c r="H73" s="663"/>
      <c r="I73" s="663"/>
      <c r="J73" s="663"/>
      <c r="K73" s="663"/>
      <c r="L73" s="663"/>
      <c r="M73" s="663"/>
      <c r="N73" s="663"/>
      <c r="O73" s="663"/>
      <c r="P73" s="663"/>
      <c r="Q73" s="663"/>
      <c r="R73" s="663"/>
      <c r="S73" s="663"/>
      <c r="T73" s="663"/>
      <c r="U73" s="663"/>
      <c r="V73" s="663"/>
      <c r="W73" s="663"/>
      <c r="X73" s="663"/>
      <c r="Y73" s="663"/>
      <c r="Z73" s="663"/>
    </row>
    <row r="74">
      <c r="A74" s="670"/>
      <c r="B74" s="671"/>
      <c r="C74" s="672"/>
      <c r="D74" s="673"/>
      <c r="E74" s="663"/>
      <c r="F74" s="663"/>
      <c r="G74" s="663"/>
      <c r="H74" s="663"/>
      <c r="I74" s="663"/>
      <c r="J74" s="663"/>
      <c r="K74" s="663"/>
      <c r="L74" s="663"/>
      <c r="M74" s="663"/>
      <c r="N74" s="663"/>
      <c r="O74" s="663"/>
      <c r="P74" s="663"/>
      <c r="Q74" s="663"/>
      <c r="R74" s="663"/>
      <c r="S74" s="663"/>
      <c r="T74" s="663"/>
      <c r="U74" s="663"/>
      <c r="V74" s="663"/>
      <c r="W74" s="663"/>
      <c r="X74" s="663"/>
      <c r="Y74" s="663"/>
      <c r="Z74" s="663"/>
    </row>
    <row r="75">
      <c r="A75" s="670"/>
      <c r="B75" s="671"/>
      <c r="C75" s="672"/>
      <c r="D75" s="673"/>
      <c r="E75" s="663"/>
      <c r="F75" s="663"/>
      <c r="G75" s="663"/>
      <c r="H75" s="663"/>
      <c r="I75" s="663"/>
      <c r="J75" s="663"/>
      <c r="K75" s="663"/>
      <c r="L75" s="663"/>
      <c r="M75" s="663"/>
      <c r="N75" s="663"/>
      <c r="O75" s="663"/>
      <c r="P75" s="663"/>
      <c r="Q75" s="663"/>
      <c r="R75" s="663"/>
      <c r="S75" s="663"/>
      <c r="T75" s="663"/>
      <c r="U75" s="663"/>
      <c r="V75" s="663"/>
      <c r="W75" s="663"/>
      <c r="X75" s="663"/>
      <c r="Y75" s="663"/>
      <c r="Z75" s="663"/>
    </row>
    <row r="76">
      <c r="A76" s="670"/>
      <c r="B76" s="671"/>
      <c r="C76" s="672"/>
      <c r="D76" s="673"/>
      <c r="E76" s="663"/>
      <c r="F76" s="663"/>
      <c r="G76" s="663"/>
      <c r="H76" s="663"/>
      <c r="I76" s="663"/>
      <c r="J76" s="663"/>
      <c r="K76" s="663"/>
      <c r="L76" s="663"/>
      <c r="M76" s="663"/>
      <c r="N76" s="663"/>
      <c r="O76" s="663"/>
      <c r="P76" s="663"/>
      <c r="Q76" s="663"/>
      <c r="R76" s="663"/>
      <c r="S76" s="663"/>
      <c r="T76" s="663"/>
      <c r="U76" s="663"/>
      <c r="V76" s="663"/>
      <c r="W76" s="663"/>
      <c r="X76" s="663"/>
      <c r="Y76" s="663"/>
      <c r="Z76" s="663"/>
    </row>
    <row r="77">
      <c r="A77" s="670"/>
      <c r="B77" s="671"/>
      <c r="C77" s="672"/>
      <c r="D77" s="673"/>
      <c r="E77" s="663"/>
      <c r="F77" s="663"/>
      <c r="G77" s="663"/>
      <c r="H77" s="663"/>
      <c r="I77" s="663"/>
      <c r="J77" s="663"/>
      <c r="K77" s="663"/>
      <c r="L77" s="663"/>
      <c r="M77" s="663"/>
      <c r="N77" s="663"/>
      <c r="O77" s="663"/>
      <c r="P77" s="663"/>
      <c r="Q77" s="663"/>
      <c r="R77" s="663"/>
      <c r="S77" s="663"/>
      <c r="T77" s="663"/>
      <c r="U77" s="663"/>
      <c r="V77" s="663"/>
      <c r="W77" s="663"/>
      <c r="X77" s="663"/>
      <c r="Y77" s="663"/>
      <c r="Z77" s="663"/>
    </row>
    <row r="78">
      <c r="A78" s="670"/>
      <c r="B78" s="671"/>
      <c r="C78" s="672"/>
      <c r="D78" s="673"/>
      <c r="E78" s="663"/>
      <c r="F78" s="663"/>
      <c r="G78" s="663"/>
      <c r="H78" s="663"/>
      <c r="I78" s="663"/>
      <c r="J78" s="663"/>
      <c r="K78" s="663"/>
      <c r="L78" s="663"/>
      <c r="M78" s="663"/>
      <c r="N78" s="663"/>
      <c r="O78" s="663"/>
      <c r="P78" s="663"/>
      <c r="Q78" s="663"/>
      <c r="R78" s="663"/>
      <c r="S78" s="663"/>
      <c r="T78" s="663"/>
      <c r="U78" s="663"/>
      <c r="V78" s="663"/>
      <c r="W78" s="663"/>
      <c r="X78" s="663"/>
      <c r="Y78" s="663"/>
      <c r="Z78" s="663"/>
    </row>
    <row r="79">
      <c r="A79" s="670"/>
      <c r="B79" s="671"/>
      <c r="C79" s="672"/>
      <c r="D79" s="673"/>
      <c r="E79" s="663"/>
      <c r="F79" s="663"/>
      <c r="G79" s="663"/>
      <c r="H79" s="663"/>
      <c r="I79" s="663"/>
      <c r="J79" s="663"/>
      <c r="K79" s="663"/>
      <c r="L79" s="663"/>
      <c r="M79" s="663"/>
      <c r="N79" s="663"/>
      <c r="O79" s="663"/>
      <c r="P79" s="663"/>
      <c r="Q79" s="663"/>
      <c r="R79" s="663"/>
      <c r="S79" s="663"/>
      <c r="T79" s="663"/>
      <c r="U79" s="663"/>
      <c r="V79" s="663"/>
      <c r="W79" s="663"/>
      <c r="X79" s="663"/>
      <c r="Y79" s="663"/>
      <c r="Z79" s="663"/>
    </row>
    <row r="80">
      <c r="A80" s="670"/>
      <c r="B80" s="671"/>
      <c r="C80" s="672"/>
      <c r="D80" s="673"/>
      <c r="E80" s="663"/>
      <c r="F80" s="663"/>
      <c r="G80" s="663"/>
      <c r="H80" s="663"/>
      <c r="I80" s="663"/>
      <c r="J80" s="663"/>
      <c r="K80" s="663"/>
      <c r="L80" s="663"/>
      <c r="M80" s="663"/>
      <c r="N80" s="663"/>
      <c r="O80" s="663"/>
      <c r="P80" s="663"/>
      <c r="Q80" s="663"/>
      <c r="R80" s="663"/>
      <c r="S80" s="663"/>
      <c r="T80" s="663"/>
      <c r="U80" s="663"/>
      <c r="V80" s="663"/>
      <c r="W80" s="663"/>
      <c r="X80" s="663"/>
      <c r="Y80" s="663"/>
      <c r="Z80" s="663"/>
    </row>
    <row r="81">
      <c r="A81" s="670"/>
      <c r="B81" s="671"/>
      <c r="C81" s="672"/>
      <c r="D81" s="673"/>
      <c r="E81" s="663"/>
      <c r="F81" s="663"/>
      <c r="G81" s="663"/>
      <c r="H81" s="663"/>
      <c r="I81" s="663"/>
      <c r="J81" s="663"/>
      <c r="K81" s="663"/>
      <c r="L81" s="663"/>
      <c r="M81" s="663"/>
      <c r="N81" s="663"/>
      <c r="O81" s="663"/>
      <c r="P81" s="663"/>
      <c r="Q81" s="663"/>
      <c r="R81" s="663"/>
      <c r="S81" s="663"/>
      <c r="T81" s="663"/>
      <c r="U81" s="663"/>
      <c r="V81" s="663"/>
      <c r="W81" s="663"/>
      <c r="X81" s="663"/>
      <c r="Y81" s="663"/>
      <c r="Z81" s="663"/>
    </row>
    <row r="82">
      <c r="A82" s="670"/>
      <c r="B82" s="671"/>
      <c r="C82" s="672"/>
      <c r="D82" s="673"/>
      <c r="E82" s="663"/>
      <c r="F82" s="663"/>
      <c r="G82" s="663"/>
      <c r="H82" s="663"/>
      <c r="I82" s="663"/>
      <c r="J82" s="663"/>
      <c r="K82" s="663"/>
      <c r="L82" s="663"/>
      <c r="M82" s="663"/>
      <c r="N82" s="663"/>
      <c r="O82" s="663"/>
      <c r="P82" s="663"/>
      <c r="Q82" s="663"/>
      <c r="R82" s="663"/>
      <c r="S82" s="663"/>
      <c r="T82" s="663"/>
      <c r="U82" s="663"/>
      <c r="V82" s="663"/>
      <c r="W82" s="663"/>
      <c r="X82" s="663"/>
      <c r="Y82" s="663"/>
      <c r="Z82" s="663"/>
    </row>
    <row r="83">
      <c r="A83" s="670"/>
      <c r="B83" s="671"/>
      <c r="C83" s="672"/>
      <c r="D83" s="673"/>
      <c r="E83" s="663"/>
      <c r="F83" s="663"/>
      <c r="G83" s="663"/>
      <c r="H83" s="663"/>
      <c r="I83" s="663"/>
      <c r="J83" s="663"/>
      <c r="K83" s="663"/>
      <c r="L83" s="663"/>
      <c r="M83" s="663"/>
      <c r="N83" s="663"/>
      <c r="O83" s="663"/>
      <c r="P83" s="663"/>
      <c r="Q83" s="663"/>
      <c r="R83" s="663"/>
      <c r="S83" s="663"/>
      <c r="T83" s="663"/>
      <c r="U83" s="663"/>
      <c r="V83" s="663"/>
      <c r="W83" s="663"/>
      <c r="X83" s="663"/>
      <c r="Y83" s="663"/>
      <c r="Z83" s="663"/>
    </row>
    <row r="84">
      <c r="A84" s="670"/>
      <c r="B84" s="671"/>
      <c r="C84" s="672"/>
      <c r="D84" s="673"/>
      <c r="E84" s="663"/>
      <c r="F84" s="663"/>
      <c r="G84" s="663"/>
      <c r="H84" s="663"/>
      <c r="I84" s="663"/>
      <c r="J84" s="663"/>
      <c r="K84" s="663"/>
      <c r="L84" s="663"/>
      <c r="M84" s="663"/>
      <c r="N84" s="663"/>
      <c r="O84" s="663"/>
      <c r="P84" s="663"/>
      <c r="Q84" s="663"/>
      <c r="R84" s="663"/>
      <c r="S84" s="663"/>
      <c r="T84" s="663"/>
      <c r="U84" s="663"/>
      <c r="V84" s="663"/>
      <c r="W84" s="663"/>
      <c r="X84" s="663"/>
      <c r="Y84" s="663"/>
      <c r="Z84" s="663"/>
    </row>
    <row r="85">
      <c r="A85" s="670"/>
      <c r="B85" s="671"/>
      <c r="C85" s="672"/>
      <c r="D85" s="673"/>
      <c r="E85" s="663"/>
      <c r="F85" s="663"/>
      <c r="G85" s="663"/>
      <c r="H85" s="663"/>
      <c r="I85" s="663"/>
      <c r="J85" s="663"/>
      <c r="K85" s="663"/>
      <c r="L85" s="663"/>
      <c r="M85" s="663"/>
      <c r="N85" s="663"/>
      <c r="O85" s="663"/>
      <c r="P85" s="663"/>
      <c r="Q85" s="663"/>
      <c r="R85" s="663"/>
      <c r="S85" s="663"/>
      <c r="T85" s="663"/>
      <c r="U85" s="663"/>
      <c r="V85" s="663"/>
      <c r="W85" s="663"/>
      <c r="X85" s="663"/>
      <c r="Y85" s="663"/>
      <c r="Z85" s="663"/>
    </row>
    <row r="86">
      <c r="A86" s="670"/>
      <c r="B86" s="671"/>
      <c r="C86" s="672"/>
      <c r="D86" s="673"/>
      <c r="E86" s="663"/>
      <c r="F86" s="663"/>
      <c r="G86" s="663"/>
      <c r="H86" s="663"/>
      <c r="I86" s="663"/>
      <c r="J86" s="663"/>
      <c r="K86" s="663"/>
      <c r="L86" s="663"/>
      <c r="M86" s="663"/>
      <c r="N86" s="663"/>
      <c r="O86" s="663"/>
      <c r="P86" s="663"/>
      <c r="Q86" s="663"/>
      <c r="R86" s="663"/>
      <c r="S86" s="663"/>
      <c r="T86" s="663"/>
      <c r="U86" s="663"/>
      <c r="V86" s="663"/>
      <c r="W86" s="663"/>
      <c r="X86" s="663"/>
      <c r="Y86" s="663"/>
      <c r="Z86" s="663"/>
    </row>
    <row r="87">
      <c r="A87" s="670"/>
      <c r="B87" s="671"/>
      <c r="C87" s="672"/>
      <c r="D87" s="673"/>
      <c r="E87" s="663"/>
      <c r="F87" s="663"/>
      <c r="G87" s="663"/>
      <c r="H87" s="663"/>
      <c r="I87" s="663"/>
      <c r="J87" s="663"/>
      <c r="K87" s="663"/>
      <c r="L87" s="663"/>
      <c r="M87" s="663"/>
      <c r="N87" s="663"/>
      <c r="O87" s="663"/>
      <c r="P87" s="663"/>
      <c r="Q87" s="663"/>
      <c r="R87" s="663"/>
      <c r="S87" s="663"/>
      <c r="T87" s="663"/>
      <c r="U87" s="663"/>
      <c r="V87" s="663"/>
      <c r="W87" s="663"/>
      <c r="X87" s="663"/>
      <c r="Y87" s="663"/>
      <c r="Z87" s="663"/>
    </row>
    <row r="88">
      <c r="A88" s="670"/>
      <c r="B88" s="671"/>
      <c r="C88" s="672"/>
      <c r="D88" s="673"/>
      <c r="E88" s="663"/>
      <c r="F88" s="663"/>
      <c r="G88" s="663"/>
      <c r="H88" s="663"/>
      <c r="I88" s="663"/>
      <c r="J88" s="663"/>
      <c r="K88" s="663"/>
      <c r="L88" s="663"/>
      <c r="M88" s="663"/>
      <c r="N88" s="663"/>
      <c r="O88" s="663"/>
      <c r="P88" s="663"/>
      <c r="Q88" s="663"/>
      <c r="R88" s="663"/>
      <c r="S88" s="663"/>
      <c r="T88" s="663"/>
      <c r="U88" s="663"/>
      <c r="V88" s="663"/>
      <c r="W88" s="663"/>
      <c r="X88" s="663"/>
      <c r="Y88" s="663"/>
      <c r="Z88" s="663"/>
    </row>
    <row r="89">
      <c r="A89" s="670"/>
      <c r="B89" s="671"/>
      <c r="C89" s="672"/>
      <c r="D89" s="673"/>
      <c r="E89" s="663"/>
      <c r="F89" s="663"/>
      <c r="G89" s="663"/>
      <c r="H89" s="663"/>
      <c r="I89" s="663"/>
      <c r="J89" s="663"/>
      <c r="K89" s="663"/>
      <c r="L89" s="663"/>
      <c r="M89" s="663"/>
      <c r="N89" s="663"/>
      <c r="O89" s="663"/>
      <c r="P89" s="663"/>
      <c r="Q89" s="663"/>
      <c r="R89" s="663"/>
      <c r="S89" s="663"/>
      <c r="T89" s="663"/>
      <c r="U89" s="663"/>
      <c r="V89" s="663"/>
      <c r="W89" s="663"/>
      <c r="X89" s="663"/>
      <c r="Y89" s="663"/>
      <c r="Z89" s="663"/>
    </row>
    <row r="90">
      <c r="A90" s="670"/>
      <c r="B90" s="671"/>
      <c r="C90" s="672"/>
      <c r="D90" s="673"/>
      <c r="E90" s="663"/>
      <c r="F90" s="663"/>
      <c r="G90" s="663"/>
      <c r="H90" s="663"/>
      <c r="I90" s="663"/>
      <c r="J90" s="663"/>
      <c r="K90" s="663"/>
      <c r="L90" s="663"/>
      <c r="M90" s="663"/>
      <c r="N90" s="663"/>
      <c r="O90" s="663"/>
      <c r="P90" s="663"/>
      <c r="Q90" s="663"/>
      <c r="R90" s="663"/>
      <c r="S90" s="663"/>
      <c r="T90" s="663"/>
      <c r="U90" s="663"/>
      <c r="V90" s="663"/>
      <c r="W90" s="663"/>
      <c r="X90" s="663"/>
      <c r="Y90" s="663"/>
      <c r="Z90" s="663"/>
    </row>
    <row r="91">
      <c r="A91" s="670"/>
      <c r="B91" s="671"/>
      <c r="C91" s="672"/>
      <c r="D91" s="673"/>
      <c r="E91" s="663"/>
      <c r="F91" s="663"/>
      <c r="G91" s="663"/>
      <c r="H91" s="663"/>
      <c r="I91" s="663"/>
      <c r="J91" s="663"/>
      <c r="K91" s="663"/>
      <c r="L91" s="663"/>
      <c r="M91" s="663"/>
      <c r="N91" s="663"/>
      <c r="O91" s="663"/>
      <c r="P91" s="663"/>
      <c r="Q91" s="663"/>
      <c r="R91" s="663"/>
      <c r="S91" s="663"/>
      <c r="T91" s="663"/>
      <c r="U91" s="663"/>
      <c r="V91" s="663"/>
      <c r="W91" s="663"/>
      <c r="X91" s="663"/>
      <c r="Y91" s="663"/>
      <c r="Z91" s="663"/>
    </row>
    <row r="92">
      <c r="A92" s="670"/>
      <c r="B92" s="671"/>
      <c r="C92" s="672"/>
      <c r="D92" s="673"/>
      <c r="E92" s="663"/>
      <c r="F92" s="663"/>
      <c r="G92" s="663"/>
      <c r="H92" s="663"/>
      <c r="I92" s="663"/>
      <c r="J92" s="663"/>
      <c r="K92" s="663"/>
      <c r="L92" s="663"/>
      <c r="M92" s="663"/>
      <c r="N92" s="663"/>
      <c r="O92" s="663"/>
      <c r="P92" s="663"/>
      <c r="Q92" s="663"/>
      <c r="R92" s="663"/>
      <c r="S92" s="663"/>
      <c r="T92" s="663"/>
      <c r="U92" s="663"/>
      <c r="V92" s="663"/>
      <c r="W92" s="663"/>
      <c r="X92" s="663"/>
      <c r="Y92" s="663"/>
      <c r="Z92" s="663"/>
    </row>
    <row r="93">
      <c r="A93" s="670"/>
      <c r="B93" s="671"/>
      <c r="C93" s="672"/>
      <c r="D93" s="673"/>
      <c r="E93" s="663"/>
      <c r="F93" s="663"/>
      <c r="G93" s="663"/>
      <c r="H93" s="663"/>
      <c r="I93" s="663"/>
      <c r="J93" s="663"/>
      <c r="K93" s="663"/>
      <c r="L93" s="663"/>
      <c r="M93" s="663"/>
      <c r="N93" s="663"/>
      <c r="O93" s="663"/>
      <c r="P93" s="663"/>
      <c r="Q93" s="663"/>
      <c r="R93" s="663"/>
      <c r="S93" s="663"/>
      <c r="T93" s="663"/>
      <c r="U93" s="663"/>
      <c r="V93" s="663"/>
      <c r="W93" s="663"/>
      <c r="X93" s="663"/>
      <c r="Y93" s="663"/>
      <c r="Z93" s="663"/>
    </row>
    <row r="94">
      <c r="A94" s="670"/>
      <c r="B94" s="671"/>
      <c r="C94" s="672"/>
      <c r="D94" s="673"/>
      <c r="E94" s="663"/>
      <c r="F94" s="663"/>
      <c r="G94" s="663"/>
      <c r="H94" s="663"/>
      <c r="I94" s="663"/>
      <c r="J94" s="663"/>
      <c r="K94" s="663"/>
      <c r="L94" s="663"/>
      <c r="M94" s="663"/>
      <c r="N94" s="663"/>
      <c r="O94" s="663"/>
      <c r="P94" s="663"/>
      <c r="Q94" s="663"/>
      <c r="R94" s="663"/>
      <c r="S94" s="663"/>
      <c r="T94" s="663"/>
      <c r="U94" s="663"/>
      <c r="V94" s="663"/>
      <c r="W94" s="663"/>
      <c r="X94" s="663"/>
      <c r="Y94" s="663"/>
      <c r="Z94" s="663"/>
    </row>
    <row r="95">
      <c r="A95" s="670"/>
      <c r="B95" s="671"/>
      <c r="C95" s="672"/>
      <c r="D95" s="673"/>
      <c r="E95" s="663"/>
      <c r="F95" s="663"/>
      <c r="G95" s="663"/>
      <c r="H95" s="663"/>
      <c r="I95" s="663"/>
      <c r="J95" s="663"/>
      <c r="K95" s="663"/>
      <c r="L95" s="663"/>
      <c r="M95" s="663"/>
      <c r="N95" s="663"/>
      <c r="O95" s="663"/>
      <c r="P95" s="663"/>
      <c r="Q95" s="663"/>
      <c r="R95" s="663"/>
      <c r="S95" s="663"/>
      <c r="T95" s="663"/>
      <c r="U95" s="663"/>
      <c r="V95" s="663"/>
      <c r="W95" s="663"/>
      <c r="X95" s="663"/>
      <c r="Y95" s="663"/>
      <c r="Z95" s="663"/>
    </row>
    <row r="96">
      <c r="A96" s="670"/>
      <c r="B96" s="671"/>
      <c r="C96" s="672"/>
      <c r="D96" s="673"/>
      <c r="E96" s="663"/>
      <c r="F96" s="663"/>
      <c r="G96" s="663"/>
      <c r="H96" s="663"/>
      <c r="I96" s="663"/>
      <c r="J96" s="663"/>
      <c r="K96" s="663"/>
      <c r="L96" s="663"/>
      <c r="M96" s="663"/>
      <c r="N96" s="663"/>
      <c r="O96" s="663"/>
      <c r="P96" s="663"/>
      <c r="Q96" s="663"/>
      <c r="R96" s="663"/>
      <c r="S96" s="663"/>
      <c r="T96" s="663"/>
      <c r="U96" s="663"/>
      <c r="V96" s="663"/>
      <c r="W96" s="663"/>
      <c r="X96" s="663"/>
      <c r="Y96" s="663"/>
      <c r="Z96" s="663"/>
    </row>
    <row r="97">
      <c r="A97" s="670"/>
      <c r="B97" s="671"/>
      <c r="C97" s="672"/>
      <c r="D97" s="673"/>
      <c r="E97" s="663"/>
      <c r="F97" s="663"/>
      <c r="G97" s="663"/>
      <c r="H97" s="663"/>
      <c r="I97" s="663"/>
      <c r="J97" s="663"/>
      <c r="K97" s="663"/>
      <c r="L97" s="663"/>
      <c r="M97" s="663"/>
      <c r="N97" s="663"/>
      <c r="O97" s="663"/>
      <c r="P97" s="663"/>
      <c r="Q97" s="663"/>
      <c r="R97" s="663"/>
      <c r="S97" s="663"/>
      <c r="T97" s="663"/>
      <c r="U97" s="663"/>
      <c r="V97" s="663"/>
      <c r="W97" s="663"/>
      <c r="X97" s="663"/>
      <c r="Y97" s="663"/>
      <c r="Z97" s="663"/>
    </row>
    <row r="98">
      <c r="A98" s="670"/>
      <c r="B98" s="671"/>
      <c r="C98" s="672"/>
      <c r="D98" s="673"/>
      <c r="E98" s="663"/>
      <c r="F98" s="663"/>
      <c r="G98" s="663"/>
      <c r="H98" s="663"/>
      <c r="I98" s="663"/>
      <c r="J98" s="663"/>
      <c r="K98" s="663"/>
      <c r="L98" s="663"/>
      <c r="M98" s="663"/>
      <c r="N98" s="663"/>
      <c r="O98" s="663"/>
      <c r="P98" s="663"/>
      <c r="Q98" s="663"/>
      <c r="R98" s="663"/>
      <c r="S98" s="663"/>
      <c r="T98" s="663"/>
      <c r="U98" s="663"/>
      <c r="V98" s="663"/>
      <c r="W98" s="663"/>
      <c r="X98" s="663"/>
      <c r="Y98" s="663"/>
      <c r="Z98" s="663"/>
    </row>
    <row r="99">
      <c r="A99" s="670"/>
      <c r="B99" s="671"/>
      <c r="C99" s="672"/>
      <c r="D99" s="673"/>
      <c r="E99" s="663"/>
      <c r="F99" s="663"/>
      <c r="G99" s="663"/>
      <c r="H99" s="663"/>
      <c r="I99" s="663"/>
      <c r="J99" s="663"/>
      <c r="K99" s="663"/>
      <c r="L99" s="663"/>
      <c r="M99" s="663"/>
      <c r="N99" s="663"/>
      <c r="O99" s="663"/>
      <c r="P99" s="663"/>
      <c r="Q99" s="663"/>
      <c r="R99" s="663"/>
      <c r="S99" s="663"/>
      <c r="T99" s="663"/>
      <c r="U99" s="663"/>
      <c r="V99" s="663"/>
      <c r="W99" s="663"/>
      <c r="X99" s="663"/>
      <c r="Y99" s="663"/>
      <c r="Z99" s="663"/>
    </row>
    <row r="100">
      <c r="A100" s="670"/>
      <c r="B100" s="671"/>
      <c r="C100" s="672"/>
      <c r="D100" s="673"/>
      <c r="E100" s="663"/>
      <c r="F100" s="663"/>
      <c r="G100" s="663"/>
      <c r="H100" s="663"/>
      <c r="I100" s="663"/>
      <c r="J100" s="663"/>
      <c r="K100" s="663"/>
      <c r="L100" s="663"/>
      <c r="M100" s="663"/>
      <c r="N100" s="663"/>
      <c r="O100" s="663"/>
      <c r="P100" s="663"/>
      <c r="Q100" s="663"/>
      <c r="R100" s="663"/>
      <c r="S100" s="663"/>
      <c r="T100" s="663"/>
      <c r="U100" s="663"/>
      <c r="V100" s="663"/>
      <c r="W100" s="663"/>
      <c r="X100" s="663"/>
      <c r="Y100" s="663"/>
      <c r="Z100" s="663"/>
    </row>
    <row r="101">
      <c r="A101" s="670"/>
      <c r="B101" s="671"/>
      <c r="C101" s="672"/>
      <c r="D101" s="673"/>
      <c r="E101" s="663"/>
      <c r="F101" s="663"/>
      <c r="G101" s="663"/>
      <c r="H101" s="663"/>
      <c r="I101" s="663"/>
      <c r="J101" s="663"/>
      <c r="K101" s="663"/>
      <c r="L101" s="663"/>
      <c r="M101" s="663"/>
      <c r="N101" s="663"/>
      <c r="O101" s="663"/>
      <c r="P101" s="663"/>
      <c r="Q101" s="663"/>
      <c r="R101" s="663"/>
      <c r="S101" s="663"/>
      <c r="T101" s="663"/>
      <c r="U101" s="663"/>
      <c r="V101" s="663"/>
      <c r="W101" s="663"/>
      <c r="X101" s="663"/>
      <c r="Y101" s="663"/>
      <c r="Z101" s="663"/>
    </row>
    <row r="102">
      <c r="A102" s="670"/>
      <c r="B102" s="671"/>
      <c r="C102" s="672"/>
      <c r="D102" s="673"/>
      <c r="E102" s="663"/>
      <c r="F102" s="663"/>
      <c r="G102" s="663"/>
      <c r="H102" s="663"/>
      <c r="I102" s="663"/>
      <c r="J102" s="663"/>
      <c r="K102" s="663"/>
      <c r="L102" s="663"/>
      <c r="M102" s="663"/>
      <c r="N102" s="663"/>
      <c r="O102" s="663"/>
      <c r="P102" s="663"/>
      <c r="Q102" s="663"/>
      <c r="R102" s="663"/>
      <c r="S102" s="663"/>
      <c r="T102" s="663"/>
      <c r="U102" s="663"/>
      <c r="V102" s="663"/>
      <c r="W102" s="663"/>
      <c r="X102" s="663"/>
      <c r="Y102" s="663"/>
      <c r="Z102" s="663"/>
    </row>
    <row r="103">
      <c r="A103" s="670"/>
      <c r="B103" s="671"/>
      <c r="C103" s="672"/>
      <c r="D103" s="673"/>
      <c r="E103" s="663"/>
      <c r="F103" s="663"/>
      <c r="G103" s="663"/>
      <c r="H103" s="663"/>
      <c r="I103" s="663"/>
      <c r="J103" s="663"/>
      <c r="K103" s="663"/>
      <c r="L103" s="663"/>
      <c r="M103" s="663"/>
      <c r="N103" s="663"/>
      <c r="O103" s="663"/>
      <c r="P103" s="663"/>
      <c r="Q103" s="663"/>
      <c r="R103" s="663"/>
      <c r="S103" s="663"/>
      <c r="T103" s="663"/>
      <c r="U103" s="663"/>
      <c r="V103" s="663"/>
      <c r="W103" s="663"/>
      <c r="X103" s="663"/>
      <c r="Y103" s="663"/>
      <c r="Z103" s="663"/>
    </row>
    <row r="104">
      <c r="A104" s="670"/>
      <c r="B104" s="671"/>
      <c r="C104" s="672"/>
      <c r="D104" s="673"/>
      <c r="E104" s="663"/>
      <c r="F104" s="663"/>
      <c r="G104" s="663"/>
      <c r="H104" s="663"/>
      <c r="I104" s="663"/>
      <c r="J104" s="663"/>
      <c r="K104" s="663"/>
      <c r="L104" s="663"/>
      <c r="M104" s="663"/>
      <c r="N104" s="663"/>
      <c r="O104" s="663"/>
      <c r="P104" s="663"/>
      <c r="Q104" s="663"/>
      <c r="R104" s="663"/>
      <c r="S104" s="663"/>
      <c r="T104" s="663"/>
      <c r="U104" s="663"/>
      <c r="V104" s="663"/>
      <c r="W104" s="663"/>
      <c r="X104" s="663"/>
      <c r="Y104" s="663"/>
      <c r="Z104" s="663"/>
    </row>
    <row r="105">
      <c r="A105" s="670"/>
      <c r="B105" s="671"/>
      <c r="C105" s="672"/>
      <c r="D105" s="673"/>
      <c r="E105" s="663"/>
      <c r="F105" s="663"/>
      <c r="G105" s="663"/>
      <c r="H105" s="663"/>
      <c r="I105" s="663"/>
      <c r="J105" s="663"/>
      <c r="K105" s="663"/>
      <c r="L105" s="663"/>
      <c r="M105" s="663"/>
      <c r="N105" s="663"/>
      <c r="O105" s="663"/>
      <c r="P105" s="663"/>
      <c r="Q105" s="663"/>
      <c r="R105" s="663"/>
      <c r="S105" s="663"/>
      <c r="T105" s="663"/>
      <c r="U105" s="663"/>
      <c r="V105" s="663"/>
      <c r="W105" s="663"/>
      <c r="X105" s="663"/>
      <c r="Y105" s="663"/>
      <c r="Z105" s="663"/>
    </row>
    <row r="106">
      <c r="A106" s="670"/>
      <c r="B106" s="671"/>
      <c r="C106" s="672"/>
      <c r="D106" s="673"/>
      <c r="E106" s="663"/>
      <c r="F106" s="663"/>
      <c r="G106" s="663"/>
      <c r="H106" s="663"/>
      <c r="I106" s="663"/>
      <c r="J106" s="663"/>
      <c r="K106" s="663"/>
      <c r="L106" s="663"/>
      <c r="M106" s="663"/>
      <c r="N106" s="663"/>
      <c r="O106" s="663"/>
      <c r="P106" s="663"/>
      <c r="Q106" s="663"/>
      <c r="R106" s="663"/>
      <c r="S106" s="663"/>
      <c r="T106" s="663"/>
      <c r="U106" s="663"/>
      <c r="V106" s="663"/>
      <c r="W106" s="663"/>
      <c r="X106" s="663"/>
      <c r="Y106" s="663"/>
      <c r="Z106" s="663"/>
    </row>
    <row r="107">
      <c r="A107" s="670"/>
      <c r="B107" s="671"/>
      <c r="C107" s="672"/>
      <c r="D107" s="673"/>
      <c r="E107" s="663"/>
      <c r="F107" s="663"/>
      <c r="G107" s="663"/>
      <c r="H107" s="663"/>
      <c r="I107" s="663"/>
      <c r="J107" s="663"/>
      <c r="K107" s="663"/>
      <c r="L107" s="663"/>
      <c r="M107" s="663"/>
      <c r="N107" s="663"/>
      <c r="O107" s="663"/>
      <c r="P107" s="663"/>
      <c r="Q107" s="663"/>
      <c r="R107" s="663"/>
      <c r="S107" s="663"/>
      <c r="T107" s="663"/>
      <c r="U107" s="663"/>
      <c r="V107" s="663"/>
      <c r="W107" s="663"/>
      <c r="X107" s="663"/>
      <c r="Y107" s="663"/>
      <c r="Z107" s="663"/>
    </row>
    <row r="108">
      <c r="A108" s="670"/>
      <c r="B108" s="671"/>
      <c r="C108" s="672"/>
      <c r="D108" s="673"/>
      <c r="E108" s="663"/>
      <c r="F108" s="663"/>
      <c r="G108" s="663"/>
      <c r="H108" s="663"/>
      <c r="I108" s="663"/>
      <c r="J108" s="663"/>
      <c r="K108" s="663"/>
      <c r="L108" s="663"/>
      <c r="M108" s="663"/>
      <c r="N108" s="663"/>
      <c r="O108" s="663"/>
      <c r="P108" s="663"/>
      <c r="Q108" s="663"/>
      <c r="R108" s="663"/>
      <c r="S108" s="663"/>
      <c r="T108" s="663"/>
      <c r="U108" s="663"/>
      <c r="V108" s="663"/>
      <c r="W108" s="663"/>
      <c r="X108" s="663"/>
      <c r="Y108" s="663"/>
      <c r="Z108" s="663"/>
    </row>
    <row r="109">
      <c r="A109" s="670"/>
      <c r="B109" s="671"/>
      <c r="C109" s="672"/>
      <c r="D109" s="673"/>
      <c r="E109" s="663"/>
      <c r="F109" s="663"/>
      <c r="G109" s="663"/>
      <c r="H109" s="663"/>
      <c r="I109" s="663"/>
      <c r="J109" s="663"/>
      <c r="K109" s="663"/>
      <c r="L109" s="663"/>
      <c r="M109" s="663"/>
      <c r="N109" s="663"/>
      <c r="O109" s="663"/>
      <c r="P109" s="663"/>
      <c r="Q109" s="663"/>
      <c r="R109" s="663"/>
      <c r="S109" s="663"/>
      <c r="T109" s="663"/>
      <c r="U109" s="663"/>
      <c r="V109" s="663"/>
      <c r="W109" s="663"/>
      <c r="X109" s="663"/>
      <c r="Y109" s="663"/>
      <c r="Z109" s="663"/>
    </row>
    <row r="110">
      <c r="A110" s="670"/>
      <c r="B110" s="671"/>
      <c r="C110" s="672"/>
      <c r="D110" s="673"/>
      <c r="E110" s="663"/>
      <c r="F110" s="663"/>
      <c r="G110" s="663"/>
      <c r="H110" s="663"/>
      <c r="I110" s="663"/>
      <c r="J110" s="663"/>
      <c r="K110" s="663"/>
      <c r="L110" s="663"/>
      <c r="M110" s="663"/>
      <c r="N110" s="663"/>
      <c r="O110" s="663"/>
      <c r="P110" s="663"/>
      <c r="Q110" s="663"/>
      <c r="R110" s="663"/>
      <c r="S110" s="663"/>
      <c r="T110" s="663"/>
      <c r="U110" s="663"/>
      <c r="V110" s="663"/>
      <c r="W110" s="663"/>
      <c r="X110" s="663"/>
      <c r="Y110" s="663"/>
      <c r="Z110" s="663"/>
    </row>
    <row r="111">
      <c r="A111" s="670"/>
      <c r="B111" s="671"/>
      <c r="C111" s="672"/>
      <c r="D111" s="673"/>
      <c r="E111" s="663"/>
      <c r="F111" s="663"/>
      <c r="G111" s="663"/>
      <c r="H111" s="663"/>
      <c r="I111" s="663"/>
      <c r="J111" s="663"/>
      <c r="K111" s="663"/>
      <c r="L111" s="663"/>
      <c r="M111" s="663"/>
      <c r="N111" s="663"/>
      <c r="O111" s="663"/>
      <c r="P111" s="663"/>
      <c r="Q111" s="663"/>
      <c r="R111" s="663"/>
      <c r="S111" s="663"/>
      <c r="T111" s="663"/>
      <c r="U111" s="663"/>
      <c r="V111" s="663"/>
      <c r="W111" s="663"/>
      <c r="X111" s="663"/>
      <c r="Y111" s="663"/>
      <c r="Z111" s="663"/>
    </row>
    <row r="112">
      <c r="A112" s="670"/>
      <c r="B112" s="671"/>
      <c r="C112" s="672"/>
      <c r="D112" s="673"/>
      <c r="E112" s="663"/>
      <c r="F112" s="663"/>
      <c r="G112" s="663"/>
      <c r="H112" s="663"/>
      <c r="I112" s="663"/>
      <c r="J112" s="663"/>
      <c r="K112" s="663"/>
      <c r="L112" s="663"/>
      <c r="M112" s="663"/>
      <c r="N112" s="663"/>
      <c r="O112" s="663"/>
      <c r="P112" s="663"/>
      <c r="Q112" s="663"/>
      <c r="R112" s="663"/>
      <c r="S112" s="663"/>
      <c r="T112" s="663"/>
      <c r="U112" s="663"/>
      <c r="V112" s="663"/>
      <c r="W112" s="663"/>
      <c r="X112" s="663"/>
      <c r="Y112" s="663"/>
      <c r="Z112" s="663"/>
    </row>
    <row r="113">
      <c r="A113" s="670"/>
      <c r="B113" s="671"/>
      <c r="C113" s="672"/>
      <c r="D113" s="673"/>
      <c r="E113" s="663"/>
      <c r="F113" s="663"/>
      <c r="G113" s="663"/>
      <c r="H113" s="663"/>
      <c r="I113" s="663"/>
      <c r="J113" s="663"/>
      <c r="K113" s="663"/>
      <c r="L113" s="663"/>
      <c r="M113" s="663"/>
      <c r="N113" s="663"/>
      <c r="O113" s="663"/>
      <c r="P113" s="663"/>
      <c r="Q113" s="663"/>
      <c r="R113" s="663"/>
      <c r="S113" s="663"/>
      <c r="T113" s="663"/>
      <c r="U113" s="663"/>
      <c r="V113" s="663"/>
      <c r="W113" s="663"/>
      <c r="X113" s="663"/>
      <c r="Y113" s="663"/>
      <c r="Z113" s="663"/>
    </row>
    <row r="114">
      <c r="A114" s="670"/>
      <c r="B114" s="671"/>
      <c r="C114" s="672"/>
      <c r="D114" s="673"/>
      <c r="E114" s="663"/>
      <c r="F114" s="663"/>
      <c r="G114" s="663"/>
      <c r="H114" s="663"/>
      <c r="I114" s="663"/>
      <c r="J114" s="663"/>
      <c r="K114" s="663"/>
      <c r="L114" s="663"/>
      <c r="M114" s="663"/>
      <c r="N114" s="663"/>
      <c r="O114" s="663"/>
      <c r="P114" s="663"/>
      <c r="Q114" s="663"/>
      <c r="R114" s="663"/>
      <c r="S114" s="663"/>
      <c r="T114" s="663"/>
      <c r="U114" s="663"/>
      <c r="V114" s="663"/>
      <c r="W114" s="663"/>
      <c r="X114" s="663"/>
      <c r="Y114" s="663"/>
      <c r="Z114" s="663"/>
    </row>
    <row r="115">
      <c r="A115" s="670"/>
      <c r="B115" s="671"/>
      <c r="C115" s="672"/>
      <c r="D115" s="673"/>
      <c r="E115" s="663"/>
      <c r="F115" s="663"/>
      <c r="G115" s="663"/>
      <c r="H115" s="663"/>
      <c r="I115" s="663"/>
      <c r="J115" s="663"/>
      <c r="K115" s="663"/>
      <c r="L115" s="663"/>
      <c r="M115" s="663"/>
      <c r="N115" s="663"/>
      <c r="O115" s="663"/>
      <c r="P115" s="663"/>
      <c r="Q115" s="663"/>
      <c r="R115" s="663"/>
      <c r="S115" s="663"/>
      <c r="T115" s="663"/>
      <c r="U115" s="663"/>
      <c r="V115" s="663"/>
      <c r="W115" s="663"/>
      <c r="X115" s="663"/>
      <c r="Y115" s="663"/>
      <c r="Z115" s="663"/>
    </row>
    <row r="116">
      <c r="A116" s="670"/>
      <c r="B116" s="671"/>
      <c r="C116" s="672"/>
      <c r="D116" s="673"/>
      <c r="E116" s="663"/>
      <c r="F116" s="663"/>
      <c r="G116" s="663"/>
      <c r="H116" s="663"/>
      <c r="I116" s="663"/>
      <c r="J116" s="663"/>
      <c r="K116" s="663"/>
      <c r="L116" s="663"/>
      <c r="M116" s="663"/>
      <c r="N116" s="663"/>
      <c r="O116" s="663"/>
      <c r="P116" s="663"/>
      <c r="Q116" s="663"/>
      <c r="R116" s="663"/>
      <c r="S116" s="663"/>
      <c r="T116" s="663"/>
      <c r="U116" s="663"/>
      <c r="V116" s="663"/>
      <c r="W116" s="663"/>
      <c r="X116" s="663"/>
      <c r="Y116" s="663"/>
      <c r="Z116" s="663"/>
    </row>
    <row r="117">
      <c r="A117" s="670"/>
      <c r="B117" s="671"/>
      <c r="C117" s="672"/>
      <c r="D117" s="673"/>
      <c r="E117" s="663"/>
      <c r="F117" s="663"/>
      <c r="G117" s="663"/>
      <c r="H117" s="663"/>
      <c r="I117" s="663"/>
      <c r="J117" s="663"/>
      <c r="K117" s="663"/>
      <c r="L117" s="663"/>
      <c r="M117" s="663"/>
      <c r="N117" s="663"/>
      <c r="O117" s="663"/>
      <c r="P117" s="663"/>
      <c r="Q117" s="663"/>
      <c r="R117" s="663"/>
      <c r="S117" s="663"/>
      <c r="T117" s="663"/>
      <c r="U117" s="663"/>
      <c r="V117" s="663"/>
      <c r="W117" s="663"/>
      <c r="X117" s="663"/>
      <c r="Y117" s="663"/>
      <c r="Z117" s="663"/>
    </row>
    <row r="118">
      <c r="A118" s="670"/>
      <c r="B118" s="671"/>
      <c r="C118" s="672"/>
      <c r="D118" s="673"/>
      <c r="E118" s="663"/>
      <c r="F118" s="663"/>
      <c r="G118" s="663"/>
      <c r="H118" s="663"/>
      <c r="I118" s="663"/>
      <c r="J118" s="663"/>
      <c r="K118" s="663"/>
      <c r="L118" s="663"/>
      <c r="M118" s="663"/>
      <c r="N118" s="663"/>
      <c r="O118" s="663"/>
      <c r="P118" s="663"/>
      <c r="Q118" s="663"/>
      <c r="R118" s="663"/>
      <c r="S118" s="663"/>
      <c r="T118" s="663"/>
      <c r="U118" s="663"/>
      <c r="V118" s="663"/>
      <c r="W118" s="663"/>
      <c r="X118" s="663"/>
      <c r="Y118" s="663"/>
      <c r="Z118" s="663"/>
    </row>
    <row r="119">
      <c r="A119" s="670"/>
      <c r="B119" s="671"/>
      <c r="C119" s="672"/>
      <c r="D119" s="673"/>
      <c r="E119" s="663"/>
      <c r="F119" s="663"/>
      <c r="G119" s="663"/>
      <c r="H119" s="663"/>
      <c r="I119" s="663"/>
      <c r="J119" s="663"/>
      <c r="K119" s="663"/>
      <c r="L119" s="663"/>
      <c r="M119" s="663"/>
      <c r="N119" s="663"/>
      <c r="O119" s="663"/>
      <c r="P119" s="663"/>
      <c r="Q119" s="663"/>
      <c r="R119" s="663"/>
      <c r="S119" s="663"/>
      <c r="T119" s="663"/>
      <c r="U119" s="663"/>
      <c r="V119" s="663"/>
      <c r="W119" s="663"/>
      <c r="X119" s="663"/>
      <c r="Y119" s="663"/>
      <c r="Z119" s="663"/>
    </row>
    <row r="120">
      <c r="A120" s="670"/>
      <c r="B120" s="671"/>
      <c r="C120" s="672"/>
      <c r="D120" s="673"/>
      <c r="E120" s="663"/>
      <c r="F120" s="663"/>
      <c r="G120" s="663"/>
      <c r="H120" s="663"/>
      <c r="I120" s="663"/>
      <c r="J120" s="663"/>
      <c r="K120" s="663"/>
      <c r="L120" s="663"/>
      <c r="M120" s="663"/>
      <c r="N120" s="663"/>
      <c r="O120" s="663"/>
      <c r="P120" s="663"/>
      <c r="Q120" s="663"/>
      <c r="R120" s="663"/>
      <c r="S120" s="663"/>
      <c r="T120" s="663"/>
      <c r="U120" s="663"/>
      <c r="V120" s="663"/>
      <c r="W120" s="663"/>
      <c r="X120" s="663"/>
      <c r="Y120" s="663"/>
      <c r="Z120" s="663"/>
    </row>
    <row r="121">
      <c r="A121" s="670"/>
      <c r="B121" s="671"/>
      <c r="C121" s="672"/>
      <c r="D121" s="673"/>
      <c r="E121" s="663"/>
      <c r="F121" s="663"/>
      <c r="G121" s="663"/>
      <c r="H121" s="663"/>
      <c r="I121" s="663"/>
      <c r="J121" s="663"/>
      <c r="K121" s="663"/>
      <c r="L121" s="663"/>
      <c r="M121" s="663"/>
      <c r="N121" s="663"/>
      <c r="O121" s="663"/>
      <c r="P121" s="663"/>
      <c r="Q121" s="663"/>
      <c r="R121" s="663"/>
      <c r="S121" s="663"/>
      <c r="T121" s="663"/>
      <c r="U121" s="663"/>
      <c r="V121" s="663"/>
      <c r="W121" s="663"/>
      <c r="X121" s="663"/>
      <c r="Y121" s="663"/>
      <c r="Z121" s="663"/>
    </row>
    <row r="122">
      <c r="A122" s="670"/>
      <c r="B122" s="671"/>
      <c r="C122" s="672"/>
      <c r="D122" s="673"/>
      <c r="E122" s="663"/>
      <c r="F122" s="663"/>
      <c r="G122" s="663"/>
      <c r="H122" s="663"/>
      <c r="I122" s="663"/>
      <c r="J122" s="663"/>
      <c r="K122" s="663"/>
      <c r="L122" s="663"/>
      <c r="M122" s="663"/>
      <c r="N122" s="663"/>
      <c r="O122" s="663"/>
      <c r="P122" s="663"/>
      <c r="Q122" s="663"/>
      <c r="R122" s="663"/>
      <c r="S122" s="663"/>
      <c r="T122" s="663"/>
      <c r="U122" s="663"/>
      <c r="V122" s="663"/>
      <c r="W122" s="663"/>
      <c r="X122" s="663"/>
      <c r="Y122" s="663"/>
      <c r="Z122" s="663"/>
    </row>
    <row r="123">
      <c r="A123" s="670"/>
      <c r="B123" s="671"/>
      <c r="C123" s="672"/>
      <c r="D123" s="673"/>
      <c r="E123" s="663"/>
      <c r="F123" s="663"/>
      <c r="G123" s="663"/>
      <c r="H123" s="663"/>
      <c r="I123" s="663"/>
      <c r="J123" s="663"/>
      <c r="K123" s="663"/>
      <c r="L123" s="663"/>
      <c r="M123" s="663"/>
      <c r="N123" s="663"/>
      <c r="O123" s="663"/>
      <c r="P123" s="663"/>
      <c r="Q123" s="663"/>
      <c r="R123" s="663"/>
      <c r="S123" s="663"/>
      <c r="T123" s="663"/>
      <c r="U123" s="663"/>
      <c r="V123" s="663"/>
      <c r="W123" s="663"/>
      <c r="X123" s="663"/>
      <c r="Y123" s="663"/>
      <c r="Z123" s="663"/>
    </row>
    <row r="124">
      <c r="A124" s="670"/>
      <c r="B124" s="671"/>
      <c r="C124" s="672"/>
      <c r="D124" s="673"/>
      <c r="E124" s="663"/>
      <c r="F124" s="663"/>
      <c r="G124" s="663"/>
      <c r="H124" s="663"/>
      <c r="I124" s="663"/>
      <c r="J124" s="663"/>
      <c r="K124" s="663"/>
      <c r="L124" s="663"/>
      <c r="M124" s="663"/>
      <c r="N124" s="663"/>
      <c r="O124" s="663"/>
      <c r="P124" s="663"/>
      <c r="Q124" s="663"/>
      <c r="R124" s="663"/>
      <c r="S124" s="663"/>
      <c r="T124" s="663"/>
      <c r="U124" s="663"/>
      <c r="V124" s="663"/>
      <c r="W124" s="663"/>
      <c r="X124" s="663"/>
      <c r="Y124" s="663"/>
      <c r="Z124" s="663"/>
    </row>
    <row r="125">
      <c r="A125" s="670"/>
      <c r="B125" s="671"/>
      <c r="C125" s="672"/>
      <c r="D125" s="673"/>
      <c r="E125" s="663"/>
      <c r="F125" s="663"/>
      <c r="G125" s="663"/>
      <c r="H125" s="663"/>
      <c r="I125" s="663"/>
      <c r="J125" s="663"/>
      <c r="K125" s="663"/>
      <c r="L125" s="663"/>
      <c r="M125" s="663"/>
      <c r="N125" s="663"/>
      <c r="O125" s="663"/>
      <c r="P125" s="663"/>
      <c r="Q125" s="663"/>
      <c r="R125" s="663"/>
      <c r="S125" s="663"/>
      <c r="T125" s="663"/>
      <c r="U125" s="663"/>
      <c r="V125" s="663"/>
      <c r="W125" s="663"/>
      <c r="X125" s="663"/>
      <c r="Y125" s="663"/>
      <c r="Z125" s="663"/>
    </row>
    <row r="126">
      <c r="A126" s="670"/>
      <c r="B126" s="671"/>
      <c r="C126" s="672"/>
      <c r="D126" s="673"/>
      <c r="E126" s="663"/>
      <c r="F126" s="663"/>
      <c r="G126" s="663"/>
      <c r="H126" s="663"/>
      <c r="I126" s="663"/>
      <c r="J126" s="663"/>
      <c r="K126" s="663"/>
      <c r="L126" s="663"/>
      <c r="M126" s="663"/>
      <c r="N126" s="663"/>
      <c r="O126" s="663"/>
      <c r="P126" s="663"/>
      <c r="Q126" s="663"/>
      <c r="R126" s="663"/>
      <c r="S126" s="663"/>
      <c r="T126" s="663"/>
      <c r="U126" s="663"/>
      <c r="V126" s="663"/>
      <c r="W126" s="663"/>
      <c r="X126" s="663"/>
      <c r="Y126" s="663"/>
      <c r="Z126" s="663"/>
    </row>
    <row r="127">
      <c r="A127" s="670"/>
      <c r="B127" s="671"/>
      <c r="C127" s="672"/>
      <c r="D127" s="673"/>
      <c r="E127" s="663"/>
      <c r="F127" s="663"/>
      <c r="G127" s="663"/>
      <c r="H127" s="663"/>
      <c r="I127" s="663"/>
      <c r="J127" s="663"/>
      <c r="K127" s="663"/>
      <c r="L127" s="663"/>
      <c r="M127" s="663"/>
      <c r="N127" s="663"/>
      <c r="O127" s="663"/>
      <c r="P127" s="663"/>
      <c r="Q127" s="663"/>
      <c r="R127" s="663"/>
      <c r="S127" s="663"/>
      <c r="T127" s="663"/>
      <c r="U127" s="663"/>
      <c r="V127" s="663"/>
      <c r="W127" s="663"/>
      <c r="X127" s="663"/>
      <c r="Y127" s="663"/>
      <c r="Z127" s="663"/>
    </row>
    <row r="128">
      <c r="A128" s="670"/>
      <c r="B128" s="671"/>
      <c r="C128" s="672"/>
      <c r="D128" s="673"/>
      <c r="E128" s="663"/>
      <c r="F128" s="663"/>
      <c r="G128" s="663"/>
      <c r="H128" s="663"/>
      <c r="I128" s="663"/>
      <c r="J128" s="663"/>
      <c r="K128" s="663"/>
      <c r="L128" s="663"/>
      <c r="M128" s="663"/>
      <c r="N128" s="663"/>
      <c r="O128" s="663"/>
      <c r="P128" s="663"/>
      <c r="Q128" s="663"/>
      <c r="R128" s="663"/>
      <c r="S128" s="663"/>
      <c r="T128" s="663"/>
      <c r="U128" s="663"/>
      <c r="V128" s="663"/>
      <c r="W128" s="663"/>
      <c r="X128" s="663"/>
      <c r="Y128" s="663"/>
      <c r="Z128" s="663"/>
    </row>
    <row r="129">
      <c r="A129" s="670"/>
      <c r="B129" s="671"/>
      <c r="C129" s="672"/>
      <c r="D129" s="673"/>
      <c r="E129" s="663"/>
      <c r="F129" s="663"/>
      <c r="G129" s="663"/>
      <c r="H129" s="663"/>
      <c r="I129" s="663"/>
      <c r="J129" s="663"/>
      <c r="K129" s="663"/>
      <c r="L129" s="663"/>
      <c r="M129" s="663"/>
      <c r="N129" s="663"/>
      <c r="O129" s="663"/>
      <c r="P129" s="663"/>
      <c r="Q129" s="663"/>
      <c r="R129" s="663"/>
      <c r="S129" s="663"/>
      <c r="T129" s="663"/>
      <c r="U129" s="663"/>
      <c r="V129" s="663"/>
      <c r="W129" s="663"/>
      <c r="X129" s="663"/>
      <c r="Y129" s="663"/>
      <c r="Z129" s="663"/>
    </row>
    <row r="130">
      <c r="A130" s="670"/>
      <c r="B130" s="671"/>
      <c r="C130" s="672"/>
      <c r="D130" s="673"/>
      <c r="E130" s="663"/>
      <c r="F130" s="663"/>
      <c r="G130" s="663"/>
      <c r="H130" s="663"/>
      <c r="I130" s="663"/>
      <c r="J130" s="663"/>
      <c r="K130" s="663"/>
      <c r="L130" s="663"/>
      <c r="M130" s="663"/>
      <c r="N130" s="663"/>
      <c r="O130" s="663"/>
      <c r="P130" s="663"/>
      <c r="Q130" s="663"/>
      <c r="R130" s="663"/>
      <c r="S130" s="663"/>
      <c r="T130" s="663"/>
      <c r="U130" s="663"/>
      <c r="V130" s="663"/>
      <c r="W130" s="663"/>
      <c r="X130" s="663"/>
      <c r="Y130" s="663"/>
      <c r="Z130" s="663"/>
    </row>
    <row r="131">
      <c r="A131" s="670"/>
      <c r="B131" s="671"/>
      <c r="C131" s="672"/>
      <c r="D131" s="673"/>
      <c r="E131" s="663"/>
      <c r="F131" s="663"/>
      <c r="G131" s="663"/>
      <c r="H131" s="663"/>
      <c r="I131" s="663"/>
      <c r="J131" s="663"/>
      <c r="K131" s="663"/>
      <c r="L131" s="663"/>
      <c r="M131" s="663"/>
      <c r="N131" s="663"/>
      <c r="O131" s="663"/>
      <c r="P131" s="663"/>
      <c r="Q131" s="663"/>
      <c r="R131" s="663"/>
      <c r="S131" s="663"/>
      <c r="T131" s="663"/>
      <c r="U131" s="663"/>
      <c r="V131" s="663"/>
      <c r="W131" s="663"/>
      <c r="X131" s="663"/>
      <c r="Y131" s="663"/>
      <c r="Z131" s="663"/>
    </row>
    <row r="132">
      <c r="A132" s="670"/>
      <c r="B132" s="671"/>
      <c r="C132" s="672"/>
      <c r="D132" s="673"/>
      <c r="E132" s="663"/>
      <c r="F132" s="663"/>
      <c r="G132" s="663"/>
      <c r="H132" s="663"/>
      <c r="I132" s="663"/>
      <c r="J132" s="663"/>
      <c r="K132" s="663"/>
      <c r="L132" s="663"/>
      <c r="M132" s="663"/>
      <c r="N132" s="663"/>
      <c r="O132" s="663"/>
      <c r="P132" s="663"/>
      <c r="Q132" s="663"/>
      <c r="R132" s="663"/>
      <c r="S132" s="663"/>
      <c r="T132" s="663"/>
      <c r="U132" s="663"/>
      <c r="V132" s="663"/>
      <c r="W132" s="663"/>
      <c r="X132" s="663"/>
      <c r="Y132" s="663"/>
      <c r="Z132" s="663"/>
    </row>
    <row r="133">
      <c r="A133" s="670"/>
      <c r="B133" s="671"/>
      <c r="C133" s="672"/>
      <c r="D133" s="673"/>
      <c r="E133" s="663"/>
      <c r="F133" s="663"/>
      <c r="G133" s="663"/>
      <c r="H133" s="663"/>
      <c r="I133" s="663"/>
      <c r="J133" s="663"/>
      <c r="K133" s="663"/>
      <c r="L133" s="663"/>
      <c r="M133" s="663"/>
      <c r="N133" s="663"/>
      <c r="O133" s="663"/>
      <c r="P133" s="663"/>
      <c r="Q133" s="663"/>
      <c r="R133" s="663"/>
      <c r="S133" s="663"/>
      <c r="T133" s="663"/>
      <c r="U133" s="663"/>
      <c r="V133" s="663"/>
      <c r="W133" s="663"/>
      <c r="X133" s="663"/>
      <c r="Y133" s="663"/>
      <c r="Z133" s="663"/>
    </row>
    <row r="134">
      <c r="A134" s="670"/>
      <c r="B134" s="671"/>
      <c r="C134" s="672"/>
      <c r="D134" s="673"/>
      <c r="E134" s="663"/>
      <c r="F134" s="663"/>
      <c r="G134" s="663"/>
      <c r="H134" s="663"/>
      <c r="I134" s="663"/>
      <c r="J134" s="663"/>
      <c r="K134" s="663"/>
      <c r="L134" s="663"/>
      <c r="M134" s="663"/>
      <c r="N134" s="663"/>
      <c r="O134" s="663"/>
      <c r="P134" s="663"/>
      <c r="Q134" s="663"/>
      <c r="R134" s="663"/>
      <c r="S134" s="663"/>
      <c r="T134" s="663"/>
      <c r="U134" s="663"/>
      <c r="V134" s="663"/>
      <c r="W134" s="663"/>
      <c r="X134" s="663"/>
      <c r="Y134" s="663"/>
      <c r="Z134" s="663"/>
    </row>
    <row r="135">
      <c r="A135" s="670"/>
      <c r="B135" s="671"/>
      <c r="C135" s="672"/>
      <c r="D135" s="673"/>
      <c r="E135" s="663"/>
      <c r="F135" s="663"/>
      <c r="G135" s="663"/>
      <c r="H135" s="663"/>
      <c r="I135" s="663"/>
      <c r="J135" s="663"/>
      <c r="K135" s="663"/>
      <c r="L135" s="663"/>
      <c r="M135" s="663"/>
      <c r="N135" s="663"/>
      <c r="O135" s="663"/>
      <c r="P135" s="663"/>
      <c r="Q135" s="663"/>
      <c r="R135" s="663"/>
      <c r="S135" s="663"/>
      <c r="T135" s="663"/>
      <c r="U135" s="663"/>
      <c r="V135" s="663"/>
      <c r="W135" s="663"/>
      <c r="X135" s="663"/>
      <c r="Y135" s="663"/>
      <c r="Z135" s="663"/>
    </row>
    <row r="136">
      <c r="A136" s="670"/>
      <c r="B136" s="671"/>
      <c r="C136" s="672"/>
      <c r="D136" s="673"/>
      <c r="E136" s="663"/>
      <c r="F136" s="663"/>
      <c r="G136" s="663"/>
      <c r="H136" s="663"/>
      <c r="I136" s="663"/>
      <c r="J136" s="663"/>
      <c r="K136" s="663"/>
      <c r="L136" s="663"/>
      <c r="M136" s="663"/>
      <c r="N136" s="663"/>
      <c r="O136" s="663"/>
      <c r="P136" s="663"/>
      <c r="Q136" s="663"/>
      <c r="R136" s="663"/>
      <c r="S136" s="663"/>
      <c r="T136" s="663"/>
      <c r="U136" s="663"/>
      <c r="V136" s="663"/>
      <c r="W136" s="663"/>
      <c r="X136" s="663"/>
      <c r="Y136" s="663"/>
      <c r="Z136" s="663"/>
    </row>
    <row r="137">
      <c r="A137" s="670"/>
      <c r="B137" s="671"/>
      <c r="C137" s="672"/>
      <c r="D137" s="673"/>
      <c r="E137" s="663"/>
      <c r="F137" s="663"/>
      <c r="G137" s="663"/>
      <c r="H137" s="663"/>
      <c r="I137" s="663"/>
      <c r="J137" s="663"/>
      <c r="K137" s="663"/>
      <c r="L137" s="663"/>
      <c r="M137" s="663"/>
      <c r="N137" s="663"/>
      <c r="O137" s="663"/>
      <c r="P137" s="663"/>
      <c r="Q137" s="663"/>
      <c r="R137" s="663"/>
      <c r="S137" s="663"/>
      <c r="T137" s="663"/>
      <c r="U137" s="663"/>
      <c r="V137" s="663"/>
      <c r="W137" s="663"/>
      <c r="X137" s="663"/>
      <c r="Y137" s="663"/>
      <c r="Z137" s="663"/>
    </row>
    <row r="138">
      <c r="A138" s="670"/>
      <c r="B138" s="671"/>
      <c r="C138" s="672"/>
      <c r="D138" s="673"/>
      <c r="E138" s="663"/>
      <c r="F138" s="663"/>
      <c r="G138" s="663"/>
      <c r="H138" s="663"/>
      <c r="I138" s="663"/>
      <c r="J138" s="663"/>
      <c r="K138" s="663"/>
      <c r="L138" s="663"/>
      <c r="M138" s="663"/>
      <c r="N138" s="663"/>
      <c r="O138" s="663"/>
      <c r="P138" s="663"/>
      <c r="Q138" s="663"/>
      <c r="R138" s="663"/>
      <c r="S138" s="663"/>
      <c r="T138" s="663"/>
      <c r="U138" s="663"/>
      <c r="V138" s="663"/>
      <c r="W138" s="663"/>
      <c r="X138" s="663"/>
      <c r="Y138" s="663"/>
      <c r="Z138" s="663"/>
    </row>
    <row r="139">
      <c r="A139" s="670"/>
      <c r="B139" s="671"/>
      <c r="C139" s="672"/>
      <c r="D139" s="673"/>
      <c r="E139" s="663"/>
      <c r="F139" s="663"/>
      <c r="G139" s="663"/>
      <c r="H139" s="663"/>
      <c r="I139" s="663"/>
      <c r="J139" s="663"/>
      <c r="K139" s="663"/>
      <c r="L139" s="663"/>
      <c r="M139" s="663"/>
      <c r="N139" s="663"/>
      <c r="O139" s="663"/>
      <c r="P139" s="663"/>
      <c r="Q139" s="663"/>
      <c r="R139" s="663"/>
      <c r="S139" s="663"/>
      <c r="T139" s="663"/>
      <c r="U139" s="663"/>
      <c r="V139" s="663"/>
      <c r="W139" s="663"/>
      <c r="X139" s="663"/>
      <c r="Y139" s="663"/>
      <c r="Z139" s="663"/>
    </row>
    <row r="140">
      <c r="A140" s="670"/>
      <c r="B140" s="671"/>
      <c r="C140" s="672"/>
      <c r="D140" s="673"/>
      <c r="E140" s="663"/>
      <c r="F140" s="663"/>
      <c r="G140" s="663"/>
      <c r="H140" s="663"/>
      <c r="I140" s="663"/>
      <c r="J140" s="663"/>
      <c r="K140" s="663"/>
      <c r="L140" s="663"/>
      <c r="M140" s="663"/>
      <c r="N140" s="663"/>
      <c r="O140" s="663"/>
      <c r="P140" s="663"/>
      <c r="Q140" s="663"/>
      <c r="R140" s="663"/>
      <c r="S140" s="663"/>
      <c r="T140" s="663"/>
      <c r="U140" s="663"/>
      <c r="V140" s="663"/>
      <c r="W140" s="663"/>
      <c r="X140" s="663"/>
      <c r="Y140" s="663"/>
      <c r="Z140" s="663"/>
    </row>
    <row r="141">
      <c r="A141" s="670"/>
      <c r="B141" s="671"/>
      <c r="C141" s="672"/>
      <c r="D141" s="673"/>
      <c r="E141" s="663"/>
      <c r="F141" s="663"/>
      <c r="G141" s="663"/>
      <c r="H141" s="663"/>
      <c r="I141" s="663"/>
      <c r="J141" s="663"/>
      <c r="K141" s="663"/>
      <c r="L141" s="663"/>
      <c r="M141" s="663"/>
      <c r="N141" s="663"/>
      <c r="O141" s="663"/>
      <c r="P141" s="663"/>
      <c r="Q141" s="663"/>
      <c r="R141" s="663"/>
      <c r="S141" s="663"/>
      <c r="T141" s="663"/>
      <c r="U141" s="663"/>
      <c r="V141" s="663"/>
      <c r="W141" s="663"/>
      <c r="X141" s="663"/>
      <c r="Y141" s="663"/>
      <c r="Z141" s="663"/>
    </row>
    <row r="142">
      <c r="A142" s="670"/>
      <c r="B142" s="671"/>
      <c r="C142" s="672"/>
      <c r="D142" s="673"/>
      <c r="E142" s="663"/>
      <c r="F142" s="663"/>
      <c r="G142" s="663"/>
      <c r="H142" s="663"/>
      <c r="I142" s="663"/>
      <c r="J142" s="663"/>
      <c r="K142" s="663"/>
      <c r="L142" s="663"/>
      <c r="M142" s="663"/>
      <c r="N142" s="663"/>
      <c r="O142" s="663"/>
      <c r="P142" s="663"/>
      <c r="Q142" s="663"/>
      <c r="R142" s="663"/>
      <c r="S142" s="663"/>
      <c r="T142" s="663"/>
      <c r="U142" s="663"/>
      <c r="V142" s="663"/>
      <c r="W142" s="663"/>
      <c r="X142" s="663"/>
      <c r="Y142" s="663"/>
      <c r="Z142" s="663"/>
    </row>
    <row r="143">
      <c r="A143" s="670"/>
      <c r="B143" s="671"/>
      <c r="C143" s="672"/>
      <c r="D143" s="673"/>
      <c r="E143" s="663"/>
      <c r="F143" s="663"/>
      <c r="G143" s="663"/>
      <c r="H143" s="663"/>
      <c r="I143" s="663"/>
      <c r="J143" s="663"/>
      <c r="K143" s="663"/>
      <c r="L143" s="663"/>
      <c r="M143" s="663"/>
      <c r="N143" s="663"/>
      <c r="O143" s="663"/>
      <c r="P143" s="663"/>
      <c r="Q143" s="663"/>
      <c r="R143" s="663"/>
      <c r="S143" s="663"/>
      <c r="T143" s="663"/>
      <c r="U143" s="663"/>
      <c r="V143" s="663"/>
      <c r="W143" s="663"/>
      <c r="X143" s="663"/>
      <c r="Y143" s="663"/>
      <c r="Z143" s="663"/>
    </row>
    <row r="144">
      <c r="A144" s="670"/>
      <c r="B144" s="671"/>
      <c r="C144" s="672"/>
      <c r="D144" s="673"/>
      <c r="E144" s="663"/>
      <c r="F144" s="663"/>
      <c r="G144" s="663"/>
      <c r="H144" s="663"/>
      <c r="I144" s="663"/>
      <c r="J144" s="663"/>
      <c r="K144" s="663"/>
      <c r="L144" s="663"/>
      <c r="M144" s="663"/>
      <c r="N144" s="663"/>
      <c r="O144" s="663"/>
      <c r="P144" s="663"/>
      <c r="Q144" s="663"/>
      <c r="R144" s="663"/>
      <c r="S144" s="663"/>
      <c r="T144" s="663"/>
      <c r="U144" s="663"/>
      <c r="V144" s="663"/>
      <c r="W144" s="663"/>
      <c r="X144" s="663"/>
      <c r="Y144" s="663"/>
      <c r="Z144" s="663"/>
    </row>
    <row r="145">
      <c r="A145" s="670"/>
      <c r="B145" s="671"/>
      <c r="C145" s="672"/>
      <c r="D145" s="673"/>
      <c r="E145" s="663"/>
      <c r="F145" s="663"/>
      <c r="G145" s="663"/>
      <c r="H145" s="663"/>
      <c r="I145" s="663"/>
      <c r="J145" s="663"/>
      <c r="K145" s="663"/>
      <c r="L145" s="663"/>
      <c r="M145" s="663"/>
      <c r="N145" s="663"/>
      <c r="O145" s="663"/>
      <c r="P145" s="663"/>
      <c r="Q145" s="663"/>
      <c r="R145" s="663"/>
      <c r="S145" s="663"/>
      <c r="T145" s="663"/>
      <c r="U145" s="663"/>
      <c r="V145" s="663"/>
      <c r="W145" s="663"/>
      <c r="X145" s="663"/>
      <c r="Y145" s="663"/>
      <c r="Z145" s="663"/>
    </row>
    <row r="146">
      <c r="A146" s="670"/>
      <c r="B146" s="671"/>
      <c r="C146" s="672"/>
      <c r="D146" s="673"/>
      <c r="E146" s="663"/>
      <c r="F146" s="663"/>
      <c r="G146" s="663"/>
      <c r="H146" s="663"/>
      <c r="I146" s="663"/>
      <c r="J146" s="663"/>
      <c r="K146" s="663"/>
      <c r="L146" s="663"/>
      <c r="M146" s="663"/>
      <c r="N146" s="663"/>
      <c r="O146" s="663"/>
      <c r="P146" s="663"/>
      <c r="Q146" s="663"/>
      <c r="R146" s="663"/>
      <c r="S146" s="663"/>
      <c r="T146" s="663"/>
      <c r="U146" s="663"/>
      <c r="V146" s="663"/>
      <c r="W146" s="663"/>
      <c r="X146" s="663"/>
      <c r="Y146" s="663"/>
      <c r="Z146" s="663"/>
    </row>
    <row r="147">
      <c r="A147" s="670"/>
      <c r="B147" s="671"/>
      <c r="C147" s="672"/>
      <c r="D147" s="673"/>
      <c r="E147" s="663"/>
      <c r="F147" s="663"/>
      <c r="G147" s="663"/>
      <c r="H147" s="663"/>
      <c r="I147" s="663"/>
      <c r="J147" s="663"/>
      <c r="K147" s="663"/>
      <c r="L147" s="663"/>
      <c r="M147" s="663"/>
      <c r="N147" s="663"/>
      <c r="O147" s="663"/>
      <c r="P147" s="663"/>
      <c r="Q147" s="663"/>
      <c r="R147" s="663"/>
      <c r="S147" s="663"/>
      <c r="T147" s="663"/>
      <c r="U147" s="663"/>
      <c r="V147" s="663"/>
      <c r="W147" s="663"/>
      <c r="X147" s="663"/>
      <c r="Y147" s="663"/>
      <c r="Z147" s="663"/>
    </row>
    <row r="148">
      <c r="A148" s="670"/>
      <c r="B148" s="671"/>
      <c r="C148" s="672"/>
      <c r="D148" s="673"/>
      <c r="E148" s="663"/>
      <c r="F148" s="663"/>
      <c r="G148" s="663"/>
      <c r="H148" s="663"/>
      <c r="I148" s="663"/>
      <c r="J148" s="663"/>
      <c r="K148" s="663"/>
      <c r="L148" s="663"/>
      <c r="M148" s="663"/>
      <c r="N148" s="663"/>
      <c r="O148" s="663"/>
      <c r="P148" s="663"/>
      <c r="Q148" s="663"/>
      <c r="R148" s="663"/>
      <c r="S148" s="663"/>
      <c r="T148" s="663"/>
      <c r="U148" s="663"/>
      <c r="V148" s="663"/>
      <c r="W148" s="663"/>
      <c r="X148" s="663"/>
      <c r="Y148" s="663"/>
      <c r="Z148" s="663"/>
    </row>
    <row r="149">
      <c r="A149" s="670"/>
      <c r="B149" s="671"/>
      <c r="C149" s="672"/>
      <c r="D149" s="673"/>
      <c r="E149" s="663"/>
      <c r="F149" s="663"/>
      <c r="G149" s="663"/>
      <c r="H149" s="663"/>
      <c r="I149" s="663"/>
      <c r="J149" s="663"/>
      <c r="K149" s="663"/>
      <c r="L149" s="663"/>
      <c r="M149" s="663"/>
      <c r="N149" s="663"/>
      <c r="O149" s="663"/>
      <c r="P149" s="663"/>
      <c r="Q149" s="663"/>
      <c r="R149" s="663"/>
      <c r="S149" s="663"/>
      <c r="T149" s="663"/>
      <c r="U149" s="663"/>
      <c r="V149" s="663"/>
      <c r="W149" s="663"/>
      <c r="X149" s="663"/>
      <c r="Y149" s="663"/>
      <c r="Z149" s="663"/>
    </row>
    <row r="150">
      <c r="A150" s="670"/>
      <c r="B150" s="671"/>
      <c r="C150" s="672"/>
      <c r="D150" s="673"/>
      <c r="E150" s="663"/>
      <c r="F150" s="663"/>
      <c r="G150" s="663"/>
      <c r="H150" s="663"/>
      <c r="I150" s="663"/>
      <c r="J150" s="663"/>
      <c r="K150" s="663"/>
      <c r="L150" s="663"/>
      <c r="M150" s="663"/>
      <c r="N150" s="663"/>
      <c r="O150" s="663"/>
      <c r="P150" s="663"/>
      <c r="Q150" s="663"/>
      <c r="R150" s="663"/>
      <c r="S150" s="663"/>
      <c r="T150" s="663"/>
      <c r="U150" s="663"/>
      <c r="V150" s="663"/>
      <c r="W150" s="663"/>
      <c r="X150" s="663"/>
      <c r="Y150" s="663"/>
      <c r="Z150" s="663"/>
    </row>
    <row r="151">
      <c r="A151" s="670"/>
      <c r="B151" s="671"/>
      <c r="C151" s="672"/>
      <c r="D151" s="673"/>
      <c r="E151" s="663"/>
      <c r="F151" s="663"/>
      <c r="G151" s="663"/>
      <c r="H151" s="663"/>
      <c r="I151" s="663"/>
      <c r="J151" s="663"/>
      <c r="K151" s="663"/>
      <c r="L151" s="663"/>
      <c r="M151" s="663"/>
      <c r="N151" s="663"/>
      <c r="O151" s="663"/>
      <c r="P151" s="663"/>
      <c r="Q151" s="663"/>
      <c r="R151" s="663"/>
      <c r="S151" s="663"/>
      <c r="T151" s="663"/>
      <c r="U151" s="663"/>
      <c r="V151" s="663"/>
      <c r="W151" s="663"/>
      <c r="X151" s="663"/>
      <c r="Y151" s="663"/>
      <c r="Z151" s="663"/>
    </row>
    <row r="152">
      <c r="A152" s="670"/>
      <c r="B152" s="671"/>
      <c r="C152" s="672"/>
      <c r="D152" s="673"/>
      <c r="E152" s="663"/>
      <c r="F152" s="663"/>
      <c r="G152" s="663"/>
      <c r="H152" s="663"/>
      <c r="I152" s="663"/>
      <c r="J152" s="663"/>
      <c r="K152" s="663"/>
      <c r="L152" s="663"/>
      <c r="M152" s="663"/>
      <c r="N152" s="663"/>
      <c r="O152" s="663"/>
      <c r="P152" s="663"/>
      <c r="Q152" s="663"/>
      <c r="R152" s="663"/>
      <c r="S152" s="663"/>
      <c r="T152" s="663"/>
      <c r="U152" s="663"/>
      <c r="V152" s="663"/>
      <c r="W152" s="663"/>
      <c r="X152" s="663"/>
      <c r="Y152" s="663"/>
      <c r="Z152" s="663"/>
    </row>
    <row r="153">
      <c r="A153" s="670"/>
      <c r="B153" s="671"/>
      <c r="C153" s="672"/>
      <c r="D153" s="673"/>
      <c r="E153" s="663"/>
      <c r="F153" s="663"/>
      <c r="G153" s="663"/>
      <c r="H153" s="663"/>
      <c r="I153" s="663"/>
      <c r="J153" s="663"/>
      <c r="K153" s="663"/>
      <c r="L153" s="663"/>
      <c r="M153" s="663"/>
      <c r="N153" s="663"/>
      <c r="O153" s="663"/>
      <c r="P153" s="663"/>
      <c r="Q153" s="663"/>
      <c r="R153" s="663"/>
      <c r="S153" s="663"/>
      <c r="T153" s="663"/>
      <c r="U153" s="663"/>
      <c r="V153" s="663"/>
      <c r="W153" s="663"/>
      <c r="X153" s="663"/>
      <c r="Y153" s="663"/>
      <c r="Z153" s="663"/>
    </row>
    <row r="154">
      <c r="A154" s="670"/>
      <c r="B154" s="671"/>
      <c r="C154" s="672"/>
      <c r="D154" s="673"/>
      <c r="E154" s="663"/>
      <c r="F154" s="663"/>
      <c r="G154" s="663"/>
      <c r="H154" s="663"/>
      <c r="I154" s="663"/>
      <c r="J154" s="663"/>
      <c r="K154" s="663"/>
      <c r="L154" s="663"/>
      <c r="M154" s="663"/>
      <c r="N154" s="663"/>
      <c r="O154" s="663"/>
      <c r="P154" s="663"/>
      <c r="Q154" s="663"/>
      <c r="R154" s="663"/>
      <c r="S154" s="663"/>
      <c r="T154" s="663"/>
      <c r="U154" s="663"/>
      <c r="V154" s="663"/>
      <c r="W154" s="663"/>
      <c r="X154" s="663"/>
      <c r="Y154" s="663"/>
      <c r="Z154" s="663"/>
    </row>
    <row r="155">
      <c r="A155" s="670"/>
      <c r="B155" s="671"/>
      <c r="C155" s="672"/>
      <c r="D155" s="673"/>
      <c r="E155" s="663"/>
      <c r="F155" s="663"/>
      <c r="G155" s="663"/>
      <c r="H155" s="663"/>
      <c r="I155" s="663"/>
      <c r="J155" s="663"/>
      <c r="K155" s="663"/>
      <c r="L155" s="663"/>
      <c r="M155" s="663"/>
      <c r="N155" s="663"/>
      <c r="O155" s="663"/>
      <c r="P155" s="663"/>
      <c r="Q155" s="663"/>
      <c r="R155" s="663"/>
      <c r="S155" s="663"/>
      <c r="T155" s="663"/>
      <c r="U155" s="663"/>
      <c r="V155" s="663"/>
      <c r="W155" s="663"/>
      <c r="X155" s="663"/>
      <c r="Y155" s="663"/>
      <c r="Z155" s="663"/>
    </row>
    <row r="156">
      <c r="A156" s="670"/>
      <c r="B156" s="671"/>
      <c r="C156" s="672"/>
      <c r="D156" s="673"/>
      <c r="E156" s="663"/>
      <c r="F156" s="663"/>
      <c r="G156" s="663"/>
      <c r="H156" s="663"/>
      <c r="I156" s="663"/>
      <c r="J156" s="663"/>
      <c r="K156" s="663"/>
      <c r="L156" s="663"/>
      <c r="M156" s="663"/>
      <c r="N156" s="663"/>
      <c r="O156" s="663"/>
      <c r="P156" s="663"/>
      <c r="Q156" s="663"/>
      <c r="R156" s="663"/>
      <c r="S156" s="663"/>
      <c r="T156" s="663"/>
      <c r="U156" s="663"/>
      <c r="V156" s="663"/>
      <c r="W156" s="663"/>
      <c r="X156" s="663"/>
      <c r="Y156" s="663"/>
      <c r="Z156" s="663"/>
    </row>
    <row r="157">
      <c r="A157" s="670"/>
      <c r="B157" s="671"/>
      <c r="C157" s="672"/>
      <c r="D157" s="673"/>
      <c r="E157" s="663"/>
      <c r="F157" s="663"/>
      <c r="G157" s="663"/>
      <c r="H157" s="663"/>
      <c r="I157" s="663"/>
      <c r="J157" s="663"/>
      <c r="K157" s="663"/>
      <c r="L157" s="663"/>
      <c r="M157" s="663"/>
      <c r="N157" s="663"/>
      <c r="O157" s="663"/>
      <c r="P157" s="663"/>
      <c r="Q157" s="663"/>
      <c r="R157" s="663"/>
      <c r="S157" s="663"/>
      <c r="T157" s="663"/>
      <c r="U157" s="663"/>
      <c r="V157" s="663"/>
      <c r="W157" s="663"/>
      <c r="X157" s="663"/>
      <c r="Y157" s="663"/>
      <c r="Z157" s="663"/>
    </row>
    <row r="158">
      <c r="A158" s="670"/>
      <c r="B158" s="671"/>
      <c r="C158" s="672"/>
      <c r="D158" s="673"/>
      <c r="E158" s="663"/>
      <c r="F158" s="663"/>
      <c r="G158" s="663"/>
      <c r="H158" s="663"/>
      <c r="I158" s="663"/>
      <c r="J158" s="663"/>
      <c r="K158" s="663"/>
      <c r="L158" s="663"/>
      <c r="M158" s="663"/>
      <c r="N158" s="663"/>
      <c r="O158" s="663"/>
      <c r="P158" s="663"/>
      <c r="Q158" s="663"/>
      <c r="R158" s="663"/>
      <c r="S158" s="663"/>
      <c r="T158" s="663"/>
      <c r="U158" s="663"/>
      <c r="V158" s="663"/>
      <c r="W158" s="663"/>
      <c r="X158" s="663"/>
      <c r="Y158" s="663"/>
      <c r="Z158" s="663"/>
    </row>
    <row r="159">
      <c r="A159" s="670"/>
      <c r="B159" s="671"/>
      <c r="C159" s="672"/>
      <c r="D159" s="673"/>
      <c r="E159" s="663"/>
      <c r="F159" s="663"/>
      <c r="G159" s="663"/>
      <c r="H159" s="663"/>
      <c r="I159" s="663"/>
      <c r="J159" s="663"/>
      <c r="K159" s="663"/>
      <c r="L159" s="663"/>
      <c r="M159" s="663"/>
      <c r="N159" s="663"/>
      <c r="O159" s="663"/>
      <c r="P159" s="663"/>
      <c r="Q159" s="663"/>
      <c r="R159" s="663"/>
      <c r="S159" s="663"/>
      <c r="T159" s="663"/>
      <c r="U159" s="663"/>
      <c r="V159" s="663"/>
      <c r="W159" s="663"/>
      <c r="X159" s="663"/>
      <c r="Y159" s="663"/>
      <c r="Z159" s="663"/>
    </row>
    <row r="160">
      <c r="A160" s="670"/>
      <c r="B160" s="671"/>
      <c r="C160" s="672"/>
      <c r="D160" s="673"/>
      <c r="E160" s="663"/>
      <c r="F160" s="663"/>
      <c r="G160" s="663"/>
      <c r="H160" s="663"/>
      <c r="I160" s="663"/>
      <c r="J160" s="663"/>
      <c r="K160" s="663"/>
      <c r="L160" s="663"/>
      <c r="M160" s="663"/>
      <c r="N160" s="663"/>
      <c r="O160" s="663"/>
      <c r="P160" s="663"/>
      <c r="Q160" s="663"/>
      <c r="R160" s="663"/>
      <c r="S160" s="663"/>
      <c r="T160" s="663"/>
      <c r="U160" s="663"/>
      <c r="V160" s="663"/>
      <c r="W160" s="663"/>
      <c r="X160" s="663"/>
      <c r="Y160" s="663"/>
      <c r="Z160" s="663"/>
    </row>
    <row r="161">
      <c r="A161" s="670"/>
      <c r="B161" s="671"/>
      <c r="C161" s="672"/>
      <c r="D161" s="673"/>
      <c r="E161" s="663"/>
      <c r="F161" s="663"/>
      <c r="G161" s="663"/>
      <c r="H161" s="663"/>
      <c r="I161" s="663"/>
      <c r="J161" s="663"/>
      <c r="K161" s="663"/>
      <c r="L161" s="663"/>
      <c r="M161" s="663"/>
      <c r="N161" s="663"/>
      <c r="O161" s="663"/>
      <c r="P161" s="663"/>
      <c r="Q161" s="663"/>
      <c r="R161" s="663"/>
      <c r="S161" s="663"/>
      <c r="T161" s="663"/>
      <c r="U161" s="663"/>
      <c r="V161" s="663"/>
      <c r="W161" s="663"/>
      <c r="X161" s="663"/>
      <c r="Y161" s="663"/>
      <c r="Z161" s="663"/>
    </row>
    <row r="162">
      <c r="A162" s="670"/>
      <c r="B162" s="671"/>
      <c r="C162" s="672"/>
      <c r="D162" s="673"/>
      <c r="E162" s="663"/>
      <c r="F162" s="663"/>
      <c r="G162" s="663"/>
      <c r="H162" s="663"/>
      <c r="I162" s="663"/>
      <c r="J162" s="663"/>
      <c r="K162" s="663"/>
      <c r="L162" s="663"/>
      <c r="M162" s="663"/>
      <c r="N162" s="663"/>
      <c r="O162" s="663"/>
      <c r="P162" s="663"/>
      <c r="Q162" s="663"/>
      <c r="R162" s="663"/>
      <c r="S162" s="663"/>
      <c r="T162" s="663"/>
      <c r="U162" s="663"/>
      <c r="V162" s="663"/>
      <c r="W162" s="663"/>
      <c r="X162" s="663"/>
      <c r="Y162" s="663"/>
      <c r="Z162" s="663"/>
    </row>
    <row r="163">
      <c r="A163" s="670"/>
      <c r="B163" s="671"/>
      <c r="C163" s="672"/>
      <c r="D163" s="673"/>
      <c r="E163" s="663"/>
      <c r="F163" s="663"/>
      <c r="G163" s="663"/>
      <c r="H163" s="663"/>
      <c r="I163" s="663"/>
      <c r="J163" s="663"/>
      <c r="K163" s="663"/>
      <c r="L163" s="663"/>
      <c r="M163" s="663"/>
      <c r="N163" s="663"/>
      <c r="O163" s="663"/>
      <c r="P163" s="663"/>
      <c r="Q163" s="663"/>
      <c r="R163" s="663"/>
      <c r="S163" s="663"/>
      <c r="T163" s="663"/>
      <c r="U163" s="663"/>
      <c r="V163" s="663"/>
      <c r="W163" s="663"/>
      <c r="X163" s="663"/>
      <c r="Y163" s="663"/>
      <c r="Z163" s="663"/>
    </row>
    <row r="164">
      <c r="A164" s="670"/>
      <c r="B164" s="671"/>
      <c r="C164" s="672"/>
      <c r="D164" s="673"/>
      <c r="E164" s="663"/>
      <c r="F164" s="663"/>
      <c r="G164" s="663"/>
      <c r="H164" s="663"/>
      <c r="I164" s="663"/>
      <c r="J164" s="663"/>
      <c r="K164" s="663"/>
      <c r="L164" s="663"/>
      <c r="M164" s="663"/>
      <c r="N164" s="663"/>
      <c r="O164" s="663"/>
      <c r="P164" s="663"/>
      <c r="Q164" s="663"/>
      <c r="R164" s="663"/>
      <c r="S164" s="663"/>
      <c r="T164" s="663"/>
      <c r="U164" s="663"/>
      <c r="V164" s="663"/>
      <c r="W164" s="663"/>
      <c r="X164" s="663"/>
      <c r="Y164" s="663"/>
      <c r="Z164" s="663"/>
    </row>
    <row r="165">
      <c r="A165" s="670"/>
      <c r="B165" s="671"/>
      <c r="C165" s="672"/>
      <c r="D165" s="673"/>
      <c r="E165" s="663"/>
      <c r="F165" s="663"/>
      <c r="G165" s="663"/>
      <c r="H165" s="663"/>
      <c r="I165" s="663"/>
      <c r="J165" s="663"/>
      <c r="K165" s="663"/>
      <c r="L165" s="663"/>
      <c r="M165" s="663"/>
      <c r="N165" s="663"/>
      <c r="O165" s="663"/>
      <c r="P165" s="663"/>
      <c r="Q165" s="663"/>
      <c r="R165" s="663"/>
      <c r="S165" s="663"/>
      <c r="T165" s="663"/>
      <c r="U165" s="663"/>
      <c r="V165" s="663"/>
      <c r="W165" s="663"/>
      <c r="X165" s="663"/>
      <c r="Y165" s="663"/>
      <c r="Z165" s="663"/>
    </row>
    <row r="166">
      <c r="A166" s="670"/>
      <c r="B166" s="671"/>
      <c r="C166" s="672"/>
      <c r="D166" s="673"/>
      <c r="E166" s="663"/>
      <c r="F166" s="663"/>
      <c r="G166" s="663"/>
      <c r="H166" s="663"/>
      <c r="I166" s="663"/>
      <c r="J166" s="663"/>
      <c r="K166" s="663"/>
      <c r="L166" s="663"/>
      <c r="M166" s="663"/>
      <c r="N166" s="663"/>
      <c r="O166" s="663"/>
      <c r="P166" s="663"/>
      <c r="Q166" s="663"/>
      <c r="R166" s="663"/>
      <c r="S166" s="663"/>
      <c r="T166" s="663"/>
      <c r="U166" s="663"/>
      <c r="V166" s="663"/>
      <c r="W166" s="663"/>
      <c r="X166" s="663"/>
      <c r="Y166" s="663"/>
      <c r="Z166" s="663"/>
    </row>
    <row r="167">
      <c r="A167" s="670"/>
      <c r="B167" s="671"/>
      <c r="C167" s="672"/>
      <c r="D167" s="673"/>
      <c r="E167" s="663"/>
      <c r="F167" s="663"/>
      <c r="G167" s="663"/>
      <c r="H167" s="663"/>
      <c r="I167" s="663"/>
      <c r="J167" s="663"/>
      <c r="K167" s="663"/>
      <c r="L167" s="663"/>
      <c r="M167" s="663"/>
      <c r="N167" s="663"/>
      <c r="O167" s="663"/>
      <c r="P167" s="663"/>
      <c r="Q167" s="663"/>
      <c r="R167" s="663"/>
      <c r="S167" s="663"/>
      <c r="T167" s="663"/>
      <c r="U167" s="663"/>
      <c r="V167" s="663"/>
      <c r="W167" s="663"/>
      <c r="X167" s="663"/>
      <c r="Y167" s="663"/>
      <c r="Z167" s="663"/>
    </row>
    <row r="168">
      <c r="A168" s="670"/>
      <c r="B168" s="671"/>
      <c r="C168" s="672"/>
      <c r="D168" s="673"/>
      <c r="E168" s="663"/>
      <c r="F168" s="663"/>
      <c r="G168" s="663"/>
      <c r="H168" s="663"/>
      <c r="I168" s="663"/>
      <c r="J168" s="663"/>
      <c r="K168" s="663"/>
      <c r="L168" s="663"/>
      <c r="M168" s="663"/>
      <c r="N168" s="663"/>
      <c r="O168" s="663"/>
      <c r="P168" s="663"/>
      <c r="Q168" s="663"/>
      <c r="R168" s="663"/>
      <c r="S168" s="663"/>
      <c r="T168" s="663"/>
      <c r="U168" s="663"/>
      <c r="V168" s="663"/>
      <c r="W168" s="663"/>
      <c r="X168" s="663"/>
      <c r="Y168" s="663"/>
      <c r="Z168" s="663"/>
    </row>
    <row r="169">
      <c r="A169" s="670"/>
      <c r="B169" s="671"/>
      <c r="C169" s="672"/>
      <c r="D169" s="673"/>
      <c r="E169" s="663"/>
      <c r="F169" s="663"/>
      <c r="G169" s="663"/>
      <c r="H169" s="663"/>
      <c r="I169" s="663"/>
      <c r="J169" s="663"/>
      <c r="K169" s="663"/>
      <c r="L169" s="663"/>
      <c r="M169" s="663"/>
      <c r="N169" s="663"/>
      <c r="O169" s="663"/>
      <c r="P169" s="663"/>
      <c r="Q169" s="663"/>
      <c r="R169" s="663"/>
      <c r="S169" s="663"/>
      <c r="T169" s="663"/>
      <c r="U169" s="663"/>
      <c r="V169" s="663"/>
      <c r="W169" s="663"/>
      <c r="X169" s="663"/>
      <c r="Y169" s="663"/>
      <c r="Z169" s="663"/>
    </row>
    <row r="170">
      <c r="A170" s="670"/>
      <c r="B170" s="671"/>
      <c r="C170" s="672"/>
      <c r="D170" s="673"/>
      <c r="E170" s="663"/>
      <c r="F170" s="663"/>
      <c r="G170" s="663"/>
      <c r="H170" s="663"/>
      <c r="I170" s="663"/>
      <c r="J170" s="663"/>
      <c r="K170" s="663"/>
      <c r="L170" s="663"/>
      <c r="M170" s="663"/>
      <c r="N170" s="663"/>
      <c r="O170" s="663"/>
      <c r="P170" s="663"/>
      <c r="Q170" s="663"/>
      <c r="R170" s="663"/>
      <c r="S170" s="663"/>
      <c r="T170" s="663"/>
      <c r="U170" s="663"/>
      <c r="V170" s="663"/>
      <c r="W170" s="663"/>
      <c r="X170" s="663"/>
      <c r="Y170" s="663"/>
      <c r="Z170" s="663"/>
    </row>
    <row r="171">
      <c r="A171" s="670"/>
      <c r="B171" s="671"/>
      <c r="C171" s="672"/>
      <c r="D171" s="673"/>
      <c r="E171" s="663"/>
      <c r="F171" s="663"/>
      <c r="G171" s="663"/>
      <c r="H171" s="663"/>
      <c r="I171" s="663"/>
      <c r="J171" s="663"/>
      <c r="K171" s="663"/>
      <c r="L171" s="663"/>
      <c r="M171" s="663"/>
      <c r="N171" s="663"/>
      <c r="O171" s="663"/>
      <c r="P171" s="663"/>
      <c r="Q171" s="663"/>
      <c r="R171" s="663"/>
      <c r="S171" s="663"/>
      <c r="T171" s="663"/>
      <c r="U171" s="663"/>
      <c r="V171" s="663"/>
      <c r="W171" s="663"/>
      <c r="X171" s="663"/>
      <c r="Y171" s="663"/>
      <c r="Z171" s="663"/>
    </row>
    <row r="172">
      <c r="A172" s="670"/>
      <c r="B172" s="671"/>
      <c r="C172" s="672"/>
      <c r="D172" s="673"/>
      <c r="E172" s="663"/>
      <c r="F172" s="663"/>
      <c r="G172" s="663"/>
      <c r="H172" s="663"/>
      <c r="I172" s="663"/>
      <c r="J172" s="663"/>
      <c r="K172" s="663"/>
      <c r="L172" s="663"/>
      <c r="M172" s="663"/>
      <c r="N172" s="663"/>
      <c r="O172" s="663"/>
      <c r="P172" s="663"/>
      <c r="Q172" s="663"/>
      <c r="R172" s="663"/>
      <c r="S172" s="663"/>
      <c r="T172" s="663"/>
      <c r="U172" s="663"/>
      <c r="V172" s="663"/>
      <c r="W172" s="663"/>
      <c r="X172" s="663"/>
      <c r="Y172" s="663"/>
      <c r="Z172" s="663"/>
    </row>
    <row r="173">
      <c r="A173" s="670"/>
      <c r="B173" s="671"/>
      <c r="C173" s="672"/>
      <c r="D173" s="673"/>
      <c r="E173" s="663"/>
      <c r="F173" s="663"/>
      <c r="G173" s="663"/>
      <c r="H173" s="663"/>
      <c r="I173" s="663"/>
      <c r="J173" s="663"/>
      <c r="K173" s="663"/>
      <c r="L173" s="663"/>
      <c r="M173" s="663"/>
      <c r="N173" s="663"/>
      <c r="O173" s="663"/>
      <c r="P173" s="663"/>
      <c r="Q173" s="663"/>
      <c r="R173" s="663"/>
      <c r="S173" s="663"/>
      <c r="T173" s="663"/>
      <c r="U173" s="663"/>
      <c r="V173" s="663"/>
      <c r="W173" s="663"/>
      <c r="X173" s="663"/>
      <c r="Y173" s="663"/>
      <c r="Z173" s="663"/>
    </row>
    <row r="174">
      <c r="A174" s="670"/>
      <c r="B174" s="671"/>
      <c r="C174" s="672"/>
      <c r="D174" s="673"/>
      <c r="E174" s="663"/>
      <c r="F174" s="663"/>
      <c r="G174" s="663"/>
      <c r="H174" s="663"/>
      <c r="I174" s="663"/>
      <c r="J174" s="663"/>
      <c r="K174" s="663"/>
      <c r="L174" s="663"/>
      <c r="M174" s="663"/>
      <c r="N174" s="663"/>
      <c r="O174" s="663"/>
      <c r="P174" s="663"/>
      <c r="Q174" s="663"/>
      <c r="R174" s="663"/>
      <c r="S174" s="663"/>
      <c r="T174" s="663"/>
      <c r="U174" s="663"/>
      <c r="V174" s="663"/>
      <c r="W174" s="663"/>
      <c r="X174" s="663"/>
      <c r="Y174" s="663"/>
      <c r="Z174" s="663"/>
    </row>
    <row r="175">
      <c r="A175" s="670"/>
      <c r="B175" s="671"/>
      <c r="C175" s="672"/>
      <c r="D175" s="673"/>
      <c r="E175" s="663"/>
      <c r="F175" s="663"/>
      <c r="G175" s="663"/>
      <c r="H175" s="663"/>
      <c r="I175" s="663"/>
      <c r="J175" s="663"/>
      <c r="K175" s="663"/>
      <c r="L175" s="663"/>
      <c r="M175" s="663"/>
      <c r="N175" s="663"/>
      <c r="O175" s="663"/>
      <c r="P175" s="663"/>
      <c r="Q175" s="663"/>
      <c r="R175" s="663"/>
      <c r="S175" s="663"/>
      <c r="T175" s="663"/>
      <c r="U175" s="663"/>
      <c r="V175" s="663"/>
      <c r="W175" s="663"/>
      <c r="X175" s="663"/>
      <c r="Y175" s="663"/>
      <c r="Z175" s="663"/>
    </row>
    <row r="176">
      <c r="A176" s="670"/>
      <c r="B176" s="671"/>
      <c r="C176" s="672"/>
      <c r="D176" s="673"/>
      <c r="E176" s="663"/>
      <c r="F176" s="663"/>
      <c r="G176" s="663"/>
      <c r="H176" s="663"/>
      <c r="I176" s="663"/>
      <c r="J176" s="663"/>
      <c r="K176" s="663"/>
      <c r="L176" s="663"/>
      <c r="M176" s="663"/>
      <c r="N176" s="663"/>
      <c r="O176" s="663"/>
      <c r="P176" s="663"/>
      <c r="Q176" s="663"/>
      <c r="R176" s="663"/>
      <c r="S176" s="663"/>
      <c r="T176" s="663"/>
      <c r="U176" s="663"/>
      <c r="V176" s="663"/>
      <c r="W176" s="663"/>
      <c r="X176" s="663"/>
      <c r="Y176" s="663"/>
      <c r="Z176" s="663"/>
    </row>
    <row r="177">
      <c r="A177" s="670"/>
      <c r="B177" s="671"/>
      <c r="C177" s="672"/>
      <c r="D177" s="673"/>
      <c r="E177" s="663"/>
      <c r="F177" s="663"/>
      <c r="G177" s="663"/>
      <c r="H177" s="663"/>
      <c r="I177" s="663"/>
      <c r="J177" s="663"/>
      <c r="K177" s="663"/>
      <c r="L177" s="663"/>
      <c r="M177" s="663"/>
      <c r="N177" s="663"/>
      <c r="O177" s="663"/>
      <c r="P177" s="663"/>
      <c r="Q177" s="663"/>
      <c r="R177" s="663"/>
      <c r="S177" s="663"/>
      <c r="T177" s="663"/>
      <c r="U177" s="663"/>
      <c r="V177" s="663"/>
      <c r="W177" s="663"/>
      <c r="X177" s="663"/>
      <c r="Y177" s="663"/>
      <c r="Z177" s="663"/>
    </row>
    <row r="178">
      <c r="A178" s="670"/>
      <c r="B178" s="671"/>
      <c r="C178" s="672"/>
      <c r="D178" s="673"/>
      <c r="E178" s="663"/>
      <c r="F178" s="663"/>
      <c r="G178" s="663"/>
      <c r="H178" s="663"/>
      <c r="I178" s="663"/>
      <c r="J178" s="663"/>
      <c r="K178" s="663"/>
      <c r="L178" s="663"/>
      <c r="M178" s="663"/>
      <c r="N178" s="663"/>
      <c r="O178" s="663"/>
      <c r="P178" s="663"/>
      <c r="Q178" s="663"/>
      <c r="R178" s="663"/>
      <c r="S178" s="663"/>
      <c r="T178" s="663"/>
      <c r="U178" s="663"/>
      <c r="V178" s="663"/>
      <c r="W178" s="663"/>
      <c r="X178" s="663"/>
      <c r="Y178" s="663"/>
      <c r="Z178" s="663"/>
    </row>
    <row r="179">
      <c r="A179" s="670"/>
      <c r="B179" s="671"/>
      <c r="C179" s="672"/>
      <c r="D179" s="673"/>
      <c r="E179" s="663"/>
      <c r="F179" s="663"/>
      <c r="G179" s="663"/>
      <c r="H179" s="663"/>
      <c r="I179" s="663"/>
      <c r="J179" s="663"/>
      <c r="K179" s="663"/>
      <c r="L179" s="663"/>
      <c r="M179" s="663"/>
      <c r="N179" s="663"/>
      <c r="O179" s="663"/>
      <c r="P179" s="663"/>
      <c r="Q179" s="663"/>
      <c r="R179" s="663"/>
      <c r="S179" s="663"/>
      <c r="T179" s="663"/>
      <c r="U179" s="663"/>
      <c r="V179" s="663"/>
      <c r="W179" s="663"/>
      <c r="X179" s="663"/>
      <c r="Y179" s="663"/>
      <c r="Z179" s="663"/>
    </row>
    <row r="180">
      <c r="A180" s="670"/>
      <c r="B180" s="671"/>
      <c r="C180" s="672"/>
      <c r="D180" s="673"/>
      <c r="E180" s="663"/>
      <c r="F180" s="663"/>
      <c r="G180" s="663"/>
      <c r="H180" s="663"/>
      <c r="I180" s="663"/>
      <c r="J180" s="663"/>
      <c r="K180" s="663"/>
      <c r="L180" s="663"/>
      <c r="M180" s="663"/>
      <c r="N180" s="663"/>
      <c r="O180" s="663"/>
      <c r="P180" s="663"/>
      <c r="Q180" s="663"/>
      <c r="R180" s="663"/>
      <c r="S180" s="663"/>
      <c r="T180" s="663"/>
      <c r="U180" s="663"/>
      <c r="V180" s="663"/>
      <c r="W180" s="663"/>
      <c r="X180" s="663"/>
      <c r="Y180" s="663"/>
      <c r="Z180" s="663"/>
    </row>
    <row r="181">
      <c r="A181" s="670"/>
      <c r="B181" s="671"/>
      <c r="C181" s="672"/>
      <c r="D181" s="673"/>
      <c r="E181" s="663"/>
      <c r="F181" s="663"/>
      <c r="G181" s="663"/>
      <c r="H181" s="663"/>
      <c r="I181" s="663"/>
      <c r="J181" s="663"/>
      <c r="K181" s="663"/>
      <c r="L181" s="663"/>
      <c r="M181" s="663"/>
      <c r="N181" s="663"/>
      <c r="O181" s="663"/>
      <c r="P181" s="663"/>
      <c r="Q181" s="663"/>
      <c r="R181" s="663"/>
      <c r="S181" s="663"/>
      <c r="T181" s="663"/>
      <c r="U181" s="663"/>
      <c r="V181" s="663"/>
      <c r="W181" s="663"/>
      <c r="X181" s="663"/>
      <c r="Y181" s="663"/>
      <c r="Z181" s="663"/>
    </row>
    <row r="182">
      <c r="A182" s="670"/>
      <c r="B182" s="671"/>
      <c r="C182" s="672"/>
      <c r="D182" s="673"/>
      <c r="E182" s="663"/>
      <c r="F182" s="663"/>
      <c r="G182" s="663"/>
      <c r="H182" s="663"/>
      <c r="I182" s="663"/>
      <c r="J182" s="663"/>
      <c r="K182" s="663"/>
      <c r="L182" s="663"/>
      <c r="M182" s="663"/>
      <c r="N182" s="663"/>
      <c r="O182" s="663"/>
      <c r="P182" s="663"/>
      <c r="Q182" s="663"/>
      <c r="R182" s="663"/>
      <c r="S182" s="663"/>
      <c r="T182" s="663"/>
      <c r="U182" s="663"/>
      <c r="V182" s="663"/>
      <c r="W182" s="663"/>
      <c r="X182" s="663"/>
      <c r="Y182" s="663"/>
      <c r="Z182" s="663"/>
    </row>
    <row r="183">
      <c r="A183" s="670"/>
      <c r="B183" s="671"/>
      <c r="C183" s="672"/>
      <c r="D183" s="673"/>
      <c r="E183" s="663"/>
      <c r="F183" s="663"/>
      <c r="G183" s="663"/>
      <c r="H183" s="663"/>
      <c r="I183" s="663"/>
      <c r="J183" s="663"/>
      <c r="K183" s="663"/>
      <c r="L183" s="663"/>
      <c r="M183" s="663"/>
      <c r="N183" s="663"/>
      <c r="O183" s="663"/>
      <c r="P183" s="663"/>
      <c r="Q183" s="663"/>
      <c r="R183" s="663"/>
      <c r="S183" s="663"/>
      <c r="T183" s="663"/>
      <c r="U183" s="663"/>
      <c r="V183" s="663"/>
      <c r="W183" s="663"/>
      <c r="X183" s="663"/>
      <c r="Y183" s="663"/>
      <c r="Z183" s="663"/>
    </row>
    <row r="184">
      <c r="A184" s="670"/>
      <c r="B184" s="671"/>
      <c r="C184" s="672"/>
      <c r="D184" s="673"/>
      <c r="E184" s="663"/>
      <c r="F184" s="663"/>
      <c r="G184" s="663"/>
      <c r="H184" s="663"/>
      <c r="I184" s="663"/>
      <c r="J184" s="663"/>
      <c r="K184" s="663"/>
      <c r="L184" s="663"/>
      <c r="M184" s="663"/>
      <c r="N184" s="663"/>
      <c r="O184" s="663"/>
      <c r="P184" s="663"/>
      <c r="Q184" s="663"/>
      <c r="R184" s="663"/>
      <c r="S184" s="663"/>
      <c r="T184" s="663"/>
      <c r="U184" s="663"/>
      <c r="V184" s="663"/>
      <c r="W184" s="663"/>
      <c r="X184" s="663"/>
      <c r="Y184" s="663"/>
      <c r="Z184" s="663"/>
    </row>
    <row r="185">
      <c r="A185" s="670"/>
      <c r="B185" s="671"/>
      <c r="C185" s="672"/>
      <c r="D185" s="673"/>
      <c r="E185" s="663"/>
      <c r="F185" s="663"/>
      <c r="G185" s="663"/>
      <c r="H185" s="663"/>
      <c r="I185" s="663"/>
      <c r="J185" s="663"/>
      <c r="K185" s="663"/>
      <c r="L185" s="663"/>
      <c r="M185" s="663"/>
      <c r="N185" s="663"/>
      <c r="O185" s="663"/>
      <c r="P185" s="663"/>
      <c r="Q185" s="663"/>
      <c r="R185" s="663"/>
      <c r="S185" s="663"/>
      <c r="T185" s="663"/>
      <c r="U185" s="663"/>
      <c r="V185" s="663"/>
      <c r="W185" s="663"/>
      <c r="X185" s="663"/>
      <c r="Y185" s="663"/>
      <c r="Z185" s="663"/>
    </row>
    <row r="186">
      <c r="A186" s="670"/>
      <c r="B186" s="671"/>
      <c r="C186" s="672"/>
      <c r="D186" s="673"/>
      <c r="E186" s="663"/>
      <c r="F186" s="663"/>
      <c r="G186" s="663"/>
      <c r="H186" s="663"/>
      <c r="I186" s="663"/>
      <c r="J186" s="663"/>
      <c r="K186" s="663"/>
      <c r="L186" s="663"/>
      <c r="M186" s="663"/>
      <c r="N186" s="663"/>
      <c r="O186" s="663"/>
      <c r="P186" s="663"/>
      <c r="Q186" s="663"/>
      <c r="R186" s="663"/>
      <c r="S186" s="663"/>
      <c r="T186" s="663"/>
      <c r="U186" s="663"/>
      <c r="V186" s="663"/>
      <c r="W186" s="663"/>
      <c r="X186" s="663"/>
      <c r="Y186" s="663"/>
      <c r="Z186" s="663"/>
    </row>
    <row r="187">
      <c r="A187" s="670"/>
      <c r="B187" s="671"/>
      <c r="C187" s="672"/>
      <c r="D187" s="673"/>
      <c r="E187" s="663"/>
      <c r="F187" s="663"/>
      <c r="G187" s="663"/>
      <c r="H187" s="663"/>
      <c r="I187" s="663"/>
      <c r="J187" s="663"/>
      <c r="K187" s="663"/>
      <c r="L187" s="663"/>
      <c r="M187" s="663"/>
      <c r="N187" s="663"/>
      <c r="O187" s="663"/>
      <c r="P187" s="663"/>
      <c r="Q187" s="663"/>
      <c r="R187" s="663"/>
      <c r="S187" s="663"/>
      <c r="T187" s="663"/>
      <c r="U187" s="663"/>
      <c r="V187" s="663"/>
      <c r="W187" s="663"/>
      <c r="X187" s="663"/>
      <c r="Y187" s="663"/>
      <c r="Z187" s="663"/>
    </row>
    <row r="188">
      <c r="A188" s="670"/>
      <c r="B188" s="671"/>
      <c r="C188" s="672"/>
      <c r="D188" s="673"/>
      <c r="E188" s="663"/>
      <c r="F188" s="663"/>
      <c r="G188" s="663"/>
      <c r="H188" s="663"/>
      <c r="I188" s="663"/>
      <c r="J188" s="663"/>
      <c r="K188" s="663"/>
      <c r="L188" s="663"/>
      <c r="M188" s="663"/>
      <c r="N188" s="663"/>
      <c r="O188" s="663"/>
      <c r="P188" s="663"/>
      <c r="Q188" s="663"/>
      <c r="R188" s="663"/>
      <c r="S188" s="663"/>
      <c r="T188" s="663"/>
      <c r="U188" s="663"/>
      <c r="V188" s="663"/>
      <c r="W188" s="663"/>
      <c r="X188" s="663"/>
      <c r="Y188" s="663"/>
      <c r="Z188" s="663"/>
    </row>
    <row r="189">
      <c r="A189" s="670"/>
      <c r="B189" s="671"/>
      <c r="C189" s="672"/>
      <c r="D189" s="673"/>
      <c r="E189" s="663"/>
      <c r="F189" s="663"/>
      <c r="G189" s="663"/>
      <c r="H189" s="663"/>
      <c r="I189" s="663"/>
      <c r="J189" s="663"/>
      <c r="K189" s="663"/>
      <c r="L189" s="663"/>
      <c r="M189" s="663"/>
      <c r="N189" s="663"/>
      <c r="O189" s="663"/>
      <c r="P189" s="663"/>
      <c r="Q189" s="663"/>
      <c r="R189" s="663"/>
      <c r="S189" s="663"/>
      <c r="T189" s="663"/>
      <c r="U189" s="663"/>
      <c r="V189" s="663"/>
      <c r="W189" s="663"/>
      <c r="X189" s="663"/>
      <c r="Y189" s="663"/>
      <c r="Z189" s="663"/>
    </row>
    <row r="190">
      <c r="A190" s="670"/>
      <c r="B190" s="671"/>
      <c r="C190" s="672"/>
      <c r="D190" s="673"/>
      <c r="E190" s="663"/>
      <c r="F190" s="663"/>
      <c r="G190" s="663"/>
      <c r="H190" s="663"/>
      <c r="I190" s="663"/>
      <c r="J190" s="663"/>
      <c r="K190" s="663"/>
      <c r="L190" s="663"/>
      <c r="M190" s="663"/>
      <c r="N190" s="663"/>
      <c r="O190" s="663"/>
      <c r="P190" s="663"/>
      <c r="Q190" s="663"/>
      <c r="R190" s="663"/>
      <c r="S190" s="663"/>
      <c r="T190" s="663"/>
      <c r="U190" s="663"/>
      <c r="V190" s="663"/>
      <c r="W190" s="663"/>
      <c r="X190" s="663"/>
      <c r="Y190" s="663"/>
      <c r="Z190" s="663"/>
    </row>
    <row r="191">
      <c r="A191" s="670"/>
      <c r="B191" s="671"/>
      <c r="C191" s="672"/>
      <c r="D191" s="673"/>
      <c r="E191" s="663"/>
      <c r="F191" s="663"/>
      <c r="G191" s="663"/>
      <c r="H191" s="663"/>
      <c r="I191" s="663"/>
      <c r="J191" s="663"/>
      <c r="K191" s="663"/>
      <c r="L191" s="663"/>
      <c r="M191" s="663"/>
      <c r="N191" s="663"/>
      <c r="O191" s="663"/>
      <c r="P191" s="663"/>
      <c r="Q191" s="663"/>
      <c r="R191" s="663"/>
      <c r="S191" s="663"/>
      <c r="T191" s="663"/>
      <c r="U191" s="663"/>
      <c r="V191" s="663"/>
      <c r="W191" s="663"/>
      <c r="X191" s="663"/>
      <c r="Y191" s="663"/>
      <c r="Z191" s="663"/>
    </row>
    <row r="192">
      <c r="A192" s="670"/>
      <c r="B192" s="671"/>
      <c r="C192" s="672"/>
      <c r="D192" s="673"/>
      <c r="E192" s="663"/>
      <c r="F192" s="663"/>
      <c r="G192" s="663"/>
      <c r="H192" s="663"/>
      <c r="I192" s="663"/>
      <c r="J192" s="663"/>
      <c r="K192" s="663"/>
      <c r="L192" s="663"/>
      <c r="M192" s="663"/>
      <c r="N192" s="663"/>
      <c r="O192" s="663"/>
      <c r="P192" s="663"/>
      <c r="Q192" s="663"/>
      <c r="R192" s="663"/>
      <c r="S192" s="663"/>
      <c r="T192" s="663"/>
      <c r="U192" s="663"/>
      <c r="V192" s="663"/>
      <c r="W192" s="663"/>
      <c r="X192" s="663"/>
      <c r="Y192" s="663"/>
      <c r="Z192" s="663"/>
    </row>
    <row r="193">
      <c r="A193" s="670"/>
      <c r="B193" s="671"/>
      <c r="C193" s="672"/>
      <c r="D193" s="673"/>
      <c r="E193" s="663"/>
      <c r="F193" s="663"/>
      <c r="G193" s="663"/>
      <c r="H193" s="663"/>
      <c r="I193" s="663"/>
      <c r="J193" s="663"/>
      <c r="K193" s="663"/>
      <c r="L193" s="663"/>
      <c r="M193" s="663"/>
      <c r="N193" s="663"/>
      <c r="O193" s="663"/>
      <c r="P193" s="663"/>
      <c r="Q193" s="663"/>
      <c r="R193" s="663"/>
      <c r="S193" s="663"/>
      <c r="T193" s="663"/>
      <c r="U193" s="663"/>
      <c r="V193" s="663"/>
      <c r="W193" s="663"/>
      <c r="X193" s="663"/>
      <c r="Y193" s="663"/>
      <c r="Z193" s="663"/>
    </row>
    <row r="194">
      <c r="A194" s="670"/>
      <c r="B194" s="671"/>
      <c r="C194" s="672"/>
      <c r="D194" s="673"/>
      <c r="E194" s="663"/>
      <c r="F194" s="663"/>
      <c r="G194" s="663"/>
      <c r="H194" s="663"/>
      <c r="I194" s="663"/>
      <c r="J194" s="663"/>
      <c r="K194" s="663"/>
      <c r="L194" s="663"/>
      <c r="M194" s="663"/>
      <c r="N194" s="663"/>
      <c r="O194" s="663"/>
      <c r="P194" s="663"/>
      <c r="Q194" s="663"/>
      <c r="R194" s="663"/>
      <c r="S194" s="663"/>
      <c r="T194" s="663"/>
      <c r="U194" s="663"/>
      <c r="V194" s="663"/>
      <c r="W194" s="663"/>
      <c r="X194" s="663"/>
      <c r="Y194" s="663"/>
      <c r="Z194" s="663"/>
    </row>
    <row r="195">
      <c r="A195" s="670"/>
      <c r="B195" s="671"/>
      <c r="C195" s="672"/>
      <c r="D195" s="673"/>
      <c r="E195" s="663"/>
      <c r="F195" s="663"/>
      <c r="G195" s="663"/>
      <c r="H195" s="663"/>
      <c r="I195" s="663"/>
      <c r="J195" s="663"/>
      <c r="K195" s="663"/>
      <c r="L195" s="663"/>
      <c r="M195" s="663"/>
      <c r="N195" s="663"/>
      <c r="O195" s="663"/>
      <c r="P195" s="663"/>
      <c r="Q195" s="663"/>
      <c r="R195" s="663"/>
      <c r="S195" s="663"/>
      <c r="T195" s="663"/>
      <c r="U195" s="663"/>
      <c r="V195" s="663"/>
      <c r="W195" s="663"/>
      <c r="X195" s="663"/>
      <c r="Y195" s="663"/>
      <c r="Z195" s="663"/>
    </row>
    <row r="196">
      <c r="A196" s="670"/>
      <c r="B196" s="671"/>
      <c r="C196" s="672"/>
      <c r="D196" s="673"/>
      <c r="E196" s="663"/>
      <c r="F196" s="663"/>
      <c r="G196" s="663"/>
      <c r="H196" s="663"/>
      <c r="I196" s="663"/>
      <c r="J196" s="663"/>
      <c r="K196" s="663"/>
      <c r="L196" s="663"/>
      <c r="M196" s="663"/>
      <c r="N196" s="663"/>
      <c r="O196" s="663"/>
      <c r="P196" s="663"/>
      <c r="Q196" s="663"/>
      <c r="R196" s="663"/>
      <c r="S196" s="663"/>
      <c r="T196" s="663"/>
      <c r="U196" s="663"/>
      <c r="V196" s="663"/>
      <c r="W196" s="663"/>
      <c r="X196" s="663"/>
      <c r="Y196" s="663"/>
      <c r="Z196" s="663"/>
    </row>
    <row r="197">
      <c r="A197" s="670"/>
      <c r="B197" s="671"/>
      <c r="C197" s="672"/>
      <c r="D197" s="673"/>
      <c r="E197" s="663"/>
      <c r="F197" s="663"/>
      <c r="G197" s="663"/>
      <c r="H197" s="663"/>
      <c r="I197" s="663"/>
      <c r="J197" s="663"/>
      <c r="K197" s="663"/>
      <c r="L197" s="663"/>
      <c r="M197" s="663"/>
      <c r="N197" s="663"/>
      <c r="O197" s="663"/>
      <c r="P197" s="663"/>
      <c r="Q197" s="663"/>
      <c r="R197" s="663"/>
      <c r="S197" s="663"/>
      <c r="T197" s="663"/>
      <c r="U197" s="663"/>
      <c r="V197" s="663"/>
      <c r="W197" s="663"/>
      <c r="X197" s="663"/>
      <c r="Y197" s="663"/>
      <c r="Z197" s="663"/>
    </row>
    <row r="198">
      <c r="A198" s="670"/>
      <c r="B198" s="671"/>
      <c r="C198" s="672"/>
      <c r="D198" s="673"/>
      <c r="E198" s="663"/>
      <c r="F198" s="663"/>
      <c r="G198" s="663"/>
      <c r="H198" s="663"/>
      <c r="I198" s="663"/>
      <c r="J198" s="663"/>
      <c r="K198" s="663"/>
      <c r="L198" s="663"/>
      <c r="M198" s="663"/>
      <c r="N198" s="663"/>
      <c r="O198" s="663"/>
      <c r="P198" s="663"/>
      <c r="Q198" s="663"/>
      <c r="R198" s="663"/>
      <c r="S198" s="663"/>
      <c r="T198" s="663"/>
      <c r="U198" s="663"/>
      <c r="V198" s="663"/>
      <c r="W198" s="663"/>
      <c r="X198" s="663"/>
      <c r="Y198" s="663"/>
      <c r="Z198" s="663"/>
    </row>
    <row r="199">
      <c r="A199" s="670"/>
      <c r="B199" s="671"/>
      <c r="C199" s="672"/>
      <c r="D199" s="673"/>
      <c r="E199" s="663"/>
      <c r="F199" s="663"/>
      <c r="G199" s="663"/>
      <c r="H199" s="663"/>
      <c r="I199" s="663"/>
      <c r="J199" s="663"/>
      <c r="K199" s="663"/>
      <c r="L199" s="663"/>
      <c r="M199" s="663"/>
      <c r="N199" s="663"/>
      <c r="O199" s="663"/>
      <c r="P199" s="663"/>
      <c r="Q199" s="663"/>
      <c r="R199" s="663"/>
      <c r="S199" s="663"/>
      <c r="T199" s="663"/>
      <c r="U199" s="663"/>
      <c r="V199" s="663"/>
      <c r="W199" s="663"/>
      <c r="X199" s="663"/>
      <c r="Y199" s="663"/>
      <c r="Z199" s="663"/>
    </row>
    <row r="200">
      <c r="A200" s="670"/>
      <c r="B200" s="671"/>
      <c r="C200" s="672"/>
      <c r="D200" s="673"/>
      <c r="E200" s="663"/>
      <c r="F200" s="663"/>
      <c r="G200" s="663"/>
      <c r="H200" s="663"/>
      <c r="I200" s="663"/>
      <c r="J200" s="663"/>
      <c r="K200" s="663"/>
      <c r="L200" s="663"/>
      <c r="M200" s="663"/>
      <c r="N200" s="663"/>
      <c r="O200" s="663"/>
      <c r="P200" s="663"/>
      <c r="Q200" s="663"/>
      <c r="R200" s="663"/>
      <c r="S200" s="663"/>
      <c r="T200" s="663"/>
      <c r="U200" s="663"/>
      <c r="V200" s="663"/>
      <c r="W200" s="663"/>
      <c r="X200" s="663"/>
      <c r="Y200" s="663"/>
      <c r="Z200" s="663"/>
    </row>
    <row r="201">
      <c r="A201" s="670"/>
      <c r="B201" s="671"/>
      <c r="C201" s="672"/>
      <c r="D201" s="673"/>
      <c r="E201" s="663"/>
      <c r="F201" s="663"/>
      <c r="G201" s="663"/>
      <c r="H201" s="663"/>
      <c r="I201" s="663"/>
      <c r="J201" s="663"/>
      <c r="K201" s="663"/>
      <c r="L201" s="663"/>
      <c r="M201" s="663"/>
      <c r="N201" s="663"/>
      <c r="O201" s="663"/>
      <c r="P201" s="663"/>
      <c r="Q201" s="663"/>
      <c r="R201" s="663"/>
      <c r="S201" s="663"/>
      <c r="T201" s="663"/>
      <c r="U201" s="663"/>
      <c r="V201" s="663"/>
      <c r="W201" s="663"/>
      <c r="X201" s="663"/>
      <c r="Y201" s="663"/>
      <c r="Z201" s="663"/>
    </row>
    <row r="202">
      <c r="A202" s="670"/>
      <c r="B202" s="671"/>
      <c r="C202" s="672"/>
      <c r="D202" s="673"/>
      <c r="E202" s="663"/>
      <c r="F202" s="663"/>
      <c r="G202" s="663"/>
      <c r="H202" s="663"/>
      <c r="I202" s="663"/>
      <c r="J202" s="663"/>
      <c r="K202" s="663"/>
      <c r="L202" s="663"/>
      <c r="M202" s="663"/>
      <c r="N202" s="663"/>
      <c r="O202" s="663"/>
      <c r="P202" s="663"/>
      <c r="Q202" s="663"/>
      <c r="R202" s="663"/>
      <c r="S202" s="663"/>
      <c r="T202" s="663"/>
      <c r="U202" s="663"/>
      <c r="V202" s="663"/>
      <c r="W202" s="663"/>
      <c r="X202" s="663"/>
      <c r="Y202" s="663"/>
      <c r="Z202" s="663"/>
    </row>
    <row r="203">
      <c r="A203" s="670"/>
      <c r="B203" s="671"/>
      <c r="C203" s="672"/>
      <c r="D203" s="673"/>
      <c r="E203" s="663"/>
      <c r="F203" s="663"/>
      <c r="G203" s="663"/>
      <c r="H203" s="663"/>
      <c r="I203" s="663"/>
      <c r="J203" s="663"/>
      <c r="K203" s="663"/>
      <c r="L203" s="663"/>
      <c r="M203" s="663"/>
      <c r="N203" s="663"/>
      <c r="O203" s="663"/>
      <c r="P203" s="663"/>
      <c r="Q203" s="663"/>
      <c r="R203" s="663"/>
      <c r="S203" s="663"/>
      <c r="T203" s="663"/>
      <c r="U203" s="663"/>
      <c r="V203" s="663"/>
      <c r="W203" s="663"/>
      <c r="X203" s="663"/>
      <c r="Y203" s="663"/>
      <c r="Z203" s="663"/>
    </row>
    <row r="204">
      <c r="A204" s="670"/>
      <c r="B204" s="671"/>
      <c r="C204" s="672"/>
      <c r="D204" s="673"/>
      <c r="E204" s="663"/>
      <c r="F204" s="663"/>
      <c r="G204" s="663"/>
      <c r="H204" s="663"/>
      <c r="I204" s="663"/>
      <c r="J204" s="663"/>
      <c r="K204" s="663"/>
      <c r="L204" s="663"/>
      <c r="M204" s="663"/>
      <c r="N204" s="663"/>
      <c r="O204" s="663"/>
      <c r="P204" s="663"/>
      <c r="Q204" s="663"/>
      <c r="R204" s="663"/>
      <c r="S204" s="663"/>
      <c r="T204" s="663"/>
      <c r="U204" s="663"/>
      <c r="V204" s="663"/>
      <c r="W204" s="663"/>
      <c r="X204" s="663"/>
      <c r="Y204" s="663"/>
      <c r="Z204" s="663"/>
    </row>
    <row r="205">
      <c r="A205" s="670"/>
      <c r="B205" s="671"/>
      <c r="C205" s="672"/>
      <c r="D205" s="673"/>
      <c r="E205" s="663"/>
      <c r="F205" s="663"/>
      <c r="G205" s="663"/>
      <c r="H205" s="663"/>
      <c r="I205" s="663"/>
      <c r="J205" s="663"/>
      <c r="K205" s="663"/>
      <c r="L205" s="663"/>
      <c r="M205" s="663"/>
      <c r="N205" s="663"/>
      <c r="O205" s="663"/>
      <c r="P205" s="663"/>
      <c r="Q205" s="663"/>
      <c r="R205" s="663"/>
      <c r="S205" s="663"/>
      <c r="T205" s="663"/>
      <c r="U205" s="663"/>
      <c r="V205" s="663"/>
      <c r="W205" s="663"/>
      <c r="X205" s="663"/>
      <c r="Y205" s="663"/>
      <c r="Z205" s="663"/>
    </row>
    <row r="206">
      <c r="A206" s="670"/>
      <c r="B206" s="671"/>
      <c r="C206" s="672"/>
      <c r="D206" s="673"/>
      <c r="E206" s="663"/>
      <c r="F206" s="663"/>
      <c r="G206" s="663"/>
      <c r="H206" s="663"/>
      <c r="I206" s="663"/>
      <c r="J206" s="663"/>
      <c r="K206" s="663"/>
      <c r="L206" s="663"/>
      <c r="M206" s="663"/>
      <c r="N206" s="663"/>
      <c r="O206" s="663"/>
      <c r="P206" s="663"/>
      <c r="Q206" s="663"/>
      <c r="R206" s="663"/>
      <c r="S206" s="663"/>
      <c r="T206" s="663"/>
      <c r="U206" s="663"/>
      <c r="V206" s="663"/>
      <c r="W206" s="663"/>
      <c r="X206" s="663"/>
      <c r="Y206" s="663"/>
      <c r="Z206" s="663"/>
    </row>
    <row r="207">
      <c r="A207" s="670"/>
      <c r="B207" s="671"/>
      <c r="C207" s="672"/>
      <c r="D207" s="673"/>
      <c r="E207" s="663"/>
      <c r="F207" s="663"/>
      <c r="G207" s="663"/>
      <c r="H207" s="663"/>
      <c r="I207" s="663"/>
      <c r="J207" s="663"/>
      <c r="K207" s="663"/>
      <c r="L207" s="663"/>
      <c r="M207" s="663"/>
      <c r="N207" s="663"/>
      <c r="O207" s="663"/>
      <c r="P207" s="663"/>
      <c r="Q207" s="663"/>
      <c r="R207" s="663"/>
      <c r="S207" s="663"/>
      <c r="T207" s="663"/>
      <c r="U207" s="663"/>
      <c r="V207" s="663"/>
      <c r="W207" s="663"/>
      <c r="X207" s="663"/>
      <c r="Y207" s="663"/>
      <c r="Z207" s="663"/>
    </row>
    <row r="208">
      <c r="A208" s="670"/>
      <c r="B208" s="671"/>
      <c r="C208" s="672"/>
      <c r="D208" s="673"/>
      <c r="E208" s="663"/>
      <c r="F208" s="663"/>
      <c r="G208" s="663"/>
      <c r="H208" s="663"/>
      <c r="I208" s="663"/>
      <c r="J208" s="663"/>
      <c r="K208" s="663"/>
      <c r="L208" s="663"/>
      <c r="M208" s="663"/>
      <c r="N208" s="663"/>
      <c r="O208" s="663"/>
      <c r="P208" s="663"/>
      <c r="Q208" s="663"/>
      <c r="R208" s="663"/>
      <c r="S208" s="663"/>
      <c r="T208" s="663"/>
      <c r="U208" s="663"/>
      <c r="V208" s="663"/>
      <c r="W208" s="663"/>
      <c r="X208" s="663"/>
      <c r="Y208" s="663"/>
      <c r="Z208" s="663"/>
    </row>
    <row r="209">
      <c r="A209" s="670"/>
      <c r="B209" s="671"/>
      <c r="C209" s="672"/>
      <c r="D209" s="673"/>
      <c r="E209" s="663"/>
      <c r="F209" s="663"/>
      <c r="G209" s="663"/>
      <c r="H209" s="663"/>
      <c r="I209" s="663"/>
      <c r="J209" s="663"/>
      <c r="K209" s="663"/>
      <c r="L209" s="663"/>
      <c r="M209" s="663"/>
      <c r="N209" s="663"/>
      <c r="O209" s="663"/>
      <c r="P209" s="663"/>
      <c r="Q209" s="663"/>
      <c r="R209" s="663"/>
      <c r="S209" s="663"/>
      <c r="T209" s="663"/>
      <c r="U209" s="663"/>
      <c r="V209" s="663"/>
      <c r="W209" s="663"/>
      <c r="X209" s="663"/>
      <c r="Y209" s="663"/>
      <c r="Z209" s="663"/>
    </row>
    <row r="210">
      <c r="A210" s="670"/>
      <c r="B210" s="671"/>
      <c r="C210" s="672"/>
      <c r="D210" s="673"/>
      <c r="E210" s="663"/>
      <c r="F210" s="663"/>
      <c r="G210" s="663"/>
      <c r="H210" s="663"/>
      <c r="I210" s="663"/>
      <c r="J210" s="663"/>
      <c r="K210" s="663"/>
      <c r="L210" s="663"/>
      <c r="M210" s="663"/>
      <c r="N210" s="663"/>
      <c r="O210" s="663"/>
      <c r="P210" s="663"/>
      <c r="Q210" s="663"/>
      <c r="R210" s="663"/>
      <c r="S210" s="663"/>
      <c r="T210" s="663"/>
      <c r="U210" s="663"/>
      <c r="V210" s="663"/>
      <c r="W210" s="663"/>
      <c r="X210" s="663"/>
      <c r="Y210" s="663"/>
      <c r="Z210" s="663"/>
    </row>
    <row r="211">
      <c r="A211" s="670"/>
      <c r="B211" s="671"/>
      <c r="C211" s="672"/>
      <c r="D211" s="673"/>
      <c r="E211" s="663"/>
      <c r="F211" s="663"/>
      <c r="G211" s="663"/>
      <c r="H211" s="663"/>
      <c r="I211" s="663"/>
      <c r="J211" s="663"/>
      <c r="K211" s="663"/>
      <c r="L211" s="663"/>
      <c r="M211" s="663"/>
      <c r="N211" s="663"/>
      <c r="O211" s="663"/>
      <c r="P211" s="663"/>
      <c r="Q211" s="663"/>
      <c r="R211" s="663"/>
      <c r="S211" s="663"/>
      <c r="T211" s="663"/>
      <c r="U211" s="663"/>
      <c r="V211" s="663"/>
      <c r="W211" s="663"/>
      <c r="X211" s="663"/>
      <c r="Y211" s="663"/>
      <c r="Z211" s="663"/>
    </row>
    <row r="212">
      <c r="A212" s="670"/>
      <c r="B212" s="671"/>
      <c r="C212" s="672"/>
      <c r="D212" s="673"/>
      <c r="E212" s="663"/>
      <c r="F212" s="663"/>
      <c r="G212" s="663"/>
      <c r="H212" s="663"/>
      <c r="I212" s="663"/>
      <c r="J212" s="663"/>
      <c r="K212" s="663"/>
      <c r="L212" s="663"/>
      <c r="M212" s="663"/>
      <c r="N212" s="663"/>
      <c r="O212" s="663"/>
      <c r="P212" s="663"/>
      <c r="Q212" s="663"/>
      <c r="R212" s="663"/>
      <c r="S212" s="663"/>
      <c r="T212" s="663"/>
      <c r="U212" s="663"/>
      <c r="V212" s="663"/>
      <c r="W212" s="663"/>
      <c r="X212" s="663"/>
      <c r="Y212" s="663"/>
      <c r="Z212" s="663"/>
    </row>
    <row r="213">
      <c r="A213" s="670"/>
      <c r="B213" s="671"/>
      <c r="C213" s="672"/>
      <c r="D213" s="673"/>
      <c r="E213" s="663"/>
      <c r="F213" s="663"/>
      <c r="G213" s="663"/>
      <c r="H213" s="663"/>
      <c r="I213" s="663"/>
      <c r="J213" s="663"/>
      <c r="K213" s="663"/>
      <c r="L213" s="663"/>
      <c r="M213" s="663"/>
      <c r="N213" s="663"/>
      <c r="O213" s="663"/>
      <c r="P213" s="663"/>
      <c r="Q213" s="663"/>
      <c r="R213" s="663"/>
      <c r="S213" s="663"/>
      <c r="T213" s="663"/>
      <c r="U213" s="663"/>
      <c r="V213" s="663"/>
      <c r="W213" s="663"/>
      <c r="X213" s="663"/>
      <c r="Y213" s="663"/>
      <c r="Z213" s="663"/>
    </row>
    <row r="214">
      <c r="A214" s="670"/>
      <c r="B214" s="671"/>
      <c r="C214" s="672"/>
      <c r="D214" s="673"/>
      <c r="E214" s="663"/>
      <c r="F214" s="663"/>
      <c r="G214" s="663"/>
      <c r="H214" s="663"/>
      <c r="I214" s="663"/>
      <c r="J214" s="663"/>
      <c r="K214" s="663"/>
      <c r="L214" s="663"/>
      <c r="M214" s="663"/>
      <c r="N214" s="663"/>
      <c r="O214" s="663"/>
      <c r="P214" s="663"/>
      <c r="Q214" s="663"/>
      <c r="R214" s="663"/>
      <c r="S214" s="663"/>
      <c r="T214" s="663"/>
      <c r="U214" s="663"/>
      <c r="V214" s="663"/>
      <c r="W214" s="663"/>
      <c r="X214" s="663"/>
      <c r="Y214" s="663"/>
      <c r="Z214" s="663"/>
    </row>
    <row r="215">
      <c r="A215" s="670"/>
      <c r="B215" s="671"/>
      <c r="C215" s="672"/>
      <c r="D215" s="673"/>
      <c r="E215" s="663"/>
      <c r="F215" s="663"/>
      <c r="G215" s="663"/>
      <c r="H215" s="663"/>
      <c r="I215" s="663"/>
      <c r="J215" s="663"/>
      <c r="K215" s="663"/>
      <c r="L215" s="663"/>
      <c r="M215" s="663"/>
      <c r="N215" s="663"/>
      <c r="O215" s="663"/>
      <c r="P215" s="663"/>
      <c r="Q215" s="663"/>
      <c r="R215" s="663"/>
      <c r="S215" s="663"/>
      <c r="T215" s="663"/>
      <c r="U215" s="663"/>
      <c r="V215" s="663"/>
      <c r="W215" s="663"/>
      <c r="X215" s="663"/>
      <c r="Y215" s="663"/>
      <c r="Z215" s="663"/>
    </row>
    <row r="216">
      <c r="A216" s="670"/>
      <c r="B216" s="671"/>
      <c r="C216" s="672"/>
      <c r="D216" s="673"/>
      <c r="E216" s="663"/>
      <c r="F216" s="663"/>
      <c r="G216" s="663"/>
      <c r="H216" s="663"/>
      <c r="I216" s="663"/>
      <c r="J216" s="663"/>
      <c r="K216" s="663"/>
      <c r="L216" s="663"/>
      <c r="M216" s="663"/>
      <c r="N216" s="663"/>
      <c r="O216" s="663"/>
      <c r="P216" s="663"/>
      <c r="Q216" s="663"/>
      <c r="R216" s="663"/>
      <c r="S216" s="663"/>
      <c r="T216" s="663"/>
      <c r="U216" s="663"/>
      <c r="V216" s="663"/>
      <c r="W216" s="663"/>
      <c r="X216" s="663"/>
      <c r="Y216" s="663"/>
      <c r="Z216" s="663"/>
    </row>
    <row r="217">
      <c r="A217" s="670"/>
      <c r="B217" s="671"/>
      <c r="C217" s="672"/>
      <c r="D217" s="673"/>
      <c r="E217" s="663"/>
      <c r="F217" s="663"/>
      <c r="G217" s="663"/>
      <c r="H217" s="663"/>
      <c r="I217" s="663"/>
      <c r="J217" s="663"/>
      <c r="K217" s="663"/>
      <c r="L217" s="663"/>
      <c r="M217" s="663"/>
      <c r="N217" s="663"/>
      <c r="O217" s="663"/>
      <c r="P217" s="663"/>
      <c r="Q217" s="663"/>
      <c r="R217" s="663"/>
      <c r="S217" s="663"/>
      <c r="T217" s="663"/>
      <c r="U217" s="663"/>
      <c r="V217" s="663"/>
      <c r="W217" s="663"/>
      <c r="X217" s="663"/>
      <c r="Y217" s="663"/>
      <c r="Z217" s="663"/>
    </row>
    <row r="218">
      <c r="A218" s="670"/>
      <c r="B218" s="671"/>
      <c r="C218" s="672"/>
      <c r="D218" s="673"/>
      <c r="E218" s="663"/>
      <c r="F218" s="663"/>
      <c r="G218" s="663"/>
      <c r="H218" s="663"/>
      <c r="I218" s="663"/>
      <c r="J218" s="663"/>
      <c r="K218" s="663"/>
      <c r="L218" s="663"/>
      <c r="M218" s="663"/>
      <c r="N218" s="663"/>
      <c r="O218" s="663"/>
      <c r="P218" s="663"/>
      <c r="Q218" s="663"/>
      <c r="R218" s="663"/>
      <c r="S218" s="663"/>
      <c r="T218" s="663"/>
      <c r="U218" s="663"/>
      <c r="V218" s="663"/>
      <c r="W218" s="663"/>
      <c r="X218" s="663"/>
      <c r="Y218" s="663"/>
      <c r="Z218" s="663"/>
    </row>
    <row r="219">
      <c r="A219" s="670"/>
      <c r="B219" s="671"/>
      <c r="C219" s="672"/>
      <c r="D219" s="673"/>
      <c r="E219" s="663"/>
      <c r="F219" s="663"/>
      <c r="G219" s="663"/>
      <c r="H219" s="663"/>
      <c r="I219" s="663"/>
      <c r="J219" s="663"/>
      <c r="K219" s="663"/>
      <c r="L219" s="663"/>
      <c r="M219" s="663"/>
      <c r="N219" s="663"/>
      <c r="O219" s="663"/>
      <c r="P219" s="663"/>
      <c r="Q219" s="663"/>
      <c r="R219" s="663"/>
      <c r="S219" s="663"/>
      <c r="T219" s="663"/>
      <c r="U219" s="663"/>
      <c r="V219" s="663"/>
      <c r="W219" s="663"/>
      <c r="X219" s="663"/>
      <c r="Y219" s="663"/>
      <c r="Z219" s="663"/>
    </row>
    <row r="220">
      <c r="A220" s="670"/>
      <c r="B220" s="671"/>
      <c r="C220" s="672"/>
      <c r="D220" s="673"/>
      <c r="E220" s="663"/>
      <c r="F220" s="663"/>
      <c r="G220" s="663"/>
      <c r="H220" s="663"/>
      <c r="I220" s="663"/>
      <c r="J220" s="663"/>
      <c r="K220" s="663"/>
      <c r="L220" s="663"/>
      <c r="M220" s="663"/>
      <c r="N220" s="663"/>
      <c r="O220" s="663"/>
      <c r="P220" s="663"/>
      <c r="Q220" s="663"/>
      <c r="R220" s="663"/>
      <c r="S220" s="663"/>
      <c r="T220" s="663"/>
      <c r="U220" s="663"/>
      <c r="V220" s="663"/>
      <c r="W220" s="663"/>
      <c r="X220" s="663"/>
      <c r="Y220" s="663"/>
      <c r="Z220" s="663"/>
    </row>
    <row r="221">
      <c r="A221" s="670"/>
      <c r="B221" s="671"/>
      <c r="C221" s="672"/>
      <c r="D221" s="673"/>
      <c r="E221" s="663"/>
      <c r="F221" s="663"/>
      <c r="G221" s="663"/>
      <c r="H221" s="663"/>
      <c r="I221" s="663"/>
      <c r="J221" s="663"/>
      <c r="K221" s="663"/>
      <c r="L221" s="663"/>
      <c r="M221" s="663"/>
      <c r="N221" s="663"/>
      <c r="O221" s="663"/>
      <c r="P221" s="663"/>
      <c r="Q221" s="663"/>
      <c r="R221" s="663"/>
      <c r="S221" s="663"/>
      <c r="T221" s="663"/>
      <c r="U221" s="663"/>
      <c r="V221" s="663"/>
      <c r="W221" s="663"/>
      <c r="X221" s="663"/>
      <c r="Y221" s="663"/>
      <c r="Z221" s="663"/>
    </row>
    <row r="222">
      <c r="A222" s="670"/>
      <c r="B222" s="671"/>
      <c r="C222" s="672"/>
      <c r="D222" s="673"/>
      <c r="E222" s="663"/>
      <c r="F222" s="663"/>
      <c r="G222" s="663"/>
      <c r="H222" s="663"/>
      <c r="I222" s="663"/>
      <c r="J222" s="663"/>
      <c r="K222" s="663"/>
      <c r="L222" s="663"/>
      <c r="M222" s="663"/>
      <c r="N222" s="663"/>
      <c r="O222" s="663"/>
      <c r="P222" s="663"/>
      <c r="Q222" s="663"/>
      <c r="R222" s="663"/>
      <c r="S222" s="663"/>
      <c r="T222" s="663"/>
      <c r="U222" s="663"/>
      <c r="V222" s="663"/>
      <c r="W222" s="663"/>
      <c r="X222" s="663"/>
      <c r="Y222" s="663"/>
      <c r="Z222" s="663"/>
    </row>
    <row r="223">
      <c r="A223" s="670"/>
      <c r="B223" s="671"/>
      <c r="C223" s="672"/>
      <c r="D223" s="673"/>
      <c r="E223" s="663"/>
      <c r="F223" s="663"/>
      <c r="G223" s="663"/>
      <c r="H223" s="663"/>
      <c r="I223" s="663"/>
      <c r="J223" s="663"/>
      <c r="K223" s="663"/>
      <c r="L223" s="663"/>
      <c r="M223" s="663"/>
      <c r="N223" s="663"/>
      <c r="O223" s="663"/>
      <c r="P223" s="663"/>
      <c r="Q223" s="663"/>
      <c r="R223" s="663"/>
      <c r="S223" s="663"/>
      <c r="T223" s="663"/>
      <c r="U223" s="663"/>
      <c r="V223" s="663"/>
      <c r="W223" s="663"/>
      <c r="X223" s="663"/>
      <c r="Y223" s="663"/>
      <c r="Z223" s="663"/>
    </row>
    <row r="224">
      <c r="A224" s="670"/>
      <c r="B224" s="671"/>
      <c r="C224" s="672"/>
      <c r="D224" s="673"/>
      <c r="E224" s="663"/>
      <c r="F224" s="663"/>
      <c r="G224" s="663"/>
      <c r="H224" s="663"/>
      <c r="I224" s="663"/>
      <c r="J224" s="663"/>
      <c r="K224" s="663"/>
      <c r="L224" s="663"/>
      <c r="M224" s="663"/>
      <c r="N224" s="663"/>
      <c r="O224" s="663"/>
      <c r="P224" s="663"/>
      <c r="Q224" s="663"/>
      <c r="R224" s="663"/>
      <c r="S224" s="663"/>
      <c r="T224" s="663"/>
      <c r="U224" s="663"/>
      <c r="V224" s="663"/>
      <c r="W224" s="663"/>
      <c r="X224" s="663"/>
      <c r="Y224" s="663"/>
      <c r="Z224" s="663"/>
    </row>
    <row r="225">
      <c r="A225" s="670"/>
      <c r="B225" s="671"/>
      <c r="C225" s="672"/>
      <c r="D225" s="673"/>
      <c r="E225" s="663"/>
      <c r="F225" s="663"/>
      <c r="G225" s="663"/>
      <c r="H225" s="663"/>
      <c r="I225" s="663"/>
      <c r="J225" s="663"/>
      <c r="K225" s="663"/>
      <c r="L225" s="663"/>
      <c r="M225" s="663"/>
      <c r="N225" s="663"/>
      <c r="O225" s="663"/>
      <c r="P225" s="663"/>
      <c r="Q225" s="663"/>
      <c r="R225" s="663"/>
      <c r="S225" s="663"/>
      <c r="T225" s="663"/>
      <c r="U225" s="663"/>
      <c r="V225" s="663"/>
      <c r="W225" s="663"/>
      <c r="X225" s="663"/>
      <c r="Y225" s="663"/>
      <c r="Z225" s="663"/>
    </row>
    <row r="226">
      <c r="A226" s="670"/>
      <c r="B226" s="671"/>
      <c r="C226" s="672"/>
      <c r="D226" s="673"/>
      <c r="E226" s="663"/>
      <c r="F226" s="663"/>
      <c r="G226" s="663"/>
      <c r="H226" s="663"/>
      <c r="I226" s="663"/>
      <c r="J226" s="663"/>
      <c r="K226" s="663"/>
      <c r="L226" s="663"/>
      <c r="M226" s="663"/>
      <c r="N226" s="663"/>
      <c r="O226" s="663"/>
      <c r="P226" s="663"/>
      <c r="Q226" s="663"/>
      <c r="R226" s="663"/>
      <c r="S226" s="663"/>
      <c r="T226" s="663"/>
      <c r="U226" s="663"/>
      <c r="V226" s="663"/>
      <c r="W226" s="663"/>
      <c r="X226" s="663"/>
      <c r="Y226" s="663"/>
      <c r="Z226" s="663"/>
    </row>
    <row r="227">
      <c r="A227" s="670"/>
      <c r="B227" s="671"/>
      <c r="C227" s="672"/>
      <c r="D227" s="673"/>
      <c r="E227" s="663"/>
      <c r="F227" s="663"/>
      <c r="G227" s="663"/>
      <c r="H227" s="663"/>
      <c r="I227" s="663"/>
      <c r="J227" s="663"/>
      <c r="K227" s="663"/>
      <c r="L227" s="663"/>
      <c r="M227" s="663"/>
      <c r="N227" s="663"/>
      <c r="O227" s="663"/>
      <c r="P227" s="663"/>
      <c r="Q227" s="663"/>
      <c r="R227" s="663"/>
      <c r="S227" s="663"/>
      <c r="T227" s="663"/>
      <c r="U227" s="663"/>
      <c r="V227" s="663"/>
      <c r="W227" s="663"/>
      <c r="X227" s="663"/>
      <c r="Y227" s="663"/>
      <c r="Z227" s="663"/>
    </row>
    <row r="228">
      <c r="A228" s="670"/>
      <c r="B228" s="671"/>
      <c r="C228" s="672"/>
      <c r="D228" s="673"/>
      <c r="E228" s="663"/>
      <c r="F228" s="663"/>
      <c r="G228" s="663"/>
      <c r="H228" s="663"/>
      <c r="I228" s="663"/>
      <c r="J228" s="663"/>
      <c r="K228" s="663"/>
      <c r="L228" s="663"/>
      <c r="M228" s="663"/>
      <c r="N228" s="663"/>
      <c r="O228" s="663"/>
      <c r="P228" s="663"/>
      <c r="Q228" s="663"/>
      <c r="R228" s="663"/>
      <c r="S228" s="663"/>
      <c r="T228" s="663"/>
      <c r="U228" s="663"/>
      <c r="V228" s="663"/>
      <c r="W228" s="663"/>
      <c r="X228" s="663"/>
      <c r="Y228" s="663"/>
      <c r="Z228" s="663"/>
    </row>
    <row r="229">
      <c r="A229" s="670"/>
      <c r="B229" s="671"/>
      <c r="C229" s="672"/>
      <c r="D229" s="673"/>
      <c r="E229" s="663"/>
      <c r="F229" s="663"/>
      <c r="G229" s="663"/>
      <c r="H229" s="663"/>
      <c r="I229" s="663"/>
      <c r="J229" s="663"/>
      <c r="K229" s="663"/>
      <c r="L229" s="663"/>
      <c r="M229" s="663"/>
      <c r="N229" s="663"/>
      <c r="O229" s="663"/>
      <c r="P229" s="663"/>
      <c r="Q229" s="663"/>
      <c r="R229" s="663"/>
      <c r="S229" s="663"/>
      <c r="T229" s="663"/>
      <c r="U229" s="663"/>
      <c r="V229" s="663"/>
      <c r="W229" s="663"/>
      <c r="X229" s="663"/>
      <c r="Y229" s="663"/>
      <c r="Z229" s="663"/>
    </row>
    <row r="230">
      <c r="A230" s="670"/>
      <c r="B230" s="671"/>
      <c r="C230" s="672"/>
      <c r="D230" s="673"/>
      <c r="E230" s="663"/>
      <c r="F230" s="663"/>
      <c r="G230" s="663"/>
      <c r="H230" s="663"/>
      <c r="I230" s="663"/>
      <c r="J230" s="663"/>
      <c r="K230" s="663"/>
      <c r="L230" s="663"/>
      <c r="M230" s="663"/>
      <c r="N230" s="663"/>
      <c r="O230" s="663"/>
      <c r="P230" s="663"/>
      <c r="Q230" s="663"/>
      <c r="R230" s="663"/>
      <c r="S230" s="663"/>
      <c r="T230" s="663"/>
      <c r="U230" s="663"/>
      <c r="V230" s="663"/>
      <c r="W230" s="663"/>
      <c r="X230" s="663"/>
      <c r="Y230" s="663"/>
      <c r="Z230" s="663"/>
    </row>
    <row r="231">
      <c r="A231" s="670"/>
      <c r="B231" s="671"/>
      <c r="C231" s="672"/>
      <c r="D231" s="673"/>
      <c r="E231" s="663"/>
      <c r="F231" s="663"/>
      <c r="G231" s="663"/>
      <c r="H231" s="663"/>
      <c r="I231" s="663"/>
      <c r="J231" s="663"/>
      <c r="K231" s="663"/>
      <c r="L231" s="663"/>
      <c r="M231" s="663"/>
      <c r="N231" s="663"/>
      <c r="O231" s="663"/>
      <c r="P231" s="663"/>
      <c r="Q231" s="663"/>
      <c r="R231" s="663"/>
      <c r="S231" s="663"/>
      <c r="T231" s="663"/>
      <c r="U231" s="663"/>
      <c r="V231" s="663"/>
      <c r="W231" s="663"/>
      <c r="X231" s="663"/>
      <c r="Y231" s="663"/>
      <c r="Z231" s="663"/>
    </row>
    <row r="232">
      <c r="A232" s="670"/>
      <c r="B232" s="671"/>
      <c r="C232" s="672"/>
      <c r="D232" s="673"/>
      <c r="E232" s="663"/>
      <c r="F232" s="663"/>
      <c r="G232" s="663"/>
      <c r="H232" s="663"/>
      <c r="I232" s="663"/>
      <c r="J232" s="663"/>
      <c r="K232" s="663"/>
      <c r="L232" s="663"/>
      <c r="M232" s="663"/>
      <c r="N232" s="663"/>
      <c r="O232" s="663"/>
      <c r="P232" s="663"/>
      <c r="Q232" s="663"/>
      <c r="R232" s="663"/>
      <c r="S232" s="663"/>
      <c r="T232" s="663"/>
      <c r="U232" s="663"/>
      <c r="V232" s="663"/>
      <c r="W232" s="663"/>
      <c r="X232" s="663"/>
      <c r="Y232" s="663"/>
      <c r="Z232" s="663"/>
    </row>
    <row r="233">
      <c r="A233" s="670"/>
      <c r="B233" s="671"/>
      <c r="C233" s="672"/>
      <c r="D233" s="673"/>
      <c r="E233" s="663"/>
      <c r="F233" s="663"/>
      <c r="G233" s="663"/>
      <c r="H233" s="663"/>
      <c r="I233" s="663"/>
      <c r="J233" s="663"/>
      <c r="K233" s="663"/>
      <c r="L233" s="663"/>
      <c r="M233" s="663"/>
      <c r="N233" s="663"/>
      <c r="O233" s="663"/>
      <c r="P233" s="663"/>
      <c r="Q233" s="663"/>
      <c r="R233" s="663"/>
      <c r="S233" s="663"/>
      <c r="T233" s="663"/>
      <c r="U233" s="663"/>
      <c r="V233" s="663"/>
      <c r="W233" s="663"/>
      <c r="X233" s="663"/>
      <c r="Y233" s="663"/>
      <c r="Z233" s="663"/>
    </row>
    <row r="234">
      <c r="A234" s="670"/>
      <c r="B234" s="671"/>
      <c r="C234" s="672"/>
      <c r="D234" s="673"/>
      <c r="E234" s="663"/>
      <c r="F234" s="663"/>
      <c r="G234" s="663"/>
      <c r="H234" s="663"/>
      <c r="I234" s="663"/>
      <c r="J234" s="663"/>
      <c r="K234" s="663"/>
      <c r="L234" s="663"/>
      <c r="M234" s="663"/>
      <c r="N234" s="663"/>
      <c r="O234" s="663"/>
      <c r="P234" s="663"/>
      <c r="Q234" s="663"/>
      <c r="R234" s="663"/>
      <c r="S234" s="663"/>
      <c r="T234" s="663"/>
      <c r="U234" s="663"/>
      <c r="V234" s="663"/>
      <c r="W234" s="663"/>
      <c r="X234" s="663"/>
      <c r="Y234" s="663"/>
      <c r="Z234" s="663"/>
    </row>
    <row r="235">
      <c r="A235" s="670"/>
      <c r="B235" s="671"/>
      <c r="C235" s="672"/>
      <c r="D235" s="673"/>
      <c r="E235" s="663"/>
      <c r="F235" s="663"/>
      <c r="G235" s="663"/>
      <c r="H235" s="663"/>
      <c r="I235" s="663"/>
      <c r="J235" s="663"/>
      <c r="K235" s="663"/>
      <c r="L235" s="663"/>
      <c r="M235" s="663"/>
      <c r="N235" s="663"/>
      <c r="O235" s="663"/>
      <c r="P235" s="663"/>
      <c r="Q235" s="663"/>
      <c r="R235" s="663"/>
      <c r="S235" s="663"/>
      <c r="T235" s="663"/>
      <c r="U235" s="663"/>
      <c r="V235" s="663"/>
      <c r="W235" s="663"/>
      <c r="X235" s="663"/>
      <c r="Y235" s="663"/>
      <c r="Z235" s="663"/>
    </row>
    <row r="236">
      <c r="A236" s="670"/>
      <c r="B236" s="671"/>
      <c r="C236" s="672"/>
      <c r="D236" s="673"/>
      <c r="E236" s="663"/>
      <c r="F236" s="663"/>
      <c r="G236" s="663"/>
      <c r="H236" s="663"/>
      <c r="I236" s="663"/>
      <c r="J236" s="663"/>
      <c r="K236" s="663"/>
      <c r="L236" s="663"/>
      <c r="M236" s="663"/>
      <c r="N236" s="663"/>
      <c r="O236" s="663"/>
      <c r="P236" s="663"/>
      <c r="Q236" s="663"/>
      <c r="R236" s="663"/>
      <c r="S236" s="663"/>
      <c r="T236" s="663"/>
      <c r="U236" s="663"/>
      <c r="V236" s="663"/>
      <c r="W236" s="663"/>
      <c r="X236" s="663"/>
      <c r="Y236" s="663"/>
      <c r="Z236" s="663"/>
    </row>
    <row r="237">
      <c r="A237" s="670"/>
      <c r="B237" s="671"/>
      <c r="C237" s="672"/>
      <c r="D237" s="673"/>
      <c r="E237" s="663"/>
      <c r="F237" s="663"/>
      <c r="G237" s="663"/>
      <c r="H237" s="663"/>
      <c r="I237" s="663"/>
      <c r="J237" s="663"/>
      <c r="K237" s="663"/>
      <c r="L237" s="663"/>
      <c r="M237" s="663"/>
      <c r="N237" s="663"/>
      <c r="O237" s="663"/>
      <c r="P237" s="663"/>
      <c r="Q237" s="663"/>
      <c r="R237" s="663"/>
      <c r="S237" s="663"/>
      <c r="T237" s="663"/>
      <c r="U237" s="663"/>
      <c r="V237" s="663"/>
      <c r="W237" s="663"/>
      <c r="X237" s="663"/>
      <c r="Y237" s="663"/>
      <c r="Z237" s="663"/>
    </row>
    <row r="238">
      <c r="A238" s="670"/>
      <c r="B238" s="671"/>
      <c r="C238" s="672"/>
      <c r="D238" s="673"/>
      <c r="E238" s="663"/>
      <c r="F238" s="663"/>
      <c r="G238" s="663"/>
      <c r="H238" s="663"/>
      <c r="I238" s="663"/>
      <c r="J238" s="663"/>
      <c r="K238" s="663"/>
      <c r="L238" s="663"/>
      <c r="M238" s="663"/>
      <c r="N238" s="663"/>
      <c r="O238" s="663"/>
      <c r="P238" s="663"/>
      <c r="Q238" s="663"/>
      <c r="R238" s="663"/>
      <c r="S238" s="663"/>
      <c r="T238" s="663"/>
      <c r="U238" s="663"/>
      <c r="V238" s="663"/>
      <c r="W238" s="663"/>
      <c r="X238" s="663"/>
      <c r="Y238" s="663"/>
      <c r="Z238" s="663"/>
    </row>
    <row r="239">
      <c r="A239" s="670"/>
      <c r="B239" s="671"/>
      <c r="C239" s="672"/>
      <c r="D239" s="673"/>
      <c r="E239" s="663"/>
      <c r="F239" s="663"/>
      <c r="G239" s="663"/>
      <c r="H239" s="663"/>
      <c r="I239" s="663"/>
      <c r="J239" s="663"/>
      <c r="K239" s="663"/>
      <c r="L239" s="663"/>
      <c r="M239" s="663"/>
      <c r="N239" s="663"/>
      <c r="O239" s="663"/>
      <c r="P239" s="663"/>
      <c r="Q239" s="663"/>
      <c r="R239" s="663"/>
      <c r="S239" s="663"/>
      <c r="T239" s="663"/>
      <c r="U239" s="663"/>
      <c r="V239" s="663"/>
      <c r="W239" s="663"/>
      <c r="X239" s="663"/>
      <c r="Y239" s="663"/>
      <c r="Z239" s="663"/>
    </row>
    <row r="240">
      <c r="A240" s="670"/>
      <c r="B240" s="671"/>
      <c r="C240" s="672"/>
      <c r="D240" s="673"/>
      <c r="E240" s="663"/>
      <c r="F240" s="663"/>
      <c r="G240" s="663"/>
      <c r="H240" s="663"/>
      <c r="I240" s="663"/>
      <c r="J240" s="663"/>
      <c r="K240" s="663"/>
      <c r="L240" s="663"/>
      <c r="M240" s="663"/>
      <c r="N240" s="663"/>
      <c r="O240" s="663"/>
      <c r="P240" s="663"/>
      <c r="Q240" s="663"/>
      <c r="R240" s="663"/>
      <c r="S240" s="663"/>
      <c r="T240" s="663"/>
      <c r="U240" s="663"/>
      <c r="V240" s="663"/>
      <c r="W240" s="663"/>
      <c r="X240" s="663"/>
      <c r="Y240" s="663"/>
      <c r="Z240" s="663"/>
    </row>
    <row r="241">
      <c r="A241" s="670"/>
      <c r="B241" s="671"/>
      <c r="C241" s="672"/>
      <c r="D241" s="673"/>
      <c r="E241" s="663"/>
      <c r="F241" s="663"/>
      <c r="G241" s="663"/>
      <c r="H241" s="663"/>
      <c r="I241" s="663"/>
      <c r="J241" s="663"/>
      <c r="K241" s="663"/>
      <c r="L241" s="663"/>
      <c r="M241" s="663"/>
      <c r="N241" s="663"/>
      <c r="O241" s="663"/>
      <c r="P241" s="663"/>
      <c r="Q241" s="663"/>
      <c r="R241" s="663"/>
      <c r="S241" s="663"/>
      <c r="T241" s="663"/>
      <c r="U241" s="663"/>
      <c r="V241" s="663"/>
      <c r="W241" s="663"/>
      <c r="X241" s="663"/>
      <c r="Y241" s="663"/>
      <c r="Z241" s="663"/>
    </row>
    <row r="242">
      <c r="A242" s="670"/>
      <c r="B242" s="671"/>
      <c r="C242" s="672"/>
      <c r="D242" s="673"/>
      <c r="E242" s="663"/>
      <c r="F242" s="663"/>
      <c r="G242" s="663"/>
      <c r="H242" s="663"/>
      <c r="I242" s="663"/>
      <c r="J242" s="663"/>
      <c r="K242" s="663"/>
      <c r="L242" s="663"/>
      <c r="M242" s="663"/>
      <c r="N242" s="663"/>
      <c r="O242" s="663"/>
      <c r="P242" s="663"/>
      <c r="Q242" s="663"/>
      <c r="R242" s="663"/>
      <c r="S242" s="663"/>
      <c r="T242" s="663"/>
      <c r="U242" s="663"/>
      <c r="V242" s="663"/>
      <c r="W242" s="663"/>
      <c r="X242" s="663"/>
      <c r="Y242" s="663"/>
      <c r="Z242" s="663"/>
    </row>
    <row r="243">
      <c r="A243" s="670"/>
      <c r="B243" s="671"/>
      <c r="C243" s="672"/>
      <c r="D243" s="673"/>
      <c r="E243" s="663"/>
      <c r="F243" s="663"/>
      <c r="G243" s="663"/>
      <c r="H243" s="663"/>
      <c r="I243" s="663"/>
      <c r="J243" s="663"/>
      <c r="K243" s="663"/>
      <c r="L243" s="663"/>
      <c r="M243" s="663"/>
      <c r="N243" s="663"/>
      <c r="O243" s="663"/>
      <c r="P243" s="663"/>
      <c r="Q243" s="663"/>
      <c r="R243" s="663"/>
      <c r="S243" s="663"/>
      <c r="T243" s="663"/>
      <c r="U243" s="663"/>
      <c r="V243" s="663"/>
      <c r="W243" s="663"/>
      <c r="X243" s="663"/>
      <c r="Y243" s="663"/>
      <c r="Z243" s="663"/>
    </row>
    <row r="244">
      <c r="A244" s="670"/>
      <c r="B244" s="671"/>
      <c r="C244" s="672"/>
      <c r="D244" s="673"/>
      <c r="E244" s="663"/>
      <c r="F244" s="663"/>
      <c r="G244" s="663"/>
      <c r="H244" s="663"/>
      <c r="I244" s="663"/>
      <c r="J244" s="663"/>
      <c r="K244" s="663"/>
      <c r="L244" s="663"/>
      <c r="M244" s="663"/>
      <c r="N244" s="663"/>
      <c r="O244" s="663"/>
      <c r="P244" s="663"/>
      <c r="Q244" s="663"/>
      <c r="R244" s="663"/>
      <c r="S244" s="663"/>
      <c r="T244" s="663"/>
      <c r="U244" s="663"/>
      <c r="V244" s="663"/>
      <c r="W244" s="663"/>
      <c r="X244" s="663"/>
      <c r="Y244" s="663"/>
      <c r="Z244" s="663"/>
    </row>
    <row r="245">
      <c r="A245" s="670"/>
      <c r="B245" s="671"/>
      <c r="C245" s="672"/>
      <c r="D245" s="673"/>
      <c r="E245" s="663"/>
      <c r="F245" s="663"/>
      <c r="G245" s="663"/>
      <c r="H245" s="663"/>
      <c r="I245" s="663"/>
      <c r="J245" s="663"/>
      <c r="K245" s="663"/>
      <c r="L245" s="663"/>
      <c r="M245" s="663"/>
      <c r="N245" s="663"/>
      <c r="O245" s="663"/>
      <c r="P245" s="663"/>
      <c r="Q245" s="663"/>
      <c r="R245" s="663"/>
      <c r="S245" s="663"/>
      <c r="T245" s="663"/>
      <c r="U245" s="663"/>
      <c r="V245" s="663"/>
      <c r="W245" s="663"/>
      <c r="X245" s="663"/>
      <c r="Y245" s="663"/>
      <c r="Z245" s="663"/>
    </row>
    <row r="246">
      <c r="A246" s="670"/>
      <c r="B246" s="671"/>
      <c r="C246" s="672"/>
      <c r="D246" s="673"/>
      <c r="E246" s="663"/>
      <c r="F246" s="663"/>
      <c r="G246" s="663"/>
      <c r="H246" s="663"/>
      <c r="I246" s="663"/>
      <c r="J246" s="663"/>
      <c r="K246" s="663"/>
      <c r="L246" s="663"/>
      <c r="M246" s="663"/>
      <c r="N246" s="663"/>
      <c r="O246" s="663"/>
      <c r="P246" s="663"/>
      <c r="Q246" s="663"/>
      <c r="R246" s="663"/>
      <c r="S246" s="663"/>
      <c r="T246" s="663"/>
      <c r="U246" s="663"/>
      <c r="V246" s="663"/>
      <c r="W246" s="663"/>
      <c r="X246" s="663"/>
      <c r="Y246" s="663"/>
      <c r="Z246" s="663"/>
    </row>
    <row r="247">
      <c r="A247" s="670"/>
      <c r="B247" s="671"/>
      <c r="C247" s="672"/>
      <c r="D247" s="673"/>
      <c r="E247" s="663"/>
      <c r="F247" s="663"/>
      <c r="G247" s="663"/>
      <c r="H247" s="663"/>
      <c r="I247" s="663"/>
      <c r="J247" s="663"/>
      <c r="K247" s="663"/>
      <c r="L247" s="663"/>
      <c r="M247" s="663"/>
      <c r="N247" s="663"/>
      <c r="O247" s="663"/>
      <c r="P247" s="663"/>
      <c r="Q247" s="663"/>
      <c r="R247" s="663"/>
      <c r="S247" s="663"/>
      <c r="T247" s="663"/>
      <c r="U247" s="663"/>
      <c r="V247" s="663"/>
      <c r="W247" s="663"/>
      <c r="X247" s="663"/>
      <c r="Y247" s="663"/>
      <c r="Z247" s="663"/>
    </row>
    <row r="248">
      <c r="A248" s="670"/>
      <c r="B248" s="671"/>
      <c r="C248" s="672"/>
      <c r="D248" s="673"/>
      <c r="E248" s="663"/>
      <c r="F248" s="663"/>
      <c r="G248" s="663"/>
      <c r="H248" s="663"/>
      <c r="I248" s="663"/>
      <c r="J248" s="663"/>
      <c r="K248" s="663"/>
      <c r="L248" s="663"/>
      <c r="M248" s="663"/>
      <c r="N248" s="663"/>
      <c r="O248" s="663"/>
      <c r="P248" s="663"/>
      <c r="Q248" s="663"/>
      <c r="R248" s="663"/>
      <c r="S248" s="663"/>
      <c r="T248" s="663"/>
      <c r="U248" s="663"/>
      <c r="V248" s="663"/>
      <c r="W248" s="663"/>
      <c r="X248" s="663"/>
      <c r="Y248" s="663"/>
      <c r="Z248" s="663"/>
    </row>
    <row r="249">
      <c r="A249" s="670"/>
      <c r="B249" s="671"/>
      <c r="C249" s="672"/>
      <c r="D249" s="673"/>
      <c r="E249" s="663"/>
      <c r="F249" s="663"/>
      <c r="G249" s="663"/>
      <c r="H249" s="663"/>
      <c r="I249" s="663"/>
      <c r="J249" s="663"/>
      <c r="K249" s="663"/>
      <c r="L249" s="663"/>
      <c r="M249" s="663"/>
      <c r="N249" s="663"/>
      <c r="O249" s="663"/>
      <c r="P249" s="663"/>
      <c r="Q249" s="663"/>
      <c r="R249" s="663"/>
      <c r="S249" s="663"/>
      <c r="T249" s="663"/>
      <c r="U249" s="663"/>
      <c r="V249" s="663"/>
      <c r="W249" s="663"/>
      <c r="X249" s="663"/>
      <c r="Y249" s="663"/>
      <c r="Z249" s="663"/>
    </row>
    <row r="250">
      <c r="A250" s="670"/>
      <c r="B250" s="671"/>
      <c r="C250" s="672"/>
      <c r="D250" s="673"/>
      <c r="E250" s="663"/>
      <c r="F250" s="663"/>
      <c r="G250" s="663"/>
      <c r="H250" s="663"/>
      <c r="I250" s="663"/>
      <c r="J250" s="663"/>
      <c r="K250" s="663"/>
      <c r="L250" s="663"/>
      <c r="M250" s="663"/>
      <c r="N250" s="663"/>
      <c r="O250" s="663"/>
      <c r="P250" s="663"/>
      <c r="Q250" s="663"/>
      <c r="R250" s="663"/>
      <c r="S250" s="663"/>
      <c r="T250" s="663"/>
      <c r="U250" s="663"/>
      <c r="V250" s="663"/>
      <c r="W250" s="663"/>
      <c r="X250" s="663"/>
      <c r="Y250" s="663"/>
      <c r="Z250" s="663"/>
    </row>
    <row r="251">
      <c r="A251" s="670"/>
      <c r="B251" s="671"/>
      <c r="C251" s="672"/>
      <c r="D251" s="673"/>
      <c r="E251" s="663"/>
      <c r="F251" s="663"/>
      <c r="G251" s="663"/>
      <c r="H251" s="663"/>
      <c r="I251" s="663"/>
      <c r="J251" s="663"/>
      <c r="K251" s="663"/>
      <c r="L251" s="663"/>
      <c r="M251" s="663"/>
      <c r="N251" s="663"/>
      <c r="O251" s="663"/>
      <c r="P251" s="663"/>
      <c r="Q251" s="663"/>
      <c r="R251" s="663"/>
      <c r="S251" s="663"/>
      <c r="T251" s="663"/>
      <c r="U251" s="663"/>
      <c r="V251" s="663"/>
      <c r="W251" s="663"/>
      <c r="X251" s="663"/>
      <c r="Y251" s="663"/>
      <c r="Z251" s="663"/>
    </row>
    <row r="252">
      <c r="A252" s="670"/>
      <c r="B252" s="671"/>
      <c r="C252" s="672"/>
      <c r="D252" s="673"/>
      <c r="E252" s="663"/>
      <c r="F252" s="663"/>
      <c r="G252" s="663"/>
      <c r="H252" s="663"/>
      <c r="I252" s="663"/>
      <c r="J252" s="663"/>
      <c r="K252" s="663"/>
      <c r="L252" s="663"/>
      <c r="M252" s="663"/>
      <c r="N252" s="663"/>
      <c r="O252" s="663"/>
      <c r="P252" s="663"/>
      <c r="Q252" s="663"/>
      <c r="R252" s="663"/>
      <c r="S252" s="663"/>
      <c r="T252" s="663"/>
      <c r="U252" s="663"/>
      <c r="V252" s="663"/>
      <c r="W252" s="663"/>
      <c r="X252" s="663"/>
      <c r="Y252" s="663"/>
      <c r="Z252" s="663"/>
    </row>
    <row r="253">
      <c r="A253" s="670"/>
      <c r="B253" s="671"/>
      <c r="C253" s="672"/>
      <c r="D253" s="673"/>
      <c r="E253" s="663"/>
      <c r="F253" s="663"/>
      <c r="G253" s="663"/>
      <c r="H253" s="663"/>
      <c r="I253" s="663"/>
      <c r="J253" s="663"/>
      <c r="K253" s="663"/>
      <c r="L253" s="663"/>
      <c r="M253" s="663"/>
      <c r="N253" s="663"/>
      <c r="O253" s="663"/>
      <c r="P253" s="663"/>
      <c r="Q253" s="663"/>
      <c r="R253" s="663"/>
      <c r="S253" s="663"/>
      <c r="T253" s="663"/>
      <c r="U253" s="663"/>
      <c r="V253" s="663"/>
      <c r="W253" s="663"/>
      <c r="X253" s="663"/>
      <c r="Y253" s="663"/>
      <c r="Z253" s="663"/>
    </row>
    <row r="254">
      <c r="A254" s="670"/>
      <c r="B254" s="671"/>
      <c r="C254" s="672"/>
      <c r="D254" s="673"/>
      <c r="E254" s="663"/>
      <c r="F254" s="663"/>
      <c r="G254" s="663"/>
      <c r="H254" s="663"/>
      <c r="I254" s="663"/>
      <c r="J254" s="663"/>
      <c r="K254" s="663"/>
      <c r="L254" s="663"/>
      <c r="M254" s="663"/>
      <c r="N254" s="663"/>
      <c r="O254" s="663"/>
      <c r="P254" s="663"/>
      <c r="Q254" s="663"/>
      <c r="R254" s="663"/>
      <c r="S254" s="663"/>
      <c r="T254" s="663"/>
      <c r="U254" s="663"/>
      <c r="V254" s="663"/>
      <c r="W254" s="663"/>
      <c r="X254" s="663"/>
      <c r="Y254" s="663"/>
      <c r="Z254" s="663"/>
    </row>
    <row r="255">
      <c r="A255" s="670"/>
      <c r="B255" s="671"/>
      <c r="C255" s="672"/>
      <c r="D255" s="673"/>
      <c r="E255" s="663"/>
      <c r="F255" s="663"/>
      <c r="G255" s="663"/>
      <c r="H255" s="663"/>
      <c r="I255" s="663"/>
      <c r="J255" s="663"/>
      <c r="K255" s="663"/>
      <c r="L255" s="663"/>
      <c r="M255" s="663"/>
      <c r="N255" s="663"/>
      <c r="O255" s="663"/>
      <c r="P255" s="663"/>
      <c r="Q255" s="663"/>
      <c r="R255" s="663"/>
      <c r="S255" s="663"/>
      <c r="T255" s="663"/>
      <c r="U255" s="663"/>
      <c r="V255" s="663"/>
      <c r="W255" s="663"/>
      <c r="X255" s="663"/>
      <c r="Y255" s="663"/>
      <c r="Z255" s="663"/>
    </row>
    <row r="256">
      <c r="A256" s="670"/>
      <c r="B256" s="671"/>
      <c r="C256" s="672"/>
      <c r="D256" s="673"/>
      <c r="E256" s="663"/>
      <c r="F256" s="663"/>
      <c r="G256" s="663"/>
      <c r="H256" s="663"/>
      <c r="I256" s="663"/>
      <c r="J256" s="663"/>
      <c r="K256" s="663"/>
      <c r="L256" s="663"/>
      <c r="M256" s="663"/>
      <c r="N256" s="663"/>
      <c r="O256" s="663"/>
      <c r="P256" s="663"/>
      <c r="Q256" s="663"/>
      <c r="R256" s="663"/>
      <c r="S256" s="663"/>
      <c r="T256" s="663"/>
      <c r="U256" s="663"/>
      <c r="V256" s="663"/>
      <c r="W256" s="663"/>
      <c r="X256" s="663"/>
      <c r="Y256" s="663"/>
      <c r="Z256" s="663"/>
    </row>
    <row r="257">
      <c r="A257" s="670"/>
      <c r="B257" s="671"/>
      <c r="C257" s="672"/>
      <c r="D257" s="673"/>
      <c r="E257" s="663"/>
      <c r="F257" s="663"/>
      <c r="G257" s="663"/>
      <c r="H257" s="663"/>
      <c r="I257" s="663"/>
      <c r="J257" s="663"/>
      <c r="K257" s="663"/>
      <c r="L257" s="663"/>
      <c r="M257" s="663"/>
      <c r="N257" s="663"/>
      <c r="O257" s="663"/>
      <c r="P257" s="663"/>
      <c r="Q257" s="663"/>
      <c r="R257" s="663"/>
      <c r="S257" s="663"/>
      <c r="T257" s="663"/>
      <c r="U257" s="663"/>
      <c r="V257" s="663"/>
      <c r="W257" s="663"/>
      <c r="X257" s="663"/>
      <c r="Y257" s="663"/>
      <c r="Z257" s="663"/>
    </row>
    <row r="258">
      <c r="A258" s="670"/>
      <c r="B258" s="671"/>
      <c r="C258" s="672"/>
      <c r="D258" s="673"/>
      <c r="E258" s="663"/>
      <c r="F258" s="663"/>
      <c r="G258" s="663"/>
      <c r="H258" s="663"/>
      <c r="I258" s="663"/>
      <c r="J258" s="663"/>
      <c r="K258" s="663"/>
      <c r="L258" s="663"/>
      <c r="M258" s="663"/>
      <c r="N258" s="663"/>
      <c r="O258" s="663"/>
      <c r="P258" s="663"/>
      <c r="Q258" s="663"/>
      <c r="R258" s="663"/>
      <c r="S258" s="663"/>
      <c r="T258" s="663"/>
      <c r="U258" s="663"/>
      <c r="V258" s="663"/>
      <c r="W258" s="663"/>
      <c r="X258" s="663"/>
      <c r="Y258" s="663"/>
      <c r="Z258" s="663"/>
    </row>
    <row r="259">
      <c r="A259" s="670"/>
      <c r="B259" s="671"/>
      <c r="C259" s="672"/>
      <c r="D259" s="673"/>
      <c r="E259" s="663"/>
      <c r="F259" s="663"/>
      <c r="G259" s="663"/>
      <c r="H259" s="663"/>
      <c r="I259" s="663"/>
      <c r="J259" s="663"/>
      <c r="K259" s="663"/>
      <c r="L259" s="663"/>
      <c r="M259" s="663"/>
      <c r="N259" s="663"/>
      <c r="O259" s="663"/>
      <c r="P259" s="663"/>
      <c r="Q259" s="663"/>
      <c r="R259" s="663"/>
      <c r="S259" s="663"/>
      <c r="T259" s="663"/>
      <c r="U259" s="663"/>
      <c r="V259" s="663"/>
      <c r="W259" s="663"/>
      <c r="X259" s="663"/>
      <c r="Y259" s="663"/>
      <c r="Z259" s="663"/>
    </row>
    <row r="260">
      <c r="A260" s="670"/>
      <c r="B260" s="671"/>
      <c r="C260" s="672"/>
      <c r="D260" s="673"/>
      <c r="E260" s="663"/>
      <c r="F260" s="663"/>
      <c r="G260" s="663"/>
      <c r="H260" s="663"/>
      <c r="I260" s="663"/>
      <c r="J260" s="663"/>
      <c r="K260" s="663"/>
      <c r="L260" s="663"/>
      <c r="M260" s="663"/>
      <c r="N260" s="663"/>
      <c r="O260" s="663"/>
      <c r="P260" s="663"/>
      <c r="Q260" s="663"/>
      <c r="R260" s="663"/>
      <c r="S260" s="663"/>
      <c r="T260" s="663"/>
      <c r="U260" s="663"/>
      <c r="V260" s="663"/>
      <c r="W260" s="663"/>
      <c r="X260" s="663"/>
      <c r="Y260" s="663"/>
      <c r="Z260" s="663"/>
    </row>
    <row r="261">
      <c r="A261" s="670"/>
      <c r="B261" s="671"/>
      <c r="C261" s="672"/>
      <c r="D261" s="673"/>
      <c r="E261" s="663"/>
      <c r="F261" s="663"/>
      <c r="G261" s="663"/>
      <c r="H261" s="663"/>
      <c r="I261" s="663"/>
      <c r="J261" s="663"/>
      <c r="K261" s="663"/>
      <c r="L261" s="663"/>
      <c r="M261" s="663"/>
      <c r="N261" s="663"/>
      <c r="O261" s="663"/>
      <c r="P261" s="663"/>
      <c r="Q261" s="663"/>
      <c r="R261" s="663"/>
      <c r="S261" s="663"/>
      <c r="T261" s="663"/>
      <c r="U261" s="663"/>
      <c r="V261" s="663"/>
      <c r="W261" s="663"/>
      <c r="X261" s="663"/>
      <c r="Y261" s="663"/>
      <c r="Z261" s="663"/>
    </row>
    <row r="262">
      <c r="A262" s="670"/>
      <c r="B262" s="671"/>
      <c r="C262" s="672"/>
      <c r="D262" s="673"/>
      <c r="E262" s="663"/>
      <c r="F262" s="663"/>
      <c r="G262" s="663"/>
      <c r="H262" s="663"/>
      <c r="I262" s="663"/>
      <c r="J262" s="663"/>
      <c r="K262" s="663"/>
      <c r="L262" s="663"/>
      <c r="M262" s="663"/>
      <c r="N262" s="663"/>
      <c r="O262" s="663"/>
      <c r="P262" s="663"/>
      <c r="Q262" s="663"/>
      <c r="R262" s="663"/>
      <c r="S262" s="663"/>
      <c r="T262" s="663"/>
      <c r="U262" s="663"/>
      <c r="V262" s="663"/>
      <c r="W262" s="663"/>
      <c r="X262" s="663"/>
      <c r="Y262" s="663"/>
      <c r="Z262" s="663"/>
    </row>
    <row r="263">
      <c r="A263" s="670"/>
      <c r="B263" s="671"/>
      <c r="C263" s="672"/>
      <c r="D263" s="673"/>
      <c r="E263" s="663"/>
      <c r="F263" s="663"/>
      <c r="G263" s="663"/>
      <c r="H263" s="663"/>
      <c r="I263" s="663"/>
      <c r="J263" s="663"/>
      <c r="K263" s="663"/>
      <c r="L263" s="663"/>
      <c r="M263" s="663"/>
      <c r="N263" s="663"/>
      <c r="O263" s="663"/>
      <c r="P263" s="663"/>
      <c r="Q263" s="663"/>
      <c r="R263" s="663"/>
      <c r="S263" s="663"/>
      <c r="T263" s="663"/>
      <c r="U263" s="663"/>
      <c r="V263" s="663"/>
      <c r="W263" s="663"/>
      <c r="X263" s="663"/>
      <c r="Y263" s="663"/>
      <c r="Z263" s="663"/>
    </row>
    <row r="264">
      <c r="A264" s="670"/>
      <c r="B264" s="671"/>
      <c r="C264" s="672"/>
      <c r="D264" s="673"/>
      <c r="E264" s="663"/>
      <c r="F264" s="663"/>
      <c r="G264" s="663"/>
      <c r="H264" s="663"/>
      <c r="I264" s="663"/>
      <c r="J264" s="663"/>
      <c r="K264" s="663"/>
      <c r="L264" s="663"/>
      <c r="M264" s="663"/>
      <c r="N264" s="663"/>
      <c r="O264" s="663"/>
      <c r="P264" s="663"/>
      <c r="Q264" s="663"/>
      <c r="R264" s="663"/>
      <c r="S264" s="663"/>
      <c r="T264" s="663"/>
      <c r="U264" s="663"/>
      <c r="V264" s="663"/>
      <c r="W264" s="663"/>
      <c r="X264" s="663"/>
      <c r="Y264" s="663"/>
      <c r="Z264" s="663"/>
    </row>
    <row r="265">
      <c r="A265" s="670"/>
      <c r="B265" s="671"/>
      <c r="C265" s="672"/>
      <c r="D265" s="673"/>
      <c r="E265" s="663"/>
      <c r="F265" s="663"/>
      <c r="G265" s="663"/>
      <c r="H265" s="663"/>
      <c r="I265" s="663"/>
      <c r="J265" s="663"/>
      <c r="K265" s="663"/>
      <c r="L265" s="663"/>
      <c r="M265" s="663"/>
      <c r="N265" s="663"/>
      <c r="O265" s="663"/>
      <c r="P265" s="663"/>
      <c r="Q265" s="663"/>
      <c r="R265" s="663"/>
      <c r="S265" s="663"/>
      <c r="T265" s="663"/>
      <c r="U265" s="663"/>
      <c r="V265" s="663"/>
      <c r="W265" s="663"/>
      <c r="X265" s="663"/>
      <c r="Y265" s="663"/>
      <c r="Z265" s="663"/>
    </row>
    <row r="266">
      <c r="A266" s="670"/>
      <c r="B266" s="671"/>
      <c r="C266" s="672"/>
      <c r="D266" s="673"/>
      <c r="E266" s="663"/>
      <c r="F266" s="663"/>
      <c r="G266" s="663"/>
      <c r="H266" s="663"/>
      <c r="I266" s="663"/>
      <c r="J266" s="663"/>
      <c r="K266" s="663"/>
      <c r="L266" s="663"/>
      <c r="M266" s="663"/>
      <c r="N266" s="663"/>
      <c r="O266" s="663"/>
      <c r="P266" s="663"/>
      <c r="Q266" s="663"/>
      <c r="R266" s="663"/>
      <c r="S266" s="663"/>
      <c r="T266" s="663"/>
      <c r="U266" s="663"/>
      <c r="V266" s="663"/>
      <c r="W266" s="663"/>
      <c r="X266" s="663"/>
      <c r="Y266" s="663"/>
      <c r="Z266" s="663"/>
    </row>
    <row r="267">
      <c r="A267" s="670"/>
      <c r="B267" s="671"/>
      <c r="C267" s="672"/>
      <c r="D267" s="673"/>
      <c r="E267" s="663"/>
      <c r="F267" s="663"/>
      <c r="G267" s="663"/>
      <c r="H267" s="663"/>
      <c r="I267" s="663"/>
      <c r="J267" s="663"/>
      <c r="K267" s="663"/>
      <c r="L267" s="663"/>
      <c r="M267" s="663"/>
      <c r="N267" s="663"/>
      <c r="O267" s="663"/>
      <c r="P267" s="663"/>
      <c r="Q267" s="663"/>
      <c r="R267" s="663"/>
      <c r="S267" s="663"/>
      <c r="T267" s="663"/>
      <c r="U267" s="663"/>
      <c r="V267" s="663"/>
      <c r="W267" s="663"/>
      <c r="X267" s="663"/>
      <c r="Y267" s="663"/>
      <c r="Z267" s="663"/>
    </row>
    <row r="268">
      <c r="A268" s="670"/>
      <c r="B268" s="671"/>
      <c r="C268" s="672"/>
      <c r="D268" s="673"/>
      <c r="E268" s="663"/>
      <c r="F268" s="663"/>
      <c r="G268" s="663"/>
      <c r="H268" s="663"/>
      <c r="I268" s="663"/>
      <c r="J268" s="663"/>
      <c r="K268" s="663"/>
      <c r="L268" s="663"/>
      <c r="M268" s="663"/>
      <c r="N268" s="663"/>
      <c r="O268" s="663"/>
      <c r="P268" s="663"/>
      <c r="Q268" s="663"/>
      <c r="R268" s="663"/>
      <c r="S268" s="663"/>
      <c r="T268" s="663"/>
      <c r="U268" s="663"/>
      <c r="V268" s="663"/>
      <c r="W268" s="663"/>
      <c r="X268" s="663"/>
      <c r="Y268" s="663"/>
      <c r="Z268" s="663"/>
    </row>
    <row r="269">
      <c r="A269" s="670"/>
      <c r="B269" s="671"/>
      <c r="C269" s="672"/>
      <c r="D269" s="673"/>
      <c r="E269" s="663"/>
      <c r="F269" s="663"/>
      <c r="G269" s="663"/>
      <c r="H269" s="663"/>
      <c r="I269" s="663"/>
      <c r="J269" s="663"/>
      <c r="K269" s="663"/>
      <c r="L269" s="663"/>
      <c r="M269" s="663"/>
      <c r="N269" s="663"/>
      <c r="O269" s="663"/>
      <c r="P269" s="663"/>
      <c r="Q269" s="663"/>
      <c r="R269" s="663"/>
      <c r="S269" s="663"/>
      <c r="T269" s="663"/>
      <c r="U269" s="663"/>
      <c r="V269" s="663"/>
      <c r="W269" s="663"/>
      <c r="X269" s="663"/>
      <c r="Y269" s="663"/>
      <c r="Z269" s="663"/>
    </row>
    <row r="270">
      <c r="A270" s="670"/>
      <c r="B270" s="671"/>
      <c r="C270" s="672"/>
      <c r="D270" s="673"/>
      <c r="E270" s="663"/>
      <c r="F270" s="663"/>
      <c r="G270" s="663"/>
      <c r="H270" s="663"/>
      <c r="I270" s="663"/>
      <c r="J270" s="663"/>
      <c r="K270" s="663"/>
      <c r="L270" s="663"/>
      <c r="M270" s="663"/>
      <c r="N270" s="663"/>
      <c r="O270" s="663"/>
      <c r="P270" s="663"/>
      <c r="Q270" s="663"/>
      <c r="R270" s="663"/>
      <c r="S270" s="663"/>
      <c r="T270" s="663"/>
      <c r="U270" s="663"/>
      <c r="V270" s="663"/>
      <c r="W270" s="663"/>
      <c r="X270" s="663"/>
      <c r="Y270" s="663"/>
      <c r="Z270" s="663"/>
    </row>
    <row r="271">
      <c r="A271" s="670"/>
      <c r="B271" s="671"/>
      <c r="C271" s="672"/>
      <c r="D271" s="673"/>
      <c r="E271" s="663"/>
      <c r="F271" s="663"/>
      <c r="G271" s="663"/>
      <c r="H271" s="663"/>
      <c r="I271" s="663"/>
      <c r="J271" s="663"/>
      <c r="K271" s="663"/>
      <c r="L271" s="663"/>
      <c r="M271" s="663"/>
      <c r="N271" s="663"/>
      <c r="O271" s="663"/>
      <c r="P271" s="663"/>
      <c r="Q271" s="663"/>
      <c r="R271" s="663"/>
      <c r="S271" s="663"/>
      <c r="T271" s="663"/>
      <c r="U271" s="663"/>
      <c r="V271" s="663"/>
      <c r="W271" s="663"/>
      <c r="X271" s="663"/>
      <c r="Y271" s="663"/>
      <c r="Z271" s="663"/>
    </row>
    <row r="272">
      <c r="A272" s="670"/>
      <c r="B272" s="671"/>
      <c r="C272" s="672"/>
      <c r="D272" s="673"/>
      <c r="E272" s="663"/>
      <c r="F272" s="663"/>
      <c r="G272" s="663"/>
      <c r="H272" s="663"/>
      <c r="I272" s="663"/>
      <c r="J272" s="663"/>
      <c r="K272" s="663"/>
      <c r="L272" s="663"/>
      <c r="M272" s="663"/>
      <c r="N272" s="663"/>
      <c r="O272" s="663"/>
      <c r="P272" s="663"/>
      <c r="Q272" s="663"/>
      <c r="R272" s="663"/>
      <c r="S272" s="663"/>
      <c r="T272" s="663"/>
      <c r="U272" s="663"/>
      <c r="V272" s="663"/>
      <c r="W272" s="663"/>
      <c r="X272" s="663"/>
      <c r="Y272" s="663"/>
      <c r="Z272" s="663"/>
    </row>
    <row r="273">
      <c r="A273" s="670"/>
      <c r="B273" s="671"/>
      <c r="C273" s="672"/>
      <c r="D273" s="673"/>
      <c r="E273" s="663"/>
      <c r="F273" s="663"/>
      <c r="G273" s="663"/>
      <c r="H273" s="663"/>
      <c r="I273" s="663"/>
      <c r="J273" s="663"/>
      <c r="K273" s="663"/>
      <c r="L273" s="663"/>
      <c r="M273" s="663"/>
      <c r="N273" s="663"/>
      <c r="O273" s="663"/>
      <c r="P273" s="663"/>
      <c r="Q273" s="663"/>
      <c r="R273" s="663"/>
      <c r="S273" s="663"/>
      <c r="T273" s="663"/>
      <c r="U273" s="663"/>
      <c r="V273" s="663"/>
      <c r="W273" s="663"/>
      <c r="X273" s="663"/>
      <c r="Y273" s="663"/>
      <c r="Z273" s="663"/>
    </row>
    <row r="274">
      <c r="A274" s="670"/>
      <c r="B274" s="671"/>
      <c r="C274" s="672"/>
      <c r="D274" s="673"/>
      <c r="E274" s="663"/>
      <c r="F274" s="663"/>
      <c r="G274" s="663"/>
      <c r="H274" s="663"/>
      <c r="I274" s="663"/>
      <c r="J274" s="663"/>
      <c r="K274" s="663"/>
      <c r="L274" s="663"/>
      <c r="M274" s="663"/>
      <c r="N274" s="663"/>
      <c r="O274" s="663"/>
      <c r="P274" s="663"/>
      <c r="Q274" s="663"/>
      <c r="R274" s="663"/>
      <c r="S274" s="663"/>
      <c r="T274" s="663"/>
      <c r="U274" s="663"/>
      <c r="V274" s="663"/>
      <c r="W274" s="663"/>
      <c r="X274" s="663"/>
      <c r="Y274" s="663"/>
      <c r="Z274" s="663"/>
    </row>
    <row r="275">
      <c r="A275" s="670"/>
      <c r="B275" s="671"/>
      <c r="C275" s="672"/>
      <c r="D275" s="673"/>
      <c r="E275" s="663"/>
      <c r="F275" s="663"/>
      <c r="G275" s="663"/>
      <c r="H275" s="663"/>
      <c r="I275" s="663"/>
      <c r="J275" s="663"/>
      <c r="K275" s="663"/>
      <c r="L275" s="663"/>
      <c r="M275" s="663"/>
      <c r="N275" s="663"/>
      <c r="O275" s="663"/>
      <c r="P275" s="663"/>
      <c r="Q275" s="663"/>
      <c r="R275" s="663"/>
      <c r="S275" s="663"/>
      <c r="T275" s="663"/>
      <c r="U275" s="663"/>
      <c r="V275" s="663"/>
      <c r="W275" s="663"/>
      <c r="X275" s="663"/>
      <c r="Y275" s="663"/>
      <c r="Z275" s="663"/>
    </row>
    <row r="276">
      <c r="A276" s="670"/>
      <c r="B276" s="671"/>
      <c r="C276" s="672"/>
      <c r="D276" s="673"/>
      <c r="E276" s="663"/>
      <c r="F276" s="663"/>
      <c r="G276" s="663"/>
      <c r="H276" s="663"/>
      <c r="I276" s="663"/>
      <c r="J276" s="663"/>
      <c r="K276" s="663"/>
      <c r="L276" s="663"/>
      <c r="M276" s="663"/>
      <c r="N276" s="663"/>
      <c r="O276" s="663"/>
      <c r="P276" s="663"/>
      <c r="Q276" s="663"/>
      <c r="R276" s="663"/>
      <c r="S276" s="663"/>
      <c r="T276" s="663"/>
      <c r="U276" s="663"/>
      <c r="V276" s="663"/>
      <c r="W276" s="663"/>
      <c r="X276" s="663"/>
      <c r="Y276" s="663"/>
      <c r="Z276" s="663"/>
    </row>
    <row r="277">
      <c r="A277" s="670"/>
      <c r="B277" s="671"/>
      <c r="C277" s="672"/>
      <c r="D277" s="673"/>
      <c r="E277" s="663"/>
      <c r="F277" s="663"/>
      <c r="G277" s="663"/>
      <c r="H277" s="663"/>
      <c r="I277" s="663"/>
      <c r="J277" s="663"/>
      <c r="K277" s="663"/>
      <c r="L277" s="663"/>
      <c r="M277" s="663"/>
      <c r="N277" s="663"/>
      <c r="O277" s="663"/>
      <c r="P277" s="663"/>
      <c r="Q277" s="663"/>
      <c r="R277" s="663"/>
      <c r="S277" s="663"/>
      <c r="T277" s="663"/>
      <c r="U277" s="663"/>
      <c r="V277" s="663"/>
      <c r="W277" s="663"/>
      <c r="X277" s="663"/>
      <c r="Y277" s="663"/>
      <c r="Z277" s="663"/>
    </row>
    <row r="278">
      <c r="A278" s="670"/>
      <c r="B278" s="671"/>
      <c r="C278" s="672"/>
      <c r="D278" s="673"/>
      <c r="E278" s="663"/>
      <c r="F278" s="663"/>
      <c r="G278" s="663"/>
      <c r="H278" s="663"/>
      <c r="I278" s="663"/>
      <c r="J278" s="663"/>
      <c r="K278" s="663"/>
      <c r="L278" s="663"/>
      <c r="M278" s="663"/>
      <c r="N278" s="663"/>
      <c r="O278" s="663"/>
      <c r="P278" s="663"/>
      <c r="Q278" s="663"/>
      <c r="R278" s="663"/>
      <c r="S278" s="663"/>
      <c r="T278" s="663"/>
      <c r="U278" s="663"/>
      <c r="V278" s="663"/>
      <c r="W278" s="663"/>
      <c r="X278" s="663"/>
      <c r="Y278" s="663"/>
      <c r="Z278" s="663"/>
    </row>
    <row r="279">
      <c r="A279" s="670"/>
      <c r="B279" s="671"/>
      <c r="C279" s="672"/>
      <c r="D279" s="673"/>
      <c r="E279" s="663"/>
      <c r="F279" s="663"/>
      <c r="G279" s="663"/>
      <c r="H279" s="663"/>
      <c r="I279" s="663"/>
      <c r="J279" s="663"/>
      <c r="K279" s="663"/>
      <c r="L279" s="663"/>
      <c r="M279" s="663"/>
      <c r="N279" s="663"/>
      <c r="O279" s="663"/>
      <c r="P279" s="663"/>
      <c r="Q279" s="663"/>
      <c r="R279" s="663"/>
      <c r="S279" s="663"/>
      <c r="T279" s="663"/>
      <c r="U279" s="663"/>
      <c r="V279" s="663"/>
      <c r="W279" s="663"/>
      <c r="X279" s="663"/>
      <c r="Y279" s="663"/>
      <c r="Z279" s="663"/>
    </row>
    <row r="280">
      <c r="A280" s="670"/>
      <c r="B280" s="671"/>
      <c r="C280" s="672"/>
      <c r="D280" s="673"/>
      <c r="E280" s="663"/>
      <c r="F280" s="663"/>
      <c r="G280" s="663"/>
      <c r="H280" s="663"/>
      <c r="I280" s="663"/>
      <c r="J280" s="663"/>
      <c r="K280" s="663"/>
      <c r="L280" s="663"/>
      <c r="M280" s="663"/>
      <c r="N280" s="663"/>
      <c r="O280" s="663"/>
      <c r="P280" s="663"/>
      <c r="Q280" s="663"/>
      <c r="R280" s="663"/>
      <c r="S280" s="663"/>
      <c r="T280" s="663"/>
      <c r="U280" s="663"/>
      <c r="V280" s="663"/>
      <c r="W280" s="663"/>
      <c r="X280" s="663"/>
      <c r="Y280" s="663"/>
      <c r="Z280" s="663"/>
    </row>
    <row r="281">
      <c r="A281" s="670"/>
      <c r="B281" s="671"/>
      <c r="C281" s="672"/>
      <c r="D281" s="673"/>
      <c r="E281" s="663"/>
      <c r="F281" s="663"/>
      <c r="G281" s="663"/>
      <c r="H281" s="663"/>
      <c r="I281" s="663"/>
      <c r="J281" s="663"/>
      <c r="K281" s="663"/>
      <c r="L281" s="663"/>
      <c r="M281" s="663"/>
      <c r="N281" s="663"/>
      <c r="O281" s="663"/>
      <c r="P281" s="663"/>
      <c r="Q281" s="663"/>
      <c r="R281" s="663"/>
      <c r="S281" s="663"/>
      <c r="T281" s="663"/>
      <c r="U281" s="663"/>
      <c r="V281" s="663"/>
      <c r="W281" s="663"/>
      <c r="X281" s="663"/>
      <c r="Y281" s="663"/>
      <c r="Z281" s="663"/>
    </row>
    <row r="282">
      <c r="A282" s="670"/>
      <c r="B282" s="671"/>
      <c r="C282" s="672"/>
      <c r="D282" s="673"/>
      <c r="E282" s="663"/>
      <c r="F282" s="663"/>
      <c r="G282" s="663"/>
      <c r="H282" s="663"/>
      <c r="I282" s="663"/>
      <c r="J282" s="663"/>
      <c r="K282" s="663"/>
      <c r="L282" s="663"/>
      <c r="M282" s="663"/>
      <c r="N282" s="663"/>
      <c r="O282" s="663"/>
      <c r="P282" s="663"/>
      <c r="Q282" s="663"/>
      <c r="R282" s="663"/>
      <c r="S282" s="663"/>
      <c r="T282" s="663"/>
      <c r="U282" s="663"/>
      <c r="V282" s="663"/>
      <c r="W282" s="663"/>
      <c r="X282" s="663"/>
      <c r="Y282" s="663"/>
      <c r="Z282" s="663"/>
    </row>
    <row r="283">
      <c r="A283" s="670"/>
      <c r="B283" s="671"/>
      <c r="C283" s="672"/>
      <c r="D283" s="673"/>
      <c r="E283" s="663"/>
      <c r="F283" s="663"/>
      <c r="G283" s="663"/>
      <c r="H283" s="663"/>
      <c r="I283" s="663"/>
      <c r="J283" s="663"/>
      <c r="K283" s="663"/>
      <c r="L283" s="663"/>
      <c r="M283" s="663"/>
      <c r="N283" s="663"/>
      <c r="O283" s="663"/>
      <c r="P283" s="663"/>
      <c r="Q283" s="663"/>
      <c r="R283" s="663"/>
      <c r="S283" s="663"/>
      <c r="T283" s="663"/>
      <c r="U283" s="663"/>
      <c r="V283" s="663"/>
      <c r="W283" s="663"/>
      <c r="X283" s="663"/>
      <c r="Y283" s="663"/>
      <c r="Z283" s="663"/>
    </row>
    <row r="284">
      <c r="A284" s="670"/>
      <c r="B284" s="671"/>
      <c r="C284" s="672"/>
      <c r="D284" s="673"/>
      <c r="E284" s="663"/>
      <c r="F284" s="663"/>
      <c r="G284" s="663"/>
      <c r="H284" s="663"/>
      <c r="I284" s="663"/>
      <c r="J284" s="663"/>
      <c r="K284" s="663"/>
      <c r="L284" s="663"/>
      <c r="M284" s="663"/>
      <c r="N284" s="663"/>
      <c r="O284" s="663"/>
      <c r="P284" s="663"/>
      <c r="Q284" s="663"/>
      <c r="R284" s="663"/>
      <c r="S284" s="663"/>
      <c r="T284" s="663"/>
      <c r="U284" s="663"/>
      <c r="V284" s="663"/>
      <c r="W284" s="663"/>
      <c r="X284" s="663"/>
      <c r="Y284" s="663"/>
      <c r="Z284" s="663"/>
    </row>
    <row r="285">
      <c r="A285" s="670"/>
      <c r="B285" s="671"/>
      <c r="C285" s="672"/>
      <c r="D285" s="673"/>
      <c r="E285" s="663"/>
      <c r="F285" s="663"/>
      <c r="G285" s="663"/>
      <c r="H285" s="663"/>
      <c r="I285" s="663"/>
      <c r="J285" s="663"/>
      <c r="K285" s="663"/>
      <c r="L285" s="663"/>
      <c r="M285" s="663"/>
      <c r="N285" s="663"/>
      <c r="O285" s="663"/>
      <c r="P285" s="663"/>
      <c r="Q285" s="663"/>
      <c r="R285" s="663"/>
      <c r="S285" s="663"/>
      <c r="T285" s="663"/>
      <c r="U285" s="663"/>
      <c r="V285" s="663"/>
      <c r="W285" s="663"/>
      <c r="X285" s="663"/>
      <c r="Y285" s="663"/>
      <c r="Z285" s="663"/>
    </row>
    <row r="286">
      <c r="A286" s="670"/>
      <c r="B286" s="671"/>
      <c r="C286" s="672"/>
      <c r="D286" s="673"/>
      <c r="E286" s="663"/>
      <c r="F286" s="663"/>
      <c r="G286" s="663"/>
      <c r="H286" s="663"/>
      <c r="I286" s="663"/>
      <c r="J286" s="663"/>
      <c r="K286" s="663"/>
      <c r="L286" s="663"/>
      <c r="M286" s="663"/>
      <c r="N286" s="663"/>
      <c r="O286" s="663"/>
      <c r="P286" s="663"/>
      <c r="Q286" s="663"/>
      <c r="R286" s="663"/>
      <c r="S286" s="663"/>
      <c r="T286" s="663"/>
      <c r="U286" s="663"/>
      <c r="V286" s="663"/>
      <c r="W286" s="663"/>
      <c r="X286" s="663"/>
      <c r="Y286" s="663"/>
      <c r="Z286" s="663"/>
    </row>
    <row r="287">
      <c r="A287" s="670"/>
      <c r="B287" s="671"/>
      <c r="C287" s="672"/>
      <c r="D287" s="673"/>
      <c r="E287" s="663"/>
      <c r="F287" s="663"/>
      <c r="G287" s="663"/>
      <c r="H287" s="663"/>
      <c r="I287" s="663"/>
      <c r="J287" s="663"/>
      <c r="K287" s="663"/>
      <c r="L287" s="663"/>
      <c r="M287" s="663"/>
      <c r="N287" s="663"/>
      <c r="O287" s="663"/>
      <c r="P287" s="663"/>
      <c r="Q287" s="663"/>
      <c r="R287" s="663"/>
      <c r="S287" s="663"/>
      <c r="T287" s="663"/>
      <c r="U287" s="663"/>
      <c r="V287" s="663"/>
      <c r="W287" s="663"/>
      <c r="X287" s="663"/>
      <c r="Y287" s="663"/>
      <c r="Z287" s="663"/>
    </row>
    <row r="288">
      <c r="A288" s="670"/>
      <c r="B288" s="671"/>
      <c r="C288" s="672"/>
      <c r="D288" s="673"/>
      <c r="E288" s="663"/>
      <c r="F288" s="663"/>
      <c r="G288" s="663"/>
      <c r="H288" s="663"/>
      <c r="I288" s="663"/>
      <c r="J288" s="663"/>
      <c r="K288" s="663"/>
      <c r="L288" s="663"/>
      <c r="M288" s="663"/>
      <c r="N288" s="663"/>
      <c r="O288" s="663"/>
      <c r="P288" s="663"/>
      <c r="Q288" s="663"/>
      <c r="R288" s="663"/>
      <c r="S288" s="663"/>
      <c r="T288" s="663"/>
      <c r="U288" s="663"/>
      <c r="V288" s="663"/>
      <c r="W288" s="663"/>
      <c r="X288" s="663"/>
      <c r="Y288" s="663"/>
      <c r="Z288" s="663"/>
    </row>
    <row r="289">
      <c r="A289" s="670"/>
      <c r="B289" s="671"/>
      <c r="C289" s="672"/>
      <c r="D289" s="673"/>
      <c r="E289" s="663"/>
      <c r="F289" s="663"/>
      <c r="G289" s="663"/>
      <c r="H289" s="663"/>
      <c r="I289" s="663"/>
      <c r="J289" s="663"/>
      <c r="K289" s="663"/>
      <c r="L289" s="663"/>
      <c r="M289" s="663"/>
      <c r="N289" s="663"/>
      <c r="O289" s="663"/>
      <c r="P289" s="663"/>
      <c r="Q289" s="663"/>
      <c r="R289" s="663"/>
      <c r="S289" s="663"/>
      <c r="T289" s="663"/>
      <c r="U289" s="663"/>
      <c r="V289" s="663"/>
      <c r="W289" s="663"/>
      <c r="X289" s="663"/>
      <c r="Y289" s="663"/>
      <c r="Z289" s="663"/>
    </row>
    <row r="290">
      <c r="A290" s="670"/>
      <c r="B290" s="671"/>
      <c r="C290" s="672"/>
      <c r="D290" s="673"/>
      <c r="E290" s="663"/>
      <c r="F290" s="663"/>
      <c r="G290" s="663"/>
      <c r="H290" s="663"/>
      <c r="I290" s="663"/>
      <c r="J290" s="663"/>
      <c r="K290" s="663"/>
      <c r="L290" s="663"/>
      <c r="M290" s="663"/>
      <c r="N290" s="663"/>
      <c r="O290" s="663"/>
      <c r="P290" s="663"/>
      <c r="Q290" s="663"/>
      <c r="R290" s="663"/>
      <c r="S290" s="663"/>
      <c r="T290" s="663"/>
      <c r="U290" s="663"/>
      <c r="V290" s="663"/>
      <c r="W290" s="663"/>
      <c r="X290" s="663"/>
      <c r="Y290" s="663"/>
      <c r="Z290" s="663"/>
    </row>
    <row r="291">
      <c r="A291" s="670"/>
      <c r="B291" s="671"/>
      <c r="C291" s="672"/>
      <c r="D291" s="673"/>
      <c r="E291" s="663"/>
      <c r="F291" s="663"/>
      <c r="G291" s="663"/>
      <c r="H291" s="663"/>
      <c r="I291" s="663"/>
      <c r="J291" s="663"/>
      <c r="K291" s="663"/>
      <c r="L291" s="663"/>
      <c r="M291" s="663"/>
      <c r="N291" s="663"/>
      <c r="O291" s="663"/>
      <c r="P291" s="663"/>
      <c r="Q291" s="663"/>
      <c r="R291" s="663"/>
      <c r="S291" s="663"/>
      <c r="T291" s="663"/>
      <c r="U291" s="663"/>
      <c r="V291" s="663"/>
      <c r="W291" s="663"/>
      <c r="X291" s="663"/>
      <c r="Y291" s="663"/>
      <c r="Z291" s="663"/>
    </row>
    <row r="292">
      <c r="A292" s="670"/>
      <c r="B292" s="671"/>
      <c r="C292" s="672"/>
      <c r="D292" s="673"/>
      <c r="E292" s="663"/>
      <c r="F292" s="663"/>
      <c r="G292" s="663"/>
      <c r="H292" s="663"/>
      <c r="I292" s="663"/>
      <c r="J292" s="663"/>
      <c r="K292" s="663"/>
      <c r="L292" s="663"/>
      <c r="M292" s="663"/>
      <c r="N292" s="663"/>
      <c r="O292" s="663"/>
      <c r="P292" s="663"/>
      <c r="Q292" s="663"/>
      <c r="R292" s="663"/>
      <c r="S292" s="663"/>
      <c r="T292" s="663"/>
      <c r="U292" s="663"/>
      <c r="V292" s="663"/>
      <c r="W292" s="663"/>
      <c r="X292" s="663"/>
      <c r="Y292" s="663"/>
      <c r="Z292" s="663"/>
    </row>
    <row r="293">
      <c r="A293" s="670"/>
      <c r="B293" s="671"/>
      <c r="C293" s="672"/>
      <c r="D293" s="673"/>
      <c r="E293" s="663"/>
      <c r="F293" s="663"/>
      <c r="G293" s="663"/>
      <c r="H293" s="663"/>
      <c r="I293" s="663"/>
      <c r="J293" s="663"/>
      <c r="K293" s="663"/>
      <c r="L293" s="663"/>
      <c r="M293" s="663"/>
      <c r="N293" s="663"/>
      <c r="O293" s="663"/>
      <c r="P293" s="663"/>
      <c r="Q293" s="663"/>
      <c r="R293" s="663"/>
      <c r="S293" s="663"/>
      <c r="T293" s="663"/>
      <c r="U293" s="663"/>
      <c r="V293" s="663"/>
      <c r="W293" s="663"/>
      <c r="X293" s="663"/>
      <c r="Y293" s="663"/>
      <c r="Z293" s="663"/>
    </row>
    <row r="294">
      <c r="A294" s="670"/>
      <c r="B294" s="671"/>
      <c r="C294" s="672"/>
      <c r="D294" s="673"/>
      <c r="E294" s="663"/>
      <c r="F294" s="663"/>
      <c r="G294" s="663"/>
      <c r="H294" s="663"/>
      <c r="I294" s="663"/>
      <c r="J294" s="663"/>
      <c r="K294" s="663"/>
      <c r="L294" s="663"/>
      <c r="M294" s="663"/>
      <c r="N294" s="663"/>
      <c r="O294" s="663"/>
      <c r="P294" s="663"/>
      <c r="Q294" s="663"/>
      <c r="R294" s="663"/>
      <c r="S294" s="663"/>
      <c r="T294" s="663"/>
      <c r="U294" s="663"/>
      <c r="V294" s="663"/>
      <c r="W294" s="663"/>
      <c r="X294" s="663"/>
      <c r="Y294" s="663"/>
      <c r="Z294" s="663"/>
    </row>
    <row r="295">
      <c r="A295" s="670"/>
      <c r="B295" s="671"/>
      <c r="C295" s="672"/>
      <c r="D295" s="673"/>
      <c r="E295" s="663"/>
      <c r="F295" s="663"/>
      <c r="G295" s="663"/>
      <c r="H295" s="663"/>
      <c r="I295" s="663"/>
      <c r="J295" s="663"/>
      <c r="K295" s="663"/>
      <c r="L295" s="663"/>
      <c r="M295" s="663"/>
      <c r="N295" s="663"/>
      <c r="O295" s="663"/>
      <c r="P295" s="663"/>
      <c r="Q295" s="663"/>
      <c r="R295" s="663"/>
      <c r="S295" s="663"/>
      <c r="T295" s="663"/>
      <c r="U295" s="663"/>
      <c r="V295" s="663"/>
      <c r="W295" s="663"/>
      <c r="X295" s="663"/>
      <c r="Y295" s="663"/>
      <c r="Z295" s="663"/>
    </row>
    <row r="296">
      <c r="A296" s="670"/>
      <c r="B296" s="671"/>
      <c r="C296" s="672"/>
      <c r="D296" s="673"/>
      <c r="E296" s="663"/>
      <c r="F296" s="663"/>
      <c r="G296" s="663"/>
      <c r="H296" s="663"/>
      <c r="I296" s="663"/>
      <c r="J296" s="663"/>
      <c r="K296" s="663"/>
      <c r="L296" s="663"/>
      <c r="M296" s="663"/>
      <c r="N296" s="663"/>
      <c r="O296" s="663"/>
      <c r="P296" s="663"/>
      <c r="Q296" s="663"/>
      <c r="R296" s="663"/>
      <c r="S296" s="663"/>
      <c r="T296" s="663"/>
      <c r="U296" s="663"/>
      <c r="V296" s="663"/>
      <c r="W296" s="663"/>
      <c r="X296" s="663"/>
      <c r="Y296" s="663"/>
      <c r="Z296" s="663"/>
    </row>
    <row r="297">
      <c r="A297" s="670"/>
      <c r="B297" s="671"/>
      <c r="C297" s="672"/>
      <c r="D297" s="673"/>
      <c r="E297" s="663"/>
      <c r="F297" s="663"/>
      <c r="G297" s="663"/>
      <c r="H297" s="663"/>
      <c r="I297" s="663"/>
      <c r="J297" s="663"/>
      <c r="K297" s="663"/>
      <c r="L297" s="663"/>
      <c r="M297" s="663"/>
      <c r="N297" s="663"/>
      <c r="O297" s="663"/>
      <c r="P297" s="663"/>
      <c r="Q297" s="663"/>
      <c r="R297" s="663"/>
      <c r="S297" s="663"/>
      <c r="T297" s="663"/>
      <c r="U297" s="663"/>
      <c r="V297" s="663"/>
      <c r="W297" s="663"/>
      <c r="X297" s="663"/>
      <c r="Y297" s="663"/>
      <c r="Z297" s="663"/>
    </row>
    <row r="298">
      <c r="A298" s="670"/>
      <c r="B298" s="671"/>
      <c r="C298" s="672"/>
      <c r="D298" s="673"/>
      <c r="E298" s="663"/>
      <c r="F298" s="663"/>
      <c r="G298" s="663"/>
      <c r="H298" s="663"/>
      <c r="I298" s="663"/>
      <c r="J298" s="663"/>
      <c r="K298" s="663"/>
      <c r="L298" s="663"/>
      <c r="M298" s="663"/>
      <c r="N298" s="663"/>
      <c r="O298" s="663"/>
      <c r="P298" s="663"/>
      <c r="Q298" s="663"/>
      <c r="R298" s="663"/>
      <c r="S298" s="663"/>
      <c r="T298" s="663"/>
      <c r="U298" s="663"/>
      <c r="V298" s="663"/>
      <c r="W298" s="663"/>
      <c r="X298" s="663"/>
      <c r="Y298" s="663"/>
      <c r="Z298" s="663"/>
    </row>
    <row r="299">
      <c r="A299" s="670"/>
      <c r="B299" s="671"/>
      <c r="C299" s="672"/>
      <c r="D299" s="673"/>
      <c r="E299" s="663"/>
      <c r="F299" s="663"/>
      <c r="G299" s="663"/>
      <c r="H299" s="663"/>
      <c r="I299" s="663"/>
      <c r="J299" s="663"/>
      <c r="K299" s="663"/>
      <c r="L299" s="663"/>
      <c r="M299" s="663"/>
      <c r="N299" s="663"/>
      <c r="O299" s="663"/>
      <c r="P299" s="663"/>
      <c r="Q299" s="663"/>
      <c r="R299" s="663"/>
      <c r="S299" s="663"/>
      <c r="T299" s="663"/>
      <c r="U299" s="663"/>
      <c r="V299" s="663"/>
      <c r="W299" s="663"/>
      <c r="X299" s="663"/>
      <c r="Y299" s="663"/>
      <c r="Z299" s="663"/>
    </row>
    <row r="300">
      <c r="A300" s="670"/>
      <c r="B300" s="671"/>
      <c r="C300" s="672"/>
      <c r="D300" s="673"/>
      <c r="E300" s="663"/>
      <c r="F300" s="663"/>
      <c r="G300" s="663"/>
      <c r="H300" s="663"/>
      <c r="I300" s="663"/>
      <c r="J300" s="663"/>
      <c r="K300" s="663"/>
      <c r="L300" s="663"/>
      <c r="M300" s="663"/>
      <c r="N300" s="663"/>
      <c r="O300" s="663"/>
      <c r="P300" s="663"/>
      <c r="Q300" s="663"/>
      <c r="R300" s="663"/>
      <c r="S300" s="663"/>
      <c r="T300" s="663"/>
      <c r="U300" s="663"/>
      <c r="V300" s="663"/>
      <c r="W300" s="663"/>
      <c r="X300" s="663"/>
      <c r="Y300" s="663"/>
      <c r="Z300" s="663"/>
    </row>
    <row r="301">
      <c r="A301" s="670"/>
      <c r="B301" s="671"/>
      <c r="C301" s="672"/>
      <c r="D301" s="673"/>
      <c r="E301" s="663"/>
      <c r="F301" s="663"/>
      <c r="G301" s="663"/>
      <c r="H301" s="663"/>
      <c r="I301" s="663"/>
      <c r="J301" s="663"/>
      <c r="K301" s="663"/>
      <c r="L301" s="663"/>
      <c r="M301" s="663"/>
      <c r="N301" s="663"/>
      <c r="O301" s="663"/>
      <c r="P301" s="663"/>
      <c r="Q301" s="663"/>
      <c r="R301" s="663"/>
      <c r="S301" s="663"/>
      <c r="T301" s="663"/>
      <c r="U301" s="663"/>
      <c r="V301" s="663"/>
      <c r="W301" s="663"/>
      <c r="X301" s="663"/>
      <c r="Y301" s="663"/>
      <c r="Z301" s="663"/>
    </row>
    <row r="302">
      <c r="A302" s="670"/>
      <c r="B302" s="671"/>
      <c r="C302" s="672"/>
      <c r="D302" s="673"/>
      <c r="E302" s="663"/>
      <c r="F302" s="663"/>
      <c r="G302" s="663"/>
      <c r="H302" s="663"/>
      <c r="I302" s="663"/>
      <c r="J302" s="663"/>
      <c r="K302" s="663"/>
      <c r="L302" s="663"/>
      <c r="M302" s="663"/>
      <c r="N302" s="663"/>
      <c r="O302" s="663"/>
      <c r="P302" s="663"/>
      <c r="Q302" s="663"/>
      <c r="R302" s="663"/>
      <c r="S302" s="663"/>
      <c r="T302" s="663"/>
      <c r="U302" s="663"/>
      <c r="V302" s="663"/>
      <c r="W302" s="663"/>
      <c r="X302" s="663"/>
      <c r="Y302" s="663"/>
      <c r="Z302" s="663"/>
    </row>
    <row r="303">
      <c r="A303" s="670"/>
      <c r="B303" s="671"/>
      <c r="C303" s="672"/>
      <c r="D303" s="673"/>
      <c r="E303" s="663"/>
      <c r="F303" s="663"/>
      <c r="G303" s="663"/>
      <c r="H303" s="663"/>
      <c r="I303" s="663"/>
      <c r="J303" s="663"/>
      <c r="K303" s="663"/>
      <c r="L303" s="663"/>
      <c r="M303" s="663"/>
      <c r="N303" s="663"/>
      <c r="O303" s="663"/>
      <c r="P303" s="663"/>
      <c r="Q303" s="663"/>
      <c r="R303" s="663"/>
      <c r="S303" s="663"/>
      <c r="T303" s="663"/>
      <c r="U303" s="663"/>
      <c r="V303" s="663"/>
      <c r="W303" s="663"/>
      <c r="X303" s="663"/>
      <c r="Y303" s="663"/>
      <c r="Z303" s="663"/>
    </row>
    <row r="304">
      <c r="A304" s="670"/>
      <c r="B304" s="671"/>
      <c r="C304" s="672"/>
      <c r="D304" s="673"/>
      <c r="E304" s="663"/>
      <c r="F304" s="663"/>
      <c r="G304" s="663"/>
      <c r="H304" s="663"/>
      <c r="I304" s="663"/>
      <c r="J304" s="663"/>
      <c r="K304" s="663"/>
      <c r="L304" s="663"/>
      <c r="M304" s="663"/>
      <c r="N304" s="663"/>
      <c r="O304" s="663"/>
      <c r="P304" s="663"/>
      <c r="Q304" s="663"/>
      <c r="R304" s="663"/>
      <c r="S304" s="663"/>
      <c r="T304" s="663"/>
      <c r="U304" s="663"/>
      <c r="V304" s="663"/>
      <c r="W304" s="663"/>
      <c r="X304" s="663"/>
      <c r="Y304" s="663"/>
      <c r="Z304" s="663"/>
    </row>
    <row r="305">
      <c r="A305" s="670"/>
      <c r="B305" s="671"/>
      <c r="C305" s="672"/>
      <c r="D305" s="673"/>
      <c r="E305" s="663"/>
      <c r="F305" s="663"/>
      <c r="G305" s="663"/>
      <c r="H305" s="663"/>
      <c r="I305" s="663"/>
      <c r="J305" s="663"/>
      <c r="K305" s="663"/>
      <c r="L305" s="663"/>
      <c r="M305" s="663"/>
      <c r="N305" s="663"/>
      <c r="O305" s="663"/>
      <c r="P305" s="663"/>
      <c r="Q305" s="663"/>
      <c r="R305" s="663"/>
      <c r="S305" s="663"/>
      <c r="T305" s="663"/>
      <c r="U305" s="663"/>
      <c r="V305" s="663"/>
      <c r="W305" s="663"/>
      <c r="X305" s="663"/>
      <c r="Y305" s="663"/>
      <c r="Z305" s="663"/>
    </row>
    <row r="306">
      <c r="A306" s="670"/>
      <c r="B306" s="671"/>
      <c r="C306" s="672"/>
      <c r="D306" s="673"/>
      <c r="E306" s="663"/>
      <c r="F306" s="663"/>
      <c r="G306" s="663"/>
      <c r="H306" s="663"/>
      <c r="I306" s="663"/>
      <c r="J306" s="663"/>
      <c r="K306" s="663"/>
      <c r="L306" s="663"/>
      <c r="M306" s="663"/>
      <c r="N306" s="663"/>
      <c r="O306" s="663"/>
      <c r="P306" s="663"/>
      <c r="Q306" s="663"/>
      <c r="R306" s="663"/>
      <c r="S306" s="663"/>
      <c r="T306" s="663"/>
      <c r="U306" s="663"/>
      <c r="V306" s="663"/>
      <c r="W306" s="663"/>
      <c r="X306" s="663"/>
      <c r="Y306" s="663"/>
      <c r="Z306" s="663"/>
    </row>
    <row r="307">
      <c r="A307" s="670"/>
      <c r="B307" s="671"/>
      <c r="C307" s="672"/>
      <c r="D307" s="673"/>
      <c r="E307" s="663"/>
      <c r="F307" s="663"/>
      <c r="G307" s="663"/>
      <c r="H307" s="663"/>
      <c r="I307" s="663"/>
      <c r="J307" s="663"/>
      <c r="K307" s="663"/>
      <c r="L307" s="663"/>
      <c r="M307" s="663"/>
      <c r="N307" s="663"/>
      <c r="O307" s="663"/>
      <c r="P307" s="663"/>
      <c r="Q307" s="663"/>
      <c r="R307" s="663"/>
      <c r="S307" s="663"/>
      <c r="T307" s="663"/>
      <c r="U307" s="663"/>
      <c r="V307" s="663"/>
      <c r="W307" s="663"/>
      <c r="X307" s="663"/>
      <c r="Y307" s="663"/>
      <c r="Z307" s="663"/>
    </row>
    <row r="308">
      <c r="A308" s="670"/>
      <c r="B308" s="671"/>
      <c r="C308" s="672"/>
      <c r="D308" s="673"/>
      <c r="E308" s="663"/>
      <c r="F308" s="663"/>
      <c r="G308" s="663"/>
      <c r="H308" s="663"/>
      <c r="I308" s="663"/>
      <c r="J308" s="663"/>
      <c r="K308" s="663"/>
      <c r="L308" s="663"/>
      <c r="M308" s="663"/>
      <c r="N308" s="663"/>
      <c r="O308" s="663"/>
      <c r="P308" s="663"/>
      <c r="Q308" s="663"/>
      <c r="R308" s="663"/>
      <c r="S308" s="663"/>
      <c r="T308" s="663"/>
      <c r="U308" s="663"/>
      <c r="V308" s="663"/>
      <c r="W308" s="663"/>
      <c r="X308" s="663"/>
      <c r="Y308" s="663"/>
      <c r="Z308" s="663"/>
    </row>
    <row r="309">
      <c r="A309" s="670"/>
      <c r="B309" s="671"/>
      <c r="C309" s="672"/>
      <c r="D309" s="673"/>
      <c r="E309" s="663"/>
      <c r="F309" s="663"/>
      <c r="G309" s="663"/>
      <c r="H309" s="663"/>
      <c r="I309" s="663"/>
      <c r="J309" s="663"/>
      <c r="K309" s="663"/>
      <c r="L309" s="663"/>
      <c r="M309" s="663"/>
      <c r="N309" s="663"/>
      <c r="O309" s="663"/>
      <c r="P309" s="663"/>
      <c r="Q309" s="663"/>
      <c r="R309" s="663"/>
      <c r="S309" s="663"/>
      <c r="T309" s="663"/>
      <c r="U309" s="663"/>
      <c r="V309" s="663"/>
      <c r="W309" s="663"/>
      <c r="X309" s="663"/>
      <c r="Y309" s="663"/>
      <c r="Z309" s="663"/>
    </row>
    <row r="310">
      <c r="A310" s="670"/>
      <c r="B310" s="671"/>
      <c r="C310" s="672"/>
      <c r="D310" s="673"/>
      <c r="E310" s="663"/>
      <c r="F310" s="663"/>
      <c r="G310" s="663"/>
      <c r="H310" s="663"/>
      <c r="I310" s="663"/>
      <c r="J310" s="663"/>
      <c r="K310" s="663"/>
      <c r="L310" s="663"/>
      <c r="M310" s="663"/>
      <c r="N310" s="663"/>
      <c r="O310" s="663"/>
      <c r="P310" s="663"/>
      <c r="Q310" s="663"/>
      <c r="R310" s="663"/>
      <c r="S310" s="663"/>
      <c r="T310" s="663"/>
      <c r="U310" s="663"/>
      <c r="V310" s="663"/>
      <c r="W310" s="663"/>
      <c r="X310" s="663"/>
      <c r="Y310" s="663"/>
      <c r="Z310" s="663"/>
    </row>
    <row r="311">
      <c r="A311" s="670"/>
      <c r="B311" s="671"/>
      <c r="C311" s="672"/>
      <c r="D311" s="673"/>
      <c r="E311" s="663"/>
      <c r="F311" s="663"/>
      <c r="G311" s="663"/>
      <c r="H311" s="663"/>
      <c r="I311" s="663"/>
      <c r="J311" s="663"/>
      <c r="K311" s="663"/>
      <c r="L311" s="663"/>
      <c r="M311" s="663"/>
      <c r="N311" s="663"/>
      <c r="O311" s="663"/>
      <c r="P311" s="663"/>
      <c r="Q311" s="663"/>
      <c r="R311" s="663"/>
      <c r="S311" s="663"/>
      <c r="T311" s="663"/>
      <c r="U311" s="663"/>
      <c r="V311" s="663"/>
      <c r="W311" s="663"/>
      <c r="X311" s="663"/>
      <c r="Y311" s="663"/>
      <c r="Z311" s="663"/>
    </row>
    <row r="312">
      <c r="A312" s="670"/>
      <c r="B312" s="671"/>
      <c r="C312" s="672"/>
      <c r="D312" s="673"/>
      <c r="E312" s="663"/>
      <c r="F312" s="663"/>
      <c r="G312" s="663"/>
      <c r="H312" s="663"/>
      <c r="I312" s="663"/>
      <c r="J312" s="663"/>
      <c r="K312" s="663"/>
      <c r="L312" s="663"/>
      <c r="M312" s="663"/>
      <c r="N312" s="663"/>
      <c r="O312" s="663"/>
      <c r="P312" s="663"/>
      <c r="Q312" s="663"/>
      <c r="R312" s="663"/>
      <c r="S312" s="663"/>
      <c r="T312" s="663"/>
      <c r="U312" s="663"/>
      <c r="V312" s="663"/>
      <c r="W312" s="663"/>
      <c r="X312" s="663"/>
      <c r="Y312" s="663"/>
      <c r="Z312" s="663"/>
    </row>
    <row r="313">
      <c r="A313" s="670"/>
      <c r="B313" s="671"/>
      <c r="C313" s="672"/>
      <c r="D313" s="673"/>
      <c r="E313" s="663"/>
      <c r="F313" s="663"/>
      <c r="G313" s="663"/>
      <c r="H313" s="663"/>
      <c r="I313" s="663"/>
      <c r="J313" s="663"/>
      <c r="K313" s="663"/>
      <c r="L313" s="663"/>
      <c r="M313" s="663"/>
      <c r="N313" s="663"/>
      <c r="O313" s="663"/>
      <c r="P313" s="663"/>
      <c r="Q313" s="663"/>
      <c r="R313" s="663"/>
      <c r="S313" s="663"/>
      <c r="T313" s="663"/>
      <c r="U313" s="663"/>
      <c r="V313" s="663"/>
      <c r="W313" s="663"/>
      <c r="X313" s="663"/>
      <c r="Y313" s="663"/>
      <c r="Z313" s="663"/>
    </row>
    <row r="314">
      <c r="A314" s="670"/>
      <c r="B314" s="671"/>
      <c r="C314" s="672"/>
      <c r="D314" s="673"/>
      <c r="E314" s="663"/>
      <c r="F314" s="663"/>
      <c r="G314" s="663"/>
      <c r="H314" s="663"/>
      <c r="I314" s="663"/>
      <c r="J314" s="663"/>
      <c r="K314" s="663"/>
      <c r="L314" s="663"/>
      <c r="M314" s="663"/>
      <c r="N314" s="663"/>
      <c r="O314" s="663"/>
      <c r="P314" s="663"/>
      <c r="Q314" s="663"/>
      <c r="R314" s="663"/>
      <c r="S314" s="663"/>
      <c r="T314" s="663"/>
      <c r="U314" s="663"/>
      <c r="V314" s="663"/>
      <c r="W314" s="663"/>
      <c r="X314" s="663"/>
      <c r="Y314" s="663"/>
      <c r="Z314" s="663"/>
    </row>
    <row r="315">
      <c r="A315" s="670"/>
      <c r="B315" s="671"/>
      <c r="C315" s="672"/>
      <c r="D315" s="673"/>
      <c r="E315" s="663"/>
      <c r="F315" s="663"/>
      <c r="G315" s="663"/>
      <c r="H315" s="663"/>
      <c r="I315" s="663"/>
      <c r="J315" s="663"/>
      <c r="K315" s="663"/>
      <c r="L315" s="663"/>
      <c r="M315" s="663"/>
      <c r="N315" s="663"/>
      <c r="O315" s="663"/>
      <c r="P315" s="663"/>
      <c r="Q315" s="663"/>
      <c r="R315" s="663"/>
      <c r="S315" s="663"/>
      <c r="T315" s="663"/>
      <c r="U315" s="663"/>
      <c r="V315" s="663"/>
      <c r="W315" s="663"/>
      <c r="X315" s="663"/>
      <c r="Y315" s="663"/>
      <c r="Z315" s="663"/>
    </row>
    <row r="316">
      <c r="A316" s="670"/>
      <c r="B316" s="671"/>
      <c r="C316" s="672"/>
      <c r="D316" s="673"/>
      <c r="E316" s="663"/>
      <c r="F316" s="663"/>
      <c r="G316" s="663"/>
      <c r="H316" s="663"/>
      <c r="I316" s="663"/>
      <c r="J316" s="663"/>
      <c r="K316" s="663"/>
      <c r="L316" s="663"/>
      <c r="M316" s="663"/>
      <c r="N316" s="663"/>
      <c r="O316" s="663"/>
      <c r="P316" s="663"/>
      <c r="Q316" s="663"/>
      <c r="R316" s="663"/>
      <c r="S316" s="663"/>
      <c r="T316" s="663"/>
      <c r="U316" s="663"/>
      <c r="V316" s="663"/>
      <c r="W316" s="663"/>
      <c r="X316" s="663"/>
      <c r="Y316" s="663"/>
      <c r="Z316" s="663"/>
    </row>
    <row r="317">
      <c r="A317" s="670"/>
      <c r="B317" s="671"/>
      <c r="C317" s="672"/>
      <c r="D317" s="673"/>
      <c r="E317" s="663"/>
      <c r="F317" s="663"/>
      <c r="G317" s="663"/>
      <c r="H317" s="663"/>
      <c r="I317" s="663"/>
      <c r="J317" s="663"/>
      <c r="K317" s="663"/>
      <c r="L317" s="663"/>
      <c r="M317" s="663"/>
      <c r="N317" s="663"/>
      <c r="O317" s="663"/>
      <c r="P317" s="663"/>
      <c r="Q317" s="663"/>
      <c r="R317" s="663"/>
      <c r="S317" s="663"/>
      <c r="T317" s="663"/>
      <c r="U317" s="663"/>
      <c r="V317" s="663"/>
      <c r="W317" s="663"/>
      <c r="X317" s="663"/>
      <c r="Y317" s="663"/>
      <c r="Z317" s="663"/>
    </row>
    <row r="318">
      <c r="A318" s="670"/>
      <c r="B318" s="671"/>
      <c r="C318" s="672"/>
      <c r="D318" s="673"/>
      <c r="E318" s="663"/>
      <c r="F318" s="663"/>
      <c r="G318" s="663"/>
      <c r="H318" s="663"/>
      <c r="I318" s="663"/>
      <c r="J318" s="663"/>
      <c r="K318" s="663"/>
      <c r="L318" s="663"/>
      <c r="M318" s="663"/>
      <c r="N318" s="663"/>
      <c r="O318" s="663"/>
      <c r="P318" s="663"/>
      <c r="Q318" s="663"/>
      <c r="R318" s="663"/>
      <c r="S318" s="663"/>
      <c r="T318" s="663"/>
      <c r="U318" s="663"/>
      <c r="V318" s="663"/>
      <c r="W318" s="663"/>
      <c r="X318" s="663"/>
      <c r="Y318" s="663"/>
      <c r="Z318" s="663"/>
    </row>
    <row r="319">
      <c r="A319" s="670"/>
      <c r="B319" s="671"/>
      <c r="C319" s="672"/>
      <c r="D319" s="673"/>
      <c r="E319" s="663"/>
      <c r="F319" s="663"/>
      <c r="G319" s="663"/>
      <c r="H319" s="663"/>
      <c r="I319" s="663"/>
      <c r="J319" s="663"/>
      <c r="K319" s="663"/>
      <c r="L319" s="663"/>
      <c r="M319" s="663"/>
      <c r="N319" s="663"/>
      <c r="O319" s="663"/>
      <c r="P319" s="663"/>
      <c r="Q319" s="663"/>
      <c r="R319" s="663"/>
      <c r="S319" s="663"/>
      <c r="T319" s="663"/>
      <c r="U319" s="663"/>
      <c r="V319" s="663"/>
      <c r="W319" s="663"/>
      <c r="X319" s="663"/>
      <c r="Y319" s="663"/>
      <c r="Z319" s="663"/>
    </row>
    <row r="320">
      <c r="A320" s="670"/>
      <c r="B320" s="671"/>
      <c r="C320" s="672"/>
      <c r="D320" s="673"/>
      <c r="E320" s="663"/>
      <c r="F320" s="663"/>
      <c r="G320" s="663"/>
      <c r="H320" s="663"/>
      <c r="I320" s="663"/>
      <c r="J320" s="663"/>
      <c r="K320" s="663"/>
      <c r="L320" s="663"/>
      <c r="M320" s="663"/>
      <c r="N320" s="663"/>
      <c r="O320" s="663"/>
      <c r="P320" s="663"/>
      <c r="Q320" s="663"/>
      <c r="R320" s="663"/>
      <c r="S320" s="663"/>
      <c r="T320" s="663"/>
      <c r="U320" s="663"/>
      <c r="V320" s="663"/>
      <c r="W320" s="663"/>
      <c r="X320" s="663"/>
      <c r="Y320" s="663"/>
      <c r="Z320" s="663"/>
    </row>
    <row r="321">
      <c r="A321" s="670"/>
      <c r="B321" s="671"/>
      <c r="C321" s="672"/>
      <c r="D321" s="673"/>
      <c r="E321" s="663"/>
      <c r="F321" s="663"/>
      <c r="G321" s="663"/>
      <c r="H321" s="663"/>
      <c r="I321" s="663"/>
      <c r="J321" s="663"/>
      <c r="K321" s="663"/>
      <c r="L321" s="663"/>
      <c r="M321" s="663"/>
      <c r="N321" s="663"/>
      <c r="O321" s="663"/>
      <c r="P321" s="663"/>
      <c r="Q321" s="663"/>
      <c r="R321" s="663"/>
      <c r="S321" s="663"/>
      <c r="T321" s="663"/>
      <c r="U321" s="663"/>
      <c r="V321" s="663"/>
      <c r="W321" s="663"/>
      <c r="X321" s="663"/>
      <c r="Y321" s="663"/>
      <c r="Z321" s="663"/>
    </row>
    <row r="322">
      <c r="A322" s="670"/>
      <c r="B322" s="671"/>
      <c r="C322" s="672"/>
      <c r="D322" s="673"/>
      <c r="E322" s="663"/>
      <c r="F322" s="663"/>
      <c r="G322" s="663"/>
      <c r="H322" s="663"/>
      <c r="I322" s="663"/>
      <c r="J322" s="663"/>
      <c r="K322" s="663"/>
      <c r="L322" s="663"/>
      <c r="M322" s="663"/>
      <c r="N322" s="663"/>
      <c r="O322" s="663"/>
      <c r="P322" s="663"/>
      <c r="Q322" s="663"/>
      <c r="R322" s="663"/>
      <c r="S322" s="663"/>
      <c r="T322" s="663"/>
      <c r="U322" s="663"/>
      <c r="V322" s="663"/>
      <c r="W322" s="663"/>
      <c r="X322" s="663"/>
      <c r="Y322" s="663"/>
      <c r="Z322" s="663"/>
    </row>
    <row r="323">
      <c r="A323" s="670"/>
      <c r="B323" s="671"/>
      <c r="C323" s="672"/>
      <c r="D323" s="673"/>
      <c r="E323" s="663"/>
      <c r="F323" s="663"/>
      <c r="G323" s="663"/>
      <c r="H323" s="663"/>
      <c r="I323" s="663"/>
      <c r="J323" s="663"/>
      <c r="K323" s="663"/>
      <c r="L323" s="663"/>
      <c r="M323" s="663"/>
      <c r="N323" s="663"/>
      <c r="O323" s="663"/>
      <c r="P323" s="663"/>
      <c r="Q323" s="663"/>
      <c r="R323" s="663"/>
      <c r="S323" s="663"/>
      <c r="T323" s="663"/>
      <c r="U323" s="663"/>
      <c r="V323" s="663"/>
      <c r="W323" s="663"/>
      <c r="X323" s="663"/>
      <c r="Y323" s="663"/>
      <c r="Z323" s="663"/>
    </row>
    <row r="324">
      <c r="A324" s="670"/>
      <c r="B324" s="671"/>
      <c r="C324" s="672"/>
      <c r="D324" s="673"/>
      <c r="E324" s="663"/>
      <c r="F324" s="663"/>
      <c r="G324" s="663"/>
      <c r="H324" s="663"/>
      <c r="I324" s="663"/>
      <c r="J324" s="663"/>
      <c r="K324" s="663"/>
      <c r="L324" s="663"/>
      <c r="M324" s="663"/>
      <c r="N324" s="663"/>
      <c r="O324" s="663"/>
      <c r="P324" s="663"/>
      <c r="Q324" s="663"/>
      <c r="R324" s="663"/>
      <c r="S324" s="663"/>
      <c r="T324" s="663"/>
      <c r="U324" s="663"/>
      <c r="V324" s="663"/>
      <c r="W324" s="663"/>
      <c r="X324" s="663"/>
      <c r="Y324" s="663"/>
      <c r="Z324" s="663"/>
    </row>
    <row r="325">
      <c r="A325" s="670"/>
      <c r="B325" s="671"/>
      <c r="C325" s="672"/>
      <c r="D325" s="673"/>
      <c r="E325" s="663"/>
      <c r="F325" s="663"/>
      <c r="G325" s="663"/>
      <c r="H325" s="663"/>
      <c r="I325" s="663"/>
      <c r="J325" s="663"/>
      <c r="K325" s="663"/>
      <c r="L325" s="663"/>
      <c r="M325" s="663"/>
      <c r="N325" s="663"/>
      <c r="O325" s="663"/>
      <c r="P325" s="663"/>
      <c r="Q325" s="663"/>
      <c r="R325" s="663"/>
      <c r="S325" s="663"/>
      <c r="T325" s="663"/>
      <c r="U325" s="663"/>
      <c r="V325" s="663"/>
      <c r="W325" s="663"/>
      <c r="X325" s="663"/>
      <c r="Y325" s="663"/>
      <c r="Z325" s="663"/>
    </row>
    <row r="326">
      <c r="A326" s="670"/>
      <c r="B326" s="671"/>
      <c r="C326" s="672"/>
      <c r="D326" s="673"/>
      <c r="E326" s="663"/>
      <c r="F326" s="663"/>
      <c r="G326" s="663"/>
      <c r="H326" s="663"/>
      <c r="I326" s="663"/>
      <c r="J326" s="663"/>
      <c r="K326" s="663"/>
      <c r="L326" s="663"/>
      <c r="M326" s="663"/>
      <c r="N326" s="663"/>
      <c r="O326" s="663"/>
      <c r="P326" s="663"/>
      <c r="Q326" s="663"/>
      <c r="R326" s="663"/>
      <c r="S326" s="663"/>
      <c r="T326" s="663"/>
      <c r="U326" s="663"/>
      <c r="V326" s="663"/>
      <c r="W326" s="663"/>
      <c r="X326" s="663"/>
      <c r="Y326" s="663"/>
      <c r="Z326" s="663"/>
    </row>
    <row r="327">
      <c r="A327" s="670"/>
      <c r="B327" s="671"/>
      <c r="C327" s="672"/>
      <c r="D327" s="673"/>
      <c r="E327" s="663"/>
      <c r="F327" s="663"/>
      <c r="G327" s="663"/>
      <c r="H327" s="663"/>
      <c r="I327" s="663"/>
      <c r="J327" s="663"/>
      <c r="K327" s="663"/>
      <c r="L327" s="663"/>
      <c r="M327" s="663"/>
      <c r="N327" s="663"/>
      <c r="O327" s="663"/>
      <c r="P327" s="663"/>
      <c r="Q327" s="663"/>
      <c r="R327" s="663"/>
      <c r="S327" s="663"/>
      <c r="T327" s="663"/>
      <c r="U327" s="663"/>
      <c r="V327" s="663"/>
      <c r="W327" s="663"/>
      <c r="X327" s="663"/>
      <c r="Y327" s="663"/>
      <c r="Z327" s="663"/>
    </row>
    <row r="328">
      <c r="A328" s="670"/>
      <c r="B328" s="671"/>
      <c r="C328" s="672"/>
      <c r="D328" s="673"/>
      <c r="E328" s="663"/>
      <c r="F328" s="663"/>
      <c r="G328" s="663"/>
      <c r="H328" s="663"/>
      <c r="I328" s="663"/>
      <c r="J328" s="663"/>
      <c r="K328" s="663"/>
      <c r="L328" s="663"/>
      <c r="M328" s="663"/>
      <c r="N328" s="663"/>
      <c r="O328" s="663"/>
      <c r="P328" s="663"/>
      <c r="Q328" s="663"/>
      <c r="R328" s="663"/>
      <c r="S328" s="663"/>
      <c r="T328" s="663"/>
      <c r="U328" s="663"/>
      <c r="V328" s="663"/>
      <c r="W328" s="663"/>
      <c r="X328" s="663"/>
      <c r="Y328" s="663"/>
      <c r="Z328" s="663"/>
    </row>
    <row r="329">
      <c r="A329" s="670"/>
      <c r="B329" s="671"/>
      <c r="C329" s="672"/>
      <c r="D329" s="673"/>
      <c r="E329" s="663"/>
      <c r="F329" s="663"/>
      <c r="G329" s="663"/>
      <c r="H329" s="663"/>
      <c r="I329" s="663"/>
      <c r="J329" s="663"/>
      <c r="K329" s="663"/>
      <c r="L329" s="663"/>
      <c r="M329" s="663"/>
      <c r="N329" s="663"/>
      <c r="O329" s="663"/>
      <c r="P329" s="663"/>
      <c r="Q329" s="663"/>
      <c r="R329" s="663"/>
      <c r="S329" s="663"/>
      <c r="T329" s="663"/>
      <c r="U329" s="663"/>
      <c r="V329" s="663"/>
      <c r="W329" s="663"/>
      <c r="X329" s="663"/>
      <c r="Y329" s="663"/>
      <c r="Z329" s="663"/>
    </row>
    <row r="330">
      <c r="A330" s="670"/>
      <c r="B330" s="671"/>
      <c r="C330" s="672"/>
      <c r="D330" s="673"/>
      <c r="E330" s="663"/>
      <c r="F330" s="663"/>
      <c r="G330" s="663"/>
      <c r="H330" s="663"/>
      <c r="I330" s="663"/>
      <c r="J330" s="663"/>
      <c r="K330" s="663"/>
      <c r="L330" s="663"/>
      <c r="M330" s="663"/>
      <c r="N330" s="663"/>
      <c r="O330" s="663"/>
      <c r="P330" s="663"/>
      <c r="Q330" s="663"/>
      <c r="R330" s="663"/>
      <c r="S330" s="663"/>
      <c r="T330" s="663"/>
      <c r="U330" s="663"/>
      <c r="V330" s="663"/>
      <c r="W330" s="663"/>
      <c r="X330" s="663"/>
      <c r="Y330" s="663"/>
      <c r="Z330" s="663"/>
    </row>
    <row r="331">
      <c r="A331" s="670"/>
      <c r="B331" s="671"/>
      <c r="C331" s="672"/>
      <c r="D331" s="673"/>
      <c r="E331" s="663"/>
      <c r="F331" s="663"/>
      <c r="G331" s="663"/>
      <c r="H331" s="663"/>
      <c r="I331" s="663"/>
      <c r="J331" s="663"/>
      <c r="K331" s="663"/>
      <c r="L331" s="663"/>
      <c r="M331" s="663"/>
      <c r="N331" s="663"/>
      <c r="O331" s="663"/>
      <c r="P331" s="663"/>
      <c r="Q331" s="663"/>
      <c r="R331" s="663"/>
      <c r="S331" s="663"/>
      <c r="T331" s="663"/>
      <c r="U331" s="663"/>
      <c r="V331" s="663"/>
      <c r="W331" s="663"/>
      <c r="X331" s="663"/>
      <c r="Y331" s="663"/>
      <c r="Z331" s="663"/>
    </row>
    <row r="332">
      <c r="A332" s="670"/>
      <c r="B332" s="671"/>
      <c r="C332" s="672"/>
      <c r="D332" s="673"/>
      <c r="E332" s="663"/>
      <c r="F332" s="663"/>
      <c r="G332" s="663"/>
      <c r="H332" s="663"/>
      <c r="I332" s="663"/>
      <c r="J332" s="663"/>
      <c r="K332" s="663"/>
      <c r="L332" s="663"/>
      <c r="M332" s="663"/>
      <c r="N332" s="663"/>
      <c r="O332" s="663"/>
      <c r="P332" s="663"/>
      <c r="Q332" s="663"/>
      <c r="R332" s="663"/>
      <c r="S332" s="663"/>
      <c r="T332" s="663"/>
      <c r="U332" s="663"/>
      <c r="V332" s="663"/>
      <c r="W332" s="663"/>
      <c r="X332" s="663"/>
      <c r="Y332" s="663"/>
      <c r="Z332" s="663"/>
    </row>
    <row r="333">
      <c r="A333" s="670"/>
      <c r="B333" s="671"/>
      <c r="C333" s="672"/>
      <c r="D333" s="673"/>
      <c r="E333" s="663"/>
      <c r="F333" s="663"/>
      <c r="G333" s="663"/>
      <c r="H333" s="663"/>
      <c r="I333" s="663"/>
      <c r="J333" s="663"/>
      <c r="K333" s="663"/>
      <c r="L333" s="663"/>
      <c r="M333" s="663"/>
      <c r="N333" s="663"/>
      <c r="O333" s="663"/>
      <c r="P333" s="663"/>
      <c r="Q333" s="663"/>
      <c r="R333" s="663"/>
      <c r="S333" s="663"/>
      <c r="T333" s="663"/>
      <c r="U333" s="663"/>
      <c r="V333" s="663"/>
      <c r="W333" s="663"/>
      <c r="X333" s="663"/>
      <c r="Y333" s="663"/>
      <c r="Z333" s="663"/>
    </row>
    <row r="334">
      <c r="A334" s="670"/>
      <c r="B334" s="671"/>
      <c r="C334" s="672"/>
      <c r="D334" s="673"/>
      <c r="E334" s="663"/>
      <c r="F334" s="663"/>
      <c r="G334" s="663"/>
      <c r="H334" s="663"/>
      <c r="I334" s="663"/>
      <c r="J334" s="663"/>
      <c r="K334" s="663"/>
      <c r="L334" s="663"/>
      <c r="M334" s="663"/>
      <c r="N334" s="663"/>
      <c r="O334" s="663"/>
      <c r="P334" s="663"/>
      <c r="Q334" s="663"/>
      <c r="R334" s="663"/>
      <c r="S334" s="663"/>
      <c r="T334" s="663"/>
      <c r="U334" s="663"/>
      <c r="V334" s="663"/>
      <c r="W334" s="663"/>
      <c r="X334" s="663"/>
      <c r="Y334" s="663"/>
      <c r="Z334" s="663"/>
    </row>
    <row r="335">
      <c r="A335" s="670"/>
      <c r="B335" s="671"/>
      <c r="C335" s="672"/>
      <c r="D335" s="673"/>
      <c r="E335" s="663"/>
      <c r="F335" s="663"/>
      <c r="G335" s="663"/>
      <c r="H335" s="663"/>
      <c r="I335" s="663"/>
      <c r="J335" s="663"/>
      <c r="K335" s="663"/>
      <c r="L335" s="663"/>
      <c r="M335" s="663"/>
      <c r="N335" s="663"/>
      <c r="O335" s="663"/>
      <c r="P335" s="663"/>
      <c r="Q335" s="663"/>
      <c r="R335" s="663"/>
      <c r="S335" s="663"/>
      <c r="T335" s="663"/>
      <c r="U335" s="663"/>
      <c r="V335" s="663"/>
      <c r="W335" s="663"/>
      <c r="X335" s="663"/>
      <c r="Y335" s="663"/>
      <c r="Z335" s="663"/>
    </row>
    <row r="336">
      <c r="A336" s="670"/>
      <c r="B336" s="671"/>
      <c r="C336" s="672"/>
      <c r="D336" s="673"/>
      <c r="E336" s="663"/>
      <c r="F336" s="663"/>
      <c r="G336" s="663"/>
      <c r="H336" s="663"/>
      <c r="I336" s="663"/>
      <c r="J336" s="663"/>
      <c r="K336" s="663"/>
      <c r="L336" s="663"/>
      <c r="M336" s="663"/>
      <c r="N336" s="663"/>
      <c r="O336" s="663"/>
      <c r="P336" s="663"/>
      <c r="Q336" s="663"/>
      <c r="R336" s="663"/>
      <c r="S336" s="663"/>
      <c r="T336" s="663"/>
      <c r="U336" s="663"/>
      <c r="V336" s="663"/>
      <c r="W336" s="663"/>
      <c r="X336" s="663"/>
      <c r="Y336" s="663"/>
      <c r="Z336" s="663"/>
    </row>
    <row r="337">
      <c r="A337" s="670"/>
      <c r="B337" s="671"/>
      <c r="C337" s="672"/>
      <c r="D337" s="673"/>
      <c r="E337" s="663"/>
      <c r="F337" s="663"/>
      <c r="G337" s="663"/>
      <c r="H337" s="663"/>
      <c r="I337" s="663"/>
      <c r="J337" s="663"/>
      <c r="K337" s="663"/>
      <c r="L337" s="663"/>
      <c r="M337" s="663"/>
      <c r="N337" s="663"/>
      <c r="O337" s="663"/>
      <c r="P337" s="663"/>
      <c r="Q337" s="663"/>
      <c r="R337" s="663"/>
      <c r="S337" s="663"/>
      <c r="T337" s="663"/>
      <c r="U337" s="663"/>
      <c r="V337" s="663"/>
      <c r="W337" s="663"/>
      <c r="X337" s="663"/>
      <c r="Y337" s="663"/>
      <c r="Z337" s="663"/>
    </row>
    <row r="338">
      <c r="A338" s="670"/>
      <c r="B338" s="671"/>
      <c r="C338" s="672"/>
      <c r="D338" s="673"/>
      <c r="E338" s="663"/>
      <c r="F338" s="663"/>
      <c r="G338" s="663"/>
      <c r="H338" s="663"/>
      <c r="I338" s="663"/>
      <c r="J338" s="663"/>
      <c r="K338" s="663"/>
      <c r="L338" s="663"/>
      <c r="M338" s="663"/>
      <c r="N338" s="663"/>
      <c r="O338" s="663"/>
      <c r="P338" s="663"/>
      <c r="Q338" s="663"/>
      <c r="R338" s="663"/>
      <c r="S338" s="663"/>
      <c r="T338" s="663"/>
      <c r="U338" s="663"/>
      <c r="V338" s="663"/>
      <c r="W338" s="663"/>
      <c r="X338" s="663"/>
      <c r="Y338" s="663"/>
      <c r="Z338" s="663"/>
    </row>
    <row r="339">
      <c r="A339" s="670"/>
      <c r="B339" s="671"/>
      <c r="C339" s="672"/>
      <c r="D339" s="673"/>
      <c r="E339" s="663"/>
      <c r="F339" s="663"/>
      <c r="G339" s="663"/>
      <c r="H339" s="663"/>
      <c r="I339" s="663"/>
      <c r="J339" s="663"/>
      <c r="K339" s="663"/>
      <c r="L339" s="663"/>
      <c r="M339" s="663"/>
      <c r="N339" s="663"/>
      <c r="O339" s="663"/>
      <c r="P339" s="663"/>
      <c r="Q339" s="663"/>
      <c r="R339" s="663"/>
      <c r="S339" s="663"/>
      <c r="T339" s="663"/>
      <c r="U339" s="663"/>
      <c r="V339" s="663"/>
      <c r="W339" s="663"/>
      <c r="X339" s="663"/>
      <c r="Y339" s="663"/>
      <c r="Z339" s="663"/>
    </row>
    <row r="340">
      <c r="A340" s="670"/>
      <c r="B340" s="671"/>
      <c r="C340" s="672"/>
      <c r="D340" s="673"/>
      <c r="E340" s="663"/>
      <c r="F340" s="663"/>
      <c r="G340" s="663"/>
      <c r="H340" s="663"/>
      <c r="I340" s="663"/>
      <c r="J340" s="663"/>
      <c r="K340" s="663"/>
      <c r="L340" s="663"/>
      <c r="M340" s="663"/>
      <c r="N340" s="663"/>
      <c r="O340" s="663"/>
      <c r="P340" s="663"/>
      <c r="Q340" s="663"/>
      <c r="R340" s="663"/>
      <c r="S340" s="663"/>
      <c r="T340" s="663"/>
      <c r="U340" s="663"/>
      <c r="V340" s="663"/>
      <c r="W340" s="663"/>
      <c r="X340" s="663"/>
      <c r="Y340" s="663"/>
      <c r="Z340" s="663"/>
    </row>
    <row r="341">
      <c r="A341" s="670"/>
      <c r="B341" s="671"/>
      <c r="C341" s="672"/>
      <c r="D341" s="673"/>
      <c r="E341" s="663"/>
      <c r="F341" s="663"/>
      <c r="G341" s="663"/>
      <c r="H341" s="663"/>
      <c r="I341" s="663"/>
      <c r="J341" s="663"/>
      <c r="K341" s="663"/>
      <c r="L341" s="663"/>
      <c r="M341" s="663"/>
      <c r="N341" s="663"/>
      <c r="O341" s="663"/>
      <c r="P341" s="663"/>
      <c r="Q341" s="663"/>
      <c r="R341" s="663"/>
      <c r="S341" s="663"/>
      <c r="T341" s="663"/>
      <c r="U341" s="663"/>
      <c r="V341" s="663"/>
      <c r="W341" s="663"/>
      <c r="X341" s="663"/>
      <c r="Y341" s="663"/>
      <c r="Z341" s="663"/>
    </row>
    <row r="342">
      <c r="A342" s="670"/>
      <c r="B342" s="671"/>
      <c r="C342" s="672"/>
      <c r="D342" s="673"/>
      <c r="E342" s="663"/>
      <c r="F342" s="663"/>
      <c r="G342" s="663"/>
      <c r="H342" s="663"/>
      <c r="I342" s="663"/>
      <c r="J342" s="663"/>
      <c r="K342" s="663"/>
      <c r="L342" s="663"/>
      <c r="M342" s="663"/>
      <c r="N342" s="663"/>
      <c r="O342" s="663"/>
      <c r="P342" s="663"/>
      <c r="Q342" s="663"/>
      <c r="R342" s="663"/>
      <c r="S342" s="663"/>
      <c r="T342" s="663"/>
      <c r="U342" s="663"/>
      <c r="V342" s="663"/>
      <c r="W342" s="663"/>
      <c r="X342" s="663"/>
      <c r="Y342" s="663"/>
      <c r="Z342" s="663"/>
    </row>
    <row r="343">
      <c r="A343" s="670"/>
      <c r="B343" s="671"/>
      <c r="C343" s="672"/>
      <c r="D343" s="673"/>
      <c r="E343" s="663"/>
      <c r="F343" s="663"/>
      <c r="G343" s="663"/>
      <c r="H343" s="663"/>
      <c r="I343" s="663"/>
      <c r="J343" s="663"/>
      <c r="K343" s="663"/>
      <c r="L343" s="663"/>
      <c r="M343" s="663"/>
      <c r="N343" s="663"/>
      <c r="O343" s="663"/>
      <c r="P343" s="663"/>
      <c r="Q343" s="663"/>
      <c r="R343" s="663"/>
      <c r="S343" s="663"/>
      <c r="T343" s="663"/>
      <c r="U343" s="663"/>
      <c r="V343" s="663"/>
      <c r="W343" s="663"/>
      <c r="X343" s="663"/>
      <c r="Y343" s="663"/>
      <c r="Z343" s="663"/>
    </row>
    <row r="344">
      <c r="A344" s="670"/>
      <c r="B344" s="671"/>
      <c r="C344" s="672"/>
      <c r="D344" s="673"/>
      <c r="E344" s="663"/>
      <c r="F344" s="663"/>
      <c r="G344" s="663"/>
      <c r="H344" s="663"/>
      <c r="I344" s="663"/>
      <c r="J344" s="663"/>
      <c r="K344" s="663"/>
      <c r="L344" s="663"/>
      <c r="M344" s="663"/>
      <c r="N344" s="663"/>
      <c r="O344" s="663"/>
      <c r="P344" s="663"/>
      <c r="Q344" s="663"/>
      <c r="R344" s="663"/>
      <c r="S344" s="663"/>
      <c r="T344" s="663"/>
      <c r="U344" s="663"/>
      <c r="V344" s="663"/>
      <c r="W344" s="663"/>
      <c r="X344" s="663"/>
      <c r="Y344" s="663"/>
      <c r="Z344" s="663"/>
    </row>
    <row r="345">
      <c r="A345" s="670"/>
      <c r="B345" s="671"/>
      <c r="C345" s="672"/>
      <c r="D345" s="673"/>
      <c r="E345" s="663"/>
      <c r="F345" s="663"/>
      <c r="G345" s="663"/>
      <c r="H345" s="663"/>
      <c r="I345" s="663"/>
      <c r="J345" s="663"/>
      <c r="K345" s="663"/>
      <c r="L345" s="663"/>
      <c r="M345" s="663"/>
      <c r="N345" s="663"/>
      <c r="O345" s="663"/>
      <c r="P345" s="663"/>
      <c r="Q345" s="663"/>
      <c r="R345" s="663"/>
      <c r="S345" s="663"/>
      <c r="T345" s="663"/>
      <c r="U345" s="663"/>
      <c r="V345" s="663"/>
      <c r="W345" s="663"/>
      <c r="X345" s="663"/>
      <c r="Y345" s="663"/>
      <c r="Z345" s="663"/>
    </row>
    <row r="346">
      <c r="A346" s="670"/>
      <c r="B346" s="671"/>
      <c r="C346" s="672"/>
      <c r="D346" s="673"/>
      <c r="E346" s="663"/>
      <c r="F346" s="663"/>
      <c r="G346" s="663"/>
      <c r="H346" s="663"/>
      <c r="I346" s="663"/>
      <c r="J346" s="663"/>
      <c r="K346" s="663"/>
      <c r="L346" s="663"/>
      <c r="M346" s="663"/>
      <c r="N346" s="663"/>
      <c r="O346" s="663"/>
      <c r="P346" s="663"/>
      <c r="Q346" s="663"/>
      <c r="R346" s="663"/>
      <c r="S346" s="663"/>
      <c r="T346" s="663"/>
      <c r="U346" s="663"/>
      <c r="V346" s="663"/>
      <c r="W346" s="663"/>
      <c r="X346" s="663"/>
      <c r="Y346" s="663"/>
      <c r="Z346" s="663"/>
    </row>
    <row r="347">
      <c r="A347" s="670"/>
      <c r="B347" s="671"/>
      <c r="C347" s="672"/>
      <c r="D347" s="673"/>
      <c r="E347" s="663"/>
      <c r="F347" s="663"/>
      <c r="G347" s="663"/>
      <c r="H347" s="663"/>
      <c r="I347" s="663"/>
      <c r="J347" s="663"/>
      <c r="K347" s="663"/>
      <c r="L347" s="663"/>
      <c r="M347" s="663"/>
      <c r="N347" s="663"/>
      <c r="O347" s="663"/>
      <c r="P347" s="663"/>
      <c r="Q347" s="663"/>
      <c r="R347" s="663"/>
      <c r="S347" s="663"/>
      <c r="T347" s="663"/>
      <c r="U347" s="663"/>
      <c r="V347" s="663"/>
      <c r="W347" s="663"/>
      <c r="X347" s="663"/>
      <c r="Y347" s="663"/>
      <c r="Z347" s="663"/>
    </row>
    <row r="348">
      <c r="A348" s="670"/>
      <c r="B348" s="671"/>
      <c r="C348" s="672"/>
      <c r="D348" s="673"/>
      <c r="E348" s="663"/>
      <c r="F348" s="663"/>
      <c r="G348" s="663"/>
      <c r="H348" s="663"/>
      <c r="I348" s="663"/>
      <c r="J348" s="663"/>
      <c r="K348" s="663"/>
      <c r="L348" s="663"/>
      <c r="M348" s="663"/>
      <c r="N348" s="663"/>
      <c r="O348" s="663"/>
      <c r="P348" s="663"/>
      <c r="Q348" s="663"/>
      <c r="R348" s="663"/>
      <c r="S348" s="663"/>
      <c r="T348" s="663"/>
      <c r="U348" s="663"/>
      <c r="V348" s="663"/>
      <c r="W348" s="663"/>
      <c r="X348" s="663"/>
      <c r="Y348" s="663"/>
      <c r="Z348" s="663"/>
    </row>
    <row r="349">
      <c r="A349" s="670"/>
      <c r="B349" s="671"/>
      <c r="C349" s="672"/>
      <c r="D349" s="673"/>
      <c r="E349" s="663"/>
      <c r="F349" s="663"/>
      <c r="G349" s="663"/>
      <c r="H349" s="663"/>
      <c r="I349" s="663"/>
      <c r="J349" s="663"/>
      <c r="K349" s="663"/>
      <c r="L349" s="663"/>
      <c r="M349" s="663"/>
      <c r="N349" s="663"/>
      <c r="O349" s="663"/>
      <c r="P349" s="663"/>
      <c r="Q349" s="663"/>
      <c r="R349" s="663"/>
      <c r="S349" s="663"/>
      <c r="T349" s="663"/>
      <c r="U349" s="663"/>
      <c r="V349" s="663"/>
      <c r="W349" s="663"/>
      <c r="X349" s="663"/>
      <c r="Y349" s="663"/>
      <c r="Z349" s="663"/>
    </row>
    <row r="350">
      <c r="A350" s="670"/>
      <c r="B350" s="671"/>
      <c r="C350" s="672"/>
      <c r="D350" s="673"/>
      <c r="E350" s="663"/>
      <c r="F350" s="663"/>
      <c r="G350" s="663"/>
      <c r="H350" s="663"/>
      <c r="I350" s="663"/>
      <c r="J350" s="663"/>
      <c r="K350" s="663"/>
      <c r="L350" s="663"/>
      <c r="M350" s="663"/>
      <c r="N350" s="663"/>
      <c r="O350" s="663"/>
      <c r="P350" s="663"/>
      <c r="Q350" s="663"/>
      <c r="R350" s="663"/>
      <c r="S350" s="663"/>
      <c r="T350" s="663"/>
      <c r="U350" s="663"/>
      <c r="V350" s="663"/>
      <c r="W350" s="663"/>
      <c r="X350" s="663"/>
      <c r="Y350" s="663"/>
      <c r="Z350" s="663"/>
    </row>
    <row r="351">
      <c r="A351" s="670"/>
      <c r="B351" s="671"/>
      <c r="C351" s="672"/>
      <c r="D351" s="673"/>
      <c r="E351" s="663"/>
      <c r="F351" s="663"/>
      <c r="G351" s="663"/>
      <c r="H351" s="663"/>
      <c r="I351" s="663"/>
      <c r="J351" s="663"/>
      <c r="K351" s="663"/>
      <c r="L351" s="663"/>
      <c r="M351" s="663"/>
      <c r="N351" s="663"/>
      <c r="O351" s="663"/>
      <c r="P351" s="663"/>
      <c r="Q351" s="663"/>
      <c r="R351" s="663"/>
      <c r="S351" s="663"/>
      <c r="T351" s="663"/>
      <c r="U351" s="663"/>
      <c r="V351" s="663"/>
      <c r="W351" s="663"/>
      <c r="X351" s="663"/>
      <c r="Y351" s="663"/>
      <c r="Z351" s="663"/>
    </row>
    <row r="352">
      <c r="A352" s="670"/>
      <c r="B352" s="671"/>
      <c r="C352" s="672"/>
      <c r="D352" s="673"/>
      <c r="E352" s="663"/>
      <c r="F352" s="663"/>
      <c r="G352" s="663"/>
      <c r="H352" s="663"/>
      <c r="I352" s="663"/>
      <c r="J352" s="663"/>
      <c r="K352" s="663"/>
      <c r="L352" s="663"/>
      <c r="M352" s="663"/>
      <c r="N352" s="663"/>
      <c r="O352" s="663"/>
      <c r="P352" s="663"/>
      <c r="Q352" s="663"/>
      <c r="R352" s="663"/>
      <c r="S352" s="663"/>
      <c r="T352" s="663"/>
      <c r="U352" s="663"/>
      <c r="V352" s="663"/>
      <c r="W352" s="663"/>
      <c r="X352" s="663"/>
      <c r="Y352" s="663"/>
      <c r="Z352" s="663"/>
    </row>
    <row r="353">
      <c r="A353" s="670"/>
      <c r="B353" s="671"/>
      <c r="C353" s="672"/>
      <c r="D353" s="673"/>
      <c r="E353" s="663"/>
      <c r="F353" s="663"/>
      <c r="G353" s="663"/>
      <c r="H353" s="663"/>
      <c r="I353" s="663"/>
      <c r="J353" s="663"/>
      <c r="K353" s="663"/>
      <c r="L353" s="663"/>
      <c r="M353" s="663"/>
      <c r="N353" s="663"/>
      <c r="O353" s="663"/>
      <c r="P353" s="663"/>
      <c r="Q353" s="663"/>
      <c r="R353" s="663"/>
      <c r="S353" s="663"/>
      <c r="T353" s="663"/>
      <c r="U353" s="663"/>
      <c r="V353" s="663"/>
      <c r="W353" s="663"/>
      <c r="X353" s="663"/>
      <c r="Y353" s="663"/>
      <c r="Z353" s="663"/>
    </row>
    <row r="354">
      <c r="A354" s="670"/>
      <c r="B354" s="671"/>
      <c r="C354" s="672"/>
      <c r="D354" s="673"/>
      <c r="E354" s="663"/>
      <c r="F354" s="663"/>
      <c r="G354" s="663"/>
      <c r="H354" s="663"/>
      <c r="I354" s="663"/>
      <c r="J354" s="663"/>
      <c r="K354" s="663"/>
      <c r="L354" s="663"/>
      <c r="M354" s="663"/>
      <c r="N354" s="663"/>
      <c r="O354" s="663"/>
      <c r="P354" s="663"/>
      <c r="Q354" s="663"/>
      <c r="R354" s="663"/>
      <c r="S354" s="663"/>
      <c r="T354" s="663"/>
      <c r="U354" s="663"/>
      <c r="V354" s="663"/>
      <c r="W354" s="663"/>
      <c r="X354" s="663"/>
      <c r="Y354" s="663"/>
      <c r="Z354" s="663"/>
    </row>
    <row r="355">
      <c r="A355" s="670"/>
      <c r="B355" s="671"/>
      <c r="C355" s="672"/>
      <c r="D355" s="673"/>
      <c r="E355" s="663"/>
      <c r="F355" s="663"/>
      <c r="G355" s="663"/>
      <c r="H355" s="663"/>
      <c r="I355" s="663"/>
      <c r="J355" s="663"/>
      <c r="K355" s="663"/>
      <c r="L355" s="663"/>
      <c r="M355" s="663"/>
      <c r="N355" s="663"/>
      <c r="O355" s="663"/>
      <c r="P355" s="663"/>
      <c r="Q355" s="663"/>
      <c r="R355" s="663"/>
      <c r="S355" s="663"/>
      <c r="T355" s="663"/>
      <c r="U355" s="663"/>
      <c r="V355" s="663"/>
      <c r="W355" s="663"/>
      <c r="X355" s="663"/>
      <c r="Y355" s="663"/>
      <c r="Z355" s="663"/>
    </row>
    <row r="356">
      <c r="A356" s="670"/>
      <c r="B356" s="671"/>
      <c r="C356" s="672"/>
      <c r="D356" s="673"/>
      <c r="E356" s="663"/>
      <c r="F356" s="663"/>
      <c r="G356" s="663"/>
      <c r="H356" s="663"/>
      <c r="I356" s="663"/>
      <c r="J356" s="663"/>
      <c r="K356" s="663"/>
      <c r="L356" s="663"/>
      <c r="M356" s="663"/>
      <c r="N356" s="663"/>
      <c r="O356" s="663"/>
      <c r="P356" s="663"/>
      <c r="Q356" s="663"/>
      <c r="R356" s="663"/>
      <c r="S356" s="663"/>
      <c r="T356" s="663"/>
      <c r="U356" s="663"/>
      <c r="V356" s="663"/>
      <c r="W356" s="663"/>
      <c r="X356" s="663"/>
      <c r="Y356" s="663"/>
      <c r="Z356" s="663"/>
    </row>
    <row r="357">
      <c r="A357" s="670"/>
      <c r="B357" s="671"/>
      <c r="C357" s="672"/>
      <c r="D357" s="673"/>
      <c r="E357" s="663"/>
      <c r="F357" s="663"/>
      <c r="G357" s="663"/>
      <c r="H357" s="663"/>
      <c r="I357" s="663"/>
      <c r="J357" s="663"/>
      <c r="K357" s="663"/>
      <c r="L357" s="663"/>
      <c r="M357" s="663"/>
      <c r="N357" s="663"/>
      <c r="O357" s="663"/>
      <c r="P357" s="663"/>
      <c r="Q357" s="663"/>
      <c r="R357" s="663"/>
      <c r="S357" s="663"/>
      <c r="T357" s="663"/>
      <c r="U357" s="663"/>
      <c r="V357" s="663"/>
      <c r="W357" s="663"/>
      <c r="X357" s="663"/>
      <c r="Y357" s="663"/>
      <c r="Z357" s="663"/>
    </row>
    <row r="358">
      <c r="A358" s="670"/>
      <c r="B358" s="671"/>
      <c r="C358" s="672"/>
      <c r="D358" s="673"/>
      <c r="E358" s="663"/>
      <c r="F358" s="663"/>
      <c r="G358" s="663"/>
      <c r="H358" s="663"/>
      <c r="I358" s="663"/>
      <c r="J358" s="663"/>
      <c r="K358" s="663"/>
      <c r="L358" s="663"/>
      <c r="M358" s="663"/>
      <c r="N358" s="663"/>
      <c r="O358" s="663"/>
      <c r="P358" s="663"/>
      <c r="Q358" s="663"/>
      <c r="R358" s="663"/>
      <c r="S358" s="663"/>
      <c r="T358" s="663"/>
      <c r="U358" s="663"/>
      <c r="V358" s="663"/>
      <c r="W358" s="663"/>
      <c r="X358" s="663"/>
      <c r="Y358" s="663"/>
      <c r="Z358" s="663"/>
    </row>
    <row r="359">
      <c r="A359" s="670"/>
      <c r="B359" s="671"/>
      <c r="C359" s="672"/>
      <c r="D359" s="673"/>
      <c r="E359" s="663"/>
      <c r="F359" s="663"/>
      <c r="G359" s="663"/>
      <c r="H359" s="663"/>
      <c r="I359" s="663"/>
      <c r="J359" s="663"/>
      <c r="K359" s="663"/>
      <c r="L359" s="663"/>
      <c r="M359" s="663"/>
      <c r="N359" s="663"/>
      <c r="O359" s="663"/>
      <c r="P359" s="663"/>
      <c r="Q359" s="663"/>
      <c r="R359" s="663"/>
      <c r="S359" s="663"/>
      <c r="T359" s="663"/>
      <c r="U359" s="663"/>
      <c r="V359" s="663"/>
      <c r="W359" s="663"/>
      <c r="X359" s="663"/>
      <c r="Y359" s="663"/>
      <c r="Z359" s="663"/>
    </row>
    <row r="360">
      <c r="A360" s="670"/>
      <c r="B360" s="671"/>
      <c r="C360" s="672"/>
      <c r="D360" s="673"/>
      <c r="E360" s="663"/>
      <c r="F360" s="663"/>
      <c r="G360" s="663"/>
      <c r="H360" s="663"/>
      <c r="I360" s="663"/>
      <c r="J360" s="663"/>
      <c r="K360" s="663"/>
      <c r="L360" s="663"/>
      <c r="M360" s="663"/>
      <c r="N360" s="663"/>
      <c r="O360" s="663"/>
      <c r="P360" s="663"/>
      <c r="Q360" s="663"/>
      <c r="R360" s="663"/>
      <c r="S360" s="663"/>
      <c r="T360" s="663"/>
      <c r="U360" s="663"/>
      <c r="V360" s="663"/>
      <c r="W360" s="663"/>
      <c r="X360" s="663"/>
      <c r="Y360" s="663"/>
      <c r="Z360" s="663"/>
    </row>
    <row r="361">
      <c r="A361" s="670"/>
      <c r="B361" s="671"/>
      <c r="C361" s="672"/>
      <c r="D361" s="673"/>
      <c r="E361" s="663"/>
      <c r="F361" s="663"/>
      <c r="G361" s="663"/>
      <c r="H361" s="663"/>
      <c r="I361" s="663"/>
      <c r="J361" s="663"/>
      <c r="K361" s="663"/>
      <c r="L361" s="663"/>
      <c r="M361" s="663"/>
      <c r="N361" s="663"/>
      <c r="O361" s="663"/>
      <c r="P361" s="663"/>
      <c r="Q361" s="663"/>
      <c r="R361" s="663"/>
      <c r="S361" s="663"/>
      <c r="T361" s="663"/>
      <c r="U361" s="663"/>
      <c r="V361" s="663"/>
      <c r="W361" s="663"/>
      <c r="X361" s="663"/>
      <c r="Y361" s="663"/>
      <c r="Z361" s="663"/>
    </row>
    <row r="362">
      <c r="A362" s="670"/>
      <c r="B362" s="671"/>
      <c r="C362" s="672"/>
      <c r="D362" s="673"/>
      <c r="E362" s="663"/>
      <c r="F362" s="663"/>
      <c r="G362" s="663"/>
      <c r="H362" s="663"/>
      <c r="I362" s="663"/>
      <c r="J362" s="663"/>
      <c r="K362" s="663"/>
      <c r="L362" s="663"/>
      <c r="M362" s="663"/>
      <c r="N362" s="663"/>
      <c r="O362" s="663"/>
      <c r="P362" s="663"/>
      <c r="Q362" s="663"/>
      <c r="R362" s="663"/>
      <c r="S362" s="663"/>
      <c r="T362" s="663"/>
      <c r="U362" s="663"/>
      <c r="V362" s="663"/>
      <c r="W362" s="663"/>
      <c r="X362" s="663"/>
      <c r="Y362" s="663"/>
      <c r="Z362" s="663"/>
    </row>
    <row r="363">
      <c r="A363" s="670"/>
      <c r="B363" s="671"/>
      <c r="C363" s="672"/>
      <c r="D363" s="673"/>
      <c r="E363" s="663"/>
      <c r="F363" s="663"/>
      <c r="G363" s="663"/>
      <c r="H363" s="663"/>
      <c r="I363" s="663"/>
      <c r="J363" s="663"/>
      <c r="K363" s="663"/>
      <c r="L363" s="663"/>
      <c r="M363" s="663"/>
      <c r="N363" s="663"/>
      <c r="O363" s="663"/>
      <c r="P363" s="663"/>
      <c r="Q363" s="663"/>
      <c r="R363" s="663"/>
      <c r="S363" s="663"/>
      <c r="T363" s="663"/>
      <c r="U363" s="663"/>
      <c r="V363" s="663"/>
      <c r="W363" s="663"/>
      <c r="X363" s="663"/>
      <c r="Y363" s="663"/>
      <c r="Z363" s="663"/>
    </row>
    <row r="364">
      <c r="A364" s="670"/>
      <c r="B364" s="671"/>
      <c r="C364" s="672"/>
      <c r="D364" s="673"/>
      <c r="E364" s="663"/>
      <c r="F364" s="663"/>
      <c r="G364" s="663"/>
      <c r="H364" s="663"/>
      <c r="I364" s="663"/>
      <c r="J364" s="663"/>
      <c r="K364" s="663"/>
      <c r="L364" s="663"/>
      <c r="M364" s="663"/>
      <c r="N364" s="663"/>
      <c r="O364" s="663"/>
      <c r="P364" s="663"/>
      <c r="Q364" s="663"/>
      <c r="R364" s="663"/>
      <c r="S364" s="663"/>
      <c r="T364" s="663"/>
      <c r="U364" s="663"/>
      <c r="V364" s="663"/>
      <c r="W364" s="663"/>
      <c r="X364" s="663"/>
      <c r="Y364" s="663"/>
      <c r="Z364" s="663"/>
    </row>
    <row r="365">
      <c r="A365" s="670"/>
      <c r="B365" s="671"/>
      <c r="C365" s="672"/>
      <c r="D365" s="673"/>
      <c r="E365" s="663"/>
      <c r="F365" s="663"/>
      <c r="G365" s="663"/>
      <c r="H365" s="663"/>
      <c r="I365" s="663"/>
      <c r="J365" s="663"/>
      <c r="K365" s="663"/>
      <c r="L365" s="663"/>
      <c r="M365" s="663"/>
      <c r="N365" s="663"/>
      <c r="O365" s="663"/>
      <c r="P365" s="663"/>
      <c r="Q365" s="663"/>
      <c r="R365" s="663"/>
      <c r="S365" s="663"/>
      <c r="T365" s="663"/>
      <c r="U365" s="663"/>
      <c r="V365" s="663"/>
      <c r="W365" s="663"/>
      <c r="X365" s="663"/>
      <c r="Y365" s="663"/>
      <c r="Z365" s="663"/>
    </row>
    <row r="366">
      <c r="A366" s="670"/>
      <c r="B366" s="671"/>
      <c r="C366" s="672"/>
      <c r="D366" s="673"/>
      <c r="E366" s="663"/>
      <c r="F366" s="663"/>
      <c r="G366" s="663"/>
      <c r="H366" s="663"/>
      <c r="I366" s="663"/>
      <c r="J366" s="663"/>
      <c r="K366" s="663"/>
      <c r="L366" s="663"/>
      <c r="M366" s="663"/>
      <c r="N366" s="663"/>
      <c r="O366" s="663"/>
      <c r="P366" s="663"/>
      <c r="Q366" s="663"/>
      <c r="R366" s="663"/>
      <c r="S366" s="663"/>
      <c r="T366" s="663"/>
      <c r="U366" s="663"/>
      <c r="V366" s="663"/>
      <c r="W366" s="663"/>
      <c r="X366" s="663"/>
      <c r="Y366" s="663"/>
      <c r="Z366" s="663"/>
    </row>
    <row r="367">
      <c r="A367" s="670"/>
      <c r="B367" s="671"/>
      <c r="C367" s="672"/>
      <c r="D367" s="673"/>
      <c r="E367" s="663"/>
      <c r="F367" s="663"/>
      <c r="G367" s="663"/>
      <c r="H367" s="663"/>
      <c r="I367" s="663"/>
      <c r="J367" s="663"/>
      <c r="K367" s="663"/>
      <c r="L367" s="663"/>
      <c r="M367" s="663"/>
      <c r="N367" s="663"/>
      <c r="O367" s="663"/>
      <c r="P367" s="663"/>
      <c r="Q367" s="663"/>
      <c r="R367" s="663"/>
      <c r="S367" s="663"/>
      <c r="T367" s="663"/>
      <c r="U367" s="663"/>
      <c r="V367" s="663"/>
      <c r="W367" s="663"/>
      <c r="X367" s="663"/>
      <c r="Y367" s="663"/>
      <c r="Z367" s="663"/>
    </row>
    <row r="368">
      <c r="A368" s="670"/>
      <c r="B368" s="671"/>
      <c r="C368" s="672"/>
      <c r="D368" s="673"/>
      <c r="E368" s="663"/>
      <c r="F368" s="663"/>
      <c r="G368" s="663"/>
      <c r="H368" s="663"/>
      <c r="I368" s="663"/>
      <c r="J368" s="663"/>
      <c r="K368" s="663"/>
      <c r="L368" s="663"/>
      <c r="M368" s="663"/>
      <c r="N368" s="663"/>
      <c r="O368" s="663"/>
      <c r="P368" s="663"/>
      <c r="Q368" s="663"/>
      <c r="R368" s="663"/>
      <c r="S368" s="663"/>
      <c r="T368" s="663"/>
      <c r="U368" s="663"/>
      <c r="V368" s="663"/>
      <c r="W368" s="663"/>
      <c r="X368" s="663"/>
      <c r="Y368" s="663"/>
      <c r="Z368" s="663"/>
    </row>
    <row r="369">
      <c r="A369" s="670"/>
      <c r="B369" s="671"/>
      <c r="C369" s="672"/>
      <c r="D369" s="673"/>
      <c r="E369" s="663"/>
      <c r="F369" s="663"/>
      <c r="G369" s="663"/>
      <c r="H369" s="663"/>
      <c r="I369" s="663"/>
      <c r="J369" s="663"/>
      <c r="K369" s="663"/>
      <c r="L369" s="663"/>
      <c r="M369" s="663"/>
      <c r="N369" s="663"/>
      <c r="O369" s="663"/>
      <c r="P369" s="663"/>
      <c r="Q369" s="663"/>
      <c r="R369" s="663"/>
      <c r="S369" s="663"/>
      <c r="T369" s="663"/>
      <c r="U369" s="663"/>
      <c r="V369" s="663"/>
      <c r="W369" s="663"/>
      <c r="X369" s="663"/>
      <c r="Y369" s="663"/>
      <c r="Z369" s="663"/>
    </row>
    <row r="370">
      <c r="A370" s="670"/>
      <c r="B370" s="671"/>
      <c r="C370" s="672"/>
      <c r="D370" s="673"/>
      <c r="E370" s="663"/>
      <c r="F370" s="663"/>
      <c r="G370" s="663"/>
      <c r="H370" s="663"/>
      <c r="I370" s="663"/>
      <c r="J370" s="663"/>
      <c r="K370" s="663"/>
      <c r="L370" s="663"/>
      <c r="M370" s="663"/>
      <c r="N370" s="663"/>
      <c r="O370" s="663"/>
      <c r="P370" s="663"/>
      <c r="Q370" s="663"/>
      <c r="R370" s="663"/>
      <c r="S370" s="663"/>
      <c r="T370" s="663"/>
      <c r="U370" s="663"/>
      <c r="V370" s="663"/>
      <c r="W370" s="663"/>
      <c r="X370" s="663"/>
      <c r="Y370" s="663"/>
      <c r="Z370" s="663"/>
    </row>
    <row r="371">
      <c r="A371" s="670"/>
      <c r="B371" s="671"/>
      <c r="C371" s="672"/>
      <c r="D371" s="673"/>
      <c r="E371" s="663"/>
      <c r="F371" s="663"/>
      <c r="G371" s="663"/>
      <c r="H371" s="663"/>
      <c r="I371" s="663"/>
      <c r="J371" s="663"/>
      <c r="K371" s="663"/>
      <c r="L371" s="663"/>
      <c r="M371" s="663"/>
      <c r="N371" s="663"/>
      <c r="O371" s="663"/>
      <c r="P371" s="663"/>
      <c r="Q371" s="663"/>
      <c r="R371" s="663"/>
      <c r="S371" s="663"/>
      <c r="T371" s="663"/>
      <c r="U371" s="663"/>
      <c r="V371" s="663"/>
      <c r="W371" s="663"/>
      <c r="X371" s="663"/>
      <c r="Y371" s="663"/>
      <c r="Z371" s="663"/>
    </row>
    <row r="372">
      <c r="A372" s="670"/>
      <c r="B372" s="671"/>
      <c r="C372" s="672"/>
      <c r="D372" s="673"/>
      <c r="E372" s="663"/>
      <c r="F372" s="663"/>
      <c r="G372" s="663"/>
      <c r="H372" s="663"/>
      <c r="I372" s="663"/>
      <c r="J372" s="663"/>
      <c r="K372" s="663"/>
      <c r="L372" s="663"/>
      <c r="M372" s="663"/>
      <c r="N372" s="663"/>
      <c r="O372" s="663"/>
      <c r="P372" s="663"/>
      <c r="Q372" s="663"/>
      <c r="R372" s="663"/>
      <c r="S372" s="663"/>
      <c r="T372" s="663"/>
      <c r="U372" s="663"/>
      <c r="V372" s="663"/>
      <c r="W372" s="663"/>
      <c r="X372" s="663"/>
      <c r="Y372" s="663"/>
      <c r="Z372" s="663"/>
    </row>
    <row r="373">
      <c r="A373" s="670"/>
      <c r="B373" s="671"/>
      <c r="C373" s="672"/>
      <c r="D373" s="673"/>
      <c r="E373" s="663"/>
      <c r="F373" s="663"/>
      <c r="G373" s="663"/>
      <c r="H373" s="663"/>
      <c r="I373" s="663"/>
      <c r="J373" s="663"/>
      <c r="K373" s="663"/>
      <c r="L373" s="663"/>
      <c r="M373" s="663"/>
      <c r="N373" s="663"/>
      <c r="O373" s="663"/>
      <c r="P373" s="663"/>
      <c r="Q373" s="663"/>
      <c r="R373" s="663"/>
      <c r="S373" s="663"/>
      <c r="T373" s="663"/>
      <c r="U373" s="663"/>
      <c r="V373" s="663"/>
      <c r="W373" s="663"/>
      <c r="X373" s="663"/>
      <c r="Y373" s="663"/>
      <c r="Z373" s="663"/>
    </row>
    <row r="374">
      <c r="A374" s="670"/>
      <c r="B374" s="671"/>
      <c r="C374" s="672"/>
      <c r="D374" s="673"/>
      <c r="E374" s="663"/>
      <c r="F374" s="663"/>
      <c r="G374" s="663"/>
      <c r="H374" s="663"/>
      <c r="I374" s="663"/>
      <c r="J374" s="663"/>
      <c r="K374" s="663"/>
      <c r="L374" s="663"/>
      <c r="M374" s="663"/>
      <c r="N374" s="663"/>
      <c r="O374" s="663"/>
      <c r="P374" s="663"/>
      <c r="Q374" s="663"/>
      <c r="R374" s="663"/>
      <c r="S374" s="663"/>
      <c r="T374" s="663"/>
      <c r="U374" s="663"/>
      <c r="V374" s="663"/>
      <c r="W374" s="663"/>
      <c r="X374" s="663"/>
      <c r="Y374" s="663"/>
      <c r="Z374" s="663"/>
    </row>
    <row r="375">
      <c r="A375" s="670"/>
      <c r="B375" s="671"/>
      <c r="C375" s="672"/>
      <c r="D375" s="673"/>
      <c r="E375" s="663"/>
      <c r="F375" s="663"/>
      <c r="G375" s="663"/>
      <c r="H375" s="663"/>
      <c r="I375" s="663"/>
      <c r="J375" s="663"/>
      <c r="K375" s="663"/>
      <c r="L375" s="663"/>
      <c r="M375" s="663"/>
      <c r="N375" s="663"/>
      <c r="O375" s="663"/>
      <c r="P375" s="663"/>
      <c r="Q375" s="663"/>
      <c r="R375" s="663"/>
      <c r="S375" s="663"/>
      <c r="T375" s="663"/>
      <c r="U375" s="663"/>
      <c r="V375" s="663"/>
      <c r="W375" s="663"/>
      <c r="X375" s="663"/>
      <c r="Y375" s="663"/>
      <c r="Z375" s="663"/>
    </row>
    <row r="376">
      <c r="A376" s="670"/>
      <c r="B376" s="671"/>
      <c r="C376" s="672"/>
      <c r="D376" s="673"/>
      <c r="E376" s="663"/>
      <c r="F376" s="663"/>
      <c r="G376" s="663"/>
      <c r="H376" s="663"/>
      <c r="I376" s="663"/>
      <c r="J376" s="663"/>
      <c r="K376" s="663"/>
      <c r="L376" s="663"/>
      <c r="M376" s="663"/>
      <c r="N376" s="663"/>
      <c r="O376" s="663"/>
      <c r="P376" s="663"/>
      <c r="Q376" s="663"/>
      <c r="R376" s="663"/>
      <c r="S376" s="663"/>
      <c r="T376" s="663"/>
      <c r="U376" s="663"/>
      <c r="V376" s="663"/>
      <c r="W376" s="663"/>
      <c r="X376" s="663"/>
      <c r="Y376" s="663"/>
      <c r="Z376" s="663"/>
    </row>
    <row r="377">
      <c r="A377" s="670"/>
      <c r="B377" s="671"/>
      <c r="C377" s="672"/>
      <c r="D377" s="673"/>
      <c r="E377" s="663"/>
      <c r="F377" s="663"/>
      <c r="G377" s="663"/>
      <c r="H377" s="663"/>
      <c r="I377" s="663"/>
      <c r="J377" s="663"/>
      <c r="K377" s="663"/>
      <c r="L377" s="663"/>
      <c r="M377" s="663"/>
      <c r="N377" s="663"/>
      <c r="O377" s="663"/>
      <c r="P377" s="663"/>
      <c r="Q377" s="663"/>
      <c r="R377" s="663"/>
      <c r="S377" s="663"/>
      <c r="T377" s="663"/>
      <c r="U377" s="663"/>
      <c r="V377" s="663"/>
      <c r="W377" s="663"/>
      <c r="X377" s="663"/>
      <c r="Y377" s="663"/>
      <c r="Z377" s="663"/>
    </row>
    <row r="378">
      <c r="A378" s="670"/>
      <c r="B378" s="671"/>
      <c r="C378" s="672"/>
      <c r="D378" s="673"/>
      <c r="E378" s="663"/>
      <c r="F378" s="663"/>
      <c r="G378" s="663"/>
      <c r="H378" s="663"/>
      <c r="I378" s="663"/>
      <c r="J378" s="663"/>
      <c r="K378" s="663"/>
      <c r="L378" s="663"/>
      <c r="M378" s="663"/>
      <c r="N378" s="663"/>
      <c r="O378" s="663"/>
      <c r="P378" s="663"/>
      <c r="Q378" s="663"/>
      <c r="R378" s="663"/>
      <c r="S378" s="663"/>
      <c r="T378" s="663"/>
      <c r="U378" s="663"/>
      <c r="V378" s="663"/>
      <c r="W378" s="663"/>
      <c r="X378" s="663"/>
      <c r="Y378" s="663"/>
      <c r="Z378" s="663"/>
    </row>
    <row r="379">
      <c r="A379" s="670"/>
      <c r="B379" s="671"/>
      <c r="C379" s="672"/>
      <c r="D379" s="673"/>
      <c r="E379" s="663"/>
      <c r="F379" s="663"/>
      <c r="G379" s="663"/>
      <c r="H379" s="663"/>
      <c r="I379" s="663"/>
      <c r="J379" s="663"/>
      <c r="K379" s="663"/>
      <c r="L379" s="663"/>
      <c r="M379" s="663"/>
      <c r="N379" s="663"/>
      <c r="O379" s="663"/>
      <c r="P379" s="663"/>
      <c r="Q379" s="663"/>
      <c r="R379" s="663"/>
      <c r="S379" s="663"/>
      <c r="T379" s="663"/>
      <c r="U379" s="663"/>
      <c r="V379" s="663"/>
      <c r="W379" s="663"/>
      <c r="X379" s="663"/>
      <c r="Y379" s="663"/>
      <c r="Z379" s="663"/>
    </row>
    <row r="380">
      <c r="A380" s="670"/>
      <c r="B380" s="671"/>
      <c r="C380" s="672"/>
      <c r="D380" s="673"/>
      <c r="E380" s="663"/>
      <c r="F380" s="663"/>
      <c r="G380" s="663"/>
      <c r="H380" s="663"/>
      <c r="I380" s="663"/>
      <c r="J380" s="663"/>
      <c r="K380" s="663"/>
      <c r="L380" s="663"/>
      <c r="M380" s="663"/>
      <c r="N380" s="663"/>
      <c r="O380" s="663"/>
      <c r="P380" s="663"/>
      <c r="Q380" s="663"/>
      <c r="R380" s="663"/>
      <c r="S380" s="663"/>
      <c r="T380" s="663"/>
      <c r="U380" s="663"/>
      <c r="V380" s="663"/>
      <c r="W380" s="663"/>
      <c r="X380" s="663"/>
      <c r="Y380" s="663"/>
      <c r="Z380" s="663"/>
    </row>
    <row r="381">
      <c r="A381" s="670"/>
      <c r="B381" s="671"/>
      <c r="C381" s="672"/>
      <c r="D381" s="673"/>
      <c r="E381" s="663"/>
      <c r="F381" s="663"/>
      <c r="G381" s="663"/>
      <c r="H381" s="663"/>
      <c r="I381" s="663"/>
      <c r="J381" s="663"/>
      <c r="K381" s="663"/>
      <c r="L381" s="663"/>
      <c r="M381" s="663"/>
      <c r="N381" s="663"/>
      <c r="O381" s="663"/>
      <c r="P381" s="663"/>
      <c r="Q381" s="663"/>
      <c r="R381" s="663"/>
      <c r="S381" s="663"/>
      <c r="T381" s="663"/>
      <c r="U381" s="663"/>
      <c r="V381" s="663"/>
      <c r="W381" s="663"/>
      <c r="X381" s="663"/>
      <c r="Y381" s="663"/>
      <c r="Z381" s="663"/>
    </row>
    <row r="382">
      <c r="A382" s="670"/>
      <c r="B382" s="671"/>
      <c r="C382" s="672"/>
      <c r="D382" s="673"/>
      <c r="E382" s="663"/>
      <c r="F382" s="663"/>
      <c r="G382" s="663"/>
      <c r="H382" s="663"/>
      <c r="I382" s="663"/>
      <c r="J382" s="663"/>
      <c r="K382" s="663"/>
      <c r="L382" s="663"/>
      <c r="M382" s="663"/>
      <c r="N382" s="663"/>
      <c r="O382" s="663"/>
      <c r="P382" s="663"/>
      <c r="Q382" s="663"/>
      <c r="R382" s="663"/>
      <c r="S382" s="663"/>
      <c r="T382" s="663"/>
      <c r="U382" s="663"/>
      <c r="V382" s="663"/>
      <c r="W382" s="663"/>
      <c r="X382" s="663"/>
      <c r="Y382" s="663"/>
      <c r="Z382" s="663"/>
    </row>
    <row r="383">
      <c r="A383" s="670"/>
      <c r="B383" s="671"/>
      <c r="C383" s="672"/>
      <c r="D383" s="673"/>
      <c r="E383" s="663"/>
      <c r="F383" s="663"/>
      <c r="G383" s="663"/>
      <c r="H383" s="663"/>
      <c r="I383" s="663"/>
      <c r="J383" s="663"/>
      <c r="K383" s="663"/>
      <c r="L383" s="663"/>
      <c r="M383" s="663"/>
      <c r="N383" s="663"/>
      <c r="O383" s="663"/>
      <c r="P383" s="663"/>
      <c r="Q383" s="663"/>
      <c r="R383" s="663"/>
      <c r="S383" s="663"/>
      <c r="T383" s="663"/>
      <c r="U383" s="663"/>
      <c r="V383" s="663"/>
      <c r="W383" s="663"/>
      <c r="X383" s="663"/>
      <c r="Y383" s="663"/>
      <c r="Z383" s="663"/>
    </row>
    <row r="384">
      <c r="A384" s="670"/>
      <c r="B384" s="671"/>
      <c r="C384" s="672"/>
      <c r="D384" s="673"/>
      <c r="E384" s="663"/>
      <c r="F384" s="663"/>
      <c r="G384" s="663"/>
      <c r="H384" s="663"/>
      <c r="I384" s="663"/>
      <c r="J384" s="663"/>
      <c r="K384" s="663"/>
      <c r="L384" s="663"/>
      <c r="M384" s="663"/>
      <c r="N384" s="663"/>
      <c r="O384" s="663"/>
      <c r="P384" s="663"/>
      <c r="Q384" s="663"/>
      <c r="R384" s="663"/>
      <c r="S384" s="663"/>
      <c r="T384" s="663"/>
      <c r="U384" s="663"/>
      <c r="V384" s="663"/>
      <c r="W384" s="663"/>
      <c r="X384" s="663"/>
      <c r="Y384" s="663"/>
      <c r="Z384" s="663"/>
    </row>
    <row r="385">
      <c r="A385" s="670"/>
      <c r="B385" s="671"/>
      <c r="C385" s="672"/>
      <c r="D385" s="673"/>
      <c r="E385" s="663"/>
      <c r="F385" s="663"/>
      <c r="G385" s="663"/>
      <c r="H385" s="663"/>
      <c r="I385" s="663"/>
      <c r="J385" s="663"/>
      <c r="K385" s="663"/>
      <c r="L385" s="663"/>
      <c r="M385" s="663"/>
      <c r="N385" s="663"/>
      <c r="O385" s="663"/>
      <c r="P385" s="663"/>
      <c r="Q385" s="663"/>
      <c r="R385" s="663"/>
      <c r="S385" s="663"/>
      <c r="T385" s="663"/>
      <c r="U385" s="663"/>
      <c r="V385" s="663"/>
      <c r="W385" s="663"/>
      <c r="X385" s="663"/>
      <c r="Y385" s="663"/>
      <c r="Z385" s="663"/>
    </row>
    <row r="386">
      <c r="A386" s="670"/>
      <c r="B386" s="671"/>
      <c r="C386" s="672"/>
      <c r="D386" s="673"/>
      <c r="E386" s="663"/>
      <c r="F386" s="663"/>
      <c r="G386" s="663"/>
      <c r="H386" s="663"/>
      <c r="I386" s="663"/>
      <c r="J386" s="663"/>
      <c r="K386" s="663"/>
      <c r="L386" s="663"/>
      <c r="M386" s="663"/>
      <c r="N386" s="663"/>
      <c r="O386" s="663"/>
      <c r="P386" s="663"/>
      <c r="Q386" s="663"/>
      <c r="R386" s="663"/>
      <c r="S386" s="663"/>
      <c r="T386" s="663"/>
      <c r="U386" s="663"/>
      <c r="V386" s="663"/>
      <c r="W386" s="663"/>
      <c r="X386" s="663"/>
      <c r="Y386" s="663"/>
      <c r="Z386" s="663"/>
    </row>
    <row r="387">
      <c r="A387" s="670"/>
      <c r="B387" s="671"/>
      <c r="C387" s="672"/>
      <c r="D387" s="673"/>
      <c r="E387" s="663"/>
      <c r="F387" s="663"/>
      <c r="G387" s="663"/>
      <c r="H387" s="663"/>
      <c r="I387" s="663"/>
      <c r="J387" s="663"/>
      <c r="K387" s="663"/>
      <c r="L387" s="663"/>
      <c r="M387" s="663"/>
      <c r="N387" s="663"/>
      <c r="O387" s="663"/>
      <c r="P387" s="663"/>
      <c r="Q387" s="663"/>
      <c r="R387" s="663"/>
      <c r="S387" s="663"/>
      <c r="T387" s="663"/>
      <c r="U387" s="663"/>
      <c r="V387" s="663"/>
      <c r="W387" s="663"/>
      <c r="X387" s="663"/>
      <c r="Y387" s="663"/>
      <c r="Z387" s="663"/>
    </row>
    <row r="388">
      <c r="A388" s="670"/>
      <c r="B388" s="671"/>
      <c r="C388" s="672"/>
      <c r="D388" s="673"/>
      <c r="E388" s="663"/>
      <c r="F388" s="663"/>
      <c r="G388" s="663"/>
      <c r="H388" s="663"/>
      <c r="I388" s="663"/>
      <c r="J388" s="663"/>
      <c r="K388" s="663"/>
      <c r="L388" s="663"/>
      <c r="M388" s="663"/>
      <c r="N388" s="663"/>
      <c r="O388" s="663"/>
      <c r="P388" s="663"/>
      <c r="Q388" s="663"/>
      <c r="R388" s="663"/>
      <c r="S388" s="663"/>
      <c r="T388" s="663"/>
      <c r="U388" s="663"/>
      <c r="V388" s="663"/>
      <c r="W388" s="663"/>
      <c r="X388" s="663"/>
      <c r="Y388" s="663"/>
      <c r="Z388" s="663"/>
    </row>
    <row r="389">
      <c r="A389" s="670"/>
      <c r="B389" s="671"/>
      <c r="C389" s="672"/>
      <c r="D389" s="673"/>
      <c r="E389" s="663"/>
      <c r="F389" s="663"/>
      <c r="G389" s="663"/>
      <c r="H389" s="663"/>
      <c r="I389" s="663"/>
      <c r="J389" s="663"/>
      <c r="K389" s="663"/>
      <c r="L389" s="663"/>
      <c r="M389" s="663"/>
      <c r="N389" s="663"/>
      <c r="O389" s="663"/>
      <c r="P389" s="663"/>
      <c r="Q389" s="663"/>
      <c r="R389" s="663"/>
      <c r="S389" s="663"/>
      <c r="T389" s="663"/>
      <c r="U389" s="663"/>
      <c r="V389" s="663"/>
      <c r="W389" s="663"/>
      <c r="X389" s="663"/>
      <c r="Y389" s="663"/>
      <c r="Z389" s="663"/>
    </row>
    <row r="390">
      <c r="A390" s="670"/>
      <c r="B390" s="671"/>
      <c r="C390" s="672"/>
      <c r="D390" s="673"/>
      <c r="E390" s="663"/>
      <c r="F390" s="663"/>
      <c r="G390" s="663"/>
      <c r="H390" s="663"/>
      <c r="I390" s="663"/>
      <c r="J390" s="663"/>
      <c r="K390" s="663"/>
      <c r="L390" s="663"/>
      <c r="M390" s="663"/>
      <c r="N390" s="663"/>
      <c r="O390" s="663"/>
      <c r="P390" s="663"/>
      <c r="Q390" s="663"/>
      <c r="R390" s="663"/>
      <c r="S390" s="663"/>
      <c r="T390" s="663"/>
      <c r="U390" s="663"/>
      <c r="V390" s="663"/>
      <c r="W390" s="663"/>
      <c r="X390" s="663"/>
      <c r="Y390" s="663"/>
      <c r="Z390" s="663"/>
    </row>
    <row r="391">
      <c r="A391" s="670"/>
      <c r="B391" s="671"/>
      <c r="C391" s="672"/>
      <c r="D391" s="673"/>
      <c r="E391" s="663"/>
      <c r="F391" s="663"/>
      <c r="G391" s="663"/>
      <c r="H391" s="663"/>
      <c r="I391" s="663"/>
      <c r="J391" s="663"/>
      <c r="K391" s="663"/>
      <c r="L391" s="663"/>
      <c r="M391" s="663"/>
      <c r="N391" s="663"/>
      <c r="O391" s="663"/>
      <c r="P391" s="663"/>
      <c r="Q391" s="663"/>
      <c r="R391" s="663"/>
      <c r="S391" s="663"/>
      <c r="T391" s="663"/>
      <c r="U391" s="663"/>
      <c r="V391" s="663"/>
      <c r="W391" s="663"/>
      <c r="X391" s="663"/>
      <c r="Y391" s="663"/>
      <c r="Z391" s="663"/>
    </row>
    <row r="392">
      <c r="A392" s="670"/>
      <c r="B392" s="671"/>
      <c r="C392" s="672"/>
      <c r="D392" s="673"/>
      <c r="E392" s="663"/>
      <c r="F392" s="663"/>
      <c r="G392" s="663"/>
      <c r="H392" s="663"/>
      <c r="I392" s="663"/>
      <c r="J392" s="663"/>
      <c r="K392" s="663"/>
      <c r="L392" s="663"/>
      <c r="M392" s="663"/>
      <c r="N392" s="663"/>
      <c r="O392" s="663"/>
      <c r="P392" s="663"/>
      <c r="Q392" s="663"/>
      <c r="R392" s="663"/>
      <c r="S392" s="663"/>
      <c r="T392" s="663"/>
      <c r="U392" s="663"/>
      <c r="V392" s="663"/>
      <c r="W392" s="663"/>
      <c r="X392" s="663"/>
      <c r="Y392" s="663"/>
      <c r="Z392" s="663"/>
    </row>
    <row r="393">
      <c r="A393" s="670"/>
      <c r="B393" s="671"/>
      <c r="C393" s="672"/>
      <c r="D393" s="673"/>
      <c r="E393" s="663"/>
      <c r="F393" s="663"/>
      <c r="G393" s="663"/>
      <c r="H393" s="663"/>
      <c r="I393" s="663"/>
      <c r="J393" s="663"/>
      <c r="K393" s="663"/>
      <c r="L393" s="663"/>
      <c r="M393" s="663"/>
      <c r="N393" s="663"/>
      <c r="O393" s="663"/>
      <c r="P393" s="663"/>
      <c r="Q393" s="663"/>
      <c r="R393" s="663"/>
      <c r="S393" s="663"/>
      <c r="T393" s="663"/>
      <c r="U393" s="663"/>
      <c r="V393" s="663"/>
      <c r="W393" s="663"/>
      <c r="X393" s="663"/>
      <c r="Y393" s="663"/>
      <c r="Z393" s="663"/>
    </row>
    <row r="394">
      <c r="A394" s="670"/>
      <c r="B394" s="671"/>
      <c r="C394" s="672"/>
      <c r="D394" s="673"/>
      <c r="E394" s="663"/>
      <c r="F394" s="663"/>
      <c r="G394" s="663"/>
      <c r="H394" s="663"/>
      <c r="I394" s="663"/>
      <c r="J394" s="663"/>
      <c r="K394" s="663"/>
      <c r="L394" s="663"/>
      <c r="M394" s="663"/>
      <c r="N394" s="663"/>
      <c r="O394" s="663"/>
      <c r="P394" s="663"/>
      <c r="Q394" s="663"/>
      <c r="R394" s="663"/>
      <c r="S394" s="663"/>
      <c r="T394" s="663"/>
      <c r="U394" s="663"/>
      <c r="V394" s="663"/>
      <c r="W394" s="663"/>
      <c r="X394" s="663"/>
      <c r="Y394" s="663"/>
      <c r="Z394" s="663"/>
    </row>
    <row r="395">
      <c r="A395" s="670"/>
      <c r="B395" s="671"/>
      <c r="C395" s="672"/>
      <c r="D395" s="673"/>
      <c r="E395" s="663"/>
      <c r="F395" s="663"/>
      <c r="G395" s="663"/>
      <c r="H395" s="663"/>
      <c r="I395" s="663"/>
      <c r="J395" s="663"/>
      <c r="K395" s="663"/>
      <c r="L395" s="663"/>
      <c r="M395" s="663"/>
      <c r="N395" s="663"/>
      <c r="O395" s="663"/>
      <c r="P395" s="663"/>
      <c r="Q395" s="663"/>
      <c r="R395" s="663"/>
      <c r="S395" s="663"/>
      <c r="T395" s="663"/>
      <c r="U395" s="663"/>
      <c r="V395" s="663"/>
      <c r="W395" s="663"/>
      <c r="X395" s="663"/>
      <c r="Y395" s="663"/>
      <c r="Z395" s="663"/>
    </row>
    <row r="396">
      <c r="A396" s="670"/>
      <c r="B396" s="671"/>
      <c r="C396" s="672"/>
      <c r="D396" s="673"/>
      <c r="E396" s="663"/>
      <c r="F396" s="663"/>
      <c r="G396" s="663"/>
      <c r="H396" s="663"/>
      <c r="I396" s="663"/>
      <c r="J396" s="663"/>
      <c r="K396" s="663"/>
      <c r="L396" s="663"/>
      <c r="M396" s="663"/>
      <c r="N396" s="663"/>
      <c r="O396" s="663"/>
      <c r="P396" s="663"/>
      <c r="Q396" s="663"/>
      <c r="R396" s="663"/>
      <c r="S396" s="663"/>
      <c r="T396" s="663"/>
      <c r="U396" s="663"/>
      <c r="V396" s="663"/>
      <c r="W396" s="663"/>
      <c r="X396" s="663"/>
      <c r="Y396" s="663"/>
      <c r="Z396" s="663"/>
    </row>
    <row r="397">
      <c r="A397" s="670"/>
      <c r="B397" s="671"/>
      <c r="C397" s="672"/>
      <c r="D397" s="673"/>
      <c r="E397" s="663"/>
      <c r="F397" s="663"/>
      <c r="G397" s="663"/>
      <c r="H397" s="663"/>
      <c r="I397" s="663"/>
      <c r="J397" s="663"/>
      <c r="K397" s="663"/>
      <c r="L397" s="663"/>
      <c r="M397" s="663"/>
      <c r="N397" s="663"/>
      <c r="O397" s="663"/>
      <c r="P397" s="663"/>
      <c r="Q397" s="663"/>
      <c r="R397" s="663"/>
      <c r="S397" s="663"/>
      <c r="T397" s="663"/>
      <c r="U397" s="663"/>
      <c r="V397" s="663"/>
      <c r="W397" s="663"/>
      <c r="X397" s="663"/>
      <c r="Y397" s="663"/>
      <c r="Z397" s="663"/>
    </row>
    <row r="398">
      <c r="A398" s="670"/>
      <c r="B398" s="671"/>
      <c r="C398" s="672"/>
      <c r="D398" s="673"/>
      <c r="E398" s="663"/>
      <c r="F398" s="663"/>
      <c r="G398" s="663"/>
      <c r="H398" s="663"/>
      <c r="I398" s="663"/>
      <c r="J398" s="663"/>
      <c r="K398" s="663"/>
      <c r="L398" s="663"/>
      <c r="M398" s="663"/>
      <c r="N398" s="663"/>
      <c r="O398" s="663"/>
      <c r="P398" s="663"/>
      <c r="Q398" s="663"/>
      <c r="R398" s="663"/>
      <c r="S398" s="663"/>
      <c r="T398" s="663"/>
      <c r="U398" s="663"/>
      <c r="V398" s="663"/>
      <c r="W398" s="663"/>
      <c r="X398" s="663"/>
      <c r="Y398" s="663"/>
      <c r="Z398" s="663"/>
    </row>
    <row r="399">
      <c r="A399" s="670"/>
      <c r="B399" s="671"/>
      <c r="C399" s="672"/>
      <c r="D399" s="673"/>
      <c r="E399" s="663"/>
      <c r="F399" s="663"/>
      <c r="G399" s="663"/>
      <c r="H399" s="663"/>
      <c r="I399" s="663"/>
      <c r="J399" s="663"/>
      <c r="K399" s="663"/>
      <c r="L399" s="663"/>
      <c r="M399" s="663"/>
      <c r="N399" s="663"/>
      <c r="O399" s="663"/>
      <c r="P399" s="663"/>
      <c r="Q399" s="663"/>
      <c r="R399" s="663"/>
      <c r="S399" s="663"/>
      <c r="T399" s="663"/>
      <c r="U399" s="663"/>
      <c r="V399" s="663"/>
      <c r="W399" s="663"/>
      <c r="X399" s="663"/>
      <c r="Y399" s="663"/>
      <c r="Z399" s="663"/>
    </row>
    <row r="400">
      <c r="A400" s="670"/>
      <c r="B400" s="671"/>
      <c r="C400" s="672"/>
      <c r="D400" s="673"/>
      <c r="E400" s="663"/>
      <c r="F400" s="663"/>
      <c r="G400" s="663"/>
      <c r="H400" s="663"/>
      <c r="I400" s="663"/>
      <c r="J400" s="663"/>
      <c r="K400" s="663"/>
      <c r="L400" s="663"/>
      <c r="M400" s="663"/>
      <c r="N400" s="663"/>
      <c r="O400" s="663"/>
      <c r="P400" s="663"/>
      <c r="Q400" s="663"/>
      <c r="R400" s="663"/>
      <c r="S400" s="663"/>
      <c r="T400" s="663"/>
      <c r="U400" s="663"/>
      <c r="V400" s="663"/>
      <c r="W400" s="663"/>
      <c r="X400" s="663"/>
      <c r="Y400" s="663"/>
      <c r="Z400" s="663"/>
    </row>
    <row r="401">
      <c r="A401" s="670"/>
      <c r="B401" s="671"/>
      <c r="C401" s="672"/>
      <c r="D401" s="673"/>
      <c r="E401" s="663"/>
      <c r="F401" s="663"/>
      <c r="G401" s="663"/>
      <c r="H401" s="663"/>
      <c r="I401" s="663"/>
      <c r="J401" s="663"/>
      <c r="K401" s="663"/>
      <c r="L401" s="663"/>
      <c r="M401" s="663"/>
      <c r="N401" s="663"/>
      <c r="O401" s="663"/>
      <c r="P401" s="663"/>
      <c r="Q401" s="663"/>
      <c r="R401" s="663"/>
      <c r="S401" s="663"/>
      <c r="T401" s="663"/>
      <c r="U401" s="663"/>
      <c r="V401" s="663"/>
      <c r="W401" s="663"/>
      <c r="X401" s="663"/>
      <c r="Y401" s="663"/>
      <c r="Z401" s="663"/>
    </row>
    <row r="402">
      <c r="A402" s="670"/>
      <c r="B402" s="671"/>
      <c r="C402" s="672"/>
      <c r="D402" s="673"/>
      <c r="E402" s="663"/>
      <c r="F402" s="663"/>
      <c r="G402" s="663"/>
      <c r="H402" s="663"/>
      <c r="I402" s="663"/>
      <c r="J402" s="663"/>
      <c r="K402" s="663"/>
      <c r="L402" s="663"/>
      <c r="M402" s="663"/>
      <c r="N402" s="663"/>
      <c r="O402" s="663"/>
      <c r="P402" s="663"/>
      <c r="Q402" s="663"/>
      <c r="R402" s="663"/>
      <c r="S402" s="663"/>
      <c r="T402" s="663"/>
      <c r="U402" s="663"/>
      <c r="V402" s="663"/>
      <c r="W402" s="663"/>
      <c r="X402" s="663"/>
      <c r="Y402" s="663"/>
      <c r="Z402" s="663"/>
    </row>
    <row r="403">
      <c r="A403" s="670"/>
      <c r="B403" s="671"/>
      <c r="C403" s="672"/>
      <c r="D403" s="673"/>
      <c r="E403" s="663"/>
      <c r="F403" s="663"/>
      <c r="G403" s="663"/>
      <c r="H403" s="663"/>
      <c r="I403" s="663"/>
      <c r="J403" s="663"/>
      <c r="K403" s="663"/>
      <c r="L403" s="663"/>
      <c r="M403" s="663"/>
      <c r="N403" s="663"/>
      <c r="O403" s="663"/>
      <c r="P403" s="663"/>
      <c r="Q403" s="663"/>
      <c r="R403" s="663"/>
      <c r="S403" s="663"/>
      <c r="T403" s="663"/>
      <c r="U403" s="663"/>
      <c r="V403" s="663"/>
      <c r="W403" s="663"/>
      <c r="X403" s="663"/>
      <c r="Y403" s="663"/>
      <c r="Z403" s="663"/>
    </row>
    <row r="404">
      <c r="A404" s="670"/>
      <c r="B404" s="671"/>
      <c r="C404" s="672"/>
      <c r="D404" s="673"/>
      <c r="E404" s="663"/>
      <c r="F404" s="663"/>
      <c r="G404" s="663"/>
      <c r="H404" s="663"/>
      <c r="I404" s="663"/>
      <c r="J404" s="663"/>
      <c r="K404" s="663"/>
      <c r="L404" s="663"/>
      <c r="M404" s="663"/>
      <c r="N404" s="663"/>
      <c r="O404" s="663"/>
      <c r="P404" s="663"/>
      <c r="Q404" s="663"/>
      <c r="R404" s="663"/>
      <c r="S404" s="663"/>
      <c r="T404" s="663"/>
      <c r="U404" s="663"/>
      <c r="V404" s="663"/>
      <c r="W404" s="663"/>
      <c r="X404" s="663"/>
      <c r="Y404" s="663"/>
      <c r="Z404" s="663"/>
    </row>
    <row r="405">
      <c r="A405" s="670"/>
      <c r="B405" s="671"/>
      <c r="C405" s="672"/>
      <c r="D405" s="673"/>
      <c r="E405" s="663"/>
      <c r="F405" s="663"/>
      <c r="G405" s="663"/>
      <c r="H405" s="663"/>
      <c r="I405" s="663"/>
      <c r="J405" s="663"/>
      <c r="K405" s="663"/>
      <c r="L405" s="663"/>
      <c r="M405" s="663"/>
      <c r="N405" s="663"/>
      <c r="O405" s="663"/>
      <c r="P405" s="663"/>
      <c r="Q405" s="663"/>
      <c r="R405" s="663"/>
      <c r="S405" s="663"/>
      <c r="T405" s="663"/>
      <c r="U405" s="663"/>
      <c r="V405" s="663"/>
      <c r="W405" s="663"/>
      <c r="X405" s="663"/>
      <c r="Y405" s="663"/>
      <c r="Z405" s="663"/>
    </row>
    <row r="406">
      <c r="A406" s="670"/>
      <c r="B406" s="671"/>
      <c r="C406" s="672"/>
      <c r="D406" s="673"/>
      <c r="E406" s="663"/>
      <c r="F406" s="663"/>
      <c r="G406" s="663"/>
      <c r="H406" s="663"/>
      <c r="I406" s="663"/>
      <c r="J406" s="663"/>
      <c r="K406" s="663"/>
      <c r="L406" s="663"/>
      <c r="M406" s="663"/>
      <c r="N406" s="663"/>
      <c r="O406" s="663"/>
      <c r="P406" s="663"/>
      <c r="Q406" s="663"/>
      <c r="R406" s="663"/>
      <c r="S406" s="663"/>
      <c r="T406" s="663"/>
      <c r="U406" s="663"/>
      <c r="V406" s="663"/>
      <c r="W406" s="663"/>
      <c r="X406" s="663"/>
      <c r="Y406" s="663"/>
      <c r="Z406" s="663"/>
    </row>
    <row r="407">
      <c r="A407" s="670"/>
      <c r="B407" s="671"/>
      <c r="C407" s="672"/>
      <c r="D407" s="673"/>
      <c r="E407" s="663"/>
      <c r="F407" s="663"/>
      <c r="G407" s="663"/>
      <c r="H407" s="663"/>
      <c r="I407" s="663"/>
      <c r="J407" s="663"/>
      <c r="K407" s="663"/>
      <c r="L407" s="663"/>
      <c r="M407" s="663"/>
      <c r="N407" s="663"/>
      <c r="O407" s="663"/>
      <c r="P407" s="663"/>
      <c r="Q407" s="663"/>
      <c r="R407" s="663"/>
      <c r="S407" s="663"/>
      <c r="T407" s="663"/>
      <c r="U407" s="663"/>
      <c r="V407" s="663"/>
      <c r="W407" s="663"/>
      <c r="X407" s="663"/>
      <c r="Y407" s="663"/>
      <c r="Z407" s="663"/>
    </row>
    <row r="408">
      <c r="A408" s="670"/>
      <c r="B408" s="671"/>
      <c r="C408" s="672"/>
      <c r="D408" s="673"/>
      <c r="E408" s="663"/>
      <c r="F408" s="663"/>
      <c r="G408" s="663"/>
      <c r="H408" s="663"/>
      <c r="I408" s="663"/>
      <c r="J408" s="663"/>
      <c r="K408" s="663"/>
      <c r="L408" s="663"/>
      <c r="M408" s="663"/>
      <c r="N408" s="663"/>
      <c r="O408" s="663"/>
      <c r="P408" s="663"/>
      <c r="Q408" s="663"/>
      <c r="R408" s="663"/>
      <c r="S408" s="663"/>
      <c r="T408" s="663"/>
      <c r="U408" s="663"/>
      <c r="V408" s="663"/>
      <c r="W408" s="663"/>
      <c r="X408" s="663"/>
      <c r="Y408" s="663"/>
      <c r="Z408" s="663"/>
    </row>
    <row r="409">
      <c r="A409" s="670"/>
      <c r="B409" s="671"/>
      <c r="C409" s="672"/>
      <c r="D409" s="673"/>
      <c r="E409" s="663"/>
      <c r="F409" s="663"/>
      <c r="G409" s="663"/>
      <c r="H409" s="663"/>
      <c r="I409" s="663"/>
      <c r="J409" s="663"/>
      <c r="K409" s="663"/>
      <c r="L409" s="663"/>
      <c r="M409" s="663"/>
      <c r="N409" s="663"/>
      <c r="O409" s="663"/>
      <c r="P409" s="663"/>
      <c r="Q409" s="663"/>
      <c r="R409" s="663"/>
      <c r="S409" s="663"/>
      <c r="T409" s="663"/>
      <c r="U409" s="663"/>
      <c r="V409" s="663"/>
      <c r="W409" s="663"/>
      <c r="X409" s="663"/>
      <c r="Y409" s="663"/>
      <c r="Z409" s="663"/>
    </row>
    <row r="410">
      <c r="A410" s="670"/>
      <c r="B410" s="671"/>
      <c r="C410" s="672"/>
      <c r="D410" s="673"/>
      <c r="E410" s="663"/>
      <c r="F410" s="663"/>
      <c r="G410" s="663"/>
      <c r="H410" s="663"/>
      <c r="I410" s="663"/>
      <c r="J410" s="663"/>
      <c r="K410" s="663"/>
      <c r="L410" s="663"/>
      <c r="M410" s="663"/>
      <c r="N410" s="663"/>
      <c r="O410" s="663"/>
      <c r="P410" s="663"/>
      <c r="Q410" s="663"/>
      <c r="R410" s="663"/>
      <c r="S410" s="663"/>
      <c r="T410" s="663"/>
      <c r="U410" s="663"/>
      <c r="V410" s="663"/>
      <c r="W410" s="663"/>
      <c r="X410" s="663"/>
      <c r="Y410" s="663"/>
      <c r="Z410" s="663"/>
    </row>
    <row r="411">
      <c r="A411" s="670"/>
      <c r="B411" s="671"/>
      <c r="C411" s="672"/>
      <c r="D411" s="673"/>
      <c r="E411" s="663"/>
      <c r="F411" s="663"/>
      <c r="G411" s="663"/>
      <c r="H411" s="663"/>
      <c r="I411" s="663"/>
      <c r="J411" s="663"/>
      <c r="K411" s="663"/>
      <c r="L411" s="663"/>
      <c r="M411" s="663"/>
      <c r="N411" s="663"/>
      <c r="O411" s="663"/>
      <c r="P411" s="663"/>
      <c r="Q411" s="663"/>
      <c r="R411" s="663"/>
      <c r="S411" s="663"/>
      <c r="T411" s="663"/>
      <c r="U411" s="663"/>
      <c r="V411" s="663"/>
      <c r="W411" s="663"/>
      <c r="X411" s="663"/>
      <c r="Y411" s="663"/>
      <c r="Z411" s="663"/>
    </row>
    <row r="412">
      <c r="A412" s="670"/>
      <c r="B412" s="671"/>
      <c r="C412" s="672"/>
      <c r="D412" s="673"/>
      <c r="E412" s="663"/>
      <c r="F412" s="663"/>
      <c r="G412" s="663"/>
      <c r="H412" s="663"/>
      <c r="I412" s="663"/>
      <c r="J412" s="663"/>
      <c r="K412" s="663"/>
      <c r="L412" s="663"/>
      <c r="M412" s="663"/>
      <c r="N412" s="663"/>
      <c r="O412" s="663"/>
      <c r="P412" s="663"/>
      <c r="Q412" s="663"/>
      <c r="R412" s="663"/>
      <c r="S412" s="663"/>
      <c r="T412" s="663"/>
      <c r="U412" s="663"/>
      <c r="V412" s="663"/>
      <c r="W412" s="663"/>
      <c r="X412" s="663"/>
      <c r="Y412" s="663"/>
      <c r="Z412" s="663"/>
    </row>
    <row r="413">
      <c r="A413" s="670"/>
      <c r="B413" s="671"/>
      <c r="C413" s="672"/>
      <c r="D413" s="673"/>
      <c r="E413" s="663"/>
      <c r="F413" s="663"/>
      <c r="G413" s="663"/>
      <c r="H413" s="663"/>
      <c r="I413" s="663"/>
      <c r="J413" s="663"/>
      <c r="K413" s="663"/>
      <c r="L413" s="663"/>
      <c r="M413" s="663"/>
      <c r="N413" s="663"/>
      <c r="O413" s="663"/>
      <c r="P413" s="663"/>
      <c r="Q413" s="663"/>
      <c r="R413" s="663"/>
      <c r="S413" s="663"/>
      <c r="T413" s="663"/>
      <c r="U413" s="663"/>
      <c r="V413" s="663"/>
      <c r="W413" s="663"/>
      <c r="X413" s="663"/>
      <c r="Y413" s="663"/>
      <c r="Z413" s="663"/>
    </row>
    <row r="414">
      <c r="A414" s="670"/>
      <c r="B414" s="671"/>
      <c r="C414" s="672"/>
      <c r="D414" s="673"/>
      <c r="E414" s="663"/>
      <c r="F414" s="663"/>
      <c r="G414" s="663"/>
      <c r="H414" s="663"/>
      <c r="I414" s="663"/>
      <c r="J414" s="663"/>
      <c r="K414" s="663"/>
      <c r="L414" s="663"/>
      <c r="M414" s="663"/>
      <c r="N414" s="663"/>
      <c r="O414" s="663"/>
      <c r="P414" s="663"/>
      <c r="Q414" s="663"/>
      <c r="R414" s="663"/>
      <c r="S414" s="663"/>
      <c r="T414" s="663"/>
      <c r="U414" s="663"/>
      <c r="V414" s="663"/>
      <c r="W414" s="663"/>
      <c r="X414" s="663"/>
      <c r="Y414" s="663"/>
      <c r="Z414" s="663"/>
    </row>
    <row r="415">
      <c r="A415" s="670"/>
      <c r="B415" s="671"/>
      <c r="C415" s="672"/>
      <c r="D415" s="673"/>
      <c r="E415" s="663"/>
      <c r="F415" s="663"/>
      <c r="G415" s="663"/>
      <c r="H415" s="663"/>
      <c r="I415" s="663"/>
      <c r="J415" s="663"/>
      <c r="K415" s="663"/>
      <c r="L415" s="663"/>
      <c r="M415" s="663"/>
      <c r="N415" s="663"/>
      <c r="O415" s="663"/>
      <c r="P415" s="663"/>
      <c r="Q415" s="663"/>
      <c r="R415" s="663"/>
      <c r="S415" s="663"/>
      <c r="T415" s="663"/>
      <c r="U415" s="663"/>
      <c r="V415" s="663"/>
      <c r="W415" s="663"/>
      <c r="X415" s="663"/>
      <c r="Y415" s="663"/>
      <c r="Z415" s="663"/>
    </row>
    <row r="416">
      <c r="A416" s="670"/>
      <c r="B416" s="671"/>
      <c r="C416" s="672"/>
      <c r="D416" s="673"/>
      <c r="E416" s="663"/>
      <c r="F416" s="663"/>
      <c r="G416" s="663"/>
      <c r="H416" s="663"/>
      <c r="I416" s="663"/>
      <c r="J416" s="663"/>
      <c r="K416" s="663"/>
      <c r="L416" s="663"/>
      <c r="M416" s="663"/>
      <c r="N416" s="663"/>
      <c r="O416" s="663"/>
      <c r="P416" s="663"/>
      <c r="Q416" s="663"/>
      <c r="R416" s="663"/>
      <c r="S416" s="663"/>
      <c r="T416" s="663"/>
      <c r="U416" s="663"/>
      <c r="V416" s="663"/>
      <c r="W416" s="663"/>
      <c r="X416" s="663"/>
      <c r="Y416" s="663"/>
      <c r="Z416" s="663"/>
    </row>
    <row r="417">
      <c r="A417" s="670"/>
      <c r="B417" s="671"/>
      <c r="C417" s="672"/>
      <c r="D417" s="673"/>
      <c r="E417" s="663"/>
      <c r="F417" s="663"/>
      <c r="G417" s="663"/>
      <c r="H417" s="663"/>
      <c r="I417" s="663"/>
      <c r="J417" s="663"/>
      <c r="K417" s="663"/>
      <c r="L417" s="663"/>
      <c r="M417" s="663"/>
      <c r="N417" s="663"/>
      <c r="O417" s="663"/>
      <c r="P417" s="663"/>
      <c r="Q417" s="663"/>
      <c r="R417" s="663"/>
      <c r="S417" s="663"/>
      <c r="T417" s="663"/>
      <c r="U417" s="663"/>
      <c r="V417" s="663"/>
      <c r="W417" s="663"/>
      <c r="X417" s="663"/>
      <c r="Y417" s="663"/>
      <c r="Z417" s="663"/>
    </row>
    <row r="418">
      <c r="A418" s="670"/>
      <c r="B418" s="671"/>
      <c r="C418" s="672"/>
      <c r="D418" s="673"/>
      <c r="E418" s="663"/>
      <c r="F418" s="663"/>
      <c r="G418" s="663"/>
      <c r="H418" s="663"/>
      <c r="I418" s="663"/>
      <c r="J418" s="663"/>
      <c r="K418" s="663"/>
      <c r="L418" s="663"/>
      <c r="M418" s="663"/>
      <c r="N418" s="663"/>
      <c r="O418" s="663"/>
      <c r="P418" s="663"/>
      <c r="Q418" s="663"/>
      <c r="R418" s="663"/>
      <c r="S418" s="663"/>
      <c r="T418" s="663"/>
      <c r="U418" s="663"/>
      <c r="V418" s="663"/>
      <c r="W418" s="663"/>
      <c r="X418" s="663"/>
      <c r="Y418" s="663"/>
      <c r="Z418" s="663"/>
    </row>
    <row r="419">
      <c r="A419" s="670"/>
      <c r="B419" s="671"/>
      <c r="C419" s="672"/>
      <c r="D419" s="673"/>
      <c r="E419" s="663"/>
      <c r="F419" s="663"/>
      <c r="G419" s="663"/>
      <c r="H419" s="663"/>
      <c r="I419" s="663"/>
      <c r="J419" s="663"/>
      <c r="K419" s="663"/>
      <c r="L419" s="663"/>
      <c r="M419" s="663"/>
      <c r="N419" s="663"/>
      <c r="O419" s="663"/>
      <c r="P419" s="663"/>
      <c r="Q419" s="663"/>
      <c r="R419" s="663"/>
      <c r="S419" s="663"/>
      <c r="T419" s="663"/>
      <c r="U419" s="663"/>
      <c r="V419" s="663"/>
      <c r="W419" s="663"/>
      <c r="X419" s="663"/>
      <c r="Y419" s="663"/>
      <c r="Z419" s="663"/>
    </row>
    <row r="420">
      <c r="A420" s="670"/>
      <c r="B420" s="671"/>
      <c r="C420" s="672"/>
      <c r="D420" s="673"/>
      <c r="E420" s="663"/>
      <c r="F420" s="663"/>
      <c r="G420" s="663"/>
      <c r="H420" s="663"/>
      <c r="I420" s="663"/>
      <c r="J420" s="663"/>
      <c r="K420" s="663"/>
      <c r="L420" s="663"/>
      <c r="M420" s="663"/>
      <c r="N420" s="663"/>
      <c r="O420" s="663"/>
      <c r="P420" s="663"/>
      <c r="Q420" s="663"/>
      <c r="R420" s="663"/>
      <c r="S420" s="663"/>
      <c r="T420" s="663"/>
      <c r="U420" s="663"/>
      <c r="V420" s="663"/>
      <c r="W420" s="663"/>
      <c r="X420" s="663"/>
      <c r="Y420" s="663"/>
      <c r="Z420" s="663"/>
    </row>
    <row r="421">
      <c r="A421" s="670"/>
      <c r="B421" s="671"/>
      <c r="C421" s="672"/>
      <c r="D421" s="673"/>
      <c r="E421" s="663"/>
      <c r="F421" s="663"/>
      <c r="G421" s="663"/>
      <c r="H421" s="663"/>
      <c r="I421" s="663"/>
      <c r="J421" s="663"/>
      <c r="K421" s="663"/>
      <c r="L421" s="663"/>
      <c r="M421" s="663"/>
      <c r="N421" s="663"/>
      <c r="O421" s="663"/>
      <c r="P421" s="663"/>
      <c r="Q421" s="663"/>
      <c r="R421" s="663"/>
      <c r="S421" s="663"/>
      <c r="T421" s="663"/>
      <c r="U421" s="663"/>
      <c r="V421" s="663"/>
      <c r="W421" s="663"/>
      <c r="X421" s="663"/>
      <c r="Y421" s="663"/>
      <c r="Z421" s="663"/>
    </row>
    <row r="422">
      <c r="A422" s="670"/>
      <c r="B422" s="671"/>
      <c r="C422" s="672"/>
      <c r="D422" s="673"/>
      <c r="E422" s="663"/>
      <c r="F422" s="663"/>
      <c r="G422" s="663"/>
      <c r="H422" s="663"/>
      <c r="I422" s="663"/>
      <c r="J422" s="663"/>
      <c r="K422" s="663"/>
      <c r="L422" s="663"/>
      <c r="M422" s="663"/>
      <c r="N422" s="663"/>
      <c r="O422" s="663"/>
      <c r="P422" s="663"/>
      <c r="Q422" s="663"/>
      <c r="R422" s="663"/>
      <c r="S422" s="663"/>
      <c r="T422" s="663"/>
      <c r="U422" s="663"/>
      <c r="V422" s="663"/>
      <c r="W422" s="663"/>
      <c r="X422" s="663"/>
      <c r="Y422" s="663"/>
      <c r="Z422" s="663"/>
    </row>
    <row r="423">
      <c r="A423" s="670"/>
      <c r="B423" s="671"/>
      <c r="C423" s="672"/>
      <c r="D423" s="673"/>
      <c r="E423" s="663"/>
      <c r="F423" s="663"/>
      <c r="G423" s="663"/>
      <c r="H423" s="663"/>
      <c r="I423" s="663"/>
      <c r="J423" s="663"/>
      <c r="K423" s="663"/>
      <c r="L423" s="663"/>
      <c r="M423" s="663"/>
      <c r="N423" s="663"/>
      <c r="O423" s="663"/>
      <c r="P423" s="663"/>
      <c r="Q423" s="663"/>
      <c r="R423" s="663"/>
      <c r="S423" s="663"/>
      <c r="T423" s="663"/>
      <c r="U423" s="663"/>
      <c r="V423" s="663"/>
      <c r="W423" s="663"/>
      <c r="X423" s="663"/>
      <c r="Y423" s="663"/>
      <c r="Z423" s="663"/>
    </row>
    <row r="424">
      <c r="A424" s="670"/>
      <c r="B424" s="671"/>
      <c r="C424" s="672"/>
      <c r="D424" s="673"/>
      <c r="E424" s="663"/>
      <c r="F424" s="663"/>
      <c r="G424" s="663"/>
      <c r="H424" s="663"/>
      <c r="I424" s="663"/>
      <c r="J424" s="663"/>
      <c r="K424" s="663"/>
      <c r="L424" s="663"/>
      <c r="M424" s="663"/>
      <c r="N424" s="663"/>
      <c r="O424" s="663"/>
      <c r="P424" s="663"/>
      <c r="Q424" s="663"/>
      <c r="R424" s="663"/>
      <c r="S424" s="663"/>
      <c r="T424" s="663"/>
      <c r="U424" s="663"/>
      <c r="V424" s="663"/>
      <c r="W424" s="663"/>
      <c r="X424" s="663"/>
      <c r="Y424" s="663"/>
      <c r="Z424" s="663"/>
    </row>
    <row r="425">
      <c r="A425" s="670"/>
      <c r="B425" s="671"/>
      <c r="C425" s="672"/>
      <c r="D425" s="673"/>
      <c r="E425" s="663"/>
      <c r="F425" s="663"/>
      <c r="G425" s="663"/>
      <c r="H425" s="663"/>
      <c r="I425" s="663"/>
      <c r="J425" s="663"/>
      <c r="K425" s="663"/>
      <c r="L425" s="663"/>
      <c r="M425" s="663"/>
      <c r="N425" s="663"/>
      <c r="O425" s="663"/>
      <c r="P425" s="663"/>
      <c r="Q425" s="663"/>
      <c r="R425" s="663"/>
      <c r="S425" s="663"/>
      <c r="T425" s="663"/>
      <c r="U425" s="663"/>
      <c r="V425" s="663"/>
      <c r="W425" s="663"/>
      <c r="X425" s="663"/>
      <c r="Y425" s="663"/>
      <c r="Z425" s="663"/>
    </row>
    <row r="426">
      <c r="A426" s="670"/>
      <c r="B426" s="671"/>
      <c r="C426" s="672"/>
      <c r="D426" s="673"/>
      <c r="E426" s="663"/>
      <c r="F426" s="663"/>
      <c r="G426" s="663"/>
      <c r="H426" s="663"/>
      <c r="I426" s="663"/>
      <c r="J426" s="663"/>
      <c r="K426" s="663"/>
      <c r="L426" s="663"/>
      <c r="M426" s="663"/>
      <c r="N426" s="663"/>
      <c r="O426" s="663"/>
      <c r="P426" s="663"/>
      <c r="Q426" s="663"/>
      <c r="R426" s="663"/>
      <c r="S426" s="663"/>
      <c r="T426" s="663"/>
      <c r="U426" s="663"/>
      <c r="V426" s="663"/>
      <c r="W426" s="663"/>
      <c r="X426" s="663"/>
      <c r="Y426" s="663"/>
      <c r="Z426" s="663"/>
    </row>
    <row r="427">
      <c r="A427" s="670"/>
      <c r="B427" s="671"/>
      <c r="C427" s="672"/>
      <c r="D427" s="673"/>
      <c r="E427" s="663"/>
      <c r="F427" s="663"/>
      <c r="G427" s="663"/>
      <c r="H427" s="663"/>
      <c r="I427" s="663"/>
      <c r="J427" s="663"/>
      <c r="K427" s="663"/>
      <c r="L427" s="663"/>
      <c r="M427" s="663"/>
      <c r="N427" s="663"/>
      <c r="O427" s="663"/>
      <c r="P427" s="663"/>
      <c r="Q427" s="663"/>
      <c r="R427" s="663"/>
      <c r="S427" s="663"/>
      <c r="T427" s="663"/>
      <c r="U427" s="663"/>
      <c r="V427" s="663"/>
      <c r="W427" s="663"/>
      <c r="X427" s="663"/>
      <c r="Y427" s="663"/>
      <c r="Z427" s="663"/>
    </row>
    <row r="428">
      <c r="A428" s="670"/>
      <c r="B428" s="671"/>
      <c r="C428" s="672"/>
      <c r="D428" s="673"/>
      <c r="E428" s="663"/>
      <c r="F428" s="663"/>
      <c r="G428" s="663"/>
      <c r="H428" s="663"/>
      <c r="I428" s="663"/>
      <c r="J428" s="663"/>
      <c r="K428" s="663"/>
      <c r="L428" s="663"/>
      <c r="M428" s="663"/>
      <c r="N428" s="663"/>
      <c r="O428" s="663"/>
      <c r="P428" s="663"/>
      <c r="Q428" s="663"/>
      <c r="R428" s="663"/>
      <c r="S428" s="663"/>
      <c r="T428" s="663"/>
      <c r="U428" s="663"/>
      <c r="V428" s="663"/>
      <c r="W428" s="663"/>
      <c r="X428" s="663"/>
      <c r="Y428" s="663"/>
      <c r="Z428" s="663"/>
    </row>
    <row r="429">
      <c r="A429" s="670"/>
      <c r="B429" s="671"/>
      <c r="C429" s="672"/>
      <c r="D429" s="673"/>
      <c r="E429" s="663"/>
      <c r="F429" s="663"/>
      <c r="G429" s="663"/>
      <c r="H429" s="663"/>
      <c r="I429" s="663"/>
      <c r="J429" s="663"/>
      <c r="K429" s="663"/>
      <c r="L429" s="663"/>
      <c r="M429" s="663"/>
      <c r="N429" s="663"/>
      <c r="O429" s="663"/>
      <c r="P429" s="663"/>
      <c r="Q429" s="663"/>
      <c r="R429" s="663"/>
      <c r="S429" s="663"/>
      <c r="T429" s="663"/>
      <c r="U429" s="663"/>
      <c r="V429" s="663"/>
      <c r="W429" s="663"/>
      <c r="X429" s="663"/>
      <c r="Y429" s="663"/>
      <c r="Z429" s="663"/>
    </row>
    <row r="430">
      <c r="A430" s="670"/>
      <c r="B430" s="671"/>
      <c r="C430" s="672"/>
      <c r="D430" s="673"/>
      <c r="E430" s="663"/>
      <c r="F430" s="663"/>
      <c r="G430" s="663"/>
      <c r="H430" s="663"/>
      <c r="I430" s="663"/>
      <c r="J430" s="663"/>
      <c r="K430" s="663"/>
      <c r="L430" s="663"/>
      <c r="M430" s="663"/>
      <c r="N430" s="663"/>
      <c r="O430" s="663"/>
      <c r="P430" s="663"/>
      <c r="Q430" s="663"/>
      <c r="R430" s="663"/>
      <c r="S430" s="663"/>
      <c r="T430" s="663"/>
      <c r="U430" s="663"/>
      <c r="V430" s="663"/>
      <c r="W430" s="663"/>
      <c r="X430" s="663"/>
      <c r="Y430" s="663"/>
      <c r="Z430" s="663"/>
    </row>
    <row r="431">
      <c r="A431" s="670"/>
      <c r="B431" s="671"/>
      <c r="C431" s="672"/>
      <c r="D431" s="673"/>
      <c r="E431" s="663"/>
      <c r="F431" s="663"/>
      <c r="G431" s="663"/>
      <c r="H431" s="663"/>
      <c r="I431" s="663"/>
      <c r="J431" s="663"/>
      <c r="K431" s="663"/>
      <c r="L431" s="663"/>
      <c r="M431" s="663"/>
      <c r="N431" s="663"/>
      <c r="O431" s="663"/>
      <c r="P431" s="663"/>
      <c r="Q431" s="663"/>
      <c r="R431" s="663"/>
      <c r="S431" s="663"/>
      <c r="T431" s="663"/>
      <c r="U431" s="663"/>
      <c r="V431" s="663"/>
      <c r="W431" s="663"/>
      <c r="X431" s="663"/>
      <c r="Y431" s="663"/>
      <c r="Z431" s="663"/>
    </row>
    <row r="432">
      <c r="A432" s="670"/>
      <c r="B432" s="671"/>
      <c r="C432" s="672"/>
      <c r="D432" s="673"/>
      <c r="E432" s="663"/>
      <c r="F432" s="663"/>
      <c r="G432" s="663"/>
      <c r="H432" s="663"/>
      <c r="I432" s="663"/>
      <c r="J432" s="663"/>
      <c r="K432" s="663"/>
      <c r="L432" s="663"/>
      <c r="M432" s="663"/>
      <c r="N432" s="663"/>
      <c r="O432" s="663"/>
      <c r="P432" s="663"/>
      <c r="Q432" s="663"/>
      <c r="R432" s="663"/>
      <c r="S432" s="663"/>
      <c r="T432" s="663"/>
      <c r="U432" s="663"/>
      <c r="V432" s="663"/>
      <c r="W432" s="663"/>
      <c r="X432" s="663"/>
      <c r="Y432" s="663"/>
      <c r="Z432" s="663"/>
    </row>
    <row r="433">
      <c r="A433" s="670"/>
      <c r="B433" s="671"/>
      <c r="C433" s="672"/>
      <c r="D433" s="673"/>
      <c r="E433" s="663"/>
      <c r="F433" s="663"/>
      <c r="G433" s="663"/>
      <c r="H433" s="663"/>
      <c r="I433" s="663"/>
      <c r="J433" s="663"/>
      <c r="K433" s="663"/>
      <c r="L433" s="663"/>
      <c r="M433" s="663"/>
      <c r="N433" s="663"/>
      <c r="O433" s="663"/>
      <c r="P433" s="663"/>
      <c r="Q433" s="663"/>
      <c r="R433" s="663"/>
      <c r="S433" s="663"/>
      <c r="T433" s="663"/>
      <c r="U433" s="663"/>
      <c r="V433" s="663"/>
      <c r="W433" s="663"/>
      <c r="X433" s="663"/>
      <c r="Y433" s="663"/>
      <c r="Z433" s="663"/>
    </row>
    <row r="434">
      <c r="A434" s="670"/>
      <c r="B434" s="671"/>
      <c r="C434" s="672"/>
      <c r="D434" s="673"/>
      <c r="E434" s="663"/>
      <c r="F434" s="663"/>
      <c r="G434" s="663"/>
      <c r="H434" s="663"/>
      <c r="I434" s="663"/>
      <c r="J434" s="663"/>
      <c r="K434" s="663"/>
      <c r="L434" s="663"/>
      <c r="M434" s="663"/>
      <c r="N434" s="663"/>
      <c r="O434" s="663"/>
      <c r="P434" s="663"/>
      <c r="Q434" s="663"/>
      <c r="R434" s="663"/>
      <c r="S434" s="663"/>
      <c r="T434" s="663"/>
      <c r="U434" s="663"/>
      <c r="V434" s="663"/>
      <c r="W434" s="663"/>
      <c r="X434" s="663"/>
      <c r="Y434" s="663"/>
      <c r="Z434" s="663"/>
    </row>
    <row r="435">
      <c r="A435" s="670"/>
      <c r="B435" s="671"/>
      <c r="C435" s="672"/>
      <c r="D435" s="673"/>
      <c r="E435" s="663"/>
      <c r="F435" s="663"/>
      <c r="G435" s="663"/>
      <c r="H435" s="663"/>
      <c r="I435" s="663"/>
      <c r="J435" s="663"/>
      <c r="K435" s="663"/>
      <c r="L435" s="663"/>
      <c r="M435" s="663"/>
      <c r="N435" s="663"/>
      <c r="O435" s="663"/>
      <c r="P435" s="663"/>
      <c r="Q435" s="663"/>
      <c r="R435" s="663"/>
      <c r="S435" s="663"/>
      <c r="T435" s="663"/>
      <c r="U435" s="663"/>
      <c r="V435" s="663"/>
      <c r="W435" s="663"/>
      <c r="X435" s="663"/>
      <c r="Y435" s="663"/>
      <c r="Z435" s="663"/>
    </row>
    <row r="436">
      <c r="A436" s="670"/>
      <c r="B436" s="671"/>
      <c r="C436" s="672"/>
      <c r="D436" s="673"/>
      <c r="E436" s="663"/>
      <c r="F436" s="663"/>
      <c r="G436" s="663"/>
      <c r="H436" s="663"/>
      <c r="I436" s="663"/>
      <c r="J436" s="663"/>
      <c r="K436" s="663"/>
      <c r="L436" s="663"/>
      <c r="M436" s="663"/>
      <c r="N436" s="663"/>
      <c r="O436" s="663"/>
      <c r="P436" s="663"/>
      <c r="Q436" s="663"/>
      <c r="R436" s="663"/>
      <c r="S436" s="663"/>
      <c r="T436" s="663"/>
      <c r="U436" s="663"/>
      <c r="V436" s="663"/>
      <c r="W436" s="663"/>
      <c r="X436" s="663"/>
      <c r="Y436" s="663"/>
      <c r="Z436" s="663"/>
    </row>
    <row r="437">
      <c r="A437" s="670"/>
      <c r="B437" s="671"/>
      <c r="C437" s="672"/>
      <c r="D437" s="673"/>
      <c r="E437" s="663"/>
      <c r="F437" s="663"/>
      <c r="G437" s="663"/>
      <c r="H437" s="663"/>
      <c r="I437" s="663"/>
      <c r="J437" s="663"/>
      <c r="K437" s="663"/>
      <c r="L437" s="663"/>
      <c r="M437" s="663"/>
      <c r="N437" s="663"/>
      <c r="O437" s="663"/>
      <c r="P437" s="663"/>
      <c r="Q437" s="663"/>
      <c r="R437" s="663"/>
      <c r="S437" s="663"/>
      <c r="T437" s="663"/>
      <c r="U437" s="663"/>
      <c r="V437" s="663"/>
      <c r="W437" s="663"/>
      <c r="X437" s="663"/>
      <c r="Y437" s="663"/>
      <c r="Z437" s="663"/>
    </row>
    <row r="438">
      <c r="A438" s="670"/>
      <c r="B438" s="671"/>
      <c r="C438" s="672"/>
      <c r="D438" s="673"/>
      <c r="E438" s="663"/>
      <c r="F438" s="663"/>
      <c r="G438" s="663"/>
      <c r="H438" s="663"/>
      <c r="I438" s="663"/>
      <c r="J438" s="663"/>
      <c r="K438" s="663"/>
      <c r="L438" s="663"/>
      <c r="M438" s="663"/>
      <c r="N438" s="663"/>
      <c r="O438" s="663"/>
      <c r="P438" s="663"/>
      <c r="Q438" s="663"/>
      <c r="R438" s="663"/>
      <c r="S438" s="663"/>
      <c r="T438" s="663"/>
      <c r="U438" s="663"/>
      <c r="V438" s="663"/>
      <c r="W438" s="663"/>
      <c r="X438" s="663"/>
      <c r="Y438" s="663"/>
      <c r="Z438" s="663"/>
    </row>
    <row r="439">
      <c r="A439" s="670"/>
      <c r="B439" s="671"/>
      <c r="C439" s="672"/>
      <c r="D439" s="673"/>
      <c r="E439" s="663"/>
      <c r="F439" s="663"/>
      <c r="G439" s="663"/>
      <c r="H439" s="663"/>
      <c r="I439" s="663"/>
      <c r="J439" s="663"/>
      <c r="K439" s="663"/>
      <c r="L439" s="663"/>
      <c r="M439" s="663"/>
      <c r="N439" s="663"/>
      <c r="O439" s="663"/>
      <c r="P439" s="663"/>
      <c r="Q439" s="663"/>
      <c r="R439" s="663"/>
      <c r="S439" s="663"/>
      <c r="T439" s="663"/>
      <c r="U439" s="663"/>
      <c r="V439" s="663"/>
      <c r="W439" s="663"/>
      <c r="X439" s="663"/>
      <c r="Y439" s="663"/>
      <c r="Z439" s="663"/>
    </row>
    <row r="440">
      <c r="A440" s="670"/>
      <c r="B440" s="671"/>
      <c r="C440" s="672"/>
      <c r="D440" s="673"/>
      <c r="E440" s="663"/>
      <c r="F440" s="663"/>
      <c r="G440" s="663"/>
      <c r="H440" s="663"/>
      <c r="I440" s="663"/>
      <c r="J440" s="663"/>
      <c r="K440" s="663"/>
      <c r="L440" s="663"/>
      <c r="M440" s="663"/>
      <c r="N440" s="663"/>
      <c r="O440" s="663"/>
      <c r="P440" s="663"/>
      <c r="Q440" s="663"/>
      <c r="R440" s="663"/>
      <c r="S440" s="663"/>
      <c r="T440" s="663"/>
      <c r="U440" s="663"/>
      <c r="V440" s="663"/>
      <c r="W440" s="663"/>
      <c r="X440" s="663"/>
      <c r="Y440" s="663"/>
      <c r="Z440" s="663"/>
    </row>
    <row r="441">
      <c r="A441" s="670"/>
      <c r="B441" s="671"/>
      <c r="C441" s="672"/>
      <c r="D441" s="673"/>
      <c r="E441" s="663"/>
      <c r="F441" s="663"/>
      <c r="G441" s="663"/>
      <c r="H441" s="663"/>
      <c r="I441" s="663"/>
      <c r="J441" s="663"/>
      <c r="K441" s="663"/>
      <c r="L441" s="663"/>
      <c r="M441" s="663"/>
      <c r="N441" s="663"/>
      <c r="O441" s="663"/>
      <c r="P441" s="663"/>
      <c r="Q441" s="663"/>
      <c r="R441" s="663"/>
      <c r="S441" s="663"/>
      <c r="T441" s="663"/>
      <c r="U441" s="663"/>
      <c r="V441" s="663"/>
      <c r="W441" s="663"/>
      <c r="X441" s="663"/>
      <c r="Y441" s="663"/>
      <c r="Z441" s="663"/>
    </row>
    <row r="442">
      <c r="A442" s="670"/>
      <c r="B442" s="671"/>
      <c r="C442" s="672"/>
      <c r="D442" s="673"/>
      <c r="E442" s="663"/>
      <c r="F442" s="663"/>
      <c r="G442" s="663"/>
      <c r="H442" s="663"/>
      <c r="I442" s="663"/>
      <c r="J442" s="663"/>
      <c r="K442" s="663"/>
      <c r="L442" s="663"/>
      <c r="M442" s="663"/>
      <c r="N442" s="663"/>
      <c r="O442" s="663"/>
      <c r="P442" s="663"/>
      <c r="Q442" s="663"/>
      <c r="R442" s="663"/>
      <c r="S442" s="663"/>
      <c r="T442" s="663"/>
      <c r="U442" s="663"/>
      <c r="V442" s="663"/>
      <c r="W442" s="663"/>
      <c r="X442" s="663"/>
      <c r="Y442" s="663"/>
      <c r="Z442" s="663"/>
    </row>
    <row r="443">
      <c r="A443" s="670"/>
      <c r="B443" s="671"/>
      <c r="C443" s="672"/>
      <c r="D443" s="673"/>
      <c r="E443" s="663"/>
      <c r="F443" s="663"/>
      <c r="G443" s="663"/>
      <c r="H443" s="663"/>
      <c r="I443" s="663"/>
      <c r="J443" s="663"/>
      <c r="K443" s="663"/>
      <c r="L443" s="663"/>
      <c r="M443" s="663"/>
      <c r="N443" s="663"/>
      <c r="O443" s="663"/>
      <c r="P443" s="663"/>
      <c r="Q443" s="663"/>
      <c r="R443" s="663"/>
      <c r="S443" s="663"/>
      <c r="T443" s="663"/>
      <c r="U443" s="663"/>
      <c r="V443" s="663"/>
      <c r="W443" s="663"/>
      <c r="X443" s="663"/>
      <c r="Y443" s="663"/>
      <c r="Z443" s="663"/>
    </row>
    <row r="444">
      <c r="A444" s="670"/>
      <c r="B444" s="671"/>
      <c r="C444" s="672"/>
      <c r="D444" s="673"/>
      <c r="E444" s="663"/>
      <c r="F444" s="663"/>
      <c r="G444" s="663"/>
      <c r="H444" s="663"/>
      <c r="I444" s="663"/>
      <c r="J444" s="663"/>
      <c r="K444" s="663"/>
      <c r="L444" s="663"/>
      <c r="M444" s="663"/>
      <c r="N444" s="663"/>
      <c r="O444" s="663"/>
      <c r="P444" s="663"/>
      <c r="Q444" s="663"/>
      <c r="R444" s="663"/>
      <c r="S444" s="663"/>
      <c r="T444" s="663"/>
      <c r="U444" s="663"/>
      <c r="V444" s="663"/>
      <c r="W444" s="663"/>
      <c r="X444" s="663"/>
      <c r="Y444" s="663"/>
      <c r="Z444" s="663"/>
    </row>
    <row r="445">
      <c r="A445" s="670"/>
      <c r="B445" s="671"/>
      <c r="C445" s="672"/>
      <c r="D445" s="673"/>
      <c r="E445" s="663"/>
      <c r="F445" s="663"/>
      <c r="G445" s="663"/>
      <c r="H445" s="663"/>
      <c r="I445" s="663"/>
      <c r="J445" s="663"/>
      <c r="K445" s="663"/>
      <c r="L445" s="663"/>
      <c r="M445" s="663"/>
      <c r="N445" s="663"/>
      <c r="O445" s="663"/>
      <c r="P445" s="663"/>
      <c r="Q445" s="663"/>
      <c r="R445" s="663"/>
      <c r="S445" s="663"/>
      <c r="T445" s="663"/>
      <c r="U445" s="663"/>
      <c r="V445" s="663"/>
      <c r="W445" s="663"/>
      <c r="X445" s="663"/>
      <c r="Y445" s="663"/>
      <c r="Z445" s="663"/>
    </row>
    <row r="446">
      <c r="A446" s="670"/>
      <c r="B446" s="671"/>
      <c r="C446" s="672"/>
      <c r="D446" s="673"/>
      <c r="E446" s="663"/>
      <c r="F446" s="663"/>
      <c r="G446" s="663"/>
      <c r="H446" s="663"/>
      <c r="I446" s="663"/>
      <c r="J446" s="663"/>
      <c r="K446" s="663"/>
      <c r="L446" s="663"/>
      <c r="M446" s="663"/>
      <c r="N446" s="663"/>
      <c r="O446" s="663"/>
      <c r="P446" s="663"/>
      <c r="Q446" s="663"/>
      <c r="R446" s="663"/>
      <c r="S446" s="663"/>
      <c r="T446" s="663"/>
      <c r="U446" s="663"/>
      <c r="V446" s="663"/>
      <c r="W446" s="663"/>
      <c r="X446" s="663"/>
      <c r="Y446" s="663"/>
      <c r="Z446" s="663"/>
    </row>
    <row r="447">
      <c r="A447" s="670"/>
      <c r="B447" s="671"/>
      <c r="C447" s="672"/>
      <c r="D447" s="673"/>
      <c r="E447" s="663"/>
      <c r="F447" s="663"/>
      <c r="G447" s="663"/>
      <c r="H447" s="663"/>
      <c r="I447" s="663"/>
      <c r="J447" s="663"/>
      <c r="K447" s="663"/>
      <c r="L447" s="663"/>
      <c r="M447" s="663"/>
      <c r="N447" s="663"/>
      <c r="O447" s="663"/>
      <c r="P447" s="663"/>
      <c r="Q447" s="663"/>
      <c r="R447" s="663"/>
      <c r="S447" s="663"/>
      <c r="T447" s="663"/>
      <c r="U447" s="663"/>
      <c r="V447" s="663"/>
      <c r="W447" s="663"/>
      <c r="X447" s="663"/>
      <c r="Y447" s="663"/>
      <c r="Z447" s="663"/>
    </row>
    <row r="448">
      <c r="A448" s="670"/>
      <c r="B448" s="671"/>
      <c r="C448" s="672"/>
      <c r="D448" s="673"/>
      <c r="E448" s="663"/>
      <c r="F448" s="663"/>
      <c r="G448" s="663"/>
      <c r="H448" s="663"/>
      <c r="I448" s="663"/>
      <c r="J448" s="663"/>
      <c r="K448" s="663"/>
      <c r="L448" s="663"/>
      <c r="M448" s="663"/>
      <c r="N448" s="663"/>
      <c r="O448" s="663"/>
      <c r="P448" s="663"/>
      <c r="Q448" s="663"/>
      <c r="R448" s="663"/>
      <c r="S448" s="663"/>
      <c r="T448" s="663"/>
      <c r="U448" s="663"/>
      <c r="V448" s="663"/>
      <c r="W448" s="663"/>
      <c r="X448" s="663"/>
      <c r="Y448" s="663"/>
      <c r="Z448" s="663"/>
    </row>
    <row r="449">
      <c r="A449" s="670"/>
      <c r="B449" s="671"/>
      <c r="C449" s="672"/>
      <c r="D449" s="673"/>
      <c r="E449" s="663"/>
      <c r="F449" s="663"/>
      <c r="G449" s="663"/>
      <c r="H449" s="663"/>
      <c r="I449" s="663"/>
      <c r="J449" s="663"/>
      <c r="K449" s="663"/>
      <c r="L449" s="663"/>
      <c r="M449" s="663"/>
      <c r="N449" s="663"/>
      <c r="O449" s="663"/>
      <c r="P449" s="663"/>
      <c r="Q449" s="663"/>
      <c r="R449" s="663"/>
      <c r="S449" s="663"/>
      <c r="T449" s="663"/>
      <c r="U449" s="663"/>
      <c r="V449" s="663"/>
      <c r="W449" s="663"/>
      <c r="X449" s="663"/>
      <c r="Y449" s="663"/>
      <c r="Z449" s="663"/>
    </row>
    <row r="450">
      <c r="A450" s="670"/>
      <c r="B450" s="671"/>
      <c r="C450" s="672"/>
      <c r="D450" s="673"/>
      <c r="E450" s="663"/>
      <c r="F450" s="663"/>
      <c r="G450" s="663"/>
      <c r="H450" s="663"/>
      <c r="I450" s="663"/>
      <c r="J450" s="663"/>
      <c r="K450" s="663"/>
      <c r="L450" s="663"/>
      <c r="M450" s="663"/>
      <c r="N450" s="663"/>
      <c r="O450" s="663"/>
      <c r="P450" s="663"/>
      <c r="Q450" s="663"/>
      <c r="R450" s="663"/>
      <c r="S450" s="663"/>
      <c r="T450" s="663"/>
      <c r="U450" s="663"/>
      <c r="V450" s="663"/>
      <c r="W450" s="663"/>
      <c r="X450" s="663"/>
      <c r="Y450" s="663"/>
      <c r="Z450" s="663"/>
    </row>
    <row r="451">
      <c r="A451" s="670"/>
      <c r="B451" s="671"/>
      <c r="C451" s="672"/>
      <c r="D451" s="673"/>
      <c r="E451" s="663"/>
      <c r="F451" s="663"/>
      <c r="G451" s="663"/>
      <c r="H451" s="663"/>
      <c r="I451" s="663"/>
      <c r="J451" s="663"/>
      <c r="K451" s="663"/>
      <c r="L451" s="663"/>
      <c r="M451" s="663"/>
      <c r="N451" s="663"/>
      <c r="O451" s="663"/>
      <c r="P451" s="663"/>
      <c r="Q451" s="663"/>
      <c r="R451" s="663"/>
      <c r="S451" s="663"/>
      <c r="T451" s="663"/>
      <c r="U451" s="663"/>
      <c r="V451" s="663"/>
      <c r="W451" s="663"/>
      <c r="X451" s="663"/>
      <c r="Y451" s="663"/>
      <c r="Z451" s="663"/>
    </row>
    <row r="452">
      <c r="A452" s="670"/>
      <c r="B452" s="671"/>
      <c r="C452" s="672"/>
      <c r="D452" s="673"/>
      <c r="E452" s="663"/>
      <c r="F452" s="663"/>
      <c r="G452" s="663"/>
      <c r="H452" s="663"/>
      <c r="I452" s="663"/>
      <c r="J452" s="663"/>
      <c r="K452" s="663"/>
      <c r="L452" s="663"/>
      <c r="M452" s="663"/>
      <c r="N452" s="663"/>
      <c r="O452" s="663"/>
      <c r="P452" s="663"/>
      <c r="Q452" s="663"/>
      <c r="R452" s="663"/>
      <c r="S452" s="663"/>
      <c r="T452" s="663"/>
      <c r="U452" s="663"/>
      <c r="V452" s="663"/>
      <c r="W452" s="663"/>
      <c r="X452" s="663"/>
      <c r="Y452" s="663"/>
      <c r="Z452" s="663"/>
    </row>
    <row r="453">
      <c r="A453" s="670"/>
      <c r="B453" s="671"/>
      <c r="C453" s="672"/>
      <c r="D453" s="673"/>
      <c r="E453" s="663"/>
      <c r="F453" s="663"/>
      <c r="G453" s="663"/>
      <c r="H453" s="663"/>
      <c r="I453" s="663"/>
      <c r="J453" s="663"/>
      <c r="K453" s="663"/>
      <c r="L453" s="663"/>
      <c r="M453" s="663"/>
      <c r="N453" s="663"/>
      <c r="O453" s="663"/>
      <c r="P453" s="663"/>
      <c r="Q453" s="663"/>
      <c r="R453" s="663"/>
      <c r="S453" s="663"/>
      <c r="T453" s="663"/>
      <c r="U453" s="663"/>
      <c r="V453" s="663"/>
      <c r="W453" s="663"/>
      <c r="X453" s="663"/>
      <c r="Y453" s="663"/>
      <c r="Z453" s="663"/>
    </row>
    <row r="454">
      <c r="A454" s="670"/>
      <c r="B454" s="671"/>
      <c r="C454" s="672"/>
      <c r="D454" s="673"/>
      <c r="E454" s="663"/>
      <c r="F454" s="663"/>
      <c r="G454" s="663"/>
      <c r="H454" s="663"/>
      <c r="I454" s="663"/>
      <c r="J454" s="663"/>
      <c r="K454" s="663"/>
      <c r="L454" s="663"/>
      <c r="M454" s="663"/>
      <c r="N454" s="663"/>
      <c r="O454" s="663"/>
      <c r="P454" s="663"/>
      <c r="Q454" s="663"/>
      <c r="R454" s="663"/>
      <c r="S454" s="663"/>
      <c r="T454" s="663"/>
      <c r="U454" s="663"/>
      <c r="V454" s="663"/>
      <c r="W454" s="663"/>
      <c r="X454" s="663"/>
      <c r="Y454" s="663"/>
      <c r="Z454" s="663"/>
    </row>
    <row r="455">
      <c r="A455" s="670"/>
      <c r="B455" s="671"/>
      <c r="C455" s="672"/>
      <c r="D455" s="673"/>
      <c r="E455" s="663"/>
      <c r="F455" s="663"/>
      <c r="G455" s="663"/>
      <c r="H455" s="663"/>
      <c r="I455" s="663"/>
      <c r="J455" s="663"/>
      <c r="K455" s="663"/>
      <c r="L455" s="663"/>
      <c r="M455" s="663"/>
      <c r="N455" s="663"/>
      <c r="O455" s="663"/>
      <c r="P455" s="663"/>
      <c r="Q455" s="663"/>
      <c r="R455" s="663"/>
      <c r="S455" s="663"/>
      <c r="T455" s="663"/>
      <c r="U455" s="663"/>
      <c r="V455" s="663"/>
      <c r="W455" s="663"/>
      <c r="X455" s="663"/>
      <c r="Y455" s="663"/>
      <c r="Z455" s="663"/>
    </row>
    <row r="456">
      <c r="A456" s="670"/>
      <c r="B456" s="671"/>
      <c r="C456" s="672"/>
      <c r="D456" s="673"/>
      <c r="E456" s="663"/>
      <c r="F456" s="663"/>
      <c r="G456" s="663"/>
      <c r="H456" s="663"/>
      <c r="I456" s="663"/>
      <c r="J456" s="663"/>
      <c r="K456" s="663"/>
      <c r="L456" s="663"/>
      <c r="M456" s="663"/>
      <c r="N456" s="663"/>
      <c r="O456" s="663"/>
      <c r="P456" s="663"/>
      <c r="Q456" s="663"/>
      <c r="R456" s="663"/>
      <c r="S456" s="663"/>
      <c r="T456" s="663"/>
      <c r="U456" s="663"/>
      <c r="V456" s="663"/>
      <c r="W456" s="663"/>
      <c r="X456" s="663"/>
      <c r="Y456" s="663"/>
      <c r="Z456" s="663"/>
    </row>
    <row r="457">
      <c r="A457" s="670"/>
      <c r="B457" s="671"/>
      <c r="C457" s="672"/>
      <c r="D457" s="673"/>
      <c r="E457" s="663"/>
      <c r="F457" s="663"/>
      <c r="G457" s="663"/>
      <c r="H457" s="663"/>
      <c r="I457" s="663"/>
      <c r="J457" s="663"/>
      <c r="K457" s="663"/>
      <c r="L457" s="663"/>
      <c r="M457" s="663"/>
      <c r="N457" s="663"/>
      <c r="O457" s="663"/>
      <c r="P457" s="663"/>
      <c r="Q457" s="663"/>
      <c r="R457" s="663"/>
      <c r="S457" s="663"/>
      <c r="T457" s="663"/>
      <c r="U457" s="663"/>
      <c r="V457" s="663"/>
      <c r="W457" s="663"/>
      <c r="X457" s="663"/>
      <c r="Y457" s="663"/>
      <c r="Z457" s="663"/>
    </row>
    <row r="458">
      <c r="A458" s="670"/>
      <c r="B458" s="671"/>
      <c r="C458" s="672"/>
      <c r="D458" s="673"/>
      <c r="E458" s="663"/>
      <c r="F458" s="663"/>
      <c r="G458" s="663"/>
      <c r="H458" s="663"/>
      <c r="I458" s="663"/>
      <c r="J458" s="663"/>
      <c r="K458" s="663"/>
      <c r="L458" s="663"/>
      <c r="M458" s="663"/>
      <c r="N458" s="663"/>
      <c r="O458" s="663"/>
      <c r="P458" s="663"/>
      <c r="Q458" s="663"/>
      <c r="R458" s="663"/>
      <c r="S458" s="663"/>
      <c r="T458" s="663"/>
      <c r="U458" s="663"/>
      <c r="V458" s="663"/>
      <c r="W458" s="663"/>
      <c r="X458" s="663"/>
      <c r="Y458" s="663"/>
      <c r="Z458" s="663"/>
    </row>
    <row r="459">
      <c r="A459" s="670"/>
      <c r="B459" s="671"/>
      <c r="C459" s="672"/>
      <c r="D459" s="673"/>
      <c r="E459" s="663"/>
      <c r="F459" s="663"/>
      <c r="G459" s="663"/>
      <c r="H459" s="663"/>
      <c r="I459" s="663"/>
      <c r="J459" s="663"/>
      <c r="K459" s="663"/>
      <c r="L459" s="663"/>
      <c r="M459" s="663"/>
      <c r="N459" s="663"/>
      <c r="O459" s="663"/>
      <c r="P459" s="663"/>
      <c r="Q459" s="663"/>
      <c r="R459" s="663"/>
      <c r="S459" s="663"/>
      <c r="T459" s="663"/>
      <c r="U459" s="663"/>
      <c r="V459" s="663"/>
      <c r="W459" s="663"/>
      <c r="X459" s="663"/>
      <c r="Y459" s="663"/>
      <c r="Z459" s="663"/>
    </row>
    <row r="460">
      <c r="A460" s="670"/>
      <c r="B460" s="671"/>
      <c r="C460" s="672"/>
      <c r="D460" s="673"/>
      <c r="E460" s="663"/>
      <c r="F460" s="663"/>
      <c r="G460" s="663"/>
      <c r="H460" s="663"/>
      <c r="I460" s="663"/>
      <c r="J460" s="663"/>
      <c r="K460" s="663"/>
      <c r="L460" s="663"/>
      <c r="M460" s="663"/>
      <c r="N460" s="663"/>
      <c r="O460" s="663"/>
      <c r="P460" s="663"/>
      <c r="Q460" s="663"/>
      <c r="R460" s="663"/>
      <c r="S460" s="663"/>
      <c r="T460" s="663"/>
      <c r="U460" s="663"/>
      <c r="V460" s="663"/>
      <c r="W460" s="663"/>
      <c r="X460" s="663"/>
      <c r="Y460" s="663"/>
      <c r="Z460" s="663"/>
    </row>
    <row r="461">
      <c r="A461" s="670"/>
      <c r="B461" s="671"/>
      <c r="C461" s="672"/>
      <c r="D461" s="673"/>
      <c r="E461" s="663"/>
      <c r="F461" s="663"/>
      <c r="G461" s="663"/>
      <c r="H461" s="663"/>
      <c r="I461" s="663"/>
      <c r="J461" s="663"/>
      <c r="K461" s="663"/>
      <c r="L461" s="663"/>
      <c r="M461" s="663"/>
      <c r="N461" s="663"/>
      <c r="O461" s="663"/>
      <c r="P461" s="663"/>
      <c r="Q461" s="663"/>
      <c r="R461" s="663"/>
      <c r="S461" s="663"/>
      <c r="T461" s="663"/>
      <c r="U461" s="663"/>
      <c r="V461" s="663"/>
      <c r="W461" s="663"/>
      <c r="X461" s="663"/>
      <c r="Y461" s="663"/>
      <c r="Z461" s="663"/>
    </row>
    <row r="462">
      <c r="A462" s="670"/>
      <c r="B462" s="671"/>
      <c r="C462" s="672"/>
      <c r="D462" s="673"/>
      <c r="E462" s="663"/>
      <c r="F462" s="663"/>
      <c r="G462" s="663"/>
      <c r="H462" s="663"/>
      <c r="I462" s="663"/>
      <c r="J462" s="663"/>
      <c r="K462" s="663"/>
      <c r="L462" s="663"/>
      <c r="M462" s="663"/>
      <c r="N462" s="663"/>
      <c r="O462" s="663"/>
      <c r="P462" s="663"/>
      <c r="Q462" s="663"/>
      <c r="R462" s="663"/>
      <c r="S462" s="663"/>
      <c r="T462" s="663"/>
      <c r="U462" s="663"/>
      <c r="V462" s="663"/>
      <c r="W462" s="663"/>
      <c r="X462" s="663"/>
      <c r="Y462" s="663"/>
      <c r="Z462" s="663"/>
    </row>
    <row r="463">
      <c r="A463" s="670"/>
      <c r="B463" s="671"/>
      <c r="C463" s="672"/>
      <c r="D463" s="673"/>
      <c r="E463" s="663"/>
      <c r="F463" s="663"/>
      <c r="G463" s="663"/>
      <c r="H463" s="663"/>
      <c r="I463" s="663"/>
      <c r="J463" s="663"/>
      <c r="K463" s="663"/>
      <c r="L463" s="663"/>
      <c r="M463" s="663"/>
      <c r="N463" s="663"/>
      <c r="O463" s="663"/>
      <c r="P463" s="663"/>
      <c r="Q463" s="663"/>
      <c r="R463" s="663"/>
      <c r="S463" s="663"/>
      <c r="T463" s="663"/>
      <c r="U463" s="663"/>
      <c r="V463" s="663"/>
      <c r="W463" s="663"/>
      <c r="X463" s="663"/>
      <c r="Y463" s="663"/>
      <c r="Z463" s="663"/>
    </row>
    <row r="464">
      <c r="A464" s="670"/>
      <c r="B464" s="671"/>
      <c r="C464" s="672"/>
      <c r="D464" s="673"/>
      <c r="E464" s="663"/>
      <c r="F464" s="663"/>
      <c r="G464" s="663"/>
      <c r="H464" s="663"/>
      <c r="I464" s="663"/>
      <c r="J464" s="663"/>
      <c r="K464" s="663"/>
      <c r="L464" s="663"/>
      <c r="M464" s="663"/>
      <c r="N464" s="663"/>
      <c r="O464" s="663"/>
      <c r="P464" s="663"/>
      <c r="Q464" s="663"/>
      <c r="R464" s="663"/>
      <c r="S464" s="663"/>
      <c r="T464" s="663"/>
      <c r="U464" s="663"/>
      <c r="V464" s="663"/>
      <c r="W464" s="663"/>
      <c r="X464" s="663"/>
      <c r="Y464" s="663"/>
      <c r="Z464" s="663"/>
    </row>
    <row r="465">
      <c r="A465" s="670"/>
      <c r="B465" s="671"/>
      <c r="C465" s="672"/>
      <c r="D465" s="673"/>
      <c r="E465" s="663"/>
      <c r="F465" s="663"/>
      <c r="G465" s="663"/>
      <c r="H465" s="663"/>
      <c r="I465" s="663"/>
      <c r="J465" s="663"/>
      <c r="K465" s="663"/>
      <c r="L465" s="663"/>
      <c r="M465" s="663"/>
      <c r="N465" s="663"/>
      <c r="O465" s="663"/>
      <c r="P465" s="663"/>
      <c r="Q465" s="663"/>
      <c r="R465" s="663"/>
      <c r="S465" s="663"/>
      <c r="T465" s="663"/>
      <c r="U465" s="663"/>
      <c r="V465" s="663"/>
      <c r="W465" s="663"/>
      <c r="X465" s="663"/>
      <c r="Y465" s="663"/>
      <c r="Z465" s="663"/>
    </row>
    <row r="466">
      <c r="A466" s="670"/>
      <c r="B466" s="671"/>
      <c r="C466" s="672"/>
      <c r="D466" s="673"/>
      <c r="E466" s="663"/>
      <c r="F466" s="663"/>
      <c r="G466" s="663"/>
      <c r="H466" s="663"/>
      <c r="I466" s="663"/>
      <c r="J466" s="663"/>
      <c r="K466" s="663"/>
      <c r="L466" s="663"/>
      <c r="M466" s="663"/>
      <c r="N466" s="663"/>
      <c r="O466" s="663"/>
      <c r="P466" s="663"/>
      <c r="Q466" s="663"/>
      <c r="R466" s="663"/>
      <c r="S466" s="663"/>
      <c r="T466" s="663"/>
      <c r="U466" s="663"/>
      <c r="V466" s="663"/>
      <c r="W466" s="663"/>
      <c r="X466" s="663"/>
      <c r="Y466" s="663"/>
      <c r="Z466" s="663"/>
    </row>
    <row r="467">
      <c r="A467" s="670"/>
      <c r="B467" s="671"/>
      <c r="C467" s="672"/>
      <c r="D467" s="673"/>
      <c r="E467" s="663"/>
      <c r="F467" s="663"/>
      <c r="G467" s="663"/>
      <c r="H467" s="663"/>
      <c r="I467" s="663"/>
      <c r="J467" s="663"/>
      <c r="K467" s="663"/>
      <c r="L467" s="663"/>
      <c r="M467" s="663"/>
      <c r="N467" s="663"/>
      <c r="O467" s="663"/>
      <c r="P467" s="663"/>
      <c r="Q467" s="663"/>
      <c r="R467" s="663"/>
      <c r="S467" s="663"/>
      <c r="T467" s="663"/>
      <c r="U467" s="663"/>
      <c r="V467" s="663"/>
      <c r="W467" s="663"/>
      <c r="X467" s="663"/>
      <c r="Y467" s="663"/>
      <c r="Z467" s="663"/>
    </row>
    <row r="468">
      <c r="A468" s="670"/>
      <c r="B468" s="671"/>
      <c r="C468" s="672"/>
      <c r="D468" s="673"/>
      <c r="E468" s="663"/>
      <c r="F468" s="663"/>
      <c r="G468" s="663"/>
      <c r="H468" s="663"/>
      <c r="I468" s="663"/>
      <c r="J468" s="663"/>
      <c r="K468" s="663"/>
      <c r="L468" s="663"/>
      <c r="M468" s="663"/>
      <c r="N468" s="663"/>
      <c r="O468" s="663"/>
      <c r="P468" s="663"/>
      <c r="Q468" s="663"/>
      <c r="R468" s="663"/>
      <c r="S468" s="663"/>
      <c r="T468" s="663"/>
      <c r="U468" s="663"/>
      <c r="V468" s="663"/>
      <c r="W468" s="663"/>
      <c r="X468" s="663"/>
      <c r="Y468" s="663"/>
      <c r="Z468" s="663"/>
    </row>
    <row r="469">
      <c r="A469" s="670"/>
      <c r="B469" s="671"/>
      <c r="C469" s="672"/>
      <c r="D469" s="673"/>
      <c r="E469" s="663"/>
      <c r="F469" s="663"/>
      <c r="G469" s="663"/>
      <c r="H469" s="663"/>
      <c r="I469" s="663"/>
      <c r="J469" s="663"/>
      <c r="K469" s="663"/>
      <c r="L469" s="663"/>
      <c r="M469" s="663"/>
      <c r="N469" s="663"/>
      <c r="O469" s="663"/>
      <c r="P469" s="663"/>
      <c r="Q469" s="663"/>
      <c r="R469" s="663"/>
      <c r="S469" s="663"/>
      <c r="T469" s="663"/>
      <c r="U469" s="663"/>
      <c r="V469" s="663"/>
      <c r="W469" s="663"/>
      <c r="X469" s="663"/>
      <c r="Y469" s="663"/>
      <c r="Z469" s="663"/>
    </row>
    <row r="470">
      <c r="A470" s="670"/>
      <c r="B470" s="671"/>
      <c r="C470" s="672"/>
      <c r="D470" s="673"/>
      <c r="E470" s="663"/>
      <c r="F470" s="663"/>
      <c r="G470" s="663"/>
      <c r="H470" s="663"/>
      <c r="I470" s="663"/>
      <c r="J470" s="663"/>
      <c r="K470" s="663"/>
      <c r="L470" s="663"/>
      <c r="M470" s="663"/>
      <c r="N470" s="663"/>
      <c r="O470" s="663"/>
      <c r="P470" s="663"/>
      <c r="Q470" s="663"/>
      <c r="R470" s="663"/>
      <c r="S470" s="663"/>
      <c r="T470" s="663"/>
      <c r="U470" s="663"/>
      <c r="V470" s="663"/>
      <c r="W470" s="663"/>
      <c r="X470" s="663"/>
      <c r="Y470" s="663"/>
      <c r="Z470" s="663"/>
    </row>
    <row r="471">
      <c r="A471" s="670"/>
      <c r="B471" s="671"/>
      <c r="C471" s="672"/>
      <c r="D471" s="673"/>
      <c r="E471" s="663"/>
      <c r="F471" s="663"/>
      <c r="G471" s="663"/>
      <c r="H471" s="663"/>
      <c r="I471" s="663"/>
      <c r="J471" s="663"/>
      <c r="K471" s="663"/>
      <c r="L471" s="663"/>
      <c r="M471" s="663"/>
      <c r="N471" s="663"/>
      <c r="O471" s="663"/>
      <c r="P471" s="663"/>
      <c r="Q471" s="663"/>
      <c r="R471" s="663"/>
      <c r="S471" s="663"/>
      <c r="T471" s="663"/>
      <c r="U471" s="663"/>
      <c r="V471" s="663"/>
      <c r="W471" s="663"/>
      <c r="X471" s="663"/>
      <c r="Y471" s="663"/>
      <c r="Z471" s="663"/>
    </row>
    <row r="472">
      <c r="A472" s="670"/>
      <c r="B472" s="671"/>
      <c r="C472" s="672"/>
      <c r="D472" s="673"/>
      <c r="E472" s="663"/>
      <c r="F472" s="663"/>
      <c r="G472" s="663"/>
      <c r="H472" s="663"/>
      <c r="I472" s="663"/>
      <c r="J472" s="663"/>
      <c r="K472" s="663"/>
      <c r="L472" s="663"/>
      <c r="M472" s="663"/>
      <c r="N472" s="663"/>
      <c r="O472" s="663"/>
      <c r="P472" s="663"/>
      <c r="Q472" s="663"/>
      <c r="R472" s="663"/>
      <c r="S472" s="663"/>
      <c r="T472" s="663"/>
      <c r="U472" s="663"/>
      <c r="V472" s="663"/>
      <c r="W472" s="663"/>
      <c r="X472" s="663"/>
      <c r="Y472" s="663"/>
      <c r="Z472" s="663"/>
    </row>
    <row r="473">
      <c r="A473" s="670"/>
      <c r="B473" s="671"/>
      <c r="C473" s="672"/>
      <c r="D473" s="673"/>
      <c r="E473" s="663"/>
      <c r="F473" s="663"/>
      <c r="G473" s="663"/>
      <c r="H473" s="663"/>
      <c r="I473" s="663"/>
      <c r="J473" s="663"/>
      <c r="K473" s="663"/>
      <c r="L473" s="663"/>
      <c r="M473" s="663"/>
      <c r="N473" s="663"/>
      <c r="O473" s="663"/>
      <c r="P473" s="663"/>
      <c r="Q473" s="663"/>
      <c r="R473" s="663"/>
      <c r="S473" s="663"/>
      <c r="T473" s="663"/>
      <c r="U473" s="663"/>
      <c r="V473" s="663"/>
      <c r="W473" s="663"/>
      <c r="X473" s="663"/>
      <c r="Y473" s="663"/>
      <c r="Z473" s="663"/>
    </row>
    <row r="474">
      <c r="A474" s="670"/>
      <c r="B474" s="671"/>
      <c r="C474" s="672"/>
      <c r="D474" s="673"/>
      <c r="E474" s="663"/>
      <c r="F474" s="663"/>
      <c r="G474" s="663"/>
      <c r="H474" s="663"/>
      <c r="I474" s="663"/>
      <c r="J474" s="663"/>
      <c r="K474" s="663"/>
      <c r="L474" s="663"/>
      <c r="M474" s="663"/>
      <c r="N474" s="663"/>
      <c r="O474" s="663"/>
      <c r="P474" s="663"/>
      <c r="Q474" s="663"/>
      <c r="R474" s="663"/>
      <c r="S474" s="663"/>
      <c r="T474" s="663"/>
      <c r="U474" s="663"/>
      <c r="V474" s="663"/>
      <c r="W474" s="663"/>
      <c r="X474" s="663"/>
      <c r="Y474" s="663"/>
      <c r="Z474" s="663"/>
    </row>
    <row r="475">
      <c r="A475" s="670"/>
      <c r="B475" s="671"/>
      <c r="C475" s="672"/>
      <c r="D475" s="673"/>
      <c r="E475" s="663"/>
      <c r="F475" s="663"/>
      <c r="G475" s="663"/>
      <c r="H475" s="663"/>
      <c r="I475" s="663"/>
      <c r="J475" s="663"/>
      <c r="K475" s="663"/>
      <c r="L475" s="663"/>
      <c r="M475" s="663"/>
      <c r="N475" s="663"/>
      <c r="O475" s="663"/>
      <c r="P475" s="663"/>
      <c r="Q475" s="663"/>
      <c r="R475" s="663"/>
      <c r="S475" s="663"/>
      <c r="T475" s="663"/>
      <c r="U475" s="663"/>
      <c r="V475" s="663"/>
      <c r="W475" s="663"/>
      <c r="X475" s="663"/>
      <c r="Y475" s="663"/>
      <c r="Z475" s="663"/>
    </row>
    <row r="476">
      <c r="A476" s="670"/>
      <c r="B476" s="671"/>
      <c r="C476" s="672"/>
      <c r="D476" s="673"/>
      <c r="E476" s="663"/>
      <c r="F476" s="663"/>
      <c r="G476" s="663"/>
      <c r="H476" s="663"/>
      <c r="I476" s="663"/>
      <c r="J476" s="663"/>
      <c r="K476" s="663"/>
      <c r="L476" s="663"/>
      <c r="M476" s="663"/>
      <c r="N476" s="663"/>
      <c r="O476" s="663"/>
      <c r="P476" s="663"/>
      <c r="Q476" s="663"/>
      <c r="R476" s="663"/>
      <c r="S476" s="663"/>
      <c r="T476" s="663"/>
      <c r="U476" s="663"/>
      <c r="V476" s="663"/>
      <c r="W476" s="663"/>
      <c r="X476" s="663"/>
      <c r="Y476" s="663"/>
      <c r="Z476" s="663"/>
    </row>
    <row r="477">
      <c r="A477" s="670"/>
      <c r="B477" s="671"/>
      <c r="C477" s="672"/>
      <c r="D477" s="673"/>
      <c r="E477" s="663"/>
      <c r="F477" s="663"/>
      <c r="G477" s="663"/>
      <c r="H477" s="663"/>
      <c r="I477" s="663"/>
      <c r="J477" s="663"/>
      <c r="K477" s="663"/>
      <c r="L477" s="663"/>
      <c r="M477" s="663"/>
      <c r="N477" s="663"/>
      <c r="O477" s="663"/>
      <c r="P477" s="663"/>
      <c r="Q477" s="663"/>
      <c r="R477" s="663"/>
      <c r="S477" s="663"/>
      <c r="T477" s="663"/>
      <c r="U477" s="663"/>
      <c r="V477" s="663"/>
      <c r="W477" s="663"/>
      <c r="X477" s="663"/>
      <c r="Y477" s="663"/>
      <c r="Z477" s="663"/>
    </row>
    <row r="478">
      <c r="A478" s="670"/>
      <c r="B478" s="671"/>
      <c r="C478" s="672"/>
      <c r="D478" s="673"/>
      <c r="E478" s="663"/>
      <c r="F478" s="663"/>
      <c r="G478" s="663"/>
      <c r="H478" s="663"/>
      <c r="I478" s="663"/>
      <c r="J478" s="663"/>
      <c r="K478" s="663"/>
      <c r="L478" s="663"/>
      <c r="M478" s="663"/>
      <c r="N478" s="663"/>
      <c r="O478" s="663"/>
      <c r="P478" s="663"/>
      <c r="Q478" s="663"/>
      <c r="R478" s="663"/>
      <c r="S478" s="663"/>
      <c r="T478" s="663"/>
      <c r="U478" s="663"/>
      <c r="V478" s="663"/>
      <c r="W478" s="663"/>
      <c r="X478" s="663"/>
      <c r="Y478" s="663"/>
      <c r="Z478" s="663"/>
    </row>
    <row r="479">
      <c r="A479" s="670"/>
      <c r="B479" s="671"/>
      <c r="C479" s="672"/>
      <c r="D479" s="673"/>
      <c r="E479" s="663"/>
      <c r="F479" s="663"/>
      <c r="G479" s="663"/>
      <c r="H479" s="663"/>
      <c r="I479" s="663"/>
      <c r="J479" s="663"/>
      <c r="K479" s="663"/>
      <c r="L479" s="663"/>
      <c r="M479" s="663"/>
      <c r="N479" s="663"/>
      <c r="O479" s="663"/>
      <c r="P479" s="663"/>
      <c r="Q479" s="663"/>
      <c r="R479" s="663"/>
      <c r="S479" s="663"/>
      <c r="T479" s="663"/>
      <c r="U479" s="663"/>
      <c r="V479" s="663"/>
      <c r="W479" s="663"/>
      <c r="X479" s="663"/>
      <c r="Y479" s="663"/>
      <c r="Z479" s="663"/>
    </row>
    <row r="480">
      <c r="A480" s="670"/>
      <c r="B480" s="671"/>
      <c r="C480" s="672"/>
      <c r="D480" s="673"/>
      <c r="E480" s="663"/>
      <c r="F480" s="663"/>
      <c r="G480" s="663"/>
      <c r="H480" s="663"/>
      <c r="I480" s="663"/>
      <c r="J480" s="663"/>
      <c r="K480" s="663"/>
      <c r="L480" s="663"/>
      <c r="M480" s="663"/>
      <c r="N480" s="663"/>
      <c r="O480" s="663"/>
      <c r="P480" s="663"/>
      <c r="Q480" s="663"/>
      <c r="R480" s="663"/>
      <c r="S480" s="663"/>
      <c r="T480" s="663"/>
      <c r="U480" s="663"/>
      <c r="V480" s="663"/>
      <c r="W480" s="663"/>
      <c r="X480" s="663"/>
      <c r="Y480" s="663"/>
      <c r="Z480" s="663"/>
    </row>
    <row r="481">
      <c r="A481" s="670"/>
      <c r="B481" s="671"/>
      <c r="C481" s="672"/>
      <c r="D481" s="673"/>
      <c r="E481" s="663"/>
      <c r="F481" s="663"/>
      <c r="G481" s="663"/>
      <c r="H481" s="663"/>
      <c r="I481" s="663"/>
      <c r="J481" s="663"/>
      <c r="K481" s="663"/>
      <c r="L481" s="663"/>
      <c r="M481" s="663"/>
      <c r="N481" s="663"/>
      <c r="O481" s="663"/>
      <c r="P481" s="663"/>
      <c r="Q481" s="663"/>
      <c r="R481" s="663"/>
      <c r="S481" s="663"/>
      <c r="T481" s="663"/>
      <c r="U481" s="663"/>
      <c r="V481" s="663"/>
      <c r="W481" s="663"/>
      <c r="X481" s="663"/>
      <c r="Y481" s="663"/>
      <c r="Z481" s="663"/>
    </row>
    <row r="482">
      <c r="A482" s="670"/>
      <c r="B482" s="671"/>
      <c r="C482" s="672"/>
      <c r="D482" s="673"/>
      <c r="E482" s="663"/>
      <c r="F482" s="663"/>
      <c r="G482" s="663"/>
      <c r="H482" s="663"/>
      <c r="I482" s="663"/>
      <c r="J482" s="663"/>
      <c r="K482" s="663"/>
      <c r="L482" s="663"/>
      <c r="M482" s="663"/>
      <c r="N482" s="663"/>
      <c r="O482" s="663"/>
      <c r="P482" s="663"/>
      <c r="Q482" s="663"/>
      <c r="R482" s="663"/>
      <c r="S482" s="663"/>
      <c r="T482" s="663"/>
      <c r="U482" s="663"/>
      <c r="V482" s="663"/>
      <c r="W482" s="663"/>
      <c r="X482" s="663"/>
      <c r="Y482" s="663"/>
      <c r="Z482" s="663"/>
    </row>
    <row r="483">
      <c r="A483" s="670"/>
      <c r="B483" s="671"/>
      <c r="C483" s="672"/>
      <c r="D483" s="673"/>
      <c r="E483" s="663"/>
      <c r="F483" s="663"/>
      <c r="G483" s="663"/>
      <c r="H483" s="663"/>
      <c r="I483" s="663"/>
      <c r="J483" s="663"/>
      <c r="K483" s="663"/>
      <c r="L483" s="663"/>
      <c r="M483" s="663"/>
      <c r="N483" s="663"/>
      <c r="O483" s="663"/>
      <c r="P483" s="663"/>
      <c r="Q483" s="663"/>
      <c r="R483" s="663"/>
      <c r="S483" s="663"/>
      <c r="T483" s="663"/>
      <c r="U483" s="663"/>
      <c r="V483" s="663"/>
      <c r="W483" s="663"/>
      <c r="X483" s="663"/>
      <c r="Y483" s="663"/>
      <c r="Z483" s="663"/>
    </row>
    <row r="484">
      <c r="A484" s="670"/>
      <c r="B484" s="671"/>
      <c r="C484" s="672"/>
      <c r="D484" s="673"/>
      <c r="E484" s="663"/>
      <c r="F484" s="663"/>
      <c r="G484" s="663"/>
      <c r="H484" s="663"/>
      <c r="I484" s="663"/>
      <c r="J484" s="663"/>
      <c r="K484" s="663"/>
      <c r="L484" s="663"/>
      <c r="M484" s="663"/>
      <c r="N484" s="663"/>
      <c r="O484" s="663"/>
      <c r="P484" s="663"/>
      <c r="Q484" s="663"/>
      <c r="R484" s="663"/>
      <c r="S484" s="663"/>
      <c r="T484" s="663"/>
      <c r="U484" s="663"/>
      <c r="V484" s="663"/>
      <c r="W484" s="663"/>
      <c r="X484" s="663"/>
      <c r="Y484" s="663"/>
      <c r="Z484" s="663"/>
    </row>
    <row r="485">
      <c r="A485" s="670"/>
      <c r="B485" s="671"/>
      <c r="C485" s="672"/>
      <c r="D485" s="673"/>
      <c r="E485" s="663"/>
      <c r="F485" s="663"/>
      <c r="G485" s="663"/>
      <c r="H485" s="663"/>
      <c r="I485" s="663"/>
      <c r="J485" s="663"/>
      <c r="K485" s="663"/>
      <c r="L485" s="663"/>
      <c r="M485" s="663"/>
      <c r="N485" s="663"/>
      <c r="O485" s="663"/>
      <c r="P485" s="663"/>
      <c r="Q485" s="663"/>
      <c r="R485" s="663"/>
      <c r="S485" s="663"/>
      <c r="T485" s="663"/>
      <c r="U485" s="663"/>
      <c r="V485" s="663"/>
      <c r="W485" s="663"/>
      <c r="X485" s="663"/>
      <c r="Y485" s="663"/>
      <c r="Z485" s="663"/>
    </row>
    <row r="486">
      <c r="A486" s="670"/>
      <c r="B486" s="671"/>
      <c r="C486" s="672"/>
      <c r="D486" s="673"/>
      <c r="E486" s="663"/>
      <c r="F486" s="663"/>
      <c r="G486" s="663"/>
      <c r="H486" s="663"/>
      <c r="I486" s="663"/>
      <c r="J486" s="663"/>
      <c r="K486" s="663"/>
      <c r="L486" s="663"/>
      <c r="M486" s="663"/>
      <c r="N486" s="663"/>
      <c r="O486" s="663"/>
      <c r="P486" s="663"/>
      <c r="Q486" s="663"/>
      <c r="R486" s="663"/>
      <c r="S486" s="663"/>
      <c r="T486" s="663"/>
      <c r="U486" s="663"/>
      <c r="V486" s="663"/>
      <c r="W486" s="663"/>
      <c r="X486" s="663"/>
      <c r="Y486" s="663"/>
      <c r="Z486" s="663"/>
    </row>
    <row r="487">
      <c r="A487" s="670"/>
      <c r="B487" s="671"/>
      <c r="C487" s="672"/>
      <c r="D487" s="673"/>
      <c r="E487" s="663"/>
      <c r="F487" s="663"/>
      <c r="G487" s="663"/>
      <c r="H487" s="663"/>
      <c r="I487" s="663"/>
      <c r="J487" s="663"/>
      <c r="K487" s="663"/>
      <c r="L487" s="663"/>
      <c r="M487" s="663"/>
      <c r="N487" s="663"/>
      <c r="O487" s="663"/>
      <c r="P487" s="663"/>
      <c r="Q487" s="663"/>
      <c r="R487" s="663"/>
      <c r="S487" s="663"/>
      <c r="T487" s="663"/>
      <c r="U487" s="663"/>
      <c r="V487" s="663"/>
      <c r="W487" s="663"/>
      <c r="X487" s="663"/>
      <c r="Y487" s="663"/>
      <c r="Z487" s="663"/>
    </row>
    <row r="488">
      <c r="A488" s="670"/>
      <c r="B488" s="671"/>
      <c r="C488" s="672"/>
      <c r="D488" s="673"/>
      <c r="E488" s="663"/>
      <c r="F488" s="663"/>
      <c r="G488" s="663"/>
      <c r="H488" s="663"/>
      <c r="I488" s="663"/>
      <c r="J488" s="663"/>
      <c r="K488" s="663"/>
      <c r="L488" s="663"/>
      <c r="M488" s="663"/>
      <c r="N488" s="663"/>
      <c r="O488" s="663"/>
      <c r="P488" s="663"/>
      <c r="Q488" s="663"/>
      <c r="R488" s="663"/>
      <c r="S488" s="663"/>
      <c r="T488" s="663"/>
      <c r="U488" s="663"/>
      <c r="V488" s="663"/>
      <c r="W488" s="663"/>
      <c r="X488" s="663"/>
      <c r="Y488" s="663"/>
      <c r="Z488" s="663"/>
    </row>
    <row r="489">
      <c r="A489" s="670"/>
      <c r="B489" s="671"/>
      <c r="C489" s="672"/>
      <c r="D489" s="673"/>
      <c r="E489" s="663"/>
      <c r="F489" s="663"/>
      <c r="G489" s="663"/>
      <c r="H489" s="663"/>
      <c r="I489" s="663"/>
      <c r="J489" s="663"/>
      <c r="K489" s="663"/>
      <c r="L489" s="663"/>
      <c r="M489" s="663"/>
      <c r="N489" s="663"/>
      <c r="O489" s="663"/>
      <c r="P489" s="663"/>
      <c r="Q489" s="663"/>
      <c r="R489" s="663"/>
      <c r="S489" s="663"/>
      <c r="T489" s="663"/>
      <c r="U489" s="663"/>
      <c r="V489" s="663"/>
      <c r="W489" s="663"/>
      <c r="X489" s="663"/>
      <c r="Y489" s="663"/>
      <c r="Z489" s="663"/>
    </row>
    <row r="490">
      <c r="A490" s="670"/>
      <c r="B490" s="671"/>
      <c r="C490" s="672"/>
      <c r="D490" s="673"/>
      <c r="E490" s="663"/>
      <c r="F490" s="663"/>
      <c r="G490" s="663"/>
      <c r="H490" s="663"/>
      <c r="I490" s="663"/>
      <c r="J490" s="663"/>
      <c r="K490" s="663"/>
      <c r="L490" s="663"/>
      <c r="M490" s="663"/>
      <c r="N490" s="663"/>
      <c r="O490" s="663"/>
      <c r="P490" s="663"/>
      <c r="Q490" s="663"/>
      <c r="R490" s="663"/>
      <c r="S490" s="663"/>
      <c r="T490" s="663"/>
      <c r="U490" s="663"/>
      <c r="V490" s="663"/>
      <c r="W490" s="663"/>
      <c r="X490" s="663"/>
      <c r="Y490" s="663"/>
      <c r="Z490" s="663"/>
    </row>
    <row r="491">
      <c r="A491" s="670"/>
      <c r="B491" s="671"/>
      <c r="C491" s="672"/>
      <c r="D491" s="673"/>
      <c r="E491" s="663"/>
      <c r="F491" s="663"/>
      <c r="G491" s="663"/>
      <c r="H491" s="663"/>
      <c r="I491" s="663"/>
      <c r="J491" s="663"/>
      <c r="K491" s="663"/>
      <c r="L491" s="663"/>
      <c r="M491" s="663"/>
      <c r="N491" s="663"/>
      <c r="O491" s="663"/>
      <c r="P491" s="663"/>
      <c r="Q491" s="663"/>
      <c r="R491" s="663"/>
      <c r="S491" s="663"/>
      <c r="T491" s="663"/>
      <c r="U491" s="663"/>
      <c r="V491" s="663"/>
      <c r="W491" s="663"/>
      <c r="X491" s="663"/>
      <c r="Y491" s="663"/>
      <c r="Z491" s="663"/>
    </row>
    <row r="492">
      <c r="A492" s="670"/>
      <c r="B492" s="671"/>
      <c r="C492" s="672"/>
      <c r="D492" s="673"/>
      <c r="E492" s="663"/>
      <c r="F492" s="663"/>
      <c r="G492" s="663"/>
      <c r="H492" s="663"/>
      <c r="I492" s="663"/>
      <c r="J492" s="663"/>
      <c r="K492" s="663"/>
      <c r="L492" s="663"/>
      <c r="M492" s="663"/>
      <c r="N492" s="663"/>
      <c r="O492" s="663"/>
      <c r="P492" s="663"/>
      <c r="Q492" s="663"/>
      <c r="R492" s="663"/>
      <c r="S492" s="663"/>
      <c r="T492" s="663"/>
      <c r="U492" s="663"/>
      <c r="V492" s="663"/>
      <c r="W492" s="663"/>
      <c r="X492" s="663"/>
      <c r="Y492" s="663"/>
      <c r="Z492" s="663"/>
    </row>
    <row r="493">
      <c r="A493" s="670"/>
      <c r="B493" s="671"/>
      <c r="C493" s="672"/>
      <c r="D493" s="673"/>
      <c r="E493" s="663"/>
      <c r="F493" s="663"/>
      <c r="G493" s="663"/>
      <c r="H493" s="663"/>
      <c r="I493" s="663"/>
      <c r="J493" s="663"/>
      <c r="K493" s="663"/>
      <c r="L493" s="663"/>
      <c r="M493" s="663"/>
      <c r="N493" s="663"/>
      <c r="O493" s="663"/>
      <c r="P493" s="663"/>
      <c r="Q493" s="663"/>
      <c r="R493" s="663"/>
      <c r="S493" s="663"/>
      <c r="T493" s="663"/>
      <c r="U493" s="663"/>
      <c r="V493" s="663"/>
      <c r="W493" s="663"/>
      <c r="X493" s="663"/>
      <c r="Y493" s="663"/>
      <c r="Z493" s="663"/>
    </row>
    <row r="494">
      <c r="A494" s="670"/>
      <c r="B494" s="671"/>
      <c r="C494" s="672"/>
      <c r="D494" s="673"/>
      <c r="E494" s="663"/>
      <c r="F494" s="663"/>
      <c r="G494" s="663"/>
      <c r="H494" s="663"/>
      <c r="I494" s="663"/>
      <c r="J494" s="663"/>
      <c r="K494" s="663"/>
      <c r="L494" s="663"/>
      <c r="M494" s="663"/>
      <c r="N494" s="663"/>
      <c r="O494" s="663"/>
      <c r="P494" s="663"/>
      <c r="Q494" s="663"/>
      <c r="R494" s="663"/>
      <c r="S494" s="663"/>
      <c r="T494" s="663"/>
      <c r="U494" s="663"/>
      <c r="V494" s="663"/>
      <c r="W494" s="663"/>
      <c r="X494" s="663"/>
      <c r="Y494" s="663"/>
      <c r="Z494" s="663"/>
    </row>
    <row r="495">
      <c r="A495" s="670"/>
      <c r="B495" s="671"/>
      <c r="C495" s="672"/>
      <c r="D495" s="673"/>
      <c r="E495" s="663"/>
      <c r="F495" s="663"/>
      <c r="G495" s="663"/>
      <c r="H495" s="663"/>
      <c r="I495" s="663"/>
      <c r="J495" s="663"/>
      <c r="K495" s="663"/>
      <c r="L495" s="663"/>
      <c r="M495" s="663"/>
      <c r="N495" s="663"/>
      <c r="O495" s="663"/>
      <c r="P495" s="663"/>
      <c r="Q495" s="663"/>
      <c r="R495" s="663"/>
      <c r="S495" s="663"/>
      <c r="T495" s="663"/>
      <c r="U495" s="663"/>
      <c r="V495" s="663"/>
      <c r="W495" s="663"/>
      <c r="X495" s="663"/>
      <c r="Y495" s="663"/>
      <c r="Z495" s="663"/>
    </row>
    <row r="496">
      <c r="A496" s="670"/>
      <c r="B496" s="671"/>
      <c r="C496" s="672"/>
      <c r="D496" s="673"/>
      <c r="E496" s="663"/>
      <c r="F496" s="663"/>
      <c r="G496" s="663"/>
      <c r="H496" s="663"/>
      <c r="I496" s="663"/>
      <c r="J496" s="663"/>
      <c r="K496" s="663"/>
      <c r="L496" s="663"/>
      <c r="M496" s="663"/>
      <c r="N496" s="663"/>
      <c r="O496" s="663"/>
      <c r="P496" s="663"/>
      <c r="Q496" s="663"/>
      <c r="R496" s="663"/>
      <c r="S496" s="663"/>
      <c r="T496" s="663"/>
      <c r="U496" s="663"/>
      <c r="V496" s="663"/>
      <c r="W496" s="663"/>
      <c r="X496" s="663"/>
      <c r="Y496" s="663"/>
      <c r="Z496" s="663"/>
    </row>
    <row r="497">
      <c r="A497" s="670"/>
      <c r="B497" s="671"/>
      <c r="C497" s="672"/>
      <c r="D497" s="673"/>
      <c r="E497" s="663"/>
      <c r="F497" s="663"/>
      <c r="G497" s="663"/>
      <c r="H497" s="663"/>
      <c r="I497" s="663"/>
      <c r="J497" s="663"/>
      <c r="K497" s="663"/>
      <c r="L497" s="663"/>
      <c r="M497" s="663"/>
      <c r="N497" s="663"/>
      <c r="O497" s="663"/>
      <c r="P497" s="663"/>
      <c r="Q497" s="663"/>
      <c r="R497" s="663"/>
      <c r="S497" s="663"/>
      <c r="T497" s="663"/>
      <c r="U497" s="663"/>
      <c r="V497" s="663"/>
      <c r="W497" s="663"/>
      <c r="X497" s="663"/>
      <c r="Y497" s="663"/>
      <c r="Z497" s="663"/>
    </row>
    <row r="498">
      <c r="A498" s="670"/>
      <c r="B498" s="671"/>
      <c r="C498" s="672"/>
      <c r="D498" s="673"/>
      <c r="E498" s="663"/>
      <c r="F498" s="663"/>
      <c r="G498" s="663"/>
      <c r="H498" s="663"/>
      <c r="I498" s="663"/>
      <c r="J498" s="663"/>
      <c r="K498" s="663"/>
      <c r="L498" s="663"/>
      <c r="M498" s="663"/>
      <c r="N498" s="663"/>
      <c r="O498" s="663"/>
      <c r="P498" s="663"/>
      <c r="Q498" s="663"/>
      <c r="R498" s="663"/>
      <c r="S498" s="663"/>
      <c r="T498" s="663"/>
      <c r="U498" s="663"/>
      <c r="V498" s="663"/>
      <c r="W498" s="663"/>
      <c r="X498" s="663"/>
      <c r="Y498" s="663"/>
      <c r="Z498" s="663"/>
    </row>
    <row r="499">
      <c r="A499" s="670"/>
      <c r="B499" s="671"/>
      <c r="C499" s="672"/>
      <c r="D499" s="673"/>
      <c r="E499" s="663"/>
      <c r="F499" s="663"/>
      <c r="G499" s="663"/>
      <c r="H499" s="663"/>
      <c r="I499" s="663"/>
      <c r="J499" s="663"/>
      <c r="K499" s="663"/>
      <c r="L499" s="663"/>
      <c r="M499" s="663"/>
      <c r="N499" s="663"/>
      <c r="O499" s="663"/>
      <c r="P499" s="663"/>
      <c r="Q499" s="663"/>
      <c r="R499" s="663"/>
      <c r="S499" s="663"/>
      <c r="T499" s="663"/>
      <c r="U499" s="663"/>
      <c r="V499" s="663"/>
      <c r="W499" s="663"/>
      <c r="X499" s="663"/>
      <c r="Y499" s="663"/>
      <c r="Z499" s="663"/>
    </row>
    <row r="500">
      <c r="A500" s="670"/>
      <c r="B500" s="671"/>
      <c r="C500" s="672"/>
      <c r="D500" s="673"/>
      <c r="E500" s="663"/>
      <c r="F500" s="663"/>
      <c r="G500" s="663"/>
      <c r="H500" s="663"/>
      <c r="I500" s="663"/>
      <c r="J500" s="663"/>
      <c r="K500" s="663"/>
      <c r="L500" s="663"/>
      <c r="M500" s="663"/>
      <c r="N500" s="663"/>
      <c r="O500" s="663"/>
      <c r="P500" s="663"/>
      <c r="Q500" s="663"/>
      <c r="R500" s="663"/>
      <c r="S500" s="663"/>
      <c r="T500" s="663"/>
      <c r="U500" s="663"/>
      <c r="V500" s="663"/>
      <c r="W500" s="663"/>
      <c r="X500" s="663"/>
      <c r="Y500" s="663"/>
      <c r="Z500" s="663"/>
    </row>
    <row r="501">
      <c r="A501" s="670"/>
      <c r="B501" s="671"/>
      <c r="C501" s="672"/>
      <c r="D501" s="673"/>
      <c r="E501" s="663"/>
      <c r="F501" s="663"/>
      <c r="G501" s="663"/>
      <c r="H501" s="663"/>
      <c r="I501" s="663"/>
      <c r="J501" s="663"/>
      <c r="K501" s="663"/>
      <c r="L501" s="663"/>
      <c r="M501" s="663"/>
      <c r="N501" s="663"/>
      <c r="O501" s="663"/>
      <c r="P501" s="663"/>
      <c r="Q501" s="663"/>
      <c r="R501" s="663"/>
      <c r="S501" s="663"/>
      <c r="T501" s="663"/>
      <c r="U501" s="663"/>
      <c r="V501" s="663"/>
      <c r="W501" s="663"/>
      <c r="X501" s="663"/>
      <c r="Y501" s="663"/>
      <c r="Z501" s="663"/>
    </row>
    <row r="502">
      <c r="A502" s="670"/>
      <c r="B502" s="671"/>
      <c r="C502" s="672"/>
      <c r="D502" s="673"/>
      <c r="E502" s="663"/>
      <c r="F502" s="663"/>
      <c r="G502" s="663"/>
      <c r="H502" s="663"/>
      <c r="I502" s="663"/>
      <c r="J502" s="663"/>
      <c r="K502" s="663"/>
      <c r="L502" s="663"/>
      <c r="M502" s="663"/>
      <c r="N502" s="663"/>
      <c r="O502" s="663"/>
      <c r="P502" s="663"/>
      <c r="Q502" s="663"/>
      <c r="R502" s="663"/>
      <c r="S502" s="663"/>
      <c r="T502" s="663"/>
      <c r="U502" s="663"/>
      <c r="V502" s="663"/>
      <c r="W502" s="663"/>
      <c r="X502" s="663"/>
      <c r="Y502" s="663"/>
      <c r="Z502" s="663"/>
    </row>
    <row r="503">
      <c r="A503" s="670"/>
      <c r="B503" s="671"/>
      <c r="C503" s="672"/>
      <c r="D503" s="673"/>
      <c r="E503" s="663"/>
      <c r="F503" s="663"/>
      <c r="G503" s="663"/>
      <c r="H503" s="663"/>
      <c r="I503" s="663"/>
      <c r="J503" s="663"/>
      <c r="K503" s="663"/>
      <c r="L503" s="663"/>
      <c r="M503" s="663"/>
      <c r="N503" s="663"/>
      <c r="O503" s="663"/>
      <c r="P503" s="663"/>
      <c r="Q503" s="663"/>
      <c r="R503" s="663"/>
      <c r="S503" s="663"/>
      <c r="T503" s="663"/>
      <c r="U503" s="663"/>
      <c r="V503" s="663"/>
      <c r="W503" s="663"/>
      <c r="X503" s="663"/>
      <c r="Y503" s="663"/>
      <c r="Z503" s="663"/>
    </row>
    <row r="504">
      <c r="A504" s="670"/>
      <c r="B504" s="671"/>
      <c r="C504" s="672"/>
      <c r="D504" s="673"/>
      <c r="E504" s="663"/>
      <c r="F504" s="663"/>
      <c r="G504" s="663"/>
      <c r="H504" s="663"/>
      <c r="I504" s="663"/>
      <c r="J504" s="663"/>
      <c r="K504" s="663"/>
      <c r="L504" s="663"/>
      <c r="M504" s="663"/>
      <c r="N504" s="663"/>
      <c r="O504" s="663"/>
      <c r="P504" s="663"/>
      <c r="Q504" s="663"/>
      <c r="R504" s="663"/>
      <c r="S504" s="663"/>
      <c r="T504" s="663"/>
      <c r="U504" s="663"/>
      <c r="V504" s="663"/>
      <c r="W504" s="663"/>
      <c r="X504" s="663"/>
      <c r="Y504" s="663"/>
      <c r="Z504" s="663"/>
    </row>
    <row r="505">
      <c r="A505" s="670"/>
      <c r="B505" s="671"/>
      <c r="C505" s="672"/>
      <c r="D505" s="673"/>
      <c r="E505" s="663"/>
      <c r="F505" s="663"/>
      <c r="G505" s="663"/>
      <c r="H505" s="663"/>
      <c r="I505" s="663"/>
      <c r="J505" s="663"/>
      <c r="K505" s="663"/>
      <c r="L505" s="663"/>
      <c r="M505" s="663"/>
      <c r="N505" s="663"/>
      <c r="O505" s="663"/>
      <c r="P505" s="663"/>
      <c r="Q505" s="663"/>
      <c r="R505" s="663"/>
      <c r="S505" s="663"/>
      <c r="T505" s="663"/>
      <c r="U505" s="663"/>
      <c r="V505" s="663"/>
      <c r="W505" s="663"/>
      <c r="X505" s="663"/>
      <c r="Y505" s="663"/>
      <c r="Z505" s="663"/>
    </row>
    <row r="506">
      <c r="A506" s="670"/>
      <c r="B506" s="671"/>
      <c r="C506" s="672"/>
      <c r="D506" s="673"/>
      <c r="E506" s="663"/>
      <c r="F506" s="663"/>
      <c r="G506" s="663"/>
      <c r="H506" s="663"/>
      <c r="I506" s="663"/>
      <c r="J506" s="663"/>
      <c r="K506" s="663"/>
      <c r="L506" s="663"/>
      <c r="M506" s="663"/>
      <c r="N506" s="663"/>
      <c r="O506" s="663"/>
      <c r="P506" s="663"/>
      <c r="Q506" s="663"/>
      <c r="R506" s="663"/>
      <c r="S506" s="663"/>
      <c r="T506" s="663"/>
      <c r="U506" s="663"/>
      <c r="V506" s="663"/>
      <c r="W506" s="663"/>
      <c r="X506" s="663"/>
      <c r="Y506" s="663"/>
      <c r="Z506" s="663"/>
    </row>
    <row r="507">
      <c r="A507" s="670"/>
      <c r="B507" s="671"/>
      <c r="C507" s="672"/>
      <c r="D507" s="673"/>
      <c r="E507" s="663"/>
      <c r="F507" s="663"/>
      <c r="G507" s="663"/>
      <c r="H507" s="663"/>
      <c r="I507" s="663"/>
      <c r="J507" s="663"/>
      <c r="K507" s="663"/>
      <c r="L507" s="663"/>
      <c r="M507" s="663"/>
      <c r="N507" s="663"/>
      <c r="O507" s="663"/>
      <c r="P507" s="663"/>
      <c r="Q507" s="663"/>
      <c r="R507" s="663"/>
      <c r="S507" s="663"/>
      <c r="T507" s="663"/>
      <c r="U507" s="663"/>
      <c r="V507" s="663"/>
      <c r="W507" s="663"/>
      <c r="X507" s="663"/>
      <c r="Y507" s="663"/>
      <c r="Z507" s="663"/>
    </row>
    <row r="508">
      <c r="A508" s="670"/>
      <c r="B508" s="671"/>
      <c r="C508" s="672"/>
      <c r="D508" s="673"/>
      <c r="E508" s="663"/>
      <c r="F508" s="663"/>
      <c r="G508" s="663"/>
      <c r="H508" s="663"/>
      <c r="I508" s="663"/>
      <c r="J508" s="663"/>
      <c r="K508" s="663"/>
      <c r="L508" s="663"/>
      <c r="M508" s="663"/>
      <c r="N508" s="663"/>
      <c r="O508" s="663"/>
      <c r="P508" s="663"/>
      <c r="Q508" s="663"/>
      <c r="R508" s="663"/>
      <c r="S508" s="663"/>
      <c r="T508" s="663"/>
      <c r="U508" s="663"/>
      <c r="V508" s="663"/>
      <c r="W508" s="663"/>
      <c r="X508" s="663"/>
      <c r="Y508" s="663"/>
      <c r="Z508" s="663"/>
    </row>
    <row r="509">
      <c r="A509" s="670"/>
      <c r="B509" s="671"/>
      <c r="C509" s="672"/>
      <c r="D509" s="673"/>
      <c r="E509" s="663"/>
      <c r="F509" s="663"/>
      <c r="G509" s="663"/>
      <c r="H509" s="663"/>
      <c r="I509" s="663"/>
      <c r="J509" s="663"/>
      <c r="K509" s="663"/>
      <c r="L509" s="663"/>
      <c r="M509" s="663"/>
      <c r="N509" s="663"/>
      <c r="O509" s="663"/>
      <c r="P509" s="663"/>
      <c r="Q509" s="663"/>
      <c r="R509" s="663"/>
      <c r="S509" s="663"/>
      <c r="T509" s="663"/>
      <c r="U509" s="663"/>
      <c r="V509" s="663"/>
      <c r="W509" s="663"/>
      <c r="X509" s="663"/>
      <c r="Y509" s="663"/>
      <c r="Z509" s="663"/>
    </row>
    <row r="510">
      <c r="A510" s="670"/>
      <c r="B510" s="671"/>
      <c r="C510" s="672"/>
      <c r="D510" s="673"/>
      <c r="E510" s="663"/>
      <c r="F510" s="663"/>
      <c r="G510" s="663"/>
      <c r="H510" s="663"/>
      <c r="I510" s="663"/>
      <c r="J510" s="663"/>
      <c r="K510" s="663"/>
      <c r="L510" s="663"/>
      <c r="M510" s="663"/>
      <c r="N510" s="663"/>
      <c r="O510" s="663"/>
      <c r="P510" s="663"/>
      <c r="Q510" s="663"/>
      <c r="R510" s="663"/>
      <c r="S510" s="663"/>
      <c r="T510" s="663"/>
      <c r="U510" s="663"/>
      <c r="V510" s="663"/>
      <c r="W510" s="663"/>
      <c r="X510" s="663"/>
      <c r="Y510" s="663"/>
      <c r="Z510" s="663"/>
    </row>
    <row r="511">
      <c r="A511" s="670"/>
      <c r="B511" s="671"/>
      <c r="C511" s="672"/>
      <c r="D511" s="673"/>
      <c r="E511" s="663"/>
      <c r="F511" s="663"/>
      <c r="G511" s="663"/>
      <c r="H511" s="663"/>
      <c r="I511" s="663"/>
      <c r="J511" s="663"/>
      <c r="K511" s="663"/>
      <c r="L511" s="663"/>
      <c r="M511" s="663"/>
      <c r="N511" s="663"/>
      <c r="O511" s="663"/>
      <c r="P511" s="663"/>
      <c r="Q511" s="663"/>
      <c r="R511" s="663"/>
      <c r="S511" s="663"/>
      <c r="T511" s="663"/>
      <c r="U511" s="663"/>
      <c r="V511" s="663"/>
      <c r="W511" s="663"/>
      <c r="X511" s="663"/>
      <c r="Y511" s="663"/>
      <c r="Z511" s="663"/>
    </row>
    <row r="512">
      <c r="A512" s="670"/>
      <c r="B512" s="671"/>
      <c r="C512" s="672"/>
      <c r="D512" s="673"/>
      <c r="E512" s="663"/>
      <c r="F512" s="663"/>
      <c r="G512" s="663"/>
      <c r="H512" s="663"/>
      <c r="I512" s="663"/>
      <c r="J512" s="663"/>
      <c r="K512" s="663"/>
      <c r="L512" s="663"/>
      <c r="M512" s="663"/>
      <c r="N512" s="663"/>
      <c r="O512" s="663"/>
      <c r="P512" s="663"/>
      <c r="Q512" s="663"/>
      <c r="R512" s="663"/>
      <c r="S512" s="663"/>
      <c r="T512" s="663"/>
      <c r="U512" s="663"/>
      <c r="V512" s="663"/>
      <c r="W512" s="663"/>
      <c r="X512" s="663"/>
      <c r="Y512" s="663"/>
      <c r="Z512" s="663"/>
    </row>
    <row r="513">
      <c r="A513" s="670"/>
      <c r="B513" s="671"/>
      <c r="C513" s="672"/>
      <c r="D513" s="673"/>
      <c r="E513" s="663"/>
      <c r="F513" s="663"/>
      <c r="G513" s="663"/>
      <c r="H513" s="663"/>
      <c r="I513" s="663"/>
      <c r="J513" s="663"/>
      <c r="K513" s="663"/>
      <c r="L513" s="663"/>
      <c r="M513" s="663"/>
      <c r="N513" s="663"/>
      <c r="O513" s="663"/>
      <c r="P513" s="663"/>
      <c r="Q513" s="663"/>
      <c r="R513" s="663"/>
      <c r="S513" s="663"/>
      <c r="T513" s="663"/>
      <c r="U513" s="663"/>
      <c r="V513" s="663"/>
      <c r="W513" s="663"/>
      <c r="X513" s="663"/>
      <c r="Y513" s="663"/>
      <c r="Z513" s="663"/>
    </row>
    <row r="514">
      <c r="A514" s="670"/>
      <c r="B514" s="671"/>
      <c r="C514" s="672"/>
      <c r="D514" s="673"/>
      <c r="E514" s="663"/>
      <c r="F514" s="663"/>
      <c r="G514" s="663"/>
      <c r="H514" s="663"/>
      <c r="I514" s="663"/>
      <c r="J514" s="663"/>
      <c r="K514" s="663"/>
      <c r="L514" s="663"/>
      <c r="M514" s="663"/>
      <c r="N514" s="663"/>
      <c r="O514" s="663"/>
      <c r="P514" s="663"/>
      <c r="Q514" s="663"/>
      <c r="R514" s="663"/>
      <c r="S514" s="663"/>
      <c r="T514" s="663"/>
      <c r="U514" s="663"/>
      <c r="V514" s="663"/>
      <c r="W514" s="663"/>
      <c r="X514" s="663"/>
      <c r="Y514" s="663"/>
      <c r="Z514" s="663"/>
    </row>
    <row r="515">
      <c r="A515" s="670"/>
      <c r="B515" s="671"/>
      <c r="C515" s="672"/>
      <c r="D515" s="673"/>
      <c r="E515" s="663"/>
      <c r="F515" s="663"/>
      <c r="G515" s="663"/>
      <c r="H515" s="663"/>
      <c r="I515" s="663"/>
      <c r="J515" s="663"/>
      <c r="K515" s="663"/>
      <c r="L515" s="663"/>
      <c r="M515" s="663"/>
      <c r="N515" s="663"/>
      <c r="O515" s="663"/>
      <c r="P515" s="663"/>
      <c r="Q515" s="663"/>
      <c r="R515" s="663"/>
      <c r="S515" s="663"/>
      <c r="T515" s="663"/>
      <c r="U515" s="663"/>
      <c r="V515" s="663"/>
      <c r="W515" s="663"/>
      <c r="X515" s="663"/>
      <c r="Y515" s="663"/>
      <c r="Z515" s="663"/>
    </row>
    <row r="516">
      <c r="A516" s="670"/>
      <c r="B516" s="671"/>
      <c r="C516" s="672"/>
      <c r="D516" s="673"/>
      <c r="E516" s="663"/>
      <c r="F516" s="663"/>
      <c r="G516" s="663"/>
      <c r="H516" s="663"/>
      <c r="I516" s="663"/>
      <c r="J516" s="663"/>
      <c r="K516" s="663"/>
      <c r="L516" s="663"/>
      <c r="M516" s="663"/>
      <c r="N516" s="663"/>
      <c r="O516" s="663"/>
      <c r="P516" s="663"/>
      <c r="Q516" s="663"/>
      <c r="R516" s="663"/>
      <c r="S516" s="663"/>
      <c r="T516" s="663"/>
      <c r="U516" s="663"/>
      <c r="V516" s="663"/>
      <c r="W516" s="663"/>
      <c r="X516" s="663"/>
      <c r="Y516" s="663"/>
      <c r="Z516" s="663"/>
    </row>
    <row r="517">
      <c r="A517" s="670"/>
      <c r="B517" s="671"/>
      <c r="C517" s="672"/>
      <c r="D517" s="673"/>
      <c r="E517" s="663"/>
      <c r="F517" s="663"/>
      <c r="G517" s="663"/>
      <c r="H517" s="663"/>
      <c r="I517" s="663"/>
      <c r="J517" s="663"/>
      <c r="K517" s="663"/>
      <c r="L517" s="663"/>
      <c r="M517" s="663"/>
      <c r="N517" s="663"/>
      <c r="O517" s="663"/>
      <c r="P517" s="663"/>
      <c r="Q517" s="663"/>
      <c r="R517" s="663"/>
      <c r="S517" s="663"/>
      <c r="T517" s="663"/>
      <c r="U517" s="663"/>
      <c r="V517" s="663"/>
      <c r="W517" s="663"/>
      <c r="X517" s="663"/>
      <c r="Y517" s="663"/>
      <c r="Z517" s="663"/>
    </row>
    <row r="518">
      <c r="A518" s="670"/>
      <c r="B518" s="671"/>
      <c r="C518" s="672"/>
      <c r="D518" s="673"/>
      <c r="E518" s="663"/>
      <c r="F518" s="663"/>
      <c r="G518" s="663"/>
      <c r="H518" s="663"/>
      <c r="I518" s="663"/>
      <c r="J518" s="663"/>
      <c r="K518" s="663"/>
      <c r="L518" s="663"/>
      <c r="M518" s="663"/>
      <c r="N518" s="663"/>
      <c r="O518" s="663"/>
      <c r="P518" s="663"/>
      <c r="Q518" s="663"/>
      <c r="R518" s="663"/>
      <c r="S518" s="663"/>
      <c r="T518" s="663"/>
      <c r="U518" s="663"/>
      <c r="V518" s="663"/>
      <c r="W518" s="663"/>
      <c r="X518" s="663"/>
      <c r="Y518" s="663"/>
      <c r="Z518" s="663"/>
    </row>
    <row r="519">
      <c r="A519" s="670"/>
      <c r="B519" s="671"/>
      <c r="C519" s="672"/>
      <c r="D519" s="673"/>
      <c r="E519" s="663"/>
      <c r="F519" s="663"/>
      <c r="G519" s="663"/>
      <c r="H519" s="663"/>
      <c r="I519" s="663"/>
      <c r="J519" s="663"/>
      <c r="K519" s="663"/>
      <c r="L519" s="663"/>
      <c r="M519" s="663"/>
      <c r="N519" s="663"/>
      <c r="O519" s="663"/>
      <c r="P519" s="663"/>
      <c r="Q519" s="663"/>
      <c r="R519" s="663"/>
      <c r="S519" s="663"/>
      <c r="T519" s="663"/>
      <c r="U519" s="663"/>
      <c r="V519" s="663"/>
      <c r="W519" s="663"/>
      <c r="X519" s="663"/>
      <c r="Y519" s="663"/>
      <c r="Z519" s="663"/>
    </row>
    <row r="520">
      <c r="A520" s="670"/>
      <c r="B520" s="671"/>
      <c r="C520" s="672"/>
      <c r="D520" s="673"/>
      <c r="E520" s="663"/>
      <c r="F520" s="663"/>
      <c r="G520" s="663"/>
      <c r="H520" s="663"/>
      <c r="I520" s="663"/>
      <c r="J520" s="663"/>
      <c r="K520" s="663"/>
      <c r="L520" s="663"/>
      <c r="M520" s="663"/>
      <c r="N520" s="663"/>
      <c r="O520" s="663"/>
      <c r="P520" s="663"/>
      <c r="Q520" s="663"/>
      <c r="R520" s="663"/>
      <c r="S520" s="663"/>
      <c r="T520" s="663"/>
      <c r="U520" s="663"/>
      <c r="V520" s="663"/>
      <c r="W520" s="663"/>
      <c r="X520" s="663"/>
      <c r="Y520" s="663"/>
      <c r="Z520" s="663"/>
    </row>
    <row r="521">
      <c r="A521" s="670"/>
      <c r="B521" s="671"/>
      <c r="C521" s="672"/>
      <c r="D521" s="673"/>
      <c r="E521" s="663"/>
      <c r="F521" s="663"/>
      <c r="G521" s="663"/>
      <c r="H521" s="663"/>
      <c r="I521" s="663"/>
      <c r="J521" s="663"/>
      <c r="K521" s="663"/>
      <c r="L521" s="663"/>
      <c r="M521" s="663"/>
      <c r="N521" s="663"/>
      <c r="O521" s="663"/>
      <c r="P521" s="663"/>
      <c r="Q521" s="663"/>
      <c r="R521" s="663"/>
      <c r="S521" s="663"/>
      <c r="T521" s="663"/>
      <c r="U521" s="663"/>
      <c r="V521" s="663"/>
      <c r="W521" s="663"/>
      <c r="X521" s="663"/>
      <c r="Y521" s="663"/>
      <c r="Z521" s="663"/>
    </row>
    <row r="522">
      <c r="A522" s="670"/>
      <c r="B522" s="671"/>
      <c r="C522" s="672"/>
      <c r="D522" s="673"/>
      <c r="E522" s="663"/>
      <c r="F522" s="663"/>
      <c r="G522" s="663"/>
      <c r="H522" s="663"/>
      <c r="I522" s="663"/>
      <c r="J522" s="663"/>
      <c r="K522" s="663"/>
      <c r="L522" s="663"/>
      <c r="M522" s="663"/>
      <c r="N522" s="663"/>
      <c r="O522" s="663"/>
      <c r="P522" s="663"/>
      <c r="Q522" s="663"/>
      <c r="R522" s="663"/>
      <c r="S522" s="663"/>
      <c r="T522" s="663"/>
      <c r="U522" s="663"/>
      <c r="V522" s="663"/>
      <c r="W522" s="663"/>
      <c r="X522" s="663"/>
      <c r="Y522" s="663"/>
      <c r="Z522" s="663"/>
    </row>
    <row r="523">
      <c r="A523" s="670"/>
      <c r="B523" s="671"/>
      <c r="C523" s="672"/>
      <c r="D523" s="673"/>
      <c r="E523" s="663"/>
      <c r="F523" s="663"/>
      <c r="G523" s="663"/>
      <c r="H523" s="663"/>
      <c r="I523" s="663"/>
      <c r="J523" s="663"/>
      <c r="K523" s="663"/>
      <c r="L523" s="663"/>
      <c r="M523" s="663"/>
      <c r="N523" s="663"/>
      <c r="O523" s="663"/>
      <c r="P523" s="663"/>
      <c r="Q523" s="663"/>
      <c r="R523" s="663"/>
      <c r="S523" s="663"/>
      <c r="T523" s="663"/>
      <c r="U523" s="663"/>
      <c r="V523" s="663"/>
      <c r="W523" s="663"/>
      <c r="X523" s="663"/>
      <c r="Y523" s="663"/>
      <c r="Z523" s="663"/>
    </row>
    <row r="524">
      <c r="A524" s="670"/>
      <c r="B524" s="671"/>
      <c r="C524" s="672"/>
      <c r="D524" s="673"/>
      <c r="E524" s="663"/>
      <c r="F524" s="663"/>
      <c r="G524" s="663"/>
      <c r="H524" s="663"/>
      <c r="I524" s="663"/>
      <c r="J524" s="663"/>
      <c r="K524" s="663"/>
      <c r="L524" s="663"/>
      <c r="M524" s="663"/>
      <c r="N524" s="663"/>
      <c r="O524" s="663"/>
      <c r="P524" s="663"/>
      <c r="Q524" s="663"/>
      <c r="R524" s="663"/>
      <c r="S524" s="663"/>
      <c r="T524" s="663"/>
      <c r="U524" s="663"/>
      <c r="V524" s="663"/>
      <c r="W524" s="663"/>
      <c r="X524" s="663"/>
      <c r="Y524" s="663"/>
      <c r="Z524" s="663"/>
    </row>
    <row r="525">
      <c r="A525" s="670"/>
      <c r="B525" s="671"/>
      <c r="C525" s="672"/>
      <c r="D525" s="673"/>
      <c r="E525" s="663"/>
      <c r="F525" s="663"/>
      <c r="G525" s="663"/>
      <c r="H525" s="663"/>
      <c r="I525" s="663"/>
      <c r="J525" s="663"/>
      <c r="K525" s="663"/>
      <c r="L525" s="663"/>
      <c r="M525" s="663"/>
      <c r="N525" s="663"/>
      <c r="O525" s="663"/>
      <c r="P525" s="663"/>
      <c r="Q525" s="663"/>
      <c r="R525" s="663"/>
      <c r="S525" s="663"/>
      <c r="T525" s="663"/>
      <c r="U525" s="663"/>
      <c r="V525" s="663"/>
      <c r="W525" s="663"/>
      <c r="X525" s="663"/>
      <c r="Y525" s="663"/>
      <c r="Z525" s="663"/>
    </row>
    <row r="526">
      <c r="A526" s="670"/>
      <c r="B526" s="671"/>
      <c r="C526" s="672"/>
      <c r="D526" s="673"/>
      <c r="E526" s="663"/>
      <c r="F526" s="663"/>
      <c r="G526" s="663"/>
      <c r="H526" s="663"/>
      <c r="I526" s="663"/>
      <c r="J526" s="663"/>
      <c r="K526" s="663"/>
      <c r="L526" s="663"/>
      <c r="M526" s="663"/>
      <c r="N526" s="663"/>
      <c r="O526" s="663"/>
      <c r="P526" s="663"/>
      <c r="Q526" s="663"/>
      <c r="R526" s="663"/>
      <c r="S526" s="663"/>
      <c r="T526" s="663"/>
      <c r="U526" s="663"/>
      <c r="V526" s="663"/>
      <c r="W526" s="663"/>
      <c r="X526" s="663"/>
      <c r="Y526" s="663"/>
      <c r="Z526" s="663"/>
    </row>
    <row r="527">
      <c r="A527" s="670"/>
      <c r="B527" s="671"/>
      <c r="C527" s="672"/>
      <c r="D527" s="673"/>
      <c r="E527" s="663"/>
      <c r="F527" s="663"/>
      <c r="G527" s="663"/>
      <c r="H527" s="663"/>
      <c r="I527" s="663"/>
      <c r="J527" s="663"/>
      <c r="K527" s="663"/>
      <c r="L527" s="663"/>
      <c r="M527" s="663"/>
      <c r="N527" s="663"/>
      <c r="O527" s="663"/>
      <c r="P527" s="663"/>
      <c r="Q527" s="663"/>
      <c r="R527" s="663"/>
      <c r="S527" s="663"/>
      <c r="T527" s="663"/>
      <c r="U527" s="663"/>
      <c r="V527" s="663"/>
      <c r="W527" s="663"/>
      <c r="X527" s="663"/>
      <c r="Y527" s="663"/>
      <c r="Z527" s="663"/>
    </row>
    <row r="528">
      <c r="A528" s="670"/>
      <c r="B528" s="671"/>
      <c r="C528" s="672"/>
      <c r="D528" s="673"/>
      <c r="E528" s="663"/>
      <c r="F528" s="663"/>
      <c r="G528" s="663"/>
      <c r="H528" s="663"/>
      <c r="I528" s="663"/>
      <c r="J528" s="663"/>
      <c r="K528" s="663"/>
      <c r="L528" s="663"/>
      <c r="M528" s="663"/>
      <c r="N528" s="663"/>
      <c r="O528" s="663"/>
      <c r="P528" s="663"/>
      <c r="Q528" s="663"/>
      <c r="R528" s="663"/>
      <c r="S528" s="663"/>
      <c r="T528" s="663"/>
      <c r="U528" s="663"/>
      <c r="V528" s="663"/>
      <c r="W528" s="663"/>
      <c r="X528" s="663"/>
      <c r="Y528" s="663"/>
      <c r="Z528" s="663"/>
    </row>
    <row r="529">
      <c r="A529" s="670"/>
      <c r="B529" s="671"/>
      <c r="C529" s="672"/>
      <c r="D529" s="673"/>
      <c r="E529" s="663"/>
      <c r="F529" s="663"/>
      <c r="G529" s="663"/>
      <c r="H529" s="663"/>
      <c r="I529" s="663"/>
      <c r="J529" s="663"/>
      <c r="K529" s="663"/>
      <c r="L529" s="663"/>
      <c r="M529" s="663"/>
      <c r="N529" s="663"/>
      <c r="O529" s="663"/>
      <c r="P529" s="663"/>
      <c r="Q529" s="663"/>
      <c r="R529" s="663"/>
      <c r="S529" s="663"/>
      <c r="T529" s="663"/>
      <c r="U529" s="663"/>
      <c r="V529" s="663"/>
      <c r="W529" s="663"/>
      <c r="X529" s="663"/>
      <c r="Y529" s="663"/>
      <c r="Z529" s="663"/>
    </row>
    <row r="530">
      <c r="A530" s="670"/>
      <c r="B530" s="671"/>
      <c r="C530" s="672"/>
      <c r="D530" s="673"/>
      <c r="E530" s="663"/>
      <c r="F530" s="663"/>
      <c r="G530" s="663"/>
      <c r="H530" s="663"/>
      <c r="I530" s="663"/>
      <c r="J530" s="663"/>
      <c r="K530" s="663"/>
      <c r="L530" s="663"/>
      <c r="M530" s="663"/>
      <c r="N530" s="663"/>
      <c r="O530" s="663"/>
      <c r="P530" s="663"/>
      <c r="Q530" s="663"/>
      <c r="R530" s="663"/>
      <c r="S530" s="663"/>
      <c r="T530" s="663"/>
      <c r="U530" s="663"/>
      <c r="V530" s="663"/>
      <c r="W530" s="663"/>
      <c r="X530" s="663"/>
      <c r="Y530" s="663"/>
      <c r="Z530" s="663"/>
    </row>
    <row r="531">
      <c r="A531" s="670"/>
      <c r="B531" s="671"/>
      <c r="C531" s="672"/>
      <c r="D531" s="673"/>
      <c r="E531" s="663"/>
      <c r="F531" s="663"/>
      <c r="G531" s="663"/>
      <c r="H531" s="663"/>
      <c r="I531" s="663"/>
      <c r="J531" s="663"/>
      <c r="K531" s="663"/>
      <c r="L531" s="663"/>
      <c r="M531" s="663"/>
      <c r="N531" s="663"/>
      <c r="O531" s="663"/>
      <c r="P531" s="663"/>
      <c r="Q531" s="663"/>
      <c r="R531" s="663"/>
      <c r="S531" s="663"/>
      <c r="T531" s="663"/>
      <c r="U531" s="663"/>
      <c r="V531" s="663"/>
      <c r="W531" s="663"/>
      <c r="X531" s="663"/>
      <c r="Y531" s="663"/>
      <c r="Z531" s="663"/>
    </row>
    <row r="532">
      <c r="A532" s="670"/>
      <c r="B532" s="671"/>
      <c r="C532" s="672"/>
      <c r="D532" s="673"/>
      <c r="E532" s="663"/>
      <c r="F532" s="663"/>
      <c r="G532" s="663"/>
      <c r="H532" s="663"/>
      <c r="I532" s="663"/>
      <c r="J532" s="663"/>
      <c r="K532" s="663"/>
      <c r="L532" s="663"/>
      <c r="M532" s="663"/>
      <c r="N532" s="663"/>
      <c r="O532" s="663"/>
      <c r="P532" s="663"/>
      <c r="Q532" s="663"/>
      <c r="R532" s="663"/>
      <c r="S532" s="663"/>
      <c r="T532" s="663"/>
      <c r="U532" s="663"/>
      <c r="V532" s="663"/>
      <c r="W532" s="663"/>
      <c r="X532" s="663"/>
      <c r="Y532" s="663"/>
      <c r="Z532" s="663"/>
    </row>
    <row r="533">
      <c r="A533" s="670"/>
      <c r="B533" s="671"/>
      <c r="C533" s="672"/>
      <c r="D533" s="673"/>
      <c r="E533" s="663"/>
      <c r="F533" s="663"/>
      <c r="G533" s="663"/>
      <c r="H533" s="663"/>
      <c r="I533" s="663"/>
      <c r="J533" s="663"/>
      <c r="K533" s="663"/>
      <c r="L533" s="663"/>
      <c r="M533" s="663"/>
      <c r="N533" s="663"/>
      <c r="O533" s="663"/>
      <c r="P533" s="663"/>
      <c r="Q533" s="663"/>
      <c r="R533" s="663"/>
      <c r="S533" s="663"/>
      <c r="T533" s="663"/>
      <c r="U533" s="663"/>
      <c r="V533" s="663"/>
      <c r="W533" s="663"/>
      <c r="X533" s="663"/>
      <c r="Y533" s="663"/>
      <c r="Z533" s="663"/>
    </row>
    <row r="534">
      <c r="A534" s="670"/>
      <c r="B534" s="671"/>
      <c r="C534" s="672"/>
      <c r="D534" s="673"/>
      <c r="E534" s="663"/>
      <c r="F534" s="663"/>
      <c r="G534" s="663"/>
      <c r="H534" s="663"/>
      <c r="I534" s="663"/>
      <c r="J534" s="663"/>
      <c r="K534" s="663"/>
      <c r="L534" s="663"/>
      <c r="M534" s="663"/>
      <c r="N534" s="663"/>
      <c r="O534" s="663"/>
      <c r="P534" s="663"/>
      <c r="Q534" s="663"/>
      <c r="R534" s="663"/>
      <c r="S534" s="663"/>
      <c r="T534" s="663"/>
      <c r="U534" s="663"/>
      <c r="V534" s="663"/>
      <c r="W534" s="663"/>
      <c r="X534" s="663"/>
      <c r="Y534" s="663"/>
      <c r="Z534" s="663"/>
    </row>
    <row r="535">
      <c r="A535" s="670"/>
      <c r="B535" s="671"/>
      <c r="C535" s="672"/>
      <c r="D535" s="673"/>
      <c r="E535" s="663"/>
      <c r="F535" s="663"/>
      <c r="G535" s="663"/>
      <c r="H535" s="663"/>
      <c r="I535" s="663"/>
      <c r="J535" s="663"/>
      <c r="K535" s="663"/>
      <c r="L535" s="663"/>
      <c r="M535" s="663"/>
      <c r="N535" s="663"/>
      <c r="O535" s="663"/>
      <c r="P535" s="663"/>
      <c r="Q535" s="663"/>
      <c r="R535" s="663"/>
      <c r="S535" s="663"/>
      <c r="T535" s="663"/>
      <c r="U535" s="663"/>
      <c r="V535" s="663"/>
      <c r="W535" s="663"/>
      <c r="X535" s="663"/>
      <c r="Y535" s="663"/>
      <c r="Z535" s="663"/>
    </row>
    <row r="536">
      <c r="A536" s="670"/>
      <c r="B536" s="671"/>
      <c r="C536" s="672"/>
      <c r="D536" s="673"/>
      <c r="E536" s="663"/>
      <c r="F536" s="663"/>
      <c r="G536" s="663"/>
      <c r="H536" s="663"/>
      <c r="I536" s="663"/>
      <c r="J536" s="663"/>
      <c r="K536" s="663"/>
      <c r="L536" s="663"/>
      <c r="M536" s="663"/>
      <c r="N536" s="663"/>
      <c r="O536" s="663"/>
      <c r="P536" s="663"/>
      <c r="Q536" s="663"/>
      <c r="R536" s="663"/>
      <c r="S536" s="663"/>
      <c r="T536" s="663"/>
      <c r="U536" s="663"/>
      <c r="V536" s="663"/>
      <c r="W536" s="663"/>
      <c r="X536" s="663"/>
      <c r="Y536" s="663"/>
      <c r="Z536" s="663"/>
    </row>
    <row r="537">
      <c r="A537" s="670"/>
      <c r="B537" s="671"/>
      <c r="C537" s="672"/>
      <c r="D537" s="673"/>
      <c r="E537" s="663"/>
      <c r="F537" s="663"/>
      <c r="G537" s="663"/>
      <c r="H537" s="663"/>
      <c r="I537" s="663"/>
      <c r="J537" s="663"/>
      <c r="K537" s="663"/>
      <c r="L537" s="663"/>
      <c r="M537" s="663"/>
      <c r="N537" s="663"/>
      <c r="O537" s="663"/>
      <c r="P537" s="663"/>
      <c r="Q537" s="663"/>
      <c r="R537" s="663"/>
      <c r="S537" s="663"/>
      <c r="T537" s="663"/>
      <c r="U537" s="663"/>
      <c r="V537" s="663"/>
      <c r="W537" s="663"/>
      <c r="X537" s="663"/>
      <c r="Y537" s="663"/>
      <c r="Z537" s="663"/>
    </row>
    <row r="538">
      <c r="A538" s="670"/>
      <c r="B538" s="671"/>
      <c r="C538" s="672"/>
      <c r="D538" s="673"/>
      <c r="E538" s="663"/>
      <c r="F538" s="663"/>
      <c r="G538" s="663"/>
      <c r="H538" s="663"/>
      <c r="I538" s="663"/>
      <c r="J538" s="663"/>
      <c r="K538" s="663"/>
      <c r="L538" s="663"/>
      <c r="M538" s="663"/>
      <c r="N538" s="663"/>
      <c r="O538" s="663"/>
      <c r="P538" s="663"/>
      <c r="Q538" s="663"/>
      <c r="R538" s="663"/>
      <c r="S538" s="663"/>
      <c r="T538" s="663"/>
      <c r="U538" s="663"/>
      <c r="V538" s="663"/>
      <c r="W538" s="663"/>
      <c r="X538" s="663"/>
      <c r="Y538" s="663"/>
      <c r="Z538" s="663"/>
    </row>
    <row r="539">
      <c r="A539" s="670"/>
      <c r="B539" s="671"/>
      <c r="C539" s="672"/>
      <c r="D539" s="673"/>
      <c r="E539" s="663"/>
      <c r="F539" s="663"/>
      <c r="G539" s="663"/>
      <c r="H539" s="663"/>
      <c r="I539" s="663"/>
      <c r="J539" s="663"/>
      <c r="K539" s="663"/>
      <c r="L539" s="663"/>
      <c r="M539" s="663"/>
      <c r="N539" s="663"/>
      <c r="O539" s="663"/>
      <c r="P539" s="663"/>
      <c r="Q539" s="663"/>
      <c r="R539" s="663"/>
      <c r="S539" s="663"/>
      <c r="T539" s="663"/>
      <c r="U539" s="663"/>
      <c r="V539" s="663"/>
      <c r="W539" s="663"/>
      <c r="X539" s="663"/>
      <c r="Y539" s="663"/>
      <c r="Z539" s="663"/>
    </row>
    <row r="540">
      <c r="A540" s="670"/>
      <c r="B540" s="671"/>
      <c r="C540" s="672"/>
      <c r="D540" s="673"/>
      <c r="E540" s="663"/>
      <c r="F540" s="663"/>
      <c r="G540" s="663"/>
      <c r="H540" s="663"/>
      <c r="I540" s="663"/>
      <c r="J540" s="663"/>
      <c r="K540" s="663"/>
      <c r="L540" s="663"/>
      <c r="M540" s="663"/>
      <c r="N540" s="663"/>
      <c r="O540" s="663"/>
      <c r="P540" s="663"/>
      <c r="Q540" s="663"/>
      <c r="R540" s="663"/>
      <c r="S540" s="663"/>
      <c r="T540" s="663"/>
      <c r="U540" s="663"/>
      <c r="V540" s="663"/>
      <c r="W540" s="663"/>
      <c r="X540" s="663"/>
      <c r="Y540" s="663"/>
      <c r="Z540" s="663"/>
    </row>
    <row r="541">
      <c r="A541" s="670"/>
      <c r="B541" s="671"/>
      <c r="C541" s="672"/>
      <c r="D541" s="673"/>
      <c r="E541" s="663"/>
      <c r="F541" s="663"/>
      <c r="G541" s="663"/>
      <c r="H541" s="663"/>
      <c r="I541" s="663"/>
      <c r="J541" s="663"/>
      <c r="K541" s="663"/>
      <c r="L541" s="663"/>
      <c r="M541" s="663"/>
      <c r="N541" s="663"/>
      <c r="O541" s="663"/>
      <c r="P541" s="663"/>
      <c r="Q541" s="663"/>
      <c r="R541" s="663"/>
      <c r="S541" s="663"/>
      <c r="T541" s="663"/>
      <c r="U541" s="663"/>
      <c r="V541" s="663"/>
      <c r="W541" s="663"/>
      <c r="X541" s="663"/>
      <c r="Y541" s="663"/>
      <c r="Z541" s="663"/>
    </row>
    <row r="542">
      <c r="A542" s="670"/>
      <c r="B542" s="671"/>
      <c r="C542" s="672"/>
      <c r="D542" s="673"/>
      <c r="E542" s="663"/>
      <c r="F542" s="663"/>
      <c r="G542" s="663"/>
      <c r="H542" s="663"/>
      <c r="I542" s="663"/>
      <c r="J542" s="663"/>
      <c r="K542" s="663"/>
      <c r="L542" s="663"/>
      <c r="M542" s="663"/>
      <c r="N542" s="663"/>
      <c r="O542" s="663"/>
      <c r="P542" s="663"/>
      <c r="Q542" s="663"/>
      <c r="R542" s="663"/>
      <c r="S542" s="663"/>
      <c r="T542" s="663"/>
      <c r="U542" s="663"/>
      <c r="V542" s="663"/>
      <c r="W542" s="663"/>
      <c r="X542" s="663"/>
      <c r="Y542" s="663"/>
      <c r="Z542" s="663"/>
    </row>
    <row r="543">
      <c r="A543" s="670"/>
      <c r="B543" s="671"/>
      <c r="C543" s="672"/>
      <c r="D543" s="673"/>
      <c r="E543" s="663"/>
      <c r="F543" s="663"/>
      <c r="G543" s="663"/>
      <c r="H543" s="663"/>
      <c r="I543" s="663"/>
      <c r="J543" s="663"/>
      <c r="K543" s="663"/>
      <c r="L543" s="663"/>
      <c r="M543" s="663"/>
      <c r="N543" s="663"/>
      <c r="O543" s="663"/>
      <c r="P543" s="663"/>
      <c r="Q543" s="663"/>
      <c r="R543" s="663"/>
      <c r="S543" s="663"/>
      <c r="T543" s="663"/>
      <c r="U543" s="663"/>
      <c r="V543" s="663"/>
      <c r="W543" s="663"/>
      <c r="X543" s="663"/>
      <c r="Y543" s="663"/>
      <c r="Z543" s="663"/>
    </row>
    <row r="544">
      <c r="A544" s="670"/>
      <c r="B544" s="671"/>
      <c r="C544" s="672"/>
      <c r="D544" s="673"/>
      <c r="E544" s="663"/>
      <c r="F544" s="663"/>
      <c r="G544" s="663"/>
      <c r="H544" s="663"/>
      <c r="I544" s="663"/>
      <c r="J544" s="663"/>
      <c r="K544" s="663"/>
      <c r="L544" s="663"/>
      <c r="M544" s="663"/>
      <c r="N544" s="663"/>
      <c r="O544" s="663"/>
      <c r="P544" s="663"/>
      <c r="Q544" s="663"/>
      <c r="R544" s="663"/>
      <c r="S544" s="663"/>
      <c r="T544" s="663"/>
      <c r="U544" s="663"/>
      <c r="V544" s="663"/>
      <c r="W544" s="663"/>
      <c r="X544" s="663"/>
      <c r="Y544" s="663"/>
      <c r="Z544" s="663"/>
    </row>
    <row r="545">
      <c r="A545" s="670"/>
      <c r="B545" s="671"/>
      <c r="C545" s="672"/>
      <c r="D545" s="673"/>
      <c r="E545" s="663"/>
      <c r="F545" s="663"/>
      <c r="G545" s="663"/>
      <c r="H545" s="663"/>
      <c r="I545" s="663"/>
      <c r="J545" s="663"/>
      <c r="K545" s="663"/>
      <c r="L545" s="663"/>
      <c r="M545" s="663"/>
      <c r="N545" s="663"/>
      <c r="O545" s="663"/>
      <c r="P545" s="663"/>
      <c r="Q545" s="663"/>
      <c r="R545" s="663"/>
      <c r="S545" s="663"/>
      <c r="T545" s="663"/>
      <c r="U545" s="663"/>
      <c r="V545" s="663"/>
      <c r="W545" s="663"/>
      <c r="X545" s="663"/>
      <c r="Y545" s="663"/>
      <c r="Z545" s="663"/>
    </row>
    <row r="546">
      <c r="A546" s="670"/>
      <c r="B546" s="671"/>
      <c r="C546" s="672"/>
      <c r="D546" s="673"/>
      <c r="E546" s="663"/>
      <c r="F546" s="663"/>
      <c r="G546" s="663"/>
      <c r="H546" s="663"/>
      <c r="I546" s="663"/>
      <c r="J546" s="663"/>
      <c r="K546" s="663"/>
      <c r="L546" s="663"/>
      <c r="M546" s="663"/>
      <c r="N546" s="663"/>
      <c r="O546" s="663"/>
      <c r="P546" s="663"/>
      <c r="Q546" s="663"/>
      <c r="R546" s="663"/>
      <c r="S546" s="663"/>
      <c r="T546" s="663"/>
      <c r="U546" s="663"/>
      <c r="V546" s="663"/>
      <c r="W546" s="663"/>
      <c r="X546" s="663"/>
      <c r="Y546" s="663"/>
      <c r="Z546" s="663"/>
    </row>
    <row r="547">
      <c r="A547" s="670"/>
      <c r="B547" s="671"/>
      <c r="C547" s="672"/>
      <c r="D547" s="673"/>
      <c r="E547" s="663"/>
      <c r="F547" s="663"/>
      <c r="G547" s="663"/>
      <c r="H547" s="663"/>
      <c r="I547" s="663"/>
      <c r="J547" s="663"/>
      <c r="K547" s="663"/>
      <c r="L547" s="663"/>
      <c r="M547" s="663"/>
      <c r="N547" s="663"/>
      <c r="O547" s="663"/>
      <c r="P547" s="663"/>
      <c r="Q547" s="663"/>
      <c r="R547" s="663"/>
      <c r="S547" s="663"/>
      <c r="T547" s="663"/>
      <c r="U547" s="663"/>
      <c r="V547" s="663"/>
      <c r="W547" s="663"/>
      <c r="X547" s="663"/>
      <c r="Y547" s="663"/>
      <c r="Z547" s="663"/>
    </row>
    <row r="548">
      <c r="A548" s="670"/>
      <c r="B548" s="671"/>
      <c r="C548" s="672"/>
      <c r="D548" s="673"/>
      <c r="E548" s="663"/>
      <c r="F548" s="663"/>
      <c r="G548" s="663"/>
      <c r="H548" s="663"/>
      <c r="I548" s="663"/>
      <c r="J548" s="663"/>
      <c r="K548" s="663"/>
      <c r="L548" s="663"/>
      <c r="M548" s="663"/>
      <c r="N548" s="663"/>
      <c r="O548" s="663"/>
      <c r="P548" s="663"/>
      <c r="Q548" s="663"/>
      <c r="R548" s="663"/>
      <c r="S548" s="663"/>
      <c r="T548" s="663"/>
      <c r="U548" s="663"/>
      <c r="V548" s="663"/>
      <c r="W548" s="663"/>
      <c r="X548" s="663"/>
      <c r="Y548" s="663"/>
      <c r="Z548" s="663"/>
    </row>
    <row r="549">
      <c r="A549" s="670"/>
      <c r="B549" s="671"/>
      <c r="C549" s="672"/>
      <c r="D549" s="673"/>
      <c r="E549" s="663"/>
      <c r="F549" s="663"/>
      <c r="G549" s="663"/>
      <c r="H549" s="663"/>
      <c r="I549" s="663"/>
      <c r="J549" s="663"/>
      <c r="K549" s="663"/>
      <c r="L549" s="663"/>
      <c r="M549" s="663"/>
      <c r="N549" s="663"/>
      <c r="O549" s="663"/>
      <c r="P549" s="663"/>
      <c r="Q549" s="663"/>
      <c r="R549" s="663"/>
      <c r="S549" s="663"/>
      <c r="T549" s="663"/>
      <c r="U549" s="663"/>
      <c r="V549" s="663"/>
      <c r="W549" s="663"/>
      <c r="X549" s="663"/>
      <c r="Y549" s="663"/>
      <c r="Z549" s="663"/>
    </row>
    <row r="550">
      <c r="A550" s="670"/>
      <c r="B550" s="671"/>
      <c r="C550" s="672"/>
      <c r="D550" s="673"/>
      <c r="E550" s="663"/>
      <c r="F550" s="663"/>
      <c r="G550" s="663"/>
      <c r="H550" s="663"/>
      <c r="I550" s="663"/>
      <c r="J550" s="663"/>
      <c r="K550" s="663"/>
      <c r="L550" s="663"/>
      <c r="M550" s="663"/>
      <c r="N550" s="663"/>
      <c r="O550" s="663"/>
      <c r="P550" s="663"/>
      <c r="Q550" s="663"/>
      <c r="R550" s="663"/>
      <c r="S550" s="663"/>
      <c r="T550" s="663"/>
      <c r="U550" s="663"/>
      <c r="V550" s="663"/>
      <c r="W550" s="663"/>
      <c r="X550" s="663"/>
      <c r="Y550" s="663"/>
      <c r="Z550" s="663"/>
    </row>
    <row r="551">
      <c r="A551" s="670"/>
      <c r="B551" s="671"/>
      <c r="C551" s="672"/>
      <c r="D551" s="673"/>
      <c r="E551" s="663"/>
      <c r="F551" s="663"/>
      <c r="G551" s="663"/>
      <c r="H551" s="663"/>
      <c r="I551" s="663"/>
      <c r="J551" s="663"/>
      <c r="K551" s="663"/>
      <c r="L551" s="663"/>
      <c r="M551" s="663"/>
      <c r="N551" s="663"/>
      <c r="O551" s="663"/>
      <c r="P551" s="663"/>
      <c r="Q551" s="663"/>
      <c r="R551" s="663"/>
      <c r="S551" s="663"/>
      <c r="T551" s="663"/>
      <c r="U551" s="663"/>
      <c r="V551" s="663"/>
      <c r="W551" s="663"/>
      <c r="X551" s="663"/>
      <c r="Y551" s="663"/>
      <c r="Z551" s="663"/>
    </row>
    <row r="552">
      <c r="A552" s="670"/>
      <c r="B552" s="671"/>
      <c r="C552" s="672"/>
      <c r="D552" s="673"/>
      <c r="E552" s="663"/>
      <c r="F552" s="663"/>
      <c r="G552" s="663"/>
      <c r="H552" s="663"/>
      <c r="I552" s="663"/>
      <c r="J552" s="663"/>
      <c r="K552" s="663"/>
      <c r="L552" s="663"/>
      <c r="M552" s="663"/>
      <c r="N552" s="663"/>
      <c r="O552" s="663"/>
      <c r="P552" s="663"/>
      <c r="Q552" s="663"/>
      <c r="R552" s="663"/>
      <c r="S552" s="663"/>
      <c r="T552" s="663"/>
      <c r="U552" s="663"/>
      <c r="V552" s="663"/>
      <c r="W552" s="663"/>
      <c r="X552" s="663"/>
      <c r="Y552" s="663"/>
      <c r="Z552" s="663"/>
    </row>
    <row r="553">
      <c r="A553" s="670"/>
      <c r="B553" s="671"/>
      <c r="C553" s="672"/>
      <c r="D553" s="673"/>
      <c r="E553" s="663"/>
      <c r="F553" s="663"/>
      <c r="G553" s="663"/>
      <c r="H553" s="663"/>
      <c r="I553" s="663"/>
      <c r="J553" s="663"/>
      <c r="K553" s="663"/>
      <c r="L553" s="663"/>
      <c r="M553" s="663"/>
      <c r="N553" s="663"/>
      <c r="O553" s="663"/>
      <c r="P553" s="663"/>
      <c r="Q553" s="663"/>
      <c r="R553" s="663"/>
      <c r="S553" s="663"/>
      <c r="T553" s="663"/>
      <c r="U553" s="663"/>
      <c r="V553" s="663"/>
      <c r="W553" s="663"/>
      <c r="X553" s="663"/>
      <c r="Y553" s="663"/>
      <c r="Z553" s="663"/>
    </row>
    <row r="554">
      <c r="A554" s="670"/>
      <c r="B554" s="671"/>
      <c r="C554" s="672"/>
      <c r="D554" s="673"/>
      <c r="E554" s="663"/>
      <c r="F554" s="663"/>
      <c r="G554" s="663"/>
      <c r="H554" s="663"/>
      <c r="I554" s="663"/>
      <c r="J554" s="663"/>
      <c r="K554" s="663"/>
      <c r="L554" s="663"/>
      <c r="M554" s="663"/>
      <c r="N554" s="663"/>
      <c r="O554" s="663"/>
      <c r="P554" s="663"/>
      <c r="Q554" s="663"/>
      <c r="R554" s="663"/>
      <c r="S554" s="663"/>
      <c r="T554" s="663"/>
      <c r="U554" s="663"/>
      <c r="V554" s="663"/>
      <c r="W554" s="663"/>
      <c r="X554" s="663"/>
      <c r="Y554" s="663"/>
      <c r="Z554" s="663"/>
    </row>
    <row r="555">
      <c r="A555" s="670"/>
      <c r="B555" s="671"/>
      <c r="C555" s="672"/>
      <c r="D555" s="673"/>
      <c r="E555" s="663"/>
      <c r="F555" s="663"/>
      <c r="G555" s="663"/>
      <c r="H555" s="663"/>
      <c r="I555" s="663"/>
      <c r="J555" s="663"/>
      <c r="K555" s="663"/>
      <c r="L555" s="663"/>
      <c r="M555" s="663"/>
      <c r="N555" s="663"/>
      <c r="O555" s="663"/>
      <c r="P555" s="663"/>
      <c r="Q555" s="663"/>
      <c r="R555" s="663"/>
      <c r="S555" s="663"/>
      <c r="T555" s="663"/>
      <c r="U555" s="663"/>
      <c r="V555" s="663"/>
      <c r="W555" s="663"/>
      <c r="X555" s="663"/>
      <c r="Y555" s="663"/>
      <c r="Z555" s="663"/>
    </row>
    <row r="556">
      <c r="A556" s="670"/>
      <c r="B556" s="671"/>
      <c r="C556" s="672"/>
      <c r="D556" s="673"/>
      <c r="E556" s="663"/>
      <c r="F556" s="663"/>
      <c r="G556" s="663"/>
      <c r="H556" s="663"/>
      <c r="I556" s="663"/>
      <c r="J556" s="663"/>
      <c r="K556" s="663"/>
      <c r="L556" s="663"/>
      <c r="M556" s="663"/>
      <c r="N556" s="663"/>
      <c r="O556" s="663"/>
      <c r="P556" s="663"/>
      <c r="Q556" s="663"/>
      <c r="R556" s="663"/>
      <c r="S556" s="663"/>
      <c r="T556" s="663"/>
      <c r="U556" s="663"/>
      <c r="V556" s="663"/>
      <c r="W556" s="663"/>
      <c r="X556" s="663"/>
      <c r="Y556" s="663"/>
      <c r="Z556" s="663"/>
    </row>
    <row r="557">
      <c r="A557" s="670"/>
      <c r="B557" s="671"/>
      <c r="C557" s="672"/>
      <c r="D557" s="673"/>
      <c r="E557" s="663"/>
      <c r="F557" s="663"/>
      <c r="G557" s="663"/>
      <c r="H557" s="663"/>
      <c r="I557" s="663"/>
      <c r="J557" s="663"/>
      <c r="K557" s="663"/>
      <c r="L557" s="663"/>
      <c r="M557" s="663"/>
      <c r="N557" s="663"/>
      <c r="O557" s="663"/>
      <c r="P557" s="663"/>
      <c r="Q557" s="663"/>
      <c r="R557" s="663"/>
      <c r="S557" s="663"/>
      <c r="T557" s="663"/>
      <c r="U557" s="663"/>
      <c r="V557" s="663"/>
      <c r="W557" s="663"/>
      <c r="X557" s="663"/>
      <c r="Y557" s="663"/>
      <c r="Z557" s="663"/>
    </row>
    <row r="558">
      <c r="A558" s="670"/>
      <c r="B558" s="671"/>
      <c r="C558" s="672"/>
      <c r="D558" s="673"/>
      <c r="E558" s="663"/>
      <c r="F558" s="663"/>
      <c r="G558" s="663"/>
      <c r="H558" s="663"/>
      <c r="I558" s="663"/>
      <c r="J558" s="663"/>
      <c r="K558" s="663"/>
      <c r="L558" s="663"/>
      <c r="M558" s="663"/>
      <c r="N558" s="663"/>
      <c r="O558" s="663"/>
      <c r="P558" s="663"/>
      <c r="Q558" s="663"/>
      <c r="R558" s="663"/>
      <c r="S558" s="663"/>
      <c r="T558" s="663"/>
      <c r="U558" s="663"/>
      <c r="V558" s="663"/>
      <c r="W558" s="663"/>
      <c r="X558" s="663"/>
      <c r="Y558" s="663"/>
      <c r="Z558" s="663"/>
    </row>
    <row r="559">
      <c r="A559" s="670"/>
      <c r="B559" s="671"/>
      <c r="C559" s="672"/>
      <c r="D559" s="673"/>
      <c r="E559" s="663"/>
      <c r="F559" s="663"/>
      <c r="G559" s="663"/>
      <c r="H559" s="663"/>
      <c r="I559" s="663"/>
      <c r="J559" s="663"/>
      <c r="K559" s="663"/>
      <c r="L559" s="663"/>
      <c r="M559" s="663"/>
      <c r="N559" s="663"/>
      <c r="O559" s="663"/>
      <c r="P559" s="663"/>
      <c r="Q559" s="663"/>
      <c r="R559" s="663"/>
      <c r="S559" s="663"/>
      <c r="T559" s="663"/>
      <c r="U559" s="663"/>
      <c r="V559" s="663"/>
      <c r="W559" s="663"/>
      <c r="X559" s="663"/>
      <c r="Y559" s="663"/>
      <c r="Z559" s="663"/>
    </row>
    <row r="560">
      <c r="A560" s="670"/>
      <c r="B560" s="671"/>
      <c r="C560" s="672"/>
      <c r="D560" s="673"/>
      <c r="E560" s="663"/>
      <c r="F560" s="663"/>
      <c r="G560" s="663"/>
      <c r="H560" s="663"/>
      <c r="I560" s="663"/>
      <c r="J560" s="663"/>
      <c r="K560" s="663"/>
      <c r="L560" s="663"/>
      <c r="M560" s="663"/>
      <c r="N560" s="663"/>
      <c r="O560" s="663"/>
      <c r="P560" s="663"/>
      <c r="Q560" s="663"/>
      <c r="R560" s="663"/>
      <c r="S560" s="663"/>
      <c r="T560" s="663"/>
      <c r="U560" s="663"/>
      <c r="V560" s="663"/>
      <c r="W560" s="663"/>
      <c r="X560" s="663"/>
      <c r="Y560" s="663"/>
      <c r="Z560" s="663"/>
    </row>
    <row r="561">
      <c r="A561" s="670"/>
      <c r="B561" s="671"/>
      <c r="C561" s="672"/>
      <c r="D561" s="673"/>
      <c r="E561" s="663"/>
      <c r="F561" s="663"/>
      <c r="G561" s="663"/>
      <c r="H561" s="663"/>
      <c r="I561" s="663"/>
      <c r="J561" s="663"/>
      <c r="K561" s="663"/>
      <c r="L561" s="663"/>
      <c r="M561" s="663"/>
      <c r="N561" s="663"/>
      <c r="O561" s="663"/>
      <c r="P561" s="663"/>
      <c r="Q561" s="663"/>
      <c r="R561" s="663"/>
      <c r="S561" s="663"/>
      <c r="T561" s="663"/>
      <c r="U561" s="663"/>
      <c r="V561" s="663"/>
      <c r="W561" s="663"/>
      <c r="X561" s="663"/>
      <c r="Y561" s="663"/>
      <c r="Z561" s="663"/>
    </row>
    <row r="562">
      <c r="A562" s="670"/>
      <c r="B562" s="671"/>
      <c r="C562" s="672"/>
      <c r="D562" s="673"/>
      <c r="E562" s="663"/>
      <c r="F562" s="663"/>
      <c r="G562" s="663"/>
      <c r="H562" s="663"/>
      <c r="I562" s="663"/>
      <c r="J562" s="663"/>
      <c r="K562" s="663"/>
      <c r="L562" s="663"/>
      <c r="M562" s="663"/>
      <c r="N562" s="663"/>
      <c r="O562" s="663"/>
      <c r="P562" s="663"/>
      <c r="Q562" s="663"/>
      <c r="R562" s="663"/>
      <c r="S562" s="663"/>
      <c r="T562" s="663"/>
      <c r="U562" s="663"/>
      <c r="V562" s="663"/>
      <c r="W562" s="663"/>
      <c r="X562" s="663"/>
      <c r="Y562" s="663"/>
      <c r="Z562" s="663"/>
    </row>
    <row r="563">
      <c r="A563" s="670"/>
      <c r="B563" s="671"/>
      <c r="C563" s="672"/>
      <c r="D563" s="673"/>
      <c r="E563" s="663"/>
      <c r="F563" s="663"/>
      <c r="G563" s="663"/>
      <c r="H563" s="663"/>
      <c r="I563" s="663"/>
      <c r="J563" s="663"/>
      <c r="K563" s="663"/>
      <c r="L563" s="663"/>
      <c r="M563" s="663"/>
      <c r="N563" s="663"/>
      <c r="O563" s="663"/>
      <c r="P563" s="663"/>
      <c r="Q563" s="663"/>
      <c r="R563" s="663"/>
      <c r="S563" s="663"/>
      <c r="T563" s="663"/>
      <c r="U563" s="663"/>
      <c r="V563" s="663"/>
      <c r="W563" s="663"/>
      <c r="X563" s="663"/>
      <c r="Y563" s="663"/>
      <c r="Z563" s="663"/>
    </row>
    <row r="564">
      <c r="A564" s="670"/>
      <c r="B564" s="671"/>
      <c r="C564" s="672"/>
      <c r="D564" s="673"/>
      <c r="E564" s="663"/>
      <c r="F564" s="663"/>
      <c r="G564" s="663"/>
      <c r="H564" s="663"/>
      <c r="I564" s="663"/>
      <c r="J564" s="663"/>
      <c r="K564" s="663"/>
      <c r="L564" s="663"/>
      <c r="M564" s="663"/>
      <c r="N564" s="663"/>
      <c r="O564" s="663"/>
      <c r="P564" s="663"/>
      <c r="Q564" s="663"/>
      <c r="R564" s="663"/>
      <c r="S564" s="663"/>
      <c r="T564" s="663"/>
      <c r="U564" s="663"/>
      <c r="V564" s="663"/>
      <c r="W564" s="663"/>
      <c r="X564" s="663"/>
      <c r="Y564" s="663"/>
      <c r="Z564" s="663"/>
    </row>
    <row r="565">
      <c r="A565" s="670"/>
      <c r="B565" s="671"/>
      <c r="C565" s="672"/>
      <c r="D565" s="673"/>
      <c r="E565" s="663"/>
      <c r="F565" s="663"/>
      <c r="G565" s="663"/>
      <c r="H565" s="663"/>
      <c r="I565" s="663"/>
      <c r="J565" s="663"/>
      <c r="K565" s="663"/>
      <c r="L565" s="663"/>
      <c r="M565" s="663"/>
      <c r="N565" s="663"/>
      <c r="O565" s="663"/>
      <c r="P565" s="663"/>
      <c r="Q565" s="663"/>
      <c r="R565" s="663"/>
      <c r="S565" s="663"/>
      <c r="T565" s="663"/>
      <c r="U565" s="663"/>
      <c r="V565" s="663"/>
      <c r="W565" s="663"/>
      <c r="X565" s="663"/>
      <c r="Y565" s="663"/>
      <c r="Z565" s="663"/>
    </row>
    <row r="566">
      <c r="A566" s="670"/>
      <c r="B566" s="671"/>
      <c r="C566" s="672"/>
      <c r="D566" s="673"/>
      <c r="E566" s="663"/>
      <c r="F566" s="663"/>
      <c r="G566" s="663"/>
      <c r="H566" s="663"/>
      <c r="I566" s="663"/>
      <c r="J566" s="663"/>
      <c r="K566" s="663"/>
      <c r="L566" s="663"/>
      <c r="M566" s="663"/>
      <c r="N566" s="663"/>
      <c r="O566" s="663"/>
      <c r="P566" s="663"/>
      <c r="Q566" s="663"/>
      <c r="R566" s="663"/>
      <c r="S566" s="663"/>
      <c r="T566" s="663"/>
      <c r="U566" s="663"/>
      <c r="V566" s="663"/>
      <c r="W566" s="663"/>
      <c r="X566" s="663"/>
      <c r="Y566" s="663"/>
      <c r="Z566" s="663"/>
    </row>
    <row r="567">
      <c r="A567" s="670"/>
      <c r="B567" s="671"/>
      <c r="C567" s="672"/>
      <c r="D567" s="673"/>
      <c r="E567" s="663"/>
      <c r="F567" s="663"/>
      <c r="G567" s="663"/>
      <c r="H567" s="663"/>
      <c r="I567" s="663"/>
      <c r="J567" s="663"/>
      <c r="K567" s="663"/>
      <c r="L567" s="663"/>
      <c r="M567" s="663"/>
      <c r="N567" s="663"/>
      <c r="O567" s="663"/>
      <c r="P567" s="663"/>
      <c r="Q567" s="663"/>
      <c r="R567" s="663"/>
      <c r="S567" s="663"/>
      <c r="T567" s="663"/>
      <c r="U567" s="663"/>
      <c r="V567" s="663"/>
      <c r="W567" s="663"/>
      <c r="X567" s="663"/>
      <c r="Y567" s="663"/>
      <c r="Z567" s="663"/>
    </row>
    <row r="568">
      <c r="A568" s="670"/>
      <c r="B568" s="671"/>
      <c r="C568" s="672"/>
      <c r="D568" s="673"/>
      <c r="E568" s="663"/>
      <c r="F568" s="663"/>
      <c r="G568" s="663"/>
      <c r="H568" s="663"/>
      <c r="I568" s="663"/>
      <c r="J568" s="663"/>
      <c r="K568" s="663"/>
      <c r="L568" s="663"/>
      <c r="M568" s="663"/>
      <c r="N568" s="663"/>
      <c r="O568" s="663"/>
      <c r="P568" s="663"/>
      <c r="Q568" s="663"/>
      <c r="R568" s="663"/>
      <c r="S568" s="663"/>
      <c r="T568" s="663"/>
      <c r="U568" s="663"/>
      <c r="V568" s="663"/>
      <c r="W568" s="663"/>
      <c r="X568" s="663"/>
      <c r="Y568" s="663"/>
      <c r="Z568" s="663"/>
    </row>
    <row r="569">
      <c r="A569" s="670"/>
      <c r="B569" s="671"/>
      <c r="C569" s="672"/>
      <c r="D569" s="673"/>
      <c r="E569" s="663"/>
      <c r="F569" s="663"/>
      <c r="G569" s="663"/>
      <c r="H569" s="663"/>
      <c r="I569" s="663"/>
      <c r="J569" s="663"/>
      <c r="K569" s="663"/>
      <c r="L569" s="663"/>
      <c r="M569" s="663"/>
      <c r="N569" s="663"/>
      <c r="O569" s="663"/>
      <c r="P569" s="663"/>
      <c r="Q569" s="663"/>
      <c r="R569" s="663"/>
      <c r="S569" s="663"/>
      <c r="T569" s="663"/>
      <c r="U569" s="663"/>
      <c r="V569" s="663"/>
      <c r="W569" s="663"/>
      <c r="X569" s="663"/>
      <c r="Y569" s="663"/>
      <c r="Z569" s="663"/>
    </row>
    <row r="570">
      <c r="A570" s="670"/>
      <c r="B570" s="671"/>
      <c r="C570" s="672"/>
      <c r="D570" s="673"/>
      <c r="E570" s="663"/>
      <c r="F570" s="663"/>
      <c r="G570" s="663"/>
      <c r="H570" s="663"/>
      <c r="I570" s="663"/>
      <c r="J570" s="663"/>
      <c r="K570" s="663"/>
      <c r="L570" s="663"/>
      <c r="M570" s="663"/>
      <c r="N570" s="663"/>
      <c r="O570" s="663"/>
      <c r="P570" s="663"/>
      <c r="Q570" s="663"/>
      <c r="R570" s="663"/>
      <c r="S570" s="663"/>
      <c r="T570" s="663"/>
      <c r="U570" s="663"/>
      <c r="V570" s="663"/>
      <c r="W570" s="663"/>
      <c r="X570" s="663"/>
      <c r="Y570" s="663"/>
      <c r="Z570" s="663"/>
    </row>
    <row r="571">
      <c r="A571" s="670"/>
      <c r="B571" s="671"/>
      <c r="C571" s="672"/>
      <c r="D571" s="673"/>
      <c r="E571" s="663"/>
      <c r="F571" s="663"/>
      <c r="G571" s="663"/>
      <c r="H571" s="663"/>
      <c r="I571" s="663"/>
      <c r="J571" s="663"/>
      <c r="K571" s="663"/>
      <c r="L571" s="663"/>
      <c r="M571" s="663"/>
      <c r="N571" s="663"/>
      <c r="O571" s="663"/>
      <c r="P571" s="663"/>
      <c r="Q571" s="663"/>
      <c r="R571" s="663"/>
      <c r="S571" s="663"/>
      <c r="T571" s="663"/>
      <c r="U571" s="663"/>
      <c r="V571" s="663"/>
      <c r="W571" s="663"/>
      <c r="X571" s="663"/>
      <c r="Y571" s="663"/>
      <c r="Z571" s="663"/>
    </row>
    <row r="572">
      <c r="A572" s="670"/>
      <c r="B572" s="671"/>
      <c r="C572" s="672"/>
      <c r="D572" s="673"/>
      <c r="E572" s="663"/>
      <c r="F572" s="663"/>
      <c r="G572" s="663"/>
      <c r="H572" s="663"/>
      <c r="I572" s="663"/>
      <c r="J572" s="663"/>
      <c r="K572" s="663"/>
      <c r="L572" s="663"/>
      <c r="M572" s="663"/>
      <c r="N572" s="663"/>
      <c r="O572" s="663"/>
      <c r="P572" s="663"/>
      <c r="Q572" s="663"/>
      <c r="R572" s="663"/>
      <c r="S572" s="663"/>
      <c r="T572" s="663"/>
      <c r="U572" s="663"/>
      <c r="V572" s="663"/>
      <c r="W572" s="663"/>
      <c r="X572" s="663"/>
      <c r="Y572" s="663"/>
      <c r="Z572" s="663"/>
    </row>
    <row r="573">
      <c r="A573" s="670"/>
      <c r="B573" s="671"/>
      <c r="C573" s="672"/>
      <c r="D573" s="673"/>
      <c r="E573" s="663"/>
      <c r="F573" s="663"/>
      <c r="G573" s="663"/>
      <c r="H573" s="663"/>
      <c r="I573" s="663"/>
      <c r="J573" s="663"/>
      <c r="K573" s="663"/>
      <c r="L573" s="663"/>
      <c r="M573" s="663"/>
      <c r="N573" s="663"/>
      <c r="O573" s="663"/>
      <c r="P573" s="663"/>
      <c r="Q573" s="663"/>
      <c r="R573" s="663"/>
      <c r="S573" s="663"/>
      <c r="T573" s="663"/>
      <c r="U573" s="663"/>
      <c r="V573" s="663"/>
      <c r="W573" s="663"/>
      <c r="X573" s="663"/>
      <c r="Y573" s="663"/>
      <c r="Z573" s="663"/>
    </row>
    <row r="574">
      <c r="A574" s="670"/>
      <c r="B574" s="671"/>
      <c r="C574" s="672"/>
      <c r="D574" s="673"/>
      <c r="E574" s="663"/>
      <c r="F574" s="663"/>
      <c r="G574" s="663"/>
      <c r="H574" s="663"/>
      <c r="I574" s="663"/>
      <c r="J574" s="663"/>
      <c r="K574" s="663"/>
      <c r="L574" s="663"/>
      <c r="M574" s="663"/>
      <c r="N574" s="663"/>
      <c r="O574" s="663"/>
      <c r="P574" s="663"/>
      <c r="Q574" s="663"/>
      <c r="R574" s="663"/>
      <c r="S574" s="663"/>
      <c r="T574" s="663"/>
      <c r="U574" s="663"/>
      <c r="V574" s="663"/>
      <c r="W574" s="663"/>
      <c r="X574" s="663"/>
      <c r="Y574" s="663"/>
      <c r="Z574" s="663"/>
    </row>
    <row r="575">
      <c r="A575" s="670"/>
      <c r="B575" s="671"/>
      <c r="C575" s="672"/>
      <c r="D575" s="673"/>
      <c r="E575" s="663"/>
      <c r="F575" s="663"/>
      <c r="G575" s="663"/>
      <c r="H575" s="663"/>
      <c r="I575" s="663"/>
      <c r="J575" s="663"/>
      <c r="K575" s="663"/>
      <c r="L575" s="663"/>
      <c r="M575" s="663"/>
      <c r="N575" s="663"/>
      <c r="O575" s="663"/>
      <c r="P575" s="663"/>
      <c r="Q575" s="663"/>
      <c r="R575" s="663"/>
      <c r="S575" s="663"/>
      <c r="T575" s="663"/>
      <c r="U575" s="663"/>
      <c r="V575" s="663"/>
      <c r="W575" s="663"/>
      <c r="X575" s="663"/>
      <c r="Y575" s="663"/>
      <c r="Z575" s="663"/>
    </row>
    <row r="576">
      <c r="A576" s="670"/>
      <c r="B576" s="671"/>
      <c r="C576" s="672"/>
      <c r="D576" s="673"/>
      <c r="E576" s="663"/>
      <c r="F576" s="663"/>
      <c r="G576" s="663"/>
      <c r="H576" s="663"/>
      <c r="I576" s="663"/>
      <c r="J576" s="663"/>
      <c r="K576" s="663"/>
      <c r="L576" s="663"/>
      <c r="M576" s="663"/>
      <c r="N576" s="663"/>
      <c r="O576" s="663"/>
      <c r="P576" s="663"/>
      <c r="Q576" s="663"/>
      <c r="R576" s="663"/>
      <c r="S576" s="663"/>
      <c r="T576" s="663"/>
      <c r="U576" s="663"/>
      <c r="V576" s="663"/>
      <c r="W576" s="663"/>
      <c r="X576" s="663"/>
      <c r="Y576" s="663"/>
      <c r="Z576" s="663"/>
    </row>
    <row r="577">
      <c r="A577" s="670"/>
      <c r="B577" s="671"/>
      <c r="C577" s="672"/>
      <c r="D577" s="673"/>
      <c r="E577" s="663"/>
      <c r="F577" s="663"/>
      <c r="G577" s="663"/>
      <c r="H577" s="663"/>
      <c r="I577" s="663"/>
      <c r="J577" s="663"/>
      <c r="K577" s="663"/>
      <c r="L577" s="663"/>
      <c r="M577" s="663"/>
      <c r="N577" s="663"/>
      <c r="O577" s="663"/>
      <c r="P577" s="663"/>
      <c r="Q577" s="663"/>
      <c r="R577" s="663"/>
      <c r="S577" s="663"/>
      <c r="T577" s="663"/>
      <c r="U577" s="663"/>
      <c r="V577" s="663"/>
      <c r="W577" s="663"/>
      <c r="X577" s="663"/>
      <c r="Y577" s="663"/>
      <c r="Z577" s="663"/>
    </row>
    <row r="578">
      <c r="A578" s="670"/>
      <c r="B578" s="671"/>
      <c r="C578" s="672"/>
      <c r="D578" s="673"/>
      <c r="E578" s="663"/>
      <c r="F578" s="663"/>
      <c r="G578" s="663"/>
      <c r="H578" s="663"/>
      <c r="I578" s="663"/>
      <c r="J578" s="663"/>
      <c r="K578" s="663"/>
      <c r="L578" s="663"/>
      <c r="M578" s="663"/>
      <c r="N578" s="663"/>
      <c r="O578" s="663"/>
      <c r="P578" s="663"/>
      <c r="Q578" s="663"/>
      <c r="R578" s="663"/>
      <c r="S578" s="663"/>
      <c r="T578" s="663"/>
      <c r="U578" s="663"/>
      <c r="V578" s="663"/>
      <c r="W578" s="663"/>
      <c r="X578" s="663"/>
      <c r="Y578" s="663"/>
      <c r="Z578" s="663"/>
    </row>
    <row r="579">
      <c r="A579" s="670"/>
      <c r="B579" s="671"/>
      <c r="C579" s="672"/>
      <c r="D579" s="673"/>
      <c r="E579" s="663"/>
      <c r="F579" s="663"/>
      <c r="G579" s="663"/>
      <c r="H579" s="663"/>
      <c r="I579" s="663"/>
      <c r="J579" s="663"/>
      <c r="K579" s="663"/>
      <c r="L579" s="663"/>
      <c r="M579" s="663"/>
      <c r="N579" s="663"/>
      <c r="O579" s="663"/>
      <c r="P579" s="663"/>
      <c r="Q579" s="663"/>
      <c r="R579" s="663"/>
      <c r="S579" s="663"/>
      <c r="T579" s="663"/>
      <c r="U579" s="663"/>
      <c r="V579" s="663"/>
      <c r="W579" s="663"/>
      <c r="X579" s="663"/>
      <c r="Y579" s="663"/>
      <c r="Z579" s="663"/>
    </row>
    <row r="580">
      <c r="A580" s="670"/>
      <c r="B580" s="671"/>
      <c r="C580" s="672"/>
      <c r="D580" s="673"/>
      <c r="E580" s="663"/>
      <c r="F580" s="663"/>
      <c r="G580" s="663"/>
      <c r="H580" s="663"/>
      <c r="I580" s="663"/>
      <c r="J580" s="663"/>
      <c r="K580" s="663"/>
      <c r="L580" s="663"/>
      <c r="M580" s="663"/>
      <c r="N580" s="663"/>
      <c r="O580" s="663"/>
      <c r="P580" s="663"/>
      <c r="Q580" s="663"/>
      <c r="R580" s="663"/>
      <c r="S580" s="663"/>
      <c r="T580" s="663"/>
      <c r="U580" s="663"/>
      <c r="V580" s="663"/>
      <c r="W580" s="663"/>
      <c r="X580" s="663"/>
      <c r="Y580" s="663"/>
      <c r="Z580" s="663"/>
    </row>
    <row r="581">
      <c r="A581" s="670"/>
      <c r="B581" s="671"/>
      <c r="C581" s="672"/>
      <c r="D581" s="673"/>
      <c r="E581" s="663"/>
      <c r="F581" s="663"/>
      <c r="G581" s="663"/>
      <c r="H581" s="663"/>
      <c r="I581" s="663"/>
      <c r="J581" s="663"/>
      <c r="K581" s="663"/>
      <c r="L581" s="663"/>
      <c r="M581" s="663"/>
      <c r="N581" s="663"/>
      <c r="O581" s="663"/>
      <c r="P581" s="663"/>
      <c r="Q581" s="663"/>
      <c r="R581" s="663"/>
      <c r="S581" s="663"/>
      <c r="T581" s="663"/>
      <c r="U581" s="663"/>
      <c r="V581" s="663"/>
      <c r="W581" s="663"/>
      <c r="X581" s="663"/>
      <c r="Y581" s="663"/>
      <c r="Z581" s="663"/>
    </row>
    <row r="582">
      <c r="A582" s="670"/>
      <c r="B582" s="671"/>
      <c r="C582" s="672"/>
      <c r="D582" s="673"/>
      <c r="E582" s="663"/>
      <c r="F582" s="663"/>
      <c r="G582" s="663"/>
      <c r="H582" s="663"/>
      <c r="I582" s="663"/>
      <c r="J582" s="663"/>
      <c r="K582" s="663"/>
      <c r="L582" s="663"/>
      <c r="M582" s="663"/>
      <c r="N582" s="663"/>
      <c r="O582" s="663"/>
      <c r="P582" s="663"/>
      <c r="Q582" s="663"/>
      <c r="R582" s="663"/>
      <c r="S582" s="663"/>
      <c r="T582" s="663"/>
      <c r="U582" s="663"/>
      <c r="V582" s="663"/>
      <c r="W582" s="663"/>
      <c r="X582" s="663"/>
      <c r="Y582" s="663"/>
      <c r="Z582" s="663"/>
    </row>
    <row r="583">
      <c r="A583" s="670"/>
      <c r="B583" s="671"/>
      <c r="C583" s="672"/>
      <c r="D583" s="673"/>
      <c r="E583" s="663"/>
      <c r="F583" s="663"/>
      <c r="G583" s="663"/>
      <c r="H583" s="663"/>
      <c r="I583" s="663"/>
      <c r="J583" s="663"/>
      <c r="K583" s="663"/>
      <c r="L583" s="663"/>
      <c r="M583" s="663"/>
      <c r="N583" s="663"/>
      <c r="O583" s="663"/>
      <c r="P583" s="663"/>
      <c r="Q583" s="663"/>
      <c r="R583" s="663"/>
      <c r="S583" s="663"/>
      <c r="T583" s="663"/>
      <c r="U583" s="663"/>
      <c r="V583" s="663"/>
      <c r="W583" s="663"/>
      <c r="X583" s="663"/>
      <c r="Y583" s="663"/>
      <c r="Z583" s="663"/>
    </row>
    <row r="584">
      <c r="A584" s="670"/>
      <c r="B584" s="671"/>
      <c r="C584" s="672"/>
      <c r="D584" s="673"/>
      <c r="E584" s="663"/>
      <c r="F584" s="663"/>
      <c r="G584" s="663"/>
      <c r="H584" s="663"/>
      <c r="I584" s="663"/>
      <c r="J584" s="663"/>
      <c r="K584" s="663"/>
      <c r="L584" s="663"/>
      <c r="M584" s="663"/>
      <c r="N584" s="663"/>
      <c r="O584" s="663"/>
      <c r="P584" s="663"/>
      <c r="Q584" s="663"/>
      <c r="R584" s="663"/>
      <c r="S584" s="663"/>
      <c r="T584" s="663"/>
      <c r="U584" s="663"/>
      <c r="V584" s="663"/>
      <c r="W584" s="663"/>
      <c r="X584" s="663"/>
      <c r="Y584" s="663"/>
      <c r="Z584" s="663"/>
    </row>
    <row r="585">
      <c r="A585" s="670"/>
      <c r="B585" s="671"/>
      <c r="C585" s="672"/>
      <c r="D585" s="673"/>
      <c r="E585" s="663"/>
      <c r="F585" s="663"/>
      <c r="G585" s="663"/>
      <c r="H585" s="663"/>
      <c r="I585" s="663"/>
      <c r="J585" s="663"/>
      <c r="K585" s="663"/>
      <c r="L585" s="663"/>
      <c r="M585" s="663"/>
      <c r="N585" s="663"/>
      <c r="O585" s="663"/>
      <c r="P585" s="663"/>
      <c r="Q585" s="663"/>
      <c r="R585" s="663"/>
      <c r="S585" s="663"/>
      <c r="T585" s="663"/>
      <c r="U585" s="663"/>
      <c r="V585" s="663"/>
      <c r="W585" s="663"/>
      <c r="X585" s="663"/>
      <c r="Y585" s="663"/>
      <c r="Z585" s="663"/>
    </row>
    <row r="586">
      <c r="A586" s="670"/>
      <c r="B586" s="671"/>
      <c r="C586" s="672"/>
      <c r="D586" s="673"/>
      <c r="E586" s="663"/>
      <c r="F586" s="663"/>
      <c r="G586" s="663"/>
      <c r="H586" s="663"/>
      <c r="I586" s="663"/>
      <c r="J586" s="663"/>
      <c r="K586" s="663"/>
      <c r="L586" s="663"/>
      <c r="M586" s="663"/>
      <c r="N586" s="663"/>
      <c r="O586" s="663"/>
      <c r="P586" s="663"/>
      <c r="Q586" s="663"/>
      <c r="R586" s="663"/>
      <c r="S586" s="663"/>
      <c r="T586" s="663"/>
      <c r="U586" s="663"/>
      <c r="V586" s="663"/>
      <c r="W586" s="663"/>
      <c r="X586" s="663"/>
      <c r="Y586" s="663"/>
      <c r="Z586" s="663"/>
    </row>
    <row r="587">
      <c r="A587" s="670"/>
      <c r="B587" s="671"/>
      <c r="C587" s="672"/>
      <c r="D587" s="673"/>
      <c r="E587" s="663"/>
      <c r="F587" s="663"/>
      <c r="G587" s="663"/>
      <c r="H587" s="663"/>
      <c r="I587" s="663"/>
      <c r="J587" s="663"/>
      <c r="K587" s="663"/>
      <c r="L587" s="663"/>
      <c r="M587" s="663"/>
      <c r="N587" s="663"/>
      <c r="O587" s="663"/>
      <c r="P587" s="663"/>
      <c r="Q587" s="663"/>
      <c r="R587" s="663"/>
      <c r="S587" s="663"/>
      <c r="T587" s="663"/>
      <c r="U587" s="663"/>
      <c r="V587" s="663"/>
      <c r="W587" s="663"/>
      <c r="X587" s="663"/>
      <c r="Y587" s="663"/>
      <c r="Z587" s="663"/>
    </row>
    <row r="588">
      <c r="A588" s="670"/>
      <c r="B588" s="671"/>
      <c r="C588" s="672"/>
      <c r="D588" s="673"/>
      <c r="E588" s="663"/>
      <c r="F588" s="663"/>
      <c r="G588" s="663"/>
      <c r="H588" s="663"/>
      <c r="I588" s="663"/>
      <c r="J588" s="663"/>
      <c r="K588" s="663"/>
      <c r="L588" s="663"/>
      <c r="M588" s="663"/>
      <c r="N588" s="663"/>
      <c r="O588" s="663"/>
      <c r="P588" s="663"/>
      <c r="Q588" s="663"/>
      <c r="R588" s="663"/>
      <c r="S588" s="663"/>
      <c r="T588" s="663"/>
      <c r="U588" s="663"/>
      <c r="V588" s="663"/>
      <c r="W588" s="663"/>
      <c r="X588" s="663"/>
      <c r="Y588" s="663"/>
      <c r="Z588" s="663"/>
    </row>
    <row r="589">
      <c r="A589" s="670"/>
      <c r="B589" s="671"/>
      <c r="C589" s="672"/>
      <c r="D589" s="673"/>
      <c r="E589" s="663"/>
      <c r="F589" s="663"/>
      <c r="G589" s="663"/>
      <c r="H589" s="663"/>
      <c r="I589" s="663"/>
      <c r="J589" s="663"/>
      <c r="K589" s="663"/>
      <c r="L589" s="663"/>
      <c r="M589" s="663"/>
      <c r="N589" s="663"/>
      <c r="O589" s="663"/>
      <c r="P589" s="663"/>
      <c r="Q589" s="663"/>
      <c r="R589" s="663"/>
      <c r="S589" s="663"/>
      <c r="T589" s="663"/>
      <c r="U589" s="663"/>
      <c r="V589" s="663"/>
      <c r="W589" s="663"/>
      <c r="X589" s="663"/>
      <c r="Y589" s="663"/>
      <c r="Z589" s="663"/>
    </row>
    <row r="590">
      <c r="A590" s="670"/>
      <c r="B590" s="671"/>
      <c r="C590" s="672"/>
      <c r="D590" s="673"/>
      <c r="E590" s="663"/>
      <c r="F590" s="663"/>
      <c r="G590" s="663"/>
      <c r="H590" s="663"/>
      <c r="I590" s="663"/>
      <c r="J590" s="663"/>
      <c r="K590" s="663"/>
      <c r="L590" s="663"/>
      <c r="M590" s="663"/>
      <c r="N590" s="663"/>
      <c r="O590" s="663"/>
      <c r="P590" s="663"/>
      <c r="Q590" s="663"/>
      <c r="R590" s="663"/>
      <c r="S590" s="663"/>
      <c r="T590" s="663"/>
      <c r="U590" s="663"/>
      <c r="V590" s="663"/>
      <c r="W590" s="663"/>
      <c r="X590" s="663"/>
      <c r="Y590" s="663"/>
      <c r="Z590" s="663"/>
    </row>
    <row r="591">
      <c r="A591" s="670"/>
      <c r="B591" s="671"/>
      <c r="C591" s="672"/>
      <c r="D591" s="673"/>
      <c r="E591" s="663"/>
      <c r="F591" s="663"/>
      <c r="G591" s="663"/>
      <c r="H591" s="663"/>
      <c r="I591" s="663"/>
      <c r="J591" s="663"/>
      <c r="K591" s="663"/>
      <c r="L591" s="663"/>
      <c r="M591" s="663"/>
      <c r="N591" s="663"/>
      <c r="O591" s="663"/>
      <c r="P591" s="663"/>
      <c r="Q591" s="663"/>
      <c r="R591" s="663"/>
      <c r="S591" s="663"/>
      <c r="T591" s="663"/>
      <c r="U591" s="663"/>
      <c r="V591" s="663"/>
      <c r="W591" s="663"/>
      <c r="X591" s="663"/>
      <c r="Y591" s="663"/>
      <c r="Z591" s="663"/>
    </row>
    <row r="592">
      <c r="A592" s="670"/>
      <c r="B592" s="671"/>
      <c r="C592" s="672"/>
      <c r="D592" s="673"/>
      <c r="E592" s="663"/>
      <c r="F592" s="663"/>
      <c r="G592" s="663"/>
      <c r="H592" s="663"/>
      <c r="I592" s="663"/>
      <c r="J592" s="663"/>
      <c r="K592" s="663"/>
      <c r="L592" s="663"/>
      <c r="M592" s="663"/>
      <c r="N592" s="663"/>
      <c r="O592" s="663"/>
      <c r="P592" s="663"/>
      <c r="Q592" s="663"/>
      <c r="R592" s="663"/>
      <c r="S592" s="663"/>
      <c r="T592" s="663"/>
      <c r="U592" s="663"/>
      <c r="V592" s="663"/>
      <c r="W592" s="663"/>
      <c r="X592" s="663"/>
      <c r="Y592" s="663"/>
      <c r="Z592" s="663"/>
    </row>
    <row r="593">
      <c r="A593" s="670"/>
      <c r="B593" s="671"/>
      <c r="C593" s="672"/>
      <c r="D593" s="673"/>
      <c r="E593" s="663"/>
      <c r="F593" s="663"/>
      <c r="G593" s="663"/>
      <c r="H593" s="663"/>
      <c r="I593" s="663"/>
      <c r="J593" s="663"/>
      <c r="K593" s="663"/>
      <c r="L593" s="663"/>
      <c r="M593" s="663"/>
      <c r="N593" s="663"/>
      <c r="O593" s="663"/>
      <c r="P593" s="663"/>
      <c r="Q593" s="663"/>
      <c r="R593" s="663"/>
      <c r="S593" s="663"/>
      <c r="T593" s="663"/>
      <c r="U593" s="663"/>
      <c r="V593" s="663"/>
      <c r="W593" s="663"/>
      <c r="X593" s="663"/>
      <c r="Y593" s="663"/>
      <c r="Z593" s="663"/>
    </row>
    <row r="594">
      <c r="A594" s="670"/>
      <c r="B594" s="671"/>
      <c r="C594" s="672"/>
      <c r="D594" s="673"/>
      <c r="E594" s="663"/>
      <c r="F594" s="663"/>
      <c r="G594" s="663"/>
      <c r="H594" s="663"/>
      <c r="I594" s="663"/>
      <c r="J594" s="663"/>
      <c r="K594" s="663"/>
      <c r="L594" s="663"/>
      <c r="M594" s="663"/>
      <c r="N594" s="663"/>
      <c r="O594" s="663"/>
      <c r="P594" s="663"/>
      <c r="Q594" s="663"/>
      <c r="R594" s="663"/>
      <c r="S594" s="663"/>
      <c r="T594" s="663"/>
      <c r="U594" s="663"/>
      <c r="V594" s="663"/>
      <c r="W594" s="663"/>
      <c r="X594" s="663"/>
      <c r="Y594" s="663"/>
      <c r="Z594" s="663"/>
    </row>
    <row r="595">
      <c r="A595" s="670"/>
      <c r="B595" s="671"/>
      <c r="C595" s="672"/>
      <c r="D595" s="673"/>
      <c r="E595" s="663"/>
      <c r="F595" s="663"/>
      <c r="G595" s="663"/>
      <c r="H595" s="663"/>
      <c r="I595" s="663"/>
      <c r="J595" s="663"/>
      <c r="K595" s="663"/>
      <c r="L595" s="663"/>
      <c r="M595" s="663"/>
      <c r="N595" s="663"/>
      <c r="O595" s="663"/>
      <c r="P595" s="663"/>
      <c r="Q595" s="663"/>
      <c r="R595" s="663"/>
      <c r="S595" s="663"/>
      <c r="T595" s="663"/>
      <c r="U595" s="663"/>
      <c r="V595" s="663"/>
      <c r="W595" s="663"/>
      <c r="X595" s="663"/>
      <c r="Y595" s="663"/>
      <c r="Z595" s="663"/>
    </row>
    <row r="596">
      <c r="A596" s="670"/>
      <c r="B596" s="671"/>
      <c r="C596" s="672"/>
      <c r="D596" s="673"/>
      <c r="E596" s="663"/>
      <c r="F596" s="663"/>
      <c r="G596" s="663"/>
      <c r="H596" s="663"/>
      <c r="I596" s="663"/>
      <c r="J596" s="663"/>
      <c r="K596" s="663"/>
      <c r="L596" s="663"/>
      <c r="M596" s="663"/>
      <c r="N596" s="663"/>
      <c r="O596" s="663"/>
      <c r="P596" s="663"/>
      <c r="Q596" s="663"/>
      <c r="R596" s="663"/>
      <c r="S596" s="663"/>
      <c r="T596" s="663"/>
      <c r="U596" s="663"/>
      <c r="V596" s="663"/>
      <c r="W596" s="663"/>
      <c r="X596" s="663"/>
      <c r="Y596" s="663"/>
      <c r="Z596" s="663"/>
    </row>
    <row r="597">
      <c r="A597" s="670"/>
      <c r="B597" s="671"/>
      <c r="C597" s="672"/>
      <c r="D597" s="673"/>
      <c r="E597" s="663"/>
      <c r="F597" s="663"/>
      <c r="G597" s="663"/>
      <c r="H597" s="663"/>
      <c r="I597" s="663"/>
      <c r="J597" s="663"/>
      <c r="K597" s="663"/>
      <c r="L597" s="663"/>
      <c r="M597" s="663"/>
      <c r="N597" s="663"/>
      <c r="O597" s="663"/>
      <c r="P597" s="663"/>
      <c r="Q597" s="663"/>
      <c r="R597" s="663"/>
      <c r="S597" s="663"/>
      <c r="T597" s="663"/>
      <c r="U597" s="663"/>
      <c r="V597" s="663"/>
      <c r="W597" s="663"/>
      <c r="X597" s="663"/>
      <c r="Y597" s="663"/>
      <c r="Z597" s="663"/>
    </row>
    <row r="598">
      <c r="A598" s="670"/>
      <c r="B598" s="671"/>
      <c r="C598" s="672"/>
      <c r="D598" s="673"/>
      <c r="E598" s="663"/>
      <c r="F598" s="663"/>
      <c r="G598" s="663"/>
      <c r="H598" s="663"/>
      <c r="I598" s="663"/>
      <c r="J598" s="663"/>
      <c r="K598" s="663"/>
      <c r="L598" s="663"/>
      <c r="M598" s="663"/>
      <c r="N598" s="663"/>
      <c r="O598" s="663"/>
      <c r="P598" s="663"/>
      <c r="Q598" s="663"/>
      <c r="R598" s="663"/>
      <c r="S598" s="663"/>
      <c r="T598" s="663"/>
      <c r="U598" s="663"/>
      <c r="V598" s="663"/>
      <c r="W598" s="663"/>
      <c r="X598" s="663"/>
      <c r="Y598" s="663"/>
      <c r="Z598" s="663"/>
    </row>
    <row r="599">
      <c r="A599" s="670"/>
      <c r="B599" s="671"/>
      <c r="C599" s="672"/>
      <c r="D599" s="673"/>
      <c r="E599" s="663"/>
      <c r="F599" s="663"/>
      <c r="G599" s="663"/>
      <c r="H599" s="663"/>
      <c r="I599" s="663"/>
      <c r="J599" s="663"/>
      <c r="K599" s="663"/>
      <c r="L599" s="663"/>
      <c r="M599" s="663"/>
      <c r="N599" s="663"/>
      <c r="O599" s="663"/>
      <c r="P599" s="663"/>
      <c r="Q599" s="663"/>
      <c r="R599" s="663"/>
      <c r="S599" s="663"/>
      <c r="T599" s="663"/>
      <c r="U599" s="663"/>
      <c r="V599" s="663"/>
      <c r="W599" s="663"/>
      <c r="X599" s="663"/>
      <c r="Y599" s="663"/>
      <c r="Z599" s="663"/>
    </row>
    <row r="600">
      <c r="A600" s="670"/>
      <c r="B600" s="671"/>
      <c r="C600" s="672"/>
      <c r="D600" s="673"/>
      <c r="E600" s="663"/>
      <c r="F600" s="663"/>
      <c r="G600" s="663"/>
      <c r="H600" s="663"/>
      <c r="I600" s="663"/>
      <c r="J600" s="663"/>
      <c r="K600" s="663"/>
      <c r="L600" s="663"/>
      <c r="M600" s="663"/>
      <c r="N600" s="663"/>
      <c r="O600" s="663"/>
      <c r="P600" s="663"/>
      <c r="Q600" s="663"/>
      <c r="R600" s="663"/>
      <c r="S600" s="663"/>
      <c r="T600" s="663"/>
      <c r="U600" s="663"/>
      <c r="V600" s="663"/>
      <c r="W600" s="663"/>
      <c r="X600" s="663"/>
      <c r="Y600" s="663"/>
      <c r="Z600" s="663"/>
    </row>
    <row r="601">
      <c r="A601" s="670"/>
      <c r="B601" s="671"/>
      <c r="C601" s="672"/>
      <c r="D601" s="673"/>
      <c r="E601" s="663"/>
      <c r="F601" s="663"/>
      <c r="G601" s="663"/>
      <c r="H601" s="663"/>
      <c r="I601" s="663"/>
      <c r="J601" s="663"/>
      <c r="K601" s="663"/>
      <c r="L601" s="663"/>
      <c r="M601" s="663"/>
      <c r="N601" s="663"/>
      <c r="O601" s="663"/>
      <c r="P601" s="663"/>
      <c r="Q601" s="663"/>
      <c r="R601" s="663"/>
      <c r="S601" s="663"/>
      <c r="T601" s="663"/>
      <c r="U601" s="663"/>
      <c r="V601" s="663"/>
      <c r="W601" s="663"/>
      <c r="X601" s="663"/>
      <c r="Y601" s="663"/>
      <c r="Z601" s="663"/>
    </row>
    <row r="602">
      <c r="A602" s="670"/>
      <c r="B602" s="671"/>
      <c r="C602" s="672"/>
      <c r="D602" s="673"/>
      <c r="E602" s="663"/>
      <c r="F602" s="663"/>
      <c r="G602" s="663"/>
      <c r="H602" s="663"/>
      <c r="I602" s="663"/>
      <c r="J602" s="663"/>
      <c r="K602" s="663"/>
      <c r="L602" s="663"/>
      <c r="M602" s="663"/>
      <c r="N602" s="663"/>
      <c r="O602" s="663"/>
      <c r="P602" s="663"/>
      <c r="Q602" s="663"/>
      <c r="R602" s="663"/>
      <c r="S602" s="663"/>
      <c r="T602" s="663"/>
      <c r="U602" s="663"/>
      <c r="V602" s="663"/>
      <c r="W602" s="663"/>
      <c r="X602" s="663"/>
      <c r="Y602" s="663"/>
      <c r="Z602" s="663"/>
    </row>
    <row r="603">
      <c r="A603" s="670"/>
      <c r="B603" s="671"/>
      <c r="C603" s="672"/>
      <c r="D603" s="673"/>
      <c r="E603" s="663"/>
      <c r="F603" s="663"/>
      <c r="G603" s="663"/>
      <c r="H603" s="663"/>
      <c r="I603" s="663"/>
      <c r="J603" s="663"/>
      <c r="K603" s="663"/>
      <c r="L603" s="663"/>
      <c r="M603" s="663"/>
      <c r="N603" s="663"/>
      <c r="O603" s="663"/>
      <c r="P603" s="663"/>
      <c r="Q603" s="663"/>
      <c r="R603" s="663"/>
      <c r="S603" s="663"/>
      <c r="T603" s="663"/>
      <c r="U603" s="663"/>
      <c r="V603" s="663"/>
      <c r="W603" s="663"/>
      <c r="X603" s="663"/>
      <c r="Y603" s="663"/>
      <c r="Z603" s="663"/>
    </row>
    <row r="604">
      <c r="A604" s="670"/>
      <c r="B604" s="671"/>
      <c r="C604" s="672"/>
      <c r="D604" s="673"/>
      <c r="E604" s="663"/>
      <c r="F604" s="663"/>
      <c r="G604" s="663"/>
      <c r="H604" s="663"/>
      <c r="I604" s="663"/>
      <c r="J604" s="663"/>
      <c r="K604" s="663"/>
      <c r="L604" s="663"/>
      <c r="M604" s="663"/>
      <c r="N604" s="663"/>
      <c r="O604" s="663"/>
      <c r="P604" s="663"/>
      <c r="Q604" s="663"/>
      <c r="R604" s="663"/>
      <c r="S604" s="663"/>
      <c r="T604" s="663"/>
      <c r="U604" s="663"/>
      <c r="V604" s="663"/>
      <c r="W604" s="663"/>
      <c r="X604" s="663"/>
      <c r="Y604" s="663"/>
      <c r="Z604" s="663"/>
    </row>
    <row r="605">
      <c r="A605" s="670"/>
      <c r="B605" s="671"/>
      <c r="C605" s="672"/>
      <c r="D605" s="673"/>
      <c r="E605" s="663"/>
      <c r="F605" s="663"/>
      <c r="G605" s="663"/>
      <c r="H605" s="663"/>
      <c r="I605" s="663"/>
      <c r="J605" s="663"/>
      <c r="K605" s="663"/>
      <c r="L605" s="663"/>
      <c r="M605" s="663"/>
      <c r="N605" s="663"/>
      <c r="O605" s="663"/>
      <c r="P605" s="663"/>
      <c r="Q605" s="663"/>
      <c r="R605" s="663"/>
      <c r="S605" s="663"/>
      <c r="T605" s="663"/>
      <c r="U605" s="663"/>
      <c r="V605" s="663"/>
      <c r="W605" s="663"/>
      <c r="X605" s="663"/>
      <c r="Y605" s="663"/>
      <c r="Z605" s="663"/>
    </row>
    <row r="606">
      <c r="A606" s="670"/>
      <c r="B606" s="671"/>
      <c r="C606" s="672"/>
      <c r="D606" s="673"/>
      <c r="E606" s="663"/>
      <c r="F606" s="663"/>
      <c r="G606" s="663"/>
      <c r="H606" s="663"/>
      <c r="I606" s="663"/>
      <c r="J606" s="663"/>
      <c r="K606" s="663"/>
      <c r="L606" s="663"/>
      <c r="M606" s="663"/>
      <c r="N606" s="663"/>
      <c r="O606" s="663"/>
      <c r="P606" s="663"/>
      <c r="Q606" s="663"/>
      <c r="R606" s="663"/>
      <c r="S606" s="663"/>
      <c r="T606" s="663"/>
      <c r="U606" s="663"/>
      <c r="V606" s="663"/>
      <c r="W606" s="663"/>
      <c r="X606" s="663"/>
      <c r="Y606" s="663"/>
      <c r="Z606" s="663"/>
    </row>
    <row r="607">
      <c r="A607" s="670"/>
      <c r="B607" s="671"/>
      <c r="C607" s="672"/>
      <c r="D607" s="673"/>
      <c r="E607" s="663"/>
      <c r="F607" s="663"/>
      <c r="G607" s="663"/>
      <c r="H607" s="663"/>
      <c r="I607" s="663"/>
      <c r="J607" s="663"/>
      <c r="K607" s="663"/>
      <c r="L607" s="663"/>
      <c r="M607" s="663"/>
      <c r="N607" s="663"/>
      <c r="O607" s="663"/>
      <c r="P607" s="663"/>
      <c r="Q607" s="663"/>
      <c r="R607" s="663"/>
      <c r="S607" s="663"/>
      <c r="T607" s="663"/>
      <c r="U607" s="663"/>
      <c r="V607" s="663"/>
      <c r="W607" s="663"/>
      <c r="X607" s="663"/>
      <c r="Y607" s="663"/>
      <c r="Z607" s="663"/>
    </row>
    <row r="608">
      <c r="A608" s="670"/>
      <c r="B608" s="671"/>
      <c r="C608" s="672"/>
      <c r="D608" s="673"/>
      <c r="E608" s="663"/>
      <c r="F608" s="663"/>
      <c r="G608" s="663"/>
      <c r="H608" s="663"/>
      <c r="I608" s="663"/>
      <c r="J608" s="663"/>
      <c r="K608" s="663"/>
      <c r="L608" s="663"/>
      <c r="M608" s="663"/>
      <c r="N608" s="663"/>
      <c r="O608" s="663"/>
      <c r="P608" s="663"/>
      <c r="Q608" s="663"/>
      <c r="R608" s="663"/>
      <c r="S608" s="663"/>
      <c r="T608" s="663"/>
      <c r="U608" s="663"/>
      <c r="V608" s="663"/>
      <c r="W608" s="663"/>
      <c r="X608" s="663"/>
      <c r="Y608" s="663"/>
      <c r="Z608" s="663"/>
    </row>
    <row r="609">
      <c r="A609" s="670"/>
      <c r="B609" s="671"/>
      <c r="C609" s="672"/>
      <c r="D609" s="673"/>
      <c r="E609" s="663"/>
      <c r="F609" s="663"/>
      <c r="G609" s="663"/>
      <c r="H609" s="663"/>
      <c r="I609" s="663"/>
      <c r="J609" s="663"/>
      <c r="K609" s="663"/>
      <c r="L609" s="663"/>
      <c r="M609" s="663"/>
      <c r="N609" s="663"/>
      <c r="O609" s="663"/>
      <c r="P609" s="663"/>
      <c r="Q609" s="663"/>
      <c r="R609" s="663"/>
      <c r="S609" s="663"/>
      <c r="T609" s="663"/>
      <c r="U609" s="663"/>
      <c r="V609" s="663"/>
      <c r="W609" s="663"/>
      <c r="X609" s="663"/>
      <c r="Y609" s="663"/>
      <c r="Z609" s="663"/>
    </row>
    <row r="610">
      <c r="A610" s="670"/>
      <c r="B610" s="671"/>
      <c r="C610" s="672"/>
      <c r="D610" s="673"/>
      <c r="E610" s="663"/>
      <c r="F610" s="663"/>
      <c r="G610" s="663"/>
      <c r="H610" s="663"/>
      <c r="I610" s="663"/>
      <c r="J610" s="663"/>
      <c r="K610" s="663"/>
      <c r="L610" s="663"/>
      <c r="M610" s="663"/>
      <c r="N610" s="663"/>
      <c r="O610" s="663"/>
      <c r="P610" s="663"/>
      <c r="Q610" s="663"/>
      <c r="R610" s="663"/>
      <c r="S610" s="663"/>
      <c r="T610" s="663"/>
      <c r="U610" s="663"/>
      <c r="V610" s="663"/>
      <c r="W610" s="663"/>
      <c r="X610" s="663"/>
      <c r="Y610" s="663"/>
      <c r="Z610" s="663"/>
    </row>
    <row r="611">
      <c r="A611" s="670"/>
      <c r="B611" s="671"/>
      <c r="C611" s="672"/>
      <c r="D611" s="673"/>
      <c r="E611" s="663"/>
      <c r="F611" s="663"/>
      <c r="G611" s="663"/>
      <c r="H611" s="663"/>
      <c r="I611" s="663"/>
      <c r="J611" s="663"/>
      <c r="K611" s="663"/>
      <c r="L611" s="663"/>
      <c r="M611" s="663"/>
      <c r="N611" s="663"/>
      <c r="O611" s="663"/>
      <c r="P611" s="663"/>
      <c r="Q611" s="663"/>
      <c r="R611" s="663"/>
      <c r="S611" s="663"/>
      <c r="T611" s="663"/>
      <c r="U611" s="663"/>
      <c r="V611" s="663"/>
      <c r="W611" s="663"/>
      <c r="X611" s="663"/>
      <c r="Y611" s="663"/>
      <c r="Z611" s="663"/>
    </row>
    <row r="612">
      <c r="A612" s="670"/>
      <c r="B612" s="671"/>
      <c r="C612" s="672"/>
      <c r="D612" s="673"/>
      <c r="E612" s="663"/>
      <c r="F612" s="663"/>
      <c r="G612" s="663"/>
      <c r="H612" s="663"/>
      <c r="I612" s="663"/>
      <c r="J612" s="663"/>
      <c r="K612" s="663"/>
      <c r="L612" s="663"/>
      <c r="M612" s="663"/>
      <c r="N612" s="663"/>
      <c r="O612" s="663"/>
      <c r="P612" s="663"/>
      <c r="Q612" s="663"/>
      <c r="R612" s="663"/>
      <c r="S612" s="663"/>
      <c r="T612" s="663"/>
      <c r="U612" s="663"/>
      <c r="V612" s="663"/>
      <c r="W612" s="663"/>
      <c r="X612" s="663"/>
      <c r="Y612" s="663"/>
      <c r="Z612" s="663"/>
    </row>
    <row r="613">
      <c r="A613" s="670"/>
      <c r="B613" s="671"/>
      <c r="C613" s="672"/>
      <c r="D613" s="673"/>
      <c r="E613" s="663"/>
      <c r="F613" s="663"/>
      <c r="G613" s="663"/>
      <c r="H613" s="663"/>
      <c r="I613" s="663"/>
      <c r="J613" s="663"/>
      <c r="K613" s="663"/>
      <c r="L613" s="663"/>
      <c r="M613" s="663"/>
      <c r="N613" s="663"/>
      <c r="O613" s="663"/>
      <c r="P613" s="663"/>
      <c r="Q613" s="663"/>
      <c r="R613" s="663"/>
      <c r="S613" s="663"/>
      <c r="T613" s="663"/>
      <c r="U613" s="663"/>
      <c r="V613" s="663"/>
      <c r="W613" s="663"/>
      <c r="X613" s="663"/>
      <c r="Y613" s="663"/>
      <c r="Z613" s="663"/>
    </row>
    <row r="614">
      <c r="A614" s="670"/>
      <c r="B614" s="671"/>
      <c r="C614" s="672"/>
      <c r="D614" s="673"/>
      <c r="E614" s="663"/>
      <c r="F614" s="663"/>
      <c r="G614" s="663"/>
      <c r="H614" s="663"/>
      <c r="I614" s="663"/>
      <c r="J614" s="663"/>
      <c r="K614" s="663"/>
      <c r="L614" s="663"/>
      <c r="M614" s="663"/>
      <c r="N614" s="663"/>
      <c r="O614" s="663"/>
      <c r="P614" s="663"/>
      <c r="Q614" s="663"/>
      <c r="R614" s="663"/>
      <c r="S614" s="663"/>
      <c r="T614" s="663"/>
      <c r="U614" s="663"/>
      <c r="V614" s="663"/>
      <c r="W614" s="663"/>
      <c r="X614" s="663"/>
      <c r="Y614" s="663"/>
      <c r="Z614" s="663"/>
    </row>
    <row r="615">
      <c r="A615" s="670"/>
      <c r="B615" s="671"/>
      <c r="C615" s="672"/>
      <c r="D615" s="673"/>
      <c r="E615" s="663"/>
      <c r="F615" s="663"/>
      <c r="G615" s="663"/>
      <c r="H615" s="663"/>
      <c r="I615" s="663"/>
      <c r="J615" s="663"/>
      <c r="K615" s="663"/>
      <c r="L615" s="663"/>
      <c r="M615" s="663"/>
      <c r="N615" s="663"/>
      <c r="O615" s="663"/>
      <c r="P615" s="663"/>
      <c r="Q615" s="663"/>
      <c r="R615" s="663"/>
      <c r="S615" s="663"/>
      <c r="T615" s="663"/>
      <c r="U615" s="663"/>
      <c r="V615" s="663"/>
      <c r="W615" s="663"/>
      <c r="X615" s="663"/>
      <c r="Y615" s="663"/>
      <c r="Z615" s="663"/>
    </row>
    <row r="616">
      <c r="A616" s="670"/>
      <c r="B616" s="671"/>
      <c r="C616" s="672"/>
      <c r="D616" s="673"/>
      <c r="E616" s="663"/>
      <c r="F616" s="663"/>
      <c r="G616" s="663"/>
      <c r="H616" s="663"/>
      <c r="I616" s="663"/>
      <c r="J616" s="663"/>
      <c r="K616" s="663"/>
      <c r="L616" s="663"/>
      <c r="M616" s="663"/>
      <c r="N616" s="663"/>
      <c r="O616" s="663"/>
      <c r="P616" s="663"/>
      <c r="Q616" s="663"/>
      <c r="R616" s="663"/>
      <c r="S616" s="663"/>
      <c r="T616" s="663"/>
      <c r="U616" s="663"/>
      <c r="V616" s="663"/>
      <c r="W616" s="663"/>
      <c r="X616" s="663"/>
      <c r="Y616" s="663"/>
      <c r="Z616" s="663"/>
    </row>
    <row r="617">
      <c r="A617" s="670"/>
      <c r="B617" s="671"/>
      <c r="C617" s="672"/>
      <c r="D617" s="673"/>
      <c r="E617" s="663"/>
      <c r="F617" s="663"/>
      <c r="G617" s="663"/>
      <c r="H617" s="663"/>
      <c r="I617" s="663"/>
      <c r="J617" s="663"/>
      <c r="K617" s="663"/>
      <c r="L617" s="663"/>
      <c r="M617" s="663"/>
      <c r="N617" s="663"/>
      <c r="O617" s="663"/>
      <c r="P617" s="663"/>
      <c r="Q617" s="663"/>
      <c r="R617" s="663"/>
      <c r="S617" s="663"/>
      <c r="T617" s="663"/>
      <c r="U617" s="663"/>
      <c r="V617" s="663"/>
      <c r="W617" s="663"/>
      <c r="X617" s="663"/>
      <c r="Y617" s="663"/>
      <c r="Z617" s="663"/>
    </row>
    <row r="618">
      <c r="A618" s="670"/>
      <c r="B618" s="671"/>
      <c r="C618" s="672"/>
      <c r="D618" s="673"/>
      <c r="E618" s="663"/>
      <c r="F618" s="663"/>
      <c r="G618" s="663"/>
      <c r="H618" s="663"/>
      <c r="I618" s="663"/>
      <c r="J618" s="663"/>
      <c r="K618" s="663"/>
      <c r="L618" s="663"/>
      <c r="M618" s="663"/>
      <c r="N618" s="663"/>
      <c r="O618" s="663"/>
      <c r="P618" s="663"/>
      <c r="Q618" s="663"/>
      <c r="R618" s="663"/>
      <c r="S618" s="663"/>
      <c r="T618" s="663"/>
      <c r="U618" s="663"/>
      <c r="V618" s="663"/>
      <c r="W618" s="663"/>
      <c r="X618" s="663"/>
      <c r="Y618" s="663"/>
      <c r="Z618" s="663"/>
    </row>
    <row r="619">
      <c r="A619" s="670"/>
      <c r="B619" s="671"/>
      <c r="C619" s="672"/>
      <c r="D619" s="673"/>
      <c r="E619" s="663"/>
      <c r="F619" s="663"/>
      <c r="G619" s="663"/>
      <c r="H619" s="663"/>
      <c r="I619" s="663"/>
      <c r="J619" s="663"/>
      <c r="K619" s="663"/>
      <c r="L619" s="663"/>
      <c r="M619" s="663"/>
      <c r="N619" s="663"/>
      <c r="O619" s="663"/>
      <c r="P619" s="663"/>
      <c r="Q619" s="663"/>
      <c r="R619" s="663"/>
      <c r="S619" s="663"/>
      <c r="T619" s="663"/>
      <c r="U619" s="663"/>
      <c r="V619" s="663"/>
      <c r="W619" s="663"/>
      <c r="X619" s="663"/>
      <c r="Y619" s="663"/>
      <c r="Z619" s="663"/>
    </row>
    <row r="620">
      <c r="A620" s="670"/>
      <c r="B620" s="671"/>
      <c r="C620" s="672"/>
      <c r="D620" s="673"/>
      <c r="E620" s="663"/>
      <c r="F620" s="663"/>
      <c r="G620" s="663"/>
      <c r="H620" s="663"/>
      <c r="I620" s="663"/>
      <c r="J620" s="663"/>
      <c r="K620" s="663"/>
      <c r="L620" s="663"/>
      <c r="M620" s="663"/>
      <c r="N620" s="663"/>
      <c r="O620" s="663"/>
      <c r="P620" s="663"/>
      <c r="Q620" s="663"/>
      <c r="R620" s="663"/>
      <c r="S620" s="663"/>
      <c r="T620" s="663"/>
      <c r="U620" s="663"/>
      <c r="V620" s="663"/>
      <c r="W620" s="663"/>
      <c r="X620" s="663"/>
      <c r="Y620" s="663"/>
      <c r="Z620" s="663"/>
    </row>
    <row r="621">
      <c r="A621" s="670"/>
      <c r="B621" s="671"/>
      <c r="C621" s="672"/>
      <c r="D621" s="673"/>
      <c r="E621" s="663"/>
      <c r="F621" s="663"/>
      <c r="G621" s="663"/>
      <c r="H621" s="663"/>
      <c r="I621" s="663"/>
      <c r="J621" s="663"/>
      <c r="K621" s="663"/>
      <c r="L621" s="663"/>
      <c r="M621" s="663"/>
      <c r="N621" s="663"/>
      <c r="O621" s="663"/>
      <c r="P621" s="663"/>
      <c r="Q621" s="663"/>
      <c r="R621" s="663"/>
      <c r="S621" s="663"/>
      <c r="T621" s="663"/>
      <c r="U621" s="663"/>
      <c r="V621" s="663"/>
      <c r="W621" s="663"/>
      <c r="X621" s="663"/>
      <c r="Y621" s="663"/>
      <c r="Z621" s="663"/>
    </row>
    <row r="622">
      <c r="A622" s="670"/>
      <c r="B622" s="671"/>
      <c r="C622" s="672"/>
      <c r="D622" s="673"/>
      <c r="E622" s="663"/>
      <c r="F622" s="663"/>
      <c r="G622" s="663"/>
      <c r="H622" s="663"/>
      <c r="I622" s="663"/>
      <c r="J622" s="663"/>
      <c r="K622" s="663"/>
      <c r="L622" s="663"/>
      <c r="M622" s="663"/>
      <c r="N622" s="663"/>
      <c r="O622" s="663"/>
      <c r="P622" s="663"/>
      <c r="Q622" s="663"/>
      <c r="R622" s="663"/>
      <c r="S622" s="663"/>
      <c r="T622" s="663"/>
      <c r="U622" s="663"/>
      <c r="V622" s="663"/>
      <c r="W622" s="663"/>
      <c r="X622" s="663"/>
      <c r="Y622" s="663"/>
      <c r="Z622" s="663"/>
    </row>
    <row r="623">
      <c r="A623" s="670"/>
      <c r="B623" s="671"/>
      <c r="C623" s="672"/>
      <c r="D623" s="673"/>
      <c r="E623" s="663"/>
      <c r="F623" s="663"/>
      <c r="G623" s="663"/>
      <c r="H623" s="663"/>
      <c r="I623" s="663"/>
      <c r="J623" s="663"/>
      <c r="K623" s="663"/>
      <c r="L623" s="663"/>
      <c r="M623" s="663"/>
      <c r="N623" s="663"/>
      <c r="O623" s="663"/>
      <c r="P623" s="663"/>
      <c r="Q623" s="663"/>
      <c r="R623" s="663"/>
      <c r="S623" s="663"/>
      <c r="T623" s="663"/>
      <c r="U623" s="663"/>
      <c r="V623" s="663"/>
      <c r="W623" s="663"/>
      <c r="X623" s="663"/>
      <c r="Y623" s="663"/>
      <c r="Z623" s="663"/>
    </row>
    <row r="624">
      <c r="A624" s="670"/>
      <c r="B624" s="671"/>
      <c r="C624" s="672"/>
      <c r="D624" s="673"/>
      <c r="E624" s="663"/>
      <c r="F624" s="663"/>
      <c r="G624" s="663"/>
      <c r="H624" s="663"/>
      <c r="I624" s="663"/>
      <c r="J624" s="663"/>
      <c r="K624" s="663"/>
      <c r="L624" s="663"/>
      <c r="M624" s="663"/>
      <c r="N624" s="663"/>
      <c r="O624" s="663"/>
      <c r="P624" s="663"/>
      <c r="Q624" s="663"/>
      <c r="R624" s="663"/>
      <c r="S624" s="663"/>
      <c r="T624" s="663"/>
      <c r="U624" s="663"/>
      <c r="V624" s="663"/>
      <c r="W624" s="663"/>
      <c r="X624" s="663"/>
      <c r="Y624" s="663"/>
      <c r="Z624" s="663"/>
    </row>
    <row r="625">
      <c r="A625" s="670"/>
      <c r="B625" s="671"/>
      <c r="C625" s="672"/>
      <c r="D625" s="673"/>
      <c r="E625" s="663"/>
      <c r="F625" s="663"/>
      <c r="G625" s="663"/>
      <c r="H625" s="663"/>
      <c r="I625" s="663"/>
      <c r="J625" s="663"/>
      <c r="K625" s="663"/>
      <c r="L625" s="663"/>
      <c r="M625" s="663"/>
      <c r="N625" s="663"/>
      <c r="O625" s="663"/>
      <c r="P625" s="663"/>
      <c r="Q625" s="663"/>
      <c r="R625" s="663"/>
      <c r="S625" s="663"/>
      <c r="T625" s="663"/>
      <c r="U625" s="663"/>
      <c r="V625" s="663"/>
      <c r="W625" s="663"/>
      <c r="X625" s="663"/>
      <c r="Y625" s="663"/>
      <c r="Z625" s="663"/>
    </row>
    <row r="626">
      <c r="A626" s="670"/>
      <c r="B626" s="671"/>
      <c r="C626" s="672"/>
      <c r="D626" s="673"/>
      <c r="E626" s="663"/>
      <c r="F626" s="663"/>
      <c r="G626" s="663"/>
      <c r="H626" s="663"/>
      <c r="I626" s="663"/>
      <c r="J626" s="663"/>
      <c r="K626" s="663"/>
      <c r="L626" s="663"/>
      <c r="M626" s="663"/>
      <c r="N626" s="663"/>
      <c r="O626" s="663"/>
      <c r="P626" s="663"/>
      <c r="Q626" s="663"/>
      <c r="R626" s="663"/>
      <c r="S626" s="663"/>
      <c r="T626" s="663"/>
      <c r="U626" s="663"/>
      <c r="V626" s="663"/>
      <c r="W626" s="663"/>
      <c r="X626" s="663"/>
      <c r="Y626" s="663"/>
      <c r="Z626" s="663"/>
    </row>
    <row r="627">
      <c r="A627" s="670"/>
      <c r="B627" s="671"/>
      <c r="C627" s="672"/>
      <c r="D627" s="673"/>
      <c r="E627" s="663"/>
      <c r="F627" s="663"/>
      <c r="G627" s="663"/>
      <c r="H627" s="663"/>
      <c r="I627" s="663"/>
      <c r="J627" s="663"/>
      <c r="K627" s="663"/>
      <c r="L627" s="663"/>
      <c r="M627" s="663"/>
      <c r="N627" s="663"/>
      <c r="O627" s="663"/>
      <c r="P627" s="663"/>
      <c r="Q627" s="663"/>
      <c r="R627" s="663"/>
      <c r="S627" s="663"/>
      <c r="T627" s="663"/>
      <c r="U627" s="663"/>
      <c r="V627" s="663"/>
      <c r="W627" s="663"/>
      <c r="X627" s="663"/>
      <c r="Y627" s="663"/>
      <c r="Z627" s="663"/>
    </row>
    <row r="628">
      <c r="A628" s="670"/>
      <c r="B628" s="671"/>
      <c r="C628" s="672"/>
      <c r="D628" s="673"/>
      <c r="E628" s="663"/>
      <c r="F628" s="663"/>
      <c r="G628" s="663"/>
      <c r="H628" s="663"/>
      <c r="I628" s="663"/>
      <c r="J628" s="663"/>
      <c r="K628" s="663"/>
      <c r="L628" s="663"/>
      <c r="M628" s="663"/>
      <c r="N628" s="663"/>
      <c r="O628" s="663"/>
      <c r="P628" s="663"/>
      <c r="Q628" s="663"/>
      <c r="R628" s="663"/>
      <c r="S628" s="663"/>
      <c r="T628" s="663"/>
      <c r="U628" s="663"/>
      <c r="V628" s="663"/>
      <c r="W628" s="663"/>
      <c r="X628" s="663"/>
      <c r="Y628" s="663"/>
      <c r="Z628" s="663"/>
    </row>
    <row r="629">
      <c r="A629" s="670"/>
      <c r="B629" s="671"/>
      <c r="C629" s="672"/>
      <c r="D629" s="673"/>
      <c r="E629" s="663"/>
      <c r="F629" s="663"/>
      <c r="G629" s="663"/>
      <c r="H629" s="663"/>
      <c r="I629" s="663"/>
      <c r="J629" s="663"/>
      <c r="K629" s="663"/>
      <c r="L629" s="663"/>
      <c r="M629" s="663"/>
      <c r="N629" s="663"/>
      <c r="O629" s="663"/>
      <c r="P629" s="663"/>
      <c r="Q629" s="663"/>
      <c r="R629" s="663"/>
      <c r="S629" s="663"/>
      <c r="T629" s="663"/>
      <c r="U629" s="663"/>
      <c r="V629" s="663"/>
      <c r="W629" s="663"/>
      <c r="X629" s="663"/>
      <c r="Y629" s="663"/>
      <c r="Z629" s="663"/>
    </row>
    <row r="630">
      <c r="A630" s="670"/>
      <c r="B630" s="671"/>
      <c r="C630" s="672"/>
      <c r="D630" s="673"/>
      <c r="E630" s="663"/>
      <c r="F630" s="663"/>
      <c r="G630" s="663"/>
      <c r="H630" s="663"/>
      <c r="I630" s="663"/>
      <c r="J630" s="663"/>
      <c r="K630" s="663"/>
      <c r="L630" s="663"/>
      <c r="M630" s="663"/>
      <c r="N630" s="663"/>
      <c r="O630" s="663"/>
      <c r="P630" s="663"/>
      <c r="Q630" s="663"/>
      <c r="R630" s="663"/>
      <c r="S630" s="663"/>
      <c r="T630" s="663"/>
      <c r="U630" s="663"/>
      <c r="V630" s="663"/>
      <c r="W630" s="663"/>
      <c r="X630" s="663"/>
      <c r="Y630" s="663"/>
      <c r="Z630" s="663"/>
    </row>
    <row r="631">
      <c r="A631" s="670"/>
      <c r="B631" s="671"/>
      <c r="C631" s="672"/>
      <c r="D631" s="673"/>
      <c r="E631" s="663"/>
      <c r="F631" s="663"/>
      <c r="G631" s="663"/>
      <c r="H631" s="663"/>
      <c r="I631" s="663"/>
      <c r="J631" s="663"/>
      <c r="K631" s="663"/>
      <c r="L631" s="663"/>
      <c r="M631" s="663"/>
      <c r="N631" s="663"/>
      <c r="O631" s="663"/>
      <c r="P631" s="663"/>
      <c r="Q631" s="663"/>
      <c r="R631" s="663"/>
      <c r="S631" s="663"/>
      <c r="T631" s="663"/>
      <c r="U631" s="663"/>
      <c r="V631" s="663"/>
      <c r="W631" s="663"/>
      <c r="X631" s="663"/>
      <c r="Y631" s="663"/>
      <c r="Z631" s="663"/>
    </row>
    <row r="632">
      <c r="A632" s="670"/>
      <c r="B632" s="671"/>
      <c r="C632" s="672"/>
      <c r="D632" s="673"/>
      <c r="E632" s="663"/>
      <c r="F632" s="663"/>
      <c r="G632" s="663"/>
      <c r="H632" s="663"/>
      <c r="I632" s="663"/>
      <c r="J632" s="663"/>
      <c r="K632" s="663"/>
      <c r="L632" s="663"/>
      <c r="M632" s="663"/>
      <c r="N632" s="663"/>
      <c r="O632" s="663"/>
      <c r="P632" s="663"/>
      <c r="Q632" s="663"/>
      <c r="R632" s="663"/>
      <c r="S632" s="663"/>
      <c r="T632" s="663"/>
      <c r="U632" s="663"/>
      <c r="V632" s="663"/>
      <c r="W632" s="663"/>
      <c r="X632" s="663"/>
      <c r="Y632" s="663"/>
      <c r="Z632" s="663"/>
    </row>
    <row r="633">
      <c r="A633" s="670"/>
      <c r="B633" s="671"/>
      <c r="C633" s="672"/>
      <c r="D633" s="673"/>
      <c r="E633" s="663"/>
      <c r="F633" s="663"/>
      <c r="G633" s="663"/>
      <c r="H633" s="663"/>
      <c r="I633" s="663"/>
      <c r="J633" s="663"/>
      <c r="K633" s="663"/>
      <c r="L633" s="663"/>
      <c r="M633" s="663"/>
      <c r="N633" s="663"/>
      <c r="O633" s="663"/>
      <c r="P633" s="663"/>
      <c r="Q633" s="663"/>
      <c r="R633" s="663"/>
      <c r="S633" s="663"/>
      <c r="T633" s="663"/>
      <c r="U633" s="663"/>
      <c r="V633" s="663"/>
      <c r="W633" s="663"/>
      <c r="X633" s="663"/>
      <c r="Y633" s="663"/>
      <c r="Z633" s="663"/>
    </row>
    <row r="634">
      <c r="A634" s="670"/>
      <c r="B634" s="671"/>
      <c r="C634" s="672"/>
      <c r="D634" s="673"/>
      <c r="E634" s="663"/>
      <c r="F634" s="663"/>
      <c r="G634" s="663"/>
      <c r="H634" s="663"/>
      <c r="I634" s="663"/>
      <c r="J634" s="663"/>
      <c r="K634" s="663"/>
      <c r="L634" s="663"/>
      <c r="M634" s="663"/>
      <c r="N634" s="663"/>
      <c r="O634" s="663"/>
      <c r="P634" s="663"/>
      <c r="Q634" s="663"/>
      <c r="R634" s="663"/>
      <c r="S634" s="663"/>
      <c r="T634" s="663"/>
      <c r="U634" s="663"/>
      <c r="V634" s="663"/>
      <c r="W634" s="663"/>
      <c r="X634" s="663"/>
      <c r="Y634" s="663"/>
      <c r="Z634" s="663"/>
    </row>
    <row r="635">
      <c r="A635" s="670"/>
      <c r="B635" s="671"/>
      <c r="C635" s="672"/>
      <c r="D635" s="673"/>
      <c r="E635" s="663"/>
      <c r="F635" s="663"/>
      <c r="G635" s="663"/>
      <c r="H635" s="663"/>
      <c r="I635" s="663"/>
      <c r="J635" s="663"/>
      <c r="K635" s="663"/>
      <c r="L635" s="663"/>
      <c r="M635" s="663"/>
      <c r="N635" s="663"/>
      <c r="O635" s="663"/>
      <c r="P635" s="663"/>
      <c r="Q635" s="663"/>
      <c r="R635" s="663"/>
      <c r="S635" s="663"/>
      <c r="T635" s="663"/>
      <c r="U635" s="663"/>
      <c r="V635" s="663"/>
      <c r="W635" s="663"/>
      <c r="X635" s="663"/>
      <c r="Y635" s="663"/>
      <c r="Z635" s="663"/>
    </row>
    <row r="636">
      <c r="A636" s="670"/>
      <c r="B636" s="671"/>
      <c r="C636" s="672"/>
      <c r="D636" s="673"/>
      <c r="E636" s="663"/>
      <c r="F636" s="663"/>
      <c r="G636" s="663"/>
      <c r="H636" s="663"/>
      <c r="I636" s="663"/>
      <c r="J636" s="663"/>
      <c r="K636" s="663"/>
      <c r="L636" s="663"/>
      <c r="M636" s="663"/>
      <c r="N636" s="663"/>
      <c r="O636" s="663"/>
      <c r="P636" s="663"/>
      <c r="Q636" s="663"/>
      <c r="R636" s="663"/>
      <c r="S636" s="663"/>
      <c r="T636" s="663"/>
      <c r="U636" s="663"/>
      <c r="V636" s="663"/>
      <c r="W636" s="663"/>
      <c r="X636" s="663"/>
      <c r="Y636" s="663"/>
      <c r="Z636" s="663"/>
    </row>
    <row r="637">
      <c r="A637" s="670"/>
      <c r="B637" s="671"/>
      <c r="C637" s="672"/>
      <c r="D637" s="673"/>
      <c r="E637" s="663"/>
      <c r="F637" s="663"/>
      <c r="G637" s="663"/>
      <c r="H637" s="663"/>
      <c r="I637" s="663"/>
      <c r="J637" s="663"/>
      <c r="K637" s="663"/>
      <c r="L637" s="663"/>
      <c r="M637" s="663"/>
      <c r="N637" s="663"/>
      <c r="O637" s="663"/>
      <c r="P637" s="663"/>
      <c r="Q637" s="663"/>
      <c r="R637" s="663"/>
      <c r="S637" s="663"/>
      <c r="T637" s="663"/>
      <c r="U637" s="663"/>
      <c r="V637" s="663"/>
      <c r="W637" s="663"/>
      <c r="X637" s="663"/>
      <c r="Y637" s="663"/>
      <c r="Z637" s="663"/>
    </row>
    <row r="638">
      <c r="A638" s="670"/>
      <c r="B638" s="671"/>
      <c r="C638" s="672"/>
      <c r="D638" s="673"/>
      <c r="E638" s="663"/>
      <c r="F638" s="663"/>
      <c r="G638" s="663"/>
      <c r="H638" s="663"/>
      <c r="I638" s="663"/>
      <c r="J638" s="663"/>
      <c r="K638" s="663"/>
      <c r="L638" s="663"/>
      <c r="M638" s="663"/>
      <c r="N638" s="663"/>
      <c r="O638" s="663"/>
      <c r="P638" s="663"/>
      <c r="Q638" s="663"/>
      <c r="R638" s="663"/>
      <c r="S638" s="663"/>
      <c r="T638" s="663"/>
      <c r="U638" s="663"/>
      <c r="V638" s="663"/>
      <c r="W638" s="663"/>
      <c r="X638" s="663"/>
      <c r="Y638" s="663"/>
      <c r="Z638" s="663"/>
    </row>
    <row r="639">
      <c r="A639" s="670"/>
      <c r="B639" s="671"/>
      <c r="C639" s="672"/>
      <c r="D639" s="673"/>
      <c r="E639" s="663"/>
      <c r="F639" s="663"/>
      <c r="G639" s="663"/>
      <c r="H639" s="663"/>
      <c r="I639" s="663"/>
      <c r="J639" s="663"/>
      <c r="K639" s="663"/>
      <c r="L639" s="663"/>
      <c r="M639" s="663"/>
      <c r="N639" s="663"/>
      <c r="O639" s="663"/>
      <c r="P639" s="663"/>
      <c r="Q639" s="663"/>
      <c r="R639" s="663"/>
      <c r="S639" s="663"/>
      <c r="T639" s="663"/>
      <c r="U639" s="663"/>
      <c r="V639" s="663"/>
      <c r="W639" s="663"/>
      <c r="X639" s="663"/>
      <c r="Y639" s="663"/>
      <c r="Z639" s="663"/>
    </row>
    <row r="640">
      <c r="A640" s="670"/>
      <c r="B640" s="671"/>
      <c r="C640" s="672"/>
      <c r="D640" s="673"/>
      <c r="E640" s="663"/>
      <c r="F640" s="663"/>
      <c r="G640" s="663"/>
      <c r="H640" s="663"/>
      <c r="I640" s="663"/>
      <c r="J640" s="663"/>
      <c r="K640" s="663"/>
      <c r="L640" s="663"/>
      <c r="M640" s="663"/>
      <c r="N640" s="663"/>
      <c r="O640" s="663"/>
      <c r="P640" s="663"/>
      <c r="Q640" s="663"/>
      <c r="R640" s="663"/>
      <c r="S640" s="663"/>
      <c r="T640" s="663"/>
      <c r="U640" s="663"/>
      <c r="V640" s="663"/>
      <c r="W640" s="663"/>
      <c r="X640" s="663"/>
      <c r="Y640" s="663"/>
      <c r="Z640" s="663"/>
    </row>
    <row r="641">
      <c r="A641" s="670"/>
      <c r="B641" s="671"/>
      <c r="C641" s="672"/>
      <c r="D641" s="673"/>
      <c r="E641" s="663"/>
      <c r="F641" s="663"/>
      <c r="G641" s="663"/>
      <c r="H641" s="663"/>
      <c r="I641" s="663"/>
      <c r="J641" s="663"/>
      <c r="K641" s="663"/>
      <c r="L641" s="663"/>
      <c r="M641" s="663"/>
      <c r="N641" s="663"/>
      <c r="O641" s="663"/>
      <c r="P641" s="663"/>
      <c r="Q641" s="663"/>
      <c r="R641" s="663"/>
      <c r="S641" s="663"/>
      <c r="T641" s="663"/>
      <c r="U641" s="663"/>
      <c r="V641" s="663"/>
      <c r="W641" s="663"/>
      <c r="X641" s="663"/>
      <c r="Y641" s="663"/>
      <c r="Z641" s="663"/>
    </row>
    <row r="642">
      <c r="A642" s="670"/>
      <c r="B642" s="671"/>
      <c r="C642" s="672"/>
      <c r="D642" s="673"/>
      <c r="E642" s="663"/>
      <c r="F642" s="663"/>
      <c r="G642" s="663"/>
      <c r="H642" s="663"/>
      <c r="I642" s="663"/>
      <c r="J642" s="663"/>
      <c r="K642" s="663"/>
      <c r="L642" s="663"/>
      <c r="M642" s="663"/>
      <c r="N642" s="663"/>
      <c r="O642" s="663"/>
      <c r="P642" s="663"/>
      <c r="Q642" s="663"/>
      <c r="R642" s="663"/>
      <c r="S642" s="663"/>
      <c r="T642" s="663"/>
      <c r="U642" s="663"/>
      <c r="V642" s="663"/>
      <c r="W642" s="663"/>
      <c r="X642" s="663"/>
      <c r="Y642" s="663"/>
      <c r="Z642" s="663"/>
    </row>
    <row r="643">
      <c r="A643" s="670"/>
      <c r="B643" s="671"/>
      <c r="C643" s="672"/>
      <c r="D643" s="673"/>
      <c r="E643" s="663"/>
      <c r="F643" s="663"/>
      <c r="G643" s="663"/>
      <c r="H643" s="663"/>
      <c r="I643" s="663"/>
      <c r="J643" s="663"/>
      <c r="K643" s="663"/>
      <c r="L643" s="663"/>
      <c r="M643" s="663"/>
      <c r="N643" s="663"/>
      <c r="O643" s="663"/>
      <c r="P643" s="663"/>
      <c r="Q643" s="663"/>
      <c r="R643" s="663"/>
      <c r="S643" s="663"/>
      <c r="T643" s="663"/>
      <c r="U643" s="663"/>
      <c r="V643" s="663"/>
      <c r="W643" s="663"/>
      <c r="X643" s="663"/>
      <c r="Y643" s="663"/>
      <c r="Z643" s="663"/>
    </row>
    <row r="644">
      <c r="A644" s="670"/>
      <c r="B644" s="671"/>
      <c r="C644" s="672"/>
      <c r="D644" s="673"/>
      <c r="E644" s="663"/>
      <c r="F644" s="663"/>
      <c r="G644" s="663"/>
      <c r="H644" s="663"/>
      <c r="I644" s="663"/>
      <c r="J644" s="663"/>
      <c r="K644" s="663"/>
      <c r="L644" s="663"/>
      <c r="M644" s="663"/>
      <c r="N644" s="663"/>
      <c r="O644" s="663"/>
      <c r="P644" s="663"/>
      <c r="Q644" s="663"/>
      <c r="R644" s="663"/>
      <c r="S644" s="663"/>
      <c r="T644" s="663"/>
      <c r="U644" s="663"/>
      <c r="V644" s="663"/>
      <c r="W644" s="663"/>
      <c r="X644" s="663"/>
      <c r="Y644" s="663"/>
      <c r="Z644" s="663"/>
    </row>
    <row r="645">
      <c r="A645" s="670"/>
      <c r="B645" s="671"/>
      <c r="C645" s="672"/>
      <c r="D645" s="673"/>
      <c r="E645" s="663"/>
      <c r="F645" s="663"/>
      <c r="G645" s="663"/>
      <c r="H645" s="663"/>
      <c r="I645" s="663"/>
      <c r="J645" s="663"/>
      <c r="K645" s="663"/>
      <c r="L645" s="663"/>
      <c r="M645" s="663"/>
      <c r="N645" s="663"/>
      <c r="O645" s="663"/>
      <c r="P645" s="663"/>
      <c r="Q645" s="663"/>
      <c r="R645" s="663"/>
      <c r="S645" s="663"/>
      <c r="T645" s="663"/>
      <c r="U645" s="663"/>
      <c r="V645" s="663"/>
      <c r="W645" s="663"/>
      <c r="X645" s="663"/>
      <c r="Y645" s="663"/>
      <c r="Z645" s="663"/>
    </row>
    <row r="646">
      <c r="A646" s="670"/>
      <c r="B646" s="671"/>
      <c r="C646" s="672"/>
      <c r="D646" s="673"/>
      <c r="E646" s="663"/>
      <c r="F646" s="663"/>
      <c r="G646" s="663"/>
      <c r="H646" s="663"/>
      <c r="I646" s="663"/>
      <c r="J646" s="663"/>
      <c r="K646" s="663"/>
      <c r="L646" s="663"/>
      <c r="M646" s="663"/>
      <c r="N646" s="663"/>
      <c r="O646" s="663"/>
      <c r="P646" s="663"/>
      <c r="Q646" s="663"/>
      <c r="R646" s="663"/>
      <c r="S646" s="663"/>
      <c r="T646" s="663"/>
      <c r="U646" s="663"/>
      <c r="V646" s="663"/>
      <c r="W646" s="663"/>
      <c r="X646" s="663"/>
      <c r="Y646" s="663"/>
      <c r="Z646" s="663"/>
    </row>
    <row r="647">
      <c r="A647" s="670"/>
      <c r="B647" s="671"/>
      <c r="C647" s="672"/>
      <c r="D647" s="673"/>
      <c r="E647" s="663"/>
      <c r="F647" s="663"/>
      <c r="G647" s="663"/>
      <c r="H647" s="663"/>
      <c r="I647" s="663"/>
      <c r="J647" s="663"/>
      <c r="K647" s="663"/>
      <c r="L647" s="663"/>
      <c r="M647" s="663"/>
      <c r="N647" s="663"/>
      <c r="O647" s="663"/>
      <c r="P647" s="663"/>
      <c r="Q647" s="663"/>
      <c r="R647" s="663"/>
      <c r="S647" s="663"/>
      <c r="T647" s="663"/>
      <c r="U647" s="663"/>
      <c r="V647" s="663"/>
      <c r="W647" s="663"/>
      <c r="X647" s="663"/>
      <c r="Y647" s="663"/>
      <c r="Z647" s="663"/>
    </row>
    <row r="648">
      <c r="A648" s="670"/>
      <c r="B648" s="671"/>
      <c r="C648" s="672"/>
      <c r="D648" s="673"/>
      <c r="E648" s="663"/>
      <c r="F648" s="663"/>
      <c r="G648" s="663"/>
      <c r="H648" s="663"/>
      <c r="I648" s="663"/>
      <c r="J648" s="663"/>
      <c r="K648" s="663"/>
      <c r="L648" s="663"/>
      <c r="M648" s="663"/>
      <c r="N648" s="663"/>
      <c r="O648" s="663"/>
      <c r="P648" s="663"/>
      <c r="Q648" s="663"/>
      <c r="R648" s="663"/>
      <c r="S648" s="663"/>
      <c r="T648" s="663"/>
      <c r="U648" s="663"/>
      <c r="V648" s="663"/>
      <c r="W648" s="663"/>
      <c r="X648" s="663"/>
      <c r="Y648" s="663"/>
      <c r="Z648" s="663"/>
    </row>
    <row r="649">
      <c r="A649" s="670"/>
      <c r="B649" s="671"/>
      <c r="C649" s="672"/>
      <c r="D649" s="673"/>
      <c r="E649" s="663"/>
      <c r="F649" s="663"/>
      <c r="G649" s="663"/>
      <c r="H649" s="663"/>
      <c r="I649" s="663"/>
      <c r="J649" s="663"/>
      <c r="K649" s="663"/>
      <c r="L649" s="663"/>
      <c r="M649" s="663"/>
      <c r="N649" s="663"/>
      <c r="O649" s="663"/>
      <c r="P649" s="663"/>
      <c r="Q649" s="663"/>
      <c r="R649" s="663"/>
      <c r="S649" s="663"/>
      <c r="T649" s="663"/>
      <c r="U649" s="663"/>
      <c r="V649" s="663"/>
      <c r="W649" s="663"/>
      <c r="X649" s="663"/>
      <c r="Y649" s="663"/>
      <c r="Z649" s="663"/>
    </row>
    <row r="650">
      <c r="A650" s="670"/>
      <c r="B650" s="671"/>
      <c r="C650" s="672"/>
      <c r="D650" s="673"/>
      <c r="E650" s="663"/>
      <c r="F650" s="663"/>
      <c r="G650" s="663"/>
      <c r="H650" s="663"/>
      <c r="I650" s="663"/>
      <c r="J650" s="663"/>
      <c r="K650" s="663"/>
      <c r="L650" s="663"/>
      <c r="M650" s="663"/>
      <c r="N650" s="663"/>
      <c r="O650" s="663"/>
      <c r="P650" s="663"/>
      <c r="Q650" s="663"/>
      <c r="R650" s="663"/>
      <c r="S650" s="663"/>
      <c r="T650" s="663"/>
      <c r="U650" s="663"/>
      <c r="V650" s="663"/>
      <c r="W650" s="663"/>
      <c r="X650" s="663"/>
      <c r="Y650" s="663"/>
      <c r="Z650" s="663"/>
    </row>
    <row r="651">
      <c r="A651" s="670"/>
      <c r="B651" s="671"/>
      <c r="C651" s="672"/>
      <c r="D651" s="673"/>
      <c r="E651" s="663"/>
      <c r="F651" s="663"/>
      <c r="G651" s="663"/>
      <c r="H651" s="663"/>
      <c r="I651" s="663"/>
      <c r="J651" s="663"/>
      <c r="K651" s="663"/>
      <c r="L651" s="663"/>
      <c r="M651" s="663"/>
      <c r="N651" s="663"/>
      <c r="O651" s="663"/>
      <c r="P651" s="663"/>
      <c r="Q651" s="663"/>
      <c r="R651" s="663"/>
      <c r="S651" s="663"/>
      <c r="T651" s="663"/>
      <c r="U651" s="663"/>
      <c r="V651" s="663"/>
      <c r="W651" s="663"/>
      <c r="X651" s="663"/>
      <c r="Y651" s="663"/>
      <c r="Z651" s="663"/>
    </row>
    <row r="652">
      <c r="A652" s="670"/>
      <c r="B652" s="671"/>
      <c r="C652" s="672"/>
      <c r="D652" s="673"/>
      <c r="E652" s="663"/>
      <c r="F652" s="663"/>
      <c r="G652" s="663"/>
      <c r="H652" s="663"/>
      <c r="I652" s="663"/>
      <c r="J652" s="663"/>
      <c r="K652" s="663"/>
      <c r="L652" s="663"/>
      <c r="M652" s="663"/>
      <c r="N652" s="663"/>
      <c r="O652" s="663"/>
      <c r="P652" s="663"/>
      <c r="Q652" s="663"/>
      <c r="R652" s="663"/>
      <c r="S652" s="663"/>
      <c r="T652" s="663"/>
      <c r="U652" s="663"/>
      <c r="V652" s="663"/>
      <c r="W652" s="663"/>
      <c r="X652" s="663"/>
      <c r="Y652" s="663"/>
      <c r="Z652" s="663"/>
    </row>
    <row r="653">
      <c r="A653" s="670"/>
      <c r="B653" s="671"/>
      <c r="C653" s="672"/>
      <c r="D653" s="673"/>
      <c r="E653" s="663"/>
      <c r="F653" s="663"/>
      <c r="G653" s="663"/>
      <c r="H653" s="663"/>
      <c r="I653" s="663"/>
      <c r="J653" s="663"/>
      <c r="K653" s="663"/>
      <c r="L653" s="663"/>
      <c r="M653" s="663"/>
      <c r="N653" s="663"/>
      <c r="O653" s="663"/>
      <c r="P653" s="663"/>
      <c r="Q653" s="663"/>
      <c r="R653" s="663"/>
      <c r="S653" s="663"/>
      <c r="T653" s="663"/>
      <c r="U653" s="663"/>
      <c r="V653" s="663"/>
      <c r="W653" s="663"/>
      <c r="X653" s="663"/>
      <c r="Y653" s="663"/>
      <c r="Z653" s="663"/>
    </row>
    <row r="654">
      <c r="A654" s="670"/>
      <c r="B654" s="671"/>
      <c r="C654" s="672"/>
      <c r="D654" s="673"/>
      <c r="E654" s="663"/>
      <c r="F654" s="663"/>
      <c r="G654" s="663"/>
      <c r="H654" s="663"/>
      <c r="I654" s="663"/>
      <c r="J654" s="663"/>
      <c r="K654" s="663"/>
      <c r="L654" s="663"/>
      <c r="M654" s="663"/>
      <c r="N654" s="663"/>
      <c r="O654" s="663"/>
      <c r="P654" s="663"/>
      <c r="Q654" s="663"/>
      <c r="R654" s="663"/>
      <c r="S654" s="663"/>
      <c r="T654" s="663"/>
      <c r="U654" s="663"/>
      <c r="V654" s="663"/>
      <c r="W654" s="663"/>
      <c r="X654" s="663"/>
      <c r="Y654" s="663"/>
      <c r="Z654" s="663"/>
    </row>
    <row r="655">
      <c r="A655" s="670"/>
      <c r="B655" s="671"/>
      <c r="C655" s="672"/>
      <c r="D655" s="673"/>
      <c r="E655" s="663"/>
      <c r="F655" s="663"/>
      <c r="G655" s="663"/>
      <c r="H655" s="663"/>
      <c r="I655" s="663"/>
      <c r="J655" s="663"/>
      <c r="K655" s="663"/>
      <c r="L655" s="663"/>
      <c r="M655" s="663"/>
      <c r="N655" s="663"/>
      <c r="O655" s="663"/>
      <c r="P655" s="663"/>
      <c r="Q655" s="663"/>
      <c r="R655" s="663"/>
      <c r="S655" s="663"/>
      <c r="T655" s="663"/>
      <c r="U655" s="663"/>
      <c r="V655" s="663"/>
      <c r="W655" s="663"/>
      <c r="X655" s="663"/>
      <c r="Y655" s="663"/>
      <c r="Z655" s="663"/>
    </row>
    <row r="656">
      <c r="A656" s="670"/>
      <c r="B656" s="671"/>
      <c r="C656" s="672"/>
      <c r="D656" s="673"/>
      <c r="E656" s="663"/>
      <c r="F656" s="663"/>
      <c r="G656" s="663"/>
      <c r="H656" s="663"/>
      <c r="I656" s="663"/>
      <c r="J656" s="663"/>
      <c r="K656" s="663"/>
      <c r="L656" s="663"/>
      <c r="M656" s="663"/>
      <c r="N656" s="663"/>
      <c r="O656" s="663"/>
      <c r="P656" s="663"/>
      <c r="Q656" s="663"/>
      <c r="R656" s="663"/>
      <c r="S656" s="663"/>
      <c r="T656" s="663"/>
      <c r="U656" s="663"/>
      <c r="V656" s="663"/>
      <c r="W656" s="663"/>
      <c r="X656" s="663"/>
      <c r="Y656" s="663"/>
      <c r="Z656" s="663"/>
    </row>
    <row r="657">
      <c r="A657" s="670"/>
      <c r="B657" s="671"/>
      <c r="C657" s="672"/>
      <c r="D657" s="673"/>
      <c r="E657" s="663"/>
      <c r="F657" s="663"/>
      <c r="G657" s="663"/>
      <c r="H657" s="663"/>
      <c r="I657" s="663"/>
      <c r="J657" s="663"/>
      <c r="K657" s="663"/>
      <c r="L657" s="663"/>
      <c r="M657" s="663"/>
      <c r="N657" s="663"/>
      <c r="O657" s="663"/>
      <c r="P657" s="663"/>
      <c r="Q657" s="663"/>
      <c r="R657" s="663"/>
      <c r="S657" s="663"/>
      <c r="T657" s="663"/>
      <c r="U657" s="663"/>
      <c r="V657" s="663"/>
      <c r="W657" s="663"/>
      <c r="X657" s="663"/>
      <c r="Y657" s="663"/>
      <c r="Z657" s="663"/>
    </row>
    <row r="658">
      <c r="A658" s="670"/>
      <c r="B658" s="671"/>
      <c r="C658" s="672"/>
      <c r="D658" s="673"/>
      <c r="E658" s="663"/>
      <c r="F658" s="663"/>
      <c r="G658" s="663"/>
      <c r="H658" s="663"/>
      <c r="I658" s="663"/>
      <c r="J658" s="663"/>
      <c r="K658" s="663"/>
      <c r="L658" s="663"/>
      <c r="M658" s="663"/>
      <c r="N658" s="663"/>
      <c r="O658" s="663"/>
      <c r="P658" s="663"/>
      <c r="Q658" s="663"/>
      <c r="R658" s="663"/>
      <c r="S658" s="663"/>
      <c r="T658" s="663"/>
      <c r="U658" s="663"/>
      <c r="V658" s="663"/>
      <c r="W658" s="663"/>
      <c r="X658" s="663"/>
      <c r="Y658" s="663"/>
      <c r="Z658" s="663"/>
    </row>
    <row r="659">
      <c r="A659" s="670"/>
      <c r="B659" s="671"/>
      <c r="C659" s="672"/>
      <c r="D659" s="673"/>
      <c r="E659" s="663"/>
      <c r="F659" s="663"/>
      <c r="G659" s="663"/>
      <c r="H659" s="663"/>
      <c r="I659" s="663"/>
      <c r="J659" s="663"/>
      <c r="K659" s="663"/>
      <c r="L659" s="663"/>
      <c r="M659" s="663"/>
      <c r="N659" s="663"/>
      <c r="O659" s="663"/>
      <c r="P659" s="663"/>
      <c r="Q659" s="663"/>
      <c r="R659" s="663"/>
      <c r="S659" s="663"/>
      <c r="T659" s="663"/>
      <c r="U659" s="663"/>
      <c r="V659" s="663"/>
      <c r="W659" s="663"/>
      <c r="X659" s="663"/>
      <c r="Y659" s="663"/>
      <c r="Z659" s="663"/>
    </row>
    <row r="660">
      <c r="A660" s="670"/>
      <c r="B660" s="671"/>
      <c r="C660" s="672"/>
      <c r="D660" s="673"/>
      <c r="E660" s="663"/>
      <c r="F660" s="663"/>
      <c r="G660" s="663"/>
      <c r="H660" s="663"/>
      <c r="I660" s="663"/>
      <c r="J660" s="663"/>
      <c r="K660" s="663"/>
      <c r="L660" s="663"/>
      <c r="M660" s="663"/>
      <c r="N660" s="663"/>
      <c r="O660" s="663"/>
      <c r="P660" s="663"/>
      <c r="Q660" s="663"/>
      <c r="R660" s="663"/>
      <c r="S660" s="663"/>
      <c r="T660" s="663"/>
      <c r="U660" s="663"/>
      <c r="V660" s="663"/>
      <c r="W660" s="663"/>
      <c r="X660" s="663"/>
      <c r="Y660" s="663"/>
      <c r="Z660" s="663"/>
    </row>
    <row r="661">
      <c r="A661" s="670"/>
      <c r="B661" s="671"/>
      <c r="C661" s="672"/>
      <c r="D661" s="673"/>
      <c r="E661" s="663"/>
      <c r="F661" s="663"/>
      <c r="G661" s="663"/>
      <c r="H661" s="663"/>
      <c r="I661" s="663"/>
      <c r="J661" s="663"/>
      <c r="K661" s="663"/>
      <c r="L661" s="663"/>
      <c r="M661" s="663"/>
      <c r="N661" s="663"/>
      <c r="O661" s="663"/>
      <c r="P661" s="663"/>
      <c r="Q661" s="663"/>
      <c r="R661" s="663"/>
      <c r="S661" s="663"/>
      <c r="T661" s="663"/>
      <c r="U661" s="663"/>
      <c r="V661" s="663"/>
      <c r="W661" s="663"/>
      <c r="X661" s="663"/>
      <c r="Y661" s="663"/>
      <c r="Z661" s="663"/>
    </row>
    <row r="662">
      <c r="A662" s="670"/>
      <c r="B662" s="671"/>
      <c r="C662" s="672"/>
      <c r="D662" s="673"/>
      <c r="E662" s="663"/>
      <c r="F662" s="663"/>
      <c r="G662" s="663"/>
      <c r="H662" s="663"/>
      <c r="I662" s="663"/>
      <c r="J662" s="663"/>
      <c r="K662" s="663"/>
      <c r="L662" s="663"/>
      <c r="M662" s="663"/>
      <c r="N662" s="663"/>
      <c r="O662" s="663"/>
      <c r="P662" s="663"/>
      <c r="Q662" s="663"/>
      <c r="R662" s="663"/>
      <c r="S662" s="663"/>
      <c r="T662" s="663"/>
      <c r="U662" s="663"/>
      <c r="V662" s="663"/>
      <c r="W662" s="663"/>
      <c r="X662" s="663"/>
      <c r="Y662" s="663"/>
      <c r="Z662" s="663"/>
    </row>
    <row r="663">
      <c r="A663" s="670"/>
      <c r="B663" s="671"/>
      <c r="C663" s="672"/>
      <c r="D663" s="673"/>
      <c r="E663" s="663"/>
      <c r="F663" s="663"/>
      <c r="G663" s="663"/>
      <c r="H663" s="663"/>
      <c r="I663" s="663"/>
      <c r="J663" s="663"/>
      <c r="K663" s="663"/>
      <c r="L663" s="663"/>
      <c r="M663" s="663"/>
      <c r="N663" s="663"/>
      <c r="O663" s="663"/>
      <c r="P663" s="663"/>
      <c r="Q663" s="663"/>
      <c r="R663" s="663"/>
      <c r="S663" s="663"/>
      <c r="T663" s="663"/>
      <c r="U663" s="663"/>
      <c r="V663" s="663"/>
      <c r="W663" s="663"/>
      <c r="X663" s="663"/>
      <c r="Y663" s="663"/>
      <c r="Z663" s="663"/>
    </row>
    <row r="664">
      <c r="A664" s="670"/>
      <c r="B664" s="671"/>
      <c r="C664" s="672"/>
      <c r="D664" s="673"/>
      <c r="E664" s="663"/>
      <c r="F664" s="663"/>
      <c r="G664" s="663"/>
      <c r="H664" s="663"/>
      <c r="I664" s="663"/>
      <c r="J664" s="663"/>
      <c r="K664" s="663"/>
      <c r="L664" s="663"/>
      <c r="M664" s="663"/>
      <c r="N664" s="663"/>
      <c r="O664" s="663"/>
      <c r="P664" s="663"/>
      <c r="Q664" s="663"/>
      <c r="R664" s="663"/>
      <c r="S664" s="663"/>
      <c r="T664" s="663"/>
      <c r="U664" s="663"/>
      <c r="V664" s="663"/>
      <c r="W664" s="663"/>
      <c r="X664" s="663"/>
      <c r="Y664" s="663"/>
      <c r="Z664" s="663"/>
    </row>
    <row r="665">
      <c r="A665" s="670"/>
      <c r="B665" s="671"/>
      <c r="C665" s="672"/>
      <c r="D665" s="673"/>
      <c r="E665" s="663"/>
      <c r="F665" s="663"/>
      <c r="G665" s="663"/>
      <c r="H665" s="663"/>
      <c r="I665" s="663"/>
      <c r="J665" s="663"/>
      <c r="K665" s="663"/>
      <c r="L665" s="663"/>
      <c r="M665" s="663"/>
      <c r="N665" s="663"/>
      <c r="O665" s="663"/>
      <c r="P665" s="663"/>
      <c r="Q665" s="663"/>
      <c r="R665" s="663"/>
      <c r="S665" s="663"/>
      <c r="T665" s="663"/>
      <c r="U665" s="663"/>
      <c r="V665" s="663"/>
      <c r="W665" s="663"/>
      <c r="X665" s="663"/>
      <c r="Y665" s="663"/>
      <c r="Z665" s="663"/>
    </row>
    <row r="666">
      <c r="A666" s="670"/>
      <c r="B666" s="671"/>
      <c r="C666" s="672"/>
      <c r="D666" s="673"/>
      <c r="E666" s="663"/>
      <c r="F666" s="663"/>
      <c r="G666" s="663"/>
      <c r="H666" s="663"/>
      <c r="I666" s="663"/>
      <c r="J666" s="663"/>
      <c r="K666" s="663"/>
      <c r="L666" s="663"/>
      <c r="M666" s="663"/>
      <c r="N666" s="663"/>
      <c r="O666" s="663"/>
      <c r="P666" s="663"/>
      <c r="Q666" s="663"/>
      <c r="R666" s="663"/>
      <c r="S666" s="663"/>
      <c r="T666" s="663"/>
      <c r="U666" s="663"/>
      <c r="V666" s="663"/>
      <c r="W666" s="663"/>
      <c r="X666" s="663"/>
      <c r="Y666" s="663"/>
      <c r="Z666" s="663"/>
    </row>
    <row r="667">
      <c r="A667" s="670"/>
      <c r="B667" s="671"/>
      <c r="C667" s="672"/>
      <c r="D667" s="673"/>
      <c r="E667" s="663"/>
      <c r="F667" s="663"/>
      <c r="G667" s="663"/>
      <c r="H667" s="663"/>
      <c r="I667" s="663"/>
      <c r="J667" s="663"/>
      <c r="K667" s="663"/>
      <c r="L667" s="663"/>
      <c r="M667" s="663"/>
      <c r="N667" s="663"/>
      <c r="O667" s="663"/>
      <c r="P667" s="663"/>
      <c r="Q667" s="663"/>
      <c r="R667" s="663"/>
      <c r="S667" s="663"/>
      <c r="T667" s="663"/>
      <c r="U667" s="663"/>
      <c r="V667" s="663"/>
      <c r="W667" s="663"/>
      <c r="X667" s="663"/>
      <c r="Y667" s="663"/>
      <c r="Z667" s="663"/>
    </row>
    <row r="668">
      <c r="A668" s="670"/>
      <c r="B668" s="671"/>
      <c r="C668" s="672"/>
      <c r="D668" s="673"/>
      <c r="E668" s="663"/>
      <c r="F668" s="663"/>
      <c r="G668" s="663"/>
      <c r="H668" s="663"/>
      <c r="I668" s="663"/>
      <c r="J668" s="663"/>
      <c r="K668" s="663"/>
      <c r="L668" s="663"/>
      <c r="M668" s="663"/>
      <c r="N668" s="663"/>
      <c r="O668" s="663"/>
      <c r="P668" s="663"/>
      <c r="Q668" s="663"/>
      <c r="R668" s="663"/>
      <c r="S668" s="663"/>
      <c r="T668" s="663"/>
      <c r="U668" s="663"/>
      <c r="V668" s="663"/>
      <c r="W668" s="663"/>
      <c r="X668" s="663"/>
      <c r="Y668" s="663"/>
      <c r="Z668" s="663"/>
    </row>
    <row r="669">
      <c r="A669" s="670"/>
      <c r="B669" s="671"/>
      <c r="C669" s="672"/>
      <c r="D669" s="673"/>
      <c r="E669" s="663"/>
      <c r="F669" s="663"/>
      <c r="G669" s="663"/>
      <c r="H669" s="663"/>
      <c r="I669" s="663"/>
      <c r="J669" s="663"/>
      <c r="K669" s="663"/>
      <c r="L669" s="663"/>
      <c r="M669" s="663"/>
      <c r="N669" s="663"/>
      <c r="O669" s="663"/>
      <c r="P669" s="663"/>
      <c r="Q669" s="663"/>
      <c r="R669" s="663"/>
      <c r="S669" s="663"/>
      <c r="T669" s="663"/>
      <c r="U669" s="663"/>
      <c r="V669" s="663"/>
      <c r="W669" s="663"/>
      <c r="X669" s="663"/>
      <c r="Y669" s="663"/>
      <c r="Z669" s="663"/>
    </row>
    <row r="670">
      <c r="A670" s="670"/>
      <c r="B670" s="671"/>
      <c r="C670" s="672"/>
      <c r="D670" s="673"/>
      <c r="E670" s="663"/>
      <c r="F670" s="663"/>
      <c r="G670" s="663"/>
      <c r="H670" s="663"/>
      <c r="I670" s="663"/>
      <c r="J670" s="663"/>
      <c r="K670" s="663"/>
      <c r="L670" s="663"/>
      <c r="M670" s="663"/>
      <c r="N670" s="663"/>
      <c r="O670" s="663"/>
      <c r="P670" s="663"/>
      <c r="Q670" s="663"/>
      <c r="R670" s="663"/>
      <c r="S670" s="663"/>
      <c r="T670" s="663"/>
      <c r="U670" s="663"/>
      <c r="V670" s="663"/>
      <c r="W670" s="663"/>
      <c r="X670" s="663"/>
      <c r="Y670" s="663"/>
      <c r="Z670" s="663"/>
    </row>
    <row r="671">
      <c r="A671" s="670"/>
      <c r="B671" s="671"/>
      <c r="C671" s="672"/>
      <c r="D671" s="673"/>
      <c r="E671" s="663"/>
      <c r="F671" s="663"/>
      <c r="G671" s="663"/>
      <c r="H671" s="663"/>
      <c r="I671" s="663"/>
      <c r="J671" s="663"/>
      <c r="K671" s="663"/>
      <c r="L671" s="663"/>
      <c r="M671" s="663"/>
      <c r="N671" s="663"/>
      <c r="O671" s="663"/>
      <c r="P671" s="663"/>
      <c r="Q671" s="663"/>
      <c r="R671" s="663"/>
      <c r="S671" s="663"/>
      <c r="T671" s="663"/>
      <c r="U671" s="663"/>
      <c r="V671" s="663"/>
      <c r="W671" s="663"/>
      <c r="X671" s="663"/>
      <c r="Y671" s="663"/>
      <c r="Z671" s="663"/>
    </row>
    <row r="672">
      <c r="A672" s="670"/>
      <c r="B672" s="671"/>
      <c r="C672" s="672"/>
      <c r="D672" s="673"/>
      <c r="E672" s="663"/>
      <c r="F672" s="663"/>
      <c r="G672" s="663"/>
      <c r="H672" s="663"/>
      <c r="I672" s="663"/>
      <c r="J672" s="663"/>
      <c r="K672" s="663"/>
      <c r="L672" s="663"/>
      <c r="M672" s="663"/>
      <c r="N672" s="663"/>
      <c r="O672" s="663"/>
      <c r="P672" s="663"/>
      <c r="Q672" s="663"/>
      <c r="R672" s="663"/>
      <c r="S672" s="663"/>
      <c r="T672" s="663"/>
      <c r="U672" s="663"/>
      <c r="V672" s="663"/>
      <c r="W672" s="663"/>
      <c r="X672" s="663"/>
      <c r="Y672" s="663"/>
      <c r="Z672" s="663"/>
    </row>
    <row r="673">
      <c r="A673" s="670"/>
      <c r="B673" s="671"/>
      <c r="C673" s="672"/>
      <c r="D673" s="673"/>
      <c r="E673" s="663"/>
      <c r="F673" s="663"/>
      <c r="G673" s="663"/>
      <c r="H673" s="663"/>
      <c r="I673" s="663"/>
      <c r="J673" s="663"/>
      <c r="K673" s="663"/>
      <c r="L673" s="663"/>
      <c r="M673" s="663"/>
      <c r="N673" s="663"/>
      <c r="O673" s="663"/>
      <c r="P673" s="663"/>
      <c r="Q673" s="663"/>
      <c r="R673" s="663"/>
      <c r="S673" s="663"/>
      <c r="T673" s="663"/>
      <c r="U673" s="663"/>
      <c r="V673" s="663"/>
      <c r="W673" s="663"/>
      <c r="X673" s="663"/>
      <c r="Y673" s="663"/>
      <c r="Z673" s="663"/>
    </row>
    <row r="674">
      <c r="A674" s="670"/>
      <c r="B674" s="671"/>
      <c r="C674" s="672"/>
      <c r="D674" s="673"/>
      <c r="E674" s="663"/>
      <c r="F674" s="663"/>
      <c r="G674" s="663"/>
      <c r="H674" s="663"/>
      <c r="I674" s="663"/>
      <c r="J674" s="663"/>
      <c r="K674" s="663"/>
      <c r="L674" s="663"/>
      <c r="M674" s="663"/>
      <c r="N674" s="663"/>
      <c r="O674" s="663"/>
      <c r="P674" s="663"/>
      <c r="Q674" s="663"/>
      <c r="R674" s="663"/>
      <c r="S674" s="663"/>
      <c r="T674" s="663"/>
      <c r="U674" s="663"/>
      <c r="V674" s="663"/>
      <c r="W674" s="663"/>
      <c r="X674" s="663"/>
      <c r="Y674" s="663"/>
      <c r="Z674" s="663"/>
    </row>
    <row r="675">
      <c r="A675" s="670"/>
      <c r="B675" s="671"/>
      <c r="C675" s="672"/>
      <c r="D675" s="673"/>
      <c r="E675" s="663"/>
      <c r="F675" s="663"/>
      <c r="G675" s="663"/>
      <c r="H675" s="663"/>
      <c r="I675" s="663"/>
      <c r="J675" s="663"/>
      <c r="K675" s="663"/>
      <c r="L675" s="663"/>
      <c r="M675" s="663"/>
      <c r="N675" s="663"/>
      <c r="O675" s="663"/>
      <c r="P675" s="663"/>
      <c r="Q675" s="663"/>
      <c r="R675" s="663"/>
      <c r="S675" s="663"/>
      <c r="T675" s="663"/>
      <c r="U675" s="663"/>
      <c r="V675" s="663"/>
      <c r="W675" s="663"/>
      <c r="X675" s="663"/>
      <c r="Y675" s="663"/>
      <c r="Z675" s="663"/>
    </row>
    <row r="676">
      <c r="A676" s="670"/>
      <c r="B676" s="671"/>
      <c r="C676" s="672"/>
      <c r="D676" s="673"/>
      <c r="E676" s="663"/>
      <c r="F676" s="663"/>
      <c r="G676" s="663"/>
      <c r="H676" s="663"/>
      <c r="I676" s="663"/>
      <c r="J676" s="663"/>
      <c r="K676" s="663"/>
      <c r="L676" s="663"/>
      <c r="M676" s="663"/>
      <c r="N676" s="663"/>
      <c r="O676" s="663"/>
      <c r="P676" s="663"/>
      <c r="Q676" s="663"/>
      <c r="R676" s="663"/>
      <c r="S676" s="663"/>
      <c r="T676" s="663"/>
      <c r="U676" s="663"/>
      <c r="V676" s="663"/>
      <c r="W676" s="663"/>
      <c r="X676" s="663"/>
      <c r="Y676" s="663"/>
      <c r="Z676" s="663"/>
    </row>
    <row r="677">
      <c r="A677" s="670"/>
      <c r="B677" s="671"/>
      <c r="C677" s="672"/>
      <c r="D677" s="673"/>
      <c r="E677" s="663"/>
      <c r="F677" s="663"/>
      <c r="G677" s="663"/>
      <c r="H677" s="663"/>
      <c r="I677" s="663"/>
      <c r="J677" s="663"/>
      <c r="K677" s="663"/>
      <c r="L677" s="663"/>
      <c r="M677" s="663"/>
      <c r="N677" s="663"/>
      <c r="O677" s="663"/>
      <c r="P677" s="663"/>
      <c r="Q677" s="663"/>
      <c r="R677" s="663"/>
      <c r="S677" s="663"/>
      <c r="T677" s="663"/>
      <c r="U677" s="663"/>
      <c r="V677" s="663"/>
      <c r="W677" s="663"/>
      <c r="X677" s="663"/>
      <c r="Y677" s="663"/>
      <c r="Z677" s="663"/>
    </row>
    <row r="678">
      <c r="A678" s="670"/>
      <c r="B678" s="671"/>
      <c r="C678" s="672"/>
      <c r="D678" s="673"/>
      <c r="E678" s="663"/>
      <c r="F678" s="663"/>
      <c r="G678" s="663"/>
      <c r="H678" s="663"/>
      <c r="I678" s="663"/>
      <c r="J678" s="663"/>
      <c r="K678" s="663"/>
      <c r="L678" s="663"/>
      <c r="M678" s="663"/>
      <c r="N678" s="663"/>
      <c r="O678" s="663"/>
      <c r="P678" s="663"/>
      <c r="Q678" s="663"/>
      <c r="R678" s="663"/>
      <c r="S678" s="663"/>
      <c r="T678" s="663"/>
      <c r="U678" s="663"/>
      <c r="V678" s="663"/>
      <c r="W678" s="663"/>
      <c r="X678" s="663"/>
      <c r="Y678" s="663"/>
      <c r="Z678" s="663"/>
    </row>
    <row r="679">
      <c r="A679" s="670"/>
      <c r="B679" s="671"/>
      <c r="C679" s="672"/>
      <c r="D679" s="673"/>
      <c r="E679" s="663"/>
      <c r="F679" s="663"/>
      <c r="G679" s="663"/>
      <c r="H679" s="663"/>
      <c r="I679" s="663"/>
      <c r="J679" s="663"/>
      <c r="K679" s="663"/>
      <c r="L679" s="663"/>
      <c r="M679" s="663"/>
      <c r="N679" s="663"/>
      <c r="O679" s="663"/>
      <c r="P679" s="663"/>
      <c r="Q679" s="663"/>
      <c r="R679" s="663"/>
      <c r="S679" s="663"/>
      <c r="T679" s="663"/>
      <c r="U679" s="663"/>
      <c r="V679" s="663"/>
      <c r="W679" s="663"/>
      <c r="X679" s="663"/>
      <c r="Y679" s="663"/>
      <c r="Z679" s="663"/>
    </row>
    <row r="680">
      <c r="A680" s="670"/>
      <c r="B680" s="671"/>
      <c r="C680" s="672"/>
      <c r="D680" s="673"/>
      <c r="E680" s="663"/>
      <c r="F680" s="663"/>
      <c r="G680" s="663"/>
      <c r="H680" s="663"/>
      <c r="I680" s="663"/>
      <c r="J680" s="663"/>
      <c r="K680" s="663"/>
      <c r="L680" s="663"/>
      <c r="M680" s="663"/>
      <c r="N680" s="663"/>
      <c r="O680" s="663"/>
      <c r="P680" s="663"/>
      <c r="Q680" s="663"/>
      <c r="R680" s="663"/>
      <c r="S680" s="663"/>
      <c r="T680" s="663"/>
      <c r="U680" s="663"/>
      <c r="V680" s="663"/>
      <c r="W680" s="663"/>
      <c r="X680" s="663"/>
      <c r="Y680" s="663"/>
      <c r="Z680" s="663"/>
    </row>
    <row r="681">
      <c r="A681" s="670"/>
      <c r="B681" s="671"/>
      <c r="C681" s="672"/>
      <c r="D681" s="673"/>
      <c r="E681" s="663"/>
      <c r="F681" s="663"/>
      <c r="G681" s="663"/>
      <c r="H681" s="663"/>
      <c r="I681" s="663"/>
      <c r="J681" s="663"/>
      <c r="K681" s="663"/>
      <c r="L681" s="663"/>
      <c r="M681" s="663"/>
      <c r="N681" s="663"/>
      <c r="O681" s="663"/>
      <c r="P681" s="663"/>
      <c r="Q681" s="663"/>
      <c r="R681" s="663"/>
      <c r="S681" s="663"/>
      <c r="T681" s="663"/>
      <c r="U681" s="663"/>
      <c r="V681" s="663"/>
      <c r="W681" s="663"/>
      <c r="X681" s="663"/>
      <c r="Y681" s="663"/>
      <c r="Z681" s="663"/>
    </row>
    <row r="682">
      <c r="A682" s="670"/>
      <c r="B682" s="671"/>
      <c r="C682" s="672"/>
      <c r="D682" s="673"/>
      <c r="E682" s="663"/>
      <c r="F682" s="663"/>
      <c r="G682" s="663"/>
      <c r="H682" s="663"/>
      <c r="I682" s="663"/>
      <c r="J682" s="663"/>
      <c r="K682" s="663"/>
      <c r="L682" s="663"/>
      <c r="M682" s="663"/>
      <c r="N682" s="663"/>
      <c r="O682" s="663"/>
      <c r="P682" s="663"/>
      <c r="Q682" s="663"/>
      <c r="R682" s="663"/>
      <c r="S682" s="663"/>
      <c r="T682" s="663"/>
      <c r="U682" s="663"/>
      <c r="V682" s="663"/>
      <c r="W682" s="663"/>
      <c r="X682" s="663"/>
      <c r="Y682" s="663"/>
      <c r="Z682" s="663"/>
    </row>
    <row r="683">
      <c r="A683" s="670"/>
      <c r="B683" s="671"/>
      <c r="C683" s="672"/>
      <c r="D683" s="673"/>
      <c r="E683" s="663"/>
      <c r="F683" s="663"/>
      <c r="G683" s="663"/>
      <c r="H683" s="663"/>
      <c r="I683" s="663"/>
      <c r="J683" s="663"/>
      <c r="K683" s="663"/>
      <c r="L683" s="663"/>
      <c r="M683" s="663"/>
      <c r="N683" s="663"/>
      <c r="O683" s="663"/>
      <c r="P683" s="663"/>
      <c r="Q683" s="663"/>
      <c r="R683" s="663"/>
      <c r="S683" s="663"/>
      <c r="T683" s="663"/>
      <c r="U683" s="663"/>
      <c r="V683" s="663"/>
      <c r="W683" s="663"/>
      <c r="X683" s="663"/>
      <c r="Y683" s="663"/>
      <c r="Z683" s="663"/>
    </row>
    <row r="684">
      <c r="A684" s="670"/>
      <c r="B684" s="671"/>
      <c r="C684" s="672"/>
      <c r="D684" s="673"/>
      <c r="E684" s="663"/>
      <c r="F684" s="663"/>
      <c r="G684" s="663"/>
      <c r="H684" s="663"/>
      <c r="I684" s="663"/>
      <c r="J684" s="663"/>
      <c r="K684" s="663"/>
      <c r="L684" s="663"/>
      <c r="M684" s="663"/>
      <c r="N684" s="663"/>
      <c r="O684" s="663"/>
      <c r="P684" s="663"/>
      <c r="Q684" s="663"/>
      <c r="R684" s="663"/>
      <c r="S684" s="663"/>
      <c r="T684" s="663"/>
      <c r="U684" s="663"/>
      <c r="V684" s="663"/>
      <c r="W684" s="663"/>
      <c r="X684" s="663"/>
      <c r="Y684" s="663"/>
      <c r="Z684" s="663"/>
    </row>
    <row r="685">
      <c r="A685" s="670"/>
      <c r="B685" s="671"/>
      <c r="C685" s="672"/>
      <c r="D685" s="673"/>
      <c r="E685" s="663"/>
      <c r="F685" s="663"/>
      <c r="G685" s="663"/>
      <c r="H685" s="663"/>
      <c r="I685" s="663"/>
      <c r="J685" s="663"/>
      <c r="K685" s="663"/>
      <c r="L685" s="663"/>
      <c r="M685" s="663"/>
      <c r="N685" s="663"/>
      <c r="O685" s="663"/>
      <c r="P685" s="663"/>
      <c r="Q685" s="663"/>
      <c r="R685" s="663"/>
      <c r="S685" s="663"/>
      <c r="T685" s="663"/>
      <c r="U685" s="663"/>
      <c r="V685" s="663"/>
      <c r="W685" s="663"/>
      <c r="X685" s="663"/>
      <c r="Y685" s="663"/>
      <c r="Z685" s="663"/>
    </row>
    <row r="686">
      <c r="A686" s="670"/>
      <c r="B686" s="671"/>
      <c r="C686" s="672"/>
      <c r="D686" s="673"/>
      <c r="E686" s="663"/>
      <c r="F686" s="663"/>
      <c r="G686" s="663"/>
      <c r="H686" s="663"/>
      <c r="I686" s="663"/>
      <c r="J686" s="663"/>
      <c r="K686" s="663"/>
      <c r="L686" s="663"/>
      <c r="M686" s="663"/>
      <c r="N686" s="663"/>
      <c r="O686" s="663"/>
      <c r="P686" s="663"/>
      <c r="Q686" s="663"/>
      <c r="R686" s="663"/>
      <c r="S686" s="663"/>
      <c r="T686" s="663"/>
      <c r="U686" s="663"/>
      <c r="V686" s="663"/>
      <c r="W686" s="663"/>
      <c r="X686" s="663"/>
      <c r="Y686" s="663"/>
      <c r="Z686" s="663"/>
    </row>
    <row r="687">
      <c r="A687" s="670"/>
      <c r="B687" s="671"/>
      <c r="C687" s="672"/>
      <c r="D687" s="673"/>
      <c r="E687" s="663"/>
      <c r="F687" s="663"/>
      <c r="G687" s="663"/>
      <c r="H687" s="663"/>
      <c r="I687" s="663"/>
      <c r="J687" s="663"/>
      <c r="K687" s="663"/>
      <c r="L687" s="663"/>
      <c r="M687" s="663"/>
      <c r="N687" s="663"/>
      <c r="O687" s="663"/>
      <c r="P687" s="663"/>
      <c r="Q687" s="663"/>
      <c r="R687" s="663"/>
      <c r="S687" s="663"/>
      <c r="T687" s="663"/>
      <c r="U687" s="663"/>
      <c r="V687" s="663"/>
      <c r="W687" s="663"/>
      <c r="X687" s="663"/>
      <c r="Y687" s="663"/>
      <c r="Z687" s="663"/>
    </row>
    <row r="688">
      <c r="A688" s="670"/>
      <c r="B688" s="671"/>
      <c r="C688" s="672"/>
      <c r="D688" s="673"/>
      <c r="E688" s="663"/>
      <c r="F688" s="663"/>
      <c r="G688" s="663"/>
      <c r="H688" s="663"/>
      <c r="I688" s="663"/>
      <c r="J688" s="663"/>
      <c r="K688" s="663"/>
      <c r="L688" s="663"/>
      <c r="M688" s="663"/>
      <c r="N688" s="663"/>
      <c r="O688" s="663"/>
      <c r="P688" s="663"/>
      <c r="Q688" s="663"/>
      <c r="R688" s="663"/>
      <c r="S688" s="663"/>
      <c r="T688" s="663"/>
      <c r="U688" s="663"/>
      <c r="V688" s="663"/>
      <c r="W688" s="663"/>
      <c r="X688" s="663"/>
      <c r="Y688" s="663"/>
      <c r="Z688" s="663"/>
    </row>
    <row r="689">
      <c r="A689" s="670"/>
      <c r="B689" s="671"/>
      <c r="C689" s="672"/>
      <c r="D689" s="673"/>
      <c r="E689" s="663"/>
      <c r="F689" s="663"/>
      <c r="G689" s="663"/>
      <c r="H689" s="663"/>
      <c r="I689" s="663"/>
      <c r="J689" s="663"/>
      <c r="K689" s="663"/>
      <c r="L689" s="663"/>
      <c r="M689" s="663"/>
      <c r="N689" s="663"/>
      <c r="O689" s="663"/>
      <c r="P689" s="663"/>
      <c r="Q689" s="663"/>
      <c r="R689" s="663"/>
      <c r="S689" s="663"/>
      <c r="T689" s="663"/>
      <c r="U689" s="663"/>
      <c r="V689" s="663"/>
      <c r="W689" s="663"/>
      <c r="X689" s="663"/>
      <c r="Y689" s="663"/>
      <c r="Z689" s="663"/>
    </row>
    <row r="690">
      <c r="A690" s="670"/>
      <c r="B690" s="671"/>
      <c r="C690" s="672"/>
      <c r="D690" s="673"/>
      <c r="E690" s="663"/>
      <c r="F690" s="663"/>
      <c r="G690" s="663"/>
      <c r="H690" s="663"/>
      <c r="I690" s="663"/>
      <c r="J690" s="663"/>
      <c r="K690" s="663"/>
      <c r="L690" s="663"/>
      <c r="M690" s="663"/>
      <c r="N690" s="663"/>
      <c r="O690" s="663"/>
      <c r="P690" s="663"/>
      <c r="Q690" s="663"/>
      <c r="R690" s="663"/>
      <c r="S690" s="663"/>
      <c r="T690" s="663"/>
      <c r="U690" s="663"/>
      <c r="V690" s="663"/>
      <c r="W690" s="663"/>
      <c r="X690" s="663"/>
      <c r="Y690" s="663"/>
      <c r="Z690" s="663"/>
    </row>
    <row r="691">
      <c r="A691" s="670"/>
      <c r="B691" s="671"/>
      <c r="C691" s="672"/>
      <c r="D691" s="673"/>
      <c r="E691" s="663"/>
      <c r="F691" s="663"/>
      <c r="G691" s="663"/>
      <c r="H691" s="663"/>
      <c r="I691" s="663"/>
      <c r="J691" s="663"/>
      <c r="K691" s="663"/>
      <c r="L691" s="663"/>
      <c r="M691" s="663"/>
      <c r="N691" s="663"/>
      <c r="O691" s="663"/>
      <c r="P691" s="663"/>
      <c r="Q691" s="663"/>
      <c r="R691" s="663"/>
      <c r="S691" s="663"/>
      <c r="T691" s="663"/>
      <c r="U691" s="663"/>
      <c r="V691" s="663"/>
      <c r="W691" s="663"/>
      <c r="X691" s="663"/>
      <c r="Y691" s="663"/>
      <c r="Z691" s="663"/>
    </row>
    <row r="692">
      <c r="A692" s="670"/>
      <c r="B692" s="671"/>
      <c r="C692" s="672"/>
      <c r="D692" s="673"/>
      <c r="E692" s="663"/>
      <c r="F692" s="663"/>
      <c r="G692" s="663"/>
      <c r="H692" s="663"/>
      <c r="I692" s="663"/>
      <c r="J692" s="663"/>
      <c r="K692" s="663"/>
      <c r="L692" s="663"/>
      <c r="M692" s="663"/>
      <c r="N692" s="663"/>
      <c r="O692" s="663"/>
      <c r="P692" s="663"/>
      <c r="Q692" s="663"/>
      <c r="R692" s="663"/>
      <c r="S692" s="663"/>
      <c r="T692" s="663"/>
      <c r="U692" s="663"/>
      <c r="V692" s="663"/>
      <c r="W692" s="663"/>
      <c r="X692" s="663"/>
      <c r="Y692" s="663"/>
      <c r="Z692" s="663"/>
    </row>
    <row r="693">
      <c r="A693" s="670"/>
      <c r="B693" s="671"/>
      <c r="C693" s="672"/>
      <c r="D693" s="673"/>
      <c r="E693" s="663"/>
      <c r="F693" s="663"/>
      <c r="G693" s="663"/>
      <c r="H693" s="663"/>
      <c r="I693" s="663"/>
      <c r="J693" s="663"/>
      <c r="K693" s="663"/>
      <c r="L693" s="663"/>
      <c r="M693" s="663"/>
      <c r="N693" s="663"/>
      <c r="O693" s="663"/>
      <c r="P693" s="663"/>
      <c r="Q693" s="663"/>
      <c r="R693" s="663"/>
      <c r="S693" s="663"/>
      <c r="T693" s="663"/>
      <c r="U693" s="663"/>
      <c r="V693" s="663"/>
      <c r="W693" s="663"/>
      <c r="X693" s="663"/>
      <c r="Y693" s="663"/>
      <c r="Z693" s="663"/>
    </row>
    <row r="694">
      <c r="A694" s="670"/>
      <c r="B694" s="671"/>
      <c r="C694" s="672"/>
      <c r="D694" s="673"/>
      <c r="E694" s="663"/>
      <c r="F694" s="663"/>
      <c r="G694" s="663"/>
      <c r="H694" s="663"/>
      <c r="I694" s="663"/>
      <c r="J694" s="663"/>
      <c r="K694" s="663"/>
      <c r="L694" s="663"/>
      <c r="M694" s="663"/>
      <c r="N694" s="663"/>
      <c r="O694" s="663"/>
      <c r="P694" s="663"/>
      <c r="Q694" s="663"/>
      <c r="R694" s="663"/>
      <c r="S694" s="663"/>
      <c r="T694" s="663"/>
      <c r="U694" s="663"/>
      <c r="V694" s="663"/>
      <c r="W694" s="663"/>
      <c r="X694" s="663"/>
      <c r="Y694" s="663"/>
      <c r="Z694" s="663"/>
    </row>
    <row r="695">
      <c r="A695" s="670"/>
      <c r="B695" s="671"/>
      <c r="C695" s="672"/>
      <c r="D695" s="673"/>
      <c r="E695" s="663"/>
      <c r="F695" s="663"/>
      <c r="G695" s="663"/>
      <c r="H695" s="663"/>
      <c r="I695" s="663"/>
      <c r="J695" s="663"/>
      <c r="K695" s="663"/>
      <c r="L695" s="663"/>
      <c r="M695" s="663"/>
      <c r="N695" s="663"/>
      <c r="O695" s="663"/>
      <c r="P695" s="663"/>
      <c r="Q695" s="663"/>
      <c r="R695" s="663"/>
      <c r="S695" s="663"/>
      <c r="T695" s="663"/>
      <c r="U695" s="663"/>
      <c r="V695" s="663"/>
      <c r="W695" s="663"/>
      <c r="X695" s="663"/>
      <c r="Y695" s="663"/>
      <c r="Z695" s="663"/>
    </row>
    <row r="696">
      <c r="A696" s="670"/>
      <c r="B696" s="671"/>
      <c r="C696" s="672"/>
      <c r="D696" s="673"/>
      <c r="E696" s="663"/>
      <c r="F696" s="663"/>
      <c r="G696" s="663"/>
      <c r="H696" s="663"/>
      <c r="I696" s="663"/>
      <c r="J696" s="663"/>
      <c r="K696" s="663"/>
      <c r="L696" s="663"/>
      <c r="M696" s="663"/>
      <c r="N696" s="663"/>
      <c r="O696" s="663"/>
      <c r="P696" s="663"/>
      <c r="Q696" s="663"/>
      <c r="R696" s="663"/>
      <c r="S696" s="663"/>
      <c r="T696" s="663"/>
      <c r="U696" s="663"/>
      <c r="V696" s="663"/>
      <c r="W696" s="663"/>
      <c r="X696" s="663"/>
      <c r="Y696" s="663"/>
      <c r="Z696" s="663"/>
    </row>
    <row r="697">
      <c r="A697" s="670"/>
      <c r="B697" s="671"/>
      <c r="C697" s="672"/>
      <c r="D697" s="673"/>
      <c r="E697" s="663"/>
      <c r="F697" s="663"/>
      <c r="G697" s="663"/>
      <c r="H697" s="663"/>
      <c r="I697" s="663"/>
      <c r="J697" s="663"/>
      <c r="K697" s="663"/>
      <c r="L697" s="663"/>
      <c r="M697" s="663"/>
      <c r="N697" s="663"/>
      <c r="O697" s="663"/>
      <c r="P697" s="663"/>
      <c r="Q697" s="663"/>
      <c r="R697" s="663"/>
      <c r="S697" s="663"/>
      <c r="T697" s="663"/>
      <c r="U697" s="663"/>
      <c r="V697" s="663"/>
      <c r="W697" s="663"/>
      <c r="X697" s="663"/>
      <c r="Y697" s="663"/>
      <c r="Z697" s="663"/>
    </row>
    <row r="698">
      <c r="A698" s="670"/>
      <c r="B698" s="671"/>
      <c r="C698" s="672"/>
      <c r="D698" s="673"/>
      <c r="E698" s="663"/>
      <c r="F698" s="663"/>
      <c r="G698" s="663"/>
      <c r="H698" s="663"/>
      <c r="I698" s="663"/>
      <c r="J698" s="663"/>
      <c r="K698" s="663"/>
      <c r="L698" s="663"/>
      <c r="M698" s="663"/>
      <c r="N698" s="663"/>
      <c r="O698" s="663"/>
      <c r="P698" s="663"/>
      <c r="Q698" s="663"/>
      <c r="R698" s="663"/>
      <c r="S698" s="663"/>
      <c r="T698" s="663"/>
      <c r="U698" s="663"/>
      <c r="V698" s="663"/>
      <c r="W698" s="663"/>
      <c r="X698" s="663"/>
      <c r="Y698" s="663"/>
      <c r="Z698" s="663"/>
    </row>
    <row r="699">
      <c r="A699" s="670"/>
      <c r="B699" s="671"/>
      <c r="C699" s="672"/>
      <c r="D699" s="673"/>
      <c r="E699" s="663"/>
      <c r="F699" s="663"/>
      <c r="G699" s="663"/>
      <c r="H699" s="663"/>
      <c r="I699" s="663"/>
      <c r="J699" s="663"/>
      <c r="K699" s="663"/>
      <c r="L699" s="663"/>
      <c r="M699" s="663"/>
      <c r="N699" s="663"/>
      <c r="O699" s="663"/>
      <c r="P699" s="663"/>
      <c r="Q699" s="663"/>
      <c r="R699" s="663"/>
      <c r="S699" s="663"/>
      <c r="T699" s="663"/>
      <c r="U699" s="663"/>
      <c r="V699" s="663"/>
      <c r="W699" s="663"/>
      <c r="X699" s="663"/>
      <c r="Y699" s="663"/>
      <c r="Z699" s="663"/>
    </row>
    <row r="700">
      <c r="A700" s="670"/>
      <c r="B700" s="671"/>
      <c r="C700" s="672"/>
      <c r="D700" s="673"/>
      <c r="E700" s="663"/>
      <c r="F700" s="663"/>
      <c r="G700" s="663"/>
      <c r="H700" s="663"/>
      <c r="I700" s="663"/>
      <c r="J700" s="663"/>
      <c r="K700" s="663"/>
      <c r="L700" s="663"/>
      <c r="M700" s="663"/>
      <c r="N700" s="663"/>
      <c r="O700" s="663"/>
      <c r="P700" s="663"/>
      <c r="Q700" s="663"/>
      <c r="R700" s="663"/>
      <c r="S700" s="663"/>
      <c r="T700" s="663"/>
      <c r="U700" s="663"/>
      <c r="V700" s="663"/>
      <c r="W700" s="663"/>
      <c r="X700" s="663"/>
      <c r="Y700" s="663"/>
      <c r="Z700" s="663"/>
    </row>
    <row r="701">
      <c r="A701" s="670"/>
      <c r="B701" s="671"/>
      <c r="C701" s="672"/>
      <c r="D701" s="673"/>
      <c r="E701" s="663"/>
      <c r="F701" s="663"/>
      <c r="G701" s="663"/>
      <c r="H701" s="663"/>
      <c r="I701" s="663"/>
      <c r="J701" s="663"/>
      <c r="K701" s="663"/>
      <c r="L701" s="663"/>
      <c r="M701" s="663"/>
      <c r="N701" s="663"/>
      <c r="O701" s="663"/>
      <c r="P701" s="663"/>
      <c r="Q701" s="663"/>
      <c r="R701" s="663"/>
      <c r="S701" s="663"/>
      <c r="T701" s="663"/>
      <c r="U701" s="663"/>
      <c r="V701" s="663"/>
      <c r="W701" s="663"/>
      <c r="X701" s="663"/>
      <c r="Y701" s="663"/>
      <c r="Z701" s="663"/>
    </row>
    <row r="702">
      <c r="A702" s="670"/>
      <c r="B702" s="671"/>
      <c r="C702" s="672"/>
      <c r="D702" s="673"/>
      <c r="E702" s="663"/>
      <c r="F702" s="663"/>
      <c r="G702" s="663"/>
      <c r="H702" s="663"/>
      <c r="I702" s="663"/>
      <c r="J702" s="663"/>
      <c r="K702" s="663"/>
      <c r="L702" s="663"/>
      <c r="M702" s="663"/>
      <c r="N702" s="663"/>
      <c r="O702" s="663"/>
      <c r="P702" s="663"/>
      <c r="Q702" s="663"/>
      <c r="R702" s="663"/>
      <c r="S702" s="663"/>
      <c r="T702" s="663"/>
      <c r="U702" s="663"/>
      <c r="V702" s="663"/>
      <c r="W702" s="663"/>
      <c r="X702" s="663"/>
      <c r="Y702" s="663"/>
      <c r="Z702" s="663"/>
    </row>
    <row r="703">
      <c r="A703" s="670"/>
      <c r="B703" s="671"/>
      <c r="C703" s="672"/>
      <c r="D703" s="673"/>
      <c r="E703" s="663"/>
      <c r="F703" s="663"/>
      <c r="G703" s="663"/>
      <c r="H703" s="663"/>
      <c r="I703" s="663"/>
      <c r="J703" s="663"/>
      <c r="K703" s="663"/>
      <c r="L703" s="663"/>
      <c r="M703" s="663"/>
      <c r="N703" s="663"/>
      <c r="O703" s="663"/>
      <c r="P703" s="663"/>
      <c r="Q703" s="663"/>
      <c r="R703" s="663"/>
      <c r="S703" s="663"/>
      <c r="T703" s="663"/>
      <c r="U703" s="663"/>
      <c r="V703" s="663"/>
      <c r="W703" s="663"/>
      <c r="X703" s="663"/>
      <c r="Y703" s="663"/>
      <c r="Z703" s="663"/>
    </row>
    <row r="704">
      <c r="A704" s="670"/>
      <c r="B704" s="671"/>
      <c r="C704" s="672"/>
      <c r="D704" s="673"/>
      <c r="E704" s="663"/>
      <c r="F704" s="663"/>
      <c r="G704" s="663"/>
      <c r="H704" s="663"/>
      <c r="I704" s="663"/>
      <c r="J704" s="663"/>
      <c r="K704" s="663"/>
      <c r="L704" s="663"/>
      <c r="M704" s="663"/>
      <c r="N704" s="663"/>
      <c r="O704" s="663"/>
      <c r="P704" s="663"/>
      <c r="Q704" s="663"/>
      <c r="R704" s="663"/>
      <c r="S704" s="663"/>
      <c r="T704" s="663"/>
      <c r="U704" s="663"/>
      <c r="V704" s="663"/>
      <c r="W704" s="663"/>
      <c r="X704" s="663"/>
      <c r="Y704" s="663"/>
      <c r="Z704" s="663"/>
    </row>
    <row r="705">
      <c r="A705" s="670"/>
      <c r="B705" s="671"/>
      <c r="C705" s="672"/>
      <c r="D705" s="673"/>
      <c r="E705" s="663"/>
      <c r="F705" s="663"/>
      <c r="G705" s="663"/>
      <c r="H705" s="663"/>
      <c r="I705" s="663"/>
      <c r="J705" s="663"/>
      <c r="K705" s="663"/>
      <c r="L705" s="663"/>
      <c r="M705" s="663"/>
      <c r="N705" s="663"/>
      <c r="O705" s="663"/>
      <c r="P705" s="663"/>
      <c r="Q705" s="663"/>
      <c r="R705" s="663"/>
      <c r="S705" s="663"/>
      <c r="T705" s="663"/>
      <c r="U705" s="663"/>
      <c r="V705" s="663"/>
      <c r="W705" s="663"/>
      <c r="X705" s="663"/>
      <c r="Y705" s="663"/>
      <c r="Z705" s="663"/>
    </row>
    <row r="706">
      <c r="A706" s="670"/>
      <c r="B706" s="671"/>
      <c r="C706" s="672"/>
      <c r="D706" s="673"/>
      <c r="E706" s="663"/>
      <c r="F706" s="663"/>
      <c r="G706" s="663"/>
      <c r="H706" s="663"/>
      <c r="I706" s="663"/>
      <c r="J706" s="663"/>
      <c r="K706" s="663"/>
      <c r="L706" s="663"/>
      <c r="M706" s="663"/>
      <c r="N706" s="663"/>
      <c r="O706" s="663"/>
      <c r="P706" s="663"/>
      <c r="Q706" s="663"/>
      <c r="R706" s="663"/>
      <c r="S706" s="663"/>
      <c r="T706" s="663"/>
      <c r="U706" s="663"/>
      <c r="V706" s="663"/>
      <c r="W706" s="663"/>
      <c r="X706" s="663"/>
      <c r="Y706" s="663"/>
      <c r="Z706" s="663"/>
    </row>
    <row r="707">
      <c r="A707" s="670"/>
      <c r="B707" s="671"/>
      <c r="C707" s="672"/>
      <c r="D707" s="673"/>
      <c r="E707" s="663"/>
      <c r="F707" s="663"/>
      <c r="G707" s="663"/>
      <c r="H707" s="663"/>
      <c r="I707" s="663"/>
      <c r="J707" s="663"/>
      <c r="K707" s="663"/>
      <c r="L707" s="663"/>
      <c r="M707" s="663"/>
      <c r="N707" s="663"/>
      <c r="O707" s="663"/>
      <c r="P707" s="663"/>
      <c r="Q707" s="663"/>
      <c r="R707" s="663"/>
      <c r="S707" s="663"/>
      <c r="T707" s="663"/>
      <c r="U707" s="663"/>
      <c r="V707" s="663"/>
      <c r="W707" s="663"/>
      <c r="X707" s="663"/>
      <c r="Y707" s="663"/>
      <c r="Z707" s="663"/>
    </row>
    <row r="708">
      <c r="A708" s="670"/>
      <c r="B708" s="671"/>
      <c r="C708" s="672"/>
      <c r="D708" s="673"/>
      <c r="E708" s="663"/>
      <c r="F708" s="663"/>
      <c r="G708" s="663"/>
      <c r="H708" s="663"/>
      <c r="I708" s="663"/>
      <c r="J708" s="663"/>
      <c r="K708" s="663"/>
      <c r="L708" s="663"/>
      <c r="M708" s="663"/>
      <c r="N708" s="663"/>
      <c r="O708" s="663"/>
      <c r="P708" s="663"/>
      <c r="Q708" s="663"/>
      <c r="R708" s="663"/>
      <c r="S708" s="663"/>
      <c r="T708" s="663"/>
      <c r="U708" s="663"/>
      <c r="V708" s="663"/>
      <c r="W708" s="663"/>
      <c r="X708" s="663"/>
      <c r="Y708" s="663"/>
      <c r="Z708" s="663"/>
    </row>
    <row r="709">
      <c r="A709" s="670"/>
      <c r="B709" s="671"/>
      <c r="C709" s="672"/>
      <c r="D709" s="673"/>
      <c r="E709" s="663"/>
      <c r="F709" s="663"/>
      <c r="G709" s="663"/>
      <c r="H709" s="663"/>
      <c r="I709" s="663"/>
      <c r="J709" s="663"/>
      <c r="K709" s="663"/>
      <c r="L709" s="663"/>
      <c r="M709" s="663"/>
      <c r="N709" s="663"/>
      <c r="O709" s="663"/>
      <c r="P709" s="663"/>
      <c r="Q709" s="663"/>
      <c r="R709" s="663"/>
      <c r="S709" s="663"/>
      <c r="T709" s="663"/>
      <c r="U709" s="663"/>
      <c r="V709" s="663"/>
      <c r="W709" s="663"/>
      <c r="X709" s="663"/>
      <c r="Y709" s="663"/>
      <c r="Z709" s="663"/>
    </row>
    <row r="710">
      <c r="A710" s="670"/>
      <c r="B710" s="671"/>
      <c r="C710" s="672"/>
      <c r="D710" s="673"/>
      <c r="E710" s="663"/>
      <c r="F710" s="663"/>
      <c r="G710" s="663"/>
      <c r="H710" s="663"/>
      <c r="I710" s="663"/>
      <c r="J710" s="663"/>
      <c r="K710" s="663"/>
      <c r="L710" s="663"/>
      <c r="M710" s="663"/>
      <c r="N710" s="663"/>
      <c r="O710" s="663"/>
      <c r="P710" s="663"/>
      <c r="Q710" s="663"/>
      <c r="R710" s="663"/>
      <c r="S710" s="663"/>
      <c r="T710" s="663"/>
      <c r="U710" s="663"/>
      <c r="V710" s="663"/>
      <c r="W710" s="663"/>
      <c r="X710" s="663"/>
      <c r="Y710" s="663"/>
      <c r="Z710" s="663"/>
    </row>
    <row r="711">
      <c r="A711" s="670"/>
      <c r="B711" s="671"/>
      <c r="C711" s="672"/>
      <c r="D711" s="673"/>
      <c r="E711" s="663"/>
      <c r="F711" s="663"/>
      <c r="G711" s="663"/>
      <c r="H711" s="663"/>
      <c r="I711" s="663"/>
      <c r="J711" s="663"/>
      <c r="K711" s="663"/>
      <c r="L711" s="663"/>
      <c r="M711" s="663"/>
      <c r="N711" s="663"/>
      <c r="O711" s="663"/>
      <c r="P711" s="663"/>
      <c r="Q711" s="663"/>
      <c r="R711" s="663"/>
      <c r="S711" s="663"/>
      <c r="T711" s="663"/>
      <c r="U711" s="663"/>
      <c r="V711" s="663"/>
      <c r="W711" s="663"/>
      <c r="X711" s="663"/>
      <c r="Y711" s="663"/>
      <c r="Z711" s="663"/>
    </row>
    <row r="712">
      <c r="A712" s="670"/>
      <c r="B712" s="671"/>
      <c r="C712" s="672"/>
      <c r="D712" s="673"/>
      <c r="E712" s="663"/>
      <c r="F712" s="663"/>
      <c r="G712" s="663"/>
      <c r="H712" s="663"/>
      <c r="I712" s="663"/>
      <c r="J712" s="663"/>
      <c r="K712" s="663"/>
      <c r="L712" s="663"/>
      <c r="M712" s="663"/>
      <c r="N712" s="663"/>
      <c r="O712" s="663"/>
      <c r="P712" s="663"/>
      <c r="Q712" s="663"/>
      <c r="R712" s="663"/>
      <c r="S712" s="663"/>
      <c r="T712" s="663"/>
      <c r="U712" s="663"/>
      <c r="V712" s="663"/>
      <c r="W712" s="663"/>
      <c r="X712" s="663"/>
      <c r="Y712" s="663"/>
      <c r="Z712" s="663"/>
    </row>
    <row r="713">
      <c r="A713" s="670"/>
      <c r="B713" s="671"/>
      <c r="C713" s="672"/>
      <c r="D713" s="673"/>
      <c r="E713" s="663"/>
      <c r="F713" s="663"/>
      <c r="G713" s="663"/>
      <c r="H713" s="663"/>
      <c r="I713" s="663"/>
      <c r="J713" s="663"/>
      <c r="K713" s="663"/>
      <c r="L713" s="663"/>
      <c r="M713" s="663"/>
      <c r="N713" s="663"/>
      <c r="O713" s="663"/>
      <c r="P713" s="663"/>
      <c r="Q713" s="663"/>
      <c r="R713" s="663"/>
      <c r="S713" s="663"/>
      <c r="T713" s="663"/>
      <c r="U713" s="663"/>
      <c r="V713" s="663"/>
      <c r="W713" s="663"/>
      <c r="X713" s="663"/>
      <c r="Y713" s="663"/>
      <c r="Z713" s="663"/>
    </row>
    <row r="714">
      <c r="A714" s="670"/>
      <c r="B714" s="671"/>
      <c r="C714" s="672"/>
      <c r="D714" s="673"/>
      <c r="E714" s="663"/>
      <c r="F714" s="663"/>
      <c r="G714" s="663"/>
      <c r="H714" s="663"/>
      <c r="I714" s="663"/>
      <c r="J714" s="663"/>
      <c r="K714" s="663"/>
      <c r="L714" s="663"/>
      <c r="M714" s="663"/>
      <c r="N714" s="663"/>
      <c r="O714" s="663"/>
      <c r="P714" s="663"/>
      <c r="Q714" s="663"/>
      <c r="R714" s="663"/>
      <c r="S714" s="663"/>
      <c r="T714" s="663"/>
      <c r="U714" s="663"/>
      <c r="V714" s="663"/>
      <c r="W714" s="663"/>
      <c r="X714" s="663"/>
      <c r="Y714" s="663"/>
      <c r="Z714" s="663"/>
    </row>
    <row r="715">
      <c r="A715" s="670"/>
      <c r="B715" s="671"/>
      <c r="C715" s="672"/>
      <c r="D715" s="673"/>
      <c r="E715" s="663"/>
      <c r="F715" s="663"/>
      <c r="G715" s="663"/>
      <c r="H715" s="663"/>
      <c r="I715" s="663"/>
      <c r="J715" s="663"/>
      <c r="K715" s="663"/>
      <c r="L715" s="663"/>
      <c r="M715" s="663"/>
      <c r="N715" s="663"/>
      <c r="O715" s="663"/>
      <c r="P715" s="663"/>
      <c r="Q715" s="663"/>
      <c r="R715" s="663"/>
      <c r="S715" s="663"/>
      <c r="T715" s="663"/>
      <c r="U715" s="663"/>
      <c r="V715" s="663"/>
      <c r="W715" s="663"/>
      <c r="X715" s="663"/>
      <c r="Y715" s="663"/>
      <c r="Z715" s="663"/>
    </row>
    <row r="716">
      <c r="A716" s="670"/>
      <c r="B716" s="671"/>
      <c r="C716" s="672"/>
      <c r="D716" s="673"/>
      <c r="E716" s="663"/>
      <c r="F716" s="663"/>
      <c r="G716" s="663"/>
      <c r="H716" s="663"/>
      <c r="I716" s="663"/>
      <c r="J716" s="663"/>
      <c r="K716" s="663"/>
      <c r="L716" s="663"/>
      <c r="M716" s="663"/>
      <c r="N716" s="663"/>
      <c r="O716" s="663"/>
      <c r="P716" s="663"/>
      <c r="Q716" s="663"/>
      <c r="R716" s="663"/>
      <c r="S716" s="663"/>
      <c r="T716" s="663"/>
      <c r="U716" s="663"/>
      <c r="V716" s="663"/>
      <c r="W716" s="663"/>
      <c r="X716" s="663"/>
      <c r="Y716" s="663"/>
      <c r="Z716" s="663"/>
    </row>
    <row r="717">
      <c r="A717" s="670"/>
      <c r="B717" s="671"/>
      <c r="C717" s="672"/>
      <c r="D717" s="673"/>
      <c r="E717" s="663"/>
      <c r="F717" s="663"/>
      <c r="G717" s="663"/>
      <c r="H717" s="663"/>
      <c r="I717" s="663"/>
      <c r="J717" s="663"/>
      <c r="K717" s="663"/>
      <c r="L717" s="663"/>
      <c r="M717" s="663"/>
      <c r="N717" s="663"/>
      <c r="O717" s="663"/>
      <c r="P717" s="663"/>
      <c r="Q717" s="663"/>
      <c r="R717" s="663"/>
      <c r="S717" s="663"/>
      <c r="T717" s="663"/>
      <c r="U717" s="663"/>
      <c r="V717" s="663"/>
      <c r="W717" s="663"/>
      <c r="X717" s="663"/>
      <c r="Y717" s="663"/>
      <c r="Z717" s="663"/>
    </row>
    <row r="718">
      <c r="A718" s="670"/>
      <c r="B718" s="671"/>
      <c r="C718" s="672"/>
      <c r="D718" s="673"/>
      <c r="E718" s="663"/>
      <c r="F718" s="663"/>
      <c r="G718" s="663"/>
      <c r="H718" s="663"/>
      <c r="I718" s="663"/>
      <c r="J718" s="663"/>
      <c r="K718" s="663"/>
      <c r="L718" s="663"/>
      <c r="M718" s="663"/>
      <c r="N718" s="663"/>
      <c r="O718" s="663"/>
      <c r="P718" s="663"/>
      <c r="Q718" s="663"/>
      <c r="R718" s="663"/>
      <c r="S718" s="663"/>
      <c r="T718" s="663"/>
      <c r="U718" s="663"/>
      <c r="V718" s="663"/>
      <c r="W718" s="663"/>
      <c r="X718" s="663"/>
      <c r="Y718" s="663"/>
      <c r="Z718" s="663"/>
    </row>
    <row r="719">
      <c r="A719" s="670"/>
      <c r="B719" s="671"/>
      <c r="C719" s="672"/>
      <c r="D719" s="673"/>
      <c r="E719" s="663"/>
      <c r="F719" s="663"/>
      <c r="G719" s="663"/>
      <c r="H719" s="663"/>
      <c r="I719" s="663"/>
      <c r="J719" s="663"/>
      <c r="K719" s="663"/>
      <c r="L719" s="663"/>
      <c r="M719" s="663"/>
      <c r="N719" s="663"/>
      <c r="O719" s="663"/>
      <c r="P719" s="663"/>
      <c r="Q719" s="663"/>
      <c r="R719" s="663"/>
      <c r="S719" s="663"/>
      <c r="T719" s="663"/>
      <c r="U719" s="663"/>
      <c r="V719" s="663"/>
      <c r="W719" s="663"/>
      <c r="X719" s="663"/>
      <c r="Y719" s="663"/>
      <c r="Z719" s="663"/>
    </row>
    <row r="720">
      <c r="A720" s="670"/>
      <c r="B720" s="671"/>
      <c r="C720" s="672"/>
      <c r="D720" s="673"/>
      <c r="E720" s="663"/>
      <c r="F720" s="663"/>
      <c r="G720" s="663"/>
      <c r="H720" s="663"/>
      <c r="I720" s="663"/>
      <c r="J720" s="663"/>
      <c r="K720" s="663"/>
      <c r="L720" s="663"/>
      <c r="M720" s="663"/>
      <c r="N720" s="663"/>
      <c r="O720" s="663"/>
      <c r="P720" s="663"/>
      <c r="Q720" s="663"/>
      <c r="R720" s="663"/>
      <c r="S720" s="663"/>
      <c r="T720" s="663"/>
      <c r="U720" s="663"/>
      <c r="V720" s="663"/>
      <c r="W720" s="663"/>
      <c r="X720" s="663"/>
      <c r="Y720" s="663"/>
      <c r="Z720" s="663"/>
    </row>
    <row r="721">
      <c r="A721" s="670"/>
      <c r="B721" s="671"/>
      <c r="C721" s="672"/>
      <c r="D721" s="673"/>
      <c r="E721" s="663"/>
      <c r="F721" s="663"/>
      <c r="G721" s="663"/>
      <c r="H721" s="663"/>
      <c r="I721" s="663"/>
      <c r="J721" s="663"/>
      <c r="K721" s="663"/>
      <c r="L721" s="663"/>
      <c r="M721" s="663"/>
      <c r="N721" s="663"/>
      <c r="O721" s="663"/>
      <c r="P721" s="663"/>
      <c r="Q721" s="663"/>
      <c r="R721" s="663"/>
      <c r="S721" s="663"/>
      <c r="T721" s="663"/>
      <c r="U721" s="663"/>
      <c r="V721" s="663"/>
      <c r="W721" s="663"/>
      <c r="X721" s="663"/>
      <c r="Y721" s="663"/>
      <c r="Z721" s="663"/>
    </row>
    <row r="722">
      <c r="A722" s="670"/>
      <c r="B722" s="671"/>
      <c r="C722" s="672"/>
      <c r="D722" s="673"/>
      <c r="E722" s="663"/>
      <c r="F722" s="663"/>
      <c r="G722" s="663"/>
      <c r="H722" s="663"/>
      <c r="I722" s="663"/>
      <c r="J722" s="663"/>
      <c r="K722" s="663"/>
      <c r="L722" s="663"/>
      <c r="M722" s="663"/>
      <c r="N722" s="663"/>
      <c r="O722" s="663"/>
      <c r="P722" s="663"/>
      <c r="Q722" s="663"/>
      <c r="R722" s="663"/>
      <c r="S722" s="663"/>
      <c r="T722" s="663"/>
      <c r="U722" s="663"/>
      <c r="V722" s="663"/>
      <c r="W722" s="663"/>
      <c r="X722" s="663"/>
      <c r="Y722" s="663"/>
      <c r="Z722" s="663"/>
    </row>
    <row r="723">
      <c r="A723" s="670"/>
      <c r="B723" s="671"/>
      <c r="C723" s="672"/>
      <c r="D723" s="673"/>
      <c r="E723" s="663"/>
      <c r="F723" s="663"/>
      <c r="G723" s="663"/>
      <c r="H723" s="663"/>
      <c r="I723" s="663"/>
      <c r="J723" s="663"/>
      <c r="K723" s="663"/>
      <c r="L723" s="663"/>
      <c r="M723" s="663"/>
      <c r="N723" s="663"/>
      <c r="O723" s="663"/>
      <c r="P723" s="663"/>
      <c r="Q723" s="663"/>
      <c r="R723" s="663"/>
      <c r="S723" s="663"/>
      <c r="T723" s="663"/>
      <c r="U723" s="663"/>
      <c r="V723" s="663"/>
      <c r="W723" s="663"/>
      <c r="X723" s="663"/>
      <c r="Y723" s="663"/>
      <c r="Z723" s="663"/>
    </row>
    <row r="724">
      <c r="A724" s="670"/>
      <c r="B724" s="671"/>
      <c r="C724" s="672"/>
      <c r="D724" s="673"/>
      <c r="E724" s="663"/>
      <c r="F724" s="663"/>
      <c r="G724" s="663"/>
      <c r="H724" s="663"/>
      <c r="I724" s="663"/>
      <c r="J724" s="663"/>
      <c r="K724" s="663"/>
      <c r="L724" s="663"/>
      <c r="M724" s="663"/>
      <c r="N724" s="663"/>
      <c r="O724" s="663"/>
      <c r="P724" s="663"/>
      <c r="Q724" s="663"/>
      <c r="R724" s="663"/>
      <c r="S724" s="663"/>
      <c r="T724" s="663"/>
      <c r="U724" s="663"/>
      <c r="V724" s="663"/>
      <c r="W724" s="663"/>
      <c r="X724" s="663"/>
      <c r="Y724" s="663"/>
      <c r="Z724" s="663"/>
    </row>
    <row r="725">
      <c r="A725" s="670"/>
      <c r="B725" s="671"/>
      <c r="C725" s="672"/>
      <c r="D725" s="673"/>
      <c r="E725" s="663"/>
      <c r="F725" s="663"/>
      <c r="G725" s="663"/>
      <c r="H725" s="663"/>
      <c r="I725" s="663"/>
      <c r="J725" s="663"/>
      <c r="K725" s="663"/>
      <c r="L725" s="663"/>
      <c r="M725" s="663"/>
      <c r="N725" s="663"/>
      <c r="O725" s="663"/>
      <c r="P725" s="663"/>
      <c r="Q725" s="663"/>
      <c r="R725" s="663"/>
      <c r="S725" s="663"/>
      <c r="T725" s="663"/>
      <c r="U725" s="663"/>
      <c r="V725" s="663"/>
      <c r="W725" s="663"/>
      <c r="X725" s="663"/>
      <c r="Y725" s="663"/>
      <c r="Z725" s="663"/>
    </row>
    <row r="726">
      <c r="A726" s="670"/>
      <c r="B726" s="671"/>
      <c r="C726" s="672"/>
      <c r="D726" s="673"/>
      <c r="E726" s="663"/>
      <c r="F726" s="663"/>
      <c r="G726" s="663"/>
      <c r="H726" s="663"/>
      <c r="I726" s="663"/>
      <c r="J726" s="663"/>
      <c r="K726" s="663"/>
      <c r="L726" s="663"/>
      <c r="M726" s="663"/>
      <c r="N726" s="663"/>
      <c r="O726" s="663"/>
      <c r="P726" s="663"/>
      <c r="Q726" s="663"/>
      <c r="R726" s="663"/>
      <c r="S726" s="663"/>
      <c r="T726" s="663"/>
      <c r="U726" s="663"/>
      <c r="V726" s="663"/>
      <c r="W726" s="663"/>
      <c r="X726" s="663"/>
      <c r="Y726" s="663"/>
      <c r="Z726" s="663"/>
    </row>
    <row r="727">
      <c r="A727" s="670"/>
      <c r="B727" s="671"/>
      <c r="C727" s="672"/>
      <c r="D727" s="673"/>
      <c r="E727" s="663"/>
      <c r="F727" s="663"/>
      <c r="G727" s="663"/>
      <c r="H727" s="663"/>
      <c r="I727" s="663"/>
      <c r="J727" s="663"/>
      <c r="K727" s="663"/>
      <c r="L727" s="663"/>
      <c r="M727" s="663"/>
      <c r="N727" s="663"/>
      <c r="O727" s="663"/>
      <c r="P727" s="663"/>
      <c r="Q727" s="663"/>
      <c r="R727" s="663"/>
      <c r="S727" s="663"/>
      <c r="T727" s="663"/>
      <c r="U727" s="663"/>
      <c r="V727" s="663"/>
      <c r="W727" s="663"/>
      <c r="X727" s="663"/>
      <c r="Y727" s="663"/>
      <c r="Z727" s="663"/>
    </row>
    <row r="728">
      <c r="A728" s="670"/>
      <c r="B728" s="671"/>
      <c r="C728" s="672"/>
      <c r="D728" s="673"/>
      <c r="E728" s="663"/>
      <c r="F728" s="663"/>
      <c r="G728" s="663"/>
      <c r="H728" s="663"/>
      <c r="I728" s="663"/>
      <c r="J728" s="663"/>
      <c r="K728" s="663"/>
      <c r="L728" s="663"/>
      <c r="M728" s="663"/>
      <c r="N728" s="663"/>
      <c r="O728" s="663"/>
      <c r="P728" s="663"/>
      <c r="Q728" s="663"/>
      <c r="R728" s="663"/>
      <c r="S728" s="663"/>
      <c r="T728" s="663"/>
      <c r="U728" s="663"/>
      <c r="V728" s="663"/>
      <c r="W728" s="663"/>
      <c r="X728" s="663"/>
      <c r="Y728" s="663"/>
      <c r="Z728" s="663"/>
    </row>
    <row r="729">
      <c r="A729" s="670"/>
      <c r="B729" s="671"/>
      <c r="C729" s="672"/>
      <c r="D729" s="673"/>
      <c r="E729" s="663"/>
      <c r="F729" s="663"/>
      <c r="G729" s="663"/>
      <c r="H729" s="663"/>
      <c r="I729" s="663"/>
      <c r="J729" s="663"/>
      <c r="K729" s="663"/>
      <c r="L729" s="663"/>
      <c r="M729" s="663"/>
      <c r="N729" s="663"/>
      <c r="O729" s="663"/>
      <c r="P729" s="663"/>
      <c r="Q729" s="663"/>
      <c r="R729" s="663"/>
      <c r="S729" s="663"/>
      <c r="T729" s="663"/>
      <c r="U729" s="663"/>
      <c r="V729" s="663"/>
      <c r="W729" s="663"/>
      <c r="X729" s="663"/>
      <c r="Y729" s="663"/>
      <c r="Z729" s="663"/>
    </row>
    <row r="730">
      <c r="A730" s="670"/>
      <c r="B730" s="671"/>
      <c r="C730" s="672"/>
      <c r="D730" s="673"/>
      <c r="E730" s="663"/>
      <c r="F730" s="663"/>
      <c r="G730" s="663"/>
      <c r="H730" s="663"/>
      <c r="I730" s="663"/>
      <c r="J730" s="663"/>
      <c r="K730" s="663"/>
      <c r="L730" s="663"/>
      <c r="M730" s="663"/>
      <c r="N730" s="663"/>
      <c r="O730" s="663"/>
      <c r="P730" s="663"/>
      <c r="Q730" s="663"/>
      <c r="R730" s="663"/>
      <c r="S730" s="663"/>
      <c r="T730" s="663"/>
      <c r="U730" s="663"/>
      <c r="V730" s="663"/>
      <c r="W730" s="663"/>
      <c r="X730" s="663"/>
      <c r="Y730" s="663"/>
      <c r="Z730" s="663"/>
    </row>
    <row r="731">
      <c r="A731" s="670"/>
      <c r="B731" s="671"/>
      <c r="C731" s="672"/>
      <c r="D731" s="673"/>
      <c r="E731" s="663"/>
      <c r="F731" s="663"/>
      <c r="G731" s="663"/>
      <c r="H731" s="663"/>
      <c r="I731" s="663"/>
      <c r="J731" s="663"/>
      <c r="K731" s="663"/>
      <c r="L731" s="663"/>
      <c r="M731" s="663"/>
      <c r="N731" s="663"/>
      <c r="O731" s="663"/>
      <c r="P731" s="663"/>
      <c r="Q731" s="663"/>
      <c r="R731" s="663"/>
      <c r="S731" s="663"/>
      <c r="T731" s="663"/>
      <c r="U731" s="663"/>
      <c r="V731" s="663"/>
      <c r="W731" s="663"/>
      <c r="X731" s="663"/>
      <c r="Y731" s="663"/>
      <c r="Z731" s="663"/>
    </row>
    <row r="732">
      <c r="A732" s="670"/>
      <c r="B732" s="671"/>
      <c r="C732" s="672"/>
      <c r="D732" s="673"/>
      <c r="E732" s="663"/>
      <c r="F732" s="663"/>
      <c r="G732" s="663"/>
      <c r="H732" s="663"/>
      <c r="I732" s="663"/>
      <c r="J732" s="663"/>
      <c r="K732" s="663"/>
      <c r="L732" s="663"/>
      <c r="M732" s="663"/>
      <c r="N732" s="663"/>
      <c r="O732" s="663"/>
      <c r="P732" s="663"/>
      <c r="Q732" s="663"/>
      <c r="R732" s="663"/>
      <c r="S732" s="663"/>
      <c r="T732" s="663"/>
      <c r="U732" s="663"/>
      <c r="V732" s="663"/>
      <c r="W732" s="663"/>
      <c r="X732" s="663"/>
      <c r="Y732" s="663"/>
      <c r="Z732" s="663"/>
    </row>
    <row r="733">
      <c r="A733" s="670"/>
      <c r="B733" s="671"/>
      <c r="C733" s="672"/>
      <c r="D733" s="673"/>
      <c r="E733" s="663"/>
      <c r="F733" s="663"/>
      <c r="G733" s="663"/>
      <c r="H733" s="663"/>
      <c r="I733" s="663"/>
      <c r="J733" s="663"/>
      <c r="K733" s="663"/>
      <c r="L733" s="663"/>
      <c r="M733" s="663"/>
      <c r="N733" s="663"/>
      <c r="O733" s="663"/>
      <c r="P733" s="663"/>
      <c r="Q733" s="663"/>
      <c r="R733" s="663"/>
      <c r="S733" s="663"/>
      <c r="T733" s="663"/>
      <c r="U733" s="663"/>
      <c r="V733" s="663"/>
      <c r="W733" s="663"/>
      <c r="X733" s="663"/>
      <c r="Y733" s="663"/>
      <c r="Z733" s="663"/>
    </row>
    <row r="734">
      <c r="A734" s="670"/>
      <c r="B734" s="671"/>
      <c r="C734" s="672"/>
      <c r="D734" s="673"/>
      <c r="E734" s="663"/>
      <c r="F734" s="663"/>
      <c r="G734" s="663"/>
      <c r="H734" s="663"/>
      <c r="I734" s="663"/>
      <c r="J734" s="663"/>
      <c r="K734" s="663"/>
      <c r="L734" s="663"/>
      <c r="M734" s="663"/>
      <c r="N734" s="663"/>
      <c r="O734" s="663"/>
      <c r="P734" s="663"/>
      <c r="Q734" s="663"/>
      <c r="R734" s="663"/>
      <c r="S734" s="663"/>
      <c r="T734" s="663"/>
      <c r="U734" s="663"/>
      <c r="V734" s="663"/>
      <c r="W734" s="663"/>
      <c r="X734" s="663"/>
      <c r="Y734" s="663"/>
      <c r="Z734" s="663"/>
    </row>
    <row r="735">
      <c r="A735" s="670"/>
      <c r="B735" s="671"/>
      <c r="C735" s="672"/>
      <c r="D735" s="673"/>
      <c r="E735" s="663"/>
      <c r="F735" s="663"/>
      <c r="G735" s="663"/>
      <c r="H735" s="663"/>
      <c r="I735" s="663"/>
      <c r="J735" s="663"/>
      <c r="K735" s="663"/>
      <c r="L735" s="663"/>
      <c r="M735" s="663"/>
      <c r="N735" s="663"/>
      <c r="O735" s="663"/>
      <c r="P735" s="663"/>
      <c r="Q735" s="663"/>
      <c r="R735" s="663"/>
      <c r="S735" s="663"/>
      <c r="T735" s="663"/>
      <c r="U735" s="663"/>
      <c r="V735" s="663"/>
      <c r="W735" s="663"/>
      <c r="X735" s="663"/>
      <c r="Y735" s="663"/>
      <c r="Z735" s="663"/>
    </row>
    <row r="736">
      <c r="A736" s="670"/>
      <c r="B736" s="671"/>
      <c r="C736" s="672"/>
      <c r="D736" s="673"/>
      <c r="E736" s="663"/>
      <c r="F736" s="663"/>
      <c r="G736" s="663"/>
      <c r="H736" s="663"/>
      <c r="I736" s="663"/>
      <c r="J736" s="663"/>
      <c r="K736" s="663"/>
      <c r="L736" s="663"/>
      <c r="M736" s="663"/>
      <c r="N736" s="663"/>
      <c r="O736" s="663"/>
      <c r="P736" s="663"/>
      <c r="Q736" s="663"/>
      <c r="R736" s="663"/>
      <c r="S736" s="663"/>
      <c r="T736" s="663"/>
      <c r="U736" s="663"/>
      <c r="V736" s="663"/>
      <c r="W736" s="663"/>
      <c r="X736" s="663"/>
      <c r="Y736" s="663"/>
      <c r="Z736" s="663"/>
    </row>
    <row r="737">
      <c r="A737" s="670"/>
      <c r="B737" s="671"/>
      <c r="C737" s="672"/>
      <c r="D737" s="673"/>
      <c r="E737" s="663"/>
      <c r="F737" s="663"/>
      <c r="G737" s="663"/>
      <c r="H737" s="663"/>
      <c r="I737" s="663"/>
      <c r="J737" s="663"/>
      <c r="K737" s="663"/>
      <c r="L737" s="663"/>
      <c r="M737" s="663"/>
      <c r="N737" s="663"/>
      <c r="O737" s="663"/>
      <c r="P737" s="663"/>
      <c r="Q737" s="663"/>
      <c r="R737" s="663"/>
      <c r="S737" s="663"/>
      <c r="T737" s="663"/>
      <c r="U737" s="663"/>
      <c r="V737" s="663"/>
      <c r="W737" s="663"/>
      <c r="X737" s="663"/>
      <c r="Y737" s="663"/>
      <c r="Z737" s="663"/>
    </row>
    <row r="738">
      <c r="A738" s="670"/>
      <c r="B738" s="671"/>
      <c r="C738" s="672"/>
      <c r="D738" s="673"/>
      <c r="E738" s="663"/>
      <c r="F738" s="663"/>
      <c r="G738" s="663"/>
      <c r="H738" s="663"/>
      <c r="I738" s="663"/>
      <c r="J738" s="663"/>
      <c r="K738" s="663"/>
      <c r="L738" s="663"/>
      <c r="M738" s="663"/>
      <c r="N738" s="663"/>
      <c r="O738" s="663"/>
      <c r="P738" s="663"/>
      <c r="Q738" s="663"/>
      <c r="R738" s="663"/>
      <c r="S738" s="663"/>
      <c r="T738" s="663"/>
      <c r="U738" s="663"/>
      <c r="V738" s="663"/>
      <c r="W738" s="663"/>
      <c r="X738" s="663"/>
      <c r="Y738" s="663"/>
      <c r="Z738" s="663"/>
    </row>
    <row r="739">
      <c r="A739" s="670"/>
      <c r="B739" s="671"/>
      <c r="C739" s="672"/>
      <c r="D739" s="673"/>
      <c r="E739" s="663"/>
      <c r="F739" s="663"/>
      <c r="G739" s="663"/>
      <c r="H739" s="663"/>
      <c r="I739" s="663"/>
      <c r="J739" s="663"/>
      <c r="K739" s="663"/>
      <c r="L739" s="663"/>
      <c r="M739" s="663"/>
      <c r="N739" s="663"/>
      <c r="O739" s="663"/>
      <c r="P739" s="663"/>
      <c r="Q739" s="663"/>
      <c r="R739" s="663"/>
      <c r="S739" s="663"/>
      <c r="T739" s="663"/>
      <c r="U739" s="663"/>
      <c r="V739" s="663"/>
      <c r="W739" s="663"/>
      <c r="X739" s="663"/>
      <c r="Y739" s="663"/>
      <c r="Z739" s="663"/>
    </row>
    <row r="740">
      <c r="A740" s="670"/>
      <c r="B740" s="671"/>
      <c r="C740" s="672"/>
      <c r="D740" s="673"/>
      <c r="E740" s="663"/>
      <c r="F740" s="663"/>
      <c r="G740" s="663"/>
      <c r="H740" s="663"/>
      <c r="I740" s="663"/>
      <c r="J740" s="663"/>
      <c r="K740" s="663"/>
      <c r="L740" s="663"/>
      <c r="M740" s="663"/>
      <c r="N740" s="663"/>
      <c r="O740" s="663"/>
      <c r="P740" s="663"/>
      <c r="Q740" s="663"/>
      <c r="R740" s="663"/>
      <c r="S740" s="663"/>
      <c r="T740" s="663"/>
      <c r="U740" s="663"/>
      <c r="V740" s="663"/>
      <c r="W740" s="663"/>
      <c r="X740" s="663"/>
      <c r="Y740" s="663"/>
      <c r="Z740" s="663"/>
    </row>
    <row r="741">
      <c r="A741" s="670"/>
      <c r="B741" s="671"/>
      <c r="C741" s="672"/>
      <c r="D741" s="673"/>
      <c r="E741" s="663"/>
      <c r="F741" s="663"/>
      <c r="G741" s="663"/>
      <c r="H741" s="663"/>
      <c r="I741" s="663"/>
      <c r="J741" s="663"/>
      <c r="K741" s="663"/>
      <c r="L741" s="663"/>
      <c r="M741" s="663"/>
      <c r="N741" s="663"/>
      <c r="O741" s="663"/>
      <c r="P741" s="663"/>
      <c r="Q741" s="663"/>
      <c r="R741" s="663"/>
      <c r="S741" s="663"/>
      <c r="T741" s="663"/>
      <c r="U741" s="663"/>
      <c r="V741" s="663"/>
      <c r="W741" s="663"/>
      <c r="X741" s="663"/>
      <c r="Y741" s="663"/>
      <c r="Z741" s="663"/>
    </row>
    <row r="742">
      <c r="A742" s="670"/>
      <c r="B742" s="671"/>
      <c r="C742" s="672"/>
      <c r="D742" s="673"/>
      <c r="E742" s="663"/>
      <c r="F742" s="663"/>
      <c r="G742" s="663"/>
      <c r="H742" s="663"/>
      <c r="I742" s="663"/>
      <c r="J742" s="663"/>
      <c r="K742" s="663"/>
      <c r="L742" s="663"/>
      <c r="M742" s="663"/>
      <c r="N742" s="663"/>
      <c r="O742" s="663"/>
      <c r="P742" s="663"/>
      <c r="Q742" s="663"/>
      <c r="R742" s="663"/>
      <c r="S742" s="663"/>
      <c r="T742" s="663"/>
      <c r="U742" s="663"/>
      <c r="V742" s="663"/>
      <c r="W742" s="663"/>
      <c r="X742" s="663"/>
      <c r="Y742" s="663"/>
      <c r="Z742" s="663"/>
    </row>
    <row r="743">
      <c r="A743" s="670"/>
      <c r="B743" s="671"/>
      <c r="C743" s="672"/>
      <c r="D743" s="673"/>
      <c r="E743" s="663"/>
      <c r="F743" s="663"/>
      <c r="G743" s="663"/>
      <c r="H743" s="663"/>
      <c r="I743" s="663"/>
      <c r="J743" s="663"/>
      <c r="K743" s="663"/>
      <c r="L743" s="663"/>
      <c r="M743" s="663"/>
      <c r="N743" s="663"/>
      <c r="O743" s="663"/>
      <c r="P743" s="663"/>
      <c r="Q743" s="663"/>
      <c r="R743" s="663"/>
      <c r="S743" s="663"/>
      <c r="T743" s="663"/>
      <c r="U743" s="663"/>
      <c r="V743" s="663"/>
      <c r="W743" s="663"/>
      <c r="X743" s="663"/>
      <c r="Y743" s="663"/>
      <c r="Z743" s="663"/>
    </row>
    <row r="744">
      <c r="A744" s="670"/>
      <c r="B744" s="671"/>
      <c r="C744" s="672"/>
      <c r="D744" s="673"/>
      <c r="E744" s="663"/>
      <c r="F744" s="663"/>
      <c r="G744" s="663"/>
      <c r="H744" s="663"/>
      <c r="I744" s="663"/>
      <c r="J744" s="663"/>
      <c r="K744" s="663"/>
      <c r="L744" s="663"/>
      <c r="M744" s="663"/>
      <c r="N744" s="663"/>
      <c r="O744" s="663"/>
      <c r="P744" s="663"/>
      <c r="Q744" s="663"/>
      <c r="R744" s="663"/>
      <c r="S744" s="663"/>
      <c r="T744" s="663"/>
      <c r="U744" s="663"/>
      <c r="V744" s="663"/>
      <c r="W744" s="663"/>
      <c r="X744" s="663"/>
      <c r="Y744" s="663"/>
      <c r="Z744" s="663"/>
    </row>
    <row r="745">
      <c r="A745" s="670"/>
      <c r="B745" s="671"/>
      <c r="C745" s="672"/>
      <c r="D745" s="673"/>
      <c r="E745" s="663"/>
      <c r="F745" s="663"/>
      <c r="G745" s="663"/>
      <c r="H745" s="663"/>
      <c r="I745" s="663"/>
      <c r="J745" s="663"/>
      <c r="K745" s="663"/>
      <c r="L745" s="663"/>
      <c r="M745" s="663"/>
      <c r="N745" s="663"/>
      <c r="O745" s="663"/>
      <c r="P745" s="663"/>
      <c r="Q745" s="663"/>
      <c r="R745" s="663"/>
      <c r="S745" s="663"/>
      <c r="T745" s="663"/>
      <c r="U745" s="663"/>
      <c r="V745" s="663"/>
      <c r="W745" s="663"/>
      <c r="X745" s="663"/>
      <c r="Y745" s="663"/>
      <c r="Z745" s="663"/>
    </row>
    <row r="746">
      <c r="A746" s="670"/>
      <c r="B746" s="671"/>
      <c r="C746" s="672"/>
      <c r="D746" s="673"/>
      <c r="E746" s="663"/>
      <c r="F746" s="663"/>
      <c r="G746" s="663"/>
      <c r="H746" s="663"/>
      <c r="I746" s="663"/>
      <c r="J746" s="663"/>
      <c r="K746" s="663"/>
      <c r="L746" s="663"/>
      <c r="M746" s="663"/>
      <c r="N746" s="663"/>
      <c r="O746" s="663"/>
      <c r="P746" s="663"/>
      <c r="Q746" s="663"/>
      <c r="R746" s="663"/>
      <c r="S746" s="663"/>
      <c r="T746" s="663"/>
      <c r="U746" s="663"/>
      <c r="V746" s="663"/>
      <c r="W746" s="663"/>
      <c r="X746" s="663"/>
      <c r="Y746" s="663"/>
      <c r="Z746" s="663"/>
    </row>
    <row r="747">
      <c r="A747" s="670"/>
      <c r="B747" s="671"/>
      <c r="C747" s="672"/>
      <c r="D747" s="673"/>
      <c r="E747" s="663"/>
      <c r="F747" s="663"/>
      <c r="G747" s="663"/>
      <c r="H747" s="663"/>
      <c r="I747" s="663"/>
      <c r="J747" s="663"/>
      <c r="K747" s="663"/>
      <c r="L747" s="663"/>
      <c r="M747" s="663"/>
      <c r="N747" s="663"/>
      <c r="O747" s="663"/>
      <c r="P747" s="663"/>
      <c r="Q747" s="663"/>
      <c r="R747" s="663"/>
      <c r="S747" s="663"/>
      <c r="T747" s="663"/>
      <c r="U747" s="663"/>
      <c r="V747" s="663"/>
      <c r="W747" s="663"/>
      <c r="X747" s="663"/>
      <c r="Y747" s="663"/>
      <c r="Z747" s="663"/>
    </row>
    <row r="748">
      <c r="A748" s="670"/>
      <c r="B748" s="671"/>
      <c r="C748" s="672"/>
      <c r="D748" s="673"/>
      <c r="E748" s="663"/>
      <c r="F748" s="663"/>
      <c r="G748" s="663"/>
      <c r="H748" s="663"/>
      <c r="I748" s="663"/>
      <c r="J748" s="663"/>
      <c r="K748" s="663"/>
      <c r="L748" s="663"/>
      <c r="M748" s="663"/>
      <c r="N748" s="663"/>
      <c r="O748" s="663"/>
      <c r="P748" s="663"/>
      <c r="Q748" s="663"/>
      <c r="R748" s="663"/>
      <c r="S748" s="663"/>
      <c r="T748" s="663"/>
      <c r="U748" s="663"/>
      <c r="V748" s="663"/>
      <c r="W748" s="663"/>
      <c r="X748" s="663"/>
      <c r="Y748" s="663"/>
      <c r="Z748" s="663"/>
    </row>
    <row r="749">
      <c r="A749" s="670"/>
      <c r="B749" s="671"/>
      <c r="C749" s="672"/>
      <c r="D749" s="673"/>
      <c r="E749" s="663"/>
      <c r="F749" s="663"/>
      <c r="G749" s="663"/>
      <c r="H749" s="663"/>
      <c r="I749" s="663"/>
      <c r="J749" s="663"/>
      <c r="K749" s="663"/>
      <c r="L749" s="663"/>
      <c r="M749" s="663"/>
      <c r="N749" s="663"/>
      <c r="O749" s="663"/>
      <c r="P749" s="663"/>
      <c r="Q749" s="663"/>
      <c r="R749" s="663"/>
      <c r="S749" s="663"/>
      <c r="T749" s="663"/>
      <c r="U749" s="663"/>
      <c r="V749" s="663"/>
      <c r="W749" s="663"/>
      <c r="X749" s="663"/>
      <c r="Y749" s="663"/>
      <c r="Z749" s="663"/>
    </row>
    <row r="750">
      <c r="A750" s="670"/>
      <c r="B750" s="671"/>
      <c r="C750" s="672"/>
      <c r="D750" s="673"/>
      <c r="E750" s="663"/>
      <c r="F750" s="663"/>
      <c r="G750" s="663"/>
      <c r="H750" s="663"/>
      <c r="I750" s="663"/>
      <c r="J750" s="663"/>
      <c r="K750" s="663"/>
      <c r="L750" s="663"/>
      <c r="M750" s="663"/>
      <c r="N750" s="663"/>
      <c r="O750" s="663"/>
      <c r="P750" s="663"/>
      <c r="Q750" s="663"/>
      <c r="R750" s="663"/>
      <c r="S750" s="663"/>
      <c r="T750" s="663"/>
      <c r="U750" s="663"/>
      <c r="V750" s="663"/>
      <c r="W750" s="663"/>
      <c r="X750" s="663"/>
      <c r="Y750" s="663"/>
      <c r="Z750" s="663"/>
    </row>
    <row r="751">
      <c r="A751" s="670"/>
      <c r="B751" s="671"/>
      <c r="C751" s="672"/>
      <c r="D751" s="673"/>
      <c r="E751" s="663"/>
      <c r="F751" s="663"/>
      <c r="G751" s="663"/>
      <c r="H751" s="663"/>
      <c r="I751" s="663"/>
      <c r="J751" s="663"/>
      <c r="K751" s="663"/>
      <c r="L751" s="663"/>
      <c r="M751" s="663"/>
      <c r="N751" s="663"/>
      <c r="O751" s="663"/>
      <c r="P751" s="663"/>
      <c r="Q751" s="663"/>
      <c r="R751" s="663"/>
      <c r="S751" s="663"/>
      <c r="T751" s="663"/>
      <c r="U751" s="663"/>
      <c r="V751" s="663"/>
      <c r="W751" s="663"/>
      <c r="X751" s="663"/>
      <c r="Y751" s="663"/>
      <c r="Z751" s="663"/>
    </row>
    <row r="752">
      <c r="A752" s="670"/>
      <c r="B752" s="671"/>
      <c r="C752" s="672"/>
      <c r="D752" s="673"/>
      <c r="E752" s="663"/>
      <c r="F752" s="663"/>
      <c r="G752" s="663"/>
      <c r="H752" s="663"/>
      <c r="I752" s="663"/>
      <c r="J752" s="663"/>
      <c r="K752" s="663"/>
      <c r="L752" s="663"/>
      <c r="M752" s="663"/>
      <c r="N752" s="663"/>
      <c r="O752" s="663"/>
      <c r="P752" s="663"/>
      <c r="Q752" s="663"/>
      <c r="R752" s="663"/>
      <c r="S752" s="663"/>
      <c r="T752" s="663"/>
      <c r="U752" s="663"/>
      <c r="V752" s="663"/>
      <c r="W752" s="663"/>
      <c r="X752" s="663"/>
      <c r="Y752" s="663"/>
      <c r="Z752" s="663"/>
    </row>
    <row r="753">
      <c r="A753" s="670"/>
      <c r="B753" s="671"/>
      <c r="C753" s="672"/>
      <c r="D753" s="673"/>
      <c r="E753" s="663"/>
      <c r="F753" s="663"/>
      <c r="G753" s="663"/>
      <c r="H753" s="663"/>
      <c r="I753" s="663"/>
      <c r="J753" s="663"/>
      <c r="K753" s="663"/>
      <c r="L753" s="663"/>
      <c r="M753" s="663"/>
      <c r="N753" s="663"/>
      <c r="O753" s="663"/>
      <c r="P753" s="663"/>
      <c r="Q753" s="663"/>
      <c r="R753" s="663"/>
      <c r="S753" s="663"/>
      <c r="T753" s="663"/>
      <c r="U753" s="663"/>
      <c r="V753" s="663"/>
      <c r="W753" s="663"/>
      <c r="X753" s="663"/>
      <c r="Y753" s="663"/>
      <c r="Z753" s="663"/>
    </row>
    <row r="754">
      <c r="A754" s="670"/>
      <c r="B754" s="671"/>
      <c r="C754" s="672"/>
      <c r="D754" s="673"/>
      <c r="E754" s="663"/>
      <c r="F754" s="663"/>
      <c r="G754" s="663"/>
      <c r="H754" s="663"/>
      <c r="I754" s="663"/>
      <c r="J754" s="663"/>
      <c r="K754" s="663"/>
      <c r="L754" s="663"/>
      <c r="M754" s="663"/>
      <c r="N754" s="663"/>
      <c r="O754" s="663"/>
      <c r="P754" s="663"/>
      <c r="Q754" s="663"/>
      <c r="R754" s="663"/>
      <c r="S754" s="663"/>
      <c r="T754" s="663"/>
      <c r="U754" s="663"/>
      <c r="V754" s="663"/>
      <c r="W754" s="663"/>
      <c r="X754" s="663"/>
      <c r="Y754" s="663"/>
      <c r="Z754" s="663"/>
    </row>
    <row r="755">
      <c r="A755" s="670"/>
      <c r="B755" s="671"/>
      <c r="C755" s="672"/>
      <c r="D755" s="673"/>
      <c r="E755" s="663"/>
      <c r="F755" s="663"/>
      <c r="G755" s="663"/>
      <c r="H755" s="663"/>
      <c r="I755" s="663"/>
      <c r="J755" s="663"/>
      <c r="K755" s="663"/>
      <c r="L755" s="663"/>
      <c r="M755" s="663"/>
      <c r="N755" s="663"/>
      <c r="O755" s="663"/>
      <c r="P755" s="663"/>
      <c r="Q755" s="663"/>
      <c r="R755" s="663"/>
      <c r="S755" s="663"/>
      <c r="T755" s="663"/>
      <c r="U755" s="663"/>
      <c r="V755" s="663"/>
      <c r="W755" s="663"/>
      <c r="X755" s="663"/>
      <c r="Y755" s="663"/>
      <c r="Z755" s="663"/>
    </row>
    <row r="756">
      <c r="A756" s="670"/>
      <c r="B756" s="671"/>
      <c r="C756" s="672"/>
      <c r="D756" s="673"/>
      <c r="E756" s="663"/>
      <c r="F756" s="663"/>
      <c r="G756" s="663"/>
      <c r="H756" s="663"/>
      <c r="I756" s="663"/>
      <c r="J756" s="663"/>
      <c r="K756" s="663"/>
      <c r="L756" s="663"/>
      <c r="M756" s="663"/>
      <c r="N756" s="663"/>
      <c r="O756" s="663"/>
      <c r="P756" s="663"/>
      <c r="Q756" s="663"/>
      <c r="R756" s="663"/>
      <c r="S756" s="663"/>
      <c r="T756" s="663"/>
      <c r="U756" s="663"/>
      <c r="V756" s="663"/>
      <c r="W756" s="663"/>
      <c r="X756" s="663"/>
      <c r="Y756" s="663"/>
      <c r="Z756" s="663"/>
    </row>
    <row r="757">
      <c r="A757" s="670"/>
      <c r="B757" s="671"/>
      <c r="C757" s="672"/>
      <c r="D757" s="673"/>
      <c r="E757" s="663"/>
      <c r="F757" s="663"/>
      <c r="G757" s="663"/>
      <c r="H757" s="663"/>
      <c r="I757" s="663"/>
      <c r="J757" s="663"/>
      <c r="K757" s="663"/>
      <c r="L757" s="663"/>
      <c r="M757" s="663"/>
      <c r="N757" s="663"/>
      <c r="O757" s="663"/>
      <c r="P757" s="663"/>
      <c r="Q757" s="663"/>
      <c r="R757" s="663"/>
      <c r="S757" s="663"/>
      <c r="T757" s="663"/>
      <c r="U757" s="663"/>
      <c r="V757" s="663"/>
      <c r="W757" s="663"/>
      <c r="X757" s="663"/>
      <c r="Y757" s="663"/>
      <c r="Z757" s="663"/>
    </row>
    <row r="758">
      <c r="A758" s="670"/>
      <c r="B758" s="671"/>
      <c r="C758" s="672"/>
      <c r="D758" s="673"/>
      <c r="E758" s="663"/>
      <c r="F758" s="663"/>
      <c r="G758" s="663"/>
      <c r="H758" s="663"/>
      <c r="I758" s="663"/>
      <c r="J758" s="663"/>
      <c r="K758" s="663"/>
      <c r="L758" s="663"/>
      <c r="M758" s="663"/>
      <c r="N758" s="663"/>
      <c r="O758" s="663"/>
      <c r="P758" s="663"/>
      <c r="Q758" s="663"/>
      <c r="R758" s="663"/>
      <c r="S758" s="663"/>
      <c r="T758" s="663"/>
      <c r="U758" s="663"/>
      <c r="V758" s="663"/>
      <c r="W758" s="663"/>
      <c r="X758" s="663"/>
      <c r="Y758" s="663"/>
      <c r="Z758" s="663"/>
    </row>
    <row r="759">
      <c r="A759" s="670"/>
      <c r="B759" s="671"/>
      <c r="C759" s="672"/>
      <c r="D759" s="673"/>
      <c r="E759" s="663"/>
      <c r="F759" s="663"/>
      <c r="G759" s="663"/>
      <c r="H759" s="663"/>
      <c r="I759" s="663"/>
      <c r="J759" s="663"/>
      <c r="K759" s="663"/>
      <c r="L759" s="663"/>
      <c r="M759" s="663"/>
      <c r="N759" s="663"/>
      <c r="O759" s="663"/>
      <c r="P759" s="663"/>
      <c r="Q759" s="663"/>
      <c r="R759" s="663"/>
      <c r="S759" s="663"/>
      <c r="T759" s="663"/>
      <c r="U759" s="663"/>
      <c r="V759" s="663"/>
      <c r="W759" s="663"/>
      <c r="X759" s="663"/>
      <c r="Y759" s="663"/>
      <c r="Z759" s="663"/>
    </row>
    <row r="760">
      <c r="A760" s="670"/>
      <c r="B760" s="671"/>
      <c r="C760" s="672"/>
      <c r="D760" s="673"/>
      <c r="E760" s="663"/>
      <c r="F760" s="663"/>
      <c r="G760" s="663"/>
      <c r="H760" s="663"/>
      <c r="I760" s="663"/>
      <c r="J760" s="663"/>
      <c r="K760" s="663"/>
      <c r="L760" s="663"/>
      <c r="M760" s="663"/>
      <c r="N760" s="663"/>
      <c r="O760" s="663"/>
      <c r="P760" s="663"/>
      <c r="Q760" s="663"/>
      <c r="R760" s="663"/>
      <c r="S760" s="663"/>
      <c r="T760" s="663"/>
      <c r="U760" s="663"/>
      <c r="V760" s="663"/>
      <c r="W760" s="663"/>
      <c r="X760" s="663"/>
      <c r="Y760" s="663"/>
      <c r="Z760" s="663"/>
    </row>
    <row r="761">
      <c r="A761" s="670"/>
      <c r="B761" s="671"/>
      <c r="C761" s="672"/>
      <c r="D761" s="673"/>
      <c r="E761" s="663"/>
      <c r="F761" s="663"/>
      <c r="G761" s="663"/>
      <c r="H761" s="663"/>
      <c r="I761" s="663"/>
      <c r="J761" s="663"/>
      <c r="K761" s="663"/>
      <c r="L761" s="663"/>
      <c r="M761" s="663"/>
      <c r="N761" s="663"/>
      <c r="O761" s="663"/>
      <c r="P761" s="663"/>
      <c r="Q761" s="663"/>
      <c r="R761" s="663"/>
      <c r="S761" s="663"/>
      <c r="T761" s="663"/>
      <c r="U761" s="663"/>
      <c r="V761" s="663"/>
      <c r="W761" s="663"/>
      <c r="X761" s="663"/>
      <c r="Y761" s="663"/>
      <c r="Z761" s="663"/>
    </row>
    <row r="762">
      <c r="A762" s="670"/>
      <c r="B762" s="671"/>
      <c r="C762" s="672"/>
      <c r="D762" s="673"/>
      <c r="E762" s="663"/>
      <c r="F762" s="663"/>
      <c r="G762" s="663"/>
      <c r="H762" s="663"/>
      <c r="I762" s="663"/>
      <c r="J762" s="663"/>
      <c r="K762" s="663"/>
      <c r="L762" s="663"/>
      <c r="M762" s="663"/>
      <c r="N762" s="663"/>
      <c r="O762" s="663"/>
      <c r="P762" s="663"/>
      <c r="Q762" s="663"/>
      <c r="R762" s="663"/>
      <c r="S762" s="663"/>
      <c r="T762" s="663"/>
      <c r="U762" s="663"/>
      <c r="V762" s="663"/>
      <c r="W762" s="663"/>
      <c r="X762" s="663"/>
      <c r="Y762" s="663"/>
      <c r="Z762" s="663"/>
    </row>
    <row r="763">
      <c r="A763" s="670"/>
      <c r="B763" s="671"/>
      <c r="C763" s="672"/>
      <c r="D763" s="673"/>
      <c r="E763" s="663"/>
      <c r="F763" s="663"/>
      <c r="G763" s="663"/>
      <c r="H763" s="663"/>
      <c r="I763" s="663"/>
      <c r="J763" s="663"/>
      <c r="K763" s="663"/>
      <c r="L763" s="663"/>
      <c r="M763" s="663"/>
      <c r="N763" s="663"/>
      <c r="O763" s="663"/>
      <c r="P763" s="663"/>
      <c r="Q763" s="663"/>
      <c r="R763" s="663"/>
      <c r="S763" s="663"/>
      <c r="T763" s="663"/>
      <c r="U763" s="663"/>
      <c r="V763" s="663"/>
      <c r="W763" s="663"/>
      <c r="X763" s="663"/>
      <c r="Y763" s="663"/>
      <c r="Z763" s="663"/>
    </row>
    <row r="764">
      <c r="A764" s="670"/>
      <c r="B764" s="671"/>
      <c r="C764" s="672"/>
      <c r="D764" s="673"/>
      <c r="E764" s="663"/>
      <c r="F764" s="663"/>
      <c r="G764" s="663"/>
      <c r="H764" s="663"/>
      <c r="I764" s="663"/>
      <c r="J764" s="663"/>
      <c r="K764" s="663"/>
      <c r="L764" s="663"/>
      <c r="M764" s="663"/>
      <c r="N764" s="663"/>
      <c r="O764" s="663"/>
      <c r="P764" s="663"/>
      <c r="Q764" s="663"/>
      <c r="R764" s="663"/>
      <c r="S764" s="663"/>
      <c r="T764" s="663"/>
      <c r="U764" s="663"/>
      <c r="V764" s="663"/>
      <c r="W764" s="663"/>
      <c r="X764" s="663"/>
      <c r="Y764" s="663"/>
      <c r="Z764" s="663"/>
    </row>
    <row r="765">
      <c r="A765" s="670"/>
      <c r="B765" s="671"/>
      <c r="C765" s="672"/>
      <c r="D765" s="673"/>
      <c r="E765" s="663"/>
      <c r="F765" s="663"/>
      <c r="G765" s="663"/>
      <c r="H765" s="663"/>
      <c r="I765" s="663"/>
      <c r="J765" s="663"/>
      <c r="K765" s="663"/>
      <c r="L765" s="663"/>
      <c r="M765" s="663"/>
      <c r="N765" s="663"/>
      <c r="O765" s="663"/>
      <c r="P765" s="663"/>
      <c r="Q765" s="663"/>
      <c r="R765" s="663"/>
      <c r="S765" s="663"/>
      <c r="T765" s="663"/>
      <c r="U765" s="663"/>
      <c r="V765" s="663"/>
      <c r="W765" s="663"/>
      <c r="X765" s="663"/>
      <c r="Y765" s="663"/>
      <c r="Z765" s="663"/>
    </row>
    <row r="766">
      <c r="A766" s="670"/>
      <c r="B766" s="671"/>
      <c r="C766" s="672"/>
      <c r="D766" s="673"/>
      <c r="E766" s="663"/>
      <c r="F766" s="663"/>
      <c r="G766" s="663"/>
      <c r="H766" s="663"/>
      <c r="I766" s="663"/>
      <c r="J766" s="663"/>
      <c r="K766" s="663"/>
      <c r="L766" s="663"/>
      <c r="M766" s="663"/>
      <c r="N766" s="663"/>
      <c r="O766" s="663"/>
      <c r="P766" s="663"/>
      <c r="Q766" s="663"/>
      <c r="R766" s="663"/>
      <c r="S766" s="663"/>
      <c r="T766" s="663"/>
      <c r="U766" s="663"/>
      <c r="V766" s="663"/>
      <c r="W766" s="663"/>
      <c r="X766" s="663"/>
      <c r="Y766" s="663"/>
      <c r="Z766" s="663"/>
    </row>
    <row r="767">
      <c r="A767" s="670"/>
      <c r="B767" s="671"/>
      <c r="C767" s="672"/>
      <c r="D767" s="673"/>
      <c r="E767" s="663"/>
      <c r="F767" s="663"/>
      <c r="G767" s="663"/>
      <c r="H767" s="663"/>
      <c r="I767" s="663"/>
      <c r="J767" s="663"/>
      <c r="K767" s="663"/>
      <c r="L767" s="663"/>
      <c r="M767" s="663"/>
      <c r="N767" s="663"/>
      <c r="O767" s="663"/>
      <c r="P767" s="663"/>
      <c r="Q767" s="663"/>
      <c r="R767" s="663"/>
      <c r="S767" s="663"/>
      <c r="T767" s="663"/>
      <c r="U767" s="663"/>
      <c r="V767" s="663"/>
      <c r="W767" s="663"/>
      <c r="X767" s="663"/>
      <c r="Y767" s="663"/>
      <c r="Z767" s="663"/>
    </row>
    <row r="768">
      <c r="A768" s="670"/>
      <c r="B768" s="671"/>
      <c r="C768" s="672"/>
      <c r="D768" s="673"/>
      <c r="E768" s="663"/>
      <c r="F768" s="663"/>
      <c r="G768" s="663"/>
      <c r="H768" s="663"/>
      <c r="I768" s="663"/>
      <c r="J768" s="663"/>
      <c r="K768" s="663"/>
      <c r="L768" s="663"/>
      <c r="M768" s="663"/>
      <c r="N768" s="663"/>
      <c r="O768" s="663"/>
      <c r="P768" s="663"/>
      <c r="Q768" s="663"/>
      <c r="R768" s="663"/>
      <c r="S768" s="663"/>
      <c r="T768" s="663"/>
      <c r="U768" s="663"/>
      <c r="V768" s="663"/>
      <c r="W768" s="663"/>
      <c r="X768" s="663"/>
      <c r="Y768" s="663"/>
      <c r="Z768" s="663"/>
    </row>
    <row r="769">
      <c r="A769" s="670"/>
      <c r="B769" s="671"/>
      <c r="C769" s="672"/>
      <c r="D769" s="673"/>
      <c r="E769" s="663"/>
      <c r="F769" s="663"/>
      <c r="G769" s="663"/>
      <c r="H769" s="663"/>
      <c r="I769" s="663"/>
      <c r="J769" s="663"/>
      <c r="K769" s="663"/>
      <c r="L769" s="663"/>
      <c r="M769" s="663"/>
      <c r="N769" s="663"/>
      <c r="O769" s="663"/>
      <c r="P769" s="663"/>
      <c r="Q769" s="663"/>
      <c r="R769" s="663"/>
      <c r="S769" s="663"/>
      <c r="T769" s="663"/>
      <c r="U769" s="663"/>
      <c r="V769" s="663"/>
      <c r="W769" s="663"/>
      <c r="X769" s="663"/>
      <c r="Y769" s="663"/>
      <c r="Z769" s="663"/>
    </row>
    <row r="770">
      <c r="A770" s="670"/>
      <c r="B770" s="671"/>
      <c r="C770" s="672"/>
      <c r="D770" s="673"/>
      <c r="E770" s="663"/>
      <c r="F770" s="663"/>
      <c r="G770" s="663"/>
      <c r="H770" s="663"/>
      <c r="I770" s="663"/>
      <c r="J770" s="663"/>
      <c r="K770" s="663"/>
      <c r="L770" s="663"/>
      <c r="M770" s="663"/>
      <c r="N770" s="663"/>
      <c r="O770" s="663"/>
      <c r="P770" s="663"/>
      <c r="Q770" s="663"/>
      <c r="R770" s="663"/>
      <c r="S770" s="663"/>
      <c r="T770" s="663"/>
      <c r="U770" s="663"/>
      <c r="V770" s="663"/>
      <c r="W770" s="663"/>
      <c r="X770" s="663"/>
      <c r="Y770" s="663"/>
      <c r="Z770" s="663"/>
    </row>
    <row r="771">
      <c r="A771" s="670"/>
      <c r="B771" s="671"/>
      <c r="C771" s="672"/>
      <c r="D771" s="673"/>
      <c r="E771" s="663"/>
      <c r="F771" s="663"/>
      <c r="G771" s="663"/>
      <c r="H771" s="663"/>
      <c r="I771" s="663"/>
      <c r="J771" s="663"/>
      <c r="K771" s="663"/>
      <c r="L771" s="663"/>
      <c r="M771" s="663"/>
      <c r="N771" s="663"/>
      <c r="O771" s="663"/>
      <c r="P771" s="663"/>
      <c r="Q771" s="663"/>
      <c r="R771" s="663"/>
      <c r="S771" s="663"/>
      <c r="T771" s="663"/>
      <c r="U771" s="663"/>
      <c r="V771" s="663"/>
      <c r="W771" s="663"/>
      <c r="X771" s="663"/>
      <c r="Y771" s="663"/>
      <c r="Z771" s="663"/>
    </row>
    <row r="772">
      <c r="A772" s="670"/>
      <c r="B772" s="671"/>
      <c r="C772" s="672"/>
      <c r="D772" s="673"/>
      <c r="E772" s="663"/>
      <c r="F772" s="663"/>
      <c r="G772" s="663"/>
      <c r="H772" s="663"/>
      <c r="I772" s="663"/>
      <c r="J772" s="663"/>
      <c r="K772" s="663"/>
      <c r="L772" s="663"/>
      <c r="M772" s="663"/>
      <c r="N772" s="663"/>
      <c r="O772" s="663"/>
      <c r="P772" s="663"/>
      <c r="Q772" s="663"/>
      <c r="R772" s="663"/>
      <c r="S772" s="663"/>
      <c r="T772" s="663"/>
      <c r="U772" s="663"/>
      <c r="V772" s="663"/>
      <c r="W772" s="663"/>
      <c r="X772" s="663"/>
      <c r="Y772" s="663"/>
      <c r="Z772" s="663"/>
    </row>
    <row r="773">
      <c r="A773" s="670"/>
      <c r="B773" s="671"/>
      <c r="C773" s="672"/>
      <c r="D773" s="673"/>
      <c r="E773" s="663"/>
      <c r="F773" s="663"/>
      <c r="G773" s="663"/>
      <c r="H773" s="663"/>
      <c r="I773" s="663"/>
      <c r="J773" s="663"/>
      <c r="K773" s="663"/>
      <c r="L773" s="663"/>
      <c r="M773" s="663"/>
      <c r="N773" s="663"/>
      <c r="O773" s="663"/>
      <c r="P773" s="663"/>
      <c r="Q773" s="663"/>
      <c r="R773" s="663"/>
      <c r="S773" s="663"/>
      <c r="T773" s="663"/>
      <c r="U773" s="663"/>
      <c r="V773" s="663"/>
      <c r="W773" s="663"/>
      <c r="X773" s="663"/>
      <c r="Y773" s="663"/>
      <c r="Z773" s="663"/>
    </row>
    <row r="774">
      <c r="A774" s="670"/>
      <c r="B774" s="671"/>
      <c r="C774" s="672"/>
      <c r="D774" s="673"/>
      <c r="E774" s="663"/>
      <c r="F774" s="663"/>
      <c r="G774" s="663"/>
      <c r="H774" s="663"/>
      <c r="I774" s="663"/>
      <c r="J774" s="663"/>
      <c r="K774" s="663"/>
      <c r="L774" s="663"/>
      <c r="M774" s="663"/>
      <c r="N774" s="663"/>
      <c r="O774" s="663"/>
      <c r="P774" s="663"/>
      <c r="Q774" s="663"/>
      <c r="R774" s="663"/>
      <c r="S774" s="663"/>
      <c r="T774" s="663"/>
      <c r="U774" s="663"/>
      <c r="V774" s="663"/>
      <c r="W774" s="663"/>
      <c r="X774" s="663"/>
      <c r="Y774" s="663"/>
      <c r="Z774" s="663"/>
    </row>
    <row r="775">
      <c r="A775" s="670"/>
      <c r="B775" s="671"/>
      <c r="C775" s="672"/>
      <c r="D775" s="673"/>
      <c r="E775" s="663"/>
      <c r="F775" s="663"/>
      <c r="G775" s="663"/>
      <c r="H775" s="663"/>
      <c r="I775" s="663"/>
      <c r="J775" s="663"/>
      <c r="K775" s="663"/>
      <c r="L775" s="663"/>
      <c r="M775" s="663"/>
      <c r="N775" s="663"/>
      <c r="O775" s="663"/>
      <c r="P775" s="663"/>
      <c r="Q775" s="663"/>
      <c r="R775" s="663"/>
      <c r="S775" s="663"/>
      <c r="T775" s="663"/>
      <c r="U775" s="663"/>
      <c r="V775" s="663"/>
      <c r="W775" s="663"/>
      <c r="X775" s="663"/>
      <c r="Y775" s="663"/>
      <c r="Z775" s="663"/>
    </row>
    <row r="776">
      <c r="A776" s="670"/>
      <c r="B776" s="671"/>
      <c r="C776" s="672"/>
      <c r="D776" s="673"/>
      <c r="E776" s="663"/>
      <c r="F776" s="663"/>
      <c r="G776" s="663"/>
      <c r="H776" s="663"/>
      <c r="I776" s="663"/>
      <c r="J776" s="663"/>
      <c r="K776" s="663"/>
      <c r="L776" s="663"/>
      <c r="M776" s="663"/>
      <c r="N776" s="663"/>
      <c r="O776" s="663"/>
      <c r="P776" s="663"/>
      <c r="Q776" s="663"/>
      <c r="R776" s="663"/>
      <c r="S776" s="663"/>
      <c r="T776" s="663"/>
      <c r="U776" s="663"/>
      <c r="V776" s="663"/>
      <c r="W776" s="663"/>
      <c r="X776" s="663"/>
      <c r="Y776" s="663"/>
      <c r="Z776" s="663"/>
    </row>
    <row r="777">
      <c r="A777" s="670"/>
      <c r="B777" s="671"/>
      <c r="C777" s="672"/>
      <c r="D777" s="673"/>
      <c r="E777" s="663"/>
      <c r="F777" s="663"/>
      <c r="G777" s="663"/>
      <c r="H777" s="663"/>
      <c r="I777" s="663"/>
      <c r="J777" s="663"/>
      <c r="K777" s="663"/>
      <c r="L777" s="663"/>
      <c r="M777" s="663"/>
      <c r="N777" s="663"/>
      <c r="O777" s="663"/>
      <c r="P777" s="663"/>
      <c r="Q777" s="663"/>
      <c r="R777" s="663"/>
      <c r="S777" s="663"/>
      <c r="T777" s="663"/>
      <c r="U777" s="663"/>
      <c r="V777" s="663"/>
      <c r="W777" s="663"/>
      <c r="X777" s="663"/>
      <c r="Y777" s="663"/>
      <c r="Z777" s="663"/>
    </row>
    <row r="778">
      <c r="A778" s="670"/>
      <c r="B778" s="671"/>
      <c r="C778" s="672"/>
      <c r="D778" s="673"/>
      <c r="E778" s="663"/>
      <c r="F778" s="663"/>
      <c r="G778" s="663"/>
      <c r="H778" s="663"/>
      <c r="I778" s="663"/>
      <c r="J778" s="663"/>
      <c r="K778" s="663"/>
      <c r="L778" s="663"/>
      <c r="M778" s="663"/>
      <c r="N778" s="663"/>
      <c r="O778" s="663"/>
      <c r="P778" s="663"/>
      <c r="Q778" s="663"/>
      <c r="R778" s="663"/>
      <c r="S778" s="663"/>
      <c r="T778" s="663"/>
      <c r="U778" s="663"/>
      <c r="V778" s="663"/>
      <c r="W778" s="663"/>
      <c r="X778" s="663"/>
      <c r="Y778" s="663"/>
      <c r="Z778" s="663"/>
    </row>
    <row r="779">
      <c r="A779" s="670"/>
      <c r="B779" s="671"/>
      <c r="C779" s="672"/>
      <c r="D779" s="673"/>
      <c r="E779" s="663"/>
      <c r="F779" s="663"/>
      <c r="G779" s="663"/>
      <c r="H779" s="663"/>
      <c r="I779" s="663"/>
      <c r="J779" s="663"/>
      <c r="K779" s="663"/>
      <c r="L779" s="663"/>
      <c r="M779" s="663"/>
      <c r="N779" s="663"/>
      <c r="O779" s="663"/>
      <c r="P779" s="663"/>
      <c r="Q779" s="663"/>
      <c r="R779" s="663"/>
      <c r="S779" s="663"/>
      <c r="T779" s="663"/>
      <c r="U779" s="663"/>
      <c r="V779" s="663"/>
      <c r="W779" s="663"/>
      <c r="X779" s="663"/>
      <c r="Y779" s="663"/>
      <c r="Z779" s="663"/>
    </row>
    <row r="780">
      <c r="A780" s="670"/>
      <c r="B780" s="671"/>
      <c r="C780" s="672"/>
      <c r="D780" s="673"/>
      <c r="E780" s="663"/>
      <c r="F780" s="663"/>
      <c r="G780" s="663"/>
      <c r="H780" s="663"/>
      <c r="I780" s="663"/>
      <c r="J780" s="663"/>
      <c r="K780" s="663"/>
      <c r="L780" s="663"/>
      <c r="M780" s="663"/>
      <c r="N780" s="663"/>
      <c r="O780" s="663"/>
      <c r="P780" s="663"/>
      <c r="Q780" s="663"/>
      <c r="R780" s="663"/>
      <c r="S780" s="663"/>
      <c r="T780" s="663"/>
      <c r="U780" s="663"/>
      <c r="V780" s="663"/>
      <c r="W780" s="663"/>
      <c r="X780" s="663"/>
      <c r="Y780" s="663"/>
      <c r="Z780" s="663"/>
    </row>
    <row r="781">
      <c r="A781" s="670"/>
      <c r="B781" s="671"/>
      <c r="C781" s="672"/>
      <c r="D781" s="673"/>
      <c r="E781" s="663"/>
      <c r="F781" s="663"/>
      <c r="G781" s="663"/>
      <c r="H781" s="663"/>
      <c r="I781" s="663"/>
      <c r="J781" s="663"/>
      <c r="K781" s="663"/>
      <c r="L781" s="663"/>
      <c r="M781" s="663"/>
      <c r="N781" s="663"/>
      <c r="O781" s="663"/>
      <c r="P781" s="663"/>
      <c r="Q781" s="663"/>
      <c r="R781" s="663"/>
      <c r="S781" s="663"/>
      <c r="T781" s="663"/>
      <c r="U781" s="663"/>
      <c r="V781" s="663"/>
      <c r="W781" s="663"/>
      <c r="X781" s="663"/>
      <c r="Y781" s="663"/>
      <c r="Z781" s="663"/>
    </row>
    <row r="782">
      <c r="A782" s="670"/>
      <c r="B782" s="671"/>
      <c r="C782" s="672"/>
      <c r="D782" s="673"/>
      <c r="E782" s="663"/>
      <c r="F782" s="663"/>
      <c r="G782" s="663"/>
      <c r="H782" s="663"/>
      <c r="I782" s="663"/>
      <c r="J782" s="663"/>
      <c r="K782" s="663"/>
      <c r="L782" s="663"/>
      <c r="M782" s="663"/>
      <c r="N782" s="663"/>
      <c r="O782" s="663"/>
      <c r="P782" s="663"/>
      <c r="Q782" s="663"/>
      <c r="R782" s="663"/>
      <c r="S782" s="663"/>
      <c r="T782" s="663"/>
      <c r="U782" s="663"/>
      <c r="V782" s="663"/>
      <c r="W782" s="663"/>
      <c r="X782" s="663"/>
      <c r="Y782" s="663"/>
      <c r="Z782" s="663"/>
    </row>
    <row r="783">
      <c r="A783" s="670"/>
      <c r="B783" s="671"/>
      <c r="C783" s="672"/>
      <c r="D783" s="673"/>
      <c r="E783" s="663"/>
      <c r="F783" s="663"/>
      <c r="G783" s="663"/>
      <c r="H783" s="663"/>
      <c r="I783" s="663"/>
      <c r="J783" s="663"/>
      <c r="K783" s="663"/>
      <c r="L783" s="663"/>
      <c r="M783" s="663"/>
      <c r="N783" s="663"/>
      <c r="O783" s="663"/>
      <c r="P783" s="663"/>
      <c r="Q783" s="663"/>
      <c r="R783" s="663"/>
      <c r="S783" s="663"/>
      <c r="T783" s="663"/>
      <c r="U783" s="663"/>
      <c r="V783" s="663"/>
      <c r="W783" s="663"/>
      <c r="X783" s="663"/>
      <c r="Y783" s="663"/>
      <c r="Z783" s="663"/>
    </row>
    <row r="784">
      <c r="A784" s="670"/>
      <c r="B784" s="671"/>
      <c r="C784" s="672"/>
      <c r="D784" s="673"/>
      <c r="E784" s="663"/>
      <c r="F784" s="663"/>
      <c r="G784" s="663"/>
      <c r="H784" s="663"/>
      <c r="I784" s="663"/>
      <c r="J784" s="663"/>
      <c r="K784" s="663"/>
      <c r="L784" s="663"/>
      <c r="M784" s="663"/>
      <c r="N784" s="663"/>
      <c r="O784" s="663"/>
      <c r="P784" s="663"/>
      <c r="Q784" s="663"/>
      <c r="R784" s="663"/>
      <c r="S784" s="663"/>
      <c r="T784" s="663"/>
      <c r="U784" s="663"/>
      <c r="V784" s="663"/>
      <c r="W784" s="663"/>
      <c r="X784" s="663"/>
      <c r="Y784" s="663"/>
      <c r="Z784" s="663"/>
    </row>
    <row r="785">
      <c r="A785" s="670"/>
      <c r="B785" s="671"/>
      <c r="C785" s="672"/>
      <c r="D785" s="673"/>
      <c r="E785" s="663"/>
      <c r="F785" s="663"/>
      <c r="G785" s="663"/>
      <c r="H785" s="663"/>
      <c r="I785" s="663"/>
      <c r="J785" s="663"/>
      <c r="K785" s="663"/>
      <c r="L785" s="663"/>
      <c r="M785" s="663"/>
      <c r="N785" s="663"/>
      <c r="O785" s="663"/>
      <c r="P785" s="663"/>
      <c r="Q785" s="663"/>
      <c r="R785" s="663"/>
      <c r="S785" s="663"/>
      <c r="T785" s="663"/>
      <c r="U785" s="663"/>
      <c r="V785" s="663"/>
      <c r="W785" s="663"/>
      <c r="X785" s="663"/>
      <c r="Y785" s="663"/>
      <c r="Z785" s="663"/>
    </row>
    <row r="786">
      <c r="A786" s="670"/>
      <c r="B786" s="671"/>
      <c r="C786" s="672"/>
      <c r="D786" s="673"/>
      <c r="E786" s="663"/>
      <c r="F786" s="663"/>
      <c r="G786" s="663"/>
      <c r="H786" s="663"/>
      <c r="I786" s="663"/>
      <c r="J786" s="663"/>
      <c r="K786" s="663"/>
      <c r="L786" s="663"/>
      <c r="M786" s="663"/>
      <c r="N786" s="663"/>
      <c r="O786" s="663"/>
      <c r="P786" s="663"/>
      <c r="Q786" s="663"/>
      <c r="R786" s="663"/>
      <c r="S786" s="663"/>
      <c r="T786" s="663"/>
      <c r="U786" s="663"/>
      <c r="V786" s="663"/>
      <c r="W786" s="663"/>
      <c r="X786" s="663"/>
      <c r="Y786" s="663"/>
      <c r="Z786" s="663"/>
    </row>
    <row r="787">
      <c r="A787" s="670"/>
      <c r="B787" s="671"/>
      <c r="C787" s="672"/>
      <c r="D787" s="673"/>
      <c r="E787" s="663"/>
      <c r="F787" s="663"/>
      <c r="G787" s="663"/>
      <c r="H787" s="663"/>
      <c r="I787" s="663"/>
      <c r="J787" s="663"/>
      <c r="K787" s="663"/>
      <c r="L787" s="663"/>
      <c r="M787" s="663"/>
      <c r="N787" s="663"/>
      <c r="O787" s="663"/>
      <c r="P787" s="663"/>
      <c r="Q787" s="663"/>
      <c r="R787" s="663"/>
      <c r="S787" s="663"/>
      <c r="T787" s="663"/>
      <c r="U787" s="663"/>
      <c r="V787" s="663"/>
      <c r="W787" s="663"/>
      <c r="X787" s="663"/>
      <c r="Y787" s="663"/>
      <c r="Z787" s="663"/>
    </row>
    <row r="788">
      <c r="A788" s="670"/>
      <c r="B788" s="671"/>
      <c r="C788" s="672"/>
      <c r="D788" s="673"/>
      <c r="E788" s="663"/>
      <c r="F788" s="663"/>
      <c r="G788" s="663"/>
      <c r="H788" s="663"/>
      <c r="I788" s="663"/>
      <c r="J788" s="663"/>
      <c r="K788" s="663"/>
      <c r="L788" s="663"/>
      <c r="M788" s="663"/>
      <c r="N788" s="663"/>
      <c r="O788" s="663"/>
      <c r="P788" s="663"/>
      <c r="Q788" s="663"/>
      <c r="R788" s="663"/>
      <c r="S788" s="663"/>
      <c r="T788" s="663"/>
      <c r="U788" s="663"/>
      <c r="V788" s="663"/>
      <c r="W788" s="663"/>
      <c r="X788" s="663"/>
      <c r="Y788" s="663"/>
      <c r="Z788" s="663"/>
    </row>
    <row r="789">
      <c r="A789" s="670"/>
      <c r="B789" s="671"/>
      <c r="C789" s="672"/>
      <c r="D789" s="673"/>
      <c r="E789" s="663"/>
      <c r="F789" s="663"/>
      <c r="G789" s="663"/>
      <c r="H789" s="663"/>
      <c r="I789" s="663"/>
      <c r="J789" s="663"/>
      <c r="K789" s="663"/>
      <c r="L789" s="663"/>
      <c r="M789" s="663"/>
      <c r="N789" s="663"/>
      <c r="O789" s="663"/>
      <c r="P789" s="663"/>
      <c r="Q789" s="663"/>
      <c r="R789" s="663"/>
      <c r="S789" s="663"/>
      <c r="T789" s="663"/>
      <c r="U789" s="663"/>
      <c r="V789" s="663"/>
      <c r="W789" s="663"/>
      <c r="X789" s="663"/>
      <c r="Y789" s="663"/>
      <c r="Z789" s="663"/>
    </row>
    <row r="790">
      <c r="A790" s="670"/>
      <c r="B790" s="671"/>
      <c r="C790" s="672"/>
      <c r="D790" s="673"/>
      <c r="E790" s="663"/>
      <c r="F790" s="663"/>
      <c r="G790" s="663"/>
      <c r="H790" s="663"/>
      <c r="I790" s="663"/>
      <c r="J790" s="663"/>
      <c r="K790" s="663"/>
      <c r="L790" s="663"/>
      <c r="M790" s="663"/>
      <c r="N790" s="663"/>
      <c r="O790" s="663"/>
      <c r="P790" s="663"/>
      <c r="Q790" s="663"/>
      <c r="R790" s="663"/>
      <c r="S790" s="663"/>
      <c r="T790" s="663"/>
      <c r="U790" s="663"/>
      <c r="V790" s="663"/>
      <c r="W790" s="663"/>
      <c r="X790" s="663"/>
      <c r="Y790" s="663"/>
      <c r="Z790" s="663"/>
    </row>
    <row r="791">
      <c r="A791" s="670"/>
      <c r="B791" s="671"/>
      <c r="C791" s="672"/>
      <c r="D791" s="673"/>
      <c r="E791" s="663"/>
      <c r="F791" s="663"/>
      <c r="G791" s="663"/>
      <c r="H791" s="663"/>
      <c r="I791" s="663"/>
      <c r="J791" s="663"/>
      <c r="K791" s="663"/>
      <c r="L791" s="663"/>
      <c r="M791" s="663"/>
      <c r="N791" s="663"/>
      <c r="O791" s="663"/>
      <c r="P791" s="663"/>
      <c r="Q791" s="663"/>
      <c r="R791" s="663"/>
      <c r="S791" s="663"/>
      <c r="T791" s="663"/>
      <c r="U791" s="663"/>
      <c r="V791" s="663"/>
      <c r="W791" s="663"/>
      <c r="X791" s="663"/>
      <c r="Y791" s="663"/>
      <c r="Z791" s="663"/>
    </row>
    <row r="792">
      <c r="A792" s="670"/>
      <c r="B792" s="671"/>
      <c r="C792" s="672"/>
      <c r="D792" s="673"/>
      <c r="E792" s="663"/>
      <c r="F792" s="663"/>
      <c r="G792" s="663"/>
      <c r="H792" s="663"/>
      <c r="I792" s="663"/>
      <c r="J792" s="663"/>
      <c r="K792" s="663"/>
      <c r="L792" s="663"/>
      <c r="M792" s="663"/>
      <c r="N792" s="663"/>
      <c r="O792" s="663"/>
      <c r="P792" s="663"/>
      <c r="Q792" s="663"/>
      <c r="R792" s="663"/>
      <c r="S792" s="663"/>
      <c r="T792" s="663"/>
      <c r="U792" s="663"/>
      <c r="V792" s="663"/>
      <c r="W792" s="663"/>
      <c r="X792" s="663"/>
      <c r="Y792" s="663"/>
      <c r="Z792" s="663"/>
    </row>
    <row r="793">
      <c r="A793" s="670"/>
      <c r="B793" s="671"/>
      <c r="C793" s="672"/>
      <c r="D793" s="673"/>
      <c r="E793" s="663"/>
      <c r="F793" s="663"/>
      <c r="G793" s="663"/>
      <c r="H793" s="663"/>
      <c r="I793" s="663"/>
      <c r="J793" s="663"/>
      <c r="K793" s="663"/>
      <c r="L793" s="663"/>
      <c r="M793" s="663"/>
      <c r="N793" s="663"/>
      <c r="O793" s="663"/>
      <c r="P793" s="663"/>
      <c r="Q793" s="663"/>
      <c r="R793" s="663"/>
      <c r="S793" s="663"/>
      <c r="T793" s="663"/>
      <c r="U793" s="663"/>
      <c r="V793" s="663"/>
      <c r="W793" s="663"/>
      <c r="X793" s="663"/>
      <c r="Y793" s="663"/>
      <c r="Z793" s="663"/>
    </row>
    <row r="794">
      <c r="A794" s="670"/>
      <c r="B794" s="671"/>
      <c r="C794" s="672"/>
      <c r="D794" s="673"/>
      <c r="E794" s="663"/>
      <c r="F794" s="663"/>
      <c r="G794" s="663"/>
      <c r="H794" s="663"/>
      <c r="I794" s="663"/>
      <c r="J794" s="663"/>
      <c r="K794" s="663"/>
      <c r="L794" s="663"/>
      <c r="M794" s="663"/>
      <c r="N794" s="663"/>
      <c r="O794" s="663"/>
      <c r="P794" s="663"/>
      <c r="Q794" s="663"/>
      <c r="R794" s="663"/>
      <c r="S794" s="663"/>
      <c r="T794" s="663"/>
      <c r="U794" s="663"/>
      <c r="V794" s="663"/>
      <c r="W794" s="663"/>
      <c r="X794" s="663"/>
      <c r="Y794" s="663"/>
      <c r="Z794" s="663"/>
    </row>
    <row r="795">
      <c r="A795" s="670"/>
      <c r="B795" s="671"/>
      <c r="C795" s="672"/>
      <c r="D795" s="673"/>
      <c r="E795" s="663"/>
      <c r="F795" s="663"/>
      <c r="G795" s="663"/>
      <c r="H795" s="663"/>
      <c r="I795" s="663"/>
      <c r="J795" s="663"/>
      <c r="K795" s="663"/>
      <c r="L795" s="663"/>
      <c r="M795" s="663"/>
      <c r="N795" s="663"/>
      <c r="O795" s="663"/>
      <c r="P795" s="663"/>
      <c r="Q795" s="663"/>
      <c r="R795" s="663"/>
      <c r="S795" s="663"/>
      <c r="T795" s="663"/>
      <c r="U795" s="663"/>
      <c r="V795" s="663"/>
      <c r="W795" s="663"/>
      <c r="X795" s="663"/>
      <c r="Y795" s="663"/>
      <c r="Z795" s="663"/>
    </row>
    <row r="796">
      <c r="A796" s="670"/>
      <c r="B796" s="671"/>
      <c r="C796" s="672"/>
      <c r="D796" s="673"/>
      <c r="E796" s="663"/>
      <c r="F796" s="663"/>
      <c r="G796" s="663"/>
      <c r="H796" s="663"/>
      <c r="I796" s="663"/>
      <c r="J796" s="663"/>
      <c r="K796" s="663"/>
      <c r="L796" s="663"/>
      <c r="M796" s="663"/>
      <c r="N796" s="663"/>
      <c r="O796" s="663"/>
      <c r="P796" s="663"/>
      <c r="Q796" s="663"/>
      <c r="R796" s="663"/>
      <c r="S796" s="663"/>
      <c r="T796" s="663"/>
      <c r="U796" s="663"/>
      <c r="V796" s="663"/>
      <c r="W796" s="663"/>
      <c r="X796" s="663"/>
      <c r="Y796" s="663"/>
      <c r="Z796" s="663"/>
    </row>
    <row r="797">
      <c r="A797" s="670"/>
      <c r="B797" s="671"/>
      <c r="C797" s="672"/>
      <c r="D797" s="673"/>
      <c r="E797" s="663"/>
      <c r="F797" s="663"/>
      <c r="G797" s="663"/>
      <c r="H797" s="663"/>
      <c r="I797" s="663"/>
      <c r="J797" s="663"/>
      <c r="K797" s="663"/>
      <c r="L797" s="663"/>
      <c r="M797" s="663"/>
      <c r="N797" s="663"/>
      <c r="O797" s="663"/>
      <c r="P797" s="663"/>
      <c r="Q797" s="663"/>
      <c r="R797" s="663"/>
      <c r="S797" s="663"/>
      <c r="T797" s="663"/>
      <c r="U797" s="663"/>
      <c r="V797" s="663"/>
      <c r="W797" s="663"/>
      <c r="X797" s="663"/>
      <c r="Y797" s="663"/>
      <c r="Z797" s="663"/>
    </row>
    <row r="798">
      <c r="A798" s="670"/>
      <c r="B798" s="671"/>
      <c r="C798" s="672"/>
      <c r="D798" s="673"/>
      <c r="E798" s="663"/>
      <c r="F798" s="663"/>
      <c r="G798" s="663"/>
      <c r="H798" s="663"/>
      <c r="I798" s="663"/>
      <c r="J798" s="663"/>
      <c r="K798" s="663"/>
      <c r="L798" s="663"/>
      <c r="M798" s="663"/>
      <c r="N798" s="663"/>
      <c r="O798" s="663"/>
      <c r="P798" s="663"/>
      <c r="Q798" s="663"/>
      <c r="R798" s="663"/>
      <c r="S798" s="663"/>
      <c r="T798" s="663"/>
      <c r="U798" s="663"/>
      <c r="V798" s="663"/>
      <c r="W798" s="663"/>
      <c r="X798" s="663"/>
      <c r="Y798" s="663"/>
      <c r="Z798" s="663"/>
    </row>
    <row r="799">
      <c r="A799" s="670"/>
      <c r="B799" s="671"/>
      <c r="C799" s="672"/>
      <c r="D799" s="673"/>
      <c r="E799" s="663"/>
      <c r="F799" s="663"/>
      <c r="G799" s="663"/>
      <c r="H799" s="663"/>
      <c r="I799" s="663"/>
      <c r="J799" s="663"/>
      <c r="K799" s="663"/>
      <c r="L799" s="663"/>
      <c r="M799" s="663"/>
      <c r="N799" s="663"/>
      <c r="O799" s="663"/>
      <c r="P799" s="663"/>
      <c r="Q799" s="663"/>
      <c r="R799" s="663"/>
      <c r="S799" s="663"/>
      <c r="T799" s="663"/>
      <c r="U799" s="663"/>
      <c r="V799" s="663"/>
      <c r="W799" s="663"/>
      <c r="X799" s="663"/>
      <c r="Y799" s="663"/>
      <c r="Z799" s="663"/>
    </row>
    <row r="800">
      <c r="A800" s="670"/>
      <c r="B800" s="671"/>
      <c r="C800" s="672"/>
      <c r="D800" s="673"/>
      <c r="E800" s="663"/>
      <c r="F800" s="663"/>
      <c r="G800" s="663"/>
      <c r="H800" s="663"/>
      <c r="I800" s="663"/>
      <c r="J800" s="663"/>
      <c r="K800" s="663"/>
      <c r="L800" s="663"/>
      <c r="M800" s="663"/>
      <c r="N800" s="663"/>
      <c r="O800" s="663"/>
      <c r="P800" s="663"/>
      <c r="Q800" s="663"/>
      <c r="R800" s="663"/>
      <c r="S800" s="663"/>
      <c r="T800" s="663"/>
      <c r="U800" s="663"/>
      <c r="V800" s="663"/>
      <c r="W800" s="663"/>
      <c r="X800" s="663"/>
      <c r="Y800" s="663"/>
      <c r="Z800" s="663"/>
    </row>
    <row r="801">
      <c r="A801" s="670"/>
      <c r="B801" s="671"/>
      <c r="C801" s="672"/>
      <c r="D801" s="673"/>
      <c r="E801" s="663"/>
      <c r="F801" s="663"/>
      <c r="G801" s="663"/>
      <c r="H801" s="663"/>
      <c r="I801" s="663"/>
      <c r="J801" s="663"/>
      <c r="K801" s="663"/>
      <c r="L801" s="663"/>
      <c r="M801" s="663"/>
      <c r="N801" s="663"/>
      <c r="O801" s="663"/>
      <c r="P801" s="663"/>
      <c r="Q801" s="663"/>
      <c r="R801" s="663"/>
      <c r="S801" s="663"/>
      <c r="T801" s="663"/>
      <c r="U801" s="663"/>
      <c r="V801" s="663"/>
      <c r="W801" s="663"/>
      <c r="X801" s="663"/>
      <c r="Y801" s="663"/>
      <c r="Z801" s="663"/>
    </row>
    <row r="802">
      <c r="A802" s="670"/>
      <c r="B802" s="671"/>
      <c r="C802" s="672"/>
      <c r="D802" s="673"/>
      <c r="E802" s="663"/>
      <c r="F802" s="663"/>
      <c r="G802" s="663"/>
      <c r="H802" s="663"/>
      <c r="I802" s="663"/>
      <c r="J802" s="663"/>
      <c r="K802" s="663"/>
      <c r="L802" s="663"/>
      <c r="M802" s="663"/>
      <c r="N802" s="663"/>
      <c r="O802" s="663"/>
      <c r="P802" s="663"/>
      <c r="Q802" s="663"/>
      <c r="R802" s="663"/>
      <c r="S802" s="663"/>
      <c r="T802" s="663"/>
      <c r="U802" s="663"/>
      <c r="V802" s="663"/>
      <c r="W802" s="663"/>
      <c r="X802" s="663"/>
      <c r="Y802" s="663"/>
      <c r="Z802" s="663"/>
    </row>
    <row r="803">
      <c r="A803" s="670"/>
      <c r="B803" s="671"/>
      <c r="C803" s="672"/>
      <c r="D803" s="673"/>
      <c r="E803" s="663"/>
      <c r="F803" s="663"/>
      <c r="G803" s="663"/>
      <c r="H803" s="663"/>
      <c r="I803" s="663"/>
      <c r="J803" s="663"/>
      <c r="K803" s="663"/>
      <c r="L803" s="663"/>
      <c r="M803" s="663"/>
      <c r="N803" s="663"/>
      <c r="O803" s="663"/>
      <c r="P803" s="663"/>
      <c r="Q803" s="663"/>
      <c r="R803" s="663"/>
      <c r="S803" s="663"/>
      <c r="T803" s="663"/>
      <c r="U803" s="663"/>
      <c r="V803" s="663"/>
      <c r="W803" s="663"/>
      <c r="X803" s="663"/>
      <c r="Y803" s="663"/>
      <c r="Z803" s="663"/>
    </row>
    <row r="804">
      <c r="A804" s="670"/>
      <c r="B804" s="671"/>
      <c r="C804" s="672"/>
      <c r="D804" s="673"/>
      <c r="E804" s="663"/>
      <c r="F804" s="663"/>
      <c r="G804" s="663"/>
      <c r="H804" s="663"/>
      <c r="I804" s="663"/>
      <c r="J804" s="663"/>
      <c r="K804" s="663"/>
      <c r="L804" s="663"/>
      <c r="M804" s="663"/>
      <c r="N804" s="663"/>
      <c r="O804" s="663"/>
      <c r="P804" s="663"/>
      <c r="Q804" s="663"/>
      <c r="R804" s="663"/>
      <c r="S804" s="663"/>
      <c r="T804" s="663"/>
      <c r="U804" s="663"/>
      <c r="V804" s="663"/>
      <c r="W804" s="663"/>
      <c r="X804" s="663"/>
      <c r="Y804" s="663"/>
      <c r="Z804" s="663"/>
    </row>
    <row r="805">
      <c r="A805" s="670"/>
      <c r="B805" s="671"/>
      <c r="C805" s="672"/>
      <c r="D805" s="673"/>
      <c r="E805" s="663"/>
      <c r="F805" s="663"/>
      <c r="G805" s="663"/>
      <c r="H805" s="663"/>
      <c r="I805" s="663"/>
      <c r="J805" s="663"/>
      <c r="K805" s="663"/>
      <c r="L805" s="663"/>
      <c r="M805" s="663"/>
      <c r="N805" s="663"/>
      <c r="O805" s="663"/>
      <c r="P805" s="663"/>
      <c r="Q805" s="663"/>
      <c r="R805" s="663"/>
      <c r="S805" s="663"/>
      <c r="T805" s="663"/>
      <c r="U805" s="663"/>
      <c r="V805" s="663"/>
      <c r="W805" s="663"/>
      <c r="X805" s="663"/>
      <c r="Y805" s="663"/>
      <c r="Z805" s="663"/>
    </row>
    <row r="806">
      <c r="A806" s="670"/>
      <c r="B806" s="671"/>
      <c r="C806" s="672"/>
      <c r="D806" s="673"/>
      <c r="E806" s="663"/>
      <c r="F806" s="663"/>
      <c r="G806" s="663"/>
      <c r="H806" s="663"/>
      <c r="I806" s="663"/>
      <c r="J806" s="663"/>
      <c r="K806" s="663"/>
      <c r="L806" s="663"/>
      <c r="M806" s="663"/>
      <c r="N806" s="663"/>
      <c r="O806" s="663"/>
      <c r="P806" s="663"/>
      <c r="Q806" s="663"/>
      <c r="R806" s="663"/>
      <c r="S806" s="663"/>
      <c r="T806" s="663"/>
      <c r="U806" s="663"/>
      <c r="V806" s="663"/>
      <c r="W806" s="663"/>
      <c r="X806" s="663"/>
      <c r="Y806" s="663"/>
      <c r="Z806" s="663"/>
    </row>
    <row r="807">
      <c r="A807" s="670"/>
      <c r="B807" s="671"/>
      <c r="C807" s="672"/>
      <c r="D807" s="673"/>
      <c r="E807" s="663"/>
      <c r="F807" s="663"/>
      <c r="G807" s="663"/>
      <c r="H807" s="663"/>
      <c r="I807" s="663"/>
      <c r="J807" s="663"/>
      <c r="K807" s="663"/>
      <c r="L807" s="663"/>
      <c r="M807" s="663"/>
      <c r="N807" s="663"/>
      <c r="O807" s="663"/>
      <c r="P807" s="663"/>
      <c r="Q807" s="663"/>
      <c r="R807" s="663"/>
      <c r="S807" s="663"/>
      <c r="T807" s="663"/>
      <c r="U807" s="663"/>
      <c r="V807" s="663"/>
      <c r="W807" s="663"/>
      <c r="X807" s="663"/>
      <c r="Y807" s="663"/>
      <c r="Z807" s="663"/>
    </row>
    <row r="808">
      <c r="A808" s="670"/>
      <c r="B808" s="671"/>
      <c r="C808" s="672"/>
      <c r="D808" s="673"/>
      <c r="E808" s="663"/>
      <c r="F808" s="663"/>
      <c r="G808" s="663"/>
      <c r="H808" s="663"/>
      <c r="I808" s="663"/>
      <c r="J808" s="663"/>
      <c r="K808" s="663"/>
      <c r="L808" s="663"/>
      <c r="M808" s="663"/>
      <c r="N808" s="663"/>
      <c r="O808" s="663"/>
      <c r="P808" s="663"/>
      <c r="Q808" s="663"/>
      <c r="R808" s="663"/>
      <c r="S808" s="663"/>
      <c r="T808" s="663"/>
      <c r="U808" s="663"/>
      <c r="V808" s="663"/>
      <c r="W808" s="663"/>
      <c r="X808" s="663"/>
      <c r="Y808" s="663"/>
      <c r="Z808" s="663"/>
    </row>
    <row r="809">
      <c r="A809" s="670"/>
      <c r="B809" s="671"/>
      <c r="C809" s="672"/>
      <c r="D809" s="673"/>
      <c r="E809" s="663"/>
      <c r="F809" s="663"/>
      <c r="G809" s="663"/>
      <c r="H809" s="663"/>
      <c r="I809" s="663"/>
      <c r="J809" s="663"/>
      <c r="K809" s="663"/>
      <c r="L809" s="663"/>
      <c r="M809" s="663"/>
      <c r="N809" s="663"/>
      <c r="O809" s="663"/>
      <c r="P809" s="663"/>
      <c r="Q809" s="663"/>
      <c r="R809" s="663"/>
      <c r="S809" s="663"/>
      <c r="T809" s="663"/>
      <c r="U809" s="663"/>
      <c r="V809" s="663"/>
      <c r="W809" s="663"/>
      <c r="X809" s="663"/>
      <c r="Y809" s="663"/>
      <c r="Z809" s="663"/>
    </row>
    <row r="810">
      <c r="A810" s="670"/>
      <c r="B810" s="671"/>
      <c r="C810" s="672"/>
      <c r="D810" s="673"/>
      <c r="E810" s="663"/>
      <c r="F810" s="663"/>
      <c r="G810" s="663"/>
      <c r="H810" s="663"/>
      <c r="I810" s="663"/>
      <c r="J810" s="663"/>
      <c r="K810" s="663"/>
      <c r="L810" s="663"/>
      <c r="M810" s="663"/>
      <c r="N810" s="663"/>
      <c r="O810" s="663"/>
      <c r="P810" s="663"/>
      <c r="Q810" s="663"/>
      <c r="R810" s="663"/>
      <c r="S810" s="663"/>
      <c r="T810" s="663"/>
      <c r="U810" s="663"/>
      <c r="V810" s="663"/>
      <c r="W810" s="663"/>
      <c r="X810" s="663"/>
      <c r="Y810" s="663"/>
      <c r="Z810" s="663"/>
    </row>
    <row r="811">
      <c r="A811" s="670"/>
      <c r="B811" s="671"/>
      <c r="C811" s="672"/>
      <c r="D811" s="673"/>
      <c r="E811" s="663"/>
      <c r="F811" s="663"/>
      <c r="G811" s="663"/>
      <c r="H811" s="663"/>
      <c r="I811" s="663"/>
      <c r="J811" s="663"/>
      <c r="K811" s="663"/>
      <c r="L811" s="663"/>
      <c r="M811" s="663"/>
      <c r="N811" s="663"/>
      <c r="O811" s="663"/>
      <c r="P811" s="663"/>
      <c r="Q811" s="663"/>
      <c r="R811" s="663"/>
      <c r="S811" s="663"/>
      <c r="T811" s="663"/>
      <c r="U811" s="663"/>
      <c r="V811" s="663"/>
      <c r="W811" s="663"/>
      <c r="X811" s="663"/>
      <c r="Y811" s="663"/>
      <c r="Z811" s="663"/>
    </row>
    <row r="812">
      <c r="A812" s="670"/>
      <c r="B812" s="671"/>
      <c r="C812" s="672"/>
      <c r="D812" s="673"/>
      <c r="E812" s="663"/>
      <c r="F812" s="663"/>
      <c r="G812" s="663"/>
      <c r="H812" s="663"/>
      <c r="I812" s="663"/>
      <c r="J812" s="663"/>
      <c r="K812" s="663"/>
      <c r="L812" s="663"/>
      <c r="M812" s="663"/>
      <c r="N812" s="663"/>
      <c r="O812" s="663"/>
      <c r="P812" s="663"/>
      <c r="Q812" s="663"/>
      <c r="R812" s="663"/>
      <c r="S812" s="663"/>
      <c r="T812" s="663"/>
      <c r="U812" s="663"/>
      <c r="V812" s="663"/>
      <c r="W812" s="663"/>
      <c r="X812" s="663"/>
      <c r="Y812" s="663"/>
      <c r="Z812" s="663"/>
    </row>
    <row r="813">
      <c r="A813" s="670"/>
      <c r="B813" s="671"/>
      <c r="C813" s="672"/>
      <c r="D813" s="673"/>
      <c r="E813" s="663"/>
      <c r="F813" s="663"/>
      <c r="G813" s="663"/>
      <c r="H813" s="663"/>
      <c r="I813" s="663"/>
      <c r="J813" s="663"/>
      <c r="K813" s="663"/>
      <c r="L813" s="663"/>
      <c r="M813" s="663"/>
      <c r="N813" s="663"/>
      <c r="O813" s="663"/>
      <c r="P813" s="663"/>
      <c r="Q813" s="663"/>
      <c r="R813" s="663"/>
      <c r="S813" s="663"/>
      <c r="T813" s="663"/>
      <c r="U813" s="663"/>
      <c r="V813" s="663"/>
      <c r="W813" s="663"/>
      <c r="X813" s="663"/>
      <c r="Y813" s="663"/>
      <c r="Z813" s="663"/>
    </row>
    <row r="814">
      <c r="A814" s="670"/>
      <c r="B814" s="671"/>
      <c r="C814" s="672"/>
      <c r="D814" s="673"/>
      <c r="E814" s="663"/>
      <c r="F814" s="663"/>
      <c r="G814" s="663"/>
      <c r="H814" s="663"/>
      <c r="I814" s="663"/>
      <c r="J814" s="663"/>
      <c r="K814" s="663"/>
      <c r="L814" s="663"/>
      <c r="M814" s="663"/>
      <c r="N814" s="663"/>
      <c r="O814" s="663"/>
      <c r="P814" s="663"/>
      <c r="Q814" s="663"/>
      <c r="R814" s="663"/>
      <c r="S814" s="663"/>
      <c r="T814" s="663"/>
      <c r="U814" s="663"/>
      <c r="V814" s="663"/>
      <c r="W814" s="663"/>
      <c r="X814" s="663"/>
      <c r="Y814" s="663"/>
      <c r="Z814" s="663"/>
    </row>
    <row r="815">
      <c r="A815" s="670"/>
      <c r="B815" s="671"/>
      <c r="C815" s="672"/>
      <c r="D815" s="673"/>
      <c r="E815" s="663"/>
      <c r="F815" s="663"/>
      <c r="G815" s="663"/>
      <c r="H815" s="663"/>
      <c r="I815" s="663"/>
      <c r="J815" s="663"/>
      <c r="K815" s="663"/>
      <c r="L815" s="663"/>
      <c r="M815" s="663"/>
      <c r="N815" s="663"/>
      <c r="O815" s="663"/>
      <c r="P815" s="663"/>
      <c r="Q815" s="663"/>
      <c r="R815" s="663"/>
      <c r="S815" s="663"/>
      <c r="T815" s="663"/>
      <c r="U815" s="663"/>
      <c r="V815" s="663"/>
      <c r="W815" s="663"/>
      <c r="X815" s="663"/>
      <c r="Y815" s="663"/>
      <c r="Z815" s="663"/>
    </row>
    <row r="816">
      <c r="A816" s="670"/>
      <c r="B816" s="671"/>
      <c r="C816" s="672"/>
      <c r="D816" s="673"/>
      <c r="E816" s="663"/>
      <c r="F816" s="663"/>
      <c r="G816" s="663"/>
      <c r="H816" s="663"/>
      <c r="I816" s="663"/>
      <c r="J816" s="663"/>
      <c r="K816" s="663"/>
      <c r="L816" s="663"/>
      <c r="M816" s="663"/>
      <c r="N816" s="663"/>
      <c r="O816" s="663"/>
      <c r="P816" s="663"/>
      <c r="Q816" s="663"/>
      <c r="R816" s="663"/>
      <c r="S816" s="663"/>
      <c r="T816" s="663"/>
      <c r="U816" s="663"/>
      <c r="V816" s="663"/>
      <c r="W816" s="663"/>
      <c r="X816" s="663"/>
      <c r="Y816" s="663"/>
      <c r="Z816" s="663"/>
    </row>
    <row r="817">
      <c r="A817" s="670"/>
      <c r="B817" s="671"/>
      <c r="C817" s="672"/>
      <c r="D817" s="673"/>
      <c r="E817" s="663"/>
      <c r="F817" s="663"/>
      <c r="G817" s="663"/>
      <c r="H817" s="663"/>
      <c r="I817" s="663"/>
      <c r="J817" s="663"/>
      <c r="K817" s="663"/>
      <c r="L817" s="663"/>
      <c r="M817" s="663"/>
      <c r="N817" s="663"/>
      <c r="O817" s="663"/>
      <c r="P817" s="663"/>
      <c r="Q817" s="663"/>
      <c r="R817" s="663"/>
      <c r="S817" s="663"/>
      <c r="T817" s="663"/>
      <c r="U817" s="663"/>
      <c r="V817" s="663"/>
      <c r="W817" s="663"/>
      <c r="X817" s="663"/>
      <c r="Y817" s="663"/>
      <c r="Z817" s="663"/>
    </row>
    <row r="818">
      <c r="A818" s="670"/>
      <c r="B818" s="671"/>
      <c r="C818" s="672"/>
      <c r="D818" s="673"/>
      <c r="E818" s="663"/>
      <c r="F818" s="663"/>
      <c r="G818" s="663"/>
      <c r="H818" s="663"/>
      <c r="I818" s="663"/>
      <c r="J818" s="663"/>
      <c r="K818" s="663"/>
      <c r="L818" s="663"/>
      <c r="M818" s="663"/>
      <c r="N818" s="663"/>
      <c r="O818" s="663"/>
      <c r="P818" s="663"/>
      <c r="Q818" s="663"/>
      <c r="R818" s="663"/>
      <c r="S818" s="663"/>
      <c r="T818" s="663"/>
      <c r="U818" s="663"/>
      <c r="V818" s="663"/>
      <c r="W818" s="663"/>
      <c r="X818" s="663"/>
      <c r="Y818" s="663"/>
      <c r="Z818" s="663"/>
    </row>
    <row r="819">
      <c r="A819" s="670"/>
      <c r="B819" s="671"/>
      <c r="C819" s="672"/>
      <c r="D819" s="673"/>
      <c r="E819" s="663"/>
      <c r="F819" s="663"/>
      <c r="G819" s="663"/>
      <c r="H819" s="663"/>
      <c r="I819" s="663"/>
      <c r="J819" s="663"/>
      <c r="K819" s="663"/>
      <c r="L819" s="663"/>
      <c r="M819" s="663"/>
      <c r="N819" s="663"/>
      <c r="O819" s="663"/>
      <c r="P819" s="663"/>
      <c r="Q819" s="663"/>
      <c r="R819" s="663"/>
      <c r="S819" s="663"/>
      <c r="T819" s="663"/>
      <c r="U819" s="663"/>
      <c r="V819" s="663"/>
      <c r="W819" s="663"/>
      <c r="X819" s="663"/>
      <c r="Y819" s="663"/>
      <c r="Z819" s="663"/>
    </row>
    <row r="820">
      <c r="A820" s="670"/>
      <c r="B820" s="671"/>
      <c r="C820" s="672"/>
      <c r="D820" s="673"/>
      <c r="E820" s="663"/>
      <c r="F820" s="663"/>
      <c r="G820" s="663"/>
      <c r="H820" s="663"/>
      <c r="I820" s="663"/>
      <c r="J820" s="663"/>
      <c r="K820" s="663"/>
      <c r="L820" s="663"/>
      <c r="M820" s="663"/>
      <c r="N820" s="663"/>
      <c r="O820" s="663"/>
      <c r="P820" s="663"/>
      <c r="Q820" s="663"/>
      <c r="R820" s="663"/>
      <c r="S820" s="663"/>
      <c r="T820" s="663"/>
      <c r="U820" s="663"/>
      <c r="V820" s="663"/>
      <c r="W820" s="663"/>
      <c r="X820" s="663"/>
      <c r="Y820" s="663"/>
      <c r="Z820" s="663"/>
    </row>
    <row r="821">
      <c r="A821" s="670"/>
      <c r="B821" s="671"/>
      <c r="C821" s="672"/>
      <c r="D821" s="673"/>
      <c r="E821" s="663"/>
      <c r="F821" s="663"/>
      <c r="G821" s="663"/>
      <c r="H821" s="663"/>
      <c r="I821" s="663"/>
      <c r="J821" s="663"/>
      <c r="K821" s="663"/>
      <c r="L821" s="663"/>
      <c r="M821" s="663"/>
      <c r="N821" s="663"/>
      <c r="O821" s="663"/>
      <c r="P821" s="663"/>
      <c r="Q821" s="663"/>
      <c r="R821" s="663"/>
      <c r="S821" s="663"/>
      <c r="T821" s="663"/>
      <c r="U821" s="663"/>
      <c r="V821" s="663"/>
      <c r="W821" s="663"/>
      <c r="X821" s="663"/>
      <c r="Y821" s="663"/>
      <c r="Z821" s="663"/>
    </row>
    <row r="822">
      <c r="A822" s="670"/>
      <c r="B822" s="671"/>
      <c r="C822" s="672"/>
      <c r="D822" s="673"/>
      <c r="E822" s="663"/>
      <c r="F822" s="663"/>
      <c r="G822" s="663"/>
      <c r="H822" s="663"/>
      <c r="I822" s="663"/>
      <c r="J822" s="663"/>
      <c r="K822" s="663"/>
      <c r="L822" s="663"/>
      <c r="M822" s="663"/>
      <c r="N822" s="663"/>
      <c r="O822" s="663"/>
      <c r="P822" s="663"/>
      <c r="Q822" s="663"/>
      <c r="R822" s="663"/>
      <c r="S822" s="663"/>
      <c r="T822" s="663"/>
      <c r="U822" s="663"/>
      <c r="V822" s="663"/>
      <c r="W822" s="663"/>
      <c r="X822" s="663"/>
      <c r="Y822" s="663"/>
      <c r="Z822" s="663"/>
    </row>
    <row r="823">
      <c r="A823" s="670"/>
      <c r="B823" s="671"/>
      <c r="C823" s="672"/>
      <c r="D823" s="673"/>
      <c r="E823" s="663"/>
      <c r="F823" s="663"/>
      <c r="G823" s="663"/>
      <c r="H823" s="663"/>
      <c r="I823" s="663"/>
      <c r="J823" s="663"/>
      <c r="K823" s="663"/>
      <c r="L823" s="663"/>
      <c r="M823" s="663"/>
      <c r="N823" s="663"/>
      <c r="O823" s="663"/>
      <c r="P823" s="663"/>
      <c r="Q823" s="663"/>
      <c r="R823" s="663"/>
      <c r="S823" s="663"/>
      <c r="T823" s="663"/>
      <c r="U823" s="663"/>
      <c r="V823" s="663"/>
      <c r="W823" s="663"/>
      <c r="X823" s="663"/>
      <c r="Y823" s="663"/>
      <c r="Z823" s="663"/>
    </row>
    <row r="824">
      <c r="A824" s="670"/>
      <c r="B824" s="671"/>
      <c r="C824" s="672"/>
      <c r="D824" s="673"/>
      <c r="E824" s="663"/>
      <c r="F824" s="663"/>
      <c r="G824" s="663"/>
      <c r="H824" s="663"/>
      <c r="I824" s="663"/>
      <c r="J824" s="663"/>
      <c r="K824" s="663"/>
      <c r="L824" s="663"/>
      <c r="M824" s="663"/>
      <c r="N824" s="663"/>
      <c r="O824" s="663"/>
      <c r="P824" s="663"/>
      <c r="Q824" s="663"/>
      <c r="R824" s="663"/>
      <c r="S824" s="663"/>
      <c r="T824" s="663"/>
      <c r="U824" s="663"/>
      <c r="V824" s="663"/>
      <c r="W824" s="663"/>
      <c r="X824" s="663"/>
      <c r="Y824" s="663"/>
      <c r="Z824" s="663"/>
    </row>
    <row r="825">
      <c r="A825" s="670"/>
      <c r="B825" s="671"/>
      <c r="C825" s="672"/>
      <c r="D825" s="673"/>
      <c r="E825" s="663"/>
      <c r="F825" s="663"/>
      <c r="G825" s="663"/>
      <c r="H825" s="663"/>
      <c r="I825" s="663"/>
      <c r="J825" s="663"/>
      <c r="K825" s="663"/>
      <c r="L825" s="663"/>
      <c r="M825" s="663"/>
      <c r="N825" s="663"/>
      <c r="O825" s="663"/>
      <c r="P825" s="663"/>
      <c r="Q825" s="663"/>
      <c r="R825" s="663"/>
      <c r="S825" s="663"/>
      <c r="T825" s="663"/>
      <c r="U825" s="663"/>
      <c r="V825" s="663"/>
      <c r="W825" s="663"/>
      <c r="X825" s="663"/>
      <c r="Y825" s="663"/>
      <c r="Z825" s="663"/>
    </row>
    <row r="826">
      <c r="A826" s="670"/>
      <c r="B826" s="671"/>
      <c r="C826" s="672"/>
      <c r="D826" s="673"/>
      <c r="E826" s="663"/>
      <c r="F826" s="663"/>
      <c r="G826" s="663"/>
      <c r="H826" s="663"/>
      <c r="I826" s="663"/>
      <c r="J826" s="663"/>
      <c r="K826" s="663"/>
      <c r="L826" s="663"/>
      <c r="M826" s="663"/>
      <c r="N826" s="663"/>
      <c r="O826" s="663"/>
      <c r="P826" s="663"/>
      <c r="Q826" s="663"/>
      <c r="R826" s="663"/>
      <c r="S826" s="663"/>
      <c r="T826" s="663"/>
      <c r="U826" s="663"/>
      <c r="V826" s="663"/>
      <c r="W826" s="663"/>
      <c r="X826" s="663"/>
      <c r="Y826" s="663"/>
      <c r="Z826" s="663"/>
    </row>
    <row r="827">
      <c r="A827" s="670"/>
      <c r="B827" s="671"/>
      <c r="C827" s="672"/>
      <c r="D827" s="673"/>
      <c r="E827" s="663"/>
      <c r="F827" s="663"/>
      <c r="G827" s="663"/>
      <c r="H827" s="663"/>
      <c r="I827" s="663"/>
      <c r="J827" s="663"/>
      <c r="K827" s="663"/>
      <c r="L827" s="663"/>
      <c r="M827" s="663"/>
      <c r="N827" s="663"/>
      <c r="O827" s="663"/>
      <c r="P827" s="663"/>
      <c r="Q827" s="663"/>
      <c r="R827" s="663"/>
      <c r="S827" s="663"/>
      <c r="T827" s="663"/>
      <c r="U827" s="663"/>
      <c r="V827" s="663"/>
      <c r="W827" s="663"/>
      <c r="X827" s="663"/>
      <c r="Y827" s="663"/>
      <c r="Z827" s="663"/>
    </row>
    <row r="828">
      <c r="A828" s="670"/>
      <c r="B828" s="671"/>
      <c r="C828" s="672"/>
      <c r="D828" s="673"/>
      <c r="E828" s="663"/>
      <c r="F828" s="663"/>
      <c r="G828" s="663"/>
      <c r="H828" s="663"/>
      <c r="I828" s="663"/>
      <c r="J828" s="663"/>
      <c r="K828" s="663"/>
      <c r="L828" s="663"/>
      <c r="M828" s="663"/>
      <c r="N828" s="663"/>
      <c r="O828" s="663"/>
      <c r="P828" s="663"/>
      <c r="Q828" s="663"/>
      <c r="R828" s="663"/>
      <c r="S828" s="663"/>
      <c r="T828" s="663"/>
      <c r="U828" s="663"/>
      <c r="V828" s="663"/>
      <c r="W828" s="663"/>
      <c r="X828" s="663"/>
      <c r="Y828" s="663"/>
      <c r="Z828" s="663"/>
    </row>
    <row r="829">
      <c r="A829" s="670"/>
      <c r="B829" s="671"/>
      <c r="C829" s="672"/>
      <c r="D829" s="673"/>
      <c r="E829" s="663"/>
      <c r="F829" s="663"/>
      <c r="G829" s="663"/>
      <c r="H829" s="663"/>
      <c r="I829" s="663"/>
      <c r="J829" s="663"/>
      <c r="K829" s="663"/>
      <c r="L829" s="663"/>
      <c r="M829" s="663"/>
      <c r="N829" s="663"/>
      <c r="O829" s="663"/>
      <c r="P829" s="663"/>
      <c r="Q829" s="663"/>
      <c r="R829" s="663"/>
      <c r="S829" s="663"/>
      <c r="T829" s="663"/>
      <c r="U829" s="663"/>
      <c r="V829" s="663"/>
      <c r="W829" s="663"/>
      <c r="X829" s="663"/>
      <c r="Y829" s="663"/>
      <c r="Z829" s="663"/>
    </row>
    <row r="830">
      <c r="A830" s="670"/>
      <c r="B830" s="671"/>
      <c r="C830" s="672"/>
      <c r="D830" s="673"/>
      <c r="E830" s="663"/>
      <c r="F830" s="663"/>
      <c r="G830" s="663"/>
      <c r="H830" s="663"/>
      <c r="I830" s="663"/>
      <c r="J830" s="663"/>
      <c r="K830" s="663"/>
      <c r="L830" s="663"/>
      <c r="M830" s="663"/>
      <c r="N830" s="663"/>
      <c r="O830" s="663"/>
      <c r="P830" s="663"/>
      <c r="Q830" s="663"/>
      <c r="R830" s="663"/>
      <c r="S830" s="663"/>
      <c r="T830" s="663"/>
      <c r="U830" s="663"/>
      <c r="V830" s="663"/>
      <c r="W830" s="663"/>
      <c r="X830" s="663"/>
      <c r="Y830" s="663"/>
      <c r="Z830" s="663"/>
    </row>
    <row r="831">
      <c r="A831" s="670"/>
      <c r="B831" s="671"/>
      <c r="C831" s="672"/>
      <c r="D831" s="673"/>
      <c r="E831" s="663"/>
      <c r="F831" s="663"/>
      <c r="G831" s="663"/>
      <c r="H831" s="663"/>
      <c r="I831" s="663"/>
      <c r="J831" s="663"/>
      <c r="K831" s="663"/>
      <c r="L831" s="663"/>
      <c r="M831" s="663"/>
      <c r="N831" s="663"/>
      <c r="O831" s="663"/>
      <c r="P831" s="663"/>
      <c r="Q831" s="663"/>
      <c r="R831" s="663"/>
      <c r="S831" s="663"/>
      <c r="T831" s="663"/>
      <c r="U831" s="663"/>
      <c r="V831" s="663"/>
      <c r="W831" s="663"/>
      <c r="X831" s="663"/>
      <c r="Y831" s="663"/>
      <c r="Z831" s="663"/>
    </row>
    <row r="832">
      <c r="A832" s="670"/>
      <c r="B832" s="671"/>
      <c r="C832" s="672"/>
      <c r="D832" s="673"/>
      <c r="E832" s="663"/>
      <c r="F832" s="663"/>
      <c r="G832" s="663"/>
      <c r="H832" s="663"/>
      <c r="I832" s="663"/>
      <c r="J832" s="663"/>
      <c r="K832" s="663"/>
      <c r="L832" s="663"/>
      <c r="M832" s="663"/>
      <c r="N832" s="663"/>
      <c r="O832" s="663"/>
      <c r="P832" s="663"/>
      <c r="Q832" s="663"/>
      <c r="R832" s="663"/>
      <c r="S832" s="663"/>
      <c r="T832" s="663"/>
      <c r="U832" s="663"/>
      <c r="V832" s="663"/>
      <c r="W832" s="663"/>
      <c r="X832" s="663"/>
      <c r="Y832" s="663"/>
      <c r="Z832" s="663"/>
    </row>
    <row r="833">
      <c r="A833" s="670"/>
      <c r="B833" s="671"/>
      <c r="C833" s="672"/>
      <c r="D833" s="673"/>
      <c r="E833" s="663"/>
      <c r="F833" s="663"/>
      <c r="G833" s="663"/>
      <c r="H833" s="663"/>
      <c r="I833" s="663"/>
      <c r="J833" s="663"/>
      <c r="K833" s="663"/>
      <c r="L833" s="663"/>
      <c r="M833" s="663"/>
      <c r="N833" s="663"/>
      <c r="O833" s="663"/>
      <c r="P833" s="663"/>
      <c r="Q833" s="663"/>
      <c r="R833" s="663"/>
      <c r="S833" s="663"/>
      <c r="T833" s="663"/>
      <c r="U833" s="663"/>
      <c r="V833" s="663"/>
      <c r="W833" s="663"/>
      <c r="X833" s="663"/>
      <c r="Y833" s="663"/>
      <c r="Z833" s="663"/>
    </row>
    <row r="834">
      <c r="A834" s="670"/>
      <c r="B834" s="671"/>
      <c r="C834" s="672"/>
      <c r="D834" s="673"/>
      <c r="E834" s="663"/>
      <c r="F834" s="663"/>
      <c r="G834" s="663"/>
      <c r="H834" s="663"/>
      <c r="I834" s="663"/>
      <c r="J834" s="663"/>
      <c r="K834" s="663"/>
      <c r="L834" s="663"/>
      <c r="M834" s="663"/>
      <c r="N834" s="663"/>
      <c r="O834" s="663"/>
      <c r="P834" s="663"/>
      <c r="Q834" s="663"/>
      <c r="R834" s="663"/>
      <c r="S834" s="663"/>
      <c r="T834" s="663"/>
      <c r="U834" s="663"/>
      <c r="V834" s="663"/>
      <c r="W834" s="663"/>
      <c r="X834" s="663"/>
      <c r="Y834" s="663"/>
      <c r="Z834" s="663"/>
    </row>
    <row r="835">
      <c r="A835" s="670"/>
      <c r="B835" s="671"/>
      <c r="C835" s="672"/>
      <c r="D835" s="673"/>
      <c r="E835" s="663"/>
      <c r="F835" s="663"/>
      <c r="G835" s="663"/>
      <c r="H835" s="663"/>
      <c r="I835" s="663"/>
      <c r="J835" s="663"/>
      <c r="K835" s="663"/>
      <c r="L835" s="663"/>
      <c r="M835" s="663"/>
      <c r="N835" s="663"/>
      <c r="O835" s="663"/>
      <c r="P835" s="663"/>
      <c r="Q835" s="663"/>
      <c r="R835" s="663"/>
      <c r="S835" s="663"/>
      <c r="T835" s="663"/>
      <c r="U835" s="663"/>
      <c r="V835" s="663"/>
      <c r="W835" s="663"/>
      <c r="X835" s="663"/>
      <c r="Y835" s="663"/>
      <c r="Z835" s="663"/>
    </row>
    <row r="836">
      <c r="A836" s="670"/>
      <c r="B836" s="671"/>
      <c r="C836" s="672"/>
      <c r="D836" s="673"/>
      <c r="E836" s="663"/>
      <c r="F836" s="663"/>
      <c r="G836" s="663"/>
      <c r="H836" s="663"/>
      <c r="I836" s="663"/>
      <c r="J836" s="663"/>
      <c r="K836" s="663"/>
      <c r="L836" s="663"/>
      <c r="M836" s="663"/>
      <c r="N836" s="663"/>
      <c r="O836" s="663"/>
      <c r="P836" s="663"/>
      <c r="Q836" s="663"/>
      <c r="R836" s="663"/>
      <c r="S836" s="663"/>
      <c r="T836" s="663"/>
      <c r="U836" s="663"/>
      <c r="V836" s="663"/>
      <c r="W836" s="663"/>
      <c r="X836" s="663"/>
      <c r="Y836" s="663"/>
      <c r="Z836" s="663"/>
    </row>
    <row r="837">
      <c r="A837" s="670"/>
      <c r="B837" s="671"/>
      <c r="C837" s="672"/>
      <c r="D837" s="673"/>
      <c r="E837" s="663"/>
      <c r="F837" s="663"/>
      <c r="G837" s="663"/>
      <c r="H837" s="663"/>
      <c r="I837" s="663"/>
      <c r="J837" s="663"/>
      <c r="K837" s="663"/>
      <c r="L837" s="663"/>
      <c r="M837" s="663"/>
      <c r="N837" s="663"/>
      <c r="O837" s="663"/>
      <c r="P837" s="663"/>
      <c r="Q837" s="663"/>
      <c r="R837" s="663"/>
      <c r="S837" s="663"/>
      <c r="T837" s="663"/>
      <c r="U837" s="663"/>
      <c r="V837" s="663"/>
      <c r="W837" s="663"/>
      <c r="X837" s="663"/>
      <c r="Y837" s="663"/>
      <c r="Z837" s="663"/>
    </row>
    <row r="838">
      <c r="A838" s="670"/>
      <c r="B838" s="671"/>
      <c r="C838" s="672"/>
      <c r="D838" s="673"/>
      <c r="E838" s="663"/>
      <c r="F838" s="663"/>
      <c r="G838" s="663"/>
      <c r="H838" s="663"/>
      <c r="I838" s="663"/>
      <c r="J838" s="663"/>
      <c r="K838" s="663"/>
      <c r="L838" s="663"/>
      <c r="M838" s="663"/>
      <c r="N838" s="663"/>
      <c r="O838" s="663"/>
      <c r="P838" s="663"/>
      <c r="Q838" s="663"/>
      <c r="R838" s="663"/>
      <c r="S838" s="663"/>
      <c r="T838" s="663"/>
      <c r="U838" s="663"/>
      <c r="V838" s="663"/>
      <c r="W838" s="663"/>
      <c r="X838" s="663"/>
      <c r="Y838" s="663"/>
      <c r="Z838" s="663"/>
    </row>
    <row r="839">
      <c r="A839" s="670"/>
      <c r="B839" s="671"/>
      <c r="C839" s="672"/>
      <c r="D839" s="673"/>
      <c r="E839" s="663"/>
      <c r="F839" s="663"/>
      <c r="G839" s="663"/>
      <c r="H839" s="663"/>
      <c r="I839" s="663"/>
      <c r="J839" s="663"/>
      <c r="K839" s="663"/>
      <c r="L839" s="663"/>
      <c r="M839" s="663"/>
      <c r="N839" s="663"/>
      <c r="O839" s="663"/>
      <c r="P839" s="663"/>
      <c r="Q839" s="663"/>
      <c r="R839" s="663"/>
      <c r="S839" s="663"/>
      <c r="T839" s="663"/>
      <c r="U839" s="663"/>
      <c r="V839" s="663"/>
      <c r="W839" s="663"/>
      <c r="X839" s="663"/>
      <c r="Y839" s="663"/>
      <c r="Z839" s="663"/>
    </row>
    <row r="840">
      <c r="A840" s="670"/>
      <c r="B840" s="671"/>
      <c r="C840" s="672"/>
      <c r="D840" s="673"/>
      <c r="E840" s="663"/>
      <c r="F840" s="663"/>
      <c r="G840" s="663"/>
      <c r="H840" s="663"/>
      <c r="I840" s="663"/>
      <c r="J840" s="663"/>
      <c r="K840" s="663"/>
      <c r="L840" s="663"/>
      <c r="M840" s="663"/>
      <c r="N840" s="663"/>
      <c r="O840" s="663"/>
      <c r="P840" s="663"/>
      <c r="Q840" s="663"/>
      <c r="R840" s="663"/>
      <c r="S840" s="663"/>
      <c r="T840" s="663"/>
      <c r="U840" s="663"/>
      <c r="V840" s="663"/>
      <c r="W840" s="663"/>
      <c r="X840" s="663"/>
      <c r="Y840" s="663"/>
      <c r="Z840" s="663"/>
    </row>
    <row r="841">
      <c r="A841" s="670"/>
      <c r="B841" s="671"/>
      <c r="C841" s="672"/>
      <c r="D841" s="673"/>
      <c r="E841" s="663"/>
      <c r="F841" s="663"/>
      <c r="G841" s="663"/>
      <c r="H841" s="663"/>
      <c r="I841" s="663"/>
      <c r="J841" s="663"/>
      <c r="K841" s="663"/>
      <c r="L841" s="663"/>
      <c r="M841" s="663"/>
      <c r="N841" s="663"/>
      <c r="O841" s="663"/>
      <c r="P841" s="663"/>
      <c r="Q841" s="663"/>
      <c r="R841" s="663"/>
      <c r="S841" s="663"/>
      <c r="T841" s="663"/>
      <c r="U841" s="663"/>
      <c r="V841" s="663"/>
      <c r="W841" s="663"/>
      <c r="X841" s="663"/>
      <c r="Y841" s="663"/>
      <c r="Z841" s="663"/>
    </row>
    <row r="842">
      <c r="A842" s="670"/>
      <c r="B842" s="671"/>
      <c r="C842" s="672"/>
      <c r="D842" s="673"/>
      <c r="E842" s="663"/>
      <c r="F842" s="663"/>
      <c r="G842" s="663"/>
      <c r="H842" s="663"/>
      <c r="I842" s="663"/>
      <c r="J842" s="663"/>
      <c r="K842" s="663"/>
      <c r="L842" s="663"/>
      <c r="M842" s="663"/>
      <c r="N842" s="663"/>
      <c r="O842" s="663"/>
      <c r="P842" s="663"/>
      <c r="Q842" s="663"/>
      <c r="R842" s="663"/>
      <c r="S842" s="663"/>
      <c r="T842" s="663"/>
      <c r="U842" s="663"/>
      <c r="V842" s="663"/>
      <c r="W842" s="663"/>
      <c r="X842" s="663"/>
      <c r="Y842" s="663"/>
      <c r="Z842" s="663"/>
    </row>
    <row r="843">
      <c r="A843" s="670"/>
      <c r="B843" s="671"/>
      <c r="C843" s="672"/>
      <c r="D843" s="673"/>
      <c r="E843" s="663"/>
      <c r="F843" s="663"/>
      <c r="G843" s="663"/>
      <c r="H843" s="663"/>
      <c r="I843" s="663"/>
      <c r="J843" s="663"/>
      <c r="K843" s="663"/>
      <c r="L843" s="663"/>
      <c r="M843" s="663"/>
      <c r="N843" s="663"/>
      <c r="O843" s="663"/>
      <c r="P843" s="663"/>
      <c r="Q843" s="663"/>
      <c r="R843" s="663"/>
      <c r="S843" s="663"/>
      <c r="T843" s="663"/>
      <c r="U843" s="663"/>
      <c r="V843" s="663"/>
      <c r="W843" s="663"/>
      <c r="X843" s="663"/>
      <c r="Y843" s="663"/>
      <c r="Z843" s="663"/>
    </row>
    <row r="844">
      <c r="A844" s="670"/>
      <c r="B844" s="671"/>
      <c r="C844" s="672"/>
      <c r="D844" s="673"/>
      <c r="E844" s="663"/>
      <c r="F844" s="663"/>
      <c r="G844" s="663"/>
      <c r="H844" s="663"/>
      <c r="I844" s="663"/>
      <c r="J844" s="663"/>
      <c r="K844" s="663"/>
      <c r="L844" s="663"/>
      <c r="M844" s="663"/>
      <c r="N844" s="663"/>
      <c r="O844" s="663"/>
      <c r="P844" s="663"/>
      <c r="Q844" s="663"/>
      <c r="R844" s="663"/>
      <c r="S844" s="663"/>
      <c r="T844" s="663"/>
      <c r="U844" s="663"/>
      <c r="V844" s="663"/>
      <c r="W844" s="663"/>
      <c r="X844" s="663"/>
      <c r="Y844" s="663"/>
      <c r="Z844" s="663"/>
    </row>
    <row r="845">
      <c r="A845" s="670"/>
      <c r="B845" s="671"/>
      <c r="C845" s="672"/>
      <c r="D845" s="673"/>
      <c r="E845" s="663"/>
      <c r="F845" s="663"/>
      <c r="G845" s="663"/>
      <c r="H845" s="663"/>
      <c r="I845" s="663"/>
      <c r="J845" s="663"/>
      <c r="K845" s="663"/>
      <c r="L845" s="663"/>
      <c r="M845" s="663"/>
      <c r="N845" s="663"/>
      <c r="O845" s="663"/>
      <c r="P845" s="663"/>
      <c r="Q845" s="663"/>
      <c r="R845" s="663"/>
      <c r="S845" s="663"/>
      <c r="T845" s="663"/>
      <c r="U845" s="663"/>
      <c r="V845" s="663"/>
      <c r="W845" s="663"/>
      <c r="X845" s="663"/>
      <c r="Y845" s="663"/>
      <c r="Z845" s="663"/>
    </row>
    <row r="846">
      <c r="A846" s="670"/>
      <c r="B846" s="671"/>
      <c r="C846" s="672"/>
      <c r="D846" s="673"/>
      <c r="E846" s="663"/>
      <c r="F846" s="663"/>
      <c r="G846" s="663"/>
      <c r="H846" s="663"/>
      <c r="I846" s="663"/>
      <c r="J846" s="663"/>
      <c r="K846" s="663"/>
      <c r="L846" s="663"/>
      <c r="M846" s="663"/>
      <c r="N846" s="663"/>
      <c r="O846" s="663"/>
      <c r="P846" s="663"/>
      <c r="Q846" s="663"/>
      <c r="R846" s="663"/>
      <c r="S846" s="663"/>
      <c r="T846" s="663"/>
      <c r="U846" s="663"/>
      <c r="V846" s="663"/>
      <c r="W846" s="663"/>
      <c r="X846" s="663"/>
      <c r="Y846" s="663"/>
      <c r="Z846" s="663"/>
    </row>
    <row r="847">
      <c r="A847" s="670"/>
      <c r="B847" s="671"/>
      <c r="C847" s="672"/>
      <c r="D847" s="673"/>
      <c r="E847" s="663"/>
      <c r="F847" s="663"/>
      <c r="G847" s="663"/>
      <c r="H847" s="663"/>
      <c r="I847" s="663"/>
      <c r="J847" s="663"/>
      <c r="K847" s="663"/>
      <c r="L847" s="663"/>
      <c r="M847" s="663"/>
      <c r="N847" s="663"/>
      <c r="O847" s="663"/>
      <c r="P847" s="663"/>
      <c r="Q847" s="663"/>
      <c r="R847" s="663"/>
      <c r="S847" s="663"/>
      <c r="T847" s="663"/>
      <c r="U847" s="663"/>
      <c r="V847" s="663"/>
      <c r="W847" s="663"/>
      <c r="X847" s="663"/>
      <c r="Y847" s="663"/>
      <c r="Z847" s="663"/>
    </row>
    <row r="848">
      <c r="A848" s="670"/>
      <c r="B848" s="671"/>
      <c r="C848" s="672"/>
      <c r="D848" s="673"/>
      <c r="E848" s="663"/>
      <c r="F848" s="663"/>
      <c r="G848" s="663"/>
      <c r="H848" s="663"/>
      <c r="I848" s="663"/>
      <c r="J848" s="663"/>
      <c r="K848" s="663"/>
      <c r="L848" s="663"/>
      <c r="M848" s="663"/>
      <c r="N848" s="663"/>
      <c r="O848" s="663"/>
      <c r="P848" s="663"/>
      <c r="Q848" s="663"/>
      <c r="R848" s="663"/>
      <c r="S848" s="663"/>
      <c r="T848" s="663"/>
      <c r="U848" s="663"/>
      <c r="V848" s="663"/>
      <c r="W848" s="663"/>
      <c r="X848" s="663"/>
      <c r="Y848" s="663"/>
      <c r="Z848" s="663"/>
    </row>
    <row r="849">
      <c r="A849" s="670"/>
      <c r="B849" s="671"/>
      <c r="C849" s="672"/>
      <c r="D849" s="673"/>
      <c r="E849" s="663"/>
      <c r="F849" s="663"/>
      <c r="G849" s="663"/>
      <c r="H849" s="663"/>
      <c r="I849" s="663"/>
      <c r="J849" s="663"/>
      <c r="K849" s="663"/>
      <c r="L849" s="663"/>
      <c r="M849" s="663"/>
      <c r="N849" s="663"/>
      <c r="O849" s="663"/>
      <c r="P849" s="663"/>
      <c r="Q849" s="663"/>
      <c r="R849" s="663"/>
      <c r="S849" s="663"/>
      <c r="T849" s="663"/>
      <c r="U849" s="663"/>
      <c r="V849" s="663"/>
      <c r="W849" s="663"/>
      <c r="X849" s="663"/>
      <c r="Y849" s="663"/>
      <c r="Z849" s="663"/>
    </row>
    <row r="850">
      <c r="A850" s="670"/>
      <c r="B850" s="671"/>
      <c r="C850" s="672"/>
      <c r="D850" s="673"/>
      <c r="E850" s="663"/>
      <c r="F850" s="663"/>
      <c r="G850" s="663"/>
      <c r="H850" s="663"/>
      <c r="I850" s="663"/>
      <c r="J850" s="663"/>
      <c r="K850" s="663"/>
      <c r="L850" s="663"/>
      <c r="M850" s="663"/>
      <c r="N850" s="663"/>
      <c r="O850" s="663"/>
      <c r="P850" s="663"/>
      <c r="Q850" s="663"/>
      <c r="R850" s="663"/>
      <c r="S850" s="663"/>
      <c r="T850" s="663"/>
      <c r="U850" s="663"/>
      <c r="V850" s="663"/>
      <c r="W850" s="663"/>
      <c r="X850" s="663"/>
      <c r="Y850" s="663"/>
      <c r="Z850" s="663"/>
    </row>
    <row r="851">
      <c r="A851" s="670"/>
      <c r="B851" s="671"/>
      <c r="C851" s="672"/>
      <c r="D851" s="673"/>
      <c r="E851" s="663"/>
      <c r="F851" s="663"/>
      <c r="G851" s="663"/>
      <c r="H851" s="663"/>
      <c r="I851" s="663"/>
      <c r="J851" s="663"/>
      <c r="K851" s="663"/>
      <c r="L851" s="663"/>
      <c r="M851" s="663"/>
      <c r="N851" s="663"/>
      <c r="O851" s="663"/>
      <c r="P851" s="663"/>
      <c r="Q851" s="663"/>
      <c r="R851" s="663"/>
      <c r="S851" s="663"/>
      <c r="T851" s="663"/>
      <c r="U851" s="663"/>
      <c r="V851" s="663"/>
      <c r="W851" s="663"/>
      <c r="X851" s="663"/>
      <c r="Y851" s="663"/>
      <c r="Z851" s="663"/>
    </row>
    <row r="852">
      <c r="A852" s="670"/>
      <c r="B852" s="671"/>
      <c r="C852" s="672"/>
      <c r="D852" s="673"/>
      <c r="E852" s="663"/>
      <c r="F852" s="663"/>
      <c r="G852" s="663"/>
      <c r="H852" s="663"/>
      <c r="I852" s="663"/>
      <c r="J852" s="663"/>
      <c r="K852" s="663"/>
      <c r="L852" s="663"/>
      <c r="M852" s="663"/>
      <c r="N852" s="663"/>
      <c r="O852" s="663"/>
      <c r="P852" s="663"/>
      <c r="Q852" s="663"/>
      <c r="R852" s="663"/>
      <c r="S852" s="663"/>
      <c r="T852" s="663"/>
      <c r="U852" s="663"/>
      <c r="V852" s="663"/>
      <c r="W852" s="663"/>
      <c r="X852" s="663"/>
      <c r="Y852" s="663"/>
      <c r="Z852" s="663"/>
    </row>
    <row r="853">
      <c r="A853" s="670"/>
      <c r="B853" s="671"/>
      <c r="C853" s="672"/>
      <c r="D853" s="673"/>
      <c r="E853" s="663"/>
      <c r="F853" s="663"/>
      <c r="G853" s="663"/>
      <c r="H853" s="663"/>
      <c r="I853" s="663"/>
      <c r="J853" s="663"/>
      <c r="K853" s="663"/>
      <c r="L853" s="663"/>
      <c r="M853" s="663"/>
      <c r="N853" s="663"/>
      <c r="O853" s="663"/>
      <c r="P853" s="663"/>
      <c r="Q853" s="663"/>
      <c r="R853" s="663"/>
      <c r="S853" s="663"/>
      <c r="T853" s="663"/>
      <c r="U853" s="663"/>
      <c r="V853" s="663"/>
      <c r="W853" s="663"/>
      <c r="X853" s="663"/>
      <c r="Y853" s="663"/>
      <c r="Z853" s="663"/>
    </row>
    <row r="854">
      <c r="A854" s="670"/>
      <c r="B854" s="671"/>
      <c r="C854" s="672"/>
      <c r="D854" s="673"/>
      <c r="E854" s="663"/>
      <c r="F854" s="663"/>
      <c r="G854" s="663"/>
      <c r="H854" s="663"/>
      <c r="I854" s="663"/>
      <c r="J854" s="663"/>
      <c r="K854" s="663"/>
      <c r="L854" s="663"/>
      <c r="M854" s="663"/>
      <c r="N854" s="663"/>
      <c r="O854" s="663"/>
      <c r="P854" s="663"/>
      <c r="Q854" s="663"/>
      <c r="R854" s="663"/>
      <c r="S854" s="663"/>
      <c r="T854" s="663"/>
      <c r="U854" s="663"/>
      <c r="V854" s="663"/>
      <c r="W854" s="663"/>
      <c r="X854" s="663"/>
      <c r="Y854" s="663"/>
      <c r="Z854" s="663"/>
    </row>
    <row r="855">
      <c r="A855" s="670"/>
      <c r="B855" s="671"/>
      <c r="C855" s="672"/>
      <c r="D855" s="673"/>
      <c r="E855" s="663"/>
      <c r="F855" s="663"/>
      <c r="G855" s="663"/>
      <c r="H855" s="663"/>
      <c r="I855" s="663"/>
      <c r="J855" s="663"/>
      <c r="K855" s="663"/>
      <c r="L855" s="663"/>
      <c r="M855" s="663"/>
      <c r="N855" s="663"/>
      <c r="O855" s="663"/>
      <c r="P855" s="663"/>
      <c r="Q855" s="663"/>
      <c r="R855" s="663"/>
      <c r="S855" s="663"/>
      <c r="T855" s="663"/>
      <c r="U855" s="663"/>
      <c r="V855" s="663"/>
      <c r="W855" s="663"/>
      <c r="X855" s="663"/>
      <c r="Y855" s="663"/>
      <c r="Z855" s="663"/>
    </row>
    <row r="856">
      <c r="A856" s="670"/>
      <c r="B856" s="671"/>
      <c r="C856" s="672"/>
      <c r="D856" s="673"/>
      <c r="E856" s="663"/>
      <c r="F856" s="663"/>
      <c r="G856" s="663"/>
      <c r="H856" s="663"/>
      <c r="I856" s="663"/>
      <c r="J856" s="663"/>
      <c r="K856" s="663"/>
      <c r="L856" s="663"/>
      <c r="M856" s="663"/>
      <c r="N856" s="663"/>
      <c r="O856" s="663"/>
      <c r="P856" s="663"/>
      <c r="Q856" s="663"/>
      <c r="R856" s="663"/>
      <c r="S856" s="663"/>
      <c r="T856" s="663"/>
      <c r="U856" s="663"/>
      <c r="V856" s="663"/>
      <c r="W856" s="663"/>
      <c r="X856" s="663"/>
      <c r="Y856" s="663"/>
      <c r="Z856" s="663"/>
    </row>
    <row r="857">
      <c r="A857" s="670"/>
      <c r="B857" s="671"/>
      <c r="C857" s="672"/>
      <c r="D857" s="673"/>
      <c r="E857" s="663"/>
      <c r="F857" s="663"/>
      <c r="G857" s="663"/>
      <c r="H857" s="663"/>
      <c r="I857" s="663"/>
      <c r="J857" s="663"/>
      <c r="K857" s="663"/>
      <c r="L857" s="663"/>
      <c r="M857" s="663"/>
      <c r="N857" s="663"/>
      <c r="O857" s="663"/>
      <c r="P857" s="663"/>
      <c r="Q857" s="663"/>
      <c r="R857" s="663"/>
      <c r="S857" s="663"/>
      <c r="T857" s="663"/>
      <c r="U857" s="663"/>
      <c r="V857" s="663"/>
      <c r="W857" s="663"/>
      <c r="X857" s="663"/>
      <c r="Y857" s="663"/>
      <c r="Z857" s="663"/>
    </row>
    <row r="858">
      <c r="A858" s="670"/>
      <c r="B858" s="671"/>
      <c r="C858" s="672"/>
      <c r="D858" s="673"/>
      <c r="E858" s="663"/>
      <c r="F858" s="663"/>
      <c r="G858" s="663"/>
      <c r="H858" s="663"/>
      <c r="I858" s="663"/>
      <c r="J858" s="663"/>
      <c r="K858" s="663"/>
      <c r="L858" s="663"/>
      <c r="M858" s="663"/>
      <c r="N858" s="663"/>
      <c r="O858" s="663"/>
      <c r="P858" s="663"/>
      <c r="Q858" s="663"/>
      <c r="R858" s="663"/>
      <c r="S858" s="663"/>
      <c r="T858" s="663"/>
      <c r="U858" s="663"/>
      <c r="V858" s="663"/>
      <c r="W858" s="663"/>
      <c r="X858" s="663"/>
      <c r="Y858" s="663"/>
      <c r="Z858" s="663"/>
    </row>
    <row r="859">
      <c r="A859" s="670"/>
      <c r="B859" s="671"/>
      <c r="C859" s="672"/>
      <c r="D859" s="673"/>
      <c r="E859" s="663"/>
      <c r="F859" s="663"/>
      <c r="G859" s="663"/>
      <c r="H859" s="663"/>
      <c r="I859" s="663"/>
      <c r="J859" s="663"/>
      <c r="K859" s="663"/>
      <c r="L859" s="663"/>
      <c r="M859" s="663"/>
      <c r="N859" s="663"/>
      <c r="O859" s="663"/>
      <c r="P859" s="663"/>
      <c r="Q859" s="663"/>
      <c r="R859" s="663"/>
      <c r="S859" s="663"/>
      <c r="T859" s="663"/>
      <c r="U859" s="663"/>
      <c r="V859" s="663"/>
      <c r="W859" s="663"/>
      <c r="X859" s="663"/>
      <c r="Y859" s="663"/>
      <c r="Z859" s="663"/>
    </row>
    <row r="860">
      <c r="A860" s="670"/>
      <c r="B860" s="671"/>
      <c r="C860" s="672"/>
      <c r="D860" s="673"/>
      <c r="E860" s="663"/>
      <c r="F860" s="663"/>
      <c r="G860" s="663"/>
      <c r="H860" s="663"/>
      <c r="I860" s="663"/>
      <c r="J860" s="663"/>
      <c r="K860" s="663"/>
      <c r="L860" s="663"/>
      <c r="M860" s="663"/>
      <c r="N860" s="663"/>
      <c r="O860" s="663"/>
      <c r="P860" s="663"/>
      <c r="Q860" s="663"/>
      <c r="R860" s="663"/>
      <c r="S860" s="663"/>
      <c r="T860" s="663"/>
      <c r="U860" s="663"/>
      <c r="V860" s="663"/>
      <c r="W860" s="663"/>
      <c r="X860" s="663"/>
      <c r="Y860" s="663"/>
      <c r="Z860" s="663"/>
    </row>
    <row r="861">
      <c r="A861" s="670"/>
      <c r="B861" s="671"/>
      <c r="C861" s="672"/>
      <c r="D861" s="673"/>
      <c r="E861" s="663"/>
      <c r="F861" s="663"/>
      <c r="G861" s="663"/>
      <c r="H861" s="663"/>
      <c r="I861" s="663"/>
      <c r="J861" s="663"/>
      <c r="K861" s="663"/>
      <c r="L861" s="663"/>
      <c r="M861" s="663"/>
      <c r="N861" s="663"/>
      <c r="O861" s="663"/>
      <c r="P861" s="663"/>
      <c r="Q861" s="663"/>
      <c r="R861" s="663"/>
      <c r="S861" s="663"/>
      <c r="T861" s="663"/>
      <c r="U861" s="663"/>
      <c r="V861" s="663"/>
      <c r="W861" s="663"/>
      <c r="X861" s="663"/>
      <c r="Y861" s="663"/>
      <c r="Z861" s="663"/>
    </row>
    <row r="862">
      <c r="A862" s="670"/>
      <c r="B862" s="671"/>
      <c r="C862" s="672"/>
      <c r="D862" s="673"/>
      <c r="E862" s="663"/>
      <c r="F862" s="663"/>
      <c r="G862" s="663"/>
      <c r="H862" s="663"/>
      <c r="I862" s="663"/>
      <c r="J862" s="663"/>
      <c r="K862" s="663"/>
      <c r="L862" s="663"/>
      <c r="M862" s="663"/>
      <c r="N862" s="663"/>
      <c r="O862" s="663"/>
      <c r="P862" s="663"/>
      <c r="Q862" s="663"/>
      <c r="R862" s="663"/>
      <c r="S862" s="663"/>
      <c r="T862" s="663"/>
      <c r="U862" s="663"/>
      <c r="V862" s="663"/>
      <c r="W862" s="663"/>
      <c r="X862" s="663"/>
      <c r="Y862" s="663"/>
      <c r="Z862" s="663"/>
    </row>
    <row r="863">
      <c r="A863" s="670"/>
      <c r="B863" s="671"/>
      <c r="C863" s="672"/>
      <c r="D863" s="673"/>
      <c r="E863" s="663"/>
      <c r="F863" s="663"/>
      <c r="G863" s="663"/>
      <c r="H863" s="663"/>
      <c r="I863" s="663"/>
      <c r="J863" s="663"/>
      <c r="K863" s="663"/>
      <c r="L863" s="663"/>
      <c r="M863" s="663"/>
      <c r="N863" s="663"/>
      <c r="O863" s="663"/>
      <c r="P863" s="663"/>
      <c r="Q863" s="663"/>
      <c r="R863" s="663"/>
      <c r="S863" s="663"/>
      <c r="T863" s="663"/>
      <c r="U863" s="663"/>
      <c r="V863" s="663"/>
      <c r="W863" s="663"/>
      <c r="X863" s="663"/>
      <c r="Y863" s="663"/>
      <c r="Z863" s="663"/>
    </row>
    <row r="864">
      <c r="A864" s="670"/>
      <c r="B864" s="671"/>
      <c r="C864" s="672"/>
      <c r="D864" s="673"/>
      <c r="E864" s="663"/>
      <c r="F864" s="663"/>
      <c r="G864" s="663"/>
      <c r="H864" s="663"/>
      <c r="I864" s="663"/>
      <c r="J864" s="663"/>
      <c r="K864" s="663"/>
      <c r="L864" s="663"/>
      <c r="M864" s="663"/>
      <c r="N864" s="663"/>
      <c r="O864" s="663"/>
      <c r="P864" s="663"/>
      <c r="Q864" s="663"/>
      <c r="R864" s="663"/>
      <c r="S864" s="663"/>
      <c r="T864" s="663"/>
      <c r="U864" s="663"/>
      <c r="V864" s="663"/>
      <c r="W864" s="663"/>
      <c r="X864" s="663"/>
      <c r="Y864" s="663"/>
      <c r="Z864" s="663"/>
    </row>
    <row r="865">
      <c r="A865" s="670"/>
      <c r="B865" s="671"/>
      <c r="C865" s="672"/>
      <c r="D865" s="673"/>
      <c r="E865" s="663"/>
      <c r="F865" s="663"/>
      <c r="G865" s="663"/>
      <c r="H865" s="663"/>
      <c r="I865" s="663"/>
      <c r="J865" s="663"/>
      <c r="K865" s="663"/>
      <c r="L865" s="663"/>
      <c r="M865" s="663"/>
      <c r="N865" s="663"/>
      <c r="O865" s="663"/>
      <c r="P865" s="663"/>
      <c r="Q865" s="663"/>
      <c r="R865" s="663"/>
      <c r="S865" s="663"/>
      <c r="T865" s="663"/>
      <c r="U865" s="663"/>
      <c r="V865" s="663"/>
      <c r="W865" s="663"/>
      <c r="X865" s="663"/>
      <c r="Y865" s="663"/>
      <c r="Z865" s="663"/>
    </row>
    <row r="866">
      <c r="A866" s="670"/>
      <c r="B866" s="671"/>
      <c r="C866" s="672"/>
      <c r="D866" s="673"/>
      <c r="E866" s="663"/>
      <c r="F866" s="663"/>
      <c r="G866" s="663"/>
      <c r="H866" s="663"/>
      <c r="I866" s="663"/>
      <c r="J866" s="663"/>
      <c r="K866" s="663"/>
      <c r="L866" s="663"/>
      <c r="M866" s="663"/>
      <c r="N866" s="663"/>
      <c r="O866" s="663"/>
      <c r="P866" s="663"/>
      <c r="Q866" s="663"/>
      <c r="R866" s="663"/>
      <c r="S866" s="663"/>
      <c r="T866" s="663"/>
      <c r="U866" s="663"/>
      <c r="V866" s="663"/>
      <c r="W866" s="663"/>
      <c r="X866" s="663"/>
      <c r="Y866" s="663"/>
      <c r="Z866" s="663"/>
    </row>
    <row r="867">
      <c r="A867" s="670"/>
      <c r="B867" s="671"/>
      <c r="C867" s="672"/>
      <c r="D867" s="673"/>
      <c r="E867" s="663"/>
      <c r="F867" s="663"/>
      <c r="G867" s="663"/>
      <c r="H867" s="663"/>
      <c r="I867" s="663"/>
      <c r="J867" s="663"/>
      <c r="K867" s="663"/>
      <c r="L867" s="663"/>
      <c r="M867" s="663"/>
      <c r="N867" s="663"/>
      <c r="O867" s="663"/>
      <c r="P867" s="663"/>
      <c r="Q867" s="663"/>
      <c r="R867" s="663"/>
      <c r="S867" s="663"/>
      <c r="T867" s="663"/>
      <c r="U867" s="663"/>
      <c r="V867" s="663"/>
      <c r="W867" s="663"/>
      <c r="X867" s="663"/>
      <c r="Y867" s="663"/>
      <c r="Z867" s="663"/>
    </row>
    <row r="868">
      <c r="A868" s="670"/>
      <c r="B868" s="671"/>
      <c r="C868" s="672"/>
      <c r="D868" s="673"/>
      <c r="E868" s="663"/>
      <c r="F868" s="663"/>
      <c r="G868" s="663"/>
      <c r="H868" s="663"/>
      <c r="I868" s="663"/>
      <c r="J868" s="663"/>
      <c r="K868" s="663"/>
      <c r="L868" s="663"/>
      <c r="M868" s="663"/>
      <c r="N868" s="663"/>
      <c r="O868" s="663"/>
      <c r="P868" s="663"/>
      <c r="Q868" s="663"/>
      <c r="R868" s="663"/>
      <c r="S868" s="663"/>
      <c r="T868" s="663"/>
      <c r="U868" s="663"/>
      <c r="V868" s="663"/>
      <c r="W868" s="663"/>
      <c r="X868" s="663"/>
      <c r="Y868" s="663"/>
      <c r="Z868" s="663"/>
    </row>
    <row r="869">
      <c r="A869" s="670"/>
      <c r="B869" s="671"/>
      <c r="C869" s="672"/>
      <c r="D869" s="673"/>
      <c r="E869" s="663"/>
      <c r="F869" s="663"/>
      <c r="G869" s="663"/>
      <c r="H869" s="663"/>
      <c r="I869" s="663"/>
      <c r="J869" s="663"/>
      <c r="K869" s="663"/>
      <c r="L869" s="663"/>
      <c r="M869" s="663"/>
      <c r="N869" s="663"/>
      <c r="O869" s="663"/>
      <c r="P869" s="663"/>
      <c r="Q869" s="663"/>
      <c r="R869" s="663"/>
      <c r="S869" s="663"/>
      <c r="T869" s="663"/>
      <c r="U869" s="663"/>
      <c r="V869" s="663"/>
      <c r="W869" s="663"/>
      <c r="X869" s="663"/>
      <c r="Y869" s="663"/>
      <c r="Z869" s="663"/>
    </row>
    <row r="870">
      <c r="A870" s="670"/>
      <c r="B870" s="671"/>
      <c r="C870" s="672"/>
      <c r="D870" s="673"/>
      <c r="E870" s="663"/>
      <c r="F870" s="663"/>
      <c r="G870" s="663"/>
      <c r="H870" s="663"/>
      <c r="I870" s="663"/>
      <c r="J870" s="663"/>
      <c r="K870" s="663"/>
      <c r="L870" s="663"/>
      <c r="M870" s="663"/>
      <c r="N870" s="663"/>
      <c r="O870" s="663"/>
      <c r="P870" s="663"/>
      <c r="Q870" s="663"/>
      <c r="R870" s="663"/>
      <c r="S870" s="663"/>
      <c r="T870" s="663"/>
      <c r="U870" s="663"/>
      <c r="V870" s="663"/>
      <c r="W870" s="663"/>
      <c r="X870" s="663"/>
      <c r="Y870" s="663"/>
      <c r="Z870" s="663"/>
    </row>
    <row r="871">
      <c r="A871" s="670"/>
      <c r="B871" s="671"/>
      <c r="C871" s="672"/>
      <c r="D871" s="673"/>
      <c r="E871" s="663"/>
      <c r="F871" s="663"/>
      <c r="G871" s="663"/>
      <c r="H871" s="663"/>
      <c r="I871" s="663"/>
      <c r="J871" s="663"/>
      <c r="K871" s="663"/>
      <c r="L871" s="663"/>
      <c r="M871" s="663"/>
      <c r="N871" s="663"/>
      <c r="O871" s="663"/>
      <c r="P871" s="663"/>
      <c r="Q871" s="663"/>
      <c r="R871" s="663"/>
      <c r="S871" s="663"/>
      <c r="T871" s="663"/>
      <c r="U871" s="663"/>
      <c r="V871" s="663"/>
      <c r="W871" s="663"/>
      <c r="X871" s="663"/>
      <c r="Y871" s="663"/>
      <c r="Z871" s="663"/>
    </row>
    <row r="872">
      <c r="A872" s="670"/>
      <c r="B872" s="671"/>
      <c r="C872" s="672"/>
      <c r="D872" s="673"/>
      <c r="E872" s="663"/>
      <c r="F872" s="663"/>
      <c r="G872" s="663"/>
      <c r="H872" s="663"/>
      <c r="I872" s="663"/>
      <c r="J872" s="663"/>
      <c r="K872" s="663"/>
      <c r="L872" s="663"/>
      <c r="M872" s="663"/>
      <c r="N872" s="663"/>
      <c r="O872" s="663"/>
      <c r="P872" s="663"/>
      <c r="Q872" s="663"/>
      <c r="R872" s="663"/>
      <c r="S872" s="663"/>
      <c r="T872" s="663"/>
      <c r="U872" s="663"/>
      <c r="V872" s="663"/>
      <c r="W872" s="663"/>
      <c r="X872" s="663"/>
      <c r="Y872" s="663"/>
      <c r="Z872" s="663"/>
    </row>
    <row r="873">
      <c r="A873" s="670"/>
      <c r="B873" s="671"/>
      <c r="C873" s="672"/>
      <c r="D873" s="673"/>
      <c r="E873" s="663"/>
      <c r="F873" s="663"/>
      <c r="G873" s="663"/>
      <c r="H873" s="663"/>
      <c r="I873" s="663"/>
      <c r="J873" s="663"/>
      <c r="K873" s="663"/>
      <c r="L873" s="663"/>
      <c r="M873" s="663"/>
      <c r="N873" s="663"/>
      <c r="O873" s="663"/>
      <c r="P873" s="663"/>
      <c r="Q873" s="663"/>
      <c r="R873" s="663"/>
      <c r="S873" s="663"/>
      <c r="T873" s="663"/>
      <c r="U873" s="663"/>
      <c r="V873" s="663"/>
      <c r="W873" s="663"/>
      <c r="X873" s="663"/>
      <c r="Y873" s="663"/>
      <c r="Z873" s="663"/>
    </row>
    <row r="874">
      <c r="A874" s="670"/>
      <c r="B874" s="671"/>
      <c r="C874" s="672"/>
      <c r="D874" s="673"/>
      <c r="E874" s="663"/>
      <c r="F874" s="663"/>
      <c r="G874" s="663"/>
      <c r="H874" s="663"/>
      <c r="I874" s="663"/>
      <c r="J874" s="663"/>
      <c r="K874" s="663"/>
      <c r="L874" s="663"/>
      <c r="M874" s="663"/>
      <c r="N874" s="663"/>
      <c r="O874" s="663"/>
      <c r="P874" s="663"/>
      <c r="Q874" s="663"/>
      <c r="R874" s="663"/>
      <c r="S874" s="663"/>
      <c r="T874" s="663"/>
      <c r="U874" s="663"/>
      <c r="V874" s="663"/>
      <c r="W874" s="663"/>
      <c r="X874" s="663"/>
      <c r="Y874" s="663"/>
      <c r="Z874" s="663"/>
    </row>
    <row r="875">
      <c r="A875" s="670"/>
      <c r="B875" s="671"/>
      <c r="C875" s="672"/>
      <c r="D875" s="673"/>
      <c r="E875" s="663"/>
      <c r="F875" s="663"/>
      <c r="G875" s="663"/>
      <c r="H875" s="663"/>
      <c r="I875" s="663"/>
      <c r="J875" s="663"/>
      <c r="K875" s="663"/>
      <c r="L875" s="663"/>
      <c r="M875" s="663"/>
      <c r="N875" s="663"/>
      <c r="O875" s="663"/>
      <c r="P875" s="663"/>
      <c r="Q875" s="663"/>
      <c r="R875" s="663"/>
      <c r="S875" s="663"/>
      <c r="T875" s="663"/>
      <c r="U875" s="663"/>
      <c r="V875" s="663"/>
      <c r="W875" s="663"/>
      <c r="X875" s="663"/>
      <c r="Y875" s="663"/>
      <c r="Z875" s="663"/>
    </row>
    <row r="876">
      <c r="A876" s="670"/>
      <c r="B876" s="671"/>
      <c r="C876" s="672"/>
      <c r="D876" s="673"/>
      <c r="E876" s="663"/>
      <c r="F876" s="663"/>
      <c r="G876" s="663"/>
      <c r="H876" s="663"/>
      <c r="I876" s="663"/>
      <c r="J876" s="663"/>
      <c r="K876" s="663"/>
      <c r="L876" s="663"/>
      <c r="M876" s="663"/>
      <c r="N876" s="663"/>
      <c r="O876" s="663"/>
      <c r="P876" s="663"/>
      <c r="Q876" s="663"/>
      <c r="R876" s="663"/>
      <c r="S876" s="663"/>
      <c r="T876" s="663"/>
      <c r="U876" s="663"/>
      <c r="V876" s="663"/>
      <c r="W876" s="663"/>
      <c r="X876" s="663"/>
      <c r="Y876" s="663"/>
      <c r="Z876" s="663"/>
    </row>
    <row r="877">
      <c r="A877" s="670"/>
      <c r="B877" s="671"/>
      <c r="C877" s="672"/>
      <c r="D877" s="673"/>
      <c r="E877" s="663"/>
      <c r="F877" s="663"/>
      <c r="G877" s="663"/>
      <c r="H877" s="663"/>
      <c r="I877" s="663"/>
      <c r="J877" s="663"/>
      <c r="K877" s="663"/>
      <c r="L877" s="663"/>
      <c r="M877" s="663"/>
      <c r="N877" s="663"/>
      <c r="O877" s="663"/>
      <c r="P877" s="663"/>
      <c r="Q877" s="663"/>
      <c r="R877" s="663"/>
      <c r="S877" s="663"/>
      <c r="T877" s="663"/>
      <c r="U877" s="663"/>
      <c r="V877" s="663"/>
      <c r="W877" s="663"/>
      <c r="X877" s="663"/>
      <c r="Y877" s="663"/>
      <c r="Z877" s="663"/>
    </row>
    <row r="878">
      <c r="A878" s="670"/>
      <c r="B878" s="671"/>
      <c r="C878" s="672"/>
      <c r="D878" s="673"/>
      <c r="E878" s="663"/>
      <c r="F878" s="663"/>
      <c r="G878" s="663"/>
      <c r="H878" s="663"/>
      <c r="I878" s="663"/>
      <c r="J878" s="663"/>
      <c r="K878" s="663"/>
      <c r="L878" s="663"/>
      <c r="M878" s="663"/>
      <c r="N878" s="663"/>
      <c r="O878" s="663"/>
      <c r="P878" s="663"/>
      <c r="Q878" s="663"/>
      <c r="R878" s="663"/>
      <c r="S878" s="663"/>
      <c r="T878" s="663"/>
      <c r="U878" s="663"/>
      <c r="V878" s="663"/>
      <c r="W878" s="663"/>
      <c r="X878" s="663"/>
      <c r="Y878" s="663"/>
      <c r="Z878" s="663"/>
    </row>
    <row r="879">
      <c r="A879" s="670"/>
      <c r="B879" s="671"/>
      <c r="C879" s="672"/>
      <c r="D879" s="673"/>
      <c r="E879" s="663"/>
      <c r="F879" s="663"/>
      <c r="G879" s="663"/>
      <c r="H879" s="663"/>
      <c r="I879" s="663"/>
      <c r="J879" s="663"/>
      <c r="K879" s="663"/>
      <c r="L879" s="663"/>
      <c r="M879" s="663"/>
      <c r="N879" s="663"/>
      <c r="O879" s="663"/>
      <c r="P879" s="663"/>
      <c r="Q879" s="663"/>
      <c r="R879" s="663"/>
      <c r="S879" s="663"/>
      <c r="T879" s="663"/>
      <c r="U879" s="663"/>
      <c r="V879" s="663"/>
      <c r="W879" s="663"/>
      <c r="X879" s="663"/>
      <c r="Y879" s="663"/>
      <c r="Z879" s="663"/>
    </row>
    <row r="880">
      <c r="A880" s="670"/>
      <c r="B880" s="671"/>
      <c r="C880" s="672"/>
      <c r="D880" s="673"/>
      <c r="E880" s="663"/>
      <c r="F880" s="663"/>
      <c r="G880" s="663"/>
      <c r="H880" s="663"/>
      <c r="I880" s="663"/>
      <c r="J880" s="663"/>
      <c r="K880" s="663"/>
      <c r="L880" s="663"/>
      <c r="M880" s="663"/>
      <c r="N880" s="663"/>
      <c r="O880" s="663"/>
      <c r="P880" s="663"/>
      <c r="Q880" s="663"/>
      <c r="R880" s="663"/>
      <c r="S880" s="663"/>
      <c r="T880" s="663"/>
      <c r="U880" s="663"/>
      <c r="V880" s="663"/>
      <c r="W880" s="663"/>
      <c r="X880" s="663"/>
      <c r="Y880" s="663"/>
      <c r="Z880" s="663"/>
    </row>
    <row r="881">
      <c r="A881" s="670"/>
      <c r="B881" s="671"/>
      <c r="C881" s="672"/>
      <c r="D881" s="673"/>
      <c r="E881" s="663"/>
      <c r="F881" s="663"/>
      <c r="G881" s="663"/>
      <c r="H881" s="663"/>
      <c r="I881" s="663"/>
      <c r="J881" s="663"/>
      <c r="K881" s="663"/>
      <c r="L881" s="663"/>
      <c r="M881" s="663"/>
      <c r="N881" s="663"/>
      <c r="O881" s="663"/>
      <c r="P881" s="663"/>
      <c r="Q881" s="663"/>
      <c r="R881" s="663"/>
      <c r="S881" s="663"/>
      <c r="T881" s="663"/>
      <c r="U881" s="663"/>
      <c r="V881" s="663"/>
      <c r="W881" s="663"/>
      <c r="X881" s="663"/>
      <c r="Y881" s="663"/>
      <c r="Z881" s="663"/>
    </row>
    <row r="882">
      <c r="A882" s="670"/>
      <c r="B882" s="671"/>
      <c r="C882" s="672"/>
      <c r="D882" s="673"/>
      <c r="E882" s="663"/>
      <c r="F882" s="663"/>
      <c r="G882" s="663"/>
      <c r="H882" s="663"/>
      <c r="I882" s="663"/>
      <c r="J882" s="663"/>
      <c r="K882" s="663"/>
      <c r="L882" s="663"/>
      <c r="M882" s="663"/>
      <c r="N882" s="663"/>
      <c r="O882" s="663"/>
      <c r="P882" s="663"/>
      <c r="Q882" s="663"/>
      <c r="R882" s="663"/>
      <c r="S882" s="663"/>
      <c r="T882" s="663"/>
      <c r="U882" s="663"/>
      <c r="V882" s="663"/>
      <c r="W882" s="663"/>
      <c r="X882" s="663"/>
      <c r="Y882" s="663"/>
      <c r="Z882" s="663"/>
    </row>
    <row r="883">
      <c r="A883" s="670"/>
      <c r="B883" s="671"/>
      <c r="C883" s="672"/>
      <c r="D883" s="673"/>
      <c r="E883" s="663"/>
      <c r="F883" s="663"/>
      <c r="G883" s="663"/>
      <c r="H883" s="663"/>
      <c r="I883" s="663"/>
      <c r="J883" s="663"/>
      <c r="K883" s="663"/>
      <c r="L883" s="663"/>
      <c r="M883" s="663"/>
      <c r="N883" s="663"/>
      <c r="O883" s="663"/>
      <c r="P883" s="663"/>
      <c r="Q883" s="663"/>
      <c r="R883" s="663"/>
      <c r="S883" s="663"/>
      <c r="T883" s="663"/>
      <c r="U883" s="663"/>
      <c r="V883" s="663"/>
      <c r="W883" s="663"/>
      <c r="X883" s="663"/>
      <c r="Y883" s="663"/>
      <c r="Z883" s="663"/>
    </row>
    <row r="884">
      <c r="A884" s="670"/>
      <c r="B884" s="671"/>
      <c r="C884" s="672"/>
      <c r="D884" s="673"/>
      <c r="E884" s="663"/>
      <c r="F884" s="663"/>
      <c r="G884" s="663"/>
      <c r="H884" s="663"/>
      <c r="I884" s="663"/>
      <c r="J884" s="663"/>
      <c r="K884" s="663"/>
      <c r="L884" s="663"/>
      <c r="M884" s="663"/>
      <c r="N884" s="663"/>
      <c r="O884" s="663"/>
      <c r="P884" s="663"/>
      <c r="Q884" s="663"/>
      <c r="R884" s="663"/>
      <c r="S884" s="663"/>
      <c r="T884" s="663"/>
      <c r="U884" s="663"/>
      <c r="V884" s="663"/>
      <c r="W884" s="663"/>
      <c r="X884" s="663"/>
      <c r="Y884" s="663"/>
      <c r="Z884" s="663"/>
    </row>
    <row r="885">
      <c r="A885" s="670"/>
      <c r="B885" s="671"/>
      <c r="C885" s="672"/>
      <c r="D885" s="673"/>
      <c r="E885" s="663"/>
      <c r="F885" s="663"/>
      <c r="G885" s="663"/>
      <c r="H885" s="663"/>
      <c r="I885" s="663"/>
      <c r="J885" s="663"/>
      <c r="K885" s="663"/>
      <c r="L885" s="663"/>
      <c r="M885" s="663"/>
      <c r="N885" s="663"/>
      <c r="O885" s="663"/>
      <c r="P885" s="663"/>
      <c r="Q885" s="663"/>
      <c r="R885" s="663"/>
      <c r="S885" s="663"/>
      <c r="T885" s="663"/>
      <c r="U885" s="663"/>
      <c r="V885" s="663"/>
      <c r="W885" s="663"/>
      <c r="X885" s="663"/>
      <c r="Y885" s="663"/>
      <c r="Z885" s="663"/>
    </row>
    <row r="886">
      <c r="A886" s="670"/>
      <c r="B886" s="671"/>
      <c r="C886" s="672"/>
      <c r="D886" s="673"/>
      <c r="E886" s="663"/>
      <c r="F886" s="663"/>
      <c r="G886" s="663"/>
      <c r="H886" s="663"/>
      <c r="I886" s="663"/>
      <c r="J886" s="663"/>
      <c r="K886" s="663"/>
      <c r="L886" s="663"/>
      <c r="M886" s="663"/>
      <c r="N886" s="663"/>
      <c r="O886" s="663"/>
      <c r="P886" s="663"/>
      <c r="Q886" s="663"/>
      <c r="R886" s="663"/>
      <c r="S886" s="663"/>
      <c r="T886" s="663"/>
      <c r="U886" s="663"/>
      <c r="V886" s="663"/>
      <c r="W886" s="663"/>
      <c r="X886" s="663"/>
      <c r="Y886" s="663"/>
      <c r="Z886" s="663"/>
    </row>
    <row r="887">
      <c r="A887" s="670"/>
      <c r="B887" s="671"/>
      <c r="C887" s="672"/>
      <c r="D887" s="673"/>
      <c r="E887" s="663"/>
      <c r="F887" s="663"/>
      <c r="G887" s="663"/>
      <c r="H887" s="663"/>
      <c r="I887" s="663"/>
      <c r="J887" s="663"/>
      <c r="K887" s="663"/>
      <c r="L887" s="663"/>
      <c r="M887" s="663"/>
      <c r="N887" s="663"/>
      <c r="O887" s="663"/>
      <c r="P887" s="663"/>
      <c r="Q887" s="663"/>
      <c r="R887" s="663"/>
      <c r="S887" s="663"/>
      <c r="T887" s="663"/>
      <c r="U887" s="663"/>
      <c r="V887" s="663"/>
      <c r="W887" s="663"/>
      <c r="X887" s="663"/>
      <c r="Y887" s="663"/>
      <c r="Z887" s="663"/>
    </row>
    <row r="888">
      <c r="A888" s="670"/>
      <c r="B888" s="671"/>
      <c r="C888" s="672"/>
      <c r="D888" s="673"/>
      <c r="E888" s="663"/>
      <c r="F888" s="663"/>
      <c r="G888" s="663"/>
      <c r="H888" s="663"/>
      <c r="I888" s="663"/>
      <c r="J888" s="663"/>
      <c r="K888" s="663"/>
      <c r="L888" s="663"/>
      <c r="M888" s="663"/>
      <c r="N888" s="663"/>
      <c r="O888" s="663"/>
      <c r="P888" s="663"/>
      <c r="Q888" s="663"/>
      <c r="R888" s="663"/>
      <c r="S888" s="663"/>
      <c r="T888" s="663"/>
      <c r="U888" s="663"/>
      <c r="V888" s="663"/>
      <c r="W888" s="663"/>
      <c r="X888" s="663"/>
      <c r="Y888" s="663"/>
      <c r="Z888" s="663"/>
    </row>
    <row r="889">
      <c r="A889" s="670"/>
      <c r="B889" s="671"/>
      <c r="C889" s="672"/>
      <c r="D889" s="673"/>
      <c r="E889" s="663"/>
      <c r="F889" s="663"/>
      <c r="G889" s="663"/>
      <c r="H889" s="663"/>
      <c r="I889" s="663"/>
      <c r="J889" s="663"/>
      <c r="K889" s="663"/>
      <c r="L889" s="663"/>
      <c r="M889" s="663"/>
      <c r="N889" s="663"/>
      <c r="O889" s="663"/>
      <c r="P889" s="663"/>
      <c r="Q889" s="663"/>
      <c r="R889" s="663"/>
      <c r="S889" s="663"/>
      <c r="T889" s="663"/>
      <c r="U889" s="663"/>
      <c r="V889" s="663"/>
      <c r="W889" s="663"/>
      <c r="X889" s="663"/>
      <c r="Y889" s="663"/>
      <c r="Z889" s="663"/>
    </row>
    <row r="890">
      <c r="A890" s="670"/>
      <c r="B890" s="671"/>
      <c r="C890" s="672"/>
      <c r="D890" s="673"/>
      <c r="E890" s="663"/>
      <c r="F890" s="663"/>
      <c r="G890" s="663"/>
      <c r="H890" s="663"/>
      <c r="I890" s="663"/>
      <c r="J890" s="663"/>
      <c r="K890" s="663"/>
      <c r="L890" s="663"/>
      <c r="M890" s="663"/>
      <c r="N890" s="663"/>
      <c r="O890" s="663"/>
      <c r="P890" s="663"/>
      <c r="Q890" s="663"/>
      <c r="R890" s="663"/>
      <c r="S890" s="663"/>
      <c r="T890" s="663"/>
      <c r="U890" s="663"/>
      <c r="V890" s="663"/>
      <c r="W890" s="663"/>
      <c r="X890" s="663"/>
      <c r="Y890" s="663"/>
      <c r="Z890" s="663"/>
    </row>
    <row r="891">
      <c r="A891" s="670"/>
      <c r="B891" s="671"/>
      <c r="C891" s="672"/>
      <c r="D891" s="673"/>
      <c r="E891" s="663"/>
      <c r="F891" s="663"/>
      <c r="G891" s="663"/>
      <c r="H891" s="663"/>
      <c r="I891" s="663"/>
      <c r="J891" s="663"/>
      <c r="K891" s="663"/>
      <c r="L891" s="663"/>
      <c r="M891" s="663"/>
      <c r="N891" s="663"/>
      <c r="O891" s="663"/>
      <c r="P891" s="663"/>
      <c r="Q891" s="663"/>
      <c r="R891" s="663"/>
      <c r="S891" s="663"/>
      <c r="T891" s="663"/>
      <c r="U891" s="663"/>
      <c r="V891" s="663"/>
      <c r="W891" s="663"/>
      <c r="X891" s="663"/>
      <c r="Y891" s="663"/>
      <c r="Z891" s="663"/>
    </row>
    <row r="892">
      <c r="A892" s="670"/>
      <c r="B892" s="671"/>
      <c r="C892" s="672"/>
      <c r="D892" s="673"/>
      <c r="E892" s="663"/>
      <c r="F892" s="663"/>
      <c r="G892" s="663"/>
      <c r="H892" s="663"/>
      <c r="I892" s="663"/>
      <c r="J892" s="663"/>
      <c r="K892" s="663"/>
      <c r="L892" s="663"/>
      <c r="M892" s="663"/>
      <c r="N892" s="663"/>
      <c r="O892" s="663"/>
      <c r="P892" s="663"/>
      <c r="Q892" s="663"/>
      <c r="R892" s="663"/>
      <c r="S892" s="663"/>
      <c r="T892" s="663"/>
      <c r="U892" s="663"/>
      <c r="V892" s="663"/>
      <c r="W892" s="663"/>
      <c r="X892" s="663"/>
      <c r="Y892" s="663"/>
      <c r="Z892" s="663"/>
    </row>
    <row r="893">
      <c r="A893" s="670"/>
      <c r="B893" s="671"/>
      <c r="C893" s="672"/>
      <c r="D893" s="673"/>
      <c r="E893" s="663"/>
      <c r="F893" s="663"/>
      <c r="G893" s="663"/>
      <c r="H893" s="663"/>
      <c r="I893" s="663"/>
      <c r="J893" s="663"/>
      <c r="K893" s="663"/>
      <c r="L893" s="663"/>
      <c r="M893" s="663"/>
      <c r="N893" s="663"/>
      <c r="O893" s="663"/>
      <c r="P893" s="663"/>
      <c r="Q893" s="663"/>
      <c r="R893" s="663"/>
      <c r="S893" s="663"/>
      <c r="T893" s="663"/>
      <c r="U893" s="663"/>
      <c r="V893" s="663"/>
      <c r="W893" s="663"/>
      <c r="X893" s="663"/>
      <c r="Y893" s="663"/>
      <c r="Z893" s="663"/>
    </row>
    <row r="894">
      <c r="A894" s="670"/>
      <c r="B894" s="671"/>
      <c r="C894" s="672"/>
      <c r="D894" s="673"/>
      <c r="E894" s="663"/>
      <c r="F894" s="663"/>
      <c r="G894" s="663"/>
      <c r="H894" s="663"/>
      <c r="I894" s="663"/>
      <c r="J894" s="663"/>
      <c r="K894" s="663"/>
      <c r="L894" s="663"/>
      <c r="M894" s="663"/>
      <c r="N894" s="663"/>
      <c r="O894" s="663"/>
      <c r="P894" s="663"/>
      <c r="Q894" s="663"/>
      <c r="R894" s="663"/>
      <c r="S894" s="663"/>
      <c r="T894" s="663"/>
      <c r="U894" s="663"/>
      <c r="V894" s="663"/>
      <c r="W894" s="663"/>
      <c r="X894" s="663"/>
      <c r="Y894" s="663"/>
      <c r="Z894" s="663"/>
    </row>
    <row r="895">
      <c r="A895" s="670"/>
      <c r="B895" s="671"/>
      <c r="C895" s="672"/>
      <c r="D895" s="673"/>
      <c r="E895" s="663"/>
      <c r="F895" s="663"/>
      <c r="G895" s="663"/>
      <c r="H895" s="663"/>
      <c r="I895" s="663"/>
      <c r="J895" s="663"/>
      <c r="K895" s="663"/>
      <c r="L895" s="663"/>
      <c r="M895" s="663"/>
      <c r="N895" s="663"/>
      <c r="O895" s="663"/>
      <c r="P895" s="663"/>
      <c r="Q895" s="663"/>
      <c r="R895" s="663"/>
      <c r="S895" s="663"/>
      <c r="T895" s="663"/>
      <c r="U895" s="663"/>
      <c r="V895" s="663"/>
      <c r="W895" s="663"/>
      <c r="X895" s="663"/>
      <c r="Y895" s="663"/>
      <c r="Z895" s="663"/>
    </row>
    <row r="896">
      <c r="A896" s="670"/>
      <c r="B896" s="671"/>
      <c r="C896" s="672"/>
      <c r="D896" s="673"/>
      <c r="E896" s="663"/>
      <c r="F896" s="663"/>
      <c r="G896" s="663"/>
      <c r="H896" s="663"/>
      <c r="I896" s="663"/>
      <c r="J896" s="663"/>
      <c r="K896" s="663"/>
      <c r="L896" s="663"/>
      <c r="M896" s="663"/>
      <c r="N896" s="663"/>
      <c r="O896" s="663"/>
      <c r="P896" s="663"/>
      <c r="Q896" s="663"/>
      <c r="R896" s="663"/>
      <c r="S896" s="663"/>
      <c r="T896" s="663"/>
      <c r="U896" s="663"/>
      <c r="V896" s="663"/>
      <c r="W896" s="663"/>
      <c r="X896" s="663"/>
      <c r="Y896" s="663"/>
      <c r="Z896" s="663"/>
    </row>
    <row r="897">
      <c r="A897" s="670"/>
      <c r="B897" s="671"/>
      <c r="C897" s="672"/>
      <c r="D897" s="673"/>
      <c r="E897" s="663"/>
      <c r="F897" s="663"/>
      <c r="G897" s="663"/>
      <c r="H897" s="663"/>
      <c r="I897" s="663"/>
      <c r="J897" s="663"/>
      <c r="K897" s="663"/>
      <c r="L897" s="663"/>
      <c r="M897" s="663"/>
      <c r="N897" s="663"/>
      <c r="O897" s="663"/>
      <c r="P897" s="663"/>
      <c r="Q897" s="663"/>
      <c r="R897" s="663"/>
      <c r="S897" s="663"/>
      <c r="T897" s="663"/>
      <c r="U897" s="663"/>
      <c r="V897" s="663"/>
      <c r="W897" s="663"/>
      <c r="X897" s="663"/>
      <c r="Y897" s="663"/>
      <c r="Z897" s="663"/>
    </row>
    <row r="898">
      <c r="A898" s="670"/>
      <c r="B898" s="671"/>
      <c r="C898" s="672"/>
      <c r="D898" s="673"/>
      <c r="E898" s="663"/>
      <c r="F898" s="663"/>
      <c r="G898" s="663"/>
      <c r="H898" s="663"/>
      <c r="I898" s="663"/>
      <c r="J898" s="663"/>
      <c r="K898" s="663"/>
      <c r="L898" s="663"/>
      <c r="M898" s="663"/>
      <c r="N898" s="663"/>
      <c r="O898" s="663"/>
      <c r="P898" s="663"/>
      <c r="Q898" s="663"/>
      <c r="R898" s="663"/>
      <c r="S898" s="663"/>
      <c r="T898" s="663"/>
      <c r="U898" s="663"/>
      <c r="V898" s="663"/>
      <c r="W898" s="663"/>
      <c r="X898" s="663"/>
      <c r="Y898" s="663"/>
      <c r="Z898" s="663"/>
    </row>
    <row r="899">
      <c r="A899" s="670"/>
      <c r="B899" s="671"/>
      <c r="C899" s="672"/>
      <c r="D899" s="673"/>
      <c r="E899" s="663"/>
      <c r="F899" s="663"/>
      <c r="G899" s="663"/>
      <c r="H899" s="663"/>
      <c r="I899" s="663"/>
      <c r="J899" s="663"/>
      <c r="K899" s="663"/>
      <c r="L899" s="663"/>
      <c r="M899" s="663"/>
      <c r="N899" s="663"/>
      <c r="O899" s="663"/>
      <c r="P899" s="663"/>
      <c r="Q899" s="663"/>
      <c r="R899" s="663"/>
      <c r="S899" s="663"/>
      <c r="T899" s="663"/>
      <c r="U899" s="663"/>
      <c r="V899" s="663"/>
      <c r="W899" s="663"/>
      <c r="X899" s="663"/>
      <c r="Y899" s="663"/>
      <c r="Z899" s="663"/>
    </row>
    <row r="900">
      <c r="A900" s="670"/>
      <c r="B900" s="671"/>
      <c r="C900" s="672"/>
      <c r="D900" s="673"/>
      <c r="E900" s="663"/>
      <c r="F900" s="663"/>
      <c r="G900" s="663"/>
      <c r="H900" s="663"/>
      <c r="I900" s="663"/>
      <c r="J900" s="663"/>
      <c r="K900" s="663"/>
      <c r="L900" s="663"/>
      <c r="M900" s="663"/>
      <c r="N900" s="663"/>
      <c r="O900" s="663"/>
      <c r="P900" s="663"/>
      <c r="Q900" s="663"/>
      <c r="R900" s="663"/>
      <c r="S900" s="663"/>
      <c r="T900" s="663"/>
      <c r="U900" s="663"/>
      <c r="V900" s="663"/>
      <c r="W900" s="663"/>
      <c r="X900" s="663"/>
      <c r="Y900" s="663"/>
      <c r="Z900" s="663"/>
    </row>
    <row r="901">
      <c r="A901" s="670"/>
      <c r="B901" s="671"/>
      <c r="C901" s="672"/>
      <c r="D901" s="673"/>
      <c r="E901" s="663"/>
      <c r="F901" s="663"/>
      <c r="G901" s="663"/>
      <c r="H901" s="663"/>
      <c r="I901" s="663"/>
      <c r="J901" s="663"/>
      <c r="K901" s="663"/>
      <c r="L901" s="663"/>
      <c r="M901" s="663"/>
      <c r="N901" s="663"/>
      <c r="O901" s="663"/>
      <c r="P901" s="663"/>
      <c r="Q901" s="663"/>
      <c r="R901" s="663"/>
      <c r="S901" s="663"/>
      <c r="T901" s="663"/>
      <c r="U901" s="663"/>
      <c r="V901" s="663"/>
      <c r="W901" s="663"/>
      <c r="X901" s="663"/>
      <c r="Y901" s="663"/>
      <c r="Z901" s="663"/>
    </row>
    <row r="902">
      <c r="A902" s="670"/>
      <c r="B902" s="671"/>
      <c r="C902" s="672"/>
      <c r="D902" s="673"/>
      <c r="E902" s="663"/>
      <c r="F902" s="663"/>
      <c r="G902" s="663"/>
      <c r="H902" s="663"/>
      <c r="I902" s="663"/>
      <c r="J902" s="663"/>
      <c r="K902" s="663"/>
      <c r="L902" s="663"/>
      <c r="M902" s="663"/>
      <c r="N902" s="663"/>
      <c r="O902" s="663"/>
      <c r="P902" s="663"/>
      <c r="Q902" s="663"/>
      <c r="R902" s="663"/>
      <c r="S902" s="663"/>
      <c r="T902" s="663"/>
      <c r="U902" s="663"/>
      <c r="V902" s="663"/>
      <c r="W902" s="663"/>
      <c r="X902" s="663"/>
      <c r="Y902" s="663"/>
      <c r="Z902" s="663"/>
    </row>
    <row r="903">
      <c r="A903" s="670"/>
      <c r="B903" s="671"/>
      <c r="C903" s="672"/>
      <c r="D903" s="673"/>
      <c r="E903" s="663"/>
      <c r="F903" s="663"/>
      <c r="G903" s="663"/>
      <c r="H903" s="663"/>
      <c r="I903" s="663"/>
      <c r="J903" s="663"/>
      <c r="K903" s="663"/>
      <c r="L903" s="663"/>
      <c r="M903" s="663"/>
      <c r="N903" s="663"/>
      <c r="O903" s="663"/>
      <c r="P903" s="663"/>
      <c r="Q903" s="663"/>
      <c r="R903" s="663"/>
      <c r="S903" s="663"/>
      <c r="T903" s="663"/>
      <c r="U903" s="663"/>
      <c r="V903" s="663"/>
      <c r="W903" s="663"/>
      <c r="X903" s="663"/>
      <c r="Y903" s="663"/>
      <c r="Z903" s="663"/>
    </row>
    <row r="904">
      <c r="A904" s="670"/>
      <c r="B904" s="671"/>
      <c r="C904" s="672"/>
      <c r="D904" s="673"/>
      <c r="E904" s="663"/>
      <c r="F904" s="663"/>
      <c r="G904" s="663"/>
      <c r="H904" s="663"/>
      <c r="I904" s="663"/>
      <c r="J904" s="663"/>
      <c r="K904" s="663"/>
      <c r="L904" s="663"/>
      <c r="M904" s="663"/>
      <c r="N904" s="663"/>
      <c r="O904" s="663"/>
      <c r="P904" s="663"/>
      <c r="Q904" s="663"/>
      <c r="R904" s="663"/>
      <c r="S904" s="663"/>
      <c r="T904" s="663"/>
      <c r="U904" s="663"/>
      <c r="V904" s="663"/>
      <c r="W904" s="663"/>
      <c r="X904" s="663"/>
      <c r="Y904" s="663"/>
      <c r="Z904" s="663"/>
    </row>
    <row r="905">
      <c r="A905" s="670"/>
      <c r="B905" s="671"/>
      <c r="C905" s="672"/>
      <c r="D905" s="673"/>
      <c r="E905" s="663"/>
      <c r="F905" s="663"/>
      <c r="G905" s="663"/>
      <c r="H905" s="663"/>
      <c r="I905" s="663"/>
      <c r="J905" s="663"/>
      <c r="K905" s="663"/>
      <c r="L905" s="663"/>
      <c r="M905" s="663"/>
      <c r="N905" s="663"/>
      <c r="O905" s="663"/>
      <c r="P905" s="663"/>
      <c r="Q905" s="663"/>
      <c r="R905" s="663"/>
      <c r="S905" s="663"/>
      <c r="T905" s="663"/>
      <c r="U905" s="663"/>
      <c r="V905" s="663"/>
      <c r="W905" s="663"/>
      <c r="X905" s="663"/>
      <c r="Y905" s="663"/>
      <c r="Z905" s="663"/>
    </row>
    <row r="906">
      <c r="A906" s="670"/>
      <c r="B906" s="671"/>
      <c r="C906" s="672"/>
      <c r="D906" s="673"/>
      <c r="E906" s="663"/>
      <c r="F906" s="663"/>
      <c r="G906" s="663"/>
      <c r="H906" s="663"/>
      <c r="I906" s="663"/>
      <c r="J906" s="663"/>
      <c r="K906" s="663"/>
      <c r="L906" s="663"/>
      <c r="M906" s="663"/>
      <c r="N906" s="663"/>
      <c r="O906" s="663"/>
      <c r="P906" s="663"/>
      <c r="Q906" s="663"/>
      <c r="R906" s="663"/>
      <c r="S906" s="663"/>
      <c r="T906" s="663"/>
      <c r="U906" s="663"/>
      <c r="V906" s="663"/>
      <c r="W906" s="663"/>
      <c r="X906" s="663"/>
      <c r="Y906" s="663"/>
      <c r="Z906" s="663"/>
    </row>
    <row r="907">
      <c r="A907" s="670"/>
      <c r="B907" s="671"/>
      <c r="C907" s="672"/>
      <c r="D907" s="673"/>
      <c r="E907" s="663"/>
      <c r="F907" s="663"/>
      <c r="G907" s="663"/>
      <c r="H907" s="663"/>
      <c r="I907" s="663"/>
      <c r="J907" s="663"/>
      <c r="K907" s="663"/>
      <c r="L907" s="663"/>
      <c r="M907" s="663"/>
      <c r="N907" s="663"/>
      <c r="O907" s="663"/>
      <c r="P907" s="663"/>
      <c r="Q907" s="663"/>
      <c r="R907" s="663"/>
      <c r="S907" s="663"/>
      <c r="T907" s="663"/>
      <c r="U907" s="663"/>
      <c r="V907" s="663"/>
      <c r="W907" s="663"/>
      <c r="X907" s="663"/>
      <c r="Y907" s="663"/>
      <c r="Z907" s="663"/>
    </row>
    <row r="908">
      <c r="A908" s="670"/>
      <c r="B908" s="671"/>
      <c r="C908" s="672"/>
      <c r="D908" s="673"/>
      <c r="E908" s="663"/>
      <c r="F908" s="663"/>
      <c r="G908" s="663"/>
      <c r="H908" s="663"/>
      <c r="I908" s="663"/>
      <c r="J908" s="663"/>
      <c r="K908" s="663"/>
      <c r="L908" s="663"/>
      <c r="M908" s="663"/>
      <c r="N908" s="663"/>
      <c r="O908" s="663"/>
      <c r="P908" s="663"/>
      <c r="Q908" s="663"/>
      <c r="R908" s="663"/>
      <c r="S908" s="663"/>
      <c r="T908" s="663"/>
      <c r="U908" s="663"/>
      <c r="V908" s="663"/>
      <c r="W908" s="663"/>
      <c r="X908" s="663"/>
      <c r="Y908" s="663"/>
      <c r="Z908" s="663"/>
    </row>
    <row r="909">
      <c r="A909" s="670"/>
      <c r="B909" s="671"/>
      <c r="C909" s="672"/>
      <c r="D909" s="673"/>
      <c r="E909" s="663"/>
      <c r="F909" s="663"/>
      <c r="G909" s="663"/>
      <c r="H909" s="663"/>
      <c r="I909" s="663"/>
      <c r="J909" s="663"/>
      <c r="K909" s="663"/>
      <c r="L909" s="663"/>
      <c r="M909" s="663"/>
      <c r="N909" s="663"/>
      <c r="O909" s="663"/>
      <c r="P909" s="663"/>
      <c r="Q909" s="663"/>
      <c r="R909" s="663"/>
      <c r="S909" s="663"/>
      <c r="T909" s="663"/>
      <c r="U909" s="663"/>
      <c r="V909" s="663"/>
      <c r="W909" s="663"/>
      <c r="X909" s="663"/>
      <c r="Y909" s="663"/>
      <c r="Z909" s="663"/>
    </row>
    <row r="910">
      <c r="A910" s="670"/>
      <c r="B910" s="671"/>
      <c r="C910" s="672"/>
      <c r="D910" s="673"/>
      <c r="E910" s="663"/>
      <c r="F910" s="663"/>
      <c r="G910" s="663"/>
      <c r="H910" s="663"/>
      <c r="I910" s="663"/>
      <c r="J910" s="663"/>
      <c r="K910" s="663"/>
      <c r="L910" s="663"/>
      <c r="M910" s="663"/>
      <c r="N910" s="663"/>
      <c r="O910" s="663"/>
      <c r="P910" s="663"/>
      <c r="Q910" s="663"/>
      <c r="R910" s="663"/>
      <c r="S910" s="663"/>
      <c r="T910" s="663"/>
      <c r="U910" s="663"/>
      <c r="V910" s="663"/>
      <c r="W910" s="663"/>
      <c r="X910" s="663"/>
      <c r="Y910" s="663"/>
      <c r="Z910" s="663"/>
    </row>
    <row r="911">
      <c r="A911" s="670"/>
      <c r="B911" s="671"/>
      <c r="C911" s="672"/>
      <c r="D911" s="673"/>
      <c r="E911" s="663"/>
      <c r="F911" s="663"/>
      <c r="G911" s="663"/>
      <c r="H911" s="663"/>
      <c r="I911" s="663"/>
      <c r="J911" s="663"/>
      <c r="K911" s="663"/>
      <c r="L911" s="663"/>
      <c r="M911" s="663"/>
      <c r="N911" s="663"/>
      <c r="O911" s="663"/>
      <c r="P911" s="663"/>
      <c r="Q911" s="663"/>
      <c r="R911" s="663"/>
      <c r="S911" s="663"/>
      <c r="T911" s="663"/>
      <c r="U911" s="663"/>
      <c r="V911" s="663"/>
      <c r="W911" s="663"/>
      <c r="X911" s="663"/>
      <c r="Y911" s="663"/>
      <c r="Z911" s="663"/>
    </row>
    <row r="912">
      <c r="A912" s="670"/>
      <c r="B912" s="671"/>
      <c r="C912" s="672"/>
      <c r="D912" s="673"/>
      <c r="E912" s="663"/>
      <c r="F912" s="663"/>
      <c r="G912" s="663"/>
      <c r="H912" s="663"/>
      <c r="I912" s="663"/>
      <c r="J912" s="663"/>
      <c r="K912" s="663"/>
      <c r="L912" s="663"/>
      <c r="M912" s="663"/>
      <c r="N912" s="663"/>
      <c r="O912" s="663"/>
      <c r="P912" s="663"/>
      <c r="Q912" s="663"/>
      <c r="R912" s="663"/>
      <c r="S912" s="663"/>
      <c r="T912" s="663"/>
      <c r="U912" s="663"/>
      <c r="V912" s="663"/>
      <c r="W912" s="663"/>
      <c r="X912" s="663"/>
      <c r="Y912" s="663"/>
      <c r="Z912" s="663"/>
    </row>
    <row r="913">
      <c r="A913" s="670"/>
      <c r="B913" s="671"/>
      <c r="C913" s="672"/>
      <c r="D913" s="673"/>
      <c r="E913" s="663"/>
      <c r="F913" s="663"/>
      <c r="G913" s="663"/>
      <c r="H913" s="663"/>
      <c r="I913" s="663"/>
      <c r="J913" s="663"/>
      <c r="K913" s="663"/>
      <c r="L913" s="663"/>
      <c r="M913" s="663"/>
      <c r="N913" s="663"/>
      <c r="O913" s="663"/>
      <c r="P913" s="663"/>
      <c r="Q913" s="663"/>
      <c r="R913" s="663"/>
      <c r="S913" s="663"/>
      <c r="T913" s="663"/>
      <c r="U913" s="663"/>
      <c r="V913" s="663"/>
      <c r="W913" s="663"/>
      <c r="X913" s="663"/>
      <c r="Y913" s="663"/>
      <c r="Z913" s="663"/>
    </row>
    <row r="914">
      <c r="A914" s="670"/>
      <c r="B914" s="671"/>
      <c r="C914" s="672"/>
      <c r="D914" s="673"/>
      <c r="E914" s="663"/>
      <c r="F914" s="663"/>
      <c r="G914" s="663"/>
      <c r="H914" s="663"/>
      <c r="I914" s="663"/>
      <c r="J914" s="663"/>
      <c r="K914" s="663"/>
      <c r="L914" s="663"/>
      <c r="M914" s="663"/>
      <c r="N914" s="663"/>
      <c r="O914" s="663"/>
      <c r="P914" s="663"/>
      <c r="Q914" s="663"/>
      <c r="R914" s="663"/>
      <c r="S914" s="663"/>
      <c r="T914" s="663"/>
      <c r="U914" s="663"/>
      <c r="V914" s="663"/>
      <c r="W914" s="663"/>
      <c r="X914" s="663"/>
      <c r="Y914" s="663"/>
      <c r="Z914" s="663"/>
    </row>
    <row r="915">
      <c r="A915" s="670"/>
      <c r="B915" s="671"/>
      <c r="C915" s="672"/>
      <c r="D915" s="673"/>
      <c r="E915" s="663"/>
      <c r="F915" s="663"/>
      <c r="G915" s="663"/>
      <c r="H915" s="663"/>
      <c r="I915" s="663"/>
      <c r="J915" s="663"/>
      <c r="K915" s="663"/>
      <c r="L915" s="663"/>
      <c r="M915" s="663"/>
      <c r="N915" s="663"/>
      <c r="O915" s="663"/>
      <c r="P915" s="663"/>
      <c r="Q915" s="663"/>
      <c r="R915" s="663"/>
      <c r="S915" s="663"/>
      <c r="T915" s="663"/>
      <c r="U915" s="663"/>
      <c r="V915" s="663"/>
      <c r="W915" s="663"/>
      <c r="X915" s="663"/>
      <c r="Y915" s="663"/>
      <c r="Z915" s="663"/>
    </row>
    <row r="916">
      <c r="A916" s="670"/>
      <c r="B916" s="671"/>
      <c r="C916" s="672"/>
      <c r="D916" s="673"/>
      <c r="E916" s="663"/>
      <c r="F916" s="663"/>
      <c r="G916" s="663"/>
      <c r="H916" s="663"/>
      <c r="I916" s="663"/>
      <c r="J916" s="663"/>
      <c r="K916" s="663"/>
      <c r="L916" s="663"/>
      <c r="M916" s="663"/>
      <c r="N916" s="663"/>
      <c r="O916" s="663"/>
      <c r="P916" s="663"/>
      <c r="Q916" s="663"/>
      <c r="R916" s="663"/>
      <c r="S916" s="663"/>
      <c r="T916" s="663"/>
      <c r="U916" s="663"/>
      <c r="V916" s="663"/>
      <c r="W916" s="663"/>
      <c r="X916" s="663"/>
      <c r="Y916" s="663"/>
      <c r="Z916" s="663"/>
    </row>
    <row r="917">
      <c r="A917" s="670"/>
      <c r="B917" s="671"/>
      <c r="C917" s="672"/>
      <c r="D917" s="673"/>
      <c r="E917" s="663"/>
      <c r="F917" s="663"/>
      <c r="G917" s="663"/>
      <c r="H917" s="663"/>
      <c r="I917" s="663"/>
      <c r="J917" s="663"/>
      <c r="K917" s="663"/>
      <c r="L917" s="663"/>
      <c r="M917" s="663"/>
      <c r="N917" s="663"/>
      <c r="O917" s="663"/>
      <c r="P917" s="663"/>
      <c r="Q917" s="663"/>
      <c r="R917" s="663"/>
      <c r="S917" s="663"/>
      <c r="T917" s="663"/>
      <c r="U917" s="663"/>
      <c r="V917" s="663"/>
      <c r="W917" s="663"/>
      <c r="X917" s="663"/>
      <c r="Y917" s="663"/>
      <c r="Z917" s="663"/>
    </row>
    <row r="918">
      <c r="A918" s="670"/>
      <c r="B918" s="671"/>
      <c r="C918" s="672"/>
      <c r="D918" s="673"/>
      <c r="E918" s="663"/>
      <c r="F918" s="663"/>
      <c r="G918" s="663"/>
      <c r="H918" s="663"/>
      <c r="I918" s="663"/>
      <c r="J918" s="663"/>
      <c r="K918" s="663"/>
      <c r="L918" s="663"/>
      <c r="M918" s="663"/>
      <c r="N918" s="663"/>
      <c r="O918" s="663"/>
      <c r="P918" s="663"/>
      <c r="Q918" s="663"/>
      <c r="R918" s="663"/>
      <c r="S918" s="663"/>
      <c r="T918" s="663"/>
      <c r="U918" s="663"/>
      <c r="V918" s="663"/>
      <c r="W918" s="663"/>
      <c r="X918" s="663"/>
      <c r="Y918" s="663"/>
      <c r="Z918" s="663"/>
    </row>
    <row r="919">
      <c r="A919" s="670"/>
      <c r="B919" s="671"/>
      <c r="C919" s="672"/>
      <c r="D919" s="673"/>
      <c r="E919" s="663"/>
      <c r="F919" s="663"/>
      <c r="G919" s="663"/>
      <c r="H919" s="663"/>
      <c r="I919" s="663"/>
      <c r="J919" s="663"/>
      <c r="K919" s="663"/>
      <c r="L919" s="663"/>
      <c r="M919" s="663"/>
      <c r="N919" s="663"/>
      <c r="O919" s="663"/>
      <c r="P919" s="663"/>
      <c r="Q919" s="663"/>
      <c r="R919" s="663"/>
      <c r="S919" s="663"/>
      <c r="T919" s="663"/>
      <c r="U919" s="663"/>
      <c r="V919" s="663"/>
      <c r="W919" s="663"/>
      <c r="X919" s="663"/>
      <c r="Y919" s="663"/>
      <c r="Z919" s="663"/>
    </row>
    <row r="920">
      <c r="A920" s="670"/>
      <c r="B920" s="671"/>
      <c r="C920" s="672"/>
      <c r="D920" s="673"/>
      <c r="E920" s="663"/>
      <c r="F920" s="663"/>
      <c r="G920" s="663"/>
      <c r="H920" s="663"/>
      <c r="I920" s="663"/>
      <c r="J920" s="663"/>
      <c r="K920" s="663"/>
      <c r="L920" s="663"/>
      <c r="M920" s="663"/>
      <c r="N920" s="663"/>
      <c r="O920" s="663"/>
      <c r="P920" s="663"/>
      <c r="Q920" s="663"/>
      <c r="R920" s="663"/>
      <c r="S920" s="663"/>
      <c r="T920" s="663"/>
      <c r="U920" s="663"/>
      <c r="V920" s="663"/>
      <c r="W920" s="663"/>
      <c r="X920" s="663"/>
      <c r="Y920" s="663"/>
      <c r="Z920" s="663"/>
    </row>
    <row r="921">
      <c r="A921" s="670"/>
      <c r="B921" s="671"/>
      <c r="C921" s="672"/>
      <c r="D921" s="673"/>
      <c r="E921" s="663"/>
      <c r="F921" s="663"/>
      <c r="G921" s="663"/>
      <c r="H921" s="663"/>
      <c r="I921" s="663"/>
      <c r="J921" s="663"/>
      <c r="K921" s="663"/>
      <c r="L921" s="663"/>
      <c r="M921" s="663"/>
      <c r="N921" s="663"/>
      <c r="O921" s="663"/>
      <c r="P921" s="663"/>
      <c r="Q921" s="663"/>
      <c r="R921" s="663"/>
      <c r="S921" s="663"/>
      <c r="T921" s="663"/>
      <c r="U921" s="663"/>
      <c r="V921" s="663"/>
      <c r="W921" s="663"/>
      <c r="X921" s="663"/>
      <c r="Y921" s="663"/>
      <c r="Z921" s="663"/>
    </row>
    <row r="922">
      <c r="A922" s="670"/>
      <c r="B922" s="671"/>
      <c r="C922" s="672"/>
      <c r="D922" s="673"/>
      <c r="E922" s="663"/>
      <c r="F922" s="663"/>
      <c r="G922" s="663"/>
      <c r="H922" s="663"/>
      <c r="I922" s="663"/>
      <c r="J922" s="663"/>
      <c r="K922" s="663"/>
      <c r="L922" s="663"/>
      <c r="M922" s="663"/>
      <c r="N922" s="663"/>
      <c r="O922" s="663"/>
      <c r="P922" s="663"/>
      <c r="Q922" s="663"/>
      <c r="R922" s="663"/>
      <c r="S922" s="663"/>
      <c r="T922" s="663"/>
      <c r="U922" s="663"/>
      <c r="V922" s="663"/>
      <c r="W922" s="663"/>
      <c r="X922" s="663"/>
      <c r="Y922" s="663"/>
      <c r="Z922" s="663"/>
    </row>
    <row r="923">
      <c r="A923" s="670"/>
      <c r="B923" s="671"/>
      <c r="C923" s="672"/>
      <c r="D923" s="673"/>
      <c r="E923" s="663"/>
      <c r="F923" s="663"/>
      <c r="G923" s="663"/>
      <c r="H923" s="663"/>
      <c r="I923" s="663"/>
      <c r="J923" s="663"/>
      <c r="K923" s="663"/>
      <c r="L923" s="663"/>
      <c r="M923" s="663"/>
      <c r="N923" s="663"/>
      <c r="O923" s="663"/>
      <c r="P923" s="663"/>
      <c r="Q923" s="663"/>
      <c r="R923" s="663"/>
      <c r="S923" s="663"/>
      <c r="T923" s="663"/>
      <c r="U923" s="663"/>
      <c r="V923" s="663"/>
      <c r="W923" s="663"/>
      <c r="X923" s="663"/>
      <c r="Y923" s="663"/>
      <c r="Z923" s="663"/>
    </row>
    <row r="924">
      <c r="A924" s="670"/>
      <c r="B924" s="671"/>
      <c r="C924" s="672"/>
      <c r="D924" s="673"/>
      <c r="E924" s="663"/>
      <c r="F924" s="663"/>
      <c r="G924" s="663"/>
      <c r="H924" s="663"/>
      <c r="I924" s="663"/>
      <c r="J924" s="663"/>
      <c r="K924" s="663"/>
      <c r="L924" s="663"/>
      <c r="M924" s="663"/>
      <c r="N924" s="663"/>
      <c r="O924" s="663"/>
      <c r="P924" s="663"/>
      <c r="Q924" s="663"/>
      <c r="R924" s="663"/>
      <c r="S924" s="663"/>
      <c r="T924" s="663"/>
      <c r="U924" s="663"/>
      <c r="V924" s="663"/>
      <c r="W924" s="663"/>
      <c r="X924" s="663"/>
      <c r="Y924" s="663"/>
      <c r="Z924" s="663"/>
    </row>
    <row r="925">
      <c r="A925" s="670"/>
      <c r="B925" s="671"/>
      <c r="C925" s="672"/>
      <c r="D925" s="673"/>
      <c r="E925" s="663"/>
      <c r="F925" s="663"/>
      <c r="G925" s="663"/>
      <c r="H925" s="663"/>
      <c r="I925" s="663"/>
      <c r="J925" s="663"/>
      <c r="K925" s="663"/>
      <c r="L925" s="663"/>
      <c r="M925" s="663"/>
      <c r="N925" s="663"/>
      <c r="O925" s="663"/>
      <c r="P925" s="663"/>
      <c r="Q925" s="663"/>
      <c r="R925" s="663"/>
      <c r="S925" s="663"/>
      <c r="T925" s="663"/>
      <c r="U925" s="663"/>
      <c r="V925" s="663"/>
      <c r="W925" s="663"/>
      <c r="X925" s="663"/>
      <c r="Y925" s="663"/>
      <c r="Z925" s="663"/>
    </row>
    <row r="926">
      <c r="A926" s="670"/>
      <c r="B926" s="671"/>
      <c r="C926" s="672"/>
      <c r="D926" s="673"/>
      <c r="E926" s="663"/>
      <c r="F926" s="663"/>
      <c r="G926" s="663"/>
      <c r="H926" s="663"/>
      <c r="I926" s="663"/>
      <c r="J926" s="663"/>
      <c r="K926" s="663"/>
      <c r="L926" s="663"/>
      <c r="M926" s="663"/>
      <c r="N926" s="663"/>
      <c r="O926" s="663"/>
      <c r="P926" s="663"/>
      <c r="Q926" s="663"/>
      <c r="R926" s="663"/>
      <c r="S926" s="663"/>
      <c r="T926" s="663"/>
      <c r="U926" s="663"/>
      <c r="V926" s="663"/>
      <c r="W926" s="663"/>
      <c r="X926" s="663"/>
      <c r="Y926" s="663"/>
      <c r="Z926" s="663"/>
    </row>
    <row r="927">
      <c r="A927" s="670"/>
      <c r="B927" s="671"/>
      <c r="C927" s="672"/>
      <c r="D927" s="673"/>
      <c r="E927" s="663"/>
      <c r="F927" s="663"/>
      <c r="G927" s="663"/>
      <c r="H927" s="663"/>
      <c r="I927" s="663"/>
      <c r="J927" s="663"/>
      <c r="K927" s="663"/>
      <c r="L927" s="663"/>
      <c r="M927" s="663"/>
      <c r="N927" s="663"/>
      <c r="O927" s="663"/>
      <c r="P927" s="663"/>
      <c r="Q927" s="663"/>
      <c r="R927" s="663"/>
      <c r="S927" s="663"/>
      <c r="T927" s="663"/>
      <c r="U927" s="663"/>
      <c r="V927" s="663"/>
      <c r="W927" s="663"/>
      <c r="X927" s="663"/>
      <c r="Y927" s="663"/>
      <c r="Z927" s="663"/>
    </row>
    <row r="928">
      <c r="A928" s="670"/>
      <c r="B928" s="671"/>
      <c r="C928" s="672"/>
      <c r="D928" s="673"/>
      <c r="E928" s="663"/>
      <c r="F928" s="663"/>
      <c r="G928" s="663"/>
      <c r="H928" s="663"/>
      <c r="I928" s="663"/>
      <c r="J928" s="663"/>
      <c r="K928" s="663"/>
      <c r="L928" s="663"/>
      <c r="M928" s="663"/>
      <c r="N928" s="663"/>
      <c r="O928" s="663"/>
      <c r="P928" s="663"/>
      <c r="Q928" s="663"/>
      <c r="R928" s="663"/>
      <c r="S928" s="663"/>
      <c r="T928" s="663"/>
      <c r="U928" s="663"/>
      <c r="V928" s="663"/>
      <c r="W928" s="663"/>
      <c r="X928" s="663"/>
      <c r="Y928" s="663"/>
      <c r="Z928" s="663"/>
    </row>
    <row r="929">
      <c r="A929" s="670"/>
      <c r="B929" s="671"/>
      <c r="C929" s="672"/>
      <c r="D929" s="673"/>
      <c r="E929" s="663"/>
      <c r="F929" s="663"/>
      <c r="G929" s="663"/>
      <c r="H929" s="663"/>
      <c r="I929" s="663"/>
      <c r="J929" s="663"/>
      <c r="K929" s="663"/>
      <c r="L929" s="663"/>
      <c r="M929" s="663"/>
      <c r="N929" s="663"/>
      <c r="O929" s="663"/>
      <c r="P929" s="663"/>
      <c r="Q929" s="663"/>
      <c r="R929" s="663"/>
      <c r="S929" s="663"/>
      <c r="T929" s="663"/>
      <c r="U929" s="663"/>
      <c r="V929" s="663"/>
      <c r="W929" s="663"/>
      <c r="X929" s="663"/>
      <c r="Y929" s="663"/>
      <c r="Z929" s="663"/>
    </row>
    <row r="930">
      <c r="A930" s="670"/>
      <c r="B930" s="671"/>
      <c r="C930" s="672"/>
      <c r="D930" s="673"/>
      <c r="E930" s="663"/>
      <c r="F930" s="663"/>
      <c r="G930" s="663"/>
      <c r="H930" s="663"/>
      <c r="I930" s="663"/>
      <c r="J930" s="663"/>
      <c r="K930" s="663"/>
      <c r="L930" s="663"/>
      <c r="M930" s="663"/>
      <c r="N930" s="663"/>
      <c r="O930" s="663"/>
      <c r="P930" s="663"/>
      <c r="Q930" s="663"/>
      <c r="R930" s="663"/>
      <c r="S930" s="663"/>
      <c r="T930" s="663"/>
      <c r="U930" s="663"/>
      <c r="V930" s="663"/>
      <c r="W930" s="663"/>
      <c r="X930" s="663"/>
      <c r="Y930" s="663"/>
      <c r="Z930" s="663"/>
    </row>
    <row r="931">
      <c r="A931" s="670"/>
      <c r="B931" s="671"/>
      <c r="C931" s="672"/>
      <c r="D931" s="673"/>
      <c r="E931" s="663"/>
      <c r="F931" s="663"/>
      <c r="G931" s="663"/>
      <c r="H931" s="663"/>
      <c r="I931" s="663"/>
      <c r="J931" s="663"/>
      <c r="K931" s="663"/>
      <c r="L931" s="663"/>
      <c r="M931" s="663"/>
      <c r="N931" s="663"/>
      <c r="O931" s="663"/>
      <c r="P931" s="663"/>
      <c r="Q931" s="663"/>
      <c r="R931" s="663"/>
      <c r="S931" s="663"/>
      <c r="T931" s="663"/>
      <c r="U931" s="663"/>
      <c r="V931" s="663"/>
      <c r="W931" s="663"/>
      <c r="X931" s="663"/>
      <c r="Y931" s="663"/>
      <c r="Z931" s="663"/>
    </row>
    <row r="932">
      <c r="A932" s="670"/>
      <c r="B932" s="671"/>
      <c r="C932" s="672"/>
      <c r="D932" s="673"/>
      <c r="E932" s="663"/>
      <c r="F932" s="663"/>
      <c r="G932" s="663"/>
      <c r="H932" s="663"/>
      <c r="I932" s="663"/>
      <c r="J932" s="663"/>
      <c r="K932" s="663"/>
      <c r="L932" s="663"/>
      <c r="M932" s="663"/>
      <c r="N932" s="663"/>
      <c r="O932" s="663"/>
      <c r="P932" s="663"/>
      <c r="Q932" s="663"/>
      <c r="R932" s="663"/>
      <c r="S932" s="663"/>
      <c r="T932" s="663"/>
      <c r="U932" s="663"/>
      <c r="V932" s="663"/>
      <c r="W932" s="663"/>
      <c r="X932" s="663"/>
      <c r="Y932" s="663"/>
      <c r="Z932" s="663"/>
    </row>
    <row r="933">
      <c r="A933" s="670"/>
      <c r="B933" s="671"/>
      <c r="C933" s="672"/>
      <c r="D933" s="673"/>
      <c r="E933" s="663"/>
      <c r="F933" s="663"/>
      <c r="G933" s="663"/>
      <c r="H933" s="663"/>
      <c r="I933" s="663"/>
      <c r="J933" s="663"/>
      <c r="K933" s="663"/>
      <c r="L933" s="663"/>
      <c r="M933" s="663"/>
      <c r="N933" s="663"/>
      <c r="O933" s="663"/>
      <c r="P933" s="663"/>
      <c r="Q933" s="663"/>
      <c r="R933" s="663"/>
      <c r="S933" s="663"/>
      <c r="T933" s="663"/>
      <c r="U933" s="663"/>
      <c r="V933" s="663"/>
      <c r="W933" s="663"/>
      <c r="X933" s="663"/>
      <c r="Y933" s="663"/>
      <c r="Z933" s="663"/>
    </row>
    <row r="934">
      <c r="A934" s="670"/>
      <c r="B934" s="671"/>
      <c r="C934" s="672"/>
      <c r="D934" s="673"/>
      <c r="E934" s="663"/>
      <c r="F934" s="663"/>
      <c r="G934" s="663"/>
      <c r="H934" s="663"/>
      <c r="I934" s="663"/>
      <c r="J934" s="663"/>
      <c r="K934" s="663"/>
      <c r="L934" s="663"/>
      <c r="M934" s="663"/>
      <c r="N934" s="663"/>
      <c r="O934" s="663"/>
      <c r="P934" s="663"/>
      <c r="Q934" s="663"/>
      <c r="R934" s="663"/>
      <c r="S934" s="663"/>
      <c r="T934" s="663"/>
      <c r="U934" s="663"/>
      <c r="V934" s="663"/>
      <c r="W934" s="663"/>
      <c r="X934" s="663"/>
      <c r="Y934" s="663"/>
      <c r="Z934" s="663"/>
    </row>
    <row r="935">
      <c r="A935" s="670"/>
      <c r="B935" s="671"/>
      <c r="C935" s="672"/>
      <c r="D935" s="673"/>
      <c r="E935" s="663"/>
      <c r="F935" s="663"/>
      <c r="G935" s="663"/>
      <c r="H935" s="663"/>
      <c r="I935" s="663"/>
      <c r="J935" s="663"/>
      <c r="K935" s="663"/>
      <c r="L935" s="663"/>
      <c r="M935" s="663"/>
      <c r="N935" s="663"/>
      <c r="O935" s="663"/>
      <c r="P935" s="663"/>
      <c r="Q935" s="663"/>
      <c r="R935" s="663"/>
      <c r="S935" s="663"/>
      <c r="T935" s="663"/>
      <c r="U935" s="663"/>
      <c r="V935" s="663"/>
      <c r="W935" s="663"/>
      <c r="X935" s="663"/>
      <c r="Y935" s="663"/>
      <c r="Z935" s="663"/>
    </row>
    <row r="936">
      <c r="A936" s="670"/>
      <c r="B936" s="671"/>
      <c r="C936" s="672"/>
      <c r="D936" s="673"/>
      <c r="E936" s="663"/>
      <c r="F936" s="663"/>
      <c r="G936" s="663"/>
      <c r="H936" s="663"/>
      <c r="I936" s="663"/>
      <c r="J936" s="663"/>
      <c r="K936" s="663"/>
      <c r="L936" s="663"/>
      <c r="M936" s="663"/>
      <c r="N936" s="663"/>
      <c r="O936" s="663"/>
      <c r="P936" s="663"/>
      <c r="Q936" s="663"/>
      <c r="R936" s="663"/>
      <c r="S936" s="663"/>
      <c r="T936" s="663"/>
      <c r="U936" s="663"/>
      <c r="V936" s="663"/>
      <c r="W936" s="663"/>
      <c r="X936" s="663"/>
      <c r="Y936" s="663"/>
      <c r="Z936" s="663"/>
    </row>
    <row r="937">
      <c r="A937" s="670"/>
      <c r="B937" s="671"/>
      <c r="C937" s="672"/>
      <c r="D937" s="673"/>
      <c r="E937" s="663"/>
      <c r="F937" s="663"/>
      <c r="G937" s="663"/>
      <c r="H937" s="663"/>
      <c r="I937" s="663"/>
      <c r="J937" s="663"/>
      <c r="K937" s="663"/>
      <c r="L937" s="663"/>
      <c r="M937" s="663"/>
      <c r="N937" s="663"/>
      <c r="O937" s="663"/>
      <c r="P937" s="663"/>
      <c r="Q937" s="663"/>
      <c r="R937" s="663"/>
      <c r="S937" s="663"/>
      <c r="T937" s="663"/>
      <c r="U937" s="663"/>
      <c r="V937" s="663"/>
      <c r="W937" s="663"/>
      <c r="X937" s="663"/>
      <c r="Y937" s="663"/>
      <c r="Z937" s="663"/>
    </row>
    <row r="938">
      <c r="A938" s="670"/>
      <c r="B938" s="671"/>
      <c r="C938" s="672"/>
      <c r="D938" s="673"/>
      <c r="E938" s="663"/>
      <c r="F938" s="663"/>
      <c r="G938" s="663"/>
      <c r="H938" s="663"/>
      <c r="I938" s="663"/>
      <c r="J938" s="663"/>
      <c r="K938" s="663"/>
      <c r="L938" s="663"/>
      <c r="M938" s="663"/>
      <c r="N938" s="663"/>
      <c r="O938" s="663"/>
      <c r="P938" s="663"/>
      <c r="Q938" s="663"/>
      <c r="R938" s="663"/>
      <c r="S938" s="663"/>
      <c r="T938" s="663"/>
      <c r="U938" s="663"/>
      <c r="V938" s="663"/>
      <c r="W938" s="663"/>
      <c r="X938" s="663"/>
      <c r="Y938" s="663"/>
      <c r="Z938" s="663"/>
    </row>
    <row r="939">
      <c r="A939" s="670"/>
      <c r="B939" s="671"/>
      <c r="C939" s="672"/>
      <c r="D939" s="673"/>
      <c r="E939" s="663"/>
      <c r="F939" s="663"/>
      <c r="G939" s="663"/>
      <c r="H939" s="663"/>
      <c r="I939" s="663"/>
      <c r="J939" s="663"/>
      <c r="K939" s="663"/>
      <c r="L939" s="663"/>
      <c r="M939" s="663"/>
      <c r="N939" s="663"/>
      <c r="O939" s="663"/>
      <c r="P939" s="663"/>
      <c r="Q939" s="663"/>
      <c r="R939" s="663"/>
      <c r="S939" s="663"/>
      <c r="T939" s="663"/>
      <c r="U939" s="663"/>
      <c r="V939" s="663"/>
      <c r="W939" s="663"/>
      <c r="X939" s="663"/>
      <c r="Y939" s="663"/>
      <c r="Z939" s="663"/>
    </row>
    <row r="940">
      <c r="A940" s="670"/>
      <c r="B940" s="671"/>
      <c r="C940" s="672"/>
      <c r="D940" s="673"/>
      <c r="E940" s="663"/>
      <c r="F940" s="663"/>
      <c r="G940" s="663"/>
      <c r="H940" s="663"/>
      <c r="I940" s="663"/>
      <c r="J940" s="663"/>
      <c r="K940" s="663"/>
      <c r="L940" s="663"/>
      <c r="M940" s="663"/>
      <c r="N940" s="663"/>
      <c r="O940" s="663"/>
      <c r="P940" s="663"/>
      <c r="Q940" s="663"/>
      <c r="R940" s="663"/>
      <c r="S940" s="663"/>
      <c r="T940" s="663"/>
      <c r="U940" s="663"/>
      <c r="V940" s="663"/>
      <c r="W940" s="663"/>
      <c r="X940" s="663"/>
      <c r="Y940" s="663"/>
      <c r="Z940" s="663"/>
    </row>
    <row r="941">
      <c r="A941" s="670"/>
      <c r="B941" s="671"/>
      <c r="C941" s="672"/>
      <c r="D941" s="673"/>
      <c r="E941" s="663"/>
      <c r="F941" s="663"/>
      <c r="G941" s="663"/>
      <c r="H941" s="663"/>
      <c r="I941" s="663"/>
      <c r="J941" s="663"/>
      <c r="K941" s="663"/>
      <c r="L941" s="663"/>
      <c r="M941" s="663"/>
      <c r="N941" s="663"/>
      <c r="O941" s="663"/>
      <c r="P941" s="663"/>
      <c r="Q941" s="663"/>
      <c r="R941" s="663"/>
      <c r="S941" s="663"/>
      <c r="T941" s="663"/>
      <c r="U941" s="663"/>
      <c r="V941" s="663"/>
      <c r="W941" s="663"/>
      <c r="X941" s="663"/>
      <c r="Y941" s="663"/>
      <c r="Z941" s="663"/>
    </row>
    <row r="942">
      <c r="A942" s="670"/>
      <c r="B942" s="671"/>
      <c r="C942" s="672"/>
      <c r="D942" s="673"/>
      <c r="E942" s="663"/>
      <c r="F942" s="663"/>
      <c r="G942" s="663"/>
      <c r="H942" s="663"/>
      <c r="I942" s="663"/>
      <c r="J942" s="663"/>
      <c r="K942" s="663"/>
      <c r="L942" s="663"/>
      <c r="M942" s="663"/>
      <c r="N942" s="663"/>
      <c r="O942" s="663"/>
      <c r="P942" s="663"/>
      <c r="Q942" s="663"/>
      <c r="R942" s="663"/>
      <c r="S942" s="663"/>
      <c r="T942" s="663"/>
      <c r="U942" s="663"/>
      <c r="V942" s="663"/>
      <c r="W942" s="663"/>
      <c r="X942" s="663"/>
      <c r="Y942" s="663"/>
      <c r="Z942" s="663"/>
    </row>
    <row r="943">
      <c r="A943" s="670"/>
      <c r="B943" s="671"/>
      <c r="C943" s="672"/>
      <c r="D943" s="673"/>
      <c r="E943" s="663"/>
      <c r="F943" s="663"/>
      <c r="G943" s="663"/>
      <c r="H943" s="663"/>
      <c r="I943" s="663"/>
      <c r="J943" s="663"/>
      <c r="K943" s="663"/>
      <c r="L943" s="663"/>
      <c r="M943" s="663"/>
      <c r="N943" s="663"/>
      <c r="O943" s="663"/>
      <c r="P943" s="663"/>
      <c r="Q943" s="663"/>
      <c r="R943" s="663"/>
      <c r="S943" s="663"/>
      <c r="T943" s="663"/>
      <c r="U943" s="663"/>
      <c r="V943" s="663"/>
      <c r="W943" s="663"/>
      <c r="X943" s="663"/>
      <c r="Y943" s="663"/>
      <c r="Z943" s="663"/>
    </row>
    <row r="944">
      <c r="A944" s="670"/>
      <c r="B944" s="671"/>
      <c r="C944" s="672"/>
      <c r="D944" s="673"/>
      <c r="E944" s="663"/>
      <c r="F944" s="663"/>
      <c r="G944" s="663"/>
      <c r="H944" s="663"/>
      <c r="I944" s="663"/>
      <c r="J944" s="663"/>
      <c r="K944" s="663"/>
      <c r="L944" s="663"/>
      <c r="M944" s="663"/>
      <c r="N944" s="663"/>
      <c r="O944" s="663"/>
      <c r="P944" s="663"/>
      <c r="Q944" s="663"/>
      <c r="R944" s="663"/>
      <c r="S944" s="663"/>
      <c r="T944" s="663"/>
      <c r="U944" s="663"/>
      <c r="V944" s="663"/>
      <c r="W944" s="663"/>
      <c r="X944" s="663"/>
      <c r="Y944" s="663"/>
      <c r="Z944" s="663"/>
    </row>
    <row r="945">
      <c r="A945" s="670"/>
      <c r="B945" s="671"/>
      <c r="C945" s="672"/>
      <c r="D945" s="673"/>
      <c r="E945" s="663"/>
      <c r="F945" s="663"/>
      <c r="G945" s="663"/>
      <c r="H945" s="663"/>
      <c r="I945" s="663"/>
      <c r="J945" s="663"/>
      <c r="K945" s="663"/>
      <c r="L945" s="663"/>
      <c r="M945" s="663"/>
      <c r="N945" s="663"/>
      <c r="O945" s="663"/>
      <c r="P945" s="663"/>
      <c r="Q945" s="663"/>
      <c r="R945" s="663"/>
      <c r="S945" s="663"/>
      <c r="T945" s="663"/>
      <c r="U945" s="663"/>
      <c r="V945" s="663"/>
      <c r="W945" s="663"/>
      <c r="X945" s="663"/>
      <c r="Y945" s="663"/>
      <c r="Z945" s="663"/>
    </row>
    <row r="946">
      <c r="A946" s="670"/>
      <c r="B946" s="671"/>
      <c r="C946" s="672"/>
      <c r="D946" s="673"/>
      <c r="E946" s="663"/>
      <c r="F946" s="663"/>
      <c r="G946" s="663"/>
      <c r="H946" s="663"/>
      <c r="I946" s="663"/>
      <c r="J946" s="663"/>
      <c r="K946" s="663"/>
      <c r="L946" s="663"/>
      <c r="M946" s="663"/>
      <c r="N946" s="663"/>
      <c r="O946" s="663"/>
      <c r="P946" s="663"/>
      <c r="Q946" s="663"/>
      <c r="R946" s="663"/>
      <c r="S946" s="663"/>
      <c r="T946" s="663"/>
      <c r="U946" s="663"/>
      <c r="V946" s="663"/>
      <c r="W946" s="663"/>
      <c r="X946" s="663"/>
      <c r="Y946" s="663"/>
      <c r="Z946" s="663"/>
    </row>
    <row r="947">
      <c r="A947" s="670"/>
      <c r="B947" s="671"/>
      <c r="C947" s="672"/>
      <c r="D947" s="673"/>
      <c r="E947" s="663"/>
      <c r="F947" s="663"/>
      <c r="G947" s="663"/>
      <c r="H947" s="663"/>
      <c r="I947" s="663"/>
      <c r="J947" s="663"/>
      <c r="K947" s="663"/>
      <c r="L947" s="663"/>
      <c r="M947" s="663"/>
      <c r="N947" s="663"/>
      <c r="O947" s="663"/>
      <c r="P947" s="663"/>
      <c r="Q947" s="663"/>
      <c r="R947" s="663"/>
      <c r="S947" s="663"/>
      <c r="T947" s="663"/>
      <c r="U947" s="663"/>
      <c r="V947" s="663"/>
      <c r="W947" s="663"/>
      <c r="X947" s="663"/>
      <c r="Y947" s="663"/>
      <c r="Z947" s="663"/>
    </row>
    <row r="948">
      <c r="A948" s="670"/>
      <c r="B948" s="671"/>
      <c r="C948" s="672"/>
      <c r="D948" s="673"/>
      <c r="E948" s="663"/>
      <c r="F948" s="663"/>
      <c r="G948" s="663"/>
      <c r="H948" s="663"/>
      <c r="I948" s="663"/>
      <c r="J948" s="663"/>
      <c r="K948" s="663"/>
      <c r="L948" s="663"/>
      <c r="M948" s="663"/>
      <c r="N948" s="663"/>
      <c r="O948" s="663"/>
      <c r="P948" s="663"/>
      <c r="Q948" s="663"/>
      <c r="R948" s="663"/>
      <c r="S948" s="663"/>
      <c r="T948" s="663"/>
      <c r="U948" s="663"/>
      <c r="V948" s="663"/>
      <c r="W948" s="663"/>
      <c r="X948" s="663"/>
      <c r="Y948" s="663"/>
      <c r="Z948" s="663"/>
    </row>
    <row r="949">
      <c r="A949" s="670"/>
      <c r="B949" s="671"/>
      <c r="C949" s="672"/>
      <c r="D949" s="673"/>
      <c r="E949" s="663"/>
      <c r="F949" s="663"/>
      <c r="G949" s="663"/>
      <c r="H949" s="663"/>
      <c r="I949" s="663"/>
      <c r="J949" s="663"/>
      <c r="K949" s="663"/>
      <c r="L949" s="663"/>
      <c r="M949" s="663"/>
      <c r="N949" s="663"/>
      <c r="O949" s="663"/>
      <c r="P949" s="663"/>
      <c r="Q949" s="663"/>
      <c r="R949" s="663"/>
      <c r="S949" s="663"/>
      <c r="T949" s="663"/>
      <c r="U949" s="663"/>
      <c r="V949" s="663"/>
      <c r="W949" s="663"/>
      <c r="X949" s="663"/>
      <c r="Y949" s="663"/>
      <c r="Z949" s="663"/>
    </row>
    <row r="950">
      <c r="A950" s="670"/>
      <c r="B950" s="671"/>
      <c r="C950" s="672"/>
      <c r="D950" s="673"/>
      <c r="E950" s="663"/>
      <c r="F950" s="663"/>
      <c r="G950" s="663"/>
      <c r="H950" s="663"/>
      <c r="I950" s="663"/>
      <c r="J950" s="663"/>
      <c r="K950" s="663"/>
      <c r="L950" s="663"/>
      <c r="M950" s="663"/>
      <c r="N950" s="663"/>
      <c r="O950" s="663"/>
      <c r="P950" s="663"/>
      <c r="Q950" s="663"/>
      <c r="R950" s="663"/>
      <c r="S950" s="663"/>
      <c r="T950" s="663"/>
      <c r="U950" s="663"/>
      <c r="V950" s="663"/>
      <c r="W950" s="663"/>
      <c r="X950" s="663"/>
      <c r="Y950" s="663"/>
      <c r="Z950" s="663"/>
    </row>
    <row r="951">
      <c r="A951" s="670"/>
      <c r="B951" s="671"/>
      <c r="C951" s="672"/>
      <c r="D951" s="673"/>
      <c r="E951" s="663"/>
      <c r="F951" s="663"/>
      <c r="G951" s="663"/>
      <c r="H951" s="663"/>
      <c r="I951" s="663"/>
      <c r="J951" s="663"/>
      <c r="K951" s="663"/>
      <c r="L951" s="663"/>
      <c r="M951" s="663"/>
      <c r="N951" s="663"/>
      <c r="O951" s="663"/>
      <c r="P951" s="663"/>
      <c r="Q951" s="663"/>
      <c r="R951" s="663"/>
      <c r="S951" s="663"/>
      <c r="T951" s="663"/>
      <c r="U951" s="663"/>
      <c r="V951" s="663"/>
      <c r="W951" s="663"/>
      <c r="X951" s="663"/>
      <c r="Y951" s="663"/>
      <c r="Z951" s="663"/>
    </row>
    <row r="952">
      <c r="A952" s="670"/>
      <c r="B952" s="671"/>
      <c r="C952" s="672"/>
      <c r="D952" s="673"/>
      <c r="E952" s="663"/>
      <c r="F952" s="663"/>
      <c r="G952" s="663"/>
      <c r="H952" s="663"/>
      <c r="I952" s="663"/>
      <c r="J952" s="663"/>
      <c r="K952" s="663"/>
      <c r="L952" s="663"/>
      <c r="M952" s="663"/>
      <c r="N952" s="663"/>
      <c r="O952" s="663"/>
      <c r="P952" s="663"/>
      <c r="Q952" s="663"/>
      <c r="R952" s="663"/>
      <c r="S952" s="663"/>
      <c r="T952" s="663"/>
      <c r="U952" s="663"/>
      <c r="V952" s="663"/>
      <c r="W952" s="663"/>
      <c r="X952" s="663"/>
      <c r="Y952" s="663"/>
      <c r="Z952" s="663"/>
    </row>
    <row r="953">
      <c r="A953" s="670"/>
      <c r="B953" s="671"/>
      <c r="C953" s="672"/>
      <c r="D953" s="673"/>
      <c r="E953" s="663"/>
      <c r="F953" s="663"/>
      <c r="G953" s="663"/>
      <c r="H953" s="663"/>
      <c r="I953" s="663"/>
      <c r="J953" s="663"/>
      <c r="K953" s="663"/>
      <c r="L953" s="663"/>
      <c r="M953" s="663"/>
      <c r="N953" s="663"/>
      <c r="O953" s="663"/>
      <c r="P953" s="663"/>
      <c r="Q953" s="663"/>
      <c r="R953" s="663"/>
      <c r="S953" s="663"/>
      <c r="T953" s="663"/>
      <c r="U953" s="663"/>
      <c r="V953" s="663"/>
      <c r="W953" s="663"/>
      <c r="X953" s="663"/>
      <c r="Y953" s="663"/>
      <c r="Z953" s="663"/>
    </row>
    <row r="954">
      <c r="A954" s="670"/>
      <c r="B954" s="671"/>
      <c r="C954" s="672"/>
      <c r="D954" s="673"/>
      <c r="E954" s="663"/>
      <c r="F954" s="663"/>
      <c r="G954" s="663"/>
      <c r="H954" s="663"/>
      <c r="I954" s="663"/>
      <c r="J954" s="663"/>
      <c r="K954" s="663"/>
      <c r="L954" s="663"/>
      <c r="M954" s="663"/>
      <c r="N954" s="663"/>
      <c r="O954" s="663"/>
      <c r="P954" s="663"/>
      <c r="Q954" s="663"/>
      <c r="R954" s="663"/>
      <c r="S954" s="663"/>
      <c r="T954" s="663"/>
      <c r="U954" s="663"/>
      <c r="V954" s="663"/>
      <c r="W954" s="663"/>
      <c r="X954" s="663"/>
      <c r="Y954" s="663"/>
      <c r="Z954" s="663"/>
    </row>
    <row r="955">
      <c r="A955" s="670"/>
      <c r="B955" s="671"/>
      <c r="C955" s="672"/>
      <c r="D955" s="673"/>
      <c r="E955" s="663"/>
      <c r="F955" s="663"/>
      <c r="G955" s="663"/>
      <c r="H955" s="663"/>
      <c r="I955" s="663"/>
      <c r="J955" s="663"/>
      <c r="K955" s="663"/>
      <c r="L955" s="663"/>
      <c r="M955" s="663"/>
      <c r="N955" s="663"/>
      <c r="O955" s="663"/>
      <c r="P955" s="663"/>
      <c r="Q955" s="663"/>
      <c r="R955" s="663"/>
      <c r="S955" s="663"/>
      <c r="T955" s="663"/>
      <c r="U955" s="663"/>
      <c r="V955" s="663"/>
      <c r="W955" s="663"/>
      <c r="X955" s="663"/>
      <c r="Y955" s="663"/>
      <c r="Z955" s="663"/>
    </row>
    <row r="956">
      <c r="A956" s="670"/>
      <c r="B956" s="671"/>
      <c r="C956" s="672"/>
      <c r="D956" s="673"/>
      <c r="E956" s="663"/>
      <c r="F956" s="663"/>
      <c r="G956" s="663"/>
      <c r="H956" s="663"/>
      <c r="I956" s="663"/>
      <c r="J956" s="663"/>
      <c r="K956" s="663"/>
      <c r="L956" s="663"/>
      <c r="M956" s="663"/>
      <c r="N956" s="663"/>
      <c r="O956" s="663"/>
      <c r="P956" s="663"/>
      <c r="Q956" s="663"/>
      <c r="R956" s="663"/>
      <c r="S956" s="663"/>
      <c r="T956" s="663"/>
      <c r="U956" s="663"/>
      <c r="V956" s="663"/>
      <c r="W956" s="663"/>
      <c r="X956" s="663"/>
      <c r="Y956" s="663"/>
      <c r="Z956" s="663"/>
    </row>
    <row r="957">
      <c r="A957" s="670"/>
      <c r="B957" s="671"/>
      <c r="C957" s="672"/>
      <c r="D957" s="673"/>
      <c r="E957" s="663"/>
      <c r="F957" s="663"/>
      <c r="G957" s="663"/>
      <c r="H957" s="663"/>
      <c r="I957" s="663"/>
      <c r="J957" s="663"/>
      <c r="K957" s="663"/>
      <c r="L957" s="663"/>
      <c r="M957" s="663"/>
      <c r="N957" s="663"/>
      <c r="O957" s="663"/>
      <c r="P957" s="663"/>
      <c r="Q957" s="663"/>
      <c r="R957" s="663"/>
      <c r="S957" s="663"/>
      <c r="T957" s="663"/>
      <c r="U957" s="663"/>
      <c r="V957" s="663"/>
      <c r="W957" s="663"/>
      <c r="X957" s="663"/>
      <c r="Y957" s="663"/>
      <c r="Z957" s="663"/>
    </row>
    <row r="958">
      <c r="A958" s="670"/>
      <c r="B958" s="671"/>
      <c r="C958" s="672"/>
      <c r="D958" s="673"/>
      <c r="E958" s="663"/>
      <c r="F958" s="663"/>
      <c r="G958" s="663"/>
      <c r="H958" s="663"/>
      <c r="I958" s="663"/>
      <c r="J958" s="663"/>
      <c r="K958" s="663"/>
      <c r="L958" s="663"/>
      <c r="M958" s="663"/>
      <c r="N958" s="663"/>
      <c r="O958" s="663"/>
      <c r="P958" s="663"/>
      <c r="Q958" s="663"/>
      <c r="R958" s="663"/>
      <c r="S958" s="663"/>
      <c r="T958" s="663"/>
      <c r="U958" s="663"/>
      <c r="V958" s="663"/>
      <c r="W958" s="663"/>
      <c r="X958" s="663"/>
      <c r="Y958" s="663"/>
      <c r="Z958" s="663"/>
    </row>
    <row r="959">
      <c r="A959" s="670"/>
      <c r="B959" s="671"/>
      <c r="C959" s="672"/>
      <c r="D959" s="673"/>
      <c r="E959" s="663"/>
      <c r="F959" s="663"/>
      <c r="G959" s="663"/>
      <c r="H959" s="663"/>
      <c r="I959" s="663"/>
      <c r="J959" s="663"/>
      <c r="K959" s="663"/>
      <c r="L959" s="663"/>
      <c r="M959" s="663"/>
      <c r="N959" s="663"/>
      <c r="O959" s="663"/>
      <c r="P959" s="663"/>
      <c r="Q959" s="663"/>
      <c r="R959" s="663"/>
      <c r="S959" s="663"/>
      <c r="T959" s="663"/>
      <c r="U959" s="663"/>
      <c r="V959" s="663"/>
      <c r="W959" s="663"/>
      <c r="X959" s="663"/>
      <c r="Y959" s="663"/>
      <c r="Z959" s="663"/>
    </row>
    <row r="960">
      <c r="A960" s="670"/>
      <c r="B960" s="671"/>
      <c r="C960" s="672"/>
      <c r="D960" s="673"/>
      <c r="E960" s="663"/>
      <c r="F960" s="663"/>
      <c r="G960" s="663"/>
      <c r="H960" s="663"/>
      <c r="I960" s="663"/>
      <c r="J960" s="663"/>
      <c r="K960" s="663"/>
      <c r="L960" s="663"/>
      <c r="M960" s="663"/>
      <c r="N960" s="663"/>
      <c r="O960" s="663"/>
      <c r="P960" s="663"/>
      <c r="Q960" s="663"/>
      <c r="R960" s="663"/>
      <c r="S960" s="663"/>
      <c r="T960" s="663"/>
      <c r="U960" s="663"/>
      <c r="V960" s="663"/>
      <c r="W960" s="663"/>
      <c r="X960" s="663"/>
      <c r="Y960" s="663"/>
      <c r="Z960" s="663"/>
    </row>
    <row r="961">
      <c r="A961" s="670"/>
      <c r="B961" s="671"/>
      <c r="C961" s="672"/>
      <c r="D961" s="673"/>
      <c r="E961" s="663"/>
      <c r="F961" s="663"/>
      <c r="G961" s="663"/>
      <c r="H961" s="663"/>
      <c r="I961" s="663"/>
      <c r="J961" s="663"/>
      <c r="K961" s="663"/>
      <c r="L961" s="663"/>
      <c r="M961" s="663"/>
      <c r="N961" s="663"/>
      <c r="O961" s="663"/>
      <c r="P961" s="663"/>
      <c r="Q961" s="663"/>
      <c r="R961" s="663"/>
      <c r="S961" s="663"/>
      <c r="T961" s="663"/>
      <c r="U961" s="663"/>
      <c r="V961" s="663"/>
      <c r="W961" s="663"/>
      <c r="X961" s="663"/>
      <c r="Y961" s="663"/>
      <c r="Z961" s="663"/>
    </row>
    <row r="962">
      <c r="A962" s="670"/>
      <c r="B962" s="671"/>
      <c r="C962" s="672"/>
      <c r="D962" s="673"/>
      <c r="E962" s="663"/>
      <c r="F962" s="663"/>
      <c r="G962" s="663"/>
      <c r="H962" s="663"/>
      <c r="I962" s="663"/>
      <c r="J962" s="663"/>
      <c r="K962" s="663"/>
      <c r="L962" s="663"/>
      <c r="M962" s="663"/>
      <c r="N962" s="663"/>
      <c r="O962" s="663"/>
      <c r="P962" s="663"/>
      <c r="Q962" s="663"/>
      <c r="R962" s="663"/>
      <c r="S962" s="663"/>
      <c r="T962" s="663"/>
      <c r="U962" s="663"/>
      <c r="V962" s="663"/>
      <c r="W962" s="663"/>
      <c r="X962" s="663"/>
      <c r="Y962" s="663"/>
      <c r="Z962" s="663"/>
    </row>
    <row r="963">
      <c r="A963" s="670"/>
      <c r="B963" s="671"/>
      <c r="C963" s="672"/>
      <c r="D963" s="673"/>
      <c r="E963" s="663"/>
      <c r="F963" s="663"/>
      <c r="G963" s="663"/>
      <c r="H963" s="663"/>
      <c r="I963" s="663"/>
      <c r="J963" s="663"/>
      <c r="K963" s="663"/>
      <c r="L963" s="663"/>
      <c r="M963" s="663"/>
      <c r="N963" s="663"/>
      <c r="O963" s="663"/>
      <c r="P963" s="663"/>
      <c r="Q963" s="663"/>
      <c r="R963" s="663"/>
      <c r="S963" s="663"/>
      <c r="T963" s="663"/>
      <c r="U963" s="663"/>
      <c r="V963" s="663"/>
      <c r="W963" s="663"/>
      <c r="X963" s="663"/>
      <c r="Y963" s="663"/>
      <c r="Z963" s="663"/>
    </row>
    <row r="964">
      <c r="A964" s="670"/>
      <c r="B964" s="671"/>
      <c r="C964" s="672"/>
      <c r="D964" s="673"/>
      <c r="E964" s="663"/>
      <c r="F964" s="663"/>
      <c r="G964" s="663"/>
      <c r="H964" s="663"/>
      <c r="I964" s="663"/>
      <c r="J964" s="663"/>
      <c r="K964" s="663"/>
      <c r="L964" s="663"/>
      <c r="M964" s="663"/>
      <c r="N964" s="663"/>
      <c r="O964" s="663"/>
      <c r="P964" s="663"/>
      <c r="Q964" s="663"/>
      <c r="R964" s="663"/>
      <c r="S964" s="663"/>
      <c r="T964" s="663"/>
      <c r="U964" s="663"/>
      <c r="V964" s="663"/>
      <c r="W964" s="663"/>
      <c r="X964" s="663"/>
      <c r="Y964" s="663"/>
      <c r="Z964" s="663"/>
    </row>
    <row r="965">
      <c r="A965" s="670"/>
      <c r="B965" s="671"/>
      <c r="C965" s="672"/>
      <c r="D965" s="673"/>
      <c r="E965" s="663"/>
      <c r="F965" s="663"/>
      <c r="G965" s="663"/>
      <c r="H965" s="663"/>
      <c r="I965" s="663"/>
      <c r="J965" s="663"/>
      <c r="K965" s="663"/>
      <c r="L965" s="663"/>
      <c r="M965" s="663"/>
      <c r="N965" s="663"/>
      <c r="O965" s="663"/>
      <c r="P965" s="663"/>
      <c r="Q965" s="663"/>
      <c r="R965" s="663"/>
      <c r="S965" s="663"/>
      <c r="T965" s="663"/>
      <c r="U965" s="663"/>
      <c r="V965" s="663"/>
      <c r="W965" s="663"/>
      <c r="X965" s="663"/>
      <c r="Y965" s="663"/>
      <c r="Z965" s="663"/>
    </row>
    <row r="966">
      <c r="A966" s="670"/>
      <c r="B966" s="671"/>
      <c r="C966" s="672"/>
      <c r="D966" s="673"/>
      <c r="E966" s="663"/>
      <c r="F966" s="663"/>
      <c r="G966" s="663"/>
      <c r="H966" s="663"/>
      <c r="I966" s="663"/>
      <c r="J966" s="663"/>
      <c r="K966" s="663"/>
      <c r="L966" s="663"/>
      <c r="M966" s="663"/>
      <c r="N966" s="663"/>
      <c r="O966" s="663"/>
      <c r="P966" s="663"/>
      <c r="Q966" s="663"/>
      <c r="R966" s="663"/>
      <c r="S966" s="663"/>
      <c r="T966" s="663"/>
      <c r="U966" s="663"/>
      <c r="V966" s="663"/>
      <c r="W966" s="663"/>
      <c r="X966" s="663"/>
      <c r="Y966" s="663"/>
      <c r="Z966" s="663"/>
    </row>
    <row r="967">
      <c r="A967" s="670"/>
      <c r="B967" s="671"/>
      <c r="C967" s="672"/>
      <c r="D967" s="673"/>
      <c r="E967" s="663"/>
      <c r="F967" s="663"/>
      <c r="G967" s="663"/>
      <c r="H967" s="663"/>
      <c r="I967" s="663"/>
      <c r="J967" s="663"/>
      <c r="K967" s="663"/>
      <c r="L967" s="663"/>
      <c r="M967" s="663"/>
      <c r="N967" s="663"/>
      <c r="O967" s="663"/>
      <c r="P967" s="663"/>
      <c r="Q967" s="663"/>
      <c r="R967" s="663"/>
      <c r="S967" s="663"/>
      <c r="T967" s="663"/>
      <c r="U967" s="663"/>
      <c r="V967" s="663"/>
      <c r="W967" s="663"/>
      <c r="X967" s="663"/>
      <c r="Y967" s="663"/>
      <c r="Z967" s="663"/>
    </row>
    <row r="968">
      <c r="A968" s="670"/>
      <c r="B968" s="671"/>
      <c r="C968" s="672"/>
      <c r="D968" s="673"/>
      <c r="E968" s="663"/>
      <c r="F968" s="663"/>
      <c r="G968" s="663"/>
      <c r="H968" s="663"/>
      <c r="I968" s="663"/>
      <c r="J968" s="663"/>
      <c r="K968" s="663"/>
      <c r="L968" s="663"/>
      <c r="M968" s="663"/>
      <c r="N968" s="663"/>
      <c r="O968" s="663"/>
      <c r="P968" s="663"/>
      <c r="Q968" s="663"/>
      <c r="R968" s="663"/>
      <c r="S968" s="663"/>
      <c r="T968" s="663"/>
      <c r="U968" s="663"/>
      <c r="V968" s="663"/>
      <c r="W968" s="663"/>
      <c r="X968" s="663"/>
      <c r="Y968" s="663"/>
      <c r="Z968" s="663"/>
    </row>
    <row r="969">
      <c r="A969" s="670"/>
      <c r="B969" s="671"/>
      <c r="C969" s="672"/>
      <c r="D969" s="673"/>
      <c r="E969" s="663"/>
      <c r="F969" s="663"/>
      <c r="G969" s="663"/>
      <c r="H969" s="663"/>
      <c r="I969" s="663"/>
      <c r="J969" s="663"/>
      <c r="K969" s="663"/>
      <c r="L969" s="663"/>
      <c r="M969" s="663"/>
      <c r="N969" s="663"/>
      <c r="O969" s="663"/>
      <c r="P969" s="663"/>
      <c r="Q969" s="663"/>
      <c r="R969" s="663"/>
      <c r="S969" s="663"/>
      <c r="T969" s="663"/>
      <c r="U969" s="663"/>
      <c r="V969" s="663"/>
      <c r="W969" s="663"/>
      <c r="X969" s="663"/>
      <c r="Y969" s="663"/>
      <c r="Z969" s="663"/>
    </row>
    <row r="970">
      <c r="A970" s="670"/>
      <c r="B970" s="671"/>
      <c r="C970" s="672"/>
      <c r="D970" s="673"/>
      <c r="E970" s="663"/>
      <c r="F970" s="663"/>
      <c r="G970" s="663"/>
      <c r="H970" s="663"/>
      <c r="I970" s="663"/>
      <c r="J970" s="663"/>
      <c r="K970" s="663"/>
      <c r="L970" s="663"/>
      <c r="M970" s="663"/>
      <c r="N970" s="663"/>
      <c r="O970" s="663"/>
      <c r="P970" s="663"/>
      <c r="Q970" s="663"/>
      <c r="R970" s="663"/>
      <c r="S970" s="663"/>
      <c r="T970" s="663"/>
      <c r="U970" s="663"/>
      <c r="V970" s="663"/>
      <c r="W970" s="663"/>
      <c r="X970" s="663"/>
      <c r="Y970" s="663"/>
      <c r="Z970" s="663"/>
    </row>
    <row r="971">
      <c r="A971" s="670"/>
      <c r="B971" s="671"/>
      <c r="C971" s="672"/>
      <c r="D971" s="673"/>
      <c r="E971" s="663"/>
      <c r="F971" s="663"/>
      <c r="G971" s="663"/>
      <c r="H971" s="663"/>
      <c r="I971" s="663"/>
      <c r="J971" s="663"/>
      <c r="K971" s="663"/>
      <c r="L971" s="663"/>
      <c r="M971" s="663"/>
      <c r="N971" s="663"/>
      <c r="O971" s="663"/>
      <c r="P971" s="663"/>
      <c r="Q971" s="663"/>
      <c r="R971" s="663"/>
      <c r="S971" s="663"/>
      <c r="T971" s="663"/>
      <c r="U971" s="663"/>
      <c r="V971" s="663"/>
      <c r="W971" s="663"/>
      <c r="X971" s="663"/>
      <c r="Y971" s="663"/>
      <c r="Z971" s="663"/>
    </row>
    <row r="972">
      <c r="A972" s="670"/>
      <c r="B972" s="671"/>
      <c r="C972" s="672"/>
      <c r="D972" s="673"/>
      <c r="E972" s="663"/>
      <c r="F972" s="663"/>
      <c r="G972" s="663"/>
      <c r="H972" s="663"/>
      <c r="I972" s="663"/>
      <c r="J972" s="663"/>
      <c r="K972" s="663"/>
      <c r="L972" s="663"/>
      <c r="M972" s="663"/>
      <c r="N972" s="663"/>
      <c r="O972" s="663"/>
      <c r="P972" s="663"/>
      <c r="Q972" s="663"/>
      <c r="R972" s="663"/>
      <c r="S972" s="663"/>
      <c r="T972" s="663"/>
      <c r="U972" s="663"/>
      <c r="V972" s="663"/>
      <c r="W972" s="663"/>
      <c r="X972" s="663"/>
      <c r="Y972" s="663"/>
      <c r="Z972" s="663"/>
    </row>
    <row r="973">
      <c r="A973" s="670"/>
      <c r="B973" s="671"/>
      <c r="C973" s="672"/>
      <c r="D973" s="673"/>
      <c r="E973" s="663"/>
      <c r="F973" s="663"/>
      <c r="G973" s="663"/>
      <c r="H973" s="663"/>
      <c r="I973" s="663"/>
      <c r="J973" s="663"/>
      <c r="K973" s="663"/>
      <c r="L973" s="663"/>
      <c r="M973" s="663"/>
      <c r="N973" s="663"/>
      <c r="O973" s="663"/>
      <c r="P973" s="663"/>
      <c r="Q973" s="663"/>
      <c r="R973" s="663"/>
      <c r="S973" s="663"/>
      <c r="T973" s="663"/>
      <c r="U973" s="663"/>
      <c r="V973" s="663"/>
      <c r="W973" s="663"/>
      <c r="X973" s="663"/>
      <c r="Y973" s="663"/>
      <c r="Z973" s="663"/>
    </row>
    <row r="974">
      <c r="A974" s="670"/>
      <c r="B974" s="671"/>
      <c r="C974" s="672"/>
      <c r="D974" s="673"/>
      <c r="E974" s="663"/>
      <c r="F974" s="663"/>
      <c r="G974" s="663"/>
      <c r="H974" s="663"/>
      <c r="I974" s="663"/>
      <c r="J974" s="663"/>
      <c r="K974" s="663"/>
      <c r="L974" s="663"/>
      <c r="M974" s="663"/>
      <c r="N974" s="663"/>
      <c r="O974" s="663"/>
      <c r="P974" s="663"/>
      <c r="Q974" s="663"/>
      <c r="R974" s="663"/>
      <c r="S974" s="663"/>
      <c r="T974" s="663"/>
      <c r="U974" s="663"/>
      <c r="V974" s="663"/>
      <c r="W974" s="663"/>
      <c r="X974" s="663"/>
      <c r="Y974" s="663"/>
      <c r="Z974" s="663"/>
    </row>
    <row r="975">
      <c r="A975" s="670"/>
      <c r="B975" s="671"/>
      <c r="C975" s="672"/>
      <c r="D975" s="673"/>
      <c r="E975" s="663"/>
      <c r="F975" s="663"/>
      <c r="G975" s="663"/>
      <c r="H975" s="663"/>
      <c r="I975" s="663"/>
      <c r="J975" s="663"/>
      <c r="K975" s="663"/>
      <c r="L975" s="663"/>
      <c r="M975" s="663"/>
      <c r="N975" s="663"/>
      <c r="O975" s="663"/>
      <c r="P975" s="663"/>
      <c r="Q975" s="663"/>
      <c r="R975" s="663"/>
      <c r="S975" s="663"/>
      <c r="T975" s="663"/>
      <c r="U975" s="663"/>
      <c r="V975" s="663"/>
      <c r="W975" s="663"/>
      <c r="X975" s="663"/>
      <c r="Y975" s="663"/>
      <c r="Z975" s="663"/>
    </row>
    <row r="976">
      <c r="A976" s="670"/>
      <c r="B976" s="671"/>
      <c r="C976" s="672"/>
      <c r="D976" s="673"/>
      <c r="E976" s="663"/>
      <c r="F976" s="663"/>
      <c r="G976" s="663"/>
      <c r="H976" s="663"/>
      <c r="I976" s="663"/>
      <c r="J976" s="663"/>
      <c r="K976" s="663"/>
      <c r="L976" s="663"/>
      <c r="M976" s="663"/>
      <c r="N976" s="663"/>
      <c r="O976" s="663"/>
      <c r="P976" s="663"/>
      <c r="Q976" s="663"/>
      <c r="R976" s="663"/>
      <c r="S976" s="663"/>
      <c r="T976" s="663"/>
      <c r="U976" s="663"/>
      <c r="V976" s="663"/>
      <c r="W976" s="663"/>
      <c r="X976" s="663"/>
      <c r="Y976" s="663"/>
      <c r="Z976" s="663"/>
    </row>
    <row r="977">
      <c r="A977" s="670"/>
      <c r="B977" s="671"/>
      <c r="C977" s="672"/>
      <c r="D977" s="673"/>
      <c r="E977" s="663"/>
      <c r="F977" s="663"/>
      <c r="G977" s="663"/>
      <c r="H977" s="663"/>
      <c r="I977" s="663"/>
      <c r="J977" s="663"/>
      <c r="K977" s="663"/>
      <c r="L977" s="663"/>
      <c r="M977" s="663"/>
      <c r="N977" s="663"/>
      <c r="O977" s="663"/>
      <c r="P977" s="663"/>
      <c r="Q977" s="663"/>
      <c r="R977" s="663"/>
      <c r="S977" s="663"/>
      <c r="T977" s="663"/>
      <c r="U977" s="663"/>
      <c r="V977" s="663"/>
      <c r="W977" s="663"/>
      <c r="X977" s="663"/>
      <c r="Y977" s="663"/>
      <c r="Z977" s="663"/>
    </row>
    <row r="978">
      <c r="A978" s="670"/>
      <c r="B978" s="671"/>
      <c r="C978" s="672"/>
      <c r="D978" s="673"/>
      <c r="E978" s="663"/>
      <c r="F978" s="663"/>
      <c r="G978" s="663"/>
      <c r="H978" s="663"/>
      <c r="I978" s="663"/>
      <c r="J978" s="663"/>
      <c r="K978" s="663"/>
      <c r="L978" s="663"/>
      <c r="M978" s="663"/>
      <c r="N978" s="663"/>
      <c r="O978" s="663"/>
      <c r="P978" s="663"/>
      <c r="Q978" s="663"/>
      <c r="R978" s="663"/>
      <c r="S978" s="663"/>
      <c r="T978" s="663"/>
      <c r="U978" s="663"/>
      <c r="V978" s="663"/>
      <c r="W978" s="663"/>
      <c r="X978" s="663"/>
      <c r="Y978" s="663"/>
      <c r="Z978" s="663"/>
    </row>
    <row r="979">
      <c r="A979" s="670"/>
      <c r="B979" s="671"/>
      <c r="C979" s="672"/>
      <c r="D979" s="673"/>
      <c r="E979" s="663"/>
      <c r="F979" s="663"/>
      <c r="G979" s="663"/>
      <c r="H979" s="663"/>
      <c r="I979" s="663"/>
      <c r="J979" s="663"/>
      <c r="K979" s="663"/>
      <c r="L979" s="663"/>
      <c r="M979" s="663"/>
      <c r="N979" s="663"/>
      <c r="O979" s="663"/>
      <c r="P979" s="663"/>
      <c r="Q979" s="663"/>
      <c r="R979" s="663"/>
      <c r="S979" s="663"/>
      <c r="T979" s="663"/>
      <c r="U979" s="663"/>
      <c r="V979" s="663"/>
      <c r="W979" s="663"/>
      <c r="X979" s="663"/>
      <c r="Y979" s="663"/>
      <c r="Z979" s="663"/>
    </row>
    <row r="980">
      <c r="A980" s="670"/>
      <c r="B980" s="671"/>
      <c r="C980" s="672"/>
      <c r="D980" s="673"/>
      <c r="E980" s="663"/>
      <c r="F980" s="663"/>
      <c r="G980" s="663"/>
      <c r="H980" s="663"/>
      <c r="I980" s="663"/>
      <c r="J980" s="663"/>
      <c r="K980" s="663"/>
      <c r="L980" s="663"/>
      <c r="M980" s="663"/>
      <c r="N980" s="663"/>
      <c r="O980" s="663"/>
      <c r="P980" s="663"/>
      <c r="Q980" s="663"/>
      <c r="R980" s="663"/>
      <c r="S980" s="663"/>
      <c r="T980" s="663"/>
      <c r="U980" s="663"/>
      <c r="V980" s="663"/>
      <c r="W980" s="663"/>
      <c r="X980" s="663"/>
      <c r="Y980" s="663"/>
      <c r="Z980" s="663"/>
    </row>
    <row r="981">
      <c r="A981" s="670"/>
      <c r="B981" s="671"/>
      <c r="C981" s="672"/>
      <c r="D981" s="673"/>
      <c r="E981" s="663"/>
      <c r="F981" s="663"/>
      <c r="G981" s="663"/>
      <c r="H981" s="663"/>
      <c r="I981" s="663"/>
      <c r="J981" s="663"/>
      <c r="K981" s="663"/>
      <c r="L981" s="663"/>
      <c r="M981" s="663"/>
      <c r="N981" s="663"/>
      <c r="O981" s="663"/>
      <c r="P981" s="663"/>
      <c r="Q981" s="663"/>
      <c r="R981" s="663"/>
      <c r="S981" s="663"/>
      <c r="T981" s="663"/>
      <c r="U981" s="663"/>
      <c r="V981" s="663"/>
      <c r="W981" s="663"/>
      <c r="X981" s="663"/>
      <c r="Y981" s="663"/>
      <c r="Z981" s="663"/>
    </row>
    <row r="982">
      <c r="A982" s="670"/>
      <c r="B982" s="671"/>
      <c r="C982" s="672"/>
      <c r="D982" s="673"/>
      <c r="E982" s="663"/>
      <c r="F982" s="663"/>
      <c r="G982" s="663"/>
      <c r="H982" s="663"/>
      <c r="I982" s="663"/>
      <c r="J982" s="663"/>
      <c r="K982" s="663"/>
      <c r="L982" s="663"/>
      <c r="M982" s="663"/>
      <c r="N982" s="663"/>
      <c r="O982" s="663"/>
      <c r="P982" s="663"/>
      <c r="Q982" s="663"/>
      <c r="R982" s="663"/>
      <c r="S982" s="663"/>
      <c r="T982" s="663"/>
      <c r="U982" s="663"/>
      <c r="V982" s="663"/>
      <c r="W982" s="663"/>
      <c r="X982" s="663"/>
      <c r="Y982" s="663"/>
      <c r="Z982" s="663"/>
    </row>
    <row r="983">
      <c r="A983" s="670"/>
      <c r="B983" s="671"/>
      <c r="C983" s="672"/>
      <c r="D983" s="673"/>
      <c r="E983" s="663"/>
      <c r="F983" s="663"/>
      <c r="G983" s="663"/>
      <c r="H983" s="663"/>
      <c r="I983" s="663"/>
      <c r="J983" s="663"/>
      <c r="K983" s="663"/>
      <c r="L983" s="663"/>
      <c r="M983" s="663"/>
      <c r="N983" s="663"/>
      <c r="O983" s="663"/>
      <c r="P983" s="663"/>
      <c r="Q983" s="663"/>
      <c r="R983" s="663"/>
      <c r="S983" s="663"/>
      <c r="T983" s="663"/>
      <c r="U983" s="663"/>
      <c r="V983" s="663"/>
      <c r="W983" s="663"/>
      <c r="X983" s="663"/>
      <c r="Y983" s="663"/>
      <c r="Z983" s="663"/>
    </row>
    <row r="984">
      <c r="A984" s="670"/>
      <c r="B984" s="671"/>
      <c r="C984" s="672"/>
      <c r="D984" s="673"/>
      <c r="E984" s="663"/>
      <c r="F984" s="663"/>
      <c r="G984" s="663"/>
      <c r="H984" s="663"/>
      <c r="I984" s="663"/>
      <c r="J984" s="663"/>
      <c r="K984" s="663"/>
      <c r="L984" s="663"/>
      <c r="M984" s="663"/>
      <c r="N984" s="663"/>
      <c r="O984" s="663"/>
      <c r="P984" s="663"/>
      <c r="Q984" s="663"/>
      <c r="R984" s="663"/>
      <c r="S984" s="663"/>
      <c r="T984" s="663"/>
      <c r="U984" s="663"/>
      <c r="V984" s="663"/>
      <c r="W984" s="663"/>
      <c r="X984" s="663"/>
      <c r="Y984" s="663"/>
      <c r="Z984" s="663"/>
    </row>
    <row r="985">
      <c r="A985" s="670"/>
      <c r="B985" s="671"/>
      <c r="C985" s="672"/>
      <c r="D985" s="673"/>
      <c r="E985" s="663"/>
      <c r="F985" s="663"/>
      <c r="G985" s="663"/>
      <c r="H985" s="663"/>
      <c r="I985" s="663"/>
      <c r="J985" s="663"/>
      <c r="K985" s="663"/>
      <c r="L985" s="663"/>
      <c r="M985" s="663"/>
      <c r="N985" s="663"/>
      <c r="O985" s="663"/>
      <c r="P985" s="663"/>
      <c r="Q985" s="663"/>
      <c r="R985" s="663"/>
      <c r="S985" s="663"/>
      <c r="T985" s="663"/>
      <c r="U985" s="663"/>
      <c r="V985" s="663"/>
      <c r="W985" s="663"/>
      <c r="X985" s="663"/>
      <c r="Y985" s="663"/>
      <c r="Z985" s="663"/>
    </row>
    <row r="986">
      <c r="A986" s="670"/>
      <c r="B986" s="671"/>
      <c r="C986" s="672"/>
      <c r="D986" s="673"/>
      <c r="E986" s="663"/>
      <c r="F986" s="663"/>
      <c r="G986" s="663"/>
      <c r="H986" s="663"/>
      <c r="I986" s="663"/>
      <c r="J986" s="663"/>
      <c r="K986" s="663"/>
      <c r="L986" s="663"/>
      <c r="M986" s="663"/>
      <c r="N986" s="663"/>
      <c r="O986" s="663"/>
      <c r="P986" s="663"/>
      <c r="Q986" s="663"/>
      <c r="R986" s="663"/>
      <c r="S986" s="663"/>
      <c r="T986" s="663"/>
      <c r="U986" s="663"/>
      <c r="V986" s="663"/>
      <c r="W986" s="663"/>
      <c r="X986" s="663"/>
      <c r="Y986" s="663"/>
      <c r="Z986" s="663"/>
    </row>
    <row r="987">
      <c r="A987" s="670"/>
      <c r="B987" s="671"/>
      <c r="C987" s="672"/>
      <c r="D987" s="673"/>
      <c r="E987" s="663"/>
      <c r="F987" s="663"/>
      <c r="G987" s="663"/>
      <c r="H987" s="663"/>
      <c r="I987" s="663"/>
      <c r="J987" s="663"/>
      <c r="K987" s="663"/>
      <c r="L987" s="663"/>
      <c r="M987" s="663"/>
      <c r="N987" s="663"/>
      <c r="O987" s="663"/>
      <c r="P987" s="663"/>
      <c r="Q987" s="663"/>
      <c r="R987" s="663"/>
      <c r="S987" s="663"/>
      <c r="T987" s="663"/>
      <c r="U987" s="663"/>
      <c r="V987" s="663"/>
      <c r="W987" s="663"/>
      <c r="X987" s="663"/>
      <c r="Y987" s="663"/>
      <c r="Z987" s="663"/>
    </row>
    <row r="988">
      <c r="A988" s="670"/>
      <c r="B988" s="671"/>
      <c r="C988" s="672"/>
      <c r="D988" s="673"/>
      <c r="E988" s="663"/>
      <c r="F988" s="663"/>
      <c r="G988" s="663"/>
      <c r="H988" s="663"/>
      <c r="I988" s="663"/>
      <c r="J988" s="663"/>
      <c r="K988" s="663"/>
      <c r="L988" s="663"/>
      <c r="M988" s="663"/>
      <c r="N988" s="663"/>
      <c r="O988" s="663"/>
      <c r="P988" s="663"/>
      <c r="Q988" s="663"/>
      <c r="R988" s="663"/>
      <c r="S988" s="663"/>
      <c r="T988" s="663"/>
      <c r="U988" s="663"/>
      <c r="V988" s="663"/>
      <c r="W988" s="663"/>
      <c r="X988" s="663"/>
      <c r="Y988" s="663"/>
      <c r="Z988" s="663"/>
    </row>
    <row r="989">
      <c r="A989" s="670"/>
      <c r="B989" s="671"/>
      <c r="C989" s="672"/>
      <c r="D989" s="673"/>
      <c r="E989" s="663"/>
      <c r="F989" s="663"/>
      <c r="G989" s="663"/>
      <c r="H989" s="663"/>
      <c r="I989" s="663"/>
      <c r="J989" s="663"/>
      <c r="K989" s="663"/>
      <c r="L989" s="663"/>
      <c r="M989" s="663"/>
      <c r="N989" s="663"/>
      <c r="O989" s="663"/>
      <c r="P989" s="663"/>
      <c r="Q989" s="663"/>
      <c r="R989" s="663"/>
      <c r="S989" s="663"/>
      <c r="T989" s="663"/>
      <c r="U989" s="663"/>
      <c r="V989" s="663"/>
      <c r="W989" s="663"/>
      <c r="X989" s="663"/>
      <c r="Y989" s="663"/>
      <c r="Z989" s="663"/>
    </row>
    <row r="990">
      <c r="A990" s="670"/>
      <c r="B990" s="671"/>
      <c r="C990" s="672"/>
      <c r="D990" s="673"/>
      <c r="E990" s="663"/>
      <c r="F990" s="663"/>
      <c r="G990" s="663"/>
      <c r="H990" s="663"/>
      <c r="I990" s="663"/>
      <c r="J990" s="663"/>
      <c r="K990" s="663"/>
      <c r="L990" s="663"/>
      <c r="M990" s="663"/>
      <c r="N990" s="663"/>
      <c r="O990" s="663"/>
      <c r="P990" s="663"/>
      <c r="Q990" s="663"/>
      <c r="R990" s="663"/>
      <c r="S990" s="663"/>
      <c r="T990" s="663"/>
      <c r="U990" s="663"/>
      <c r="V990" s="663"/>
      <c r="W990" s="663"/>
      <c r="X990" s="663"/>
      <c r="Y990" s="663"/>
      <c r="Z990" s="663"/>
    </row>
    <row r="991">
      <c r="A991" s="670"/>
      <c r="B991" s="671"/>
      <c r="C991" s="672"/>
      <c r="D991" s="673"/>
      <c r="E991" s="663"/>
      <c r="F991" s="663"/>
      <c r="G991" s="663"/>
      <c r="H991" s="663"/>
      <c r="I991" s="663"/>
      <c r="J991" s="663"/>
      <c r="K991" s="663"/>
      <c r="L991" s="663"/>
      <c r="M991" s="663"/>
      <c r="N991" s="663"/>
      <c r="O991" s="663"/>
      <c r="P991" s="663"/>
      <c r="Q991" s="663"/>
      <c r="R991" s="663"/>
      <c r="S991" s="663"/>
      <c r="T991" s="663"/>
      <c r="U991" s="663"/>
      <c r="V991" s="663"/>
      <c r="W991" s="663"/>
      <c r="X991" s="663"/>
      <c r="Y991" s="663"/>
      <c r="Z991" s="663"/>
    </row>
    <row r="992">
      <c r="A992" s="670"/>
      <c r="B992" s="671"/>
      <c r="C992" s="672"/>
      <c r="D992" s="673"/>
      <c r="E992" s="663"/>
      <c r="F992" s="663"/>
      <c r="G992" s="663"/>
      <c r="H992" s="663"/>
      <c r="I992" s="663"/>
      <c r="J992" s="663"/>
      <c r="K992" s="663"/>
      <c r="L992" s="663"/>
      <c r="M992" s="663"/>
      <c r="N992" s="663"/>
      <c r="O992" s="663"/>
      <c r="P992" s="663"/>
      <c r="Q992" s="663"/>
      <c r="R992" s="663"/>
      <c r="S992" s="663"/>
      <c r="T992" s="663"/>
      <c r="U992" s="663"/>
      <c r="V992" s="663"/>
      <c r="W992" s="663"/>
      <c r="X992" s="663"/>
      <c r="Y992" s="663"/>
      <c r="Z992" s="663"/>
    </row>
    <row r="993">
      <c r="A993" s="670"/>
      <c r="B993" s="671"/>
      <c r="C993" s="672"/>
      <c r="D993" s="673"/>
      <c r="E993" s="663"/>
      <c r="F993" s="663"/>
      <c r="G993" s="663"/>
      <c r="H993" s="663"/>
      <c r="I993" s="663"/>
      <c r="J993" s="663"/>
      <c r="K993" s="663"/>
      <c r="L993" s="663"/>
      <c r="M993" s="663"/>
      <c r="N993" s="663"/>
      <c r="O993" s="663"/>
      <c r="P993" s="663"/>
      <c r="Q993" s="663"/>
      <c r="R993" s="663"/>
      <c r="S993" s="663"/>
      <c r="T993" s="663"/>
      <c r="U993" s="663"/>
      <c r="V993" s="663"/>
      <c r="W993" s="663"/>
      <c r="X993" s="663"/>
      <c r="Y993" s="663"/>
      <c r="Z993" s="663"/>
    </row>
    <row r="994">
      <c r="A994" s="670"/>
      <c r="B994" s="671"/>
      <c r="C994" s="672"/>
      <c r="D994" s="673"/>
      <c r="E994" s="663"/>
      <c r="F994" s="663"/>
      <c r="G994" s="663"/>
      <c r="H994" s="663"/>
      <c r="I994" s="663"/>
      <c r="J994" s="663"/>
      <c r="K994" s="663"/>
      <c r="L994" s="663"/>
      <c r="M994" s="663"/>
      <c r="N994" s="663"/>
      <c r="O994" s="663"/>
      <c r="P994" s="663"/>
      <c r="Q994" s="663"/>
      <c r="R994" s="663"/>
      <c r="S994" s="663"/>
      <c r="T994" s="663"/>
      <c r="U994" s="663"/>
      <c r="V994" s="663"/>
      <c r="W994" s="663"/>
      <c r="X994" s="663"/>
      <c r="Y994" s="663"/>
      <c r="Z994" s="663"/>
    </row>
    <row r="995">
      <c r="A995" s="670"/>
      <c r="B995" s="671"/>
      <c r="C995" s="672"/>
      <c r="D995" s="673"/>
      <c r="E995" s="663"/>
      <c r="F995" s="663"/>
      <c r="G995" s="663"/>
      <c r="H995" s="663"/>
      <c r="I995" s="663"/>
      <c r="J995" s="663"/>
      <c r="K995" s="663"/>
      <c r="L995" s="663"/>
      <c r="M995" s="663"/>
      <c r="N995" s="663"/>
      <c r="O995" s="663"/>
      <c r="P995" s="663"/>
      <c r="Q995" s="663"/>
      <c r="R995" s="663"/>
      <c r="S995" s="663"/>
      <c r="T995" s="663"/>
      <c r="U995" s="663"/>
      <c r="V995" s="663"/>
      <c r="W995" s="663"/>
      <c r="X995" s="663"/>
      <c r="Y995" s="663"/>
      <c r="Z995" s="663"/>
    </row>
    <row r="996">
      <c r="A996" s="670"/>
      <c r="B996" s="671"/>
      <c r="C996" s="672"/>
      <c r="D996" s="673"/>
      <c r="E996" s="663"/>
      <c r="F996" s="663"/>
      <c r="G996" s="663"/>
      <c r="H996" s="663"/>
      <c r="I996" s="663"/>
      <c r="J996" s="663"/>
      <c r="K996" s="663"/>
      <c r="L996" s="663"/>
      <c r="M996" s="663"/>
      <c r="N996" s="663"/>
      <c r="O996" s="663"/>
      <c r="P996" s="663"/>
      <c r="Q996" s="663"/>
      <c r="R996" s="663"/>
      <c r="S996" s="663"/>
      <c r="T996" s="663"/>
      <c r="U996" s="663"/>
      <c r="V996" s="663"/>
      <c r="W996" s="663"/>
      <c r="X996" s="663"/>
      <c r="Y996" s="663"/>
      <c r="Z996" s="663"/>
    </row>
    <row r="997">
      <c r="A997" s="670"/>
      <c r="B997" s="671"/>
      <c r="C997" s="672"/>
      <c r="D997" s="673"/>
      <c r="E997" s="663"/>
      <c r="F997" s="663"/>
      <c r="G997" s="663"/>
      <c r="H997" s="663"/>
      <c r="I997" s="663"/>
      <c r="J997" s="663"/>
      <c r="K997" s="663"/>
      <c r="L997" s="663"/>
      <c r="M997" s="663"/>
      <c r="N997" s="663"/>
      <c r="O997" s="663"/>
      <c r="P997" s="663"/>
      <c r="Q997" s="663"/>
      <c r="R997" s="663"/>
      <c r="S997" s="663"/>
      <c r="T997" s="663"/>
      <c r="U997" s="663"/>
      <c r="V997" s="663"/>
      <c r="W997" s="663"/>
      <c r="X997" s="663"/>
      <c r="Y997" s="663"/>
      <c r="Z997" s="663"/>
    </row>
    <row r="998">
      <c r="A998" s="670"/>
      <c r="B998" s="671"/>
      <c r="C998" s="672"/>
      <c r="D998" s="673"/>
      <c r="E998" s="663"/>
      <c r="F998" s="663"/>
      <c r="G998" s="663"/>
      <c r="H998" s="663"/>
      <c r="I998" s="663"/>
      <c r="J998" s="663"/>
      <c r="K998" s="663"/>
      <c r="L998" s="663"/>
      <c r="M998" s="663"/>
      <c r="N998" s="663"/>
      <c r="O998" s="663"/>
      <c r="P998" s="663"/>
      <c r="Q998" s="663"/>
      <c r="R998" s="663"/>
      <c r="S998" s="663"/>
      <c r="T998" s="663"/>
      <c r="U998" s="663"/>
      <c r="V998" s="663"/>
      <c r="W998" s="663"/>
      <c r="X998" s="663"/>
      <c r="Y998" s="663"/>
      <c r="Z998" s="663"/>
    </row>
    <row r="999">
      <c r="A999" s="670"/>
      <c r="B999" s="671"/>
      <c r="C999" s="672"/>
      <c r="D999" s="673"/>
      <c r="E999" s="663"/>
      <c r="F999" s="663"/>
      <c r="G999" s="663"/>
      <c r="H999" s="663"/>
      <c r="I999" s="663"/>
      <c r="J999" s="663"/>
      <c r="K999" s="663"/>
      <c r="L999" s="663"/>
      <c r="M999" s="663"/>
      <c r="N999" s="663"/>
      <c r="O999" s="663"/>
      <c r="P999" s="663"/>
      <c r="Q999" s="663"/>
      <c r="R999" s="663"/>
      <c r="S999" s="663"/>
      <c r="T999" s="663"/>
      <c r="U999" s="663"/>
      <c r="V999" s="663"/>
      <c r="W999" s="663"/>
      <c r="X999" s="663"/>
      <c r="Y999" s="663"/>
      <c r="Z999" s="663"/>
    </row>
    <row r="1000">
      <c r="A1000" s="670"/>
      <c r="B1000" s="671"/>
      <c r="C1000" s="672"/>
      <c r="D1000" s="673"/>
      <c r="E1000" s="663"/>
      <c r="F1000" s="663"/>
      <c r="G1000" s="663"/>
      <c r="H1000" s="663"/>
      <c r="I1000" s="663"/>
      <c r="J1000" s="663"/>
      <c r="K1000" s="663"/>
      <c r="L1000" s="663"/>
      <c r="M1000" s="663"/>
      <c r="N1000" s="663"/>
      <c r="O1000" s="663"/>
      <c r="P1000" s="663"/>
      <c r="Q1000" s="663"/>
      <c r="R1000" s="663"/>
      <c r="S1000" s="663"/>
      <c r="T1000" s="663"/>
      <c r="U1000" s="663"/>
      <c r="V1000" s="663"/>
      <c r="W1000" s="663"/>
      <c r="X1000" s="663"/>
      <c r="Y1000" s="663"/>
      <c r="Z1000" s="663"/>
    </row>
    <row r="1001">
      <c r="A1001" s="670"/>
      <c r="B1001" s="671"/>
      <c r="C1001" s="672"/>
      <c r="D1001" s="673"/>
      <c r="E1001" s="663"/>
      <c r="F1001" s="663"/>
      <c r="G1001" s="663"/>
      <c r="H1001" s="663"/>
      <c r="I1001" s="663"/>
      <c r="J1001" s="663"/>
      <c r="K1001" s="663"/>
      <c r="L1001" s="663"/>
      <c r="M1001" s="663"/>
      <c r="N1001" s="663"/>
      <c r="O1001" s="663"/>
      <c r="P1001" s="663"/>
      <c r="Q1001" s="663"/>
      <c r="R1001" s="663"/>
      <c r="S1001" s="663"/>
      <c r="T1001" s="663"/>
      <c r="U1001" s="663"/>
      <c r="V1001" s="663"/>
      <c r="W1001" s="663"/>
      <c r="X1001" s="663"/>
      <c r="Y1001" s="663"/>
      <c r="Z1001" s="663"/>
    </row>
    <row r="1002">
      <c r="A1002" s="670"/>
      <c r="B1002" s="671"/>
      <c r="C1002" s="672"/>
      <c r="D1002" s="673"/>
      <c r="E1002" s="663"/>
      <c r="F1002" s="663"/>
      <c r="G1002" s="663"/>
      <c r="H1002" s="663"/>
      <c r="I1002" s="663"/>
      <c r="J1002" s="663"/>
      <c r="K1002" s="663"/>
      <c r="L1002" s="663"/>
      <c r="M1002" s="663"/>
      <c r="N1002" s="663"/>
      <c r="O1002" s="663"/>
      <c r="P1002" s="663"/>
      <c r="Q1002" s="663"/>
      <c r="R1002" s="663"/>
      <c r="S1002" s="663"/>
      <c r="T1002" s="663"/>
      <c r="U1002" s="663"/>
      <c r="V1002" s="663"/>
      <c r="W1002" s="663"/>
      <c r="X1002" s="663"/>
      <c r="Y1002" s="663"/>
      <c r="Z1002" s="663"/>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 customWidth="1" min="15" max="15" width="49.38"/>
    <col customWidth="1" min="16" max="16" width="44.63"/>
  </cols>
  <sheetData>
    <row r="1" ht="117.75" customHeight="1">
      <c r="A1" s="642" t="s">
        <v>14624</v>
      </c>
      <c r="B1" s="642" t="s">
        <v>14625</v>
      </c>
      <c r="C1" s="643" t="s">
        <v>14626</v>
      </c>
      <c r="D1" s="643" t="str">
        <f>IFERROR(__xludf.DUMMYFUNCTION("GOOGLETRANSLATE(B1,""zh-tw"",""ja"")"),"※このチュートリアルはプレイヤーによって提供されました※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f>
        <v>※このチュートリアルはプレイヤーによって提供されました※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v>
      </c>
      <c r="E1" s="674" t="s">
        <v>14627</v>
      </c>
      <c r="F1" s="675" t="s">
        <v>14628</v>
      </c>
      <c r="G1" s="676" t="s">
        <v>14629</v>
      </c>
      <c r="H1" s="677"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678" t="s">
        <v>14630</v>
      </c>
      <c r="J1" s="678" t="s">
        <v>14631</v>
      </c>
      <c r="K1" s="679" t="s">
        <v>14632</v>
      </c>
      <c r="L1" s="679" t="s">
        <v>14633</v>
      </c>
      <c r="M1" s="680" t="s">
        <v>14634</v>
      </c>
      <c r="N1" s="680" t="s">
        <v>14635</v>
      </c>
      <c r="O1" s="681" t="s">
        <v>14636</v>
      </c>
      <c r="P1" s="682" t="s">
        <v>14637</v>
      </c>
      <c r="Q1" s="648"/>
      <c r="R1" s="648"/>
      <c r="S1" s="648"/>
      <c r="T1" s="648"/>
      <c r="U1" s="648"/>
      <c r="V1" s="648"/>
      <c r="W1" s="648"/>
    </row>
    <row r="2">
      <c r="A2" s="649" t="s">
        <v>14638</v>
      </c>
      <c r="B2" s="649" t="s">
        <v>14639</v>
      </c>
      <c r="C2" s="86" t="s">
        <v>14640</v>
      </c>
      <c r="D2" s="86" t="str">
        <f>IFERROR(__xludf.DUMMYFUNCTION("GOOGLETRANSLATE(B2,""zh-tw"",""ja"")"),"1 - Googleで「NVIDIAアプリのインストール」を検索し、NVIDIAアプリケーションを起動します。")</f>
        <v>1 - Googleで「NVIDIAアプリのインストール」を検索し、NVIDIAアプリケーションを起動します。</v>
      </c>
      <c r="E2" s="580" t="s">
        <v>14641</v>
      </c>
      <c r="F2" s="683" t="s">
        <v>14642</v>
      </c>
      <c r="G2" s="684" t="s">
        <v>14643</v>
      </c>
      <c r="H2" s="685" t="str">
        <f>IFERROR(__xludf.DUMMYFUNCTION("GOOGLETRANSLATE(B2,""zh-tw"",""zh"")"),"1 - 在google上搜寻 NVIDIA APP安装，并启动 NVIDIA 应用程式。")</f>
        <v>1 - 在google上搜寻 NVIDIA APP安装，并启动 NVIDIA 应用程式。</v>
      </c>
      <c r="I2" s="686" t="s">
        <v>14644</v>
      </c>
      <c r="J2" s="686" t="s">
        <v>14645</v>
      </c>
      <c r="K2" s="553" t="s">
        <v>14646</v>
      </c>
      <c r="L2" s="553" t="s">
        <v>14647</v>
      </c>
      <c r="M2" s="687" t="s">
        <v>14648</v>
      </c>
      <c r="N2" s="687" t="s">
        <v>14649</v>
      </c>
      <c r="O2" s="688" t="s">
        <v>14650</v>
      </c>
      <c r="P2" s="688" t="s">
        <v>14651</v>
      </c>
      <c r="Q2" s="286"/>
      <c r="R2" s="286"/>
      <c r="S2" s="286"/>
      <c r="T2" s="286"/>
      <c r="U2" s="286"/>
      <c r="V2" s="286"/>
      <c r="W2" s="286"/>
    </row>
    <row r="3">
      <c r="A3" s="649" t="s">
        <v>14652</v>
      </c>
      <c r="B3" s="649" t="s">
        <v>14653</v>
      </c>
      <c r="C3" s="86" t="s">
        <v>14654</v>
      </c>
      <c r="D3" s="86" t="str">
        <f>IFERROR(__xludf.DUMMYFUNCTION("GOOGLETRANSLATE(B3,""zh-tw"",""ja"")"),"2 - 最新バージョンにアップデートした後、NVIDIAアプリケーションを再起動してください。")</f>
        <v>2 - 最新バージョンにアップデートした後、NVIDIAアプリケーションを再起動してください。</v>
      </c>
      <c r="E3" s="580" t="s">
        <v>14655</v>
      </c>
      <c r="F3" s="683" t="s">
        <v>14656</v>
      </c>
      <c r="G3" s="684" t="s">
        <v>14657</v>
      </c>
      <c r="H3" s="685" t="str">
        <f>IFERROR(__xludf.DUMMYFUNCTION("GOOGLETRANSLATE(B3,""zh-tw"",""zh"")"),"2 - 在更新至最新版本后重新启动 NVIDIA 应用程式。")</f>
        <v>2 - 在更新至最新版本后重新启动 NVIDIA 应用程式。</v>
      </c>
      <c r="I3" s="686" t="s">
        <v>14658</v>
      </c>
      <c r="J3" s="686" t="s">
        <v>14659</v>
      </c>
      <c r="K3" s="553" t="s">
        <v>14660</v>
      </c>
      <c r="L3" s="553" t="s">
        <v>14661</v>
      </c>
      <c r="M3" s="687" t="s">
        <v>14662</v>
      </c>
      <c r="N3" s="687" t="s">
        <v>14663</v>
      </c>
      <c r="O3" s="688" t="s">
        <v>14664</v>
      </c>
      <c r="P3" s="688" t="s">
        <v>14665</v>
      </c>
      <c r="Q3" s="286"/>
      <c r="R3" s="286"/>
      <c r="S3" s="286"/>
      <c r="T3" s="286"/>
      <c r="U3" s="286"/>
      <c r="V3" s="286"/>
      <c r="W3" s="286"/>
    </row>
    <row r="4">
      <c r="A4" s="649" t="s">
        <v>14666</v>
      </c>
      <c r="B4" s="649" t="s">
        <v>14667</v>
      </c>
      <c r="C4" s="86" t="s">
        <v>14668</v>
      </c>
      <c r="D4" s="86" t="str">
        <f>IFERROR(__xludf.DUMMYFUNCTION("GOOGLETRANSLATE(B4,""zh-tw"",""ja"")"),"3 - NVIDIAアプリケーションで、グラフィック設定エリアに移動します。")</f>
        <v>3 - NVIDIAアプリケーションで、グラフィック設定エリアに移動します。</v>
      </c>
      <c r="E4" s="580" t="s">
        <v>14669</v>
      </c>
      <c r="F4" s="683" t="s">
        <v>14670</v>
      </c>
      <c r="G4" s="684" t="s">
        <v>14671</v>
      </c>
      <c r="H4" s="685" t="str">
        <f>IFERROR(__xludf.DUMMYFUNCTION("GOOGLETRANSLATE(B4,""zh-tw"",""zh"")"),"3 - 在NVIDIA应用程式中，进入图形设置区域。")</f>
        <v>3 - 在NVIDIA应用程式中，进入图形设置区域。</v>
      </c>
      <c r="I4" s="686" t="s">
        <v>14672</v>
      </c>
      <c r="J4" s="686" t="s">
        <v>14673</v>
      </c>
      <c r="K4" s="553" t="s">
        <v>14674</v>
      </c>
      <c r="L4" s="553" t="s">
        <v>14675</v>
      </c>
      <c r="M4" s="687" t="s">
        <v>14676</v>
      </c>
      <c r="N4" s="687" t="s">
        <v>14677</v>
      </c>
      <c r="O4" s="688" t="s">
        <v>14678</v>
      </c>
      <c r="P4" s="688" t="s">
        <v>14679</v>
      </c>
      <c r="Q4" s="286"/>
      <c r="R4" s="286"/>
      <c r="S4" s="286"/>
      <c r="T4" s="286"/>
      <c r="U4" s="286"/>
      <c r="V4" s="286"/>
      <c r="W4" s="286"/>
    </row>
    <row r="5">
      <c r="A5" s="649" t="s">
        <v>14680</v>
      </c>
      <c r="B5" s="649" t="s">
        <v>14681</v>
      </c>
      <c r="C5" s="86" t="s">
        <v>14682</v>
      </c>
      <c r="D5" s="86" t="str">
        <f>IFERROR(__xludf.DUMMYFUNCTION("GOOGLETRANSLATE(B5,""zh-tw"",""ja"")"),"4 - 「プログラム設定」で、3つの点をクリックし、「プログラムの追加」を選択して、ゲームの実行ファイルを探します。")</f>
        <v>4 - 「プログラム設定」で、3つの点をクリックし、「プログラムの追加」を選択して、ゲームの実行ファイルを探します。</v>
      </c>
      <c r="E5" s="580" t="s">
        <v>14683</v>
      </c>
      <c r="F5" s="683" t="s">
        <v>14684</v>
      </c>
      <c r="G5" s="684" t="s">
        <v>14685</v>
      </c>
      <c r="H5" s="685" t="str">
        <f>IFERROR(__xludf.DUMMYFUNCTION("GOOGLETRANSLATE(B5,""zh-tw"",""zh"")"),"4 - 在「程式设定」中点击三个点，选择「新增程式」，然后寻找游戏的执行档。")</f>
        <v>4 - 在「程式设定」中点击三个点，选择「新增程式」，然后寻找游戏的执行档。</v>
      </c>
      <c r="I5" s="686" t="s">
        <v>14686</v>
      </c>
      <c r="J5" s="686" t="s">
        <v>14687</v>
      </c>
      <c r="K5" s="553" t="s">
        <v>14688</v>
      </c>
      <c r="L5" s="553" t="s">
        <v>14689</v>
      </c>
      <c r="M5" s="687" t="s">
        <v>14690</v>
      </c>
      <c r="N5" s="687" t="s">
        <v>14691</v>
      </c>
      <c r="O5" s="688" t="s">
        <v>14692</v>
      </c>
      <c r="P5" s="688" t="s">
        <v>14693</v>
      </c>
      <c r="Q5" s="286"/>
      <c r="R5" s="286"/>
      <c r="S5" s="286"/>
      <c r="T5" s="286"/>
      <c r="U5" s="286"/>
      <c r="V5" s="286"/>
      <c r="W5" s="286"/>
    </row>
    <row r="6">
      <c r="A6" s="649" t="s">
        <v>14694</v>
      </c>
      <c r="B6" s="649" t="s">
        <v>14695</v>
      </c>
      <c r="C6" s="86" t="s">
        <v>14696</v>
      </c>
      <c r="D6" s="86" t="str">
        <f>IFERROR(__xludf.DUMMYFUNCTION("GOOGLETRANSLATE(B6,""zh-tw"",""ja"")"),"5 - 「低遅延モード」を「超高」に、「電源管理モード」を「最適電力」に設定します。")</f>
        <v>5 - 「低遅延モード」を「超高」に、「電源管理モード」を「最適電力」に設定します。</v>
      </c>
      <c r="E6" s="580" t="s">
        <v>14697</v>
      </c>
      <c r="F6" s="683" t="s">
        <v>14698</v>
      </c>
      <c r="G6" s="684" t="s">
        <v>14699</v>
      </c>
      <c r="H6" s="685" t="str">
        <f>IFERROR(__xludf.DUMMYFUNCTION("GOOGLETRANSLATE(B6,""zh-tw"",""zh"")"),"5 - 将「低延迟模式」设为「超高」，电源管理模式设为「最佳电源」。")</f>
        <v>5 - 将「低延迟模式」设为「超高」，电源管理模式设为「最佳电源」。</v>
      </c>
      <c r="I6" s="686" t="s">
        <v>14700</v>
      </c>
      <c r="J6" s="686" t="s">
        <v>14701</v>
      </c>
      <c r="K6" s="553" t="s">
        <v>14702</v>
      </c>
      <c r="L6" s="553" t="s">
        <v>14703</v>
      </c>
      <c r="M6" s="687" t="s">
        <v>14704</v>
      </c>
      <c r="N6" s="687" t="s">
        <v>14705</v>
      </c>
      <c r="O6" s="688" t="s">
        <v>14706</v>
      </c>
      <c r="P6" s="688" t="s">
        <v>14707</v>
      </c>
      <c r="Q6" s="286"/>
      <c r="R6" s="286"/>
      <c r="S6" s="286"/>
      <c r="T6" s="286"/>
      <c r="U6" s="286"/>
      <c r="V6" s="286"/>
      <c r="W6" s="286"/>
    </row>
    <row r="7">
      <c r="A7" s="649" t="s">
        <v>14708</v>
      </c>
      <c r="B7" s="649" t="s">
        <v>14709</v>
      </c>
      <c r="C7" s="86" t="s">
        <v>14710</v>
      </c>
      <c r="D7" s="86" t="str">
        <f>IFERROR(__xludf.DUMMYFUNCTION("GOOGLETRANSLATE(B7,""zh-tw"",""ja"")"),"6. 「垂直同期」を「高速」に設定します。")</f>
        <v>6. 「垂直同期」を「高速」に設定します。</v>
      </c>
      <c r="E7" s="580" t="s">
        <v>14711</v>
      </c>
      <c r="F7" s="683" t="s">
        <v>14712</v>
      </c>
      <c r="G7" s="684" t="s">
        <v>14713</v>
      </c>
      <c r="H7" s="685" t="str">
        <f>IFERROR(__xludf.DUMMYFUNCTION("GOOGLETRANSLATE(B7,""zh-tw"",""zh"")"),"6- 将「垂直同步」设为「快速」。")</f>
        <v>6- 将「垂直同步」设为「快速」。</v>
      </c>
      <c r="I7" s="686" t="s">
        <v>14714</v>
      </c>
      <c r="J7" s="686" t="s">
        <v>14715</v>
      </c>
      <c r="K7" s="553" t="s">
        <v>14716</v>
      </c>
      <c r="L7" s="553" t="s">
        <v>14717</v>
      </c>
      <c r="M7" s="687" t="s">
        <v>14718</v>
      </c>
      <c r="N7" s="687" t="s">
        <v>14719</v>
      </c>
      <c r="O7" s="688" t="s">
        <v>14720</v>
      </c>
      <c r="P7" s="688" t="s">
        <v>14721</v>
      </c>
      <c r="Q7" s="286"/>
      <c r="R7" s="286"/>
      <c r="S7" s="286"/>
      <c r="T7" s="286"/>
      <c r="U7" s="286"/>
      <c r="V7" s="286"/>
      <c r="W7" s="286"/>
    </row>
    <row r="8">
      <c r="A8" s="649" t="s">
        <v>14722</v>
      </c>
      <c r="B8" s="649" t="s">
        <v>14723</v>
      </c>
      <c r="C8" s="86" t="s">
        <v>14724</v>
      </c>
      <c r="D8" s="86" t="str">
        <f>IFERROR(__xludf.DUMMYFUNCTION("GOOGLETRANSLATE(B8,""zh-tw"",""ja"")"),"7 - お使いのコンピューターがこれらのオプションに対応できない場合は、最適なオプションを選択してください。")</f>
        <v>7 - お使いのコンピューターがこれらのオプションに対応できない場合は、最適なオプションを選択してください。</v>
      </c>
      <c r="E8" s="580" t="s">
        <v>14725</v>
      </c>
      <c r="F8" s="683" t="s">
        <v>14726</v>
      </c>
      <c r="G8" s="684" t="s">
        <v>14727</v>
      </c>
      <c r="H8" s="685" t="str">
        <f>IFERROR(__xludf.DUMMYFUNCTION("GOOGLETRANSLATE(B8,""zh-tw"",""zh"")"),"7 - 如果你的电脑无法负荷这些选项，请依照最佳的选项即可。")</f>
        <v>7 - 如果你的电脑无法负荷这些选项，请依照最佳的选项即可。</v>
      </c>
      <c r="I8" s="686" t="s">
        <v>14728</v>
      </c>
      <c r="J8" s="686" t="s">
        <v>14729</v>
      </c>
      <c r="K8" s="553" t="s">
        <v>14730</v>
      </c>
      <c r="L8" s="553" t="s">
        <v>14731</v>
      </c>
      <c r="M8" s="687" t="s">
        <v>14732</v>
      </c>
      <c r="N8" s="687" t="s">
        <v>14733</v>
      </c>
      <c r="O8" s="688" t="s">
        <v>14734</v>
      </c>
      <c r="P8" s="688" t="s">
        <v>14735</v>
      </c>
      <c r="Q8" s="286"/>
      <c r="R8" s="286"/>
      <c r="S8" s="286"/>
      <c r="T8" s="286"/>
      <c r="U8" s="286"/>
      <c r="V8" s="286"/>
      <c r="W8" s="286"/>
    </row>
    <row r="9">
      <c r="A9" s="649" t="s">
        <v>14736</v>
      </c>
      <c r="B9" s="649" t="s">
        <v>14737</v>
      </c>
      <c r="C9" s="86" t="s">
        <v>14738</v>
      </c>
      <c r="D9" s="86" t="str">
        <f>IFERROR(__xludf.DUMMYFUNCTION("GOOGLETRANSLATE(B9,""zh-tw"",""ja"")"),"8. さあ、ゲームを起動してみましょう。その優れた安定性を実感できるはずです。")</f>
        <v>8. さあ、ゲームを起動してみましょう。その優れた安定性を実感できるはずです。</v>
      </c>
      <c r="E9" s="580" t="s">
        <v>14739</v>
      </c>
      <c r="F9" s="683" t="s">
        <v>14740</v>
      </c>
      <c r="G9" s="684" t="s">
        <v>14741</v>
      </c>
      <c r="H9" s="685" t="str">
        <f>IFERROR(__xludf.DUMMYFUNCTION("GOOGLETRANSLATE(B9,""zh-tw"",""zh"")"),"8- 现在，将游戏启动，你能体验到良好的稳定性能。")</f>
        <v>8- 现在，将游戏启动，你能体验到良好的稳定性能。</v>
      </c>
      <c r="I9" s="686" t="s">
        <v>14742</v>
      </c>
      <c r="J9" s="686" t="s">
        <v>14743</v>
      </c>
      <c r="K9" s="553" t="s">
        <v>14744</v>
      </c>
      <c r="L9" s="553" t="s">
        <v>14745</v>
      </c>
      <c r="M9" s="687" t="s">
        <v>14739</v>
      </c>
      <c r="N9" s="687" t="s">
        <v>14746</v>
      </c>
      <c r="O9" s="688" t="s">
        <v>14747</v>
      </c>
      <c r="P9" s="688" t="s">
        <v>14748</v>
      </c>
      <c r="Q9" s="286"/>
      <c r="R9" s="286"/>
      <c r="S9" s="286"/>
      <c r="T9" s="286"/>
      <c r="U9" s="286"/>
      <c r="V9" s="286"/>
      <c r="W9" s="286"/>
    </row>
    <row r="10">
      <c r="A10" s="649"/>
      <c r="B10" s="689" t="s">
        <v>14749</v>
      </c>
      <c r="C10" s="366"/>
      <c r="D10" s="690" t="s">
        <v>14750</v>
      </c>
      <c r="E10" s="691"/>
      <c r="F10" s="692" t="s">
        <v>14605</v>
      </c>
      <c r="G10" s="685"/>
      <c r="H10" s="693" t="s">
        <v>14751</v>
      </c>
      <c r="I10" s="694"/>
      <c r="J10" s="695" t="s">
        <v>14607</v>
      </c>
      <c r="K10" s="551"/>
      <c r="L10" s="696" t="str">
        <f>HYPERLINK("https://www.youtube.com/watch?v=9NSNcMB5M2o&amp;ab_channel=gabrielb", "Video Youtube tham khảo")</f>
        <v>Video Youtube tham khảo</v>
      </c>
      <c r="M10" s="697"/>
      <c r="N10" s="698" t="s">
        <v>14752</v>
      </c>
      <c r="O10" s="688"/>
      <c r="P10" s="699" t="s">
        <v>14610</v>
      </c>
      <c r="Q10" s="286"/>
      <c r="R10" s="286"/>
      <c r="S10" s="286"/>
      <c r="T10" s="286"/>
      <c r="U10" s="286"/>
      <c r="V10" s="286"/>
      <c r="W10" s="286"/>
    </row>
    <row r="11">
      <c r="A11" s="659"/>
      <c r="B11" s="659"/>
      <c r="C11" s="286"/>
      <c r="D11" s="286"/>
      <c r="E11" s="286"/>
      <c r="F11" s="659"/>
      <c r="G11" s="286"/>
      <c r="H11" s="286"/>
      <c r="I11" s="286"/>
      <c r="J11" s="528"/>
      <c r="K11" s="399"/>
      <c r="L11" s="399"/>
      <c r="M11" s="286"/>
      <c r="N11" s="286"/>
      <c r="O11" s="286"/>
      <c r="P11" s="286"/>
      <c r="Q11" s="286"/>
      <c r="R11" s="286"/>
      <c r="S11" s="286"/>
      <c r="T11" s="286"/>
      <c r="U11" s="286"/>
      <c r="V11" s="286"/>
      <c r="W11" s="286"/>
    </row>
    <row r="12">
      <c r="A12" s="659"/>
      <c r="B12" s="659"/>
      <c r="C12" s="286"/>
      <c r="D12" s="286"/>
      <c r="E12" s="286"/>
      <c r="F12" s="286"/>
      <c r="G12" s="286"/>
      <c r="H12" s="286"/>
      <c r="I12" s="286"/>
      <c r="J12" s="286"/>
      <c r="K12" s="399"/>
      <c r="L12" s="399"/>
      <c r="M12" s="286"/>
      <c r="N12" s="286"/>
      <c r="O12" s="286"/>
      <c r="P12" s="286"/>
      <c r="Q12" s="286"/>
      <c r="R12" s="286"/>
      <c r="S12" s="286"/>
      <c r="T12" s="286"/>
      <c r="U12" s="286"/>
      <c r="V12" s="286"/>
      <c r="W12" s="286"/>
    </row>
    <row r="13">
      <c r="A13" s="659"/>
      <c r="B13" s="659"/>
      <c r="C13" s="286"/>
      <c r="D13" s="286"/>
      <c r="E13" s="286"/>
      <c r="F13" s="286"/>
      <c r="G13" s="286"/>
      <c r="H13" s="286"/>
      <c r="I13" s="286"/>
      <c r="J13" s="286"/>
      <c r="K13" s="399"/>
      <c r="L13" s="399"/>
      <c r="M13" s="286"/>
      <c r="N13" s="286"/>
      <c r="O13" s="286"/>
      <c r="P13" s="286"/>
      <c r="Q13" s="286"/>
      <c r="R13" s="286"/>
      <c r="S13" s="286"/>
      <c r="T13" s="286"/>
      <c r="U13" s="286"/>
      <c r="V13" s="286"/>
      <c r="W13" s="286"/>
    </row>
    <row r="14">
      <c r="A14" s="659"/>
      <c r="B14" s="659"/>
      <c r="C14" s="286"/>
      <c r="D14" s="286"/>
      <c r="E14" s="286"/>
      <c r="F14" s="286"/>
      <c r="G14" s="286"/>
      <c r="H14" s="286"/>
      <c r="I14" s="286"/>
      <c r="J14" s="286"/>
      <c r="K14" s="399"/>
      <c r="L14" s="399"/>
      <c r="M14" s="286"/>
      <c r="N14" s="286"/>
      <c r="O14" s="286"/>
      <c r="P14" s="286"/>
      <c r="Q14" s="286"/>
      <c r="R14" s="286"/>
      <c r="S14" s="286"/>
      <c r="T14" s="286"/>
      <c r="U14" s="286"/>
      <c r="V14" s="286"/>
      <c r="W14" s="286"/>
    </row>
    <row r="15">
      <c r="A15" s="659"/>
      <c r="B15" s="659"/>
      <c r="C15" s="286"/>
      <c r="D15" s="286"/>
      <c r="E15" s="286"/>
      <c r="F15" s="286"/>
      <c r="G15" s="286"/>
      <c r="H15" s="286"/>
      <c r="I15" s="286"/>
      <c r="J15" s="286"/>
      <c r="K15" s="399"/>
      <c r="L15" s="399"/>
      <c r="M15" s="286"/>
      <c r="N15" s="286"/>
      <c r="O15" s="286"/>
      <c r="P15" s="286"/>
      <c r="Q15" s="286"/>
      <c r="R15" s="286"/>
      <c r="S15" s="286"/>
      <c r="T15" s="286"/>
      <c r="U15" s="286"/>
      <c r="V15" s="286"/>
      <c r="W15" s="286"/>
    </row>
    <row r="16">
      <c r="A16" s="659"/>
      <c r="B16" s="659"/>
      <c r="C16" s="286"/>
      <c r="D16" s="286"/>
      <c r="E16" s="286"/>
      <c r="F16" s="286"/>
      <c r="G16" s="286"/>
      <c r="H16" s="286"/>
      <c r="I16" s="286"/>
      <c r="J16" s="286"/>
      <c r="K16" s="399"/>
      <c r="L16" s="399"/>
      <c r="M16" s="286"/>
      <c r="N16" s="286"/>
      <c r="O16" s="286"/>
      <c r="P16" s="286"/>
      <c r="Q16" s="286"/>
      <c r="R16" s="286"/>
      <c r="S16" s="286"/>
      <c r="T16" s="286"/>
      <c r="U16" s="286"/>
      <c r="V16" s="286"/>
      <c r="W16" s="286"/>
    </row>
    <row r="17">
      <c r="A17" s="659"/>
      <c r="B17" s="659"/>
      <c r="C17" s="286"/>
      <c r="D17" s="286"/>
      <c r="E17" s="286"/>
      <c r="F17" s="286"/>
      <c r="G17" s="286"/>
      <c r="H17" s="286"/>
      <c r="I17" s="286"/>
      <c r="J17" s="286"/>
      <c r="K17" s="399"/>
      <c r="L17" s="399"/>
      <c r="M17" s="286"/>
      <c r="N17" s="286"/>
      <c r="O17" s="286"/>
      <c r="P17" s="286"/>
      <c r="Q17" s="286"/>
      <c r="R17" s="286"/>
      <c r="S17" s="286"/>
      <c r="T17" s="286"/>
      <c r="U17" s="286"/>
      <c r="V17" s="286"/>
      <c r="W17" s="286"/>
    </row>
    <row r="18">
      <c r="A18" s="659"/>
      <c r="B18" s="659"/>
      <c r="C18" s="286"/>
      <c r="D18" s="286"/>
      <c r="E18" s="286"/>
      <c r="F18" s="286"/>
      <c r="G18" s="286"/>
      <c r="H18" s="286"/>
      <c r="I18" s="286"/>
      <c r="J18" s="286"/>
      <c r="K18" s="399"/>
      <c r="L18" s="399"/>
      <c r="M18" s="286"/>
      <c r="N18" s="286"/>
      <c r="O18" s="286"/>
      <c r="P18" s="286"/>
      <c r="Q18" s="286"/>
      <c r="R18" s="286"/>
      <c r="S18" s="286"/>
      <c r="T18" s="286"/>
      <c r="U18" s="286"/>
      <c r="V18" s="286"/>
      <c r="W18" s="286"/>
    </row>
    <row r="19">
      <c r="A19" s="659"/>
      <c r="B19" s="659"/>
      <c r="C19" s="286"/>
      <c r="D19" s="286"/>
      <c r="E19" s="286"/>
      <c r="F19" s="286"/>
      <c r="G19" s="286"/>
      <c r="H19" s="286"/>
      <c r="I19" s="286"/>
      <c r="J19" s="286"/>
      <c r="K19" s="399"/>
      <c r="L19" s="399"/>
      <c r="M19" s="286"/>
      <c r="N19" s="286"/>
      <c r="O19" s="286"/>
      <c r="P19" s="286"/>
      <c r="Q19" s="286"/>
      <c r="R19" s="286"/>
      <c r="S19" s="286"/>
      <c r="T19" s="286"/>
      <c r="U19" s="286"/>
      <c r="V19" s="286"/>
      <c r="W19" s="286"/>
    </row>
    <row r="20">
      <c r="A20" s="659"/>
      <c r="B20" s="659"/>
      <c r="C20" s="286"/>
      <c r="D20" s="286"/>
      <c r="E20" s="286"/>
      <c r="F20" s="286"/>
      <c r="G20" s="286"/>
      <c r="H20" s="286"/>
      <c r="I20" s="286"/>
      <c r="J20" s="286"/>
      <c r="K20" s="399"/>
      <c r="L20" s="399"/>
      <c r="M20" s="286"/>
      <c r="N20" s="286"/>
      <c r="O20" s="286"/>
      <c r="P20" s="286"/>
      <c r="Q20" s="286"/>
      <c r="R20" s="286"/>
      <c r="S20" s="286"/>
      <c r="T20" s="286"/>
      <c r="U20" s="286"/>
      <c r="V20" s="286"/>
      <c r="W20" s="286"/>
    </row>
    <row r="21">
      <c r="A21" s="659"/>
      <c r="B21" s="659"/>
      <c r="C21" s="286"/>
      <c r="D21" s="286"/>
      <c r="E21" s="286"/>
      <c r="F21" s="286"/>
      <c r="G21" s="286"/>
      <c r="H21" s="286"/>
      <c r="I21" s="286"/>
      <c r="J21" s="286"/>
      <c r="K21" s="399"/>
      <c r="L21" s="399"/>
      <c r="M21" s="286"/>
      <c r="N21" s="286"/>
      <c r="O21" s="286"/>
      <c r="P21" s="286"/>
      <c r="Q21" s="286"/>
      <c r="R21" s="286"/>
      <c r="S21" s="286"/>
      <c r="T21" s="286"/>
      <c r="U21" s="286"/>
      <c r="V21" s="286"/>
      <c r="W21" s="286"/>
    </row>
    <row r="22">
      <c r="A22" s="700"/>
      <c r="B22" s="659"/>
      <c r="C22" s="286"/>
      <c r="D22" s="286"/>
      <c r="E22" s="286"/>
      <c r="F22" s="286"/>
      <c r="G22" s="286"/>
      <c r="H22" s="286"/>
      <c r="I22" s="286"/>
      <c r="J22" s="286"/>
      <c r="K22" s="399"/>
      <c r="L22" s="399"/>
      <c r="M22" s="286"/>
      <c r="N22" s="286"/>
      <c r="O22" s="286"/>
      <c r="P22" s="286"/>
      <c r="Q22" s="286"/>
      <c r="R22" s="286"/>
      <c r="S22" s="286"/>
      <c r="T22" s="286"/>
      <c r="U22" s="286"/>
      <c r="V22" s="286"/>
      <c r="W22" s="286"/>
    </row>
    <row r="23">
      <c r="A23" s="659"/>
      <c r="B23" s="659"/>
      <c r="C23" s="286"/>
      <c r="D23" s="286"/>
      <c r="E23" s="286"/>
      <c r="F23" s="286"/>
      <c r="G23" s="286"/>
      <c r="H23" s="286"/>
      <c r="I23" s="286"/>
      <c r="J23" s="286"/>
      <c r="K23" s="399"/>
      <c r="L23" s="399"/>
      <c r="M23" s="286"/>
      <c r="N23" s="286"/>
      <c r="O23" s="286"/>
      <c r="P23" s="286"/>
      <c r="Q23" s="286"/>
      <c r="R23" s="286"/>
      <c r="S23" s="286"/>
      <c r="T23" s="286"/>
      <c r="U23" s="286"/>
      <c r="V23" s="286"/>
      <c r="W23" s="286"/>
    </row>
    <row r="24">
      <c r="A24" s="659"/>
      <c r="B24" s="659"/>
      <c r="C24" s="286"/>
      <c r="D24" s="286"/>
      <c r="E24" s="286"/>
      <c r="F24" s="286"/>
      <c r="G24" s="286"/>
      <c r="H24" s="286"/>
      <c r="I24" s="286"/>
      <c r="J24" s="286"/>
      <c r="K24" s="399"/>
      <c r="L24" s="399"/>
      <c r="M24" s="286"/>
      <c r="N24" s="286"/>
      <c r="O24" s="286"/>
      <c r="P24" s="286"/>
      <c r="Q24" s="286"/>
      <c r="R24" s="286"/>
      <c r="S24" s="286"/>
      <c r="T24" s="286"/>
      <c r="U24" s="286"/>
      <c r="V24" s="286"/>
      <c r="W24" s="286"/>
    </row>
    <row r="25">
      <c r="A25" s="659"/>
      <c r="B25" s="659"/>
      <c r="C25" s="286"/>
      <c r="D25" s="286"/>
      <c r="E25" s="286"/>
      <c r="F25" s="286"/>
      <c r="G25" s="286"/>
      <c r="H25" s="286"/>
      <c r="I25" s="286"/>
      <c r="J25" s="286"/>
      <c r="K25" s="399"/>
      <c r="L25" s="399"/>
      <c r="M25" s="286"/>
      <c r="N25" s="286"/>
      <c r="O25" s="286"/>
      <c r="P25" s="286"/>
      <c r="Q25" s="286"/>
      <c r="R25" s="286"/>
      <c r="S25" s="286"/>
      <c r="T25" s="286"/>
      <c r="U25" s="286"/>
      <c r="V25" s="286"/>
      <c r="W25" s="286"/>
    </row>
    <row r="26">
      <c r="A26" s="659"/>
      <c r="B26" s="659"/>
      <c r="C26" s="286"/>
      <c r="D26" s="286"/>
      <c r="E26" s="286"/>
      <c r="F26" s="286"/>
      <c r="G26" s="286"/>
      <c r="H26" s="286"/>
      <c r="I26" s="286"/>
      <c r="J26" s="286"/>
      <c r="K26" s="399"/>
      <c r="L26" s="399"/>
      <c r="M26" s="286"/>
      <c r="N26" s="286"/>
      <c r="O26" s="286"/>
      <c r="P26" s="286"/>
      <c r="Q26" s="286"/>
      <c r="R26" s="286"/>
      <c r="S26" s="286"/>
      <c r="T26" s="286"/>
      <c r="U26" s="286"/>
      <c r="V26" s="286"/>
      <c r="W26" s="286"/>
    </row>
    <row r="27">
      <c r="A27" s="659"/>
      <c r="B27" s="659"/>
      <c r="C27" s="286"/>
      <c r="D27" s="286"/>
      <c r="E27" s="286"/>
      <c r="F27" s="286"/>
      <c r="G27" s="286"/>
      <c r="H27" s="286"/>
      <c r="I27" s="286"/>
      <c r="J27" s="286"/>
      <c r="K27" s="399"/>
      <c r="L27" s="399"/>
      <c r="M27" s="286"/>
      <c r="N27" s="286"/>
      <c r="O27" s="286"/>
      <c r="P27" s="286"/>
      <c r="Q27" s="286"/>
      <c r="R27" s="286"/>
      <c r="S27" s="286"/>
      <c r="T27" s="286"/>
      <c r="U27" s="286"/>
      <c r="V27" s="286"/>
      <c r="W27" s="286"/>
    </row>
    <row r="28">
      <c r="A28" s="659"/>
      <c r="B28" s="659"/>
      <c r="C28" s="286"/>
      <c r="D28" s="286"/>
      <c r="E28" s="286"/>
      <c r="F28" s="286"/>
      <c r="G28" s="286"/>
      <c r="H28" s="286"/>
      <c r="I28" s="286"/>
      <c r="J28" s="286"/>
      <c r="K28" s="399"/>
      <c r="L28" s="399"/>
      <c r="M28" s="286"/>
      <c r="N28" s="286"/>
      <c r="O28" s="286"/>
      <c r="P28" s="286"/>
      <c r="Q28" s="286"/>
      <c r="R28" s="286"/>
      <c r="S28" s="286"/>
      <c r="T28" s="286"/>
      <c r="U28" s="286"/>
      <c r="V28" s="286"/>
      <c r="W28" s="286"/>
    </row>
    <row r="29">
      <c r="A29" s="659"/>
      <c r="B29" s="659"/>
      <c r="C29" s="286"/>
      <c r="D29" s="286"/>
      <c r="E29" s="286"/>
      <c r="F29" s="286"/>
      <c r="G29" s="286"/>
      <c r="H29" s="286"/>
      <c r="I29" s="286"/>
      <c r="J29" s="286"/>
      <c r="K29" s="399"/>
      <c r="L29" s="399"/>
      <c r="M29" s="286"/>
      <c r="N29" s="286"/>
      <c r="O29" s="286"/>
      <c r="P29" s="286"/>
      <c r="Q29" s="286"/>
      <c r="R29" s="286"/>
      <c r="S29" s="286"/>
      <c r="T29" s="286"/>
      <c r="U29" s="286"/>
      <c r="V29" s="286"/>
      <c r="W29" s="286"/>
    </row>
    <row r="30">
      <c r="A30" s="659"/>
      <c r="B30" s="659"/>
      <c r="C30" s="286"/>
      <c r="D30" s="286"/>
      <c r="E30" s="286"/>
      <c r="F30" s="286"/>
      <c r="G30" s="286"/>
      <c r="H30" s="286"/>
      <c r="I30" s="286"/>
      <c r="J30" s="286"/>
      <c r="K30" s="399"/>
      <c r="L30" s="399"/>
      <c r="M30" s="286"/>
      <c r="N30" s="286"/>
      <c r="O30" s="286"/>
      <c r="P30" s="286"/>
      <c r="Q30" s="286"/>
      <c r="R30" s="286"/>
      <c r="S30" s="286"/>
      <c r="T30" s="286"/>
      <c r="U30" s="286"/>
      <c r="V30" s="286"/>
      <c r="W30" s="286"/>
    </row>
    <row r="31">
      <c r="A31" s="659"/>
      <c r="B31" s="659"/>
      <c r="C31" s="286"/>
      <c r="D31" s="286"/>
      <c r="E31" s="286"/>
      <c r="F31" s="286"/>
      <c r="G31" s="286"/>
      <c r="H31" s="286"/>
      <c r="I31" s="286"/>
      <c r="J31" s="286"/>
      <c r="K31" s="399"/>
      <c r="L31" s="399"/>
      <c r="M31" s="286"/>
      <c r="N31" s="286"/>
      <c r="O31" s="286"/>
      <c r="P31" s="286"/>
      <c r="Q31" s="286"/>
      <c r="R31" s="286"/>
      <c r="S31" s="286"/>
      <c r="T31" s="286"/>
      <c r="U31" s="286"/>
      <c r="V31" s="286"/>
      <c r="W31" s="286"/>
    </row>
    <row r="32">
      <c r="A32" s="659"/>
      <c r="B32" s="659"/>
      <c r="C32" s="286"/>
      <c r="D32" s="286"/>
      <c r="E32" s="286"/>
      <c r="F32" s="286"/>
      <c r="G32" s="286"/>
      <c r="H32" s="286"/>
      <c r="I32" s="286"/>
      <c r="J32" s="286"/>
      <c r="K32" s="399"/>
      <c r="L32" s="399"/>
      <c r="M32" s="286"/>
      <c r="N32" s="286"/>
      <c r="O32" s="286"/>
      <c r="P32" s="286"/>
      <c r="Q32" s="286"/>
      <c r="R32" s="286"/>
      <c r="S32" s="286"/>
      <c r="T32" s="286"/>
      <c r="U32" s="286"/>
      <c r="V32" s="286"/>
      <c r="W32" s="286"/>
    </row>
    <row r="33">
      <c r="A33" s="659"/>
      <c r="B33" s="659"/>
      <c r="C33" s="286"/>
      <c r="D33" s="286"/>
      <c r="E33" s="286"/>
      <c r="F33" s="286"/>
      <c r="G33" s="286"/>
      <c r="H33" s="286"/>
      <c r="I33" s="286"/>
      <c r="J33" s="286"/>
      <c r="K33" s="399"/>
      <c r="L33" s="399"/>
      <c r="M33" s="286"/>
      <c r="N33" s="286"/>
      <c r="O33" s="286"/>
      <c r="P33" s="286"/>
      <c r="Q33" s="286"/>
      <c r="R33" s="286"/>
      <c r="S33" s="286"/>
      <c r="T33" s="286"/>
      <c r="U33" s="286"/>
      <c r="V33" s="286"/>
      <c r="W33" s="286"/>
    </row>
    <row r="34">
      <c r="A34" s="659"/>
      <c r="B34" s="659"/>
      <c r="C34" s="286"/>
      <c r="D34" s="286"/>
      <c r="E34" s="286"/>
      <c r="F34" s="286"/>
      <c r="G34" s="286"/>
      <c r="H34" s="286"/>
      <c r="I34" s="286"/>
      <c r="J34" s="286"/>
      <c r="K34" s="399"/>
      <c r="L34" s="399"/>
      <c r="M34" s="286"/>
      <c r="N34" s="286"/>
      <c r="O34" s="286"/>
      <c r="P34" s="286"/>
      <c r="Q34" s="286"/>
      <c r="R34" s="286"/>
      <c r="S34" s="286"/>
      <c r="T34" s="286"/>
      <c r="U34" s="286"/>
      <c r="V34" s="286"/>
      <c r="W34" s="286"/>
    </row>
    <row r="35">
      <c r="A35" s="659"/>
      <c r="B35" s="659"/>
      <c r="C35" s="286"/>
      <c r="D35" s="286"/>
      <c r="E35" s="286"/>
      <c r="F35" s="286"/>
      <c r="G35" s="286"/>
      <c r="H35" s="286"/>
      <c r="I35" s="286"/>
      <c r="J35" s="286"/>
      <c r="K35" s="399"/>
      <c r="L35" s="399"/>
      <c r="M35" s="286"/>
      <c r="N35" s="286"/>
      <c r="O35" s="286"/>
      <c r="P35" s="286"/>
      <c r="Q35" s="286"/>
      <c r="R35" s="286"/>
      <c r="S35" s="286"/>
      <c r="T35" s="286"/>
      <c r="U35" s="286"/>
      <c r="V35" s="286"/>
      <c r="W35" s="286"/>
    </row>
    <row r="36">
      <c r="A36" s="286"/>
      <c r="B36" s="286"/>
      <c r="C36" s="286"/>
      <c r="D36" s="286"/>
      <c r="E36" s="286"/>
      <c r="F36" s="286"/>
      <c r="G36" s="286"/>
      <c r="H36" s="286"/>
      <c r="I36" s="286"/>
      <c r="J36" s="286"/>
      <c r="K36" s="399"/>
      <c r="L36" s="399"/>
      <c r="M36" s="286"/>
      <c r="N36" s="286"/>
      <c r="O36" s="286"/>
      <c r="P36" s="286"/>
      <c r="Q36" s="286"/>
      <c r="R36" s="286"/>
      <c r="S36" s="286"/>
      <c r="T36" s="286"/>
      <c r="U36" s="286"/>
      <c r="V36" s="286"/>
      <c r="W36" s="286"/>
    </row>
    <row r="37">
      <c r="A37" s="286"/>
      <c r="B37" s="286"/>
      <c r="C37" s="286"/>
      <c r="D37" s="286"/>
      <c r="E37" s="286"/>
      <c r="F37" s="286"/>
      <c r="G37" s="286"/>
      <c r="H37" s="286"/>
      <c r="I37" s="286"/>
      <c r="J37" s="286"/>
      <c r="K37" s="399"/>
      <c r="L37" s="399"/>
      <c r="M37" s="286"/>
      <c r="N37" s="286"/>
      <c r="O37" s="286"/>
      <c r="P37" s="286"/>
      <c r="Q37" s="286"/>
      <c r="R37" s="286"/>
      <c r="S37" s="286"/>
      <c r="T37" s="286"/>
      <c r="U37" s="286"/>
      <c r="V37" s="286"/>
      <c r="W37" s="286"/>
    </row>
    <row r="38">
      <c r="A38" s="286"/>
      <c r="B38" s="286"/>
      <c r="C38" s="286"/>
      <c r="D38" s="286"/>
      <c r="E38" s="286"/>
      <c r="F38" s="286"/>
      <c r="G38" s="286"/>
      <c r="H38" s="286"/>
      <c r="I38" s="286"/>
      <c r="J38" s="286"/>
      <c r="K38" s="399"/>
      <c r="L38" s="399"/>
      <c r="M38" s="286"/>
      <c r="N38" s="286"/>
      <c r="O38" s="286"/>
      <c r="P38" s="286"/>
      <c r="Q38" s="286"/>
      <c r="R38" s="286"/>
      <c r="S38" s="286"/>
      <c r="T38" s="286"/>
      <c r="U38" s="286"/>
      <c r="V38" s="286"/>
      <c r="W38" s="286"/>
    </row>
    <row r="39">
      <c r="A39" s="286"/>
      <c r="B39" s="286"/>
      <c r="C39" s="286"/>
      <c r="D39" s="286"/>
      <c r="E39" s="286"/>
      <c r="F39" s="286"/>
      <c r="G39" s="286"/>
      <c r="H39" s="286"/>
      <c r="I39" s="286"/>
      <c r="J39" s="286"/>
      <c r="K39" s="399"/>
      <c r="L39" s="399"/>
      <c r="M39" s="286"/>
      <c r="N39" s="286"/>
      <c r="O39" s="286"/>
      <c r="P39" s="286"/>
      <c r="Q39" s="286"/>
      <c r="R39" s="286"/>
      <c r="S39" s="286"/>
      <c r="T39" s="286"/>
      <c r="U39" s="286"/>
      <c r="V39" s="286"/>
      <c r="W39" s="286"/>
    </row>
    <row r="40">
      <c r="A40" s="286"/>
      <c r="B40" s="286"/>
      <c r="C40" s="286"/>
      <c r="D40" s="286"/>
      <c r="E40" s="286"/>
      <c r="F40" s="286"/>
      <c r="G40" s="286"/>
      <c r="H40" s="286"/>
      <c r="I40" s="286"/>
      <c r="J40" s="286"/>
      <c r="K40" s="399"/>
      <c r="L40" s="399"/>
      <c r="M40" s="286"/>
      <c r="N40" s="286"/>
      <c r="O40" s="286"/>
      <c r="P40" s="286"/>
      <c r="Q40" s="286"/>
      <c r="R40" s="286"/>
      <c r="S40" s="286"/>
      <c r="T40" s="286"/>
      <c r="U40" s="286"/>
      <c r="V40" s="286"/>
      <c r="W40" s="286"/>
    </row>
    <row r="41">
      <c r="A41" s="286"/>
      <c r="B41" s="286"/>
      <c r="C41" s="286"/>
      <c r="D41" s="286"/>
      <c r="E41" s="286"/>
      <c r="F41" s="286"/>
      <c r="G41" s="286"/>
      <c r="H41" s="286"/>
      <c r="I41" s="286"/>
      <c r="J41" s="286"/>
      <c r="K41" s="399"/>
      <c r="L41" s="399"/>
      <c r="M41" s="286"/>
      <c r="N41" s="286"/>
      <c r="O41" s="286"/>
      <c r="P41" s="286"/>
      <c r="Q41" s="286"/>
      <c r="R41" s="286"/>
      <c r="S41" s="286"/>
      <c r="T41" s="286"/>
      <c r="U41" s="286"/>
      <c r="V41" s="286"/>
      <c r="W41" s="286"/>
    </row>
    <row r="42">
      <c r="A42" s="286"/>
      <c r="B42" s="286"/>
      <c r="C42" s="286"/>
      <c r="D42" s="286"/>
      <c r="E42" s="286"/>
      <c r="F42" s="286"/>
      <c r="G42" s="286"/>
      <c r="H42" s="286"/>
      <c r="I42" s="286"/>
      <c r="J42" s="286"/>
      <c r="K42" s="399"/>
      <c r="L42" s="399"/>
      <c r="M42" s="286"/>
      <c r="N42" s="286"/>
      <c r="O42" s="286"/>
      <c r="P42" s="286"/>
      <c r="Q42" s="286"/>
      <c r="R42" s="286"/>
      <c r="S42" s="286"/>
      <c r="T42" s="286"/>
      <c r="U42" s="286"/>
      <c r="V42" s="286"/>
      <c r="W42" s="286"/>
    </row>
    <row r="43">
      <c r="A43" s="286"/>
      <c r="B43" s="286"/>
      <c r="C43" s="286"/>
      <c r="D43" s="286"/>
      <c r="E43" s="286"/>
      <c r="F43" s="286"/>
      <c r="G43" s="286"/>
      <c r="H43" s="286"/>
      <c r="I43" s="286"/>
      <c r="J43" s="286"/>
      <c r="K43" s="399"/>
      <c r="L43" s="399"/>
      <c r="M43" s="286"/>
      <c r="N43" s="286"/>
      <c r="O43" s="286"/>
      <c r="P43" s="286"/>
      <c r="Q43" s="286"/>
      <c r="R43" s="286"/>
      <c r="S43" s="286"/>
      <c r="T43" s="286"/>
      <c r="U43" s="286"/>
      <c r="V43" s="286"/>
      <c r="W43" s="286"/>
    </row>
    <row r="44">
      <c r="A44" s="286"/>
      <c r="B44" s="286"/>
      <c r="C44" s="286"/>
      <c r="D44" s="286"/>
      <c r="E44" s="286"/>
      <c r="F44" s="286"/>
      <c r="G44" s="286"/>
      <c r="H44" s="286"/>
      <c r="I44" s="286"/>
      <c r="J44" s="286"/>
      <c r="K44" s="399"/>
      <c r="L44" s="399"/>
      <c r="M44" s="286"/>
      <c r="N44" s="286"/>
      <c r="O44" s="286"/>
      <c r="P44" s="286"/>
      <c r="Q44" s="286"/>
      <c r="R44" s="286"/>
      <c r="S44" s="286"/>
      <c r="T44" s="286"/>
      <c r="U44" s="286"/>
      <c r="V44" s="286"/>
      <c r="W44" s="286"/>
    </row>
    <row r="45">
      <c r="A45" s="286"/>
      <c r="B45" s="286"/>
      <c r="C45" s="286"/>
      <c r="D45" s="286"/>
      <c r="E45" s="286"/>
      <c r="F45" s="286"/>
      <c r="G45" s="286"/>
      <c r="H45" s="286"/>
      <c r="I45" s="286"/>
      <c r="J45" s="286"/>
      <c r="K45" s="399"/>
      <c r="L45" s="399"/>
      <c r="M45" s="286"/>
      <c r="N45" s="286"/>
      <c r="O45" s="286"/>
      <c r="P45" s="286"/>
      <c r="Q45" s="286"/>
      <c r="R45" s="286"/>
      <c r="S45" s="286"/>
      <c r="T45" s="286"/>
      <c r="U45" s="286"/>
      <c r="V45" s="286"/>
      <c r="W45" s="286"/>
    </row>
    <row r="46">
      <c r="A46" s="286"/>
      <c r="B46" s="286"/>
      <c r="C46" s="286"/>
      <c r="D46" s="286"/>
      <c r="E46" s="286"/>
      <c r="F46" s="286"/>
      <c r="G46" s="286"/>
      <c r="H46" s="286"/>
      <c r="I46" s="286"/>
      <c r="J46" s="286"/>
      <c r="K46" s="399"/>
      <c r="L46" s="399"/>
      <c r="M46" s="286"/>
      <c r="N46" s="286"/>
      <c r="O46" s="286"/>
      <c r="P46" s="286"/>
      <c r="Q46" s="286"/>
      <c r="R46" s="286"/>
      <c r="S46" s="286"/>
      <c r="T46" s="286"/>
      <c r="U46" s="286"/>
      <c r="V46" s="286"/>
      <c r="W46" s="286"/>
    </row>
    <row r="47">
      <c r="A47" s="286"/>
      <c r="B47" s="286"/>
      <c r="C47" s="286"/>
      <c r="D47" s="286"/>
      <c r="E47" s="286"/>
      <c r="F47" s="286"/>
      <c r="G47" s="286"/>
      <c r="H47" s="286"/>
      <c r="I47" s="286"/>
      <c r="J47" s="286"/>
      <c r="K47" s="399"/>
      <c r="L47" s="399"/>
      <c r="M47" s="286"/>
      <c r="N47" s="286"/>
      <c r="O47" s="286"/>
      <c r="P47" s="286"/>
      <c r="Q47" s="286"/>
      <c r="R47" s="286"/>
      <c r="S47" s="286"/>
      <c r="T47" s="286"/>
      <c r="U47" s="286"/>
      <c r="V47" s="286"/>
      <c r="W47" s="286"/>
    </row>
    <row r="48">
      <c r="A48" s="286"/>
      <c r="B48" s="286"/>
      <c r="C48" s="286"/>
      <c r="D48" s="286"/>
      <c r="E48" s="286"/>
      <c r="F48" s="286"/>
      <c r="G48" s="286"/>
      <c r="H48" s="286"/>
      <c r="I48" s="286"/>
      <c r="J48" s="286"/>
      <c r="K48" s="399"/>
      <c r="L48" s="399"/>
      <c r="M48" s="286"/>
      <c r="N48" s="286"/>
      <c r="O48" s="286"/>
      <c r="P48" s="286"/>
      <c r="Q48" s="286"/>
      <c r="R48" s="286"/>
      <c r="S48" s="286"/>
      <c r="T48" s="286"/>
      <c r="U48" s="286"/>
      <c r="V48" s="286"/>
      <c r="W48" s="286"/>
    </row>
    <row r="49">
      <c r="A49" s="286"/>
      <c r="B49" s="286"/>
      <c r="C49" s="286"/>
      <c r="D49" s="286"/>
      <c r="E49" s="286"/>
      <c r="F49" s="286"/>
      <c r="G49" s="286"/>
      <c r="H49" s="286"/>
      <c r="I49" s="286"/>
      <c r="J49" s="286"/>
      <c r="K49" s="399"/>
      <c r="L49" s="399"/>
      <c r="M49" s="286"/>
      <c r="N49" s="286"/>
      <c r="O49" s="286"/>
      <c r="P49" s="286"/>
      <c r="Q49" s="286"/>
      <c r="R49" s="286"/>
      <c r="S49" s="286"/>
      <c r="T49" s="286"/>
      <c r="U49" s="286"/>
      <c r="V49" s="286"/>
      <c r="W49" s="286"/>
    </row>
    <row r="50">
      <c r="A50" s="286"/>
      <c r="B50" s="286"/>
      <c r="C50" s="286"/>
      <c r="D50" s="286"/>
      <c r="E50" s="286"/>
      <c r="F50" s="286"/>
      <c r="G50" s="286"/>
      <c r="H50" s="286"/>
      <c r="I50" s="286"/>
      <c r="J50" s="286"/>
      <c r="K50" s="399"/>
      <c r="L50" s="399"/>
      <c r="M50" s="286"/>
      <c r="N50" s="286"/>
      <c r="O50" s="286"/>
      <c r="P50" s="286"/>
      <c r="Q50" s="286"/>
      <c r="R50" s="286"/>
      <c r="S50" s="286"/>
      <c r="T50" s="286"/>
      <c r="U50" s="286"/>
      <c r="V50" s="286"/>
      <c r="W50" s="286"/>
    </row>
    <row r="51">
      <c r="A51" s="286"/>
      <c r="B51" s="286"/>
      <c r="C51" s="286"/>
      <c r="D51" s="286"/>
      <c r="E51" s="286"/>
      <c r="F51" s="286"/>
      <c r="G51" s="286"/>
      <c r="H51" s="286"/>
      <c r="I51" s="286"/>
      <c r="J51" s="286"/>
      <c r="K51" s="399"/>
      <c r="L51" s="399"/>
      <c r="M51" s="286"/>
      <c r="N51" s="286"/>
      <c r="O51" s="286"/>
      <c r="P51" s="286"/>
      <c r="Q51" s="286"/>
      <c r="R51" s="286"/>
      <c r="S51" s="286"/>
      <c r="T51" s="286"/>
      <c r="U51" s="286"/>
      <c r="V51" s="286"/>
      <c r="W51" s="286"/>
    </row>
    <row r="52">
      <c r="A52" s="286"/>
      <c r="B52" s="286"/>
      <c r="C52" s="286"/>
      <c r="D52" s="286"/>
      <c r="E52" s="286"/>
      <c r="F52" s="286"/>
      <c r="G52" s="286"/>
      <c r="H52" s="286"/>
      <c r="I52" s="286"/>
      <c r="J52" s="286"/>
      <c r="K52" s="399"/>
      <c r="L52" s="399"/>
      <c r="M52" s="286"/>
      <c r="N52" s="286"/>
      <c r="O52" s="286"/>
      <c r="P52" s="286"/>
      <c r="Q52" s="286"/>
      <c r="R52" s="286"/>
      <c r="S52" s="286"/>
      <c r="T52" s="286"/>
      <c r="U52" s="286"/>
      <c r="V52" s="286"/>
      <c r="W52" s="286"/>
    </row>
    <row r="53">
      <c r="A53" s="286"/>
      <c r="B53" s="286"/>
      <c r="C53" s="286"/>
      <c r="D53" s="286"/>
      <c r="E53" s="286"/>
      <c r="F53" s="286"/>
      <c r="G53" s="286"/>
      <c r="H53" s="286"/>
      <c r="I53" s="286"/>
      <c r="J53" s="286"/>
      <c r="K53" s="399"/>
      <c r="L53" s="399"/>
      <c r="M53" s="286"/>
      <c r="N53" s="286"/>
      <c r="O53" s="286"/>
      <c r="P53" s="286"/>
      <c r="Q53" s="286"/>
      <c r="R53" s="286"/>
      <c r="S53" s="286"/>
      <c r="T53" s="286"/>
      <c r="U53" s="286"/>
      <c r="V53" s="286"/>
      <c r="W53" s="286"/>
    </row>
    <row r="54">
      <c r="A54" s="286"/>
      <c r="B54" s="286"/>
      <c r="C54" s="286"/>
      <c r="D54" s="286"/>
      <c r="E54" s="286"/>
      <c r="F54" s="286"/>
      <c r="G54" s="286"/>
      <c r="H54" s="286"/>
      <c r="I54" s="286"/>
      <c r="J54" s="286"/>
      <c r="K54" s="399"/>
      <c r="L54" s="399"/>
      <c r="M54" s="286"/>
      <c r="N54" s="286"/>
      <c r="O54" s="286"/>
      <c r="P54" s="286"/>
      <c r="Q54" s="286"/>
      <c r="R54" s="286"/>
      <c r="S54" s="286"/>
      <c r="T54" s="286"/>
      <c r="U54" s="286"/>
      <c r="V54" s="286"/>
      <c r="W54" s="286"/>
    </row>
    <row r="55">
      <c r="A55" s="286"/>
      <c r="B55" s="286"/>
      <c r="C55" s="286"/>
      <c r="D55" s="286"/>
      <c r="E55" s="286"/>
      <c r="F55" s="286"/>
      <c r="G55" s="286"/>
      <c r="H55" s="286"/>
      <c r="I55" s="286"/>
      <c r="J55" s="286"/>
      <c r="K55" s="399"/>
      <c r="L55" s="399"/>
      <c r="M55" s="286"/>
      <c r="N55" s="286"/>
      <c r="O55" s="286"/>
      <c r="P55" s="286"/>
      <c r="Q55" s="286"/>
      <c r="R55" s="286"/>
      <c r="S55" s="286"/>
      <c r="T55" s="286"/>
      <c r="U55" s="286"/>
      <c r="V55" s="286"/>
      <c r="W55" s="286"/>
    </row>
    <row r="56">
      <c r="A56" s="286"/>
      <c r="B56" s="286"/>
      <c r="C56" s="286"/>
      <c r="D56" s="286"/>
      <c r="E56" s="286"/>
      <c r="F56" s="286"/>
      <c r="G56" s="286"/>
      <c r="H56" s="286"/>
      <c r="I56" s="286"/>
      <c r="J56" s="286"/>
      <c r="K56" s="399"/>
      <c r="L56" s="399"/>
      <c r="M56" s="286"/>
      <c r="N56" s="286"/>
      <c r="O56" s="286"/>
      <c r="P56" s="286"/>
      <c r="Q56" s="286"/>
      <c r="R56" s="286"/>
      <c r="S56" s="286"/>
      <c r="T56" s="286"/>
      <c r="U56" s="286"/>
      <c r="V56" s="286"/>
      <c r="W56" s="286"/>
    </row>
    <row r="57">
      <c r="A57" s="286"/>
      <c r="B57" s="286"/>
      <c r="C57" s="286"/>
      <c r="D57" s="286"/>
      <c r="E57" s="286"/>
      <c r="F57" s="286"/>
      <c r="G57" s="286"/>
      <c r="H57" s="286"/>
      <c r="I57" s="286"/>
      <c r="J57" s="286"/>
      <c r="K57" s="399"/>
      <c r="L57" s="399"/>
      <c r="M57" s="286"/>
      <c r="N57" s="286"/>
      <c r="O57" s="286"/>
      <c r="P57" s="286"/>
      <c r="Q57" s="286"/>
      <c r="R57" s="286"/>
      <c r="S57" s="286"/>
      <c r="T57" s="286"/>
      <c r="U57" s="286"/>
      <c r="V57" s="286"/>
      <c r="W57" s="286"/>
    </row>
    <row r="58">
      <c r="A58" s="286"/>
      <c r="B58" s="286"/>
      <c r="C58" s="286"/>
      <c r="D58" s="286"/>
      <c r="E58" s="286"/>
      <c r="F58" s="286"/>
      <c r="G58" s="286"/>
      <c r="H58" s="286"/>
      <c r="I58" s="286"/>
      <c r="J58" s="286"/>
      <c r="K58" s="399"/>
      <c r="L58" s="399"/>
      <c r="M58" s="286"/>
      <c r="N58" s="286"/>
      <c r="O58" s="286"/>
      <c r="P58" s="286"/>
      <c r="Q58" s="286"/>
      <c r="R58" s="286"/>
      <c r="S58" s="286"/>
      <c r="T58" s="286"/>
      <c r="U58" s="286"/>
      <c r="V58" s="286"/>
      <c r="W58" s="286"/>
    </row>
    <row r="59">
      <c r="A59" s="286"/>
      <c r="B59" s="286"/>
      <c r="C59" s="286"/>
      <c r="D59" s="286"/>
      <c r="E59" s="286"/>
      <c r="F59" s="286"/>
      <c r="G59" s="286"/>
      <c r="H59" s="286"/>
      <c r="I59" s="286"/>
      <c r="J59" s="286"/>
      <c r="K59" s="399"/>
      <c r="L59" s="399"/>
      <c r="M59" s="286"/>
      <c r="N59" s="286"/>
      <c r="O59" s="286"/>
      <c r="P59" s="286"/>
      <c r="Q59" s="286"/>
      <c r="R59" s="286"/>
      <c r="S59" s="286"/>
      <c r="T59" s="286"/>
      <c r="U59" s="286"/>
      <c r="V59" s="286"/>
      <c r="W59" s="286"/>
    </row>
    <row r="60">
      <c r="A60" s="286"/>
      <c r="B60" s="286"/>
      <c r="C60" s="286"/>
      <c r="D60" s="286"/>
      <c r="E60" s="286"/>
      <c r="F60" s="286"/>
      <c r="G60" s="286"/>
      <c r="H60" s="286"/>
      <c r="I60" s="286"/>
      <c r="J60" s="286"/>
      <c r="K60" s="399"/>
      <c r="L60" s="399"/>
      <c r="M60" s="286"/>
      <c r="N60" s="286"/>
      <c r="O60" s="286"/>
      <c r="P60" s="286"/>
      <c r="Q60" s="286"/>
      <c r="R60" s="286"/>
      <c r="S60" s="286"/>
      <c r="T60" s="286"/>
      <c r="U60" s="286"/>
      <c r="V60" s="286"/>
      <c r="W60" s="286"/>
    </row>
    <row r="61">
      <c r="A61" s="286"/>
      <c r="B61" s="286"/>
      <c r="C61" s="286"/>
      <c r="D61" s="286"/>
      <c r="E61" s="286"/>
      <c r="F61" s="286"/>
      <c r="G61" s="286"/>
      <c r="H61" s="286"/>
      <c r="I61" s="286"/>
      <c r="J61" s="286"/>
      <c r="K61" s="399"/>
      <c r="L61" s="399"/>
      <c r="M61" s="286"/>
      <c r="N61" s="286"/>
      <c r="O61" s="286"/>
      <c r="P61" s="286"/>
      <c r="Q61" s="286"/>
      <c r="R61" s="286"/>
      <c r="S61" s="286"/>
      <c r="T61" s="286"/>
      <c r="U61" s="286"/>
      <c r="V61" s="286"/>
      <c r="W61" s="286"/>
    </row>
    <row r="62">
      <c r="A62" s="286"/>
      <c r="B62" s="286"/>
      <c r="C62" s="286"/>
      <c r="D62" s="286"/>
      <c r="E62" s="286"/>
      <c r="F62" s="286"/>
      <c r="G62" s="286"/>
      <c r="H62" s="286"/>
      <c r="I62" s="286"/>
      <c r="J62" s="286"/>
      <c r="K62" s="399"/>
      <c r="L62" s="399"/>
      <c r="M62" s="286"/>
      <c r="N62" s="286"/>
      <c r="O62" s="286"/>
      <c r="P62" s="286"/>
      <c r="Q62" s="286"/>
      <c r="R62" s="286"/>
      <c r="S62" s="286"/>
      <c r="T62" s="286"/>
      <c r="U62" s="286"/>
      <c r="V62" s="286"/>
      <c r="W62" s="286"/>
    </row>
    <row r="63">
      <c r="A63" s="286"/>
      <c r="B63" s="286"/>
      <c r="C63" s="286"/>
      <c r="D63" s="286"/>
      <c r="E63" s="286"/>
      <c r="F63" s="286"/>
      <c r="G63" s="286"/>
      <c r="H63" s="286"/>
      <c r="I63" s="286"/>
      <c r="J63" s="286"/>
      <c r="K63" s="399"/>
      <c r="L63" s="399"/>
      <c r="M63" s="286"/>
      <c r="N63" s="286"/>
      <c r="O63" s="286"/>
      <c r="P63" s="286"/>
      <c r="Q63" s="286"/>
      <c r="R63" s="286"/>
      <c r="S63" s="286"/>
      <c r="T63" s="286"/>
      <c r="U63" s="286"/>
      <c r="V63" s="286"/>
      <c r="W63" s="286"/>
    </row>
    <row r="64">
      <c r="A64" s="286"/>
      <c r="B64" s="286"/>
      <c r="C64" s="286"/>
      <c r="D64" s="286"/>
      <c r="E64" s="286"/>
      <c r="F64" s="286"/>
      <c r="G64" s="286"/>
      <c r="H64" s="286"/>
      <c r="I64" s="286"/>
      <c r="J64" s="286"/>
      <c r="K64" s="399"/>
      <c r="L64" s="399"/>
      <c r="M64" s="286"/>
      <c r="N64" s="286"/>
      <c r="O64" s="286"/>
      <c r="P64" s="286"/>
      <c r="Q64" s="286"/>
      <c r="R64" s="286"/>
      <c r="S64" s="286"/>
      <c r="T64" s="286"/>
      <c r="U64" s="286"/>
      <c r="V64" s="286"/>
      <c r="W64" s="286"/>
    </row>
    <row r="65">
      <c r="A65" s="286"/>
      <c r="B65" s="286"/>
      <c r="C65" s="286"/>
      <c r="D65" s="286"/>
      <c r="E65" s="286"/>
      <c r="F65" s="286"/>
      <c r="G65" s="286"/>
      <c r="H65" s="286"/>
      <c r="I65" s="286"/>
      <c r="J65" s="286"/>
      <c r="K65" s="399"/>
      <c r="L65" s="399"/>
      <c r="M65" s="286"/>
      <c r="N65" s="286"/>
      <c r="O65" s="286"/>
      <c r="P65" s="286"/>
      <c r="Q65" s="286"/>
      <c r="R65" s="286"/>
      <c r="S65" s="286"/>
      <c r="T65" s="286"/>
      <c r="U65" s="286"/>
      <c r="V65" s="286"/>
      <c r="W65" s="286"/>
    </row>
    <row r="66">
      <c r="A66" s="286"/>
      <c r="B66" s="286"/>
      <c r="C66" s="286"/>
      <c r="D66" s="286"/>
      <c r="E66" s="286"/>
      <c r="F66" s="286"/>
      <c r="G66" s="286"/>
      <c r="H66" s="286"/>
      <c r="I66" s="286"/>
      <c r="J66" s="286"/>
      <c r="K66" s="399"/>
      <c r="L66" s="399"/>
      <c r="M66" s="286"/>
      <c r="N66" s="286"/>
      <c r="O66" s="286"/>
      <c r="P66" s="286"/>
      <c r="Q66" s="286"/>
      <c r="R66" s="286"/>
      <c r="S66" s="286"/>
      <c r="T66" s="286"/>
      <c r="U66" s="286"/>
      <c r="V66" s="286"/>
      <c r="W66" s="286"/>
    </row>
    <row r="67">
      <c r="A67" s="286"/>
      <c r="B67" s="286"/>
      <c r="C67" s="286"/>
      <c r="D67" s="286"/>
      <c r="E67" s="286"/>
      <c r="F67" s="286"/>
      <c r="G67" s="286"/>
      <c r="H67" s="286"/>
      <c r="I67" s="286"/>
      <c r="J67" s="286"/>
      <c r="K67" s="399"/>
      <c r="L67" s="399"/>
      <c r="M67" s="286"/>
      <c r="N67" s="286"/>
      <c r="O67" s="286"/>
      <c r="P67" s="286"/>
      <c r="Q67" s="286"/>
      <c r="R67" s="286"/>
      <c r="S67" s="286"/>
      <c r="T67" s="286"/>
      <c r="U67" s="286"/>
      <c r="V67" s="286"/>
      <c r="W67" s="286"/>
    </row>
    <row r="68">
      <c r="A68" s="286"/>
      <c r="B68" s="286"/>
      <c r="C68" s="286"/>
      <c r="D68" s="286"/>
      <c r="E68" s="286"/>
      <c r="F68" s="286"/>
      <c r="G68" s="286"/>
      <c r="H68" s="286"/>
      <c r="I68" s="286"/>
      <c r="J68" s="286"/>
      <c r="K68" s="399"/>
      <c r="L68" s="399"/>
      <c r="M68" s="286"/>
      <c r="N68" s="286"/>
      <c r="O68" s="286"/>
      <c r="P68" s="286"/>
      <c r="Q68" s="286"/>
      <c r="R68" s="286"/>
      <c r="S68" s="286"/>
      <c r="T68" s="286"/>
      <c r="U68" s="286"/>
      <c r="V68" s="286"/>
      <c r="W68" s="286"/>
    </row>
    <row r="69">
      <c r="A69" s="286"/>
      <c r="B69" s="286"/>
      <c r="C69" s="286"/>
      <c r="D69" s="286"/>
      <c r="E69" s="286"/>
      <c r="F69" s="286"/>
      <c r="G69" s="286"/>
      <c r="H69" s="286"/>
      <c r="I69" s="286"/>
      <c r="J69" s="286"/>
      <c r="K69" s="399"/>
      <c r="L69" s="399"/>
      <c r="M69" s="286"/>
      <c r="N69" s="286"/>
      <c r="O69" s="286"/>
      <c r="P69" s="286"/>
      <c r="Q69" s="286"/>
      <c r="R69" s="286"/>
      <c r="S69" s="286"/>
      <c r="T69" s="286"/>
      <c r="U69" s="286"/>
      <c r="V69" s="286"/>
      <c r="W69" s="286"/>
    </row>
    <row r="70">
      <c r="A70" s="286"/>
      <c r="B70" s="286"/>
      <c r="C70" s="286"/>
      <c r="D70" s="286"/>
      <c r="E70" s="286"/>
      <c r="F70" s="286"/>
      <c r="G70" s="286"/>
      <c r="H70" s="286"/>
      <c r="I70" s="286"/>
      <c r="J70" s="286"/>
      <c r="K70" s="399"/>
      <c r="L70" s="399"/>
      <c r="M70" s="286"/>
      <c r="N70" s="286"/>
      <c r="O70" s="286"/>
      <c r="P70" s="286"/>
      <c r="Q70" s="286"/>
      <c r="R70" s="286"/>
      <c r="S70" s="286"/>
      <c r="T70" s="286"/>
      <c r="U70" s="286"/>
      <c r="V70" s="286"/>
      <c r="W70" s="286"/>
    </row>
    <row r="71">
      <c r="A71" s="286"/>
      <c r="B71" s="286"/>
      <c r="C71" s="286"/>
      <c r="D71" s="286"/>
      <c r="E71" s="286"/>
      <c r="F71" s="286"/>
      <c r="G71" s="286"/>
      <c r="H71" s="286"/>
      <c r="I71" s="286"/>
      <c r="J71" s="286"/>
      <c r="K71" s="399"/>
      <c r="L71" s="399"/>
      <c r="M71" s="286"/>
      <c r="N71" s="286"/>
      <c r="O71" s="286"/>
      <c r="P71" s="286"/>
      <c r="Q71" s="286"/>
      <c r="R71" s="286"/>
      <c r="S71" s="286"/>
      <c r="T71" s="286"/>
      <c r="U71" s="286"/>
      <c r="V71" s="286"/>
      <c r="W71" s="286"/>
    </row>
    <row r="72">
      <c r="A72" s="286"/>
      <c r="B72" s="286"/>
      <c r="C72" s="286"/>
      <c r="D72" s="286"/>
      <c r="E72" s="286"/>
      <c r="F72" s="286"/>
      <c r="G72" s="286"/>
      <c r="H72" s="286"/>
      <c r="I72" s="286"/>
      <c r="J72" s="286"/>
      <c r="K72" s="399"/>
      <c r="L72" s="399"/>
      <c r="M72" s="286"/>
      <c r="N72" s="286"/>
      <c r="O72" s="286"/>
      <c r="P72" s="286"/>
      <c r="Q72" s="286"/>
      <c r="R72" s="286"/>
      <c r="S72" s="286"/>
      <c r="T72" s="286"/>
      <c r="U72" s="286"/>
      <c r="V72" s="286"/>
      <c r="W72" s="286"/>
    </row>
    <row r="73">
      <c r="A73" s="286"/>
      <c r="B73" s="286"/>
      <c r="C73" s="286"/>
      <c r="D73" s="286"/>
      <c r="E73" s="286"/>
      <c r="F73" s="286"/>
      <c r="G73" s="286"/>
      <c r="H73" s="286"/>
      <c r="I73" s="286"/>
      <c r="J73" s="286"/>
      <c r="K73" s="399"/>
      <c r="L73" s="399"/>
      <c r="M73" s="286"/>
      <c r="N73" s="286"/>
      <c r="O73" s="286"/>
      <c r="P73" s="286"/>
      <c r="Q73" s="286"/>
      <c r="R73" s="286"/>
      <c r="S73" s="286"/>
      <c r="T73" s="286"/>
      <c r="U73" s="286"/>
      <c r="V73" s="286"/>
      <c r="W73" s="286"/>
    </row>
    <row r="74">
      <c r="A74" s="286"/>
      <c r="B74" s="286"/>
      <c r="C74" s="286"/>
      <c r="D74" s="286"/>
      <c r="E74" s="286"/>
      <c r="F74" s="286"/>
      <c r="G74" s="286"/>
      <c r="H74" s="286"/>
      <c r="I74" s="286"/>
      <c r="J74" s="286"/>
      <c r="K74" s="399"/>
      <c r="L74" s="399"/>
      <c r="M74" s="286"/>
      <c r="N74" s="286"/>
      <c r="O74" s="286"/>
      <c r="P74" s="286"/>
      <c r="Q74" s="286"/>
      <c r="R74" s="286"/>
      <c r="S74" s="286"/>
      <c r="T74" s="286"/>
      <c r="U74" s="286"/>
      <c r="V74" s="286"/>
      <c r="W74" s="286"/>
    </row>
    <row r="75">
      <c r="A75" s="286"/>
      <c r="B75" s="286"/>
      <c r="C75" s="286"/>
      <c r="D75" s="286"/>
      <c r="E75" s="286"/>
      <c r="F75" s="286"/>
      <c r="G75" s="286"/>
      <c r="H75" s="286"/>
      <c r="I75" s="286"/>
      <c r="J75" s="286"/>
      <c r="K75" s="399"/>
      <c r="L75" s="399"/>
      <c r="M75" s="286"/>
      <c r="N75" s="286"/>
      <c r="O75" s="286"/>
      <c r="P75" s="286"/>
      <c r="Q75" s="286"/>
      <c r="R75" s="286"/>
      <c r="S75" s="286"/>
      <c r="T75" s="286"/>
      <c r="U75" s="286"/>
      <c r="V75" s="286"/>
      <c r="W75" s="286"/>
    </row>
    <row r="76">
      <c r="A76" s="286"/>
      <c r="B76" s="286"/>
      <c r="C76" s="286"/>
      <c r="D76" s="286"/>
      <c r="E76" s="286"/>
      <c r="F76" s="286"/>
      <c r="G76" s="286"/>
      <c r="H76" s="286"/>
      <c r="I76" s="286"/>
      <c r="J76" s="286"/>
      <c r="K76" s="399"/>
      <c r="L76" s="399"/>
      <c r="M76" s="286"/>
      <c r="N76" s="286"/>
      <c r="O76" s="286"/>
      <c r="P76" s="286"/>
      <c r="Q76" s="286"/>
      <c r="R76" s="286"/>
      <c r="S76" s="286"/>
      <c r="T76" s="286"/>
      <c r="U76" s="286"/>
      <c r="V76" s="286"/>
      <c r="W76" s="286"/>
    </row>
    <row r="77">
      <c r="A77" s="286"/>
      <c r="B77" s="286"/>
      <c r="C77" s="286"/>
      <c r="D77" s="286"/>
      <c r="E77" s="286"/>
      <c r="F77" s="286"/>
      <c r="G77" s="286"/>
      <c r="H77" s="286"/>
      <c r="I77" s="286"/>
      <c r="J77" s="286"/>
      <c r="K77" s="399"/>
      <c r="L77" s="399"/>
      <c r="M77" s="286"/>
      <c r="N77" s="286"/>
      <c r="O77" s="286"/>
      <c r="P77" s="286"/>
      <c r="Q77" s="286"/>
      <c r="R77" s="286"/>
      <c r="S77" s="286"/>
      <c r="T77" s="286"/>
      <c r="U77" s="286"/>
      <c r="V77" s="286"/>
      <c r="W77" s="286"/>
    </row>
    <row r="78">
      <c r="A78" s="286"/>
      <c r="B78" s="286"/>
      <c r="C78" s="286"/>
      <c r="D78" s="286"/>
      <c r="E78" s="286"/>
      <c r="F78" s="286"/>
      <c r="G78" s="286"/>
      <c r="H78" s="286"/>
      <c r="I78" s="286"/>
      <c r="J78" s="286"/>
      <c r="K78" s="399"/>
      <c r="L78" s="399"/>
      <c r="M78" s="286"/>
      <c r="N78" s="286"/>
      <c r="O78" s="286"/>
      <c r="P78" s="286"/>
      <c r="Q78" s="286"/>
      <c r="R78" s="286"/>
      <c r="S78" s="286"/>
      <c r="T78" s="286"/>
      <c r="U78" s="286"/>
      <c r="V78" s="286"/>
      <c r="W78" s="286"/>
    </row>
    <row r="79">
      <c r="A79" s="286"/>
      <c r="B79" s="286"/>
      <c r="C79" s="286"/>
      <c r="D79" s="286"/>
      <c r="E79" s="286"/>
      <c r="F79" s="286"/>
      <c r="G79" s="286"/>
      <c r="H79" s="286"/>
      <c r="I79" s="286"/>
      <c r="J79" s="286"/>
      <c r="K79" s="399"/>
      <c r="L79" s="399"/>
      <c r="M79" s="286"/>
      <c r="N79" s="286"/>
      <c r="O79" s="286"/>
      <c r="P79" s="286"/>
      <c r="Q79" s="286"/>
      <c r="R79" s="286"/>
      <c r="S79" s="286"/>
      <c r="T79" s="286"/>
      <c r="U79" s="286"/>
      <c r="V79" s="286"/>
      <c r="W79" s="286"/>
    </row>
    <row r="80">
      <c r="A80" s="286"/>
      <c r="B80" s="286"/>
      <c r="C80" s="286"/>
      <c r="D80" s="286"/>
      <c r="E80" s="286"/>
      <c r="F80" s="286"/>
      <c r="G80" s="286"/>
      <c r="H80" s="286"/>
      <c r="I80" s="286"/>
      <c r="J80" s="286"/>
      <c r="K80" s="399"/>
      <c r="L80" s="399"/>
      <c r="M80" s="286"/>
      <c r="N80" s="286"/>
      <c r="O80" s="286"/>
      <c r="P80" s="286"/>
      <c r="Q80" s="286"/>
      <c r="R80" s="286"/>
      <c r="S80" s="286"/>
      <c r="T80" s="286"/>
      <c r="U80" s="286"/>
      <c r="V80" s="286"/>
      <c r="W80" s="286"/>
    </row>
    <row r="81">
      <c r="A81" s="286"/>
      <c r="B81" s="286"/>
      <c r="C81" s="286"/>
      <c r="D81" s="286"/>
      <c r="E81" s="286"/>
      <c r="F81" s="286"/>
      <c r="G81" s="286"/>
      <c r="H81" s="286"/>
      <c r="I81" s="286"/>
      <c r="J81" s="286"/>
      <c r="K81" s="399"/>
      <c r="L81" s="399"/>
      <c r="M81" s="286"/>
      <c r="N81" s="286"/>
      <c r="O81" s="286"/>
      <c r="P81" s="286"/>
      <c r="Q81" s="286"/>
      <c r="R81" s="286"/>
      <c r="S81" s="286"/>
      <c r="T81" s="286"/>
      <c r="U81" s="286"/>
      <c r="V81" s="286"/>
      <c r="W81" s="286"/>
    </row>
    <row r="82">
      <c r="A82" s="286"/>
      <c r="B82" s="286"/>
      <c r="C82" s="286"/>
      <c r="D82" s="286"/>
      <c r="E82" s="286"/>
      <c r="F82" s="286"/>
      <c r="G82" s="286"/>
      <c r="H82" s="286"/>
      <c r="I82" s="286"/>
      <c r="J82" s="286"/>
      <c r="K82" s="399"/>
      <c r="L82" s="399"/>
      <c r="M82" s="286"/>
      <c r="N82" s="286"/>
      <c r="O82" s="286"/>
      <c r="P82" s="286"/>
      <c r="Q82" s="286"/>
      <c r="R82" s="286"/>
      <c r="S82" s="286"/>
      <c r="T82" s="286"/>
      <c r="U82" s="286"/>
      <c r="V82" s="286"/>
      <c r="W82" s="286"/>
    </row>
    <row r="83">
      <c r="A83" s="286"/>
      <c r="B83" s="286"/>
      <c r="C83" s="286"/>
      <c r="D83" s="286"/>
      <c r="E83" s="286"/>
      <c r="F83" s="286"/>
      <c r="G83" s="286"/>
      <c r="H83" s="286"/>
      <c r="I83" s="286"/>
      <c r="J83" s="286"/>
      <c r="K83" s="399"/>
      <c r="L83" s="399"/>
      <c r="M83" s="286"/>
      <c r="N83" s="286"/>
      <c r="O83" s="286"/>
      <c r="P83" s="286"/>
      <c r="Q83" s="286"/>
      <c r="R83" s="286"/>
      <c r="S83" s="286"/>
      <c r="T83" s="286"/>
      <c r="U83" s="286"/>
      <c r="V83" s="286"/>
      <c r="W83" s="286"/>
    </row>
    <row r="84">
      <c r="A84" s="286"/>
      <c r="B84" s="286"/>
      <c r="C84" s="286"/>
      <c r="D84" s="286"/>
      <c r="E84" s="286"/>
      <c r="F84" s="286"/>
      <c r="G84" s="286"/>
      <c r="H84" s="286"/>
      <c r="I84" s="286"/>
      <c r="J84" s="286"/>
      <c r="K84" s="399"/>
      <c r="L84" s="399"/>
      <c r="M84" s="286"/>
      <c r="N84" s="286"/>
      <c r="O84" s="286"/>
      <c r="P84" s="286"/>
      <c r="Q84" s="286"/>
      <c r="R84" s="286"/>
      <c r="S84" s="286"/>
      <c r="T84" s="286"/>
      <c r="U84" s="286"/>
      <c r="V84" s="286"/>
      <c r="W84" s="286"/>
    </row>
    <row r="85">
      <c r="A85" s="286"/>
      <c r="B85" s="286"/>
      <c r="C85" s="286"/>
      <c r="D85" s="286"/>
      <c r="E85" s="286"/>
      <c r="F85" s="286"/>
      <c r="G85" s="286"/>
      <c r="H85" s="286"/>
      <c r="I85" s="286"/>
      <c r="J85" s="286"/>
      <c r="K85" s="399"/>
      <c r="L85" s="399"/>
      <c r="M85" s="286"/>
      <c r="N85" s="286"/>
      <c r="O85" s="286"/>
      <c r="P85" s="286"/>
      <c r="Q85" s="286"/>
      <c r="R85" s="286"/>
      <c r="S85" s="286"/>
      <c r="T85" s="286"/>
      <c r="U85" s="286"/>
      <c r="V85" s="286"/>
      <c r="W85" s="286"/>
    </row>
    <row r="86">
      <c r="A86" s="286"/>
      <c r="B86" s="286"/>
      <c r="C86" s="286"/>
      <c r="D86" s="286"/>
      <c r="E86" s="286"/>
      <c r="F86" s="286"/>
      <c r="G86" s="286"/>
      <c r="H86" s="286"/>
      <c r="I86" s="286"/>
      <c r="J86" s="286"/>
      <c r="K86" s="399"/>
      <c r="L86" s="399"/>
      <c r="M86" s="286"/>
      <c r="N86" s="286"/>
      <c r="O86" s="286"/>
      <c r="P86" s="286"/>
      <c r="Q86" s="286"/>
      <c r="R86" s="286"/>
      <c r="S86" s="286"/>
      <c r="T86" s="286"/>
      <c r="U86" s="286"/>
      <c r="V86" s="286"/>
      <c r="W86" s="286"/>
    </row>
    <row r="87">
      <c r="A87" s="286"/>
      <c r="B87" s="286"/>
      <c r="C87" s="286"/>
      <c r="D87" s="286"/>
      <c r="E87" s="286"/>
      <c r="F87" s="286"/>
      <c r="G87" s="286"/>
      <c r="H87" s="286"/>
      <c r="I87" s="286"/>
      <c r="J87" s="286"/>
      <c r="K87" s="399"/>
      <c r="L87" s="399"/>
      <c r="M87" s="286"/>
      <c r="N87" s="286"/>
      <c r="O87" s="286"/>
      <c r="P87" s="286"/>
      <c r="Q87" s="286"/>
      <c r="R87" s="286"/>
      <c r="S87" s="286"/>
      <c r="T87" s="286"/>
      <c r="U87" s="286"/>
      <c r="V87" s="286"/>
      <c r="W87" s="286"/>
    </row>
    <row r="88">
      <c r="A88" s="286"/>
      <c r="B88" s="286"/>
      <c r="C88" s="286"/>
      <c r="D88" s="286"/>
      <c r="E88" s="286"/>
      <c r="F88" s="286"/>
      <c r="G88" s="286"/>
      <c r="H88" s="286"/>
      <c r="I88" s="286"/>
      <c r="J88" s="286"/>
      <c r="K88" s="399"/>
      <c r="L88" s="399"/>
      <c r="M88" s="286"/>
      <c r="N88" s="286"/>
      <c r="O88" s="286"/>
      <c r="P88" s="286"/>
      <c r="Q88" s="286"/>
      <c r="R88" s="286"/>
      <c r="S88" s="286"/>
      <c r="T88" s="286"/>
      <c r="U88" s="286"/>
      <c r="V88" s="286"/>
      <c r="W88" s="286"/>
    </row>
    <row r="89">
      <c r="A89" s="286"/>
      <c r="B89" s="286"/>
      <c r="C89" s="286"/>
      <c r="D89" s="286"/>
      <c r="E89" s="286"/>
      <c r="F89" s="286"/>
      <c r="G89" s="286"/>
      <c r="H89" s="286"/>
      <c r="I89" s="286"/>
      <c r="J89" s="286"/>
      <c r="K89" s="399"/>
      <c r="L89" s="399"/>
      <c r="M89" s="286"/>
      <c r="N89" s="286"/>
      <c r="O89" s="286"/>
      <c r="P89" s="286"/>
      <c r="Q89" s="286"/>
      <c r="R89" s="286"/>
      <c r="S89" s="286"/>
      <c r="T89" s="286"/>
      <c r="U89" s="286"/>
      <c r="V89" s="286"/>
      <c r="W89" s="286"/>
    </row>
    <row r="90">
      <c r="A90" s="286"/>
      <c r="B90" s="286"/>
      <c r="C90" s="286"/>
      <c r="D90" s="286"/>
      <c r="E90" s="286"/>
      <c r="F90" s="286"/>
      <c r="G90" s="286"/>
      <c r="H90" s="286"/>
      <c r="I90" s="286"/>
      <c r="J90" s="286"/>
      <c r="K90" s="399"/>
      <c r="L90" s="399"/>
      <c r="M90" s="286"/>
      <c r="N90" s="286"/>
      <c r="O90" s="286"/>
      <c r="P90" s="286"/>
      <c r="Q90" s="286"/>
      <c r="R90" s="286"/>
      <c r="S90" s="286"/>
      <c r="T90" s="286"/>
      <c r="U90" s="286"/>
      <c r="V90" s="286"/>
      <c r="W90" s="286"/>
    </row>
    <row r="91">
      <c r="A91" s="286"/>
      <c r="B91" s="286"/>
      <c r="C91" s="286"/>
      <c r="D91" s="286"/>
      <c r="E91" s="286"/>
      <c r="F91" s="286"/>
      <c r="G91" s="286"/>
      <c r="H91" s="286"/>
      <c r="I91" s="286"/>
      <c r="J91" s="286"/>
      <c r="K91" s="399"/>
      <c r="L91" s="399"/>
      <c r="M91" s="286"/>
      <c r="N91" s="286"/>
      <c r="O91" s="286"/>
      <c r="P91" s="286"/>
      <c r="Q91" s="286"/>
      <c r="R91" s="286"/>
      <c r="S91" s="286"/>
      <c r="T91" s="286"/>
      <c r="U91" s="286"/>
      <c r="V91" s="286"/>
      <c r="W91" s="286"/>
    </row>
    <row r="92">
      <c r="A92" s="286"/>
      <c r="B92" s="286"/>
      <c r="C92" s="286"/>
      <c r="D92" s="286"/>
      <c r="E92" s="286"/>
      <c r="F92" s="286"/>
      <c r="G92" s="286"/>
      <c r="H92" s="286"/>
      <c r="I92" s="286"/>
      <c r="J92" s="286"/>
      <c r="K92" s="399"/>
      <c r="L92" s="399"/>
      <c r="M92" s="286"/>
      <c r="N92" s="286"/>
      <c r="O92" s="286"/>
      <c r="P92" s="286"/>
      <c r="Q92" s="286"/>
      <c r="R92" s="286"/>
      <c r="S92" s="286"/>
      <c r="T92" s="286"/>
      <c r="U92" s="286"/>
      <c r="V92" s="286"/>
      <c r="W92" s="286"/>
    </row>
    <row r="93">
      <c r="A93" s="286"/>
      <c r="B93" s="286"/>
      <c r="C93" s="286"/>
      <c r="D93" s="286"/>
      <c r="E93" s="286"/>
      <c r="F93" s="286"/>
      <c r="G93" s="286"/>
      <c r="H93" s="286"/>
      <c r="I93" s="286"/>
      <c r="J93" s="286"/>
      <c r="K93" s="399"/>
      <c r="L93" s="399"/>
      <c r="M93" s="286"/>
      <c r="N93" s="286"/>
      <c r="O93" s="286"/>
      <c r="P93" s="286"/>
      <c r="Q93" s="286"/>
      <c r="R93" s="286"/>
      <c r="S93" s="286"/>
      <c r="T93" s="286"/>
      <c r="U93" s="286"/>
      <c r="V93" s="286"/>
      <c r="W93" s="286"/>
    </row>
    <row r="94">
      <c r="A94" s="286"/>
      <c r="B94" s="286"/>
      <c r="C94" s="286"/>
      <c r="D94" s="286"/>
      <c r="E94" s="286"/>
      <c r="F94" s="286"/>
      <c r="G94" s="286"/>
      <c r="H94" s="286"/>
      <c r="I94" s="286"/>
      <c r="J94" s="286"/>
      <c r="K94" s="399"/>
      <c r="L94" s="399"/>
      <c r="M94" s="286"/>
      <c r="N94" s="286"/>
      <c r="O94" s="286"/>
      <c r="P94" s="286"/>
      <c r="Q94" s="286"/>
      <c r="R94" s="286"/>
      <c r="S94" s="286"/>
      <c r="T94" s="286"/>
      <c r="U94" s="286"/>
      <c r="V94" s="286"/>
      <c r="W94" s="286"/>
    </row>
    <row r="95">
      <c r="A95" s="286"/>
      <c r="B95" s="286"/>
      <c r="C95" s="286"/>
      <c r="D95" s="286"/>
      <c r="E95" s="286"/>
      <c r="F95" s="286"/>
      <c r="G95" s="286"/>
      <c r="H95" s="286"/>
      <c r="I95" s="286"/>
      <c r="J95" s="286"/>
      <c r="K95" s="399"/>
      <c r="L95" s="399"/>
      <c r="M95" s="286"/>
      <c r="N95" s="286"/>
      <c r="O95" s="286"/>
      <c r="P95" s="286"/>
      <c r="Q95" s="286"/>
      <c r="R95" s="286"/>
      <c r="S95" s="286"/>
      <c r="T95" s="286"/>
      <c r="U95" s="286"/>
      <c r="V95" s="286"/>
      <c r="W95" s="286"/>
    </row>
    <row r="96">
      <c r="A96" s="286"/>
      <c r="B96" s="286"/>
      <c r="C96" s="286"/>
      <c r="D96" s="286"/>
      <c r="E96" s="286"/>
      <c r="F96" s="286"/>
      <c r="G96" s="286"/>
      <c r="H96" s="286"/>
      <c r="I96" s="286"/>
      <c r="J96" s="286"/>
      <c r="K96" s="399"/>
      <c r="L96" s="399"/>
      <c r="M96" s="286"/>
      <c r="N96" s="286"/>
      <c r="O96" s="286"/>
      <c r="P96" s="286"/>
      <c r="Q96" s="286"/>
      <c r="R96" s="286"/>
      <c r="S96" s="286"/>
      <c r="T96" s="286"/>
      <c r="U96" s="286"/>
      <c r="V96" s="286"/>
      <c r="W96" s="286"/>
    </row>
    <row r="97">
      <c r="A97" s="286"/>
      <c r="B97" s="286"/>
      <c r="C97" s="286"/>
      <c r="D97" s="286"/>
      <c r="E97" s="286"/>
      <c r="F97" s="286"/>
      <c r="G97" s="286"/>
      <c r="H97" s="286"/>
      <c r="I97" s="286"/>
      <c r="J97" s="286"/>
      <c r="K97" s="399"/>
      <c r="L97" s="399"/>
      <c r="M97" s="286"/>
      <c r="N97" s="286"/>
      <c r="O97" s="286"/>
      <c r="P97" s="286"/>
      <c r="Q97" s="286"/>
      <c r="R97" s="286"/>
      <c r="S97" s="286"/>
      <c r="T97" s="286"/>
      <c r="U97" s="286"/>
      <c r="V97" s="286"/>
      <c r="W97" s="286"/>
    </row>
    <row r="98">
      <c r="A98" s="286"/>
      <c r="B98" s="286"/>
      <c r="C98" s="286"/>
      <c r="D98" s="286"/>
      <c r="E98" s="286"/>
      <c r="F98" s="286"/>
      <c r="G98" s="286"/>
      <c r="H98" s="286"/>
      <c r="I98" s="286"/>
      <c r="J98" s="286"/>
      <c r="K98" s="399"/>
      <c r="L98" s="399"/>
      <c r="M98" s="286"/>
      <c r="N98" s="286"/>
      <c r="O98" s="286"/>
      <c r="P98" s="286"/>
      <c r="Q98" s="286"/>
      <c r="R98" s="286"/>
      <c r="S98" s="286"/>
      <c r="T98" s="286"/>
      <c r="U98" s="286"/>
      <c r="V98" s="286"/>
      <c r="W98" s="286"/>
    </row>
    <row r="99">
      <c r="A99" s="286"/>
      <c r="B99" s="286"/>
      <c r="C99" s="286"/>
      <c r="D99" s="286"/>
      <c r="E99" s="286"/>
      <c r="F99" s="286"/>
      <c r="G99" s="286"/>
      <c r="H99" s="286"/>
      <c r="I99" s="286"/>
      <c r="J99" s="286"/>
      <c r="K99" s="399"/>
      <c r="L99" s="399"/>
      <c r="M99" s="286"/>
      <c r="N99" s="286"/>
      <c r="O99" s="286"/>
      <c r="P99" s="286"/>
      <c r="Q99" s="286"/>
      <c r="R99" s="286"/>
      <c r="S99" s="286"/>
      <c r="T99" s="286"/>
      <c r="U99" s="286"/>
      <c r="V99" s="286"/>
      <c r="W99" s="286"/>
    </row>
    <row r="100">
      <c r="A100" s="286"/>
      <c r="B100" s="286"/>
      <c r="C100" s="286"/>
      <c r="D100" s="286"/>
      <c r="E100" s="286"/>
      <c r="F100" s="286"/>
      <c r="G100" s="286"/>
      <c r="H100" s="286"/>
      <c r="I100" s="286"/>
      <c r="J100" s="286"/>
      <c r="K100" s="399"/>
      <c r="L100" s="399"/>
      <c r="M100" s="286"/>
      <c r="N100" s="286"/>
      <c r="O100" s="286"/>
      <c r="P100" s="286"/>
      <c r="Q100" s="286"/>
      <c r="R100" s="286"/>
      <c r="S100" s="286"/>
      <c r="T100" s="286"/>
      <c r="U100" s="286"/>
      <c r="V100" s="286"/>
      <c r="W100" s="286"/>
    </row>
    <row r="101">
      <c r="A101" s="286"/>
      <c r="B101" s="286"/>
      <c r="C101" s="286"/>
      <c r="D101" s="286"/>
      <c r="E101" s="286"/>
      <c r="F101" s="286"/>
      <c r="G101" s="286"/>
      <c r="H101" s="286"/>
      <c r="I101" s="286"/>
      <c r="J101" s="286"/>
      <c r="K101" s="399"/>
      <c r="L101" s="399"/>
      <c r="M101" s="286"/>
      <c r="N101" s="286"/>
      <c r="O101" s="286"/>
      <c r="P101" s="286"/>
      <c r="Q101" s="286"/>
      <c r="R101" s="286"/>
      <c r="S101" s="286"/>
      <c r="T101" s="286"/>
      <c r="U101" s="286"/>
      <c r="V101" s="286"/>
      <c r="W101" s="286"/>
    </row>
    <row r="102">
      <c r="A102" s="286"/>
      <c r="B102" s="286"/>
      <c r="C102" s="286"/>
      <c r="D102" s="286"/>
      <c r="E102" s="286"/>
      <c r="F102" s="286"/>
      <c r="G102" s="286"/>
      <c r="H102" s="286"/>
      <c r="I102" s="286"/>
      <c r="J102" s="286"/>
      <c r="K102" s="399"/>
      <c r="L102" s="399"/>
      <c r="M102" s="286"/>
      <c r="N102" s="286"/>
      <c r="O102" s="286"/>
      <c r="P102" s="286"/>
      <c r="Q102" s="286"/>
      <c r="R102" s="286"/>
      <c r="S102" s="286"/>
      <c r="T102" s="286"/>
      <c r="U102" s="286"/>
      <c r="V102" s="286"/>
      <c r="W102" s="286"/>
    </row>
    <row r="103">
      <c r="A103" s="286"/>
      <c r="B103" s="286"/>
      <c r="C103" s="286"/>
      <c r="D103" s="286"/>
      <c r="E103" s="286"/>
      <c r="F103" s="286"/>
      <c r="G103" s="286"/>
      <c r="H103" s="286"/>
      <c r="I103" s="286"/>
      <c r="J103" s="286"/>
      <c r="K103" s="399"/>
      <c r="L103" s="399"/>
      <c r="M103" s="286"/>
      <c r="N103" s="286"/>
      <c r="O103" s="286"/>
      <c r="P103" s="286"/>
      <c r="Q103" s="286"/>
      <c r="R103" s="286"/>
      <c r="S103" s="286"/>
      <c r="T103" s="286"/>
      <c r="U103" s="286"/>
      <c r="V103" s="286"/>
      <c r="W103" s="286"/>
    </row>
    <row r="104">
      <c r="A104" s="286"/>
      <c r="B104" s="286"/>
      <c r="C104" s="286"/>
      <c r="D104" s="286"/>
      <c r="E104" s="286"/>
      <c r="F104" s="286"/>
      <c r="G104" s="286"/>
      <c r="H104" s="286"/>
      <c r="I104" s="286"/>
      <c r="J104" s="286"/>
      <c r="K104" s="399"/>
      <c r="L104" s="399"/>
      <c r="M104" s="286"/>
      <c r="N104" s="286"/>
      <c r="O104" s="286"/>
      <c r="P104" s="286"/>
      <c r="Q104" s="286"/>
      <c r="R104" s="286"/>
      <c r="S104" s="286"/>
      <c r="T104" s="286"/>
      <c r="U104" s="286"/>
      <c r="V104" s="286"/>
      <c r="W104" s="286"/>
    </row>
    <row r="105">
      <c r="A105" s="286"/>
      <c r="B105" s="286"/>
      <c r="C105" s="286"/>
      <c r="D105" s="286"/>
      <c r="E105" s="286"/>
      <c r="F105" s="286"/>
      <c r="G105" s="286"/>
      <c r="H105" s="286"/>
      <c r="I105" s="286"/>
      <c r="J105" s="286"/>
      <c r="K105" s="399"/>
      <c r="L105" s="399"/>
      <c r="M105" s="286"/>
      <c r="N105" s="286"/>
      <c r="O105" s="286"/>
      <c r="P105" s="286"/>
      <c r="Q105" s="286"/>
      <c r="R105" s="286"/>
      <c r="S105" s="286"/>
      <c r="T105" s="286"/>
      <c r="U105" s="286"/>
      <c r="V105" s="286"/>
      <c r="W105" s="286"/>
    </row>
    <row r="106">
      <c r="A106" s="286"/>
      <c r="B106" s="286"/>
      <c r="C106" s="286"/>
      <c r="D106" s="286"/>
      <c r="E106" s="286"/>
      <c r="F106" s="286"/>
      <c r="G106" s="286"/>
      <c r="H106" s="286"/>
      <c r="I106" s="286"/>
      <c r="J106" s="286"/>
      <c r="K106" s="399"/>
      <c r="L106" s="399"/>
      <c r="M106" s="286"/>
      <c r="N106" s="286"/>
      <c r="O106" s="286"/>
      <c r="P106" s="286"/>
      <c r="Q106" s="286"/>
      <c r="R106" s="286"/>
      <c r="S106" s="286"/>
      <c r="T106" s="286"/>
      <c r="U106" s="286"/>
      <c r="V106" s="286"/>
      <c r="W106" s="286"/>
    </row>
    <row r="107">
      <c r="A107" s="286"/>
      <c r="B107" s="286"/>
      <c r="C107" s="286"/>
      <c r="D107" s="286"/>
      <c r="E107" s="286"/>
      <c r="F107" s="286"/>
      <c r="G107" s="286"/>
      <c r="H107" s="286"/>
      <c r="I107" s="286"/>
      <c r="J107" s="286"/>
      <c r="K107" s="399"/>
      <c r="L107" s="399"/>
      <c r="M107" s="286"/>
      <c r="N107" s="286"/>
      <c r="O107" s="286"/>
      <c r="P107" s="286"/>
      <c r="Q107" s="286"/>
      <c r="R107" s="286"/>
      <c r="S107" s="286"/>
      <c r="T107" s="286"/>
      <c r="U107" s="286"/>
      <c r="V107" s="286"/>
      <c r="W107" s="286"/>
    </row>
    <row r="108">
      <c r="A108" s="286"/>
      <c r="B108" s="286"/>
      <c r="C108" s="286"/>
      <c r="D108" s="286"/>
      <c r="E108" s="286"/>
      <c r="F108" s="286"/>
      <c r="G108" s="286"/>
      <c r="H108" s="286"/>
      <c r="I108" s="286"/>
      <c r="J108" s="286"/>
      <c r="K108" s="399"/>
      <c r="L108" s="399"/>
      <c r="M108" s="286"/>
      <c r="N108" s="286"/>
      <c r="O108" s="286"/>
      <c r="P108" s="286"/>
      <c r="Q108" s="286"/>
      <c r="R108" s="286"/>
      <c r="S108" s="286"/>
      <c r="T108" s="286"/>
      <c r="U108" s="286"/>
      <c r="V108" s="286"/>
      <c r="W108" s="286"/>
    </row>
    <row r="109">
      <c r="A109" s="286"/>
      <c r="B109" s="286"/>
      <c r="C109" s="286"/>
      <c r="D109" s="286"/>
      <c r="E109" s="286"/>
      <c r="F109" s="286"/>
      <c r="G109" s="286"/>
      <c r="H109" s="286"/>
      <c r="I109" s="286"/>
      <c r="J109" s="286"/>
      <c r="K109" s="399"/>
      <c r="L109" s="399"/>
      <c r="M109" s="286"/>
      <c r="N109" s="286"/>
      <c r="O109" s="286"/>
      <c r="P109" s="286"/>
      <c r="Q109" s="286"/>
      <c r="R109" s="286"/>
      <c r="S109" s="286"/>
      <c r="T109" s="286"/>
      <c r="U109" s="286"/>
      <c r="V109" s="286"/>
      <c r="W109" s="286"/>
    </row>
    <row r="110">
      <c r="A110" s="286"/>
      <c r="B110" s="286"/>
      <c r="C110" s="286"/>
      <c r="D110" s="286"/>
      <c r="E110" s="286"/>
      <c r="F110" s="286"/>
      <c r="G110" s="286"/>
      <c r="H110" s="286"/>
      <c r="I110" s="286"/>
      <c r="J110" s="286"/>
      <c r="K110" s="399"/>
      <c r="L110" s="399"/>
      <c r="M110" s="286"/>
      <c r="N110" s="286"/>
      <c r="O110" s="286"/>
      <c r="P110" s="286"/>
      <c r="Q110" s="286"/>
      <c r="R110" s="286"/>
      <c r="S110" s="286"/>
      <c r="T110" s="286"/>
      <c r="U110" s="286"/>
      <c r="V110" s="286"/>
      <c r="W110" s="286"/>
    </row>
    <row r="111">
      <c r="A111" s="286"/>
      <c r="B111" s="286"/>
      <c r="C111" s="286"/>
      <c r="D111" s="286"/>
      <c r="E111" s="286"/>
      <c r="F111" s="286"/>
      <c r="G111" s="286"/>
      <c r="H111" s="286"/>
      <c r="I111" s="286"/>
      <c r="J111" s="286"/>
      <c r="K111" s="399"/>
      <c r="L111" s="399"/>
      <c r="M111" s="286"/>
      <c r="N111" s="286"/>
      <c r="O111" s="286"/>
      <c r="P111" s="286"/>
      <c r="Q111" s="286"/>
      <c r="R111" s="286"/>
      <c r="S111" s="286"/>
      <c r="T111" s="286"/>
      <c r="U111" s="286"/>
      <c r="V111" s="286"/>
      <c r="W111" s="286"/>
    </row>
    <row r="112">
      <c r="A112" s="286"/>
      <c r="B112" s="286"/>
      <c r="C112" s="286"/>
      <c r="D112" s="286"/>
      <c r="E112" s="286"/>
      <c r="F112" s="286"/>
      <c r="G112" s="286"/>
      <c r="H112" s="286"/>
      <c r="I112" s="286"/>
      <c r="J112" s="286"/>
      <c r="K112" s="399"/>
      <c r="L112" s="399"/>
      <c r="M112" s="286"/>
      <c r="N112" s="286"/>
      <c r="O112" s="286"/>
      <c r="P112" s="286"/>
      <c r="Q112" s="286"/>
      <c r="R112" s="286"/>
      <c r="S112" s="286"/>
      <c r="T112" s="286"/>
      <c r="U112" s="286"/>
      <c r="V112" s="286"/>
      <c r="W112" s="286"/>
    </row>
    <row r="113">
      <c r="A113" s="286"/>
      <c r="B113" s="286"/>
      <c r="C113" s="286"/>
      <c r="D113" s="286"/>
      <c r="E113" s="286"/>
      <c r="F113" s="286"/>
      <c r="G113" s="286"/>
      <c r="H113" s="286"/>
      <c r="I113" s="286"/>
      <c r="J113" s="286"/>
      <c r="K113" s="399"/>
      <c r="L113" s="399"/>
      <c r="M113" s="286"/>
      <c r="N113" s="286"/>
      <c r="O113" s="286"/>
      <c r="P113" s="286"/>
      <c r="Q113" s="286"/>
      <c r="R113" s="286"/>
      <c r="S113" s="286"/>
      <c r="T113" s="286"/>
      <c r="U113" s="286"/>
      <c r="V113" s="286"/>
      <c r="W113" s="286"/>
    </row>
    <row r="114">
      <c r="A114" s="286"/>
      <c r="B114" s="286"/>
      <c r="C114" s="286"/>
      <c r="D114" s="286"/>
      <c r="E114" s="286"/>
      <c r="F114" s="286"/>
      <c r="G114" s="286"/>
      <c r="H114" s="286"/>
      <c r="I114" s="286"/>
      <c r="J114" s="286"/>
      <c r="K114" s="399"/>
      <c r="L114" s="399"/>
      <c r="M114" s="286"/>
      <c r="N114" s="286"/>
      <c r="O114" s="286"/>
      <c r="P114" s="286"/>
      <c r="Q114" s="286"/>
      <c r="R114" s="286"/>
      <c r="S114" s="286"/>
      <c r="T114" s="286"/>
      <c r="U114" s="286"/>
      <c r="V114" s="286"/>
      <c r="W114" s="286"/>
    </row>
    <row r="115">
      <c r="A115" s="286"/>
      <c r="B115" s="286"/>
      <c r="C115" s="286"/>
      <c r="D115" s="286"/>
      <c r="E115" s="286"/>
      <c r="F115" s="286"/>
      <c r="G115" s="286"/>
      <c r="H115" s="286"/>
      <c r="I115" s="286"/>
      <c r="J115" s="286"/>
      <c r="K115" s="399"/>
      <c r="L115" s="399"/>
      <c r="M115" s="286"/>
      <c r="N115" s="286"/>
      <c r="O115" s="286"/>
      <c r="P115" s="286"/>
      <c r="Q115" s="286"/>
      <c r="R115" s="286"/>
      <c r="S115" s="286"/>
      <c r="T115" s="286"/>
      <c r="U115" s="286"/>
      <c r="V115" s="286"/>
      <c r="W115" s="286"/>
    </row>
    <row r="116">
      <c r="A116" s="286"/>
      <c r="B116" s="286"/>
      <c r="C116" s="286"/>
      <c r="D116" s="286"/>
      <c r="E116" s="286"/>
      <c r="F116" s="286"/>
      <c r="G116" s="286"/>
      <c r="H116" s="286"/>
      <c r="I116" s="286"/>
      <c r="J116" s="286"/>
      <c r="K116" s="399"/>
      <c r="L116" s="399"/>
      <c r="M116" s="286"/>
      <c r="N116" s="286"/>
      <c r="O116" s="286"/>
      <c r="P116" s="286"/>
      <c r="Q116" s="286"/>
      <c r="R116" s="286"/>
      <c r="S116" s="286"/>
      <c r="T116" s="286"/>
      <c r="U116" s="286"/>
      <c r="V116" s="286"/>
      <c r="W116" s="286"/>
    </row>
    <row r="117">
      <c r="A117" s="286"/>
      <c r="B117" s="286"/>
      <c r="C117" s="286"/>
      <c r="D117" s="286"/>
      <c r="E117" s="286"/>
      <c r="F117" s="286"/>
      <c r="G117" s="286"/>
      <c r="H117" s="286"/>
      <c r="I117" s="286"/>
      <c r="J117" s="286"/>
      <c r="K117" s="399"/>
      <c r="L117" s="399"/>
      <c r="M117" s="286"/>
      <c r="N117" s="286"/>
      <c r="O117" s="286"/>
      <c r="P117" s="286"/>
      <c r="Q117" s="286"/>
      <c r="R117" s="286"/>
      <c r="S117" s="286"/>
      <c r="T117" s="286"/>
      <c r="U117" s="286"/>
      <c r="V117" s="286"/>
      <c r="W117" s="286"/>
    </row>
    <row r="118">
      <c r="A118" s="286"/>
      <c r="B118" s="286"/>
      <c r="C118" s="286"/>
      <c r="D118" s="286"/>
      <c r="E118" s="286"/>
      <c r="F118" s="286"/>
      <c r="G118" s="286"/>
      <c r="H118" s="286"/>
      <c r="I118" s="286"/>
      <c r="J118" s="286"/>
      <c r="K118" s="399"/>
      <c r="L118" s="399"/>
      <c r="M118" s="286"/>
      <c r="N118" s="286"/>
      <c r="O118" s="286"/>
      <c r="P118" s="286"/>
      <c r="Q118" s="286"/>
      <c r="R118" s="286"/>
      <c r="S118" s="286"/>
      <c r="T118" s="286"/>
      <c r="U118" s="286"/>
      <c r="V118" s="286"/>
      <c r="W118" s="286"/>
    </row>
    <row r="119">
      <c r="A119" s="286"/>
      <c r="B119" s="286"/>
      <c r="C119" s="286"/>
      <c r="D119" s="286"/>
      <c r="E119" s="286"/>
      <c r="F119" s="286"/>
      <c r="G119" s="286"/>
      <c r="H119" s="286"/>
      <c r="I119" s="286"/>
      <c r="J119" s="286"/>
      <c r="K119" s="399"/>
      <c r="L119" s="399"/>
      <c r="M119" s="286"/>
      <c r="N119" s="286"/>
      <c r="O119" s="286"/>
      <c r="P119" s="286"/>
      <c r="Q119" s="286"/>
      <c r="R119" s="286"/>
      <c r="S119" s="286"/>
      <c r="T119" s="286"/>
      <c r="U119" s="286"/>
      <c r="V119" s="286"/>
      <c r="W119" s="286"/>
    </row>
    <row r="120">
      <c r="A120" s="286"/>
      <c r="B120" s="286"/>
      <c r="C120" s="286"/>
      <c r="D120" s="286"/>
      <c r="E120" s="286"/>
      <c r="F120" s="286"/>
      <c r="G120" s="286"/>
      <c r="H120" s="286"/>
      <c r="I120" s="286"/>
      <c r="J120" s="286"/>
      <c r="K120" s="399"/>
      <c r="L120" s="399"/>
      <c r="M120" s="286"/>
      <c r="N120" s="286"/>
      <c r="O120" s="286"/>
      <c r="P120" s="286"/>
      <c r="Q120" s="286"/>
      <c r="R120" s="286"/>
      <c r="S120" s="286"/>
      <c r="T120" s="286"/>
      <c r="U120" s="286"/>
      <c r="V120" s="286"/>
      <c r="W120" s="286"/>
    </row>
    <row r="121">
      <c r="A121" s="286"/>
      <c r="B121" s="286"/>
      <c r="C121" s="286"/>
      <c r="D121" s="286"/>
      <c r="E121" s="286"/>
      <c r="F121" s="286"/>
      <c r="G121" s="286"/>
      <c r="H121" s="286"/>
      <c r="I121" s="286"/>
      <c r="J121" s="286"/>
      <c r="K121" s="399"/>
      <c r="L121" s="399"/>
      <c r="M121" s="286"/>
      <c r="N121" s="286"/>
      <c r="O121" s="286"/>
      <c r="P121" s="286"/>
      <c r="Q121" s="286"/>
      <c r="R121" s="286"/>
      <c r="S121" s="286"/>
      <c r="T121" s="286"/>
      <c r="U121" s="286"/>
      <c r="V121" s="286"/>
      <c r="W121" s="286"/>
    </row>
    <row r="122">
      <c r="A122" s="286"/>
      <c r="B122" s="286"/>
      <c r="C122" s="286"/>
      <c r="D122" s="286"/>
      <c r="E122" s="286"/>
      <c r="F122" s="286"/>
      <c r="G122" s="286"/>
      <c r="H122" s="286"/>
      <c r="I122" s="286"/>
      <c r="J122" s="286"/>
      <c r="K122" s="399"/>
      <c r="L122" s="399"/>
      <c r="M122" s="286"/>
      <c r="N122" s="286"/>
      <c r="O122" s="286"/>
      <c r="P122" s="286"/>
      <c r="Q122" s="286"/>
      <c r="R122" s="286"/>
      <c r="S122" s="286"/>
      <c r="T122" s="286"/>
      <c r="U122" s="286"/>
      <c r="V122" s="286"/>
      <c r="W122" s="286"/>
    </row>
    <row r="123">
      <c r="A123" s="286"/>
      <c r="B123" s="286"/>
      <c r="C123" s="286"/>
      <c r="D123" s="286"/>
      <c r="E123" s="286"/>
      <c r="F123" s="286"/>
      <c r="G123" s="286"/>
      <c r="H123" s="286"/>
      <c r="I123" s="286"/>
      <c r="J123" s="286"/>
      <c r="K123" s="399"/>
      <c r="L123" s="399"/>
      <c r="M123" s="286"/>
      <c r="N123" s="286"/>
      <c r="O123" s="286"/>
      <c r="P123" s="286"/>
      <c r="Q123" s="286"/>
      <c r="R123" s="286"/>
      <c r="S123" s="286"/>
      <c r="T123" s="286"/>
      <c r="U123" s="286"/>
      <c r="V123" s="286"/>
      <c r="W123" s="286"/>
    </row>
    <row r="124">
      <c r="A124" s="286"/>
      <c r="B124" s="286"/>
      <c r="C124" s="286"/>
      <c r="D124" s="286"/>
      <c r="E124" s="286"/>
      <c r="F124" s="286"/>
      <c r="G124" s="286"/>
      <c r="H124" s="286"/>
      <c r="I124" s="286"/>
      <c r="J124" s="286"/>
      <c r="K124" s="399"/>
      <c r="L124" s="399"/>
      <c r="M124" s="286"/>
      <c r="N124" s="286"/>
      <c r="O124" s="286"/>
      <c r="P124" s="286"/>
      <c r="Q124" s="286"/>
      <c r="R124" s="286"/>
      <c r="S124" s="286"/>
      <c r="T124" s="286"/>
      <c r="U124" s="286"/>
      <c r="V124" s="286"/>
      <c r="W124" s="286"/>
    </row>
    <row r="125">
      <c r="A125" s="286"/>
      <c r="B125" s="286"/>
      <c r="C125" s="286"/>
      <c r="D125" s="286"/>
      <c r="E125" s="286"/>
      <c r="F125" s="286"/>
      <c r="G125" s="286"/>
      <c r="H125" s="286"/>
      <c r="I125" s="286"/>
      <c r="J125" s="286"/>
      <c r="K125" s="399"/>
      <c r="L125" s="399"/>
      <c r="M125" s="286"/>
      <c r="N125" s="286"/>
      <c r="O125" s="286"/>
      <c r="P125" s="286"/>
      <c r="Q125" s="286"/>
      <c r="R125" s="286"/>
      <c r="S125" s="286"/>
      <c r="T125" s="286"/>
      <c r="U125" s="286"/>
      <c r="V125" s="286"/>
      <c r="W125" s="286"/>
    </row>
    <row r="126">
      <c r="A126" s="286"/>
      <c r="B126" s="286"/>
      <c r="C126" s="286"/>
      <c r="D126" s="286"/>
      <c r="E126" s="286"/>
      <c r="F126" s="286"/>
      <c r="G126" s="286"/>
      <c r="H126" s="286"/>
      <c r="I126" s="286"/>
      <c r="J126" s="286"/>
      <c r="K126" s="399"/>
      <c r="L126" s="399"/>
      <c r="M126" s="286"/>
      <c r="N126" s="286"/>
      <c r="O126" s="286"/>
      <c r="P126" s="286"/>
      <c r="Q126" s="286"/>
      <c r="R126" s="286"/>
      <c r="S126" s="286"/>
      <c r="T126" s="286"/>
      <c r="U126" s="286"/>
      <c r="V126" s="286"/>
      <c r="W126" s="286"/>
    </row>
    <row r="127">
      <c r="A127" s="286"/>
      <c r="B127" s="286"/>
      <c r="C127" s="286"/>
      <c r="D127" s="286"/>
      <c r="E127" s="286"/>
      <c r="F127" s="286"/>
      <c r="G127" s="286"/>
      <c r="H127" s="286"/>
      <c r="I127" s="286"/>
      <c r="J127" s="286"/>
      <c r="K127" s="399"/>
      <c r="L127" s="399"/>
      <c r="M127" s="286"/>
      <c r="N127" s="286"/>
      <c r="O127" s="286"/>
      <c r="P127" s="286"/>
      <c r="Q127" s="286"/>
      <c r="R127" s="286"/>
      <c r="S127" s="286"/>
      <c r="T127" s="286"/>
      <c r="U127" s="286"/>
      <c r="V127" s="286"/>
      <c r="W127" s="286"/>
    </row>
    <row r="128">
      <c r="A128" s="286"/>
      <c r="B128" s="286"/>
      <c r="C128" s="286"/>
      <c r="D128" s="286"/>
      <c r="E128" s="286"/>
      <c r="F128" s="286"/>
      <c r="G128" s="286"/>
      <c r="H128" s="286"/>
      <c r="I128" s="286"/>
      <c r="J128" s="286"/>
      <c r="K128" s="399"/>
      <c r="L128" s="399"/>
      <c r="M128" s="286"/>
      <c r="N128" s="286"/>
      <c r="O128" s="286"/>
      <c r="P128" s="286"/>
      <c r="Q128" s="286"/>
      <c r="R128" s="286"/>
      <c r="S128" s="286"/>
      <c r="T128" s="286"/>
      <c r="U128" s="286"/>
      <c r="V128" s="286"/>
      <c r="W128" s="286"/>
    </row>
    <row r="129">
      <c r="A129" s="286"/>
      <c r="B129" s="286"/>
      <c r="C129" s="286"/>
      <c r="D129" s="286"/>
      <c r="E129" s="286"/>
      <c r="F129" s="286"/>
      <c r="G129" s="286"/>
      <c r="H129" s="286"/>
      <c r="I129" s="286"/>
      <c r="J129" s="286"/>
      <c r="K129" s="399"/>
      <c r="L129" s="399"/>
      <c r="M129" s="286"/>
      <c r="N129" s="286"/>
      <c r="O129" s="286"/>
      <c r="P129" s="286"/>
      <c r="Q129" s="286"/>
      <c r="R129" s="286"/>
      <c r="S129" s="286"/>
      <c r="T129" s="286"/>
      <c r="U129" s="286"/>
      <c r="V129" s="286"/>
      <c r="W129" s="286"/>
    </row>
    <row r="130">
      <c r="A130" s="286"/>
      <c r="B130" s="286"/>
      <c r="C130" s="286"/>
      <c r="D130" s="286"/>
      <c r="E130" s="286"/>
      <c r="F130" s="286"/>
      <c r="G130" s="286"/>
      <c r="H130" s="286"/>
      <c r="I130" s="286"/>
      <c r="J130" s="286"/>
      <c r="K130" s="399"/>
      <c r="L130" s="399"/>
      <c r="M130" s="286"/>
      <c r="N130" s="286"/>
      <c r="O130" s="286"/>
      <c r="P130" s="286"/>
      <c r="Q130" s="286"/>
      <c r="R130" s="286"/>
      <c r="S130" s="286"/>
      <c r="T130" s="286"/>
      <c r="U130" s="286"/>
      <c r="V130" s="286"/>
      <c r="W130" s="286"/>
    </row>
    <row r="131">
      <c r="A131" s="286"/>
      <c r="B131" s="286"/>
      <c r="C131" s="286"/>
      <c r="D131" s="286"/>
      <c r="E131" s="286"/>
      <c r="F131" s="286"/>
      <c r="G131" s="286"/>
      <c r="H131" s="286"/>
      <c r="I131" s="286"/>
      <c r="J131" s="286"/>
      <c r="K131" s="399"/>
      <c r="L131" s="399"/>
      <c r="M131" s="286"/>
      <c r="N131" s="286"/>
      <c r="O131" s="286"/>
      <c r="P131" s="286"/>
      <c r="Q131" s="286"/>
      <c r="R131" s="286"/>
      <c r="S131" s="286"/>
      <c r="T131" s="286"/>
      <c r="U131" s="286"/>
      <c r="V131" s="286"/>
      <c r="W131" s="286"/>
    </row>
    <row r="132">
      <c r="A132" s="286"/>
      <c r="B132" s="286"/>
      <c r="C132" s="286"/>
      <c r="D132" s="286"/>
      <c r="E132" s="286"/>
      <c r="F132" s="286"/>
      <c r="G132" s="286"/>
      <c r="H132" s="286"/>
      <c r="I132" s="286"/>
      <c r="J132" s="286"/>
      <c r="K132" s="399"/>
      <c r="L132" s="399"/>
      <c r="M132" s="286"/>
      <c r="N132" s="286"/>
      <c r="O132" s="286"/>
      <c r="P132" s="286"/>
      <c r="Q132" s="286"/>
      <c r="R132" s="286"/>
      <c r="S132" s="286"/>
      <c r="T132" s="286"/>
      <c r="U132" s="286"/>
      <c r="V132" s="286"/>
      <c r="W132" s="286"/>
    </row>
    <row r="133">
      <c r="A133" s="286"/>
      <c r="B133" s="286"/>
      <c r="C133" s="286"/>
      <c r="D133" s="286"/>
      <c r="E133" s="286"/>
      <c r="F133" s="286"/>
      <c r="G133" s="286"/>
      <c r="H133" s="286"/>
      <c r="I133" s="286"/>
      <c r="J133" s="286"/>
      <c r="K133" s="399"/>
      <c r="L133" s="399"/>
      <c r="M133" s="286"/>
      <c r="N133" s="286"/>
      <c r="O133" s="286"/>
      <c r="P133" s="286"/>
      <c r="Q133" s="286"/>
      <c r="R133" s="286"/>
      <c r="S133" s="286"/>
      <c r="T133" s="286"/>
      <c r="U133" s="286"/>
      <c r="V133" s="286"/>
      <c r="W133" s="286"/>
    </row>
    <row r="134">
      <c r="A134" s="286"/>
      <c r="B134" s="286"/>
      <c r="C134" s="286"/>
      <c r="D134" s="286"/>
      <c r="E134" s="286"/>
      <c r="F134" s="286"/>
      <c r="G134" s="286"/>
      <c r="H134" s="286"/>
      <c r="I134" s="286"/>
      <c r="J134" s="286"/>
      <c r="K134" s="399"/>
      <c r="L134" s="399"/>
      <c r="M134" s="286"/>
      <c r="N134" s="286"/>
      <c r="O134" s="286"/>
      <c r="P134" s="286"/>
      <c r="Q134" s="286"/>
      <c r="R134" s="286"/>
      <c r="S134" s="286"/>
      <c r="T134" s="286"/>
      <c r="U134" s="286"/>
      <c r="V134" s="286"/>
      <c r="W134" s="286"/>
    </row>
    <row r="135">
      <c r="A135" s="286"/>
      <c r="B135" s="286"/>
      <c r="C135" s="286"/>
      <c r="D135" s="286"/>
      <c r="E135" s="286"/>
      <c r="F135" s="286"/>
      <c r="G135" s="286"/>
      <c r="H135" s="286"/>
      <c r="I135" s="286"/>
      <c r="J135" s="286"/>
      <c r="K135" s="399"/>
      <c r="L135" s="399"/>
      <c r="M135" s="286"/>
      <c r="N135" s="286"/>
      <c r="O135" s="286"/>
      <c r="P135" s="286"/>
      <c r="Q135" s="286"/>
      <c r="R135" s="286"/>
      <c r="S135" s="286"/>
      <c r="T135" s="286"/>
      <c r="U135" s="286"/>
      <c r="V135" s="286"/>
      <c r="W135" s="286"/>
    </row>
    <row r="136">
      <c r="A136" s="286"/>
      <c r="B136" s="286"/>
      <c r="C136" s="286"/>
      <c r="D136" s="286"/>
      <c r="E136" s="286"/>
      <c r="F136" s="286"/>
      <c r="G136" s="286"/>
      <c r="H136" s="286"/>
      <c r="I136" s="286"/>
      <c r="J136" s="286"/>
      <c r="K136" s="399"/>
      <c r="L136" s="399"/>
      <c r="M136" s="286"/>
      <c r="N136" s="286"/>
      <c r="O136" s="286"/>
      <c r="P136" s="286"/>
      <c r="Q136" s="286"/>
      <c r="R136" s="286"/>
      <c r="S136" s="286"/>
      <c r="T136" s="286"/>
      <c r="U136" s="286"/>
      <c r="V136" s="286"/>
      <c r="W136" s="286"/>
    </row>
    <row r="137">
      <c r="A137" s="286"/>
      <c r="B137" s="286"/>
      <c r="C137" s="286"/>
      <c r="D137" s="286"/>
      <c r="E137" s="286"/>
      <c r="F137" s="286"/>
      <c r="G137" s="286"/>
      <c r="H137" s="286"/>
      <c r="I137" s="286"/>
      <c r="J137" s="286"/>
      <c r="K137" s="399"/>
      <c r="L137" s="399"/>
      <c r="M137" s="286"/>
      <c r="N137" s="286"/>
      <c r="O137" s="286"/>
      <c r="P137" s="286"/>
      <c r="Q137" s="286"/>
      <c r="R137" s="286"/>
      <c r="S137" s="286"/>
      <c r="T137" s="286"/>
      <c r="U137" s="286"/>
      <c r="V137" s="286"/>
      <c r="W137" s="286"/>
    </row>
    <row r="138">
      <c r="A138" s="286"/>
      <c r="B138" s="286"/>
      <c r="C138" s="286"/>
      <c r="D138" s="286"/>
      <c r="E138" s="286"/>
      <c r="F138" s="286"/>
      <c r="G138" s="286"/>
      <c r="H138" s="286"/>
      <c r="I138" s="286"/>
      <c r="J138" s="286"/>
      <c r="K138" s="399"/>
      <c r="L138" s="399"/>
      <c r="M138" s="286"/>
      <c r="N138" s="286"/>
      <c r="O138" s="286"/>
      <c r="P138" s="286"/>
      <c r="Q138" s="286"/>
      <c r="R138" s="286"/>
      <c r="S138" s="286"/>
      <c r="T138" s="286"/>
      <c r="U138" s="286"/>
      <c r="V138" s="286"/>
      <c r="W138" s="286"/>
    </row>
    <row r="139">
      <c r="A139" s="286"/>
      <c r="B139" s="286"/>
      <c r="C139" s="286"/>
      <c r="D139" s="286"/>
      <c r="E139" s="286"/>
      <c r="F139" s="286"/>
      <c r="G139" s="286"/>
      <c r="H139" s="286"/>
      <c r="I139" s="286"/>
      <c r="J139" s="286"/>
      <c r="K139" s="399"/>
      <c r="L139" s="399"/>
      <c r="M139" s="286"/>
      <c r="N139" s="286"/>
      <c r="O139" s="286"/>
      <c r="P139" s="286"/>
      <c r="Q139" s="286"/>
      <c r="R139" s="286"/>
      <c r="S139" s="286"/>
      <c r="T139" s="286"/>
      <c r="U139" s="286"/>
      <c r="V139" s="286"/>
      <c r="W139" s="286"/>
    </row>
    <row r="140">
      <c r="A140" s="286"/>
      <c r="B140" s="286"/>
      <c r="C140" s="286"/>
      <c r="D140" s="286"/>
      <c r="E140" s="286"/>
      <c r="F140" s="286"/>
      <c r="G140" s="286"/>
      <c r="H140" s="286"/>
      <c r="I140" s="286"/>
      <c r="J140" s="286"/>
      <c r="K140" s="399"/>
      <c r="L140" s="399"/>
      <c r="M140" s="286"/>
      <c r="N140" s="286"/>
      <c r="O140" s="286"/>
      <c r="P140" s="286"/>
      <c r="Q140" s="286"/>
      <c r="R140" s="286"/>
      <c r="S140" s="286"/>
      <c r="T140" s="286"/>
      <c r="U140" s="286"/>
      <c r="V140" s="286"/>
      <c r="W140" s="286"/>
    </row>
    <row r="141">
      <c r="A141" s="286"/>
      <c r="B141" s="286"/>
      <c r="C141" s="286"/>
      <c r="D141" s="286"/>
      <c r="E141" s="286"/>
      <c r="F141" s="286"/>
      <c r="G141" s="286"/>
      <c r="H141" s="286"/>
      <c r="I141" s="286"/>
      <c r="J141" s="286"/>
      <c r="K141" s="399"/>
      <c r="L141" s="399"/>
      <c r="M141" s="286"/>
      <c r="N141" s="286"/>
      <c r="O141" s="286"/>
      <c r="P141" s="286"/>
      <c r="Q141" s="286"/>
      <c r="R141" s="286"/>
      <c r="S141" s="286"/>
      <c r="T141" s="286"/>
      <c r="U141" s="286"/>
      <c r="V141" s="286"/>
      <c r="W141" s="286"/>
    </row>
    <row r="142">
      <c r="A142" s="286"/>
      <c r="B142" s="286"/>
      <c r="C142" s="286"/>
      <c r="D142" s="286"/>
      <c r="E142" s="286"/>
      <c r="F142" s="286"/>
      <c r="G142" s="286"/>
      <c r="H142" s="286"/>
      <c r="I142" s="286"/>
      <c r="J142" s="286"/>
      <c r="K142" s="399"/>
      <c r="L142" s="399"/>
      <c r="M142" s="286"/>
      <c r="N142" s="286"/>
      <c r="O142" s="286"/>
      <c r="P142" s="286"/>
      <c r="Q142" s="286"/>
      <c r="R142" s="286"/>
      <c r="S142" s="286"/>
      <c r="T142" s="286"/>
      <c r="U142" s="286"/>
      <c r="V142" s="286"/>
      <c r="W142" s="286"/>
    </row>
    <row r="143">
      <c r="A143" s="286"/>
      <c r="B143" s="286"/>
      <c r="C143" s="286"/>
      <c r="D143" s="286"/>
      <c r="E143" s="286"/>
      <c r="F143" s="286"/>
      <c r="G143" s="286"/>
      <c r="H143" s="286"/>
      <c r="I143" s="286"/>
      <c r="J143" s="286"/>
      <c r="K143" s="399"/>
      <c r="L143" s="399"/>
      <c r="M143" s="286"/>
      <c r="N143" s="286"/>
      <c r="O143" s="286"/>
      <c r="P143" s="286"/>
      <c r="Q143" s="286"/>
      <c r="R143" s="286"/>
      <c r="S143" s="286"/>
      <c r="T143" s="286"/>
      <c r="U143" s="286"/>
      <c r="V143" s="286"/>
      <c r="W143" s="286"/>
    </row>
    <row r="144">
      <c r="A144" s="286"/>
      <c r="B144" s="286"/>
      <c r="C144" s="286"/>
      <c r="D144" s="286"/>
      <c r="E144" s="286"/>
      <c r="F144" s="286"/>
      <c r="G144" s="286"/>
      <c r="H144" s="286"/>
      <c r="I144" s="286"/>
      <c r="J144" s="286"/>
      <c r="K144" s="399"/>
      <c r="L144" s="399"/>
      <c r="M144" s="286"/>
      <c r="N144" s="286"/>
      <c r="O144" s="286"/>
      <c r="P144" s="286"/>
      <c r="Q144" s="286"/>
      <c r="R144" s="286"/>
      <c r="S144" s="286"/>
      <c r="T144" s="286"/>
      <c r="U144" s="286"/>
      <c r="V144" s="286"/>
      <c r="W144" s="286"/>
    </row>
    <row r="145">
      <c r="A145" s="286"/>
      <c r="B145" s="286"/>
      <c r="C145" s="286"/>
      <c r="D145" s="286"/>
      <c r="E145" s="286"/>
      <c r="F145" s="286"/>
      <c r="G145" s="286"/>
      <c r="H145" s="286"/>
      <c r="I145" s="286"/>
      <c r="J145" s="286"/>
      <c r="K145" s="399"/>
      <c r="L145" s="399"/>
      <c r="M145" s="286"/>
      <c r="N145" s="286"/>
      <c r="O145" s="286"/>
      <c r="P145" s="286"/>
      <c r="Q145" s="286"/>
      <c r="R145" s="286"/>
      <c r="S145" s="286"/>
      <c r="T145" s="286"/>
      <c r="U145" s="286"/>
      <c r="V145" s="286"/>
      <c r="W145" s="286"/>
    </row>
    <row r="146">
      <c r="A146" s="286"/>
      <c r="B146" s="286"/>
      <c r="C146" s="286"/>
      <c r="D146" s="286"/>
      <c r="E146" s="286"/>
      <c r="F146" s="286"/>
      <c r="G146" s="286"/>
      <c r="H146" s="286"/>
      <c r="I146" s="286"/>
      <c r="J146" s="286"/>
      <c r="K146" s="399"/>
      <c r="L146" s="399"/>
      <c r="M146" s="286"/>
      <c r="N146" s="286"/>
      <c r="O146" s="286"/>
      <c r="P146" s="286"/>
      <c r="Q146" s="286"/>
      <c r="R146" s="286"/>
      <c r="S146" s="286"/>
      <c r="T146" s="286"/>
      <c r="U146" s="286"/>
      <c r="V146" s="286"/>
      <c r="W146" s="286"/>
    </row>
    <row r="147">
      <c r="A147" s="286"/>
      <c r="B147" s="286"/>
      <c r="C147" s="286"/>
      <c r="D147" s="286"/>
      <c r="E147" s="286"/>
      <c r="F147" s="286"/>
      <c r="G147" s="286"/>
      <c r="H147" s="286"/>
      <c r="I147" s="286"/>
      <c r="J147" s="286"/>
      <c r="K147" s="399"/>
      <c r="L147" s="399"/>
      <c r="M147" s="286"/>
      <c r="N147" s="286"/>
      <c r="O147" s="286"/>
      <c r="P147" s="286"/>
      <c r="Q147" s="286"/>
      <c r="R147" s="286"/>
      <c r="S147" s="286"/>
      <c r="T147" s="286"/>
      <c r="U147" s="286"/>
      <c r="V147" s="286"/>
      <c r="W147" s="286"/>
    </row>
    <row r="148">
      <c r="A148" s="286"/>
      <c r="B148" s="286"/>
      <c r="C148" s="286"/>
      <c r="D148" s="286"/>
      <c r="E148" s="286"/>
      <c r="F148" s="286"/>
      <c r="G148" s="286"/>
      <c r="H148" s="286"/>
      <c r="I148" s="286"/>
      <c r="J148" s="286"/>
      <c r="K148" s="399"/>
      <c r="L148" s="399"/>
      <c r="M148" s="286"/>
      <c r="N148" s="286"/>
      <c r="O148" s="286"/>
      <c r="P148" s="286"/>
      <c r="Q148" s="286"/>
      <c r="R148" s="286"/>
      <c r="S148" s="286"/>
      <c r="T148" s="286"/>
      <c r="U148" s="286"/>
      <c r="V148" s="286"/>
      <c r="W148" s="286"/>
    </row>
    <row r="149">
      <c r="A149" s="286"/>
      <c r="B149" s="286"/>
      <c r="C149" s="286"/>
      <c r="D149" s="286"/>
      <c r="E149" s="286"/>
      <c r="F149" s="286"/>
      <c r="G149" s="286"/>
      <c r="H149" s="286"/>
      <c r="I149" s="286"/>
      <c r="J149" s="286"/>
      <c r="K149" s="399"/>
      <c r="L149" s="399"/>
      <c r="M149" s="286"/>
      <c r="N149" s="286"/>
      <c r="O149" s="286"/>
      <c r="P149" s="286"/>
      <c r="Q149" s="286"/>
      <c r="R149" s="286"/>
      <c r="S149" s="286"/>
      <c r="T149" s="286"/>
      <c r="U149" s="286"/>
      <c r="V149" s="286"/>
      <c r="W149" s="286"/>
    </row>
    <row r="150">
      <c r="A150" s="286"/>
      <c r="B150" s="286"/>
      <c r="C150" s="286"/>
      <c r="D150" s="286"/>
      <c r="E150" s="286"/>
      <c r="F150" s="286"/>
      <c r="G150" s="286"/>
      <c r="H150" s="286"/>
      <c r="I150" s="286"/>
      <c r="J150" s="286"/>
      <c r="K150" s="399"/>
      <c r="L150" s="399"/>
      <c r="M150" s="286"/>
      <c r="N150" s="286"/>
      <c r="O150" s="286"/>
      <c r="P150" s="286"/>
      <c r="Q150" s="286"/>
      <c r="R150" s="286"/>
      <c r="S150" s="286"/>
      <c r="T150" s="286"/>
      <c r="U150" s="286"/>
      <c r="V150" s="286"/>
      <c r="W150" s="286"/>
    </row>
    <row r="151">
      <c r="A151" s="286"/>
      <c r="B151" s="286"/>
      <c r="C151" s="286"/>
      <c r="D151" s="286"/>
      <c r="E151" s="286"/>
      <c r="F151" s="286"/>
      <c r="G151" s="286"/>
      <c r="H151" s="286"/>
      <c r="I151" s="286"/>
      <c r="J151" s="286"/>
      <c r="K151" s="399"/>
      <c r="L151" s="399"/>
      <c r="M151" s="286"/>
      <c r="N151" s="286"/>
      <c r="O151" s="286"/>
      <c r="P151" s="286"/>
      <c r="Q151" s="286"/>
      <c r="R151" s="286"/>
      <c r="S151" s="286"/>
      <c r="T151" s="286"/>
      <c r="U151" s="286"/>
      <c r="V151" s="286"/>
      <c r="W151" s="286"/>
    </row>
    <row r="152">
      <c r="A152" s="286"/>
      <c r="B152" s="286"/>
      <c r="C152" s="286"/>
      <c r="D152" s="286"/>
      <c r="E152" s="286"/>
      <c r="F152" s="286"/>
      <c r="G152" s="286"/>
      <c r="H152" s="286"/>
      <c r="I152" s="286"/>
      <c r="J152" s="286"/>
      <c r="K152" s="399"/>
      <c r="L152" s="399"/>
      <c r="M152" s="286"/>
      <c r="N152" s="286"/>
      <c r="O152" s="286"/>
      <c r="P152" s="286"/>
      <c r="Q152" s="286"/>
      <c r="R152" s="286"/>
      <c r="S152" s="286"/>
      <c r="T152" s="286"/>
      <c r="U152" s="286"/>
      <c r="V152" s="286"/>
      <c r="W152" s="286"/>
    </row>
    <row r="153">
      <c r="A153" s="286"/>
      <c r="B153" s="286"/>
      <c r="C153" s="286"/>
      <c r="D153" s="286"/>
      <c r="E153" s="286"/>
      <c r="F153" s="286"/>
      <c r="G153" s="286"/>
      <c r="H153" s="286"/>
      <c r="I153" s="286"/>
      <c r="J153" s="286"/>
      <c r="K153" s="399"/>
      <c r="L153" s="399"/>
      <c r="M153" s="286"/>
      <c r="N153" s="286"/>
      <c r="O153" s="286"/>
      <c r="P153" s="286"/>
      <c r="Q153" s="286"/>
      <c r="R153" s="286"/>
      <c r="S153" s="286"/>
      <c r="T153" s="286"/>
      <c r="U153" s="286"/>
      <c r="V153" s="286"/>
      <c r="W153" s="286"/>
    </row>
    <row r="154">
      <c r="A154" s="286"/>
      <c r="B154" s="286"/>
      <c r="C154" s="286"/>
      <c r="D154" s="286"/>
      <c r="E154" s="286"/>
      <c r="F154" s="286"/>
      <c r="G154" s="286"/>
      <c r="H154" s="286"/>
      <c r="I154" s="286"/>
      <c r="J154" s="286"/>
      <c r="K154" s="399"/>
      <c r="L154" s="399"/>
      <c r="M154" s="286"/>
      <c r="N154" s="286"/>
      <c r="O154" s="286"/>
      <c r="P154" s="286"/>
      <c r="Q154" s="286"/>
      <c r="R154" s="286"/>
      <c r="S154" s="286"/>
      <c r="T154" s="286"/>
      <c r="U154" s="286"/>
      <c r="V154" s="286"/>
      <c r="W154" s="286"/>
    </row>
    <row r="155">
      <c r="A155" s="286"/>
      <c r="B155" s="286"/>
      <c r="C155" s="286"/>
      <c r="D155" s="286"/>
      <c r="E155" s="286"/>
      <c r="F155" s="286"/>
      <c r="G155" s="286"/>
      <c r="H155" s="286"/>
      <c r="I155" s="286"/>
      <c r="J155" s="286"/>
      <c r="K155" s="399"/>
      <c r="L155" s="399"/>
      <c r="M155" s="286"/>
      <c r="N155" s="286"/>
      <c r="O155" s="286"/>
      <c r="P155" s="286"/>
      <c r="Q155" s="286"/>
      <c r="R155" s="286"/>
      <c r="S155" s="286"/>
      <c r="T155" s="286"/>
      <c r="U155" s="286"/>
      <c r="V155" s="286"/>
      <c r="W155" s="286"/>
    </row>
    <row r="156">
      <c r="A156" s="286"/>
      <c r="B156" s="286"/>
      <c r="C156" s="286"/>
      <c r="D156" s="286"/>
      <c r="E156" s="286"/>
      <c r="F156" s="286"/>
      <c r="G156" s="286"/>
      <c r="H156" s="286"/>
      <c r="I156" s="286"/>
      <c r="J156" s="286"/>
      <c r="K156" s="399"/>
      <c r="L156" s="399"/>
      <c r="M156" s="286"/>
      <c r="N156" s="286"/>
      <c r="O156" s="286"/>
      <c r="P156" s="286"/>
      <c r="Q156" s="286"/>
      <c r="R156" s="286"/>
      <c r="S156" s="286"/>
      <c r="T156" s="286"/>
      <c r="U156" s="286"/>
      <c r="V156" s="286"/>
      <c r="W156" s="286"/>
    </row>
    <row r="157">
      <c r="A157" s="286"/>
      <c r="B157" s="286"/>
      <c r="C157" s="286"/>
      <c r="D157" s="286"/>
      <c r="E157" s="286"/>
      <c r="F157" s="286"/>
      <c r="G157" s="286"/>
      <c r="H157" s="286"/>
      <c r="I157" s="286"/>
      <c r="J157" s="286"/>
      <c r="K157" s="399"/>
      <c r="L157" s="399"/>
      <c r="M157" s="286"/>
      <c r="N157" s="286"/>
      <c r="O157" s="286"/>
      <c r="P157" s="286"/>
      <c r="Q157" s="286"/>
      <c r="R157" s="286"/>
      <c r="S157" s="286"/>
      <c r="T157" s="286"/>
      <c r="U157" s="286"/>
      <c r="V157" s="286"/>
      <c r="W157" s="286"/>
    </row>
    <row r="158">
      <c r="A158" s="286"/>
      <c r="B158" s="286"/>
      <c r="C158" s="286"/>
      <c r="D158" s="286"/>
      <c r="E158" s="286"/>
      <c r="F158" s="286"/>
      <c r="G158" s="286"/>
      <c r="H158" s="286"/>
      <c r="I158" s="286"/>
      <c r="J158" s="286"/>
      <c r="K158" s="399"/>
      <c r="L158" s="399"/>
      <c r="M158" s="286"/>
      <c r="N158" s="286"/>
      <c r="O158" s="286"/>
      <c r="P158" s="286"/>
      <c r="Q158" s="286"/>
      <c r="R158" s="286"/>
      <c r="S158" s="286"/>
      <c r="T158" s="286"/>
      <c r="U158" s="286"/>
      <c r="V158" s="286"/>
      <c r="W158" s="286"/>
    </row>
    <row r="159">
      <c r="A159" s="286"/>
      <c r="B159" s="286"/>
      <c r="C159" s="286"/>
      <c r="D159" s="286"/>
      <c r="E159" s="286"/>
      <c r="F159" s="286"/>
      <c r="G159" s="286"/>
      <c r="H159" s="286"/>
      <c r="I159" s="286"/>
      <c r="J159" s="286"/>
      <c r="K159" s="399"/>
      <c r="L159" s="399"/>
      <c r="M159" s="286"/>
      <c r="N159" s="286"/>
      <c r="O159" s="286"/>
      <c r="P159" s="286"/>
      <c r="Q159" s="286"/>
      <c r="R159" s="286"/>
      <c r="S159" s="286"/>
      <c r="T159" s="286"/>
      <c r="U159" s="286"/>
      <c r="V159" s="286"/>
      <c r="W159" s="286"/>
    </row>
    <row r="160">
      <c r="A160" s="286"/>
      <c r="B160" s="286"/>
      <c r="C160" s="286"/>
      <c r="D160" s="286"/>
      <c r="E160" s="286"/>
      <c r="F160" s="286"/>
      <c r="G160" s="286"/>
      <c r="H160" s="286"/>
      <c r="I160" s="286"/>
      <c r="J160" s="286"/>
      <c r="K160" s="399"/>
      <c r="L160" s="399"/>
      <c r="M160" s="286"/>
      <c r="N160" s="286"/>
      <c r="O160" s="286"/>
      <c r="P160" s="286"/>
      <c r="Q160" s="286"/>
      <c r="R160" s="286"/>
      <c r="S160" s="286"/>
      <c r="T160" s="286"/>
      <c r="U160" s="286"/>
      <c r="V160" s="286"/>
      <c r="W160" s="286"/>
    </row>
    <row r="161">
      <c r="A161" s="286"/>
      <c r="B161" s="286"/>
      <c r="C161" s="286"/>
      <c r="D161" s="286"/>
      <c r="E161" s="286"/>
      <c r="F161" s="286"/>
      <c r="G161" s="286"/>
      <c r="H161" s="286"/>
      <c r="I161" s="286"/>
      <c r="J161" s="286"/>
      <c r="K161" s="399"/>
      <c r="L161" s="399"/>
      <c r="M161" s="286"/>
      <c r="N161" s="286"/>
      <c r="O161" s="286"/>
      <c r="P161" s="286"/>
      <c r="Q161" s="286"/>
      <c r="R161" s="286"/>
      <c r="S161" s="286"/>
      <c r="T161" s="286"/>
      <c r="U161" s="286"/>
      <c r="V161" s="286"/>
      <c r="W161" s="286"/>
    </row>
    <row r="162">
      <c r="A162" s="286"/>
      <c r="B162" s="286"/>
      <c r="C162" s="286"/>
      <c r="D162" s="286"/>
      <c r="E162" s="286"/>
      <c r="F162" s="286"/>
      <c r="G162" s="286"/>
      <c r="H162" s="286"/>
      <c r="I162" s="286"/>
      <c r="J162" s="286"/>
      <c r="K162" s="399"/>
      <c r="L162" s="399"/>
      <c r="M162" s="286"/>
      <c r="N162" s="286"/>
      <c r="O162" s="286"/>
      <c r="P162" s="286"/>
      <c r="Q162" s="286"/>
      <c r="R162" s="286"/>
      <c r="S162" s="286"/>
      <c r="T162" s="286"/>
      <c r="U162" s="286"/>
      <c r="V162" s="286"/>
      <c r="W162" s="286"/>
    </row>
    <row r="163">
      <c r="A163" s="286"/>
      <c r="B163" s="286"/>
      <c r="C163" s="286"/>
      <c r="D163" s="286"/>
      <c r="E163" s="286"/>
      <c r="F163" s="286"/>
      <c r="G163" s="286"/>
      <c r="H163" s="286"/>
      <c r="I163" s="286"/>
      <c r="J163" s="286"/>
      <c r="K163" s="399"/>
      <c r="L163" s="399"/>
      <c r="M163" s="286"/>
      <c r="N163" s="286"/>
      <c r="O163" s="286"/>
      <c r="P163" s="286"/>
      <c r="Q163" s="286"/>
      <c r="R163" s="286"/>
      <c r="S163" s="286"/>
      <c r="T163" s="286"/>
      <c r="U163" s="286"/>
      <c r="V163" s="286"/>
      <c r="W163" s="286"/>
    </row>
    <row r="164">
      <c r="A164" s="286"/>
      <c r="B164" s="286"/>
      <c r="C164" s="286"/>
      <c r="D164" s="286"/>
      <c r="E164" s="286"/>
      <c r="F164" s="286"/>
      <c r="G164" s="286"/>
      <c r="H164" s="286"/>
      <c r="I164" s="286"/>
      <c r="J164" s="286"/>
      <c r="K164" s="399"/>
      <c r="L164" s="399"/>
      <c r="M164" s="286"/>
      <c r="N164" s="286"/>
      <c r="O164" s="286"/>
      <c r="P164" s="286"/>
      <c r="Q164" s="286"/>
      <c r="R164" s="286"/>
      <c r="S164" s="286"/>
      <c r="T164" s="286"/>
      <c r="U164" s="286"/>
      <c r="V164" s="286"/>
      <c r="W164" s="286"/>
    </row>
    <row r="165">
      <c r="A165" s="286"/>
      <c r="B165" s="286"/>
      <c r="C165" s="286"/>
      <c r="D165" s="286"/>
      <c r="E165" s="286"/>
      <c r="F165" s="286"/>
      <c r="G165" s="286"/>
      <c r="H165" s="286"/>
      <c r="I165" s="286"/>
      <c r="J165" s="286"/>
      <c r="K165" s="399"/>
      <c r="L165" s="399"/>
      <c r="M165" s="286"/>
      <c r="N165" s="286"/>
      <c r="O165" s="286"/>
      <c r="P165" s="286"/>
      <c r="Q165" s="286"/>
      <c r="R165" s="286"/>
      <c r="S165" s="286"/>
      <c r="T165" s="286"/>
      <c r="U165" s="286"/>
      <c r="V165" s="286"/>
      <c r="W165" s="286"/>
    </row>
    <row r="166">
      <c r="A166" s="286"/>
      <c r="B166" s="286"/>
      <c r="C166" s="286"/>
      <c r="D166" s="286"/>
      <c r="E166" s="286"/>
      <c r="F166" s="286"/>
      <c r="G166" s="286"/>
      <c r="H166" s="286"/>
      <c r="I166" s="286"/>
      <c r="J166" s="286"/>
      <c r="K166" s="399"/>
      <c r="L166" s="399"/>
      <c r="M166" s="286"/>
      <c r="N166" s="286"/>
      <c r="O166" s="286"/>
      <c r="P166" s="286"/>
      <c r="Q166" s="286"/>
      <c r="R166" s="286"/>
      <c r="S166" s="286"/>
      <c r="T166" s="286"/>
      <c r="U166" s="286"/>
      <c r="V166" s="286"/>
      <c r="W166" s="286"/>
    </row>
    <row r="167">
      <c r="A167" s="286"/>
      <c r="B167" s="286"/>
      <c r="C167" s="286"/>
      <c r="D167" s="286"/>
      <c r="E167" s="286"/>
      <c r="F167" s="286"/>
      <c r="G167" s="286"/>
      <c r="H167" s="286"/>
      <c r="I167" s="286"/>
      <c r="J167" s="286"/>
      <c r="K167" s="399"/>
      <c r="L167" s="399"/>
      <c r="M167" s="286"/>
      <c r="N167" s="286"/>
      <c r="O167" s="286"/>
      <c r="P167" s="286"/>
      <c r="Q167" s="286"/>
      <c r="R167" s="286"/>
      <c r="S167" s="286"/>
      <c r="T167" s="286"/>
      <c r="U167" s="286"/>
      <c r="V167" s="286"/>
      <c r="W167" s="286"/>
    </row>
    <row r="168">
      <c r="A168" s="286"/>
      <c r="B168" s="286"/>
      <c r="C168" s="286"/>
      <c r="D168" s="286"/>
      <c r="E168" s="286"/>
      <c r="F168" s="286"/>
      <c r="G168" s="286"/>
      <c r="H168" s="286"/>
      <c r="I168" s="286"/>
      <c r="J168" s="286"/>
      <c r="K168" s="399"/>
      <c r="L168" s="399"/>
      <c r="M168" s="286"/>
      <c r="N168" s="286"/>
      <c r="O168" s="286"/>
      <c r="P168" s="286"/>
      <c r="Q168" s="286"/>
      <c r="R168" s="286"/>
      <c r="S168" s="286"/>
      <c r="T168" s="286"/>
      <c r="U168" s="286"/>
      <c r="V168" s="286"/>
      <c r="W168" s="286"/>
    </row>
    <row r="169">
      <c r="A169" s="286"/>
      <c r="B169" s="286"/>
      <c r="C169" s="286"/>
      <c r="D169" s="286"/>
      <c r="E169" s="286"/>
      <c r="F169" s="286"/>
      <c r="G169" s="286"/>
      <c r="H169" s="286"/>
      <c r="I169" s="286"/>
      <c r="J169" s="286"/>
      <c r="K169" s="399"/>
      <c r="L169" s="399"/>
      <c r="M169" s="286"/>
      <c r="N169" s="286"/>
      <c r="O169" s="286"/>
      <c r="P169" s="286"/>
      <c r="Q169" s="286"/>
      <c r="R169" s="286"/>
      <c r="S169" s="286"/>
      <c r="T169" s="286"/>
      <c r="U169" s="286"/>
      <c r="V169" s="286"/>
      <c r="W169" s="286"/>
    </row>
    <row r="170">
      <c r="A170" s="286"/>
      <c r="B170" s="286"/>
      <c r="C170" s="286"/>
      <c r="D170" s="286"/>
      <c r="E170" s="286"/>
      <c r="F170" s="286"/>
      <c r="G170" s="286"/>
      <c r="H170" s="286"/>
      <c r="I170" s="286"/>
      <c r="J170" s="286"/>
      <c r="K170" s="399"/>
      <c r="L170" s="399"/>
      <c r="M170" s="286"/>
      <c r="N170" s="286"/>
      <c r="O170" s="286"/>
      <c r="P170" s="286"/>
      <c r="Q170" s="286"/>
      <c r="R170" s="286"/>
      <c r="S170" s="286"/>
      <c r="T170" s="286"/>
      <c r="U170" s="286"/>
      <c r="V170" s="286"/>
      <c r="W170" s="286"/>
    </row>
    <row r="171">
      <c r="A171" s="286"/>
      <c r="B171" s="286"/>
      <c r="C171" s="286"/>
      <c r="D171" s="286"/>
      <c r="E171" s="286"/>
      <c r="F171" s="286"/>
      <c r="G171" s="286"/>
      <c r="H171" s="286"/>
      <c r="I171" s="286"/>
      <c r="J171" s="286"/>
      <c r="K171" s="399"/>
      <c r="L171" s="399"/>
      <c r="M171" s="286"/>
      <c r="N171" s="286"/>
      <c r="O171" s="286"/>
      <c r="P171" s="286"/>
      <c r="Q171" s="286"/>
      <c r="R171" s="286"/>
      <c r="S171" s="286"/>
      <c r="T171" s="286"/>
      <c r="U171" s="286"/>
      <c r="V171" s="286"/>
      <c r="W171" s="286"/>
    </row>
    <row r="172">
      <c r="A172" s="286"/>
      <c r="B172" s="286"/>
      <c r="C172" s="286"/>
      <c r="D172" s="286"/>
      <c r="E172" s="286"/>
      <c r="F172" s="286"/>
      <c r="G172" s="286"/>
      <c r="H172" s="286"/>
      <c r="I172" s="286"/>
      <c r="J172" s="286"/>
      <c r="K172" s="399"/>
      <c r="L172" s="399"/>
      <c r="M172" s="286"/>
      <c r="N172" s="286"/>
      <c r="O172" s="286"/>
      <c r="P172" s="286"/>
      <c r="Q172" s="286"/>
      <c r="R172" s="286"/>
      <c r="S172" s="286"/>
      <c r="T172" s="286"/>
      <c r="U172" s="286"/>
      <c r="V172" s="286"/>
      <c r="W172" s="286"/>
    </row>
    <row r="173">
      <c r="A173" s="286"/>
      <c r="B173" s="286"/>
      <c r="C173" s="286"/>
      <c r="D173" s="286"/>
      <c r="E173" s="286"/>
      <c r="F173" s="286"/>
      <c r="G173" s="286"/>
      <c r="H173" s="286"/>
      <c r="I173" s="286"/>
      <c r="J173" s="286"/>
      <c r="K173" s="399"/>
      <c r="L173" s="399"/>
      <c r="M173" s="286"/>
      <c r="N173" s="286"/>
      <c r="O173" s="286"/>
      <c r="P173" s="286"/>
      <c r="Q173" s="286"/>
      <c r="R173" s="286"/>
      <c r="S173" s="286"/>
      <c r="T173" s="286"/>
      <c r="U173" s="286"/>
      <c r="V173" s="286"/>
      <c r="W173" s="286"/>
    </row>
    <row r="174">
      <c r="A174" s="286"/>
      <c r="B174" s="286"/>
      <c r="C174" s="286"/>
      <c r="D174" s="286"/>
      <c r="E174" s="286"/>
      <c r="F174" s="286"/>
      <c r="G174" s="286"/>
      <c r="H174" s="286"/>
      <c r="I174" s="286"/>
      <c r="J174" s="286"/>
      <c r="K174" s="399"/>
      <c r="L174" s="399"/>
      <c r="M174" s="286"/>
      <c r="N174" s="286"/>
      <c r="O174" s="286"/>
      <c r="P174" s="286"/>
      <c r="Q174" s="286"/>
      <c r="R174" s="286"/>
      <c r="S174" s="286"/>
      <c r="T174" s="286"/>
      <c r="U174" s="286"/>
      <c r="V174" s="286"/>
      <c r="W174" s="286"/>
    </row>
    <row r="175">
      <c r="A175" s="286"/>
      <c r="B175" s="286"/>
      <c r="C175" s="286"/>
      <c r="D175" s="286"/>
      <c r="E175" s="286"/>
      <c r="F175" s="286"/>
      <c r="G175" s="286"/>
      <c r="H175" s="286"/>
      <c r="I175" s="286"/>
      <c r="J175" s="286"/>
      <c r="K175" s="399"/>
      <c r="L175" s="399"/>
      <c r="M175" s="286"/>
      <c r="N175" s="286"/>
      <c r="O175" s="286"/>
      <c r="P175" s="286"/>
      <c r="Q175" s="286"/>
      <c r="R175" s="286"/>
      <c r="S175" s="286"/>
      <c r="T175" s="286"/>
      <c r="U175" s="286"/>
      <c r="V175" s="286"/>
      <c r="W175" s="286"/>
    </row>
    <row r="176">
      <c r="A176" s="286"/>
      <c r="B176" s="286"/>
      <c r="C176" s="286"/>
      <c r="D176" s="286"/>
      <c r="E176" s="286"/>
      <c r="F176" s="286"/>
      <c r="G176" s="286"/>
      <c r="H176" s="286"/>
      <c r="I176" s="286"/>
      <c r="J176" s="286"/>
      <c r="K176" s="399"/>
      <c r="L176" s="399"/>
      <c r="M176" s="286"/>
      <c r="N176" s="286"/>
      <c r="O176" s="286"/>
      <c r="P176" s="286"/>
      <c r="Q176" s="286"/>
      <c r="R176" s="286"/>
      <c r="S176" s="286"/>
      <c r="T176" s="286"/>
      <c r="U176" s="286"/>
      <c r="V176" s="286"/>
      <c r="W176" s="286"/>
    </row>
    <row r="177">
      <c r="A177" s="286"/>
      <c r="B177" s="286"/>
      <c r="C177" s="286"/>
      <c r="D177" s="286"/>
      <c r="E177" s="286"/>
      <c r="F177" s="286"/>
      <c r="G177" s="286"/>
      <c r="H177" s="286"/>
      <c r="I177" s="286"/>
      <c r="J177" s="286"/>
      <c r="K177" s="399"/>
      <c r="L177" s="399"/>
      <c r="M177" s="286"/>
      <c r="N177" s="286"/>
      <c r="O177" s="286"/>
      <c r="P177" s="286"/>
      <c r="Q177" s="286"/>
      <c r="R177" s="286"/>
      <c r="S177" s="286"/>
      <c r="T177" s="286"/>
      <c r="U177" s="286"/>
      <c r="V177" s="286"/>
      <c r="W177" s="286"/>
    </row>
    <row r="178">
      <c r="A178" s="286"/>
      <c r="B178" s="286"/>
      <c r="C178" s="286"/>
      <c r="D178" s="286"/>
      <c r="E178" s="286"/>
      <c r="F178" s="286"/>
      <c r="G178" s="286"/>
      <c r="H178" s="286"/>
      <c r="I178" s="286"/>
      <c r="J178" s="286"/>
      <c r="K178" s="399"/>
      <c r="L178" s="399"/>
      <c r="M178" s="286"/>
      <c r="N178" s="286"/>
      <c r="O178" s="286"/>
      <c r="P178" s="286"/>
      <c r="Q178" s="286"/>
      <c r="R178" s="286"/>
      <c r="S178" s="286"/>
      <c r="T178" s="286"/>
      <c r="U178" s="286"/>
      <c r="V178" s="286"/>
      <c r="W178" s="286"/>
    </row>
    <row r="179">
      <c r="A179" s="286"/>
      <c r="B179" s="286"/>
      <c r="C179" s="286"/>
      <c r="D179" s="286"/>
      <c r="E179" s="286"/>
      <c r="F179" s="286"/>
      <c r="G179" s="286"/>
      <c r="H179" s="286"/>
      <c r="I179" s="286"/>
      <c r="J179" s="286"/>
      <c r="K179" s="399"/>
      <c r="L179" s="399"/>
      <c r="M179" s="286"/>
      <c r="N179" s="286"/>
      <c r="O179" s="286"/>
      <c r="P179" s="286"/>
      <c r="Q179" s="286"/>
      <c r="R179" s="286"/>
      <c r="S179" s="286"/>
      <c r="T179" s="286"/>
      <c r="U179" s="286"/>
      <c r="V179" s="286"/>
      <c r="W179" s="286"/>
    </row>
    <row r="180">
      <c r="A180" s="286"/>
      <c r="B180" s="286"/>
      <c r="C180" s="286"/>
      <c r="D180" s="286"/>
      <c r="E180" s="286"/>
      <c r="F180" s="286"/>
      <c r="G180" s="286"/>
      <c r="H180" s="286"/>
      <c r="I180" s="286"/>
      <c r="J180" s="286"/>
      <c r="K180" s="399"/>
      <c r="L180" s="399"/>
      <c r="M180" s="286"/>
      <c r="N180" s="286"/>
      <c r="O180" s="286"/>
      <c r="P180" s="286"/>
      <c r="Q180" s="286"/>
      <c r="R180" s="286"/>
      <c r="S180" s="286"/>
      <c r="T180" s="286"/>
      <c r="U180" s="286"/>
      <c r="V180" s="286"/>
      <c r="W180" s="286"/>
    </row>
    <row r="181">
      <c r="A181" s="286"/>
      <c r="B181" s="286"/>
      <c r="C181" s="286"/>
      <c r="D181" s="286"/>
      <c r="E181" s="286"/>
      <c r="F181" s="286"/>
      <c r="G181" s="286"/>
      <c r="H181" s="286"/>
      <c r="I181" s="286"/>
      <c r="J181" s="286"/>
      <c r="K181" s="399"/>
      <c r="L181" s="399"/>
      <c r="M181" s="286"/>
      <c r="N181" s="286"/>
      <c r="O181" s="286"/>
      <c r="P181" s="286"/>
      <c r="Q181" s="286"/>
      <c r="R181" s="286"/>
      <c r="S181" s="286"/>
      <c r="T181" s="286"/>
      <c r="U181" s="286"/>
      <c r="V181" s="286"/>
      <c r="W181" s="286"/>
    </row>
    <row r="182">
      <c r="A182" s="286"/>
      <c r="B182" s="286"/>
      <c r="C182" s="286"/>
      <c r="D182" s="286"/>
      <c r="E182" s="286"/>
      <c r="F182" s="286"/>
      <c r="G182" s="286"/>
      <c r="H182" s="286"/>
      <c r="I182" s="286"/>
      <c r="J182" s="286"/>
      <c r="K182" s="399"/>
      <c r="L182" s="399"/>
      <c r="M182" s="286"/>
      <c r="N182" s="286"/>
      <c r="O182" s="286"/>
      <c r="P182" s="286"/>
      <c r="Q182" s="286"/>
      <c r="R182" s="286"/>
      <c r="S182" s="286"/>
      <c r="T182" s="286"/>
      <c r="U182" s="286"/>
      <c r="V182" s="286"/>
      <c r="W182" s="286"/>
    </row>
    <row r="183">
      <c r="A183" s="286"/>
      <c r="B183" s="286"/>
      <c r="C183" s="286"/>
      <c r="D183" s="286"/>
      <c r="E183" s="286"/>
      <c r="F183" s="286"/>
      <c r="G183" s="286"/>
      <c r="H183" s="286"/>
      <c r="I183" s="286"/>
      <c r="J183" s="286"/>
      <c r="K183" s="399"/>
      <c r="L183" s="399"/>
      <c r="M183" s="286"/>
      <c r="N183" s="286"/>
      <c r="O183" s="286"/>
      <c r="P183" s="286"/>
      <c r="Q183" s="286"/>
      <c r="R183" s="286"/>
      <c r="S183" s="286"/>
      <c r="T183" s="286"/>
      <c r="U183" s="286"/>
      <c r="V183" s="286"/>
      <c r="W183" s="286"/>
    </row>
    <row r="184">
      <c r="A184" s="286"/>
      <c r="B184" s="286"/>
      <c r="C184" s="286"/>
      <c r="D184" s="286"/>
      <c r="E184" s="286"/>
      <c r="F184" s="286"/>
      <c r="G184" s="286"/>
      <c r="H184" s="286"/>
      <c r="I184" s="286"/>
      <c r="J184" s="286"/>
      <c r="K184" s="399"/>
      <c r="L184" s="399"/>
      <c r="M184" s="286"/>
      <c r="N184" s="286"/>
      <c r="O184" s="286"/>
      <c r="P184" s="286"/>
      <c r="Q184" s="286"/>
      <c r="R184" s="286"/>
      <c r="S184" s="286"/>
      <c r="T184" s="286"/>
      <c r="U184" s="286"/>
      <c r="V184" s="286"/>
      <c r="W184" s="286"/>
    </row>
    <row r="185">
      <c r="A185" s="286"/>
      <c r="B185" s="286"/>
      <c r="C185" s="286"/>
      <c r="D185" s="286"/>
      <c r="E185" s="286"/>
      <c r="F185" s="286"/>
      <c r="G185" s="286"/>
      <c r="H185" s="286"/>
      <c r="I185" s="286"/>
      <c r="J185" s="286"/>
      <c r="K185" s="399"/>
      <c r="L185" s="399"/>
      <c r="M185" s="286"/>
      <c r="N185" s="286"/>
      <c r="O185" s="286"/>
      <c r="P185" s="286"/>
      <c r="Q185" s="286"/>
      <c r="R185" s="286"/>
      <c r="S185" s="286"/>
      <c r="T185" s="286"/>
      <c r="U185" s="286"/>
      <c r="V185" s="286"/>
      <c r="W185" s="286"/>
    </row>
    <row r="186">
      <c r="A186" s="286"/>
      <c r="B186" s="286"/>
      <c r="C186" s="286"/>
      <c r="D186" s="286"/>
      <c r="E186" s="286"/>
      <c r="F186" s="286"/>
      <c r="G186" s="286"/>
      <c r="H186" s="286"/>
      <c r="I186" s="286"/>
      <c r="J186" s="286"/>
      <c r="K186" s="399"/>
      <c r="L186" s="399"/>
      <c r="M186" s="286"/>
      <c r="N186" s="286"/>
      <c r="O186" s="286"/>
      <c r="P186" s="286"/>
      <c r="Q186" s="286"/>
      <c r="R186" s="286"/>
      <c r="S186" s="286"/>
      <c r="T186" s="286"/>
      <c r="U186" s="286"/>
      <c r="V186" s="286"/>
      <c r="W186" s="286"/>
    </row>
    <row r="187">
      <c r="A187" s="286"/>
      <c r="B187" s="286"/>
      <c r="C187" s="286"/>
      <c r="D187" s="286"/>
      <c r="E187" s="286"/>
      <c r="F187" s="286"/>
      <c r="G187" s="286"/>
      <c r="H187" s="286"/>
      <c r="I187" s="286"/>
      <c r="J187" s="286"/>
      <c r="K187" s="399"/>
      <c r="L187" s="399"/>
      <c r="M187" s="286"/>
      <c r="N187" s="286"/>
      <c r="O187" s="286"/>
      <c r="P187" s="286"/>
      <c r="Q187" s="286"/>
      <c r="R187" s="286"/>
      <c r="S187" s="286"/>
      <c r="T187" s="286"/>
      <c r="U187" s="286"/>
      <c r="V187" s="286"/>
      <c r="W187" s="286"/>
    </row>
    <row r="188">
      <c r="A188" s="286"/>
      <c r="B188" s="286"/>
      <c r="C188" s="286"/>
      <c r="D188" s="286"/>
      <c r="E188" s="286"/>
      <c r="F188" s="286"/>
      <c r="G188" s="286"/>
      <c r="H188" s="286"/>
      <c r="I188" s="286"/>
      <c r="J188" s="286"/>
      <c r="K188" s="399"/>
      <c r="L188" s="399"/>
      <c r="M188" s="286"/>
      <c r="N188" s="286"/>
      <c r="O188" s="286"/>
      <c r="P188" s="286"/>
      <c r="Q188" s="286"/>
      <c r="R188" s="286"/>
      <c r="S188" s="286"/>
      <c r="T188" s="286"/>
      <c r="U188" s="286"/>
      <c r="V188" s="286"/>
      <c r="W188" s="286"/>
    </row>
    <row r="189">
      <c r="A189" s="286"/>
      <c r="B189" s="286"/>
      <c r="C189" s="286"/>
      <c r="D189" s="286"/>
      <c r="E189" s="286"/>
      <c r="F189" s="286"/>
      <c r="G189" s="286"/>
      <c r="H189" s="286"/>
      <c r="I189" s="286"/>
      <c r="J189" s="286"/>
      <c r="K189" s="399"/>
      <c r="L189" s="399"/>
      <c r="M189" s="286"/>
      <c r="N189" s="286"/>
      <c r="O189" s="286"/>
      <c r="P189" s="286"/>
      <c r="Q189" s="286"/>
      <c r="R189" s="286"/>
      <c r="S189" s="286"/>
      <c r="T189" s="286"/>
      <c r="U189" s="286"/>
      <c r="V189" s="286"/>
      <c r="W189" s="286"/>
    </row>
    <row r="190">
      <c r="A190" s="286"/>
      <c r="B190" s="286"/>
      <c r="C190" s="286"/>
      <c r="D190" s="286"/>
      <c r="E190" s="286"/>
      <c r="F190" s="286"/>
      <c r="G190" s="286"/>
      <c r="H190" s="286"/>
      <c r="I190" s="286"/>
      <c r="J190" s="286"/>
      <c r="K190" s="399"/>
      <c r="L190" s="399"/>
      <c r="M190" s="286"/>
      <c r="N190" s="286"/>
      <c r="O190" s="286"/>
      <c r="P190" s="286"/>
      <c r="Q190" s="286"/>
      <c r="R190" s="286"/>
      <c r="S190" s="286"/>
      <c r="T190" s="286"/>
      <c r="U190" s="286"/>
      <c r="V190" s="286"/>
      <c r="W190" s="286"/>
    </row>
    <row r="191">
      <c r="A191" s="286"/>
      <c r="B191" s="286"/>
      <c r="C191" s="286"/>
      <c r="D191" s="286"/>
      <c r="E191" s="286"/>
      <c r="F191" s="286"/>
      <c r="G191" s="286"/>
      <c r="H191" s="286"/>
      <c r="I191" s="286"/>
      <c r="J191" s="286"/>
      <c r="K191" s="399"/>
      <c r="L191" s="399"/>
      <c r="M191" s="286"/>
      <c r="N191" s="286"/>
      <c r="O191" s="286"/>
      <c r="P191" s="286"/>
      <c r="Q191" s="286"/>
      <c r="R191" s="286"/>
      <c r="S191" s="286"/>
      <c r="T191" s="286"/>
      <c r="U191" s="286"/>
      <c r="V191" s="286"/>
      <c r="W191" s="286"/>
    </row>
    <row r="192">
      <c r="A192" s="286"/>
      <c r="B192" s="286"/>
      <c r="C192" s="286"/>
      <c r="D192" s="286"/>
      <c r="E192" s="286"/>
      <c r="F192" s="286"/>
      <c r="G192" s="286"/>
      <c r="H192" s="286"/>
      <c r="I192" s="286"/>
      <c r="J192" s="286"/>
      <c r="K192" s="399"/>
      <c r="L192" s="399"/>
      <c r="M192" s="286"/>
      <c r="N192" s="286"/>
      <c r="O192" s="286"/>
      <c r="P192" s="286"/>
      <c r="Q192" s="286"/>
      <c r="R192" s="286"/>
      <c r="S192" s="286"/>
      <c r="T192" s="286"/>
      <c r="U192" s="286"/>
      <c r="V192" s="286"/>
      <c r="W192" s="286"/>
    </row>
    <row r="193">
      <c r="A193" s="286"/>
      <c r="B193" s="286"/>
      <c r="C193" s="286"/>
      <c r="D193" s="286"/>
      <c r="E193" s="286"/>
      <c r="F193" s="286"/>
      <c r="G193" s="286"/>
      <c r="H193" s="286"/>
      <c r="I193" s="286"/>
      <c r="J193" s="286"/>
      <c r="K193" s="399"/>
      <c r="L193" s="399"/>
      <c r="M193" s="286"/>
      <c r="N193" s="286"/>
      <c r="O193" s="286"/>
      <c r="P193" s="286"/>
      <c r="Q193" s="286"/>
      <c r="R193" s="286"/>
      <c r="S193" s="286"/>
      <c r="T193" s="286"/>
      <c r="U193" s="286"/>
      <c r="V193" s="286"/>
      <c r="W193" s="286"/>
    </row>
    <row r="194">
      <c r="A194" s="286"/>
      <c r="B194" s="286"/>
      <c r="C194" s="286"/>
      <c r="D194" s="286"/>
      <c r="E194" s="286"/>
      <c r="F194" s="286"/>
      <c r="G194" s="286"/>
      <c r="H194" s="286"/>
      <c r="I194" s="286"/>
      <c r="J194" s="286"/>
      <c r="K194" s="399"/>
      <c r="L194" s="399"/>
      <c r="M194" s="286"/>
      <c r="N194" s="286"/>
      <c r="O194" s="286"/>
      <c r="P194" s="286"/>
      <c r="Q194" s="286"/>
      <c r="R194" s="286"/>
      <c r="S194" s="286"/>
      <c r="T194" s="286"/>
      <c r="U194" s="286"/>
      <c r="V194" s="286"/>
      <c r="W194" s="286"/>
    </row>
    <row r="195">
      <c r="A195" s="286"/>
      <c r="B195" s="286"/>
      <c r="C195" s="286"/>
      <c r="D195" s="286"/>
      <c r="E195" s="286"/>
      <c r="F195" s="286"/>
      <c r="G195" s="286"/>
      <c r="H195" s="286"/>
      <c r="I195" s="286"/>
      <c r="J195" s="286"/>
      <c r="K195" s="399"/>
      <c r="L195" s="399"/>
      <c r="M195" s="286"/>
      <c r="N195" s="286"/>
      <c r="O195" s="286"/>
      <c r="P195" s="286"/>
      <c r="Q195" s="286"/>
      <c r="R195" s="286"/>
      <c r="S195" s="286"/>
      <c r="T195" s="286"/>
      <c r="U195" s="286"/>
      <c r="V195" s="286"/>
      <c r="W195" s="286"/>
    </row>
    <row r="196">
      <c r="A196" s="286"/>
      <c r="B196" s="286"/>
      <c r="C196" s="286"/>
      <c r="D196" s="286"/>
      <c r="E196" s="286"/>
      <c r="F196" s="286"/>
      <c r="G196" s="286"/>
      <c r="H196" s="286"/>
      <c r="I196" s="286"/>
      <c r="J196" s="286"/>
      <c r="K196" s="399"/>
      <c r="L196" s="399"/>
      <c r="M196" s="286"/>
      <c r="N196" s="286"/>
      <c r="O196" s="286"/>
      <c r="P196" s="286"/>
      <c r="Q196" s="286"/>
      <c r="R196" s="286"/>
      <c r="S196" s="286"/>
      <c r="T196" s="286"/>
      <c r="U196" s="286"/>
      <c r="V196" s="286"/>
      <c r="W196" s="286"/>
    </row>
    <row r="197">
      <c r="A197" s="286"/>
      <c r="B197" s="286"/>
      <c r="C197" s="286"/>
      <c r="D197" s="286"/>
      <c r="E197" s="286"/>
      <c r="F197" s="286"/>
      <c r="G197" s="286"/>
      <c r="H197" s="286"/>
      <c r="I197" s="286"/>
      <c r="J197" s="286"/>
      <c r="K197" s="399"/>
      <c r="L197" s="399"/>
      <c r="M197" s="286"/>
      <c r="N197" s="286"/>
      <c r="O197" s="286"/>
      <c r="P197" s="286"/>
      <c r="Q197" s="286"/>
      <c r="R197" s="286"/>
      <c r="S197" s="286"/>
      <c r="T197" s="286"/>
      <c r="U197" s="286"/>
      <c r="V197" s="286"/>
      <c r="W197" s="286"/>
    </row>
    <row r="198">
      <c r="A198" s="286"/>
      <c r="B198" s="286"/>
      <c r="C198" s="286"/>
      <c r="D198" s="286"/>
      <c r="E198" s="286"/>
      <c r="F198" s="286"/>
      <c r="G198" s="286"/>
      <c r="H198" s="286"/>
      <c r="I198" s="286"/>
      <c r="J198" s="286"/>
      <c r="K198" s="399"/>
      <c r="L198" s="399"/>
      <c r="M198" s="286"/>
      <c r="N198" s="286"/>
      <c r="O198" s="286"/>
      <c r="P198" s="286"/>
      <c r="Q198" s="286"/>
      <c r="R198" s="286"/>
      <c r="S198" s="286"/>
      <c r="T198" s="286"/>
      <c r="U198" s="286"/>
      <c r="V198" s="286"/>
      <c r="W198" s="286"/>
    </row>
    <row r="199">
      <c r="A199" s="286"/>
      <c r="B199" s="286"/>
      <c r="C199" s="286"/>
      <c r="D199" s="286"/>
      <c r="E199" s="286"/>
      <c r="F199" s="286"/>
      <c r="G199" s="286"/>
      <c r="H199" s="286"/>
      <c r="I199" s="286"/>
      <c r="J199" s="286"/>
      <c r="K199" s="399"/>
      <c r="L199" s="399"/>
      <c r="M199" s="286"/>
      <c r="N199" s="286"/>
      <c r="O199" s="286"/>
      <c r="P199" s="286"/>
      <c r="Q199" s="286"/>
      <c r="R199" s="286"/>
      <c r="S199" s="286"/>
      <c r="T199" s="286"/>
      <c r="U199" s="286"/>
      <c r="V199" s="286"/>
      <c r="W199" s="286"/>
    </row>
    <row r="200">
      <c r="A200" s="286"/>
      <c r="B200" s="286"/>
      <c r="C200" s="286"/>
      <c r="D200" s="286"/>
      <c r="E200" s="286"/>
      <c r="F200" s="286"/>
      <c r="G200" s="286"/>
      <c r="H200" s="286"/>
      <c r="I200" s="286"/>
      <c r="J200" s="286"/>
      <c r="K200" s="399"/>
      <c r="L200" s="399"/>
      <c r="M200" s="286"/>
      <c r="N200" s="286"/>
      <c r="O200" s="286"/>
      <c r="P200" s="286"/>
      <c r="Q200" s="286"/>
      <c r="R200" s="286"/>
      <c r="S200" s="286"/>
      <c r="T200" s="286"/>
      <c r="U200" s="286"/>
      <c r="V200" s="286"/>
      <c r="W200" s="286"/>
    </row>
    <row r="201">
      <c r="A201" s="286"/>
      <c r="B201" s="286"/>
      <c r="C201" s="286"/>
      <c r="D201" s="286"/>
      <c r="E201" s="286"/>
      <c r="F201" s="286"/>
      <c r="G201" s="286"/>
      <c r="H201" s="286"/>
      <c r="I201" s="286"/>
      <c r="J201" s="286"/>
      <c r="K201" s="399"/>
      <c r="L201" s="399"/>
      <c r="M201" s="286"/>
      <c r="N201" s="286"/>
      <c r="O201" s="286"/>
      <c r="P201" s="286"/>
      <c r="Q201" s="286"/>
      <c r="R201" s="286"/>
      <c r="S201" s="286"/>
      <c r="T201" s="286"/>
      <c r="U201" s="286"/>
      <c r="V201" s="286"/>
      <c r="W201" s="286"/>
    </row>
    <row r="202">
      <c r="A202" s="286"/>
      <c r="B202" s="286"/>
      <c r="C202" s="286"/>
      <c r="D202" s="286"/>
      <c r="E202" s="286"/>
      <c r="F202" s="286"/>
      <c r="G202" s="286"/>
      <c r="H202" s="286"/>
      <c r="I202" s="286"/>
      <c r="J202" s="286"/>
      <c r="K202" s="399"/>
      <c r="L202" s="399"/>
      <c r="M202" s="286"/>
      <c r="N202" s="286"/>
      <c r="O202" s="286"/>
      <c r="P202" s="286"/>
      <c r="Q202" s="286"/>
      <c r="R202" s="286"/>
      <c r="S202" s="286"/>
      <c r="T202" s="286"/>
      <c r="U202" s="286"/>
      <c r="V202" s="286"/>
      <c r="W202" s="286"/>
    </row>
    <row r="203">
      <c r="A203" s="286"/>
      <c r="B203" s="286"/>
      <c r="C203" s="286"/>
      <c r="D203" s="286"/>
      <c r="E203" s="286"/>
      <c r="F203" s="286"/>
      <c r="G203" s="286"/>
      <c r="H203" s="286"/>
      <c r="I203" s="286"/>
      <c r="J203" s="286"/>
      <c r="K203" s="399"/>
      <c r="L203" s="399"/>
      <c r="M203" s="286"/>
      <c r="N203" s="286"/>
      <c r="O203" s="286"/>
      <c r="P203" s="286"/>
      <c r="Q203" s="286"/>
      <c r="R203" s="286"/>
      <c r="S203" s="286"/>
      <c r="T203" s="286"/>
      <c r="U203" s="286"/>
      <c r="V203" s="286"/>
      <c r="W203" s="286"/>
    </row>
    <row r="204">
      <c r="A204" s="286"/>
      <c r="B204" s="286"/>
      <c r="C204" s="286"/>
      <c r="D204" s="286"/>
      <c r="E204" s="286"/>
      <c r="F204" s="286"/>
      <c r="G204" s="286"/>
      <c r="H204" s="286"/>
      <c r="I204" s="286"/>
      <c r="J204" s="286"/>
      <c r="K204" s="399"/>
      <c r="L204" s="399"/>
      <c r="M204" s="286"/>
      <c r="N204" s="286"/>
      <c r="O204" s="286"/>
      <c r="P204" s="286"/>
      <c r="Q204" s="286"/>
      <c r="R204" s="286"/>
      <c r="S204" s="286"/>
      <c r="T204" s="286"/>
      <c r="U204" s="286"/>
      <c r="V204" s="286"/>
      <c r="W204" s="286"/>
    </row>
    <row r="205">
      <c r="A205" s="286"/>
      <c r="B205" s="286"/>
      <c r="C205" s="286"/>
      <c r="D205" s="286"/>
      <c r="E205" s="286"/>
      <c r="F205" s="286"/>
      <c r="G205" s="286"/>
      <c r="H205" s="286"/>
      <c r="I205" s="286"/>
      <c r="J205" s="286"/>
      <c r="K205" s="399"/>
      <c r="L205" s="399"/>
      <c r="M205" s="286"/>
      <c r="N205" s="286"/>
      <c r="O205" s="286"/>
      <c r="P205" s="286"/>
      <c r="Q205" s="286"/>
      <c r="R205" s="286"/>
      <c r="S205" s="286"/>
      <c r="T205" s="286"/>
      <c r="U205" s="286"/>
      <c r="V205" s="286"/>
      <c r="W205" s="286"/>
    </row>
    <row r="206">
      <c r="A206" s="286"/>
      <c r="B206" s="286"/>
      <c r="C206" s="286"/>
      <c r="D206" s="286"/>
      <c r="E206" s="286"/>
      <c r="F206" s="286"/>
      <c r="G206" s="286"/>
      <c r="H206" s="286"/>
      <c r="I206" s="286"/>
      <c r="J206" s="286"/>
      <c r="K206" s="399"/>
      <c r="L206" s="399"/>
      <c r="M206" s="286"/>
      <c r="N206" s="286"/>
      <c r="O206" s="286"/>
      <c r="P206" s="286"/>
      <c r="Q206" s="286"/>
      <c r="R206" s="286"/>
      <c r="S206" s="286"/>
      <c r="T206" s="286"/>
      <c r="U206" s="286"/>
      <c r="V206" s="286"/>
      <c r="W206" s="286"/>
    </row>
    <row r="207">
      <c r="A207" s="286"/>
      <c r="B207" s="286"/>
      <c r="C207" s="286"/>
      <c r="D207" s="286"/>
      <c r="E207" s="286"/>
      <c r="F207" s="286"/>
      <c r="G207" s="286"/>
      <c r="H207" s="286"/>
      <c r="I207" s="286"/>
      <c r="J207" s="286"/>
      <c r="K207" s="399"/>
      <c r="L207" s="399"/>
      <c r="M207" s="286"/>
      <c r="N207" s="286"/>
      <c r="O207" s="286"/>
      <c r="P207" s="286"/>
      <c r="Q207" s="286"/>
      <c r="R207" s="286"/>
      <c r="S207" s="286"/>
      <c r="T207" s="286"/>
      <c r="U207" s="286"/>
      <c r="V207" s="286"/>
      <c r="W207" s="286"/>
    </row>
    <row r="208">
      <c r="A208" s="286"/>
      <c r="B208" s="286"/>
      <c r="C208" s="286"/>
      <c r="D208" s="286"/>
      <c r="E208" s="286"/>
      <c r="F208" s="286"/>
      <c r="G208" s="286"/>
      <c r="H208" s="286"/>
      <c r="I208" s="286"/>
      <c r="J208" s="286"/>
      <c r="K208" s="399"/>
      <c r="L208" s="399"/>
      <c r="M208" s="286"/>
      <c r="N208" s="286"/>
      <c r="O208" s="286"/>
      <c r="P208" s="286"/>
      <c r="Q208" s="286"/>
      <c r="R208" s="286"/>
      <c r="S208" s="286"/>
      <c r="T208" s="286"/>
      <c r="U208" s="286"/>
      <c r="V208" s="286"/>
      <c r="W208" s="286"/>
    </row>
    <row r="209">
      <c r="A209" s="286"/>
      <c r="B209" s="286"/>
      <c r="C209" s="286"/>
      <c r="D209" s="286"/>
      <c r="E209" s="286"/>
      <c r="F209" s="286"/>
      <c r="G209" s="286"/>
      <c r="H209" s="286"/>
      <c r="I209" s="286"/>
      <c r="J209" s="286"/>
      <c r="K209" s="399"/>
      <c r="L209" s="399"/>
      <c r="M209" s="286"/>
      <c r="N209" s="286"/>
      <c r="O209" s="286"/>
      <c r="P209" s="286"/>
      <c r="Q209" s="286"/>
      <c r="R209" s="286"/>
      <c r="S209" s="286"/>
      <c r="T209" s="286"/>
      <c r="U209" s="286"/>
      <c r="V209" s="286"/>
      <c r="W209" s="286"/>
    </row>
    <row r="210">
      <c r="A210" s="286"/>
      <c r="B210" s="286"/>
      <c r="C210" s="286"/>
      <c r="D210" s="286"/>
      <c r="E210" s="286"/>
      <c r="F210" s="286"/>
      <c r="G210" s="286"/>
      <c r="H210" s="286"/>
      <c r="I210" s="286"/>
      <c r="J210" s="286"/>
      <c r="K210" s="399"/>
      <c r="L210" s="399"/>
      <c r="M210" s="286"/>
      <c r="N210" s="286"/>
      <c r="O210" s="286"/>
      <c r="P210" s="286"/>
      <c r="Q210" s="286"/>
      <c r="R210" s="286"/>
      <c r="S210" s="286"/>
      <c r="T210" s="286"/>
      <c r="U210" s="286"/>
      <c r="V210" s="286"/>
      <c r="W210" s="286"/>
    </row>
    <row r="211">
      <c r="A211" s="286"/>
      <c r="B211" s="286"/>
      <c r="C211" s="286"/>
      <c r="D211" s="286"/>
      <c r="E211" s="286"/>
      <c r="F211" s="286"/>
      <c r="G211" s="286"/>
      <c r="H211" s="286"/>
      <c r="I211" s="286"/>
      <c r="J211" s="286"/>
      <c r="K211" s="399"/>
      <c r="L211" s="399"/>
      <c r="M211" s="286"/>
      <c r="N211" s="286"/>
      <c r="O211" s="286"/>
      <c r="P211" s="286"/>
      <c r="Q211" s="286"/>
      <c r="R211" s="286"/>
      <c r="S211" s="286"/>
      <c r="T211" s="286"/>
      <c r="U211" s="286"/>
      <c r="V211" s="286"/>
      <c r="W211" s="286"/>
    </row>
    <row r="212">
      <c r="A212" s="286"/>
      <c r="B212" s="286"/>
      <c r="C212" s="286"/>
      <c r="D212" s="286"/>
      <c r="E212" s="286"/>
      <c r="F212" s="286"/>
      <c r="G212" s="286"/>
      <c r="H212" s="286"/>
      <c r="I212" s="286"/>
      <c r="J212" s="286"/>
      <c r="K212" s="399"/>
      <c r="L212" s="399"/>
      <c r="M212" s="286"/>
      <c r="N212" s="286"/>
      <c r="O212" s="286"/>
      <c r="P212" s="286"/>
      <c r="Q212" s="286"/>
      <c r="R212" s="286"/>
      <c r="S212" s="286"/>
      <c r="T212" s="286"/>
      <c r="U212" s="286"/>
      <c r="V212" s="286"/>
      <c r="W212" s="286"/>
    </row>
    <row r="213">
      <c r="A213" s="286"/>
      <c r="B213" s="286"/>
      <c r="C213" s="286"/>
      <c r="D213" s="286"/>
      <c r="E213" s="286"/>
      <c r="F213" s="286"/>
      <c r="G213" s="286"/>
      <c r="H213" s="286"/>
      <c r="I213" s="286"/>
      <c r="J213" s="286"/>
      <c r="K213" s="399"/>
      <c r="L213" s="399"/>
      <c r="M213" s="286"/>
      <c r="N213" s="286"/>
      <c r="O213" s="286"/>
      <c r="P213" s="286"/>
      <c r="Q213" s="286"/>
      <c r="R213" s="286"/>
      <c r="S213" s="286"/>
      <c r="T213" s="286"/>
      <c r="U213" s="286"/>
      <c r="V213" s="286"/>
      <c r="W213" s="286"/>
    </row>
    <row r="214">
      <c r="A214" s="286"/>
      <c r="B214" s="286"/>
      <c r="C214" s="286"/>
      <c r="D214" s="286"/>
      <c r="E214" s="286"/>
      <c r="F214" s="286"/>
      <c r="G214" s="286"/>
      <c r="H214" s="286"/>
      <c r="I214" s="286"/>
      <c r="J214" s="286"/>
      <c r="K214" s="399"/>
      <c r="L214" s="399"/>
      <c r="M214" s="286"/>
      <c r="N214" s="286"/>
      <c r="O214" s="286"/>
      <c r="P214" s="286"/>
      <c r="Q214" s="286"/>
      <c r="R214" s="286"/>
      <c r="S214" s="286"/>
      <c r="T214" s="286"/>
      <c r="U214" s="286"/>
      <c r="V214" s="286"/>
      <c r="W214" s="286"/>
    </row>
    <row r="215">
      <c r="A215" s="286"/>
      <c r="B215" s="286"/>
      <c r="C215" s="286"/>
      <c r="D215" s="286"/>
      <c r="E215" s="286"/>
      <c r="F215" s="286"/>
      <c r="G215" s="286"/>
      <c r="H215" s="286"/>
      <c r="I215" s="286"/>
      <c r="J215" s="286"/>
      <c r="K215" s="399"/>
      <c r="L215" s="399"/>
      <c r="M215" s="286"/>
      <c r="N215" s="286"/>
      <c r="O215" s="286"/>
      <c r="P215" s="286"/>
      <c r="Q215" s="286"/>
      <c r="R215" s="286"/>
      <c r="S215" s="286"/>
      <c r="T215" s="286"/>
      <c r="U215" s="286"/>
      <c r="V215" s="286"/>
      <c r="W215" s="286"/>
    </row>
    <row r="216">
      <c r="A216" s="286"/>
      <c r="B216" s="286"/>
      <c r="C216" s="286"/>
      <c r="D216" s="286"/>
      <c r="E216" s="286"/>
      <c r="F216" s="286"/>
      <c r="G216" s="286"/>
      <c r="H216" s="286"/>
      <c r="I216" s="286"/>
      <c r="J216" s="286"/>
      <c r="K216" s="399"/>
      <c r="L216" s="399"/>
      <c r="M216" s="286"/>
      <c r="N216" s="286"/>
      <c r="O216" s="286"/>
      <c r="P216" s="286"/>
      <c r="Q216" s="286"/>
      <c r="R216" s="286"/>
      <c r="S216" s="286"/>
      <c r="T216" s="286"/>
      <c r="U216" s="286"/>
      <c r="V216" s="286"/>
      <c r="W216" s="286"/>
    </row>
    <row r="217">
      <c r="A217" s="286"/>
      <c r="B217" s="286"/>
      <c r="C217" s="286"/>
      <c r="D217" s="286"/>
      <c r="E217" s="286"/>
      <c r="F217" s="286"/>
      <c r="G217" s="286"/>
      <c r="H217" s="286"/>
      <c r="I217" s="286"/>
      <c r="J217" s="286"/>
      <c r="K217" s="399"/>
      <c r="L217" s="399"/>
      <c r="M217" s="286"/>
      <c r="N217" s="286"/>
      <c r="O217" s="286"/>
      <c r="P217" s="286"/>
      <c r="Q217" s="286"/>
      <c r="R217" s="286"/>
      <c r="S217" s="286"/>
      <c r="T217" s="286"/>
      <c r="U217" s="286"/>
      <c r="V217" s="286"/>
      <c r="W217" s="286"/>
    </row>
    <row r="218">
      <c r="A218" s="286"/>
      <c r="B218" s="286"/>
      <c r="C218" s="286"/>
      <c r="D218" s="286"/>
      <c r="E218" s="286"/>
      <c r="F218" s="286"/>
      <c r="G218" s="286"/>
      <c r="H218" s="286"/>
      <c r="I218" s="286"/>
      <c r="J218" s="286"/>
      <c r="K218" s="399"/>
      <c r="L218" s="399"/>
      <c r="M218" s="286"/>
      <c r="N218" s="286"/>
      <c r="O218" s="286"/>
      <c r="P218" s="286"/>
      <c r="Q218" s="286"/>
      <c r="R218" s="286"/>
      <c r="S218" s="286"/>
      <c r="T218" s="286"/>
      <c r="U218" s="286"/>
      <c r="V218" s="286"/>
      <c r="W218" s="286"/>
    </row>
    <row r="219">
      <c r="A219" s="286"/>
      <c r="B219" s="286"/>
      <c r="C219" s="286"/>
      <c r="D219" s="286"/>
      <c r="E219" s="286"/>
      <c r="F219" s="286"/>
      <c r="G219" s="286"/>
      <c r="H219" s="286"/>
      <c r="I219" s="286"/>
      <c r="J219" s="286"/>
      <c r="K219" s="399"/>
      <c r="L219" s="399"/>
      <c r="M219" s="286"/>
      <c r="N219" s="286"/>
      <c r="O219" s="286"/>
      <c r="P219" s="286"/>
      <c r="Q219" s="286"/>
      <c r="R219" s="286"/>
      <c r="S219" s="286"/>
      <c r="T219" s="286"/>
      <c r="U219" s="286"/>
      <c r="V219" s="286"/>
      <c r="W219" s="286"/>
    </row>
    <row r="220">
      <c r="A220" s="286"/>
      <c r="B220" s="286"/>
      <c r="C220" s="286"/>
      <c r="D220" s="286"/>
      <c r="E220" s="286"/>
      <c r="F220" s="286"/>
      <c r="G220" s="286"/>
      <c r="H220" s="286"/>
      <c r="I220" s="286"/>
      <c r="J220" s="286"/>
      <c r="K220" s="399"/>
      <c r="L220" s="399"/>
      <c r="M220" s="286"/>
      <c r="N220" s="286"/>
      <c r="O220" s="286"/>
      <c r="P220" s="286"/>
      <c r="Q220" s="286"/>
      <c r="R220" s="286"/>
      <c r="S220" s="286"/>
      <c r="T220" s="286"/>
      <c r="U220" s="286"/>
      <c r="V220" s="286"/>
      <c r="W220" s="286"/>
    </row>
    <row r="221">
      <c r="A221" s="286"/>
      <c r="B221" s="286"/>
      <c r="C221" s="286"/>
      <c r="D221" s="286"/>
      <c r="E221" s="286"/>
      <c r="F221" s="286"/>
      <c r="G221" s="286"/>
      <c r="H221" s="286"/>
      <c r="I221" s="286"/>
      <c r="J221" s="286"/>
      <c r="K221" s="399"/>
      <c r="L221" s="399"/>
      <c r="M221" s="286"/>
      <c r="N221" s="286"/>
      <c r="O221" s="286"/>
      <c r="P221" s="286"/>
      <c r="Q221" s="286"/>
      <c r="R221" s="286"/>
      <c r="S221" s="286"/>
      <c r="T221" s="286"/>
      <c r="U221" s="286"/>
      <c r="V221" s="286"/>
      <c r="W221" s="286"/>
    </row>
    <row r="222">
      <c r="A222" s="286"/>
      <c r="B222" s="286"/>
      <c r="C222" s="286"/>
      <c r="D222" s="286"/>
      <c r="E222" s="286"/>
      <c r="F222" s="286"/>
      <c r="G222" s="286"/>
      <c r="H222" s="286"/>
      <c r="I222" s="286"/>
      <c r="J222" s="286"/>
      <c r="K222" s="399"/>
      <c r="L222" s="399"/>
      <c r="M222" s="286"/>
      <c r="N222" s="286"/>
      <c r="O222" s="286"/>
      <c r="P222" s="286"/>
      <c r="Q222" s="286"/>
      <c r="R222" s="286"/>
      <c r="S222" s="286"/>
      <c r="T222" s="286"/>
      <c r="U222" s="286"/>
      <c r="V222" s="286"/>
      <c r="W222" s="286"/>
    </row>
    <row r="223">
      <c r="A223" s="286"/>
      <c r="B223" s="286"/>
      <c r="C223" s="286"/>
      <c r="D223" s="286"/>
      <c r="E223" s="286"/>
      <c r="F223" s="286"/>
      <c r="G223" s="286"/>
      <c r="H223" s="286"/>
      <c r="I223" s="286"/>
      <c r="J223" s="286"/>
      <c r="K223" s="399"/>
      <c r="L223" s="399"/>
      <c r="M223" s="286"/>
      <c r="N223" s="286"/>
      <c r="O223" s="286"/>
      <c r="P223" s="286"/>
      <c r="Q223" s="286"/>
      <c r="R223" s="286"/>
      <c r="S223" s="286"/>
      <c r="T223" s="286"/>
      <c r="U223" s="286"/>
      <c r="V223" s="286"/>
      <c r="W223" s="286"/>
    </row>
    <row r="224">
      <c r="A224" s="286"/>
      <c r="B224" s="286"/>
      <c r="C224" s="286"/>
      <c r="D224" s="286"/>
      <c r="E224" s="286"/>
      <c r="F224" s="286"/>
      <c r="G224" s="286"/>
      <c r="H224" s="286"/>
      <c r="I224" s="286"/>
      <c r="J224" s="286"/>
      <c r="K224" s="399"/>
      <c r="L224" s="399"/>
      <c r="M224" s="286"/>
      <c r="N224" s="286"/>
      <c r="O224" s="286"/>
      <c r="P224" s="286"/>
      <c r="Q224" s="286"/>
      <c r="R224" s="286"/>
      <c r="S224" s="286"/>
      <c r="T224" s="286"/>
      <c r="U224" s="286"/>
      <c r="V224" s="286"/>
      <c r="W224" s="286"/>
    </row>
    <row r="225">
      <c r="A225" s="286"/>
      <c r="B225" s="286"/>
      <c r="C225" s="286"/>
      <c r="D225" s="286"/>
      <c r="E225" s="286"/>
      <c r="F225" s="286"/>
      <c r="G225" s="286"/>
      <c r="H225" s="286"/>
      <c r="I225" s="286"/>
      <c r="J225" s="286"/>
      <c r="K225" s="399"/>
      <c r="L225" s="399"/>
      <c r="M225" s="286"/>
      <c r="N225" s="286"/>
      <c r="O225" s="286"/>
      <c r="P225" s="286"/>
      <c r="Q225" s="286"/>
      <c r="R225" s="286"/>
      <c r="S225" s="286"/>
      <c r="T225" s="286"/>
      <c r="U225" s="286"/>
      <c r="V225" s="286"/>
      <c r="W225" s="286"/>
    </row>
    <row r="226">
      <c r="A226" s="286"/>
      <c r="B226" s="286"/>
      <c r="C226" s="286"/>
      <c r="D226" s="286"/>
      <c r="E226" s="286"/>
      <c r="F226" s="286"/>
      <c r="G226" s="286"/>
      <c r="H226" s="286"/>
      <c r="I226" s="286"/>
      <c r="J226" s="286"/>
      <c r="K226" s="399"/>
      <c r="L226" s="399"/>
      <c r="M226" s="286"/>
      <c r="N226" s="286"/>
      <c r="O226" s="286"/>
      <c r="P226" s="286"/>
      <c r="Q226" s="286"/>
      <c r="R226" s="286"/>
      <c r="S226" s="286"/>
      <c r="T226" s="286"/>
      <c r="U226" s="286"/>
      <c r="V226" s="286"/>
      <c r="W226" s="286"/>
    </row>
    <row r="227">
      <c r="A227" s="286"/>
      <c r="B227" s="286"/>
      <c r="C227" s="286"/>
      <c r="D227" s="286"/>
      <c r="E227" s="286"/>
      <c r="F227" s="286"/>
      <c r="G227" s="286"/>
      <c r="H227" s="286"/>
      <c r="I227" s="286"/>
      <c r="J227" s="286"/>
      <c r="K227" s="399"/>
      <c r="L227" s="399"/>
      <c r="M227" s="286"/>
      <c r="N227" s="286"/>
      <c r="O227" s="286"/>
      <c r="P227" s="286"/>
      <c r="Q227" s="286"/>
      <c r="R227" s="286"/>
      <c r="S227" s="286"/>
      <c r="T227" s="286"/>
      <c r="U227" s="286"/>
      <c r="V227" s="286"/>
      <c r="W227" s="286"/>
    </row>
    <row r="228">
      <c r="A228" s="286"/>
      <c r="B228" s="286"/>
      <c r="C228" s="286"/>
      <c r="D228" s="286"/>
      <c r="E228" s="286"/>
      <c r="F228" s="286"/>
      <c r="G228" s="286"/>
      <c r="H228" s="286"/>
      <c r="I228" s="286"/>
      <c r="J228" s="286"/>
      <c r="K228" s="399"/>
      <c r="L228" s="399"/>
      <c r="M228" s="286"/>
      <c r="N228" s="286"/>
      <c r="O228" s="286"/>
      <c r="P228" s="286"/>
      <c r="Q228" s="286"/>
      <c r="R228" s="286"/>
      <c r="S228" s="286"/>
      <c r="T228" s="286"/>
      <c r="U228" s="286"/>
      <c r="V228" s="286"/>
      <c r="W228" s="286"/>
    </row>
    <row r="229">
      <c r="A229" s="286"/>
      <c r="B229" s="286"/>
      <c r="C229" s="286"/>
      <c r="D229" s="286"/>
      <c r="E229" s="286"/>
      <c r="F229" s="286"/>
      <c r="G229" s="286"/>
      <c r="H229" s="286"/>
      <c r="I229" s="286"/>
      <c r="J229" s="286"/>
      <c r="K229" s="399"/>
      <c r="L229" s="399"/>
      <c r="M229" s="286"/>
      <c r="N229" s="286"/>
      <c r="O229" s="286"/>
      <c r="P229" s="286"/>
      <c r="Q229" s="286"/>
      <c r="R229" s="286"/>
      <c r="S229" s="286"/>
      <c r="T229" s="286"/>
      <c r="U229" s="286"/>
      <c r="V229" s="286"/>
      <c r="W229" s="286"/>
    </row>
    <row r="230">
      <c r="A230" s="286"/>
      <c r="B230" s="286"/>
      <c r="C230" s="286"/>
      <c r="D230" s="286"/>
      <c r="E230" s="286"/>
      <c r="F230" s="286"/>
      <c r="G230" s="286"/>
      <c r="H230" s="286"/>
      <c r="I230" s="286"/>
      <c r="J230" s="286"/>
      <c r="K230" s="399"/>
      <c r="L230" s="399"/>
      <c r="M230" s="286"/>
      <c r="N230" s="286"/>
      <c r="O230" s="286"/>
      <c r="P230" s="286"/>
      <c r="Q230" s="286"/>
      <c r="R230" s="286"/>
      <c r="S230" s="286"/>
      <c r="T230" s="286"/>
      <c r="U230" s="286"/>
      <c r="V230" s="286"/>
      <c r="W230" s="286"/>
    </row>
    <row r="231">
      <c r="A231" s="286"/>
      <c r="B231" s="286"/>
      <c r="C231" s="286"/>
      <c r="D231" s="286"/>
      <c r="E231" s="286"/>
      <c r="F231" s="286"/>
      <c r="G231" s="286"/>
      <c r="H231" s="286"/>
      <c r="I231" s="286"/>
      <c r="J231" s="286"/>
      <c r="K231" s="399"/>
      <c r="L231" s="399"/>
      <c r="M231" s="286"/>
      <c r="N231" s="286"/>
      <c r="O231" s="286"/>
      <c r="P231" s="286"/>
      <c r="Q231" s="286"/>
      <c r="R231" s="286"/>
      <c r="S231" s="286"/>
      <c r="T231" s="286"/>
      <c r="U231" s="286"/>
      <c r="V231" s="286"/>
      <c r="W231" s="286"/>
    </row>
    <row r="232">
      <c r="A232" s="286"/>
      <c r="B232" s="286"/>
      <c r="C232" s="286"/>
      <c r="D232" s="286"/>
      <c r="E232" s="286"/>
      <c r="F232" s="286"/>
      <c r="G232" s="286"/>
      <c r="H232" s="286"/>
      <c r="I232" s="286"/>
      <c r="J232" s="286"/>
      <c r="K232" s="399"/>
      <c r="L232" s="399"/>
      <c r="M232" s="286"/>
      <c r="N232" s="286"/>
      <c r="O232" s="286"/>
      <c r="P232" s="286"/>
      <c r="Q232" s="286"/>
      <c r="R232" s="286"/>
      <c r="S232" s="286"/>
      <c r="T232" s="286"/>
      <c r="U232" s="286"/>
      <c r="V232" s="286"/>
      <c r="W232" s="286"/>
    </row>
    <row r="233">
      <c r="A233" s="286"/>
      <c r="B233" s="286"/>
      <c r="C233" s="286"/>
      <c r="D233" s="286"/>
      <c r="E233" s="286"/>
      <c r="F233" s="286"/>
      <c r="G233" s="286"/>
      <c r="H233" s="286"/>
      <c r="I233" s="286"/>
      <c r="J233" s="286"/>
      <c r="K233" s="399"/>
      <c r="L233" s="399"/>
      <c r="M233" s="286"/>
      <c r="N233" s="286"/>
      <c r="O233" s="286"/>
      <c r="P233" s="286"/>
      <c r="Q233" s="286"/>
      <c r="R233" s="286"/>
      <c r="S233" s="286"/>
      <c r="T233" s="286"/>
      <c r="U233" s="286"/>
      <c r="V233" s="286"/>
      <c r="W233" s="286"/>
    </row>
    <row r="234">
      <c r="A234" s="286"/>
      <c r="B234" s="286"/>
      <c r="C234" s="286"/>
      <c r="D234" s="286"/>
      <c r="E234" s="286"/>
      <c r="F234" s="286"/>
      <c r="G234" s="286"/>
      <c r="H234" s="286"/>
      <c r="I234" s="286"/>
      <c r="J234" s="286"/>
      <c r="K234" s="399"/>
      <c r="L234" s="399"/>
      <c r="M234" s="286"/>
      <c r="N234" s="286"/>
      <c r="O234" s="286"/>
      <c r="P234" s="286"/>
      <c r="Q234" s="286"/>
      <c r="R234" s="286"/>
      <c r="S234" s="286"/>
      <c r="T234" s="286"/>
      <c r="U234" s="286"/>
      <c r="V234" s="286"/>
      <c r="W234" s="286"/>
    </row>
    <row r="235">
      <c r="A235" s="286"/>
      <c r="B235" s="286"/>
      <c r="C235" s="286"/>
      <c r="D235" s="286"/>
      <c r="E235" s="286"/>
      <c r="F235" s="286"/>
      <c r="G235" s="286"/>
      <c r="H235" s="286"/>
      <c r="I235" s="286"/>
      <c r="J235" s="286"/>
      <c r="K235" s="399"/>
      <c r="L235" s="399"/>
      <c r="M235" s="286"/>
      <c r="N235" s="286"/>
      <c r="O235" s="286"/>
      <c r="P235" s="286"/>
      <c r="Q235" s="286"/>
      <c r="R235" s="286"/>
      <c r="S235" s="286"/>
      <c r="T235" s="286"/>
      <c r="U235" s="286"/>
      <c r="V235" s="286"/>
      <c r="W235" s="286"/>
    </row>
    <row r="236">
      <c r="A236" s="286"/>
      <c r="B236" s="286"/>
      <c r="C236" s="286"/>
      <c r="D236" s="286"/>
      <c r="E236" s="286"/>
      <c r="F236" s="286"/>
      <c r="G236" s="286"/>
      <c r="H236" s="286"/>
      <c r="I236" s="286"/>
      <c r="J236" s="286"/>
      <c r="K236" s="399"/>
      <c r="L236" s="399"/>
      <c r="M236" s="286"/>
      <c r="N236" s="286"/>
      <c r="O236" s="286"/>
      <c r="P236" s="286"/>
      <c r="Q236" s="286"/>
      <c r="R236" s="286"/>
      <c r="S236" s="286"/>
      <c r="T236" s="286"/>
      <c r="U236" s="286"/>
      <c r="V236" s="286"/>
      <c r="W236" s="286"/>
    </row>
    <row r="237">
      <c r="A237" s="286"/>
      <c r="B237" s="286"/>
      <c r="C237" s="286"/>
      <c r="D237" s="286"/>
      <c r="E237" s="286"/>
      <c r="F237" s="286"/>
      <c r="G237" s="286"/>
      <c r="H237" s="286"/>
      <c r="I237" s="286"/>
      <c r="J237" s="286"/>
      <c r="K237" s="399"/>
      <c r="L237" s="399"/>
      <c r="M237" s="286"/>
      <c r="N237" s="286"/>
      <c r="O237" s="286"/>
      <c r="P237" s="286"/>
      <c r="Q237" s="286"/>
      <c r="R237" s="286"/>
      <c r="S237" s="286"/>
      <c r="T237" s="286"/>
      <c r="U237" s="286"/>
      <c r="V237" s="286"/>
      <c r="W237" s="286"/>
    </row>
    <row r="238">
      <c r="A238" s="286"/>
      <c r="B238" s="286"/>
      <c r="C238" s="286"/>
      <c r="D238" s="286"/>
      <c r="E238" s="286"/>
      <c r="F238" s="286"/>
      <c r="G238" s="286"/>
      <c r="H238" s="286"/>
      <c r="I238" s="286"/>
      <c r="J238" s="286"/>
      <c r="K238" s="399"/>
      <c r="L238" s="399"/>
      <c r="M238" s="286"/>
      <c r="N238" s="286"/>
      <c r="O238" s="286"/>
      <c r="P238" s="286"/>
      <c r="Q238" s="286"/>
      <c r="R238" s="286"/>
      <c r="S238" s="286"/>
      <c r="T238" s="286"/>
      <c r="U238" s="286"/>
      <c r="V238" s="286"/>
      <c r="W238" s="286"/>
    </row>
    <row r="239">
      <c r="A239" s="286"/>
      <c r="B239" s="286"/>
      <c r="C239" s="286"/>
      <c r="D239" s="286"/>
      <c r="E239" s="286"/>
      <c r="F239" s="286"/>
      <c r="G239" s="286"/>
      <c r="H239" s="286"/>
      <c r="I239" s="286"/>
      <c r="J239" s="286"/>
      <c r="K239" s="399"/>
      <c r="L239" s="399"/>
      <c r="M239" s="286"/>
      <c r="N239" s="286"/>
      <c r="O239" s="286"/>
      <c r="P239" s="286"/>
      <c r="Q239" s="286"/>
      <c r="R239" s="286"/>
      <c r="S239" s="286"/>
      <c r="T239" s="286"/>
      <c r="U239" s="286"/>
      <c r="V239" s="286"/>
      <c r="W239" s="286"/>
    </row>
    <row r="240">
      <c r="A240" s="286"/>
      <c r="B240" s="286"/>
      <c r="C240" s="286"/>
      <c r="D240" s="286"/>
      <c r="E240" s="286"/>
      <c r="F240" s="286"/>
      <c r="G240" s="286"/>
      <c r="H240" s="286"/>
      <c r="I240" s="286"/>
      <c r="J240" s="286"/>
      <c r="K240" s="399"/>
      <c r="L240" s="399"/>
      <c r="M240" s="286"/>
      <c r="N240" s="286"/>
      <c r="O240" s="286"/>
      <c r="P240" s="286"/>
      <c r="Q240" s="286"/>
      <c r="R240" s="286"/>
      <c r="S240" s="286"/>
      <c r="T240" s="286"/>
      <c r="U240" s="286"/>
      <c r="V240" s="286"/>
      <c r="W240" s="286"/>
    </row>
    <row r="241">
      <c r="A241" s="286"/>
      <c r="B241" s="286"/>
      <c r="C241" s="286"/>
      <c r="D241" s="286"/>
      <c r="E241" s="286"/>
      <c r="F241" s="286"/>
      <c r="G241" s="286"/>
      <c r="H241" s="286"/>
      <c r="I241" s="286"/>
      <c r="J241" s="286"/>
      <c r="K241" s="399"/>
      <c r="L241" s="399"/>
      <c r="M241" s="286"/>
      <c r="N241" s="286"/>
      <c r="O241" s="286"/>
      <c r="P241" s="286"/>
      <c r="Q241" s="286"/>
      <c r="R241" s="286"/>
      <c r="S241" s="286"/>
      <c r="T241" s="286"/>
      <c r="U241" s="286"/>
      <c r="V241" s="286"/>
      <c r="W241" s="286"/>
    </row>
    <row r="242">
      <c r="A242" s="286"/>
      <c r="B242" s="286"/>
      <c r="C242" s="286"/>
      <c r="D242" s="286"/>
      <c r="E242" s="286"/>
      <c r="F242" s="286"/>
      <c r="G242" s="286"/>
      <c r="H242" s="286"/>
      <c r="I242" s="286"/>
      <c r="J242" s="286"/>
      <c r="K242" s="399"/>
      <c r="L242" s="399"/>
      <c r="M242" s="286"/>
      <c r="N242" s="286"/>
      <c r="O242" s="286"/>
      <c r="P242" s="286"/>
      <c r="Q242" s="286"/>
      <c r="R242" s="286"/>
      <c r="S242" s="286"/>
      <c r="T242" s="286"/>
      <c r="U242" s="286"/>
      <c r="V242" s="286"/>
      <c r="W242" s="286"/>
    </row>
    <row r="243">
      <c r="A243" s="286"/>
      <c r="B243" s="286"/>
      <c r="C243" s="286"/>
      <c r="D243" s="286"/>
      <c r="E243" s="286"/>
      <c r="F243" s="286"/>
      <c r="G243" s="286"/>
      <c r="H243" s="286"/>
      <c r="I243" s="286"/>
      <c r="J243" s="286"/>
      <c r="K243" s="399"/>
      <c r="L243" s="399"/>
      <c r="M243" s="286"/>
      <c r="N243" s="286"/>
      <c r="O243" s="286"/>
      <c r="P243" s="286"/>
      <c r="Q243" s="286"/>
      <c r="R243" s="286"/>
      <c r="S243" s="286"/>
      <c r="T243" s="286"/>
      <c r="U243" s="286"/>
      <c r="V243" s="286"/>
      <c r="W243" s="286"/>
    </row>
    <row r="244">
      <c r="A244" s="286"/>
      <c r="B244" s="286"/>
      <c r="C244" s="286"/>
      <c r="D244" s="286"/>
      <c r="E244" s="286"/>
      <c r="F244" s="286"/>
      <c r="G244" s="286"/>
      <c r="H244" s="286"/>
      <c r="I244" s="286"/>
      <c r="J244" s="286"/>
      <c r="K244" s="399"/>
      <c r="L244" s="399"/>
      <c r="M244" s="286"/>
      <c r="N244" s="286"/>
      <c r="O244" s="286"/>
      <c r="P244" s="286"/>
      <c r="Q244" s="286"/>
      <c r="R244" s="286"/>
      <c r="S244" s="286"/>
      <c r="T244" s="286"/>
      <c r="U244" s="286"/>
      <c r="V244" s="286"/>
      <c r="W244" s="286"/>
    </row>
    <row r="245">
      <c r="A245" s="286"/>
      <c r="B245" s="286"/>
      <c r="C245" s="286"/>
      <c r="D245" s="286"/>
      <c r="E245" s="286"/>
      <c r="F245" s="286"/>
      <c r="G245" s="286"/>
      <c r="H245" s="286"/>
      <c r="I245" s="286"/>
      <c r="J245" s="286"/>
      <c r="K245" s="399"/>
      <c r="L245" s="399"/>
      <c r="M245" s="286"/>
      <c r="N245" s="286"/>
      <c r="O245" s="286"/>
      <c r="P245" s="286"/>
      <c r="Q245" s="286"/>
      <c r="R245" s="286"/>
      <c r="S245" s="286"/>
      <c r="T245" s="286"/>
      <c r="U245" s="286"/>
      <c r="V245" s="286"/>
      <c r="W245" s="286"/>
    </row>
    <row r="246">
      <c r="A246" s="286"/>
      <c r="B246" s="286"/>
      <c r="C246" s="286"/>
      <c r="D246" s="286"/>
      <c r="E246" s="286"/>
      <c r="F246" s="286"/>
      <c r="G246" s="286"/>
      <c r="H246" s="286"/>
      <c r="I246" s="286"/>
      <c r="J246" s="286"/>
      <c r="K246" s="399"/>
      <c r="L246" s="399"/>
      <c r="M246" s="286"/>
      <c r="N246" s="286"/>
      <c r="O246" s="286"/>
      <c r="P246" s="286"/>
      <c r="Q246" s="286"/>
      <c r="R246" s="286"/>
      <c r="S246" s="286"/>
      <c r="T246" s="286"/>
      <c r="U246" s="286"/>
      <c r="V246" s="286"/>
      <c r="W246" s="286"/>
    </row>
    <row r="247">
      <c r="A247" s="286"/>
      <c r="B247" s="286"/>
      <c r="C247" s="286"/>
      <c r="D247" s="286"/>
      <c r="E247" s="286"/>
      <c r="F247" s="286"/>
      <c r="G247" s="286"/>
      <c r="H247" s="286"/>
      <c r="I247" s="286"/>
      <c r="J247" s="286"/>
      <c r="K247" s="399"/>
      <c r="L247" s="399"/>
      <c r="M247" s="286"/>
      <c r="N247" s="286"/>
      <c r="O247" s="286"/>
      <c r="P247" s="286"/>
      <c r="Q247" s="286"/>
      <c r="R247" s="286"/>
      <c r="S247" s="286"/>
      <c r="T247" s="286"/>
      <c r="U247" s="286"/>
      <c r="V247" s="286"/>
      <c r="W247" s="286"/>
    </row>
    <row r="248">
      <c r="A248" s="286"/>
      <c r="B248" s="286"/>
      <c r="C248" s="286"/>
      <c r="D248" s="286"/>
      <c r="E248" s="286"/>
      <c r="F248" s="286"/>
      <c r="G248" s="286"/>
      <c r="H248" s="286"/>
      <c r="I248" s="286"/>
      <c r="J248" s="286"/>
      <c r="K248" s="399"/>
      <c r="L248" s="399"/>
      <c r="M248" s="286"/>
      <c r="N248" s="286"/>
      <c r="O248" s="286"/>
      <c r="P248" s="286"/>
      <c r="Q248" s="286"/>
      <c r="R248" s="286"/>
      <c r="S248" s="286"/>
      <c r="T248" s="286"/>
      <c r="U248" s="286"/>
      <c r="V248" s="286"/>
      <c r="W248" s="286"/>
    </row>
    <row r="249">
      <c r="A249" s="286"/>
      <c r="B249" s="286"/>
      <c r="C249" s="286"/>
      <c r="D249" s="286"/>
      <c r="E249" s="286"/>
      <c r="F249" s="286"/>
      <c r="G249" s="286"/>
      <c r="H249" s="286"/>
      <c r="I249" s="286"/>
      <c r="J249" s="286"/>
      <c r="K249" s="399"/>
      <c r="L249" s="399"/>
      <c r="M249" s="286"/>
      <c r="N249" s="286"/>
      <c r="O249" s="286"/>
      <c r="P249" s="286"/>
      <c r="Q249" s="286"/>
      <c r="R249" s="286"/>
      <c r="S249" s="286"/>
      <c r="T249" s="286"/>
      <c r="U249" s="286"/>
      <c r="V249" s="286"/>
      <c r="W249" s="286"/>
    </row>
    <row r="250">
      <c r="A250" s="286"/>
      <c r="B250" s="286"/>
      <c r="C250" s="286"/>
      <c r="D250" s="286"/>
      <c r="E250" s="286"/>
      <c r="F250" s="286"/>
      <c r="G250" s="286"/>
      <c r="H250" s="286"/>
      <c r="I250" s="286"/>
      <c r="J250" s="286"/>
      <c r="K250" s="399"/>
      <c r="L250" s="399"/>
      <c r="M250" s="286"/>
      <c r="N250" s="286"/>
      <c r="O250" s="286"/>
      <c r="P250" s="286"/>
      <c r="Q250" s="286"/>
      <c r="R250" s="286"/>
      <c r="S250" s="286"/>
      <c r="T250" s="286"/>
      <c r="U250" s="286"/>
      <c r="V250" s="286"/>
      <c r="W250" s="286"/>
    </row>
    <row r="251">
      <c r="A251" s="286"/>
      <c r="B251" s="286"/>
      <c r="C251" s="286"/>
      <c r="D251" s="286"/>
      <c r="E251" s="286"/>
      <c r="F251" s="286"/>
      <c r="G251" s="286"/>
      <c r="H251" s="286"/>
      <c r="I251" s="286"/>
      <c r="J251" s="286"/>
      <c r="K251" s="399"/>
      <c r="L251" s="399"/>
      <c r="M251" s="286"/>
      <c r="N251" s="286"/>
      <c r="O251" s="286"/>
      <c r="P251" s="286"/>
      <c r="Q251" s="286"/>
      <c r="R251" s="286"/>
      <c r="S251" s="286"/>
      <c r="T251" s="286"/>
      <c r="U251" s="286"/>
      <c r="V251" s="286"/>
      <c r="W251" s="286"/>
    </row>
    <row r="252">
      <c r="A252" s="286"/>
      <c r="B252" s="286"/>
      <c r="C252" s="286"/>
      <c r="D252" s="286"/>
      <c r="E252" s="286"/>
      <c r="F252" s="286"/>
      <c r="G252" s="286"/>
      <c r="H252" s="286"/>
      <c r="I252" s="286"/>
      <c r="J252" s="286"/>
      <c r="K252" s="399"/>
      <c r="L252" s="399"/>
      <c r="M252" s="286"/>
      <c r="N252" s="286"/>
      <c r="O252" s="286"/>
      <c r="P252" s="286"/>
      <c r="Q252" s="286"/>
      <c r="R252" s="286"/>
      <c r="S252" s="286"/>
      <c r="T252" s="286"/>
      <c r="U252" s="286"/>
      <c r="V252" s="286"/>
      <c r="W252" s="286"/>
    </row>
    <row r="253">
      <c r="A253" s="286"/>
      <c r="B253" s="286"/>
      <c r="C253" s="286"/>
      <c r="D253" s="286"/>
      <c r="E253" s="286"/>
      <c r="F253" s="286"/>
      <c r="G253" s="286"/>
      <c r="H253" s="286"/>
      <c r="I253" s="286"/>
      <c r="J253" s="286"/>
      <c r="K253" s="399"/>
      <c r="L253" s="399"/>
      <c r="M253" s="286"/>
      <c r="N253" s="286"/>
      <c r="O253" s="286"/>
      <c r="P253" s="286"/>
      <c r="Q253" s="286"/>
      <c r="R253" s="286"/>
      <c r="S253" s="286"/>
      <c r="T253" s="286"/>
      <c r="U253" s="286"/>
      <c r="V253" s="286"/>
      <c r="W253" s="286"/>
    </row>
    <row r="254">
      <c r="A254" s="286"/>
      <c r="B254" s="286"/>
      <c r="C254" s="286"/>
      <c r="D254" s="286"/>
      <c r="E254" s="286"/>
      <c r="F254" s="286"/>
      <c r="G254" s="286"/>
      <c r="H254" s="286"/>
      <c r="I254" s="286"/>
      <c r="J254" s="286"/>
      <c r="K254" s="399"/>
      <c r="L254" s="399"/>
      <c r="M254" s="286"/>
      <c r="N254" s="286"/>
      <c r="O254" s="286"/>
      <c r="P254" s="286"/>
      <c r="Q254" s="286"/>
      <c r="R254" s="286"/>
      <c r="S254" s="286"/>
      <c r="T254" s="286"/>
      <c r="U254" s="286"/>
      <c r="V254" s="286"/>
      <c r="W254" s="286"/>
    </row>
    <row r="255">
      <c r="A255" s="286"/>
      <c r="B255" s="286"/>
      <c r="C255" s="286"/>
      <c r="D255" s="286"/>
      <c r="E255" s="286"/>
      <c r="F255" s="286"/>
      <c r="G255" s="286"/>
      <c r="H255" s="286"/>
      <c r="I255" s="286"/>
      <c r="J255" s="286"/>
      <c r="K255" s="399"/>
      <c r="L255" s="399"/>
      <c r="M255" s="286"/>
      <c r="N255" s="286"/>
      <c r="O255" s="286"/>
      <c r="P255" s="286"/>
      <c r="Q255" s="286"/>
      <c r="R255" s="286"/>
      <c r="S255" s="286"/>
      <c r="T255" s="286"/>
      <c r="U255" s="286"/>
      <c r="V255" s="286"/>
      <c r="W255" s="286"/>
    </row>
    <row r="256">
      <c r="A256" s="286"/>
      <c r="B256" s="286"/>
      <c r="C256" s="286"/>
      <c r="D256" s="286"/>
      <c r="E256" s="286"/>
      <c r="F256" s="286"/>
      <c r="G256" s="286"/>
      <c r="H256" s="286"/>
      <c r="I256" s="286"/>
      <c r="J256" s="286"/>
      <c r="K256" s="399"/>
      <c r="L256" s="399"/>
      <c r="M256" s="286"/>
      <c r="N256" s="286"/>
      <c r="O256" s="286"/>
      <c r="P256" s="286"/>
      <c r="Q256" s="286"/>
      <c r="R256" s="286"/>
      <c r="S256" s="286"/>
      <c r="T256" s="286"/>
      <c r="U256" s="286"/>
      <c r="V256" s="286"/>
      <c r="W256" s="286"/>
    </row>
    <row r="257">
      <c r="A257" s="286"/>
      <c r="B257" s="286"/>
      <c r="C257" s="286"/>
      <c r="D257" s="286"/>
      <c r="E257" s="286"/>
      <c r="F257" s="286"/>
      <c r="G257" s="286"/>
      <c r="H257" s="286"/>
      <c r="I257" s="286"/>
      <c r="J257" s="286"/>
      <c r="K257" s="399"/>
      <c r="L257" s="399"/>
      <c r="M257" s="286"/>
      <c r="N257" s="286"/>
      <c r="O257" s="286"/>
      <c r="P257" s="286"/>
      <c r="Q257" s="286"/>
      <c r="R257" s="286"/>
      <c r="S257" s="286"/>
      <c r="T257" s="286"/>
      <c r="U257" s="286"/>
      <c r="V257" s="286"/>
      <c r="W257" s="286"/>
    </row>
    <row r="258">
      <c r="A258" s="286"/>
      <c r="B258" s="286"/>
      <c r="C258" s="286"/>
      <c r="D258" s="286"/>
      <c r="E258" s="286"/>
      <c r="F258" s="286"/>
      <c r="G258" s="286"/>
      <c r="H258" s="286"/>
      <c r="I258" s="286"/>
      <c r="J258" s="286"/>
      <c r="K258" s="399"/>
      <c r="L258" s="399"/>
      <c r="M258" s="286"/>
      <c r="N258" s="286"/>
      <c r="O258" s="286"/>
      <c r="P258" s="286"/>
      <c r="Q258" s="286"/>
      <c r="R258" s="286"/>
      <c r="S258" s="286"/>
      <c r="T258" s="286"/>
      <c r="U258" s="286"/>
      <c r="V258" s="286"/>
      <c r="W258" s="286"/>
    </row>
    <row r="259">
      <c r="A259" s="286"/>
      <c r="B259" s="286"/>
      <c r="C259" s="286"/>
      <c r="D259" s="286"/>
      <c r="E259" s="286"/>
      <c r="F259" s="286"/>
      <c r="G259" s="286"/>
      <c r="H259" s="286"/>
      <c r="I259" s="286"/>
      <c r="J259" s="286"/>
      <c r="K259" s="399"/>
      <c r="L259" s="399"/>
      <c r="M259" s="286"/>
      <c r="N259" s="286"/>
      <c r="O259" s="286"/>
      <c r="P259" s="286"/>
      <c r="Q259" s="286"/>
      <c r="R259" s="286"/>
      <c r="S259" s="286"/>
      <c r="T259" s="286"/>
      <c r="U259" s="286"/>
      <c r="V259" s="286"/>
      <c r="W259" s="286"/>
    </row>
    <row r="260">
      <c r="A260" s="286"/>
      <c r="B260" s="286"/>
      <c r="C260" s="286"/>
      <c r="D260" s="286"/>
      <c r="E260" s="286"/>
      <c r="F260" s="286"/>
      <c r="G260" s="286"/>
      <c r="H260" s="286"/>
      <c r="I260" s="286"/>
      <c r="J260" s="286"/>
      <c r="K260" s="399"/>
      <c r="L260" s="399"/>
      <c r="M260" s="286"/>
      <c r="N260" s="286"/>
      <c r="O260" s="286"/>
      <c r="P260" s="286"/>
      <c r="Q260" s="286"/>
      <c r="R260" s="286"/>
      <c r="S260" s="286"/>
      <c r="T260" s="286"/>
      <c r="U260" s="286"/>
      <c r="V260" s="286"/>
      <c r="W260" s="286"/>
    </row>
    <row r="261">
      <c r="A261" s="286"/>
      <c r="B261" s="286"/>
      <c r="C261" s="286"/>
      <c r="D261" s="286"/>
      <c r="E261" s="286"/>
      <c r="F261" s="286"/>
      <c r="G261" s="286"/>
      <c r="H261" s="286"/>
      <c r="I261" s="286"/>
      <c r="J261" s="286"/>
      <c r="K261" s="399"/>
      <c r="L261" s="399"/>
      <c r="M261" s="286"/>
      <c r="N261" s="286"/>
      <c r="O261" s="286"/>
      <c r="P261" s="286"/>
      <c r="Q261" s="286"/>
      <c r="R261" s="286"/>
      <c r="S261" s="286"/>
      <c r="T261" s="286"/>
      <c r="U261" s="286"/>
      <c r="V261" s="286"/>
      <c r="W261" s="286"/>
    </row>
    <row r="262">
      <c r="A262" s="286"/>
      <c r="B262" s="286"/>
      <c r="C262" s="286"/>
      <c r="D262" s="286"/>
      <c r="E262" s="286"/>
      <c r="F262" s="286"/>
      <c r="G262" s="286"/>
      <c r="H262" s="286"/>
      <c r="I262" s="286"/>
      <c r="J262" s="286"/>
      <c r="K262" s="399"/>
      <c r="L262" s="399"/>
      <c r="M262" s="286"/>
      <c r="N262" s="286"/>
      <c r="O262" s="286"/>
      <c r="P262" s="286"/>
      <c r="Q262" s="286"/>
      <c r="R262" s="286"/>
      <c r="S262" s="286"/>
      <c r="T262" s="286"/>
      <c r="U262" s="286"/>
      <c r="V262" s="286"/>
      <c r="W262" s="286"/>
    </row>
    <row r="263">
      <c r="A263" s="286"/>
      <c r="B263" s="286"/>
      <c r="C263" s="286"/>
      <c r="D263" s="286"/>
      <c r="E263" s="286"/>
      <c r="F263" s="286"/>
      <c r="G263" s="286"/>
      <c r="H263" s="286"/>
      <c r="I263" s="286"/>
      <c r="J263" s="286"/>
      <c r="K263" s="399"/>
      <c r="L263" s="399"/>
      <c r="M263" s="286"/>
      <c r="N263" s="286"/>
      <c r="O263" s="286"/>
      <c r="P263" s="286"/>
      <c r="Q263" s="286"/>
      <c r="R263" s="286"/>
      <c r="S263" s="286"/>
      <c r="T263" s="286"/>
      <c r="U263" s="286"/>
      <c r="V263" s="286"/>
      <c r="W263" s="286"/>
    </row>
    <row r="264">
      <c r="A264" s="286"/>
      <c r="B264" s="286"/>
      <c r="C264" s="286"/>
      <c r="D264" s="286"/>
      <c r="E264" s="286"/>
      <c r="F264" s="286"/>
      <c r="G264" s="286"/>
      <c r="H264" s="286"/>
      <c r="I264" s="286"/>
      <c r="J264" s="286"/>
      <c r="K264" s="399"/>
      <c r="L264" s="399"/>
      <c r="M264" s="286"/>
      <c r="N264" s="286"/>
      <c r="O264" s="286"/>
      <c r="P264" s="286"/>
      <c r="Q264" s="286"/>
      <c r="R264" s="286"/>
      <c r="S264" s="286"/>
      <c r="T264" s="286"/>
      <c r="U264" s="286"/>
      <c r="V264" s="286"/>
      <c r="W264" s="286"/>
    </row>
    <row r="265">
      <c r="A265" s="286"/>
      <c r="B265" s="286"/>
      <c r="C265" s="286"/>
      <c r="D265" s="286"/>
      <c r="E265" s="286"/>
      <c r="F265" s="286"/>
      <c r="G265" s="286"/>
      <c r="H265" s="286"/>
      <c r="I265" s="286"/>
      <c r="J265" s="286"/>
      <c r="K265" s="399"/>
      <c r="L265" s="399"/>
      <c r="M265" s="286"/>
      <c r="N265" s="286"/>
      <c r="O265" s="286"/>
      <c r="P265" s="286"/>
      <c r="Q265" s="286"/>
      <c r="R265" s="286"/>
      <c r="S265" s="286"/>
      <c r="T265" s="286"/>
      <c r="U265" s="286"/>
      <c r="V265" s="286"/>
      <c r="W265" s="286"/>
    </row>
    <row r="266">
      <c r="A266" s="286"/>
      <c r="B266" s="286"/>
      <c r="C266" s="286"/>
      <c r="D266" s="286"/>
      <c r="E266" s="286"/>
      <c r="F266" s="286"/>
      <c r="G266" s="286"/>
      <c r="H266" s="286"/>
      <c r="I266" s="286"/>
      <c r="J266" s="286"/>
      <c r="K266" s="399"/>
      <c r="L266" s="399"/>
      <c r="M266" s="286"/>
      <c r="N266" s="286"/>
      <c r="O266" s="286"/>
      <c r="P266" s="286"/>
      <c r="Q266" s="286"/>
      <c r="R266" s="286"/>
      <c r="S266" s="286"/>
      <c r="T266" s="286"/>
      <c r="U266" s="286"/>
      <c r="V266" s="286"/>
      <c r="W266" s="286"/>
    </row>
    <row r="267">
      <c r="A267" s="286"/>
      <c r="B267" s="286"/>
      <c r="C267" s="286"/>
      <c r="D267" s="286"/>
      <c r="E267" s="286"/>
      <c r="F267" s="286"/>
      <c r="G267" s="286"/>
      <c r="H267" s="286"/>
      <c r="I267" s="286"/>
      <c r="J267" s="286"/>
      <c r="K267" s="399"/>
      <c r="L267" s="399"/>
      <c r="M267" s="286"/>
      <c r="N267" s="286"/>
      <c r="O267" s="286"/>
      <c r="P267" s="286"/>
      <c r="Q267" s="286"/>
      <c r="R267" s="286"/>
      <c r="S267" s="286"/>
      <c r="T267" s="286"/>
      <c r="U267" s="286"/>
      <c r="V267" s="286"/>
      <c r="W267" s="286"/>
    </row>
    <row r="268">
      <c r="A268" s="286"/>
      <c r="B268" s="286"/>
      <c r="C268" s="286"/>
      <c r="D268" s="286"/>
      <c r="E268" s="286"/>
      <c r="F268" s="286"/>
      <c r="G268" s="286"/>
      <c r="H268" s="286"/>
      <c r="I268" s="286"/>
      <c r="J268" s="286"/>
      <c r="K268" s="399"/>
      <c r="L268" s="399"/>
      <c r="M268" s="286"/>
      <c r="N268" s="286"/>
      <c r="O268" s="286"/>
      <c r="P268" s="286"/>
      <c r="Q268" s="286"/>
      <c r="R268" s="286"/>
      <c r="S268" s="286"/>
      <c r="T268" s="286"/>
      <c r="U268" s="286"/>
      <c r="V268" s="286"/>
      <c r="W268" s="286"/>
    </row>
    <row r="269">
      <c r="A269" s="286"/>
      <c r="B269" s="286"/>
      <c r="C269" s="286"/>
      <c r="D269" s="286"/>
      <c r="E269" s="286"/>
      <c r="F269" s="286"/>
      <c r="G269" s="286"/>
      <c r="H269" s="286"/>
      <c r="I269" s="286"/>
      <c r="J269" s="286"/>
      <c r="K269" s="399"/>
      <c r="L269" s="399"/>
      <c r="M269" s="286"/>
      <c r="N269" s="286"/>
      <c r="O269" s="286"/>
      <c r="P269" s="286"/>
      <c r="Q269" s="286"/>
      <c r="R269" s="286"/>
      <c r="S269" s="286"/>
      <c r="T269" s="286"/>
      <c r="U269" s="286"/>
      <c r="V269" s="286"/>
      <c r="W269" s="286"/>
    </row>
    <row r="270">
      <c r="A270" s="286"/>
      <c r="B270" s="286"/>
      <c r="C270" s="286"/>
      <c r="D270" s="286"/>
      <c r="E270" s="286"/>
      <c r="F270" s="286"/>
      <c r="G270" s="286"/>
      <c r="H270" s="286"/>
      <c r="I270" s="286"/>
      <c r="J270" s="286"/>
      <c r="K270" s="399"/>
      <c r="L270" s="399"/>
      <c r="M270" s="286"/>
      <c r="N270" s="286"/>
      <c r="O270" s="286"/>
      <c r="P270" s="286"/>
      <c r="Q270" s="286"/>
      <c r="R270" s="286"/>
      <c r="S270" s="286"/>
      <c r="T270" s="286"/>
      <c r="U270" s="286"/>
      <c r="V270" s="286"/>
      <c r="W270" s="286"/>
    </row>
    <row r="271">
      <c r="A271" s="286"/>
      <c r="B271" s="286"/>
      <c r="C271" s="286"/>
      <c r="D271" s="286"/>
      <c r="E271" s="286"/>
      <c r="F271" s="286"/>
      <c r="G271" s="286"/>
      <c r="H271" s="286"/>
      <c r="I271" s="286"/>
      <c r="J271" s="286"/>
      <c r="K271" s="399"/>
      <c r="L271" s="399"/>
      <c r="M271" s="286"/>
      <c r="N271" s="286"/>
      <c r="O271" s="286"/>
      <c r="P271" s="286"/>
      <c r="Q271" s="286"/>
      <c r="R271" s="286"/>
      <c r="S271" s="286"/>
      <c r="T271" s="286"/>
      <c r="U271" s="286"/>
      <c r="V271" s="286"/>
      <c r="W271" s="286"/>
    </row>
    <row r="272">
      <c r="A272" s="286"/>
      <c r="B272" s="286"/>
      <c r="C272" s="286"/>
      <c r="D272" s="286"/>
      <c r="E272" s="286"/>
      <c r="F272" s="286"/>
      <c r="G272" s="286"/>
      <c r="H272" s="286"/>
      <c r="I272" s="286"/>
      <c r="J272" s="286"/>
      <c r="K272" s="399"/>
      <c r="L272" s="399"/>
      <c r="M272" s="286"/>
      <c r="N272" s="286"/>
      <c r="O272" s="286"/>
      <c r="P272" s="286"/>
      <c r="Q272" s="286"/>
      <c r="R272" s="286"/>
      <c r="S272" s="286"/>
      <c r="T272" s="286"/>
      <c r="U272" s="286"/>
      <c r="V272" s="286"/>
      <c r="W272" s="286"/>
    </row>
    <row r="273">
      <c r="A273" s="286"/>
      <c r="B273" s="286"/>
      <c r="C273" s="286"/>
      <c r="D273" s="286"/>
      <c r="E273" s="286"/>
      <c r="F273" s="286"/>
      <c r="G273" s="286"/>
      <c r="H273" s="286"/>
      <c r="I273" s="286"/>
      <c r="J273" s="286"/>
      <c r="K273" s="399"/>
      <c r="L273" s="399"/>
      <c r="M273" s="286"/>
      <c r="N273" s="286"/>
      <c r="O273" s="286"/>
      <c r="P273" s="286"/>
      <c r="Q273" s="286"/>
      <c r="R273" s="286"/>
      <c r="S273" s="286"/>
      <c r="T273" s="286"/>
      <c r="U273" s="286"/>
      <c r="V273" s="286"/>
      <c r="W273" s="286"/>
    </row>
    <row r="274">
      <c r="A274" s="286"/>
      <c r="B274" s="286"/>
      <c r="C274" s="286"/>
      <c r="D274" s="286"/>
      <c r="E274" s="286"/>
      <c r="F274" s="286"/>
      <c r="G274" s="286"/>
      <c r="H274" s="286"/>
      <c r="I274" s="286"/>
      <c r="J274" s="286"/>
      <c r="K274" s="399"/>
      <c r="L274" s="399"/>
      <c r="M274" s="286"/>
      <c r="N274" s="286"/>
      <c r="O274" s="286"/>
      <c r="P274" s="286"/>
      <c r="Q274" s="286"/>
      <c r="R274" s="286"/>
      <c r="S274" s="286"/>
      <c r="T274" s="286"/>
      <c r="U274" s="286"/>
      <c r="V274" s="286"/>
      <c r="W274" s="286"/>
    </row>
    <row r="275">
      <c r="A275" s="286"/>
      <c r="B275" s="286"/>
      <c r="C275" s="286"/>
      <c r="D275" s="286"/>
      <c r="E275" s="286"/>
      <c r="F275" s="286"/>
      <c r="G275" s="286"/>
      <c r="H275" s="286"/>
      <c r="I275" s="286"/>
      <c r="J275" s="286"/>
      <c r="K275" s="399"/>
      <c r="L275" s="399"/>
      <c r="M275" s="286"/>
      <c r="N275" s="286"/>
      <c r="O275" s="286"/>
      <c r="P275" s="286"/>
      <c r="Q275" s="286"/>
      <c r="R275" s="286"/>
      <c r="S275" s="286"/>
      <c r="T275" s="286"/>
      <c r="U275" s="286"/>
      <c r="V275" s="286"/>
      <c r="W275" s="286"/>
    </row>
    <row r="276">
      <c r="A276" s="286"/>
      <c r="B276" s="286"/>
      <c r="C276" s="286"/>
      <c r="D276" s="286"/>
      <c r="E276" s="286"/>
      <c r="F276" s="286"/>
      <c r="G276" s="286"/>
      <c r="H276" s="286"/>
      <c r="I276" s="286"/>
      <c r="J276" s="286"/>
      <c r="K276" s="399"/>
      <c r="L276" s="399"/>
      <c r="M276" s="286"/>
      <c r="N276" s="286"/>
      <c r="O276" s="286"/>
      <c r="P276" s="286"/>
      <c r="Q276" s="286"/>
      <c r="R276" s="286"/>
      <c r="S276" s="286"/>
      <c r="T276" s="286"/>
      <c r="U276" s="286"/>
      <c r="V276" s="286"/>
      <c r="W276" s="286"/>
    </row>
    <row r="277">
      <c r="A277" s="286"/>
      <c r="B277" s="286"/>
      <c r="C277" s="286"/>
      <c r="D277" s="286"/>
      <c r="E277" s="286"/>
      <c r="F277" s="286"/>
      <c r="G277" s="286"/>
      <c r="H277" s="286"/>
      <c r="I277" s="286"/>
      <c r="J277" s="286"/>
      <c r="K277" s="399"/>
      <c r="L277" s="399"/>
      <c r="M277" s="286"/>
      <c r="N277" s="286"/>
      <c r="O277" s="286"/>
      <c r="P277" s="286"/>
      <c r="Q277" s="286"/>
      <c r="R277" s="286"/>
      <c r="S277" s="286"/>
      <c r="T277" s="286"/>
      <c r="U277" s="286"/>
      <c r="V277" s="286"/>
      <c r="W277" s="286"/>
    </row>
    <row r="278">
      <c r="A278" s="286"/>
      <c r="B278" s="286"/>
      <c r="C278" s="286"/>
      <c r="D278" s="286"/>
      <c r="E278" s="286"/>
      <c r="F278" s="286"/>
      <c r="G278" s="286"/>
      <c r="H278" s="286"/>
      <c r="I278" s="286"/>
      <c r="J278" s="286"/>
      <c r="K278" s="399"/>
      <c r="L278" s="399"/>
      <c r="M278" s="286"/>
      <c r="N278" s="286"/>
      <c r="O278" s="286"/>
      <c r="P278" s="286"/>
      <c r="Q278" s="286"/>
      <c r="R278" s="286"/>
      <c r="S278" s="286"/>
      <c r="T278" s="286"/>
      <c r="U278" s="286"/>
      <c r="V278" s="286"/>
      <c r="W278" s="286"/>
    </row>
    <row r="279">
      <c r="A279" s="286"/>
      <c r="B279" s="286"/>
      <c r="C279" s="286"/>
      <c r="D279" s="286"/>
      <c r="E279" s="286"/>
      <c r="F279" s="286"/>
      <c r="G279" s="286"/>
      <c r="H279" s="286"/>
      <c r="I279" s="286"/>
      <c r="J279" s="286"/>
      <c r="K279" s="399"/>
      <c r="L279" s="399"/>
      <c r="M279" s="286"/>
      <c r="N279" s="286"/>
      <c r="O279" s="286"/>
      <c r="P279" s="286"/>
      <c r="Q279" s="286"/>
      <c r="R279" s="286"/>
      <c r="S279" s="286"/>
      <c r="T279" s="286"/>
      <c r="U279" s="286"/>
      <c r="V279" s="286"/>
      <c r="W279" s="286"/>
    </row>
    <row r="280">
      <c r="A280" s="286"/>
      <c r="B280" s="286"/>
      <c r="C280" s="286"/>
      <c r="D280" s="286"/>
      <c r="E280" s="286"/>
      <c r="F280" s="286"/>
      <c r="G280" s="286"/>
      <c r="H280" s="286"/>
      <c r="I280" s="286"/>
      <c r="J280" s="286"/>
      <c r="K280" s="399"/>
      <c r="L280" s="399"/>
      <c r="M280" s="286"/>
      <c r="N280" s="286"/>
      <c r="O280" s="286"/>
      <c r="P280" s="286"/>
      <c r="Q280" s="286"/>
      <c r="R280" s="286"/>
      <c r="S280" s="286"/>
      <c r="T280" s="286"/>
      <c r="U280" s="286"/>
      <c r="V280" s="286"/>
      <c r="W280" s="286"/>
    </row>
    <row r="281">
      <c r="A281" s="286"/>
      <c r="B281" s="286"/>
      <c r="C281" s="286"/>
      <c r="D281" s="286"/>
      <c r="E281" s="286"/>
      <c r="F281" s="286"/>
      <c r="G281" s="286"/>
      <c r="H281" s="286"/>
      <c r="I281" s="286"/>
      <c r="J281" s="286"/>
      <c r="K281" s="399"/>
      <c r="L281" s="399"/>
      <c r="M281" s="286"/>
      <c r="N281" s="286"/>
      <c r="O281" s="286"/>
      <c r="P281" s="286"/>
      <c r="Q281" s="286"/>
      <c r="R281" s="286"/>
      <c r="S281" s="286"/>
      <c r="T281" s="286"/>
      <c r="U281" s="286"/>
      <c r="V281" s="286"/>
      <c r="W281" s="286"/>
    </row>
    <row r="282">
      <c r="A282" s="286"/>
      <c r="B282" s="286"/>
      <c r="C282" s="286"/>
      <c r="D282" s="286"/>
      <c r="E282" s="286"/>
      <c r="F282" s="286"/>
      <c r="G282" s="286"/>
      <c r="H282" s="286"/>
      <c r="I282" s="286"/>
      <c r="J282" s="286"/>
      <c r="K282" s="399"/>
      <c r="L282" s="399"/>
      <c r="M282" s="286"/>
      <c r="N282" s="286"/>
      <c r="O282" s="286"/>
      <c r="P282" s="286"/>
      <c r="Q282" s="286"/>
      <c r="R282" s="286"/>
      <c r="S282" s="286"/>
      <c r="T282" s="286"/>
      <c r="U282" s="286"/>
      <c r="V282" s="286"/>
      <c r="W282" s="286"/>
    </row>
    <row r="283">
      <c r="A283" s="286"/>
      <c r="B283" s="286"/>
      <c r="C283" s="286"/>
      <c r="D283" s="286"/>
      <c r="E283" s="286"/>
      <c r="F283" s="286"/>
      <c r="G283" s="286"/>
      <c r="H283" s="286"/>
      <c r="I283" s="286"/>
      <c r="J283" s="286"/>
      <c r="K283" s="399"/>
      <c r="L283" s="399"/>
      <c r="M283" s="286"/>
      <c r="N283" s="286"/>
      <c r="O283" s="286"/>
      <c r="P283" s="286"/>
      <c r="Q283" s="286"/>
      <c r="R283" s="286"/>
      <c r="S283" s="286"/>
      <c r="T283" s="286"/>
      <c r="U283" s="286"/>
      <c r="V283" s="286"/>
      <c r="W283" s="286"/>
    </row>
    <row r="284">
      <c r="A284" s="286"/>
      <c r="B284" s="286"/>
      <c r="C284" s="286"/>
      <c r="D284" s="286"/>
      <c r="E284" s="286"/>
      <c r="F284" s="286"/>
      <c r="G284" s="286"/>
      <c r="H284" s="286"/>
      <c r="I284" s="286"/>
      <c r="J284" s="286"/>
      <c r="K284" s="399"/>
      <c r="L284" s="399"/>
      <c r="M284" s="286"/>
      <c r="N284" s="286"/>
      <c r="O284" s="286"/>
      <c r="P284" s="286"/>
      <c r="Q284" s="286"/>
      <c r="R284" s="286"/>
      <c r="S284" s="286"/>
      <c r="T284" s="286"/>
      <c r="U284" s="286"/>
      <c r="V284" s="286"/>
      <c r="W284" s="286"/>
    </row>
    <row r="285">
      <c r="A285" s="286"/>
      <c r="B285" s="286"/>
      <c r="C285" s="286"/>
      <c r="D285" s="286"/>
      <c r="E285" s="286"/>
      <c r="F285" s="286"/>
      <c r="G285" s="286"/>
      <c r="H285" s="286"/>
      <c r="I285" s="286"/>
      <c r="J285" s="286"/>
      <c r="K285" s="399"/>
      <c r="L285" s="399"/>
      <c r="M285" s="286"/>
      <c r="N285" s="286"/>
      <c r="O285" s="286"/>
      <c r="P285" s="286"/>
      <c r="Q285" s="286"/>
      <c r="R285" s="286"/>
      <c r="S285" s="286"/>
      <c r="T285" s="286"/>
      <c r="U285" s="286"/>
      <c r="V285" s="286"/>
      <c r="W285" s="286"/>
    </row>
    <row r="286">
      <c r="A286" s="286"/>
      <c r="B286" s="286"/>
      <c r="C286" s="286"/>
      <c r="D286" s="286"/>
      <c r="E286" s="286"/>
      <c r="F286" s="286"/>
      <c r="G286" s="286"/>
      <c r="H286" s="286"/>
      <c r="I286" s="286"/>
      <c r="J286" s="286"/>
      <c r="K286" s="399"/>
      <c r="L286" s="399"/>
      <c r="M286" s="286"/>
      <c r="N286" s="286"/>
      <c r="O286" s="286"/>
      <c r="P286" s="286"/>
      <c r="Q286" s="286"/>
      <c r="R286" s="286"/>
      <c r="S286" s="286"/>
      <c r="T286" s="286"/>
      <c r="U286" s="286"/>
      <c r="V286" s="286"/>
      <c r="W286" s="286"/>
    </row>
    <row r="287">
      <c r="A287" s="286"/>
      <c r="B287" s="286"/>
      <c r="C287" s="286"/>
      <c r="D287" s="286"/>
      <c r="E287" s="286"/>
      <c r="F287" s="286"/>
      <c r="G287" s="286"/>
      <c r="H287" s="286"/>
      <c r="I287" s="286"/>
      <c r="J287" s="286"/>
      <c r="K287" s="399"/>
      <c r="L287" s="399"/>
      <c r="M287" s="286"/>
      <c r="N287" s="286"/>
      <c r="O287" s="286"/>
      <c r="P287" s="286"/>
      <c r="Q287" s="286"/>
      <c r="R287" s="286"/>
      <c r="S287" s="286"/>
      <c r="T287" s="286"/>
      <c r="U287" s="286"/>
      <c r="V287" s="286"/>
      <c r="W287" s="286"/>
    </row>
    <row r="288">
      <c r="A288" s="286"/>
      <c r="B288" s="286"/>
      <c r="C288" s="286"/>
      <c r="D288" s="286"/>
      <c r="E288" s="286"/>
      <c r="F288" s="286"/>
      <c r="G288" s="286"/>
      <c r="H288" s="286"/>
      <c r="I288" s="286"/>
      <c r="J288" s="286"/>
      <c r="K288" s="399"/>
      <c r="L288" s="399"/>
      <c r="M288" s="286"/>
      <c r="N288" s="286"/>
      <c r="O288" s="286"/>
      <c r="P288" s="286"/>
      <c r="Q288" s="286"/>
      <c r="R288" s="286"/>
      <c r="S288" s="286"/>
      <c r="T288" s="286"/>
      <c r="U288" s="286"/>
      <c r="V288" s="286"/>
      <c r="W288" s="286"/>
    </row>
    <row r="289">
      <c r="A289" s="286"/>
      <c r="B289" s="286"/>
      <c r="C289" s="286"/>
      <c r="D289" s="286"/>
      <c r="E289" s="286"/>
      <c r="F289" s="286"/>
      <c r="G289" s="286"/>
      <c r="H289" s="286"/>
      <c r="I289" s="286"/>
      <c r="J289" s="286"/>
      <c r="K289" s="399"/>
      <c r="L289" s="399"/>
      <c r="M289" s="286"/>
      <c r="N289" s="286"/>
      <c r="O289" s="286"/>
      <c r="P289" s="286"/>
      <c r="Q289" s="286"/>
      <c r="R289" s="286"/>
      <c r="S289" s="286"/>
      <c r="T289" s="286"/>
      <c r="U289" s="286"/>
      <c r="V289" s="286"/>
      <c r="W289" s="286"/>
    </row>
    <row r="290">
      <c r="A290" s="286"/>
      <c r="B290" s="286"/>
      <c r="C290" s="286"/>
      <c r="D290" s="286"/>
      <c r="E290" s="286"/>
      <c r="F290" s="286"/>
      <c r="G290" s="286"/>
      <c r="H290" s="286"/>
      <c r="I290" s="286"/>
      <c r="J290" s="286"/>
      <c r="K290" s="399"/>
      <c r="L290" s="399"/>
      <c r="M290" s="286"/>
      <c r="N290" s="286"/>
      <c r="O290" s="286"/>
      <c r="P290" s="286"/>
      <c r="Q290" s="286"/>
      <c r="R290" s="286"/>
      <c r="S290" s="286"/>
      <c r="T290" s="286"/>
      <c r="U290" s="286"/>
      <c r="V290" s="286"/>
      <c r="W290" s="286"/>
    </row>
    <row r="291">
      <c r="A291" s="286"/>
      <c r="B291" s="286"/>
      <c r="C291" s="286"/>
      <c r="D291" s="286"/>
      <c r="E291" s="286"/>
      <c r="F291" s="286"/>
      <c r="G291" s="286"/>
      <c r="H291" s="286"/>
      <c r="I291" s="286"/>
      <c r="J291" s="286"/>
      <c r="K291" s="399"/>
      <c r="L291" s="399"/>
      <c r="M291" s="286"/>
      <c r="N291" s="286"/>
      <c r="O291" s="286"/>
      <c r="P291" s="286"/>
      <c r="Q291" s="286"/>
      <c r="R291" s="286"/>
      <c r="S291" s="286"/>
      <c r="T291" s="286"/>
      <c r="U291" s="286"/>
      <c r="V291" s="286"/>
      <c r="W291" s="286"/>
    </row>
    <row r="292">
      <c r="A292" s="286"/>
      <c r="B292" s="286"/>
      <c r="C292" s="286"/>
      <c r="D292" s="286"/>
      <c r="E292" s="286"/>
      <c r="F292" s="286"/>
      <c r="G292" s="286"/>
      <c r="H292" s="286"/>
      <c r="I292" s="286"/>
      <c r="J292" s="286"/>
      <c r="K292" s="399"/>
      <c r="L292" s="399"/>
      <c r="M292" s="286"/>
      <c r="N292" s="286"/>
      <c r="O292" s="286"/>
      <c r="P292" s="286"/>
      <c r="Q292" s="286"/>
      <c r="R292" s="286"/>
      <c r="S292" s="286"/>
      <c r="T292" s="286"/>
      <c r="U292" s="286"/>
      <c r="V292" s="286"/>
      <c r="W292" s="286"/>
    </row>
    <row r="293">
      <c r="A293" s="286"/>
      <c r="B293" s="286"/>
      <c r="C293" s="286"/>
      <c r="D293" s="286"/>
      <c r="E293" s="286"/>
      <c r="F293" s="286"/>
      <c r="G293" s="286"/>
      <c r="H293" s="286"/>
      <c r="I293" s="286"/>
      <c r="J293" s="286"/>
      <c r="K293" s="399"/>
      <c r="L293" s="399"/>
      <c r="M293" s="286"/>
      <c r="N293" s="286"/>
      <c r="O293" s="286"/>
      <c r="P293" s="286"/>
      <c r="Q293" s="286"/>
      <c r="R293" s="286"/>
      <c r="S293" s="286"/>
      <c r="T293" s="286"/>
      <c r="U293" s="286"/>
      <c r="V293" s="286"/>
      <c r="W293" s="286"/>
    </row>
    <row r="294">
      <c r="A294" s="286"/>
      <c r="B294" s="286"/>
      <c r="C294" s="286"/>
      <c r="D294" s="286"/>
      <c r="E294" s="286"/>
      <c r="F294" s="286"/>
      <c r="G294" s="286"/>
      <c r="H294" s="286"/>
      <c r="I294" s="286"/>
      <c r="J294" s="286"/>
      <c r="K294" s="399"/>
      <c r="L294" s="399"/>
      <c r="M294" s="286"/>
      <c r="N294" s="286"/>
      <c r="O294" s="286"/>
      <c r="P294" s="286"/>
      <c r="Q294" s="286"/>
      <c r="R294" s="286"/>
      <c r="S294" s="286"/>
      <c r="T294" s="286"/>
      <c r="U294" s="286"/>
      <c r="V294" s="286"/>
      <c r="W294" s="286"/>
    </row>
    <row r="295">
      <c r="A295" s="286"/>
      <c r="B295" s="286"/>
      <c r="C295" s="286"/>
      <c r="D295" s="286"/>
      <c r="E295" s="286"/>
      <c r="F295" s="286"/>
      <c r="G295" s="286"/>
      <c r="H295" s="286"/>
      <c r="I295" s="286"/>
      <c r="J295" s="286"/>
      <c r="K295" s="399"/>
      <c r="L295" s="399"/>
      <c r="M295" s="286"/>
      <c r="N295" s="286"/>
      <c r="O295" s="286"/>
      <c r="P295" s="286"/>
      <c r="Q295" s="286"/>
      <c r="R295" s="286"/>
      <c r="S295" s="286"/>
      <c r="T295" s="286"/>
      <c r="U295" s="286"/>
      <c r="V295" s="286"/>
      <c r="W295" s="286"/>
    </row>
    <row r="296">
      <c r="A296" s="286"/>
      <c r="B296" s="286"/>
      <c r="C296" s="286"/>
      <c r="D296" s="286"/>
      <c r="E296" s="286"/>
      <c r="F296" s="286"/>
      <c r="G296" s="286"/>
      <c r="H296" s="286"/>
      <c r="I296" s="286"/>
      <c r="J296" s="286"/>
      <c r="K296" s="399"/>
      <c r="L296" s="399"/>
      <c r="M296" s="286"/>
      <c r="N296" s="286"/>
      <c r="O296" s="286"/>
      <c r="P296" s="286"/>
      <c r="Q296" s="286"/>
      <c r="R296" s="286"/>
      <c r="S296" s="286"/>
      <c r="T296" s="286"/>
      <c r="U296" s="286"/>
      <c r="V296" s="286"/>
      <c r="W296" s="286"/>
    </row>
    <row r="297">
      <c r="A297" s="286"/>
      <c r="B297" s="286"/>
      <c r="C297" s="286"/>
      <c r="D297" s="286"/>
      <c r="E297" s="286"/>
      <c r="F297" s="286"/>
      <c r="G297" s="286"/>
      <c r="H297" s="286"/>
      <c r="I297" s="286"/>
      <c r="J297" s="286"/>
      <c r="K297" s="399"/>
      <c r="L297" s="399"/>
      <c r="M297" s="286"/>
      <c r="N297" s="286"/>
      <c r="O297" s="286"/>
      <c r="P297" s="286"/>
      <c r="Q297" s="286"/>
      <c r="R297" s="286"/>
      <c r="S297" s="286"/>
      <c r="T297" s="286"/>
      <c r="U297" s="286"/>
      <c r="V297" s="286"/>
      <c r="W297" s="286"/>
    </row>
    <row r="298">
      <c r="A298" s="286"/>
      <c r="B298" s="286"/>
      <c r="C298" s="286"/>
      <c r="D298" s="286"/>
      <c r="E298" s="286"/>
      <c r="F298" s="286"/>
      <c r="G298" s="286"/>
      <c r="H298" s="286"/>
      <c r="I298" s="286"/>
      <c r="J298" s="286"/>
      <c r="K298" s="399"/>
      <c r="L298" s="399"/>
      <c r="M298" s="286"/>
      <c r="N298" s="286"/>
      <c r="O298" s="286"/>
      <c r="P298" s="286"/>
      <c r="Q298" s="286"/>
      <c r="R298" s="286"/>
      <c r="S298" s="286"/>
      <c r="T298" s="286"/>
      <c r="U298" s="286"/>
      <c r="V298" s="286"/>
      <c r="W298" s="286"/>
    </row>
    <row r="299">
      <c r="A299" s="286"/>
      <c r="B299" s="286"/>
      <c r="C299" s="286"/>
      <c r="D299" s="286"/>
      <c r="E299" s="286"/>
      <c r="F299" s="286"/>
      <c r="G299" s="286"/>
      <c r="H299" s="286"/>
      <c r="I299" s="286"/>
      <c r="J299" s="286"/>
      <c r="K299" s="399"/>
      <c r="L299" s="399"/>
      <c r="M299" s="286"/>
      <c r="N299" s="286"/>
      <c r="O299" s="286"/>
      <c r="P299" s="286"/>
      <c r="Q299" s="286"/>
      <c r="R299" s="286"/>
      <c r="S299" s="286"/>
      <c r="T299" s="286"/>
      <c r="U299" s="286"/>
      <c r="V299" s="286"/>
      <c r="W299" s="286"/>
    </row>
    <row r="300">
      <c r="A300" s="286"/>
      <c r="B300" s="286"/>
      <c r="C300" s="286"/>
      <c r="D300" s="286"/>
      <c r="E300" s="286"/>
      <c r="F300" s="286"/>
      <c r="G300" s="286"/>
      <c r="H300" s="286"/>
      <c r="I300" s="286"/>
      <c r="J300" s="286"/>
      <c r="K300" s="399"/>
      <c r="L300" s="399"/>
      <c r="M300" s="286"/>
      <c r="N300" s="286"/>
      <c r="O300" s="286"/>
      <c r="P300" s="286"/>
      <c r="Q300" s="286"/>
      <c r="R300" s="286"/>
      <c r="S300" s="286"/>
      <c r="T300" s="286"/>
      <c r="U300" s="286"/>
      <c r="V300" s="286"/>
      <c r="W300" s="286"/>
    </row>
    <row r="301">
      <c r="A301" s="286"/>
      <c r="B301" s="286"/>
      <c r="C301" s="286"/>
      <c r="D301" s="286"/>
      <c r="E301" s="286"/>
      <c r="F301" s="286"/>
      <c r="G301" s="286"/>
      <c r="H301" s="286"/>
      <c r="I301" s="286"/>
      <c r="J301" s="286"/>
      <c r="K301" s="399"/>
      <c r="L301" s="399"/>
      <c r="M301" s="286"/>
      <c r="N301" s="286"/>
      <c r="O301" s="286"/>
      <c r="P301" s="286"/>
      <c r="Q301" s="286"/>
      <c r="R301" s="286"/>
      <c r="S301" s="286"/>
      <c r="T301" s="286"/>
      <c r="U301" s="286"/>
      <c r="V301" s="286"/>
      <c r="W301" s="286"/>
    </row>
    <row r="302">
      <c r="A302" s="286"/>
      <c r="B302" s="286"/>
      <c r="C302" s="286"/>
      <c r="D302" s="286"/>
      <c r="E302" s="286"/>
      <c r="F302" s="286"/>
      <c r="G302" s="286"/>
      <c r="H302" s="286"/>
      <c r="I302" s="286"/>
      <c r="J302" s="286"/>
      <c r="K302" s="399"/>
      <c r="L302" s="399"/>
      <c r="M302" s="286"/>
      <c r="N302" s="286"/>
      <c r="O302" s="286"/>
      <c r="P302" s="286"/>
      <c r="Q302" s="286"/>
      <c r="R302" s="286"/>
      <c r="S302" s="286"/>
      <c r="T302" s="286"/>
      <c r="U302" s="286"/>
      <c r="V302" s="286"/>
      <c r="W302" s="286"/>
    </row>
    <row r="303">
      <c r="A303" s="286"/>
      <c r="B303" s="286"/>
      <c r="C303" s="286"/>
      <c r="D303" s="286"/>
      <c r="E303" s="286"/>
      <c r="F303" s="286"/>
      <c r="G303" s="286"/>
      <c r="H303" s="286"/>
      <c r="I303" s="286"/>
      <c r="J303" s="286"/>
      <c r="K303" s="399"/>
      <c r="L303" s="399"/>
      <c r="M303" s="286"/>
      <c r="N303" s="286"/>
      <c r="O303" s="286"/>
      <c r="P303" s="286"/>
      <c r="Q303" s="286"/>
      <c r="R303" s="286"/>
      <c r="S303" s="286"/>
      <c r="T303" s="286"/>
      <c r="U303" s="286"/>
      <c r="V303" s="286"/>
      <c r="W303" s="286"/>
    </row>
    <row r="304">
      <c r="A304" s="286"/>
      <c r="B304" s="286"/>
      <c r="C304" s="286"/>
      <c r="D304" s="286"/>
      <c r="E304" s="286"/>
      <c r="F304" s="286"/>
      <c r="G304" s="286"/>
      <c r="H304" s="286"/>
      <c r="I304" s="286"/>
      <c r="J304" s="286"/>
      <c r="K304" s="399"/>
      <c r="L304" s="399"/>
      <c r="M304" s="286"/>
      <c r="N304" s="286"/>
      <c r="O304" s="286"/>
      <c r="P304" s="286"/>
      <c r="Q304" s="286"/>
      <c r="R304" s="286"/>
      <c r="S304" s="286"/>
      <c r="T304" s="286"/>
      <c r="U304" s="286"/>
      <c r="V304" s="286"/>
      <c r="W304" s="286"/>
    </row>
    <row r="305">
      <c r="A305" s="286"/>
      <c r="B305" s="286"/>
      <c r="C305" s="286"/>
      <c r="D305" s="286"/>
      <c r="E305" s="286"/>
      <c r="F305" s="286"/>
      <c r="G305" s="286"/>
      <c r="H305" s="286"/>
      <c r="I305" s="286"/>
      <c r="J305" s="286"/>
      <c r="K305" s="399"/>
      <c r="L305" s="399"/>
      <c r="M305" s="286"/>
      <c r="N305" s="286"/>
      <c r="O305" s="286"/>
      <c r="P305" s="286"/>
      <c r="Q305" s="286"/>
      <c r="R305" s="286"/>
      <c r="S305" s="286"/>
      <c r="T305" s="286"/>
      <c r="U305" s="286"/>
      <c r="V305" s="286"/>
      <c r="W305" s="286"/>
    </row>
    <row r="306">
      <c r="A306" s="286"/>
      <c r="B306" s="286"/>
      <c r="C306" s="286"/>
      <c r="D306" s="286"/>
      <c r="E306" s="286"/>
      <c r="F306" s="286"/>
      <c r="G306" s="286"/>
      <c r="H306" s="286"/>
      <c r="I306" s="286"/>
      <c r="J306" s="286"/>
      <c r="K306" s="399"/>
      <c r="L306" s="399"/>
      <c r="M306" s="286"/>
      <c r="N306" s="286"/>
      <c r="O306" s="286"/>
      <c r="P306" s="286"/>
      <c r="Q306" s="286"/>
      <c r="R306" s="286"/>
      <c r="S306" s="286"/>
      <c r="T306" s="286"/>
      <c r="U306" s="286"/>
      <c r="V306" s="286"/>
      <c r="W306" s="286"/>
    </row>
    <row r="307">
      <c r="A307" s="286"/>
      <c r="B307" s="286"/>
      <c r="C307" s="286"/>
      <c r="D307" s="286"/>
      <c r="E307" s="286"/>
      <c r="F307" s="286"/>
      <c r="G307" s="286"/>
      <c r="H307" s="286"/>
      <c r="I307" s="286"/>
      <c r="J307" s="286"/>
      <c r="K307" s="399"/>
      <c r="L307" s="399"/>
      <c r="M307" s="286"/>
      <c r="N307" s="286"/>
      <c r="O307" s="286"/>
      <c r="P307" s="286"/>
      <c r="Q307" s="286"/>
      <c r="R307" s="286"/>
      <c r="S307" s="286"/>
      <c r="T307" s="286"/>
      <c r="U307" s="286"/>
      <c r="V307" s="286"/>
      <c r="W307" s="286"/>
    </row>
    <row r="308">
      <c r="A308" s="286"/>
      <c r="B308" s="286"/>
      <c r="C308" s="286"/>
      <c r="D308" s="286"/>
      <c r="E308" s="286"/>
      <c r="F308" s="286"/>
      <c r="G308" s="286"/>
      <c r="H308" s="286"/>
      <c r="I308" s="286"/>
      <c r="J308" s="286"/>
      <c r="K308" s="399"/>
      <c r="L308" s="399"/>
      <c r="M308" s="286"/>
      <c r="N308" s="286"/>
      <c r="O308" s="286"/>
      <c r="P308" s="286"/>
      <c r="Q308" s="286"/>
      <c r="R308" s="286"/>
      <c r="S308" s="286"/>
      <c r="T308" s="286"/>
      <c r="U308" s="286"/>
      <c r="V308" s="286"/>
      <c r="W308" s="286"/>
    </row>
    <row r="309">
      <c r="A309" s="286"/>
      <c r="B309" s="286"/>
      <c r="C309" s="286"/>
      <c r="D309" s="286"/>
      <c r="E309" s="286"/>
      <c r="F309" s="286"/>
      <c r="G309" s="286"/>
      <c r="H309" s="286"/>
      <c r="I309" s="286"/>
      <c r="J309" s="286"/>
      <c r="K309" s="399"/>
      <c r="L309" s="399"/>
      <c r="M309" s="286"/>
      <c r="N309" s="286"/>
      <c r="O309" s="286"/>
      <c r="P309" s="286"/>
      <c r="Q309" s="286"/>
      <c r="R309" s="286"/>
      <c r="S309" s="286"/>
      <c r="T309" s="286"/>
      <c r="U309" s="286"/>
      <c r="V309" s="286"/>
      <c r="W309" s="286"/>
    </row>
    <row r="310">
      <c r="A310" s="286"/>
      <c r="B310" s="286"/>
      <c r="C310" s="286"/>
      <c r="D310" s="286"/>
      <c r="E310" s="286"/>
      <c r="F310" s="286"/>
      <c r="G310" s="286"/>
      <c r="H310" s="286"/>
      <c r="I310" s="286"/>
      <c r="J310" s="286"/>
      <c r="K310" s="399"/>
      <c r="L310" s="399"/>
      <c r="M310" s="286"/>
      <c r="N310" s="286"/>
      <c r="O310" s="286"/>
      <c r="P310" s="286"/>
      <c r="Q310" s="286"/>
      <c r="R310" s="286"/>
      <c r="S310" s="286"/>
      <c r="T310" s="286"/>
      <c r="U310" s="286"/>
      <c r="V310" s="286"/>
      <c r="W310" s="286"/>
    </row>
    <row r="311">
      <c r="A311" s="286"/>
      <c r="B311" s="286"/>
      <c r="C311" s="286"/>
      <c r="D311" s="286"/>
      <c r="E311" s="286"/>
      <c r="F311" s="286"/>
      <c r="G311" s="286"/>
      <c r="H311" s="286"/>
      <c r="I311" s="286"/>
      <c r="J311" s="286"/>
      <c r="K311" s="399"/>
      <c r="L311" s="399"/>
      <c r="M311" s="286"/>
      <c r="N311" s="286"/>
      <c r="O311" s="286"/>
      <c r="P311" s="286"/>
      <c r="Q311" s="286"/>
      <c r="R311" s="286"/>
      <c r="S311" s="286"/>
      <c r="T311" s="286"/>
      <c r="U311" s="286"/>
      <c r="V311" s="286"/>
      <c r="W311" s="286"/>
    </row>
    <row r="312">
      <c r="A312" s="286"/>
      <c r="B312" s="286"/>
      <c r="C312" s="286"/>
      <c r="D312" s="286"/>
      <c r="E312" s="286"/>
      <c r="F312" s="286"/>
      <c r="G312" s="286"/>
      <c r="H312" s="286"/>
      <c r="I312" s="286"/>
      <c r="J312" s="286"/>
      <c r="K312" s="399"/>
      <c r="L312" s="399"/>
      <c r="M312" s="286"/>
      <c r="N312" s="286"/>
      <c r="O312" s="286"/>
      <c r="P312" s="286"/>
      <c r="Q312" s="286"/>
      <c r="R312" s="286"/>
      <c r="S312" s="286"/>
      <c r="T312" s="286"/>
      <c r="U312" s="286"/>
      <c r="V312" s="286"/>
      <c r="W312" s="286"/>
    </row>
    <row r="313">
      <c r="A313" s="286"/>
      <c r="B313" s="286"/>
      <c r="C313" s="286"/>
      <c r="D313" s="286"/>
      <c r="E313" s="286"/>
      <c r="F313" s="286"/>
      <c r="G313" s="286"/>
      <c r="H313" s="286"/>
      <c r="I313" s="286"/>
      <c r="J313" s="286"/>
      <c r="K313" s="399"/>
      <c r="L313" s="399"/>
      <c r="M313" s="286"/>
      <c r="N313" s="286"/>
      <c r="O313" s="286"/>
      <c r="P313" s="286"/>
      <c r="Q313" s="286"/>
      <c r="R313" s="286"/>
      <c r="S313" s="286"/>
      <c r="T313" s="286"/>
      <c r="U313" s="286"/>
      <c r="V313" s="286"/>
      <c r="W313" s="286"/>
    </row>
    <row r="314">
      <c r="A314" s="286"/>
      <c r="B314" s="286"/>
      <c r="C314" s="286"/>
      <c r="D314" s="286"/>
      <c r="E314" s="286"/>
      <c r="F314" s="286"/>
      <c r="G314" s="286"/>
      <c r="H314" s="286"/>
      <c r="I314" s="286"/>
      <c r="J314" s="286"/>
      <c r="K314" s="399"/>
      <c r="L314" s="399"/>
      <c r="M314" s="286"/>
      <c r="N314" s="286"/>
      <c r="O314" s="286"/>
      <c r="P314" s="286"/>
      <c r="Q314" s="286"/>
      <c r="R314" s="286"/>
      <c r="S314" s="286"/>
      <c r="T314" s="286"/>
      <c r="U314" s="286"/>
      <c r="V314" s="286"/>
      <c r="W314" s="286"/>
    </row>
    <row r="315">
      <c r="A315" s="286"/>
      <c r="B315" s="286"/>
      <c r="C315" s="286"/>
      <c r="D315" s="286"/>
      <c r="E315" s="286"/>
      <c r="F315" s="286"/>
      <c r="G315" s="286"/>
      <c r="H315" s="286"/>
      <c r="I315" s="286"/>
      <c r="J315" s="286"/>
      <c r="K315" s="399"/>
      <c r="L315" s="399"/>
      <c r="M315" s="286"/>
      <c r="N315" s="286"/>
      <c r="O315" s="286"/>
      <c r="P315" s="286"/>
      <c r="Q315" s="286"/>
      <c r="R315" s="286"/>
      <c r="S315" s="286"/>
      <c r="T315" s="286"/>
      <c r="U315" s="286"/>
      <c r="V315" s="286"/>
      <c r="W315" s="286"/>
    </row>
    <row r="316">
      <c r="A316" s="286"/>
      <c r="B316" s="286"/>
      <c r="C316" s="286"/>
      <c r="D316" s="286"/>
      <c r="E316" s="286"/>
      <c r="F316" s="286"/>
      <c r="G316" s="286"/>
      <c r="H316" s="286"/>
      <c r="I316" s="286"/>
      <c r="J316" s="286"/>
      <c r="K316" s="399"/>
      <c r="L316" s="399"/>
      <c r="M316" s="286"/>
      <c r="N316" s="286"/>
      <c r="O316" s="286"/>
      <c r="P316" s="286"/>
      <c r="Q316" s="286"/>
      <c r="R316" s="286"/>
      <c r="S316" s="286"/>
      <c r="T316" s="286"/>
      <c r="U316" s="286"/>
      <c r="V316" s="286"/>
      <c r="W316" s="286"/>
    </row>
    <row r="317">
      <c r="A317" s="286"/>
      <c r="B317" s="286"/>
      <c r="C317" s="286"/>
      <c r="D317" s="286"/>
      <c r="E317" s="286"/>
      <c r="F317" s="286"/>
      <c r="G317" s="286"/>
      <c r="H317" s="286"/>
      <c r="I317" s="286"/>
      <c r="J317" s="286"/>
      <c r="K317" s="399"/>
      <c r="L317" s="399"/>
      <c r="M317" s="286"/>
      <c r="N317" s="286"/>
      <c r="O317" s="286"/>
      <c r="P317" s="286"/>
      <c r="Q317" s="286"/>
      <c r="R317" s="286"/>
      <c r="S317" s="286"/>
      <c r="T317" s="286"/>
      <c r="U317" s="286"/>
      <c r="V317" s="286"/>
      <c r="W317" s="286"/>
    </row>
    <row r="318">
      <c r="A318" s="286"/>
      <c r="B318" s="286"/>
      <c r="C318" s="286"/>
      <c r="D318" s="286"/>
      <c r="E318" s="286"/>
      <c r="F318" s="286"/>
      <c r="G318" s="286"/>
      <c r="H318" s="286"/>
      <c r="I318" s="286"/>
      <c r="J318" s="286"/>
      <c r="K318" s="399"/>
      <c r="L318" s="399"/>
      <c r="M318" s="286"/>
      <c r="N318" s="286"/>
      <c r="O318" s="286"/>
      <c r="P318" s="286"/>
      <c r="Q318" s="286"/>
      <c r="R318" s="286"/>
      <c r="S318" s="286"/>
      <c r="T318" s="286"/>
      <c r="U318" s="286"/>
      <c r="V318" s="286"/>
      <c r="W318" s="286"/>
    </row>
    <row r="319">
      <c r="A319" s="286"/>
      <c r="B319" s="286"/>
      <c r="C319" s="286"/>
      <c r="D319" s="286"/>
      <c r="E319" s="286"/>
      <c r="F319" s="286"/>
      <c r="G319" s="286"/>
      <c r="H319" s="286"/>
      <c r="I319" s="286"/>
      <c r="J319" s="286"/>
      <c r="K319" s="399"/>
      <c r="L319" s="399"/>
      <c r="M319" s="286"/>
      <c r="N319" s="286"/>
      <c r="O319" s="286"/>
      <c r="P319" s="286"/>
      <c r="Q319" s="286"/>
      <c r="R319" s="286"/>
      <c r="S319" s="286"/>
      <c r="T319" s="286"/>
      <c r="U319" s="286"/>
      <c r="V319" s="286"/>
      <c r="W319" s="286"/>
    </row>
    <row r="320">
      <c r="A320" s="286"/>
      <c r="B320" s="286"/>
      <c r="C320" s="286"/>
      <c r="D320" s="286"/>
      <c r="E320" s="286"/>
      <c r="F320" s="286"/>
      <c r="G320" s="286"/>
      <c r="H320" s="286"/>
      <c r="I320" s="286"/>
      <c r="J320" s="286"/>
      <c r="K320" s="399"/>
      <c r="L320" s="399"/>
      <c r="M320" s="286"/>
      <c r="N320" s="286"/>
      <c r="O320" s="286"/>
      <c r="P320" s="286"/>
      <c r="Q320" s="286"/>
      <c r="R320" s="286"/>
      <c r="S320" s="286"/>
      <c r="T320" s="286"/>
      <c r="U320" s="286"/>
      <c r="V320" s="286"/>
      <c r="W320" s="286"/>
    </row>
    <row r="321">
      <c r="A321" s="286"/>
      <c r="B321" s="286"/>
      <c r="C321" s="286"/>
      <c r="D321" s="286"/>
      <c r="E321" s="286"/>
      <c r="F321" s="286"/>
      <c r="G321" s="286"/>
      <c r="H321" s="286"/>
      <c r="I321" s="286"/>
      <c r="J321" s="286"/>
      <c r="K321" s="399"/>
      <c r="L321" s="399"/>
      <c r="M321" s="286"/>
      <c r="N321" s="286"/>
      <c r="O321" s="286"/>
      <c r="P321" s="286"/>
      <c r="Q321" s="286"/>
      <c r="R321" s="286"/>
      <c r="S321" s="286"/>
      <c r="T321" s="286"/>
      <c r="U321" s="286"/>
      <c r="V321" s="286"/>
      <c r="W321" s="286"/>
    </row>
    <row r="322">
      <c r="A322" s="286"/>
      <c r="B322" s="286"/>
      <c r="C322" s="286"/>
      <c r="D322" s="286"/>
      <c r="E322" s="286"/>
      <c r="F322" s="286"/>
      <c r="G322" s="286"/>
      <c r="H322" s="286"/>
      <c r="I322" s="286"/>
      <c r="J322" s="286"/>
      <c r="K322" s="399"/>
      <c r="L322" s="399"/>
      <c r="M322" s="286"/>
      <c r="N322" s="286"/>
      <c r="O322" s="286"/>
      <c r="P322" s="286"/>
      <c r="Q322" s="286"/>
      <c r="R322" s="286"/>
      <c r="S322" s="286"/>
      <c r="T322" s="286"/>
      <c r="U322" s="286"/>
      <c r="V322" s="286"/>
      <c r="W322" s="286"/>
    </row>
    <row r="323">
      <c r="A323" s="286"/>
      <c r="B323" s="286"/>
      <c r="C323" s="286"/>
      <c r="D323" s="286"/>
      <c r="E323" s="286"/>
      <c r="F323" s="286"/>
      <c r="G323" s="286"/>
      <c r="H323" s="286"/>
      <c r="I323" s="286"/>
      <c r="J323" s="286"/>
      <c r="K323" s="399"/>
      <c r="L323" s="399"/>
      <c r="M323" s="286"/>
      <c r="N323" s="286"/>
      <c r="O323" s="286"/>
      <c r="P323" s="286"/>
      <c r="Q323" s="286"/>
      <c r="R323" s="286"/>
      <c r="S323" s="286"/>
      <c r="T323" s="286"/>
      <c r="U323" s="286"/>
      <c r="V323" s="286"/>
      <c r="W323" s="286"/>
    </row>
    <row r="324">
      <c r="A324" s="286"/>
      <c r="B324" s="286"/>
      <c r="C324" s="286"/>
      <c r="D324" s="286"/>
      <c r="E324" s="286"/>
      <c r="F324" s="286"/>
      <c r="G324" s="286"/>
      <c r="H324" s="286"/>
      <c r="I324" s="286"/>
      <c r="J324" s="286"/>
      <c r="K324" s="399"/>
      <c r="L324" s="399"/>
      <c r="M324" s="286"/>
      <c r="N324" s="286"/>
      <c r="O324" s="286"/>
      <c r="P324" s="286"/>
      <c r="Q324" s="286"/>
      <c r="R324" s="286"/>
      <c r="S324" s="286"/>
      <c r="T324" s="286"/>
      <c r="U324" s="286"/>
      <c r="V324" s="286"/>
      <c r="W324" s="286"/>
    </row>
    <row r="325">
      <c r="A325" s="286"/>
      <c r="B325" s="286"/>
      <c r="C325" s="286"/>
      <c r="D325" s="286"/>
      <c r="E325" s="286"/>
      <c r="F325" s="286"/>
      <c r="G325" s="286"/>
      <c r="H325" s="286"/>
      <c r="I325" s="286"/>
      <c r="J325" s="286"/>
      <c r="K325" s="399"/>
      <c r="L325" s="399"/>
      <c r="M325" s="286"/>
      <c r="N325" s="286"/>
      <c r="O325" s="286"/>
      <c r="P325" s="286"/>
      <c r="Q325" s="286"/>
      <c r="R325" s="286"/>
      <c r="S325" s="286"/>
      <c r="T325" s="286"/>
      <c r="U325" s="286"/>
      <c r="V325" s="286"/>
      <c r="W325" s="286"/>
    </row>
    <row r="326">
      <c r="A326" s="286"/>
      <c r="B326" s="286"/>
      <c r="C326" s="286"/>
      <c r="D326" s="286"/>
      <c r="E326" s="286"/>
      <c r="F326" s="286"/>
      <c r="G326" s="286"/>
      <c r="H326" s="286"/>
      <c r="I326" s="286"/>
      <c r="J326" s="286"/>
      <c r="K326" s="399"/>
      <c r="L326" s="399"/>
      <c r="M326" s="286"/>
      <c r="N326" s="286"/>
      <c r="O326" s="286"/>
      <c r="P326" s="286"/>
      <c r="Q326" s="286"/>
      <c r="R326" s="286"/>
      <c r="S326" s="286"/>
      <c r="T326" s="286"/>
      <c r="U326" s="286"/>
      <c r="V326" s="286"/>
      <c r="W326" s="286"/>
    </row>
    <row r="327">
      <c r="A327" s="286"/>
      <c r="B327" s="286"/>
      <c r="C327" s="286"/>
      <c r="D327" s="286"/>
      <c r="E327" s="286"/>
      <c r="F327" s="286"/>
      <c r="G327" s="286"/>
      <c r="H327" s="286"/>
      <c r="I327" s="286"/>
      <c r="J327" s="286"/>
      <c r="K327" s="399"/>
      <c r="L327" s="399"/>
      <c r="M327" s="286"/>
      <c r="N327" s="286"/>
      <c r="O327" s="286"/>
      <c r="P327" s="286"/>
      <c r="Q327" s="286"/>
      <c r="R327" s="286"/>
      <c r="S327" s="286"/>
      <c r="T327" s="286"/>
      <c r="U327" s="286"/>
      <c r="V327" s="286"/>
      <c r="W327" s="286"/>
    </row>
    <row r="328">
      <c r="A328" s="286"/>
      <c r="B328" s="286"/>
      <c r="C328" s="286"/>
      <c r="D328" s="286"/>
      <c r="E328" s="286"/>
      <c r="F328" s="286"/>
      <c r="G328" s="286"/>
      <c r="H328" s="286"/>
      <c r="I328" s="286"/>
      <c r="J328" s="286"/>
      <c r="K328" s="399"/>
      <c r="L328" s="399"/>
      <c r="M328" s="286"/>
      <c r="N328" s="286"/>
      <c r="O328" s="286"/>
      <c r="P328" s="286"/>
      <c r="Q328" s="286"/>
      <c r="R328" s="286"/>
      <c r="S328" s="286"/>
      <c r="T328" s="286"/>
      <c r="U328" s="286"/>
      <c r="V328" s="286"/>
      <c r="W328" s="286"/>
    </row>
    <row r="329">
      <c r="A329" s="286"/>
      <c r="B329" s="286"/>
      <c r="C329" s="286"/>
      <c r="D329" s="286"/>
      <c r="E329" s="286"/>
      <c r="F329" s="286"/>
      <c r="G329" s="286"/>
      <c r="H329" s="286"/>
      <c r="I329" s="286"/>
      <c r="J329" s="286"/>
      <c r="K329" s="399"/>
      <c r="L329" s="399"/>
      <c r="M329" s="286"/>
      <c r="N329" s="286"/>
      <c r="O329" s="286"/>
      <c r="P329" s="286"/>
      <c r="Q329" s="286"/>
      <c r="R329" s="286"/>
      <c r="S329" s="286"/>
      <c r="T329" s="286"/>
      <c r="U329" s="286"/>
      <c r="V329" s="286"/>
      <c r="W329" s="286"/>
    </row>
    <row r="330">
      <c r="A330" s="286"/>
      <c r="B330" s="286"/>
      <c r="C330" s="286"/>
      <c r="D330" s="286"/>
      <c r="E330" s="286"/>
      <c r="F330" s="286"/>
      <c r="G330" s="286"/>
      <c r="H330" s="286"/>
      <c r="I330" s="286"/>
      <c r="J330" s="286"/>
      <c r="K330" s="399"/>
      <c r="L330" s="399"/>
      <c r="M330" s="286"/>
      <c r="N330" s="286"/>
      <c r="O330" s="286"/>
      <c r="P330" s="286"/>
      <c r="Q330" s="286"/>
      <c r="R330" s="286"/>
      <c r="S330" s="286"/>
      <c r="T330" s="286"/>
      <c r="U330" s="286"/>
      <c r="V330" s="286"/>
      <c r="W330" s="286"/>
    </row>
    <row r="331">
      <c r="A331" s="286"/>
      <c r="B331" s="286"/>
      <c r="C331" s="286"/>
      <c r="D331" s="286"/>
      <c r="E331" s="286"/>
      <c r="F331" s="286"/>
      <c r="G331" s="286"/>
      <c r="H331" s="286"/>
      <c r="I331" s="286"/>
      <c r="J331" s="286"/>
      <c r="K331" s="399"/>
      <c r="L331" s="399"/>
      <c r="M331" s="286"/>
      <c r="N331" s="286"/>
      <c r="O331" s="286"/>
      <c r="P331" s="286"/>
      <c r="Q331" s="286"/>
      <c r="R331" s="286"/>
      <c r="S331" s="286"/>
      <c r="T331" s="286"/>
      <c r="U331" s="286"/>
      <c r="V331" s="286"/>
      <c r="W331" s="286"/>
    </row>
    <row r="332">
      <c r="A332" s="286"/>
      <c r="B332" s="286"/>
      <c r="C332" s="286"/>
      <c r="D332" s="286"/>
      <c r="E332" s="286"/>
      <c r="F332" s="286"/>
      <c r="G332" s="286"/>
      <c r="H332" s="286"/>
      <c r="I332" s="286"/>
      <c r="J332" s="286"/>
      <c r="K332" s="399"/>
      <c r="L332" s="399"/>
      <c r="M332" s="286"/>
      <c r="N332" s="286"/>
      <c r="O332" s="286"/>
      <c r="P332" s="286"/>
      <c r="Q332" s="286"/>
      <c r="R332" s="286"/>
      <c r="S332" s="286"/>
      <c r="T332" s="286"/>
      <c r="U332" s="286"/>
      <c r="V332" s="286"/>
      <c r="W332" s="286"/>
    </row>
    <row r="333">
      <c r="A333" s="286"/>
      <c r="B333" s="286"/>
      <c r="C333" s="286"/>
      <c r="D333" s="286"/>
      <c r="E333" s="286"/>
      <c r="F333" s="286"/>
      <c r="G333" s="286"/>
      <c r="H333" s="286"/>
      <c r="I333" s="286"/>
      <c r="J333" s="286"/>
      <c r="K333" s="399"/>
      <c r="L333" s="399"/>
      <c r="M333" s="286"/>
      <c r="N333" s="286"/>
      <c r="O333" s="286"/>
      <c r="P333" s="286"/>
      <c r="Q333" s="286"/>
      <c r="R333" s="286"/>
      <c r="S333" s="286"/>
      <c r="T333" s="286"/>
      <c r="U333" s="286"/>
      <c r="V333" s="286"/>
      <c r="W333" s="286"/>
    </row>
    <row r="334">
      <c r="A334" s="286"/>
      <c r="B334" s="286"/>
      <c r="C334" s="286"/>
      <c r="D334" s="286"/>
      <c r="E334" s="286"/>
      <c r="F334" s="286"/>
      <c r="G334" s="286"/>
      <c r="H334" s="286"/>
      <c r="I334" s="286"/>
      <c r="J334" s="286"/>
      <c r="K334" s="399"/>
      <c r="L334" s="399"/>
      <c r="M334" s="286"/>
      <c r="N334" s="286"/>
      <c r="O334" s="286"/>
      <c r="P334" s="286"/>
      <c r="Q334" s="286"/>
      <c r="R334" s="286"/>
      <c r="S334" s="286"/>
      <c r="T334" s="286"/>
      <c r="U334" s="286"/>
      <c r="V334" s="286"/>
      <c r="W334" s="286"/>
    </row>
    <row r="335">
      <c r="A335" s="286"/>
      <c r="B335" s="286"/>
      <c r="C335" s="286"/>
      <c r="D335" s="286"/>
      <c r="E335" s="286"/>
      <c r="F335" s="286"/>
      <c r="G335" s="286"/>
      <c r="H335" s="286"/>
      <c r="I335" s="286"/>
      <c r="J335" s="286"/>
      <c r="K335" s="399"/>
      <c r="L335" s="399"/>
      <c r="M335" s="286"/>
      <c r="N335" s="286"/>
      <c r="O335" s="286"/>
      <c r="P335" s="286"/>
      <c r="Q335" s="286"/>
      <c r="R335" s="286"/>
      <c r="S335" s="286"/>
      <c r="T335" s="286"/>
      <c r="U335" s="286"/>
      <c r="V335" s="286"/>
      <c r="W335" s="286"/>
    </row>
    <row r="336">
      <c r="A336" s="286"/>
      <c r="B336" s="286"/>
      <c r="C336" s="286"/>
      <c r="D336" s="286"/>
      <c r="E336" s="286"/>
      <c r="F336" s="286"/>
      <c r="G336" s="286"/>
      <c r="H336" s="286"/>
      <c r="I336" s="286"/>
      <c r="J336" s="286"/>
      <c r="K336" s="399"/>
      <c r="L336" s="399"/>
      <c r="M336" s="286"/>
      <c r="N336" s="286"/>
      <c r="O336" s="286"/>
      <c r="P336" s="286"/>
      <c r="Q336" s="286"/>
      <c r="R336" s="286"/>
      <c r="S336" s="286"/>
      <c r="T336" s="286"/>
      <c r="U336" s="286"/>
      <c r="V336" s="286"/>
      <c r="W336" s="286"/>
    </row>
    <row r="337">
      <c r="A337" s="286"/>
      <c r="B337" s="286"/>
      <c r="C337" s="286"/>
      <c r="D337" s="286"/>
      <c r="E337" s="286"/>
      <c r="F337" s="286"/>
      <c r="G337" s="286"/>
      <c r="H337" s="286"/>
      <c r="I337" s="286"/>
      <c r="J337" s="286"/>
      <c r="K337" s="399"/>
      <c r="L337" s="399"/>
      <c r="M337" s="286"/>
      <c r="N337" s="286"/>
      <c r="O337" s="286"/>
      <c r="P337" s="286"/>
      <c r="Q337" s="286"/>
      <c r="R337" s="286"/>
      <c r="S337" s="286"/>
      <c r="T337" s="286"/>
      <c r="U337" s="286"/>
      <c r="V337" s="286"/>
      <c r="W337" s="286"/>
    </row>
    <row r="338">
      <c r="A338" s="286"/>
      <c r="B338" s="286"/>
      <c r="C338" s="286"/>
      <c r="D338" s="286"/>
      <c r="E338" s="286"/>
      <c r="F338" s="286"/>
      <c r="G338" s="286"/>
      <c r="H338" s="286"/>
      <c r="I338" s="286"/>
      <c r="J338" s="286"/>
      <c r="K338" s="399"/>
      <c r="L338" s="399"/>
      <c r="M338" s="286"/>
      <c r="N338" s="286"/>
      <c r="O338" s="286"/>
      <c r="P338" s="286"/>
      <c r="Q338" s="286"/>
      <c r="R338" s="286"/>
      <c r="S338" s="286"/>
      <c r="T338" s="286"/>
      <c r="U338" s="286"/>
      <c r="V338" s="286"/>
      <c r="W338" s="286"/>
    </row>
    <row r="339">
      <c r="A339" s="286"/>
      <c r="B339" s="286"/>
      <c r="C339" s="286"/>
      <c r="D339" s="286"/>
      <c r="E339" s="286"/>
      <c r="F339" s="286"/>
      <c r="G339" s="286"/>
      <c r="H339" s="286"/>
      <c r="I339" s="286"/>
      <c r="J339" s="286"/>
      <c r="K339" s="399"/>
      <c r="L339" s="399"/>
      <c r="M339" s="286"/>
      <c r="N339" s="286"/>
      <c r="O339" s="286"/>
      <c r="P339" s="286"/>
      <c r="Q339" s="286"/>
      <c r="R339" s="286"/>
      <c r="S339" s="286"/>
      <c r="T339" s="286"/>
      <c r="U339" s="286"/>
      <c r="V339" s="286"/>
      <c r="W339" s="286"/>
    </row>
    <row r="340">
      <c r="A340" s="286"/>
      <c r="B340" s="286"/>
      <c r="C340" s="286"/>
      <c r="D340" s="286"/>
      <c r="E340" s="286"/>
      <c r="F340" s="286"/>
      <c r="G340" s="286"/>
      <c r="H340" s="286"/>
      <c r="I340" s="286"/>
      <c r="J340" s="286"/>
      <c r="K340" s="399"/>
      <c r="L340" s="399"/>
      <c r="M340" s="286"/>
      <c r="N340" s="286"/>
      <c r="O340" s="286"/>
      <c r="P340" s="286"/>
      <c r="Q340" s="286"/>
      <c r="R340" s="286"/>
      <c r="S340" s="286"/>
      <c r="T340" s="286"/>
      <c r="U340" s="286"/>
      <c r="V340" s="286"/>
      <c r="W340" s="286"/>
    </row>
    <row r="341">
      <c r="A341" s="286"/>
      <c r="B341" s="286"/>
      <c r="C341" s="286"/>
      <c r="D341" s="286"/>
      <c r="E341" s="286"/>
      <c r="F341" s="286"/>
      <c r="G341" s="286"/>
      <c r="H341" s="286"/>
      <c r="I341" s="286"/>
      <c r="J341" s="286"/>
      <c r="K341" s="399"/>
      <c r="L341" s="399"/>
      <c r="M341" s="286"/>
      <c r="N341" s="286"/>
      <c r="O341" s="286"/>
      <c r="P341" s="286"/>
      <c r="Q341" s="286"/>
      <c r="R341" s="286"/>
      <c r="S341" s="286"/>
      <c r="T341" s="286"/>
      <c r="U341" s="286"/>
      <c r="V341" s="286"/>
      <c r="W341" s="286"/>
    </row>
    <row r="342">
      <c r="A342" s="286"/>
      <c r="B342" s="286"/>
      <c r="C342" s="286"/>
      <c r="D342" s="286"/>
      <c r="E342" s="286"/>
      <c r="F342" s="286"/>
      <c r="G342" s="286"/>
      <c r="H342" s="286"/>
      <c r="I342" s="286"/>
      <c r="J342" s="286"/>
      <c r="K342" s="399"/>
      <c r="L342" s="399"/>
      <c r="M342" s="286"/>
      <c r="N342" s="286"/>
      <c r="O342" s="286"/>
      <c r="P342" s="286"/>
      <c r="Q342" s="286"/>
      <c r="R342" s="286"/>
      <c r="S342" s="286"/>
      <c r="T342" s="286"/>
      <c r="U342" s="286"/>
      <c r="V342" s="286"/>
      <c r="W342" s="286"/>
    </row>
    <row r="343">
      <c r="A343" s="286"/>
      <c r="B343" s="286"/>
      <c r="C343" s="286"/>
      <c r="D343" s="286"/>
      <c r="E343" s="286"/>
      <c r="F343" s="286"/>
      <c r="G343" s="286"/>
      <c r="H343" s="286"/>
      <c r="I343" s="286"/>
      <c r="J343" s="286"/>
      <c r="K343" s="399"/>
      <c r="L343" s="399"/>
      <c r="M343" s="286"/>
      <c r="N343" s="286"/>
      <c r="O343" s="286"/>
      <c r="P343" s="286"/>
      <c r="Q343" s="286"/>
      <c r="R343" s="286"/>
      <c r="S343" s="286"/>
      <c r="T343" s="286"/>
      <c r="U343" s="286"/>
      <c r="V343" s="286"/>
      <c r="W343" s="286"/>
    </row>
    <row r="344">
      <c r="A344" s="286"/>
      <c r="B344" s="286"/>
      <c r="C344" s="286"/>
      <c r="D344" s="286"/>
      <c r="E344" s="286"/>
      <c r="F344" s="286"/>
      <c r="G344" s="286"/>
      <c r="H344" s="286"/>
      <c r="I344" s="286"/>
      <c r="J344" s="286"/>
      <c r="K344" s="399"/>
      <c r="L344" s="399"/>
      <c r="M344" s="286"/>
      <c r="N344" s="286"/>
      <c r="O344" s="286"/>
      <c r="P344" s="286"/>
      <c r="Q344" s="286"/>
      <c r="R344" s="286"/>
      <c r="S344" s="286"/>
      <c r="T344" s="286"/>
      <c r="U344" s="286"/>
      <c r="V344" s="286"/>
      <c r="W344" s="286"/>
    </row>
    <row r="345">
      <c r="A345" s="286"/>
      <c r="B345" s="286"/>
      <c r="C345" s="286"/>
      <c r="D345" s="286"/>
      <c r="E345" s="286"/>
      <c r="F345" s="286"/>
      <c r="G345" s="286"/>
      <c r="H345" s="286"/>
      <c r="I345" s="286"/>
      <c r="J345" s="286"/>
      <c r="K345" s="399"/>
      <c r="L345" s="399"/>
      <c r="M345" s="286"/>
      <c r="N345" s="286"/>
      <c r="O345" s="286"/>
      <c r="P345" s="286"/>
      <c r="Q345" s="286"/>
      <c r="R345" s="286"/>
      <c r="S345" s="286"/>
      <c r="T345" s="286"/>
      <c r="U345" s="286"/>
      <c r="V345" s="286"/>
      <c r="W345" s="286"/>
    </row>
    <row r="346">
      <c r="A346" s="286"/>
      <c r="B346" s="286"/>
      <c r="C346" s="286"/>
      <c r="D346" s="286"/>
      <c r="E346" s="286"/>
      <c r="F346" s="286"/>
      <c r="G346" s="286"/>
      <c r="H346" s="286"/>
      <c r="I346" s="286"/>
      <c r="J346" s="286"/>
      <c r="K346" s="399"/>
      <c r="L346" s="399"/>
      <c r="M346" s="286"/>
      <c r="N346" s="286"/>
      <c r="O346" s="286"/>
      <c r="P346" s="286"/>
      <c r="Q346" s="286"/>
      <c r="R346" s="286"/>
      <c r="S346" s="286"/>
      <c r="T346" s="286"/>
      <c r="U346" s="286"/>
      <c r="V346" s="286"/>
      <c r="W346" s="286"/>
    </row>
    <row r="347">
      <c r="A347" s="286"/>
      <c r="B347" s="286"/>
      <c r="C347" s="286"/>
      <c r="D347" s="286"/>
      <c r="E347" s="286"/>
      <c r="F347" s="286"/>
      <c r="G347" s="286"/>
      <c r="H347" s="286"/>
      <c r="I347" s="286"/>
      <c r="J347" s="286"/>
      <c r="K347" s="399"/>
      <c r="L347" s="399"/>
      <c r="M347" s="286"/>
      <c r="N347" s="286"/>
      <c r="O347" s="286"/>
      <c r="P347" s="286"/>
      <c r="Q347" s="286"/>
      <c r="R347" s="286"/>
      <c r="S347" s="286"/>
      <c r="T347" s="286"/>
      <c r="U347" s="286"/>
      <c r="V347" s="286"/>
      <c r="W347" s="286"/>
    </row>
    <row r="348">
      <c r="A348" s="286"/>
      <c r="B348" s="286"/>
      <c r="C348" s="286"/>
      <c r="D348" s="286"/>
      <c r="E348" s="286"/>
      <c r="F348" s="286"/>
      <c r="G348" s="286"/>
      <c r="H348" s="286"/>
      <c r="I348" s="286"/>
      <c r="J348" s="286"/>
      <c r="K348" s="399"/>
      <c r="L348" s="399"/>
      <c r="M348" s="286"/>
      <c r="N348" s="286"/>
      <c r="O348" s="286"/>
      <c r="P348" s="286"/>
      <c r="Q348" s="286"/>
      <c r="R348" s="286"/>
      <c r="S348" s="286"/>
      <c r="T348" s="286"/>
      <c r="U348" s="286"/>
      <c r="V348" s="286"/>
      <c r="W348" s="286"/>
    </row>
    <row r="349">
      <c r="A349" s="286"/>
      <c r="B349" s="286"/>
      <c r="C349" s="286"/>
      <c r="D349" s="286"/>
      <c r="E349" s="286"/>
      <c r="F349" s="286"/>
      <c r="G349" s="286"/>
      <c r="H349" s="286"/>
      <c r="I349" s="286"/>
      <c r="J349" s="286"/>
      <c r="K349" s="399"/>
      <c r="L349" s="399"/>
      <c r="M349" s="286"/>
      <c r="N349" s="286"/>
      <c r="O349" s="286"/>
      <c r="P349" s="286"/>
      <c r="Q349" s="286"/>
      <c r="R349" s="286"/>
      <c r="S349" s="286"/>
      <c r="T349" s="286"/>
      <c r="U349" s="286"/>
      <c r="V349" s="286"/>
      <c r="W349" s="286"/>
    </row>
    <row r="350">
      <c r="A350" s="286"/>
      <c r="B350" s="286"/>
      <c r="C350" s="286"/>
      <c r="D350" s="286"/>
      <c r="E350" s="286"/>
      <c r="F350" s="286"/>
      <c r="G350" s="286"/>
      <c r="H350" s="286"/>
      <c r="I350" s="286"/>
      <c r="J350" s="286"/>
      <c r="K350" s="399"/>
      <c r="L350" s="399"/>
      <c r="M350" s="286"/>
      <c r="N350" s="286"/>
      <c r="O350" s="286"/>
      <c r="P350" s="286"/>
      <c r="Q350" s="286"/>
      <c r="R350" s="286"/>
      <c r="S350" s="286"/>
      <c r="T350" s="286"/>
      <c r="U350" s="286"/>
      <c r="V350" s="286"/>
      <c r="W350" s="286"/>
    </row>
    <row r="351">
      <c r="A351" s="286"/>
      <c r="B351" s="286"/>
      <c r="C351" s="286"/>
      <c r="D351" s="286"/>
      <c r="E351" s="286"/>
      <c r="F351" s="286"/>
      <c r="G351" s="286"/>
      <c r="H351" s="286"/>
      <c r="I351" s="286"/>
      <c r="J351" s="286"/>
      <c r="K351" s="399"/>
      <c r="L351" s="399"/>
      <c r="M351" s="286"/>
      <c r="N351" s="286"/>
      <c r="O351" s="286"/>
      <c r="P351" s="286"/>
      <c r="Q351" s="286"/>
      <c r="R351" s="286"/>
      <c r="S351" s="286"/>
      <c r="T351" s="286"/>
      <c r="U351" s="286"/>
      <c r="V351" s="286"/>
      <c r="W351" s="286"/>
    </row>
    <row r="352">
      <c r="A352" s="286"/>
      <c r="B352" s="286"/>
      <c r="C352" s="286"/>
      <c r="D352" s="286"/>
      <c r="E352" s="286"/>
      <c r="F352" s="286"/>
      <c r="G352" s="286"/>
      <c r="H352" s="286"/>
      <c r="I352" s="286"/>
      <c r="J352" s="286"/>
      <c r="K352" s="399"/>
      <c r="L352" s="399"/>
      <c r="M352" s="286"/>
      <c r="N352" s="286"/>
      <c r="O352" s="286"/>
      <c r="P352" s="286"/>
      <c r="Q352" s="286"/>
      <c r="R352" s="286"/>
      <c r="S352" s="286"/>
      <c r="T352" s="286"/>
      <c r="U352" s="286"/>
      <c r="V352" s="286"/>
      <c r="W352" s="286"/>
    </row>
    <row r="353">
      <c r="A353" s="286"/>
      <c r="B353" s="286"/>
      <c r="C353" s="286"/>
      <c r="D353" s="286"/>
      <c r="E353" s="286"/>
      <c r="F353" s="286"/>
      <c r="G353" s="286"/>
      <c r="H353" s="286"/>
      <c r="I353" s="286"/>
      <c r="J353" s="286"/>
      <c r="K353" s="399"/>
      <c r="L353" s="399"/>
      <c r="M353" s="286"/>
      <c r="N353" s="286"/>
      <c r="O353" s="286"/>
      <c r="P353" s="286"/>
      <c r="Q353" s="286"/>
      <c r="R353" s="286"/>
      <c r="S353" s="286"/>
      <c r="T353" s="286"/>
      <c r="U353" s="286"/>
      <c r="V353" s="286"/>
      <c r="W353" s="286"/>
    </row>
    <row r="354">
      <c r="A354" s="286"/>
      <c r="B354" s="286"/>
      <c r="C354" s="286"/>
      <c r="D354" s="286"/>
      <c r="E354" s="286"/>
      <c r="F354" s="286"/>
      <c r="G354" s="286"/>
      <c r="H354" s="286"/>
      <c r="I354" s="286"/>
      <c r="J354" s="286"/>
      <c r="K354" s="399"/>
      <c r="L354" s="399"/>
      <c r="M354" s="286"/>
      <c r="N354" s="286"/>
      <c r="O354" s="286"/>
      <c r="P354" s="286"/>
      <c r="Q354" s="286"/>
      <c r="R354" s="286"/>
      <c r="S354" s="286"/>
      <c r="T354" s="286"/>
      <c r="U354" s="286"/>
      <c r="V354" s="286"/>
      <c r="W354" s="286"/>
    </row>
    <row r="355">
      <c r="A355" s="286"/>
      <c r="B355" s="286"/>
      <c r="C355" s="286"/>
      <c r="D355" s="286"/>
      <c r="E355" s="286"/>
      <c r="F355" s="286"/>
      <c r="G355" s="286"/>
      <c r="H355" s="286"/>
      <c r="I355" s="286"/>
      <c r="J355" s="286"/>
      <c r="K355" s="399"/>
      <c r="L355" s="399"/>
      <c r="M355" s="286"/>
      <c r="N355" s="286"/>
      <c r="O355" s="286"/>
      <c r="P355" s="286"/>
      <c r="Q355" s="286"/>
      <c r="R355" s="286"/>
      <c r="S355" s="286"/>
      <c r="T355" s="286"/>
      <c r="U355" s="286"/>
      <c r="V355" s="286"/>
      <c r="W355" s="286"/>
    </row>
    <row r="356">
      <c r="A356" s="286"/>
      <c r="B356" s="286"/>
      <c r="C356" s="286"/>
      <c r="D356" s="286"/>
      <c r="E356" s="286"/>
      <c r="F356" s="286"/>
      <c r="G356" s="286"/>
      <c r="H356" s="286"/>
      <c r="I356" s="286"/>
      <c r="J356" s="286"/>
      <c r="K356" s="399"/>
      <c r="L356" s="399"/>
      <c r="M356" s="286"/>
      <c r="N356" s="286"/>
      <c r="O356" s="286"/>
      <c r="P356" s="286"/>
      <c r="Q356" s="286"/>
      <c r="R356" s="286"/>
      <c r="S356" s="286"/>
      <c r="T356" s="286"/>
      <c r="U356" s="286"/>
      <c r="V356" s="286"/>
      <c r="W356" s="286"/>
    </row>
    <row r="357">
      <c r="A357" s="286"/>
      <c r="B357" s="286"/>
      <c r="C357" s="286"/>
      <c r="D357" s="286"/>
      <c r="E357" s="286"/>
      <c r="F357" s="286"/>
      <c r="G357" s="286"/>
      <c r="H357" s="286"/>
      <c r="I357" s="286"/>
      <c r="J357" s="286"/>
      <c r="K357" s="399"/>
      <c r="L357" s="399"/>
      <c r="M357" s="286"/>
      <c r="N357" s="286"/>
      <c r="O357" s="286"/>
      <c r="P357" s="286"/>
      <c r="Q357" s="286"/>
      <c r="R357" s="286"/>
      <c r="S357" s="286"/>
      <c r="T357" s="286"/>
      <c r="U357" s="286"/>
      <c r="V357" s="286"/>
      <c r="W357" s="286"/>
    </row>
    <row r="358">
      <c r="A358" s="286"/>
      <c r="B358" s="286"/>
      <c r="C358" s="286"/>
      <c r="D358" s="286"/>
      <c r="E358" s="286"/>
      <c r="F358" s="286"/>
      <c r="G358" s="286"/>
      <c r="H358" s="286"/>
      <c r="I358" s="286"/>
      <c r="J358" s="286"/>
      <c r="K358" s="399"/>
      <c r="L358" s="399"/>
      <c r="M358" s="286"/>
      <c r="N358" s="286"/>
      <c r="O358" s="286"/>
      <c r="P358" s="286"/>
      <c r="Q358" s="286"/>
      <c r="R358" s="286"/>
      <c r="S358" s="286"/>
      <c r="T358" s="286"/>
      <c r="U358" s="286"/>
      <c r="V358" s="286"/>
      <c r="W358" s="286"/>
    </row>
    <row r="359">
      <c r="A359" s="286"/>
      <c r="B359" s="286"/>
      <c r="C359" s="286"/>
      <c r="D359" s="286"/>
      <c r="E359" s="286"/>
      <c r="F359" s="286"/>
      <c r="G359" s="286"/>
      <c r="H359" s="286"/>
      <c r="I359" s="286"/>
      <c r="J359" s="286"/>
      <c r="K359" s="399"/>
      <c r="L359" s="399"/>
      <c r="M359" s="286"/>
      <c r="N359" s="286"/>
      <c r="O359" s="286"/>
      <c r="P359" s="286"/>
      <c r="Q359" s="286"/>
      <c r="R359" s="286"/>
      <c r="S359" s="286"/>
      <c r="T359" s="286"/>
      <c r="U359" s="286"/>
      <c r="V359" s="286"/>
      <c r="W359" s="286"/>
    </row>
    <row r="360">
      <c r="A360" s="286"/>
      <c r="B360" s="286"/>
      <c r="C360" s="286"/>
      <c r="D360" s="286"/>
      <c r="E360" s="286"/>
      <c r="F360" s="286"/>
      <c r="G360" s="286"/>
      <c r="H360" s="286"/>
      <c r="I360" s="286"/>
      <c r="J360" s="286"/>
      <c r="K360" s="399"/>
      <c r="L360" s="399"/>
      <c r="M360" s="286"/>
      <c r="N360" s="286"/>
      <c r="O360" s="286"/>
      <c r="P360" s="286"/>
      <c r="Q360" s="286"/>
      <c r="R360" s="286"/>
      <c r="S360" s="286"/>
      <c r="T360" s="286"/>
      <c r="U360" s="286"/>
      <c r="V360" s="286"/>
      <c r="W360" s="286"/>
    </row>
    <row r="361">
      <c r="A361" s="286"/>
      <c r="B361" s="286"/>
      <c r="C361" s="286"/>
      <c r="D361" s="286"/>
      <c r="E361" s="286"/>
      <c r="F361" s="286"/>
      <c r="G361" s="286"/>
      <c r="H361" s="286"/>
      <c r="I361" s="286"/>
      <c r="J361" s="286"/>
      <c r="K361" s="399"/>
      <c r="L361" s="399"/>
      <c r="M361" s="286"/>
      <c r="N361" s="286"/>
      <c r="O361" s="286"/>
      <c r="P361" s="286"/>
      <c r="Q361" s="286"/>
      <c r="R361" s="286"/>
      <c r="S361" s="286"/>
      <c r="T361" s="286"/>
      <c r="U361" s="286"/>
      <c r="V361" s="286"/>
      <c r="W361" s="286"/>
    </row>
    <row r="362">
      <c r="A362" s="286"/>
      <c r="B362" s="286"/>
      <c r="C362" s="286"/>
      <c r="D362" s="286"/>
      <c r="E362" s="286"/>
      <c r="F362" s="286"/>
      <c r="G362" s="286"/>
      <c r="H362" s="286"/>
      <c r="I362" s="286"/>
      <c r="J362" s="286"/>
      <c r="K362" s="399"/>
      <c r="L362" s="399"/>
      <c r="M362" s="286"/>
      <c r="N362" s="286"/>
      <c r="O362" s="286"/>
      <c r="P362" s="286"/>
      <c r="Q362" s="286"/>
      <c r="R362" s="286"/>
      <c r="S362" s="286"/>
      <c r="T362" s="286"/>
      <c r="U362" s="286"/>
      <c r="V362" s="286"/>
      <c r="W362" s="286"/>
    </row>
    <row r="363">
      <c r="A363" s="286"/>
      <c r="B363" s="286"/>
      <c r="C363" s="286"/>
      <c r="D363" s="286"/>
      <c r="E363" s="286"/>
      <c r="F363" s="286"/>
      <c r="G363" s="286"/>
      <c r="H363" s="286"/>
      <c r="I363" s="286"/>
      <c r="J363" s="286"/>
      <c r="K363" s="399"/>
      <c r="L363" s="399"/>
      <c r="M363" s="286"/>
      <c r="N363" s="286"/>
      <c r="O363" s="286"/>
      <c r="P363" s="286"/>
      <c r="Q363" s="286"/>
      <c r="R363" s="286"/>
      <c r="S363" s="286"/>
      <c r="T363" s="286"/>
      <c r="U363" s="286"/>
      <c r="V363" s="286"/>
      <c r="W363" s="286"/>
    </row>
    <row r="364">
      <c r="A364" s="286"/>
      <c r="B364" s="286"/>
      <c r="C364" s="286"/>
      <c r="D364" s="286"/>
      <c r="E364" s="286"/>
      <c r="F364" s="286"/>
      <c r="G364" s="286"/>
      <c r="H364" s="286"/>
      <c r="I364" s="286"/>
      <c r="J364" s="286"/>
      <c r="K364" s="399"/>
      <c r="L364" s="399"/>
      <c r="M364" s="286"/>
      <c r="N364" s="286"/>
      <c r="O364" s="286"/>
      <c r="P364" s="286"/>
      <c r="Q364" s="286"/>
      <c r="R364" s="286"/>
      <c r="S364" s="286"/>
      <c r="T364" s="286"/>
      <c r="U364" s="286"/>
      <c r="V364" s="286"/>
      <c r="W364" s="286"/>
    </row>
    <row r="365">
      <c r="A365" s="286"/>
      <c r="B365" s="286"/>
      <c r="C365" s="286"/>
      <c r="D365" s="286"/>
      <c r="E365" s="286"/>
      <c r="F365" s="286"/>
      <c r="G365" s="286"/>
      <c r="H365" s="286"/>
      <c r="I365" s="286"/>
      <c r="J365" s="286"/>
      <c r="K365" s="399"/>
      <c r="L365" s="399"/>
      <c r="M365" s="286"/>
      <c r="N365" s="286"/>
      <c r="O365" s="286"/>
      <c r="P365" s="286"/>
      <c r="Q365" s="286"/>
      <c r="R365" s="286"/>
      <c r="S365" s="286"/>
      <c r="T365" s="286"/>
      <c r="U365" s="286"/>
      <c r="V365" s="286"/>
      <c r="W365" s="286"/>
    </row>
    <row r="366">
      <c r="A366" s="286"/>
      <c r="B366" s="286"/>
      <c r="C366" s="286"/>
      <c r="D366" s="286"/>
      <c r="E366" s="286"/>
      <c r="F366" s="286"/>
      <c r="G366" s="286"/>
      <c r="H366" s="286"/>
      <c r="I366" s="286"/>
      <c r="J366" s="286"/>
      <c r="K366" s="399"/>
      <c r="L366" s="399"/>
      <c r="M366" s="286"/>
      <c r="N366" s="286"/>
      <c r="O366" s="286"/>
      <c r="P366" s="286"/>
      <c r="Q366" s="286"/>
      <c r="R366" s="286"/>
      <c r="S366" s="286"/>
      <c r="T366" s="286"/>
      <c r="U366" s="286"/>
      <c r="V366" s="286"/>
      <c r="W366" s="286"/>
    </row>
    <row r="367">
      <c r="A367" s="286"/>
      <c r="B367" s="286"/>
      <c r="C367" s="286"/>
      <c r="D367" s="286"/>
      <c r="E367" s="286"/>
      <c r="F367" s="286"/>
      <c r="G367" s="286"/>
      <c r="H367" s="286"/>
      <c r="I367" s="286"/>
      <c r="J367" s="286"/>
      <c r="K367" s="399"/>
      <c r="L367" s="399"/>
      <c r="M367" s="286"/>
      <c r="N367" s="286"/>
      <c r="O367" s="286"/>
      <c r="P367" s="286"/>
      <c r="Q367" s="286"/>
      <c r="R367" s="286"/>
      <c r="S367" s="286"/>
      <c r="T367" s="286"/>
      <c r="U367" s="286"/>
      <c r="V367" s="286"/>
      <c r="W367" s="286"/>
    </row>
    <row r="368">
      <c r="A368" s="286"/>
      <c r="B368" s="286"/>
      <c r="C368" s="286"/>
      <c r="D368" s="286"/>
      <c r="E368" s="286"/>
      <c r="F368" s="286"/>
      <c r="G368" s="286"/>
      <c r="H368" s="286"/>
      <c r="I368" s="286"/>
      <c r="J368" s="286"/>
      <c r="K368" s="399"/>
      <c r="L368" s="399"/>
      <c r="M368" s="286"/>
      <c r="N368" s="286"/>
      <c r="O368" s="286"/>
      <c r="P368" s="286"/>
      <c r="Q368" s="286"/>
      <c r="R368" s="286"/>
      <c r="S368" s="286"/>
      <c r="T368" s="286"/>
      <c r="U368" s="286"/>
      <c r="V368" s="286"/>
      <c r="W368" s="286"/>
    </row>
    <row r="369">
      <c r="A369" s="286"/>
      <c r="B369" s="286"/>
      <c r="C369" s="286"/>
      <c r="D369" s="286"/>
      <c r="E369" s="286"/>
      <c r="F369" s="286"/>
      <c r="G369" s="286"/>
      <c r="H369" s="286"/>
      <c r="I369" s="286"/>
      <c r="J369" s="286"/>
      <c r="K369" s="399"/>
      <c r="L369" s="399"/>
      <c r="M369" s="286"/>
      <c r="N369" s="286"/>
      <c r="O369" s="286"/>
      <c r="P369" s="286"/>
      <c r="Q369" s="286"/>
      <c r="R369" s="286"/>
      <c r="S369" s="286"/>
      <c r="T369" s="286"/>
      <c r="U369" s="286"/>
      <c r="V369" s="286"/>
      <c r="W369" s="286"/>
    </row>
    <row r="370">
      <c r="A370" s="286"/>
      <c r="B370" s="286"/>
      <c r="C370" s="286"/>
      <c r="D370" s="286"/>
      <c r="E370" s="286"/>
      <c r="F370" s="286"/>
      <c r="G370" s="286"/>
      <c r="H370" s="286"/>
      <c r="I370" s="286"/>
      <c r="J370" s="286"/>
      <c r="K370" s="399"/>
      <c r="L370" s="399"/>
      <c r="M370" s="286"/>
      <c r="N370" s="286"/>
      <c r="O370" s="286"/>
      <c r="P370" s="286"/>
      <c r="Q370" s="286"/>
      <c r="R370" s="286"/>
      <c r="S370" s="286"/>
      <c r="T370" s="286"/>
      <c r="U370" s="286"/>
      <c r="V370" s="286"/>
      <c r="W370" s="286"/>
    </row>
    <row r="371">
      <c r="A371" s="286"/>
      <c r="B371" s="286"/>
      <c r="C371" s="286"/>
      <c r="D371" s="286"/>
      <c r="E371" s="286"/>
      <c r="F371" s="286"/>
      <c r="G371" s="286"/>
      <c r="H371" s="286"/>
      <c r="I371" s="286"/>
      <c r="J371" s="286"/>
      <c r="K371" s="399"/>
      <c r="L371" s="399"/>
      <c r="M371" s="286"/>
      <c r="N371" s="286"/>
      <c r="O371" s="286"/>
      <c r="P371" s="286"/>
      <c r="Q371" s="286"/>
      <c r="R371" s="286"/>
      <c r="S371" s="286"/>
      <c r="T371" s="286"/>
      <c r="U371" s="286"/>
      <c r="V371" s="286"/>
      <c r="W371" s="286"/>
    </row>
    <row r="372">
      <c r="A372" s="286"/>
      <c r="B372" s="286"/>
      <c r="C372" s="286"/>
      <c r="D372" s="286"/>
      <c r="E372" s="286"/>
      <c r="F372" s="286"/>
      <c r="G372" s="286"/>
      <c r="H372" s="286"/>
      <c r="I372" s="286"/>
      <c r="J372" s="286"/>
      <c r="K372" s="399"/>
      <c r="L372" s="399"/>
      <c r="M372" s="286"/>
      <c r="N372" s="286"/>
      <c r="O372" s="286"/>
      <c r="P372" s="286"/>
      <c r="Q372" s="286"/>
      <c r="R372" s="286"/>
      <c r="S372" s="286"/>
      <c r="T372" s="286"/>
      <c r="U372" s="286"/>
      <c r="V372" s="286"/>
      <c r="W372" s="286"/>
    </row>
    <row r="373">
      <c r="A373" s="286"/>
      <c r="B373" s="286"/>
      <c r="C373" s="286"/>
      <c r="D373" s="286"/>
      <c r="E373" s="286"/>
      <c r="F373" s="286"/>
      <c r="G373" s="286"/>
      <c r="H373" s="286"/>
      <c r="I373" s="286"/>
      <c r="J373" s="286"/>
      <c r="K373" s="399"/>
      <c r="L373" s="399"/>
      <c r="M373" s="286"/>
      <c r="N373" s="286"/>
      <c r="O373" s="286"/>
      <c r="P373" s="286"/>
      <c r="Q373" s="286"/>
      <c r="R373" s="286"/>
      <c r="S373" s="286"/>
      <c r="T373" s="286"/>
      <c r="U373" s="286"/>
      <c r="V373" s="286"/>
      <c r="W373" s="286"/>
    </row>
    <row r="374">
      <c r="A374" s="286"/>
      <c r="B374" s="286"/>
      <c r="C374" s="286"/>
      <c r="D374" s="286"/>
      <c r="E374" s="286"/>
      <c r="F374" s="286"/>
      <c r="G374" s="286"/>
      <c r="H374" s="286"/>
      <c r="I374" s="286"/>
      <c r="J374" s="286"/>
      <c r="K374" s="399"/>
      <c r="L374" s="399"/>
      <c r="M374" s="286"/>
      <c r="N374" s="286"/>
      <c r="O374" s="286"/>
      <c r="P374" s="286"/>
      <c r="Q374" s="286"/>
      <c r="R374" s="286"/>
      <c r="S374" s="286"/>
      <c r="T374" s="286"/>
      <c r="U374" s="286"/>
      <c r="V374" s="286"/>
      <c r="W374" s="286"/>
    </row>
    <row r="375">
      <c r="A375" s="286"/>
      <c r="B375" s="286"/>
      <c r="C375" s="286"/>
      <c r="D375" s="286"/>
      <c r="E375" s="286"/>
      <c r="F375" s="286"/>
      <c r="G375" s="286"/>
      <c r="H375" s="286"/>
      <c r="I375" s="286"/>
      <c r="J375" s="286"/>
      <c r="K375" s="399"/>
      <c r="L375" s="399"/>
      <c r="M375" s="286"/>
      <c r="N375" s="286"/>
      <c r="O375" s="286"/>
      <c r="P375" s="286"/>
      <c r="Q375" s="286"/>
      <c r="R375" s="286"/>
      <c r="S375" s="286"/>
      <c r="T375" s="286"/>
      <c r="U375" s="286"/>
      <c r="V375" s="286"/>
      <c r="W375" s="286"/>
    </row>
    <row r="376">
      <c r="A376" s="286"/>
      <c r="B376" s="286"/>
      <c r="C376" s="286"/>
      <c r="D376" s="286"/>
      <c r="E376" s="286"/>
      <c r="F376" s="286"/>
      <c r="G376" s="286"/>
      <c r="H376" s="286"/>
      <c r="I376" s="286"/>
      <c r="J376" s="286"/>
      <c r="K376" s="399"/>
      <c r="L376" s="399"/>
      <c r="M376" s="286"/>
      <c r="N376" s="286"/>
      <c r="O376" s="286"/>
      <c r="P376" s="286"/>
      <c r="Q376" s="286"/>
      <c r="R376" s="286"/>
      <c r="S376" s="286"/>
      <c r="T376" s="286"/>
      <c r="U376" s="286"/>
      <c r="V376" s="286"/>
      <c r="W376" s="286"/>
    </row>
    <row r="377">
      <c r="A377" s="286"/>
      <c r="B377" s="286"/>
      <c r="C377" s="286"/>
      <c r="D377" s="286"/>
      <c r="E377" s="286"/>
      <c r="F377" s="286"/>
      <c r="G377" s="286"/>
      <c r="H377" s="286"/>
      <c r="I377" s="286"/>
      <c r="J377" s="286"/>
      <c r="K377" s="399"/>
      <c r="L377" s="399"/>
      <c r="M377" s="286"/>
      <c r="N377" s="286"/>
      <c r="O377" s="286"/>
      <c r="P377" s="286"/>
      <c r="Q377" s="286"/>
      <c r="R377" s="286"/>
      <c r="S377" s="286"/>
      <c r="T377" s="286"/>
      <c r="U377" s="286"/>
      <c r="V377" s="286"/>
      <c r="W377" s="286"/>
    </row>
    <row r="378">
      <c r="A378" s="286"/>
      <c r="B378" s="286"/>
      <c r="C378" s="286"/>
      <c r="D378" s="286"/>
      <c r="E378" s="286"/>
      <c r="F378" s="286"/>
      <c r="G378" s="286"/>
      <c r="H378" s="286"/>
      <c r="I378" s="286"/>
      <c r="J378" s="286"/>
      <c r="K378" s="399"/>
      <c r="L378" s="399"/>
      <c r="M378" s="286"/>
      <c r="N378" s="286"/>
      <c r="O378" s="286"/>
      <c r="P378" s="286"/>
      <c r="Q378" s="286"/>
      <c r="R378" s="286"/>
      <c r="S378" s="286"/>
      <c r="T378" s="286"/>
      <c r="U378" s="286"/>
      <c r="V378" s="286"/>
      <c r="W378" s="286"/>
    </row>
    <row r="379">
      <c r="A379" s="286"/>
      <c r="B379" s="286"/>
      <c r="C379" s="286"/>
      <c r="D379" s="286"/>
      <c r="E379" s="286"/>
      <c r="F379" s="286"/>
      <c r="G379" s="286"/>
      <c r="H379" s="286"/>
      <c r="I379" s="286"/>
      <c r="J379" s="286"/>
      <c r="K379" s="399"/>
      <c r="L379" s="399"/>
      <c r="M379" s="286"/>
      <c r="N379" s="286"/>
      <c r="O379" s="286"/>
      <c r="P379" s="286"/>
      <c r="Q379" s="286"/>
      <c r="R379" s="286"/>
      <c r="S379" s="286"/>
      <c r="T379" s="286"/>
      <c r="U379" s="286"/>
      <c r="V379" s="286"/>
      <c r="W379" s="286"/>
    </row>
    <row r="380">
      <c r="A380" s="286"/>
      <c r="B380" s="286"/>
      <c r="C380" s="286"/>
      <c r="D380" s="286"/>
      <c r="E380" s="286"/>
      <c r="F380" s="286"/>
      <c r="G380" s="286"/>
      <c r="H380" s="286"/>
      <c r="I380" s="286"/>
      <c r="J380" s="286"/>
      <c r="K380" s="399"/>
      <c r="L380" s="399"/>
      <c r="M380" s="286"/>
      <c r="N380" s="286"/>
      <c r="O380" s="286"/>
      <c r="P380" s="286"/>
      <c r="Q380" s="286"/>
      <c r="R380" s="286"/>
      <c r="S380" s="286"/>
      <c r="T380" s="286"/>
      <c r="U380" s="286"/>
      <c r="V380" s="286"/>
      <c r="W380" s="286"/>
    </row>
    <row r="381">
      <c r="A381" s="286"/>
      <c r="B381" s="286"/>
      <c r="C381" s="286"/>
      <c r="D381" s="286"/>
      <c r="E381" s="286"/>
      <c r="F381" s="286"/>
      <c r="G381" s="286"/>
      <c r="H381" s="286"/>
      <c r="I381" s="286"/>
      <c r="J381" s="286"/>
      <c r="K381" s="399"/>
      <c r="L381" s="399"/>
      <c r="M381" s="286"/>
      <c r="N381" s="286"/>
      <c r="O381" s="286"/>
      <c r="P381" s="286"/>
      <c r="Q381" s="286"/>
      <c r="R381" s="286"/>
      <c r="S381" s="286"/>
      <c r="T381" s="286"/>
      <c r="U381" s="286"/>
      <c r="V381" s="286"/>
      <c r="W381" s="286"/>
    </row>
    <row r="382">
      <c r="A382" s="286"/>
      <c r="B382" s="286"/>
      <c r="C382" s="286"/>
      <c r="D382" s="286"/>
      <c r="E382" s="286"/>
      <c r="F382" s="286"/>
      <c r="G382" s="286"/>
      <c r="H382" s="286"/>
      <c r="I382" s="286"/>
      <c r="J382" s="286"/>
      <c r="K382" s="399"/>
      <c r="L382" s="399"/>
      <c r="M382" s="286"/>
      <c r="N382" s="286"/>
      <c r="O382" s="286"/>
      <c r="P382" s="286"/>
      <c r="Q382" s="286"/>
      <c r="R382" s="286"/>
      <c r="S382" s="286"/>
      <c r="T382" s="286"/>
      <c r="U382" s="286"/>
      <c r="V382" s="286"/>
      <c r="W382" s="286"/>
    </row>
    <row r="383">
      <c r="A383" s="286"/>
      <c r="B383" s="286"/>
      <c r="C383" s="286"/>
      <c r="D383" s="286"/>
      <c r="E383" s="286"/>
      <c r="F383" s="286"/>
      <c r="G383" s="286"/>
      <c r="H383" s="286"/>
      <c r="I383" s="286"/>
      <c r="J383" s="286"/>
      <c r="K383" s="399"/>
      <c r="L383" s="399"/>
      <c r="M383" s="286"/>
      <c r="N383" s="286"/>
      <c r="O383" s="286"/>
      <c r="P383" s="286"/>
      <c r="Q383" s="286"/>
      <c r="R383" s="286"/>
      <c r="S383" s="286"/>
      <c r="T383" s="286"/>
      <c r="U383" s="286"/>
      <c r="V383" s="286"/>
      <c r="W383" s="286"/>
    </row>
    <row r="384">
      <c r="A384" s="286"/>
      <c r="B384" s="286"/>
      <c r="C384" s="286"/>
      <c r="D384" s="286"/>
      <c r="E384" s="286"/>
      <c r="F384" s="286"/>
      <c r="G384" s="286"/>
      <c r="H384" s="286"/>
      <c r="I384" s="286"/>
      <c r="J384" s="286"/>
      <c r="K384" s="399"/>
      <c r="L384" s="399"/>
      <c r="M384" s="286"/>
      <c r="N384" s="286"/>
      <c r="O384" s="286"/>
      <c r="P384" s="286"/>
      <c r="Q384" s="286"/>
      <c r="R384" s="286"/>
      <c r="S384" s="286"/>
      <c r="T384" s="286"/>
      <c r="U384" s="286"/>
      <c r="V384" s="286"/>
      <c r="W384" s="286"/>
    </row>
    <row r="385">
      <c r="A385" s="286"/>
      <c r="B385" s="286"/>
      <c r="C385" s="286"/>
      <c r="D385" s="286"/>
      <c r="E385" s="286"/>
      <c r="F385" s="286"/>
      <c r="G385" s="286"/>
      <c r="H385" s="286"/>
      <c r="I385" s="286"/>
      <c r="J385" s="286"/>
      <c r="K385" s="399"/>
      <c r="L385" s="399"/>
      <c r="M385" s="286"/>
      <c r="N385" s="286"/>
      <c r="O385" s="286"/>
      <c r="P385" s="286"/>
      <c r="Q385" s="286"/>
      <c r="R385" s="286"/>
      <c r="S385" s="286"/>
      <c r="T385" s="286"/>
      <c r="U385" s="286"/>
      <c r="V385" s="286"/>
      <c r="W385" s="286"/>
    </row>
    <row r="386">
      <c r="A386" s="286"/>
      <c r="B386" s="286"/>
      <c r="C386" s="286"/>
      <c r="D386" s="286"/>
      <c r="E386" s="286"/>
      <c r="F386" s="286"/>
      <c r="G386" s="286"/>
      <c r="H386" s="286"/>
      <c r="I386" s="286"/>
      <c r="J386" s="286"/>
      <c r="K386" s="399"/>
      <c r="L386" s="399"/>
      <c r="M386" s="286"/>
      <c r="N386" s="286"/>
      <c r="O386" s="286"/>
      <c r="P386" s="286"/>
      <c r="Q386" s="286"/>
      <c r="R386" s="286"/>
      <c r="S386" s="286"/>
      <c r="T386" s="286"/>
      <c r="U386" s="286"/>
      <c r="V386" s="286"/>
      <c r="W386" s="286"/>
    </row>
    <row r="387">
      <c r="A387" s="286"/>
      <c r="B387" s="286"/>
      <c r="C387" s="286"/>
      <c r="D387" s="286"/>
      <c r="E387" s="286"/>
      <c r="F387" s="286"/>
      <c r="G387" s="286"/>
      <c r="H387" s="286"/>
      <c r="I387" s="286"/>
      <c r="J387" s="286"/>
      <c r="K387" s="399"/>
      <c r="L387" s="399"/>
      <c r="M387" s="286"/>
      <c r="N387" s="286"/>
      <c r="O387" s="286"/>
      <c r="P387" s="286"/>
      <c r="Q387" s="286"/>
      <c r="R387" s="286"/>
      <c r="S387" s="286"/>
      <c r="T387" s="286"/>
      <c r="U387" s="286"/>
      <c r="V387" s="286"/>
      <c r="W387" s="286"/>
    </row>
    <row r="388">
      <c r="A388" s="286"/>
      <c r="B388" s="286"/>
      <c r="C388" s="286"/>
      <c r="D388" s="286"/>
      <c r="E388" s="286"/>
      <c r="F388" s="286"/>
      <c r="G388" s="286"/>
      <c r="H388" s="286"/>
      <c r="I388" s="286"/>
      <c r="J388" s="286"/>
      <c r="K388" s="399"/>
      <c r="L388" s="399"/>
      <c r="M388" s="286"/>
      <c r="N388" s="286"/>
      <c r="O388" s="286"/>
      <c r="P388" s="286"/>
      <c r="Q388" s="286"/>
      <c r="R388" s="286"/>
      <c r="S388" s="286"/>
      <c r="T388" s="286"/>
      <c r="U388" s="286"/>
      <c r="V388" s="286"/>
      <c r="W388" s="286"/>
    </row>
    <row r="389">
      <c r="A389" s="286"/>
      <c r="B389" s="286"/>
      <c r="C389" s="286"/>
      <c r="D389" s="286"/>
      <c r="E389" s="286"/>
      <c r="F389" s="286"/>
      <c r="G389" s="286"/>
      <c r="H389" s="286"/>
      <c r="I389" s="286"/>
      <c r="J389" s="286"/>
      <c r="K389" s="399"/>
      <c r="L389" s="399"/>
      <c r="M389" s="286"/>
      <c r="N389" s="286"/>
      <c r="O389" s="286"/>
      <c r="P389" s="286"/>
      <c r="Q389" s="286"/>
      <c r="R389" s="286"/>
      <c r="S389" s="286"/>
      <c r="T389" s="286"/>
      <c r="U389" s="286"/>
      <c r="V389" s="286"/>
      <c r="W389" s="286"/>
    </row>
    <row r="390">
      <c r="A390" s="286"/>
      <c r="B390" s="286"/>
      <c r="C390" s="286"/>
      <c r="D390" s="286"/>
      <c r="E390" s="286"/>
      <c r="F390" s="286"/>
      <c r="G390" s="286"/>
      <c r="H390" s="286"/>
      <c r="I390" s="286"/>
      <c r="J390" s="286"/>
      <c r="K390" s="399"/>
      <c r="L390" s="399"/>
      <c r="M390" s="286"/>
      <c r="N390" s="286"/>
      <c r="O390" s="286"/>
      <c r="P390" s="286"/>
      <c r="Q390" s="286"/>
      <c r="R390" s="286"/>
      <c r="S390" s="286"/>
      <c r="T390" s="286"/>
      <c r="U390" s="286"/>
      <c r="V390" s="286"/>
      <c r="W390" s="286"/>
    </row>
    <row r="391">
      <c r="A391" s="286"/>
      <c r="B391" s="286"/>
      <c r="C391" s="286"/>
      <c r="D391" s="286"/>
      <c r="E391" s="286"/>
      <c r="F391" s="286"/>
      <c r="G391" s="286"/>
      <c r="H391" s="286"/>
      <c r="I391" s="286"/>
      <c r="J391" s="286"/>
      <c r="K391" s="399"/>
      <c r="L391" s="399"/>
      <c r="M391" s="286"/>
      <c r="N391" s="286"/>
      <c r="O391" s="286"/>
      <c r="P391" s="286"/>
      <c r="Q391" s="286"/>
      <c r="R391" s="286"/>
      <c r="S391" s="286"/>
      <c r="T391" s="286"/>
      <c r="U391" s="286"/>
      <c r="V391" s="286"/>
      <c r="W391" s="286"/>
    </row>
    <row r="392">
      <c r="A392" s="286"/>
      <c r="B392" s="286"/>
      <c r="C392" s="286"/>
      <c r="D392" s="286"/>
      <c r="E392" s="286"/>
      <c r="F392" s="286"/>
      <c r="G392" s="286"/>
      <c r="H392" s="286"/>
      <c r="I392" s="286"/>
      <c r="J392" s="286"/>
      <c r="K392" s="399"/>
      <c r="L392" s="399"/>
      <c r="M392" s="286"/>
      <c r="N392" s="286"/>
      <c r="O392" s="286"/>
      <c r="P392" s="286"/>
      <c r="Q392" s="286"/>
      <c r="R392" s="286"/>
      <c r="S392" s="286"/>
      <c r="T392" s="286"/>
      <c r="U392" s="286"/>
      <c r="V392" s="286"/>
      <c r="W392" s="286"/>
    </row>
    <row r="393">
      <c r="A393" s="286"/>
      <c r="B393" s="286"/>
      <c r="C393" s="286"/>
      <c r="D393" s="286"/>
      <c r="E393" s="286"/>
      <c r="F393" s="286"/>
      <c r="G393" s="286"/>
      <c r="H393" s="286"/>
      <c r="I393" s="286"/>
      <c r="J393" s="286"/>
      <c r="K393" s="399"/>
      <c r="L393" s="399"/>
      <c r="M393" s="286"/>
      <c r="N393" s="286"/>
      <c r="O393" s="286"/>
      <c r="P393" s="286"/>
      <c r="Q393" s="286"/>
      <c r="R393" s="286"/>
      <c r="S393" s="286"/>
      <c r="T393" s="286"/>
      <c r="U393" s="286"/>
      <c r="V393" s="286"/>
      <c r="W393" s="286"/>
    </row>
    <row r="394">
      <c r="A394" s="286"/>
      <c r="B394" s="286"/>
      <c r="C394" s="286"/>
      <c r="D394" s="286"/>
      <c r="E394" s="286"/>
      <c r="F394" s="286"/>
      <c r="G394" s="286"/>
      <c r="H394" s="286"/>
      <c r="I394" s="286"/>
      <c r="J394" s="286"/>
      <c r="K394" s="399"/>
      <c r="L394" s="399"/>
      <c r="M394" s="286"/>
      <c r="N394" s="286"/>
      <c r="O394" s="286"/>
      <c r="P394" s="286"/>
      <c r="Q394" s="286"/>
      <c r="R394" s="286"/>
      <c r="S394" s="286"/>
      <c r="T394" s="286"/>
      <c r="U394" s="286"/>
      <c r="V394" s="286"/>
      <c r="W394" s="286"/>
    </row>
    <row r="395">
      <c r="A395" s="286"/>
      <c r="B395" s="286"/>
      <c r="C395" s="286"/>
      <c r="D395" s="286"/>
      <c r="E395" s="286"/>
      <c r="F395" s="286"/>
      <c r="G395" s="286"/>
      <c r="H395" s="286"/>
      <c r="I395" s="286"/>
      <c r="J395" s="286"/>
      <c r="K395" s="399"/>
      <c r="L395" s="399"/>
      <c r="M395" s="286"/>
      <c r="N395" s="286"/>
      <c r="O395" s="286"/>
      <c r="P395" s="286"/>
      <c r="Q395" s="286"/>
      <c r="R395" s="286"/>
      <c r="S395" s="286"/>
      <c r="T395" s="286"/>
      <c r="U395" s="286"/>
      <c r="V395" s="286"/>
      <c r="W395" s="286"/>
    </row>
    <row r="396">
      <c r="A396" s="286"/>
      <c r="B396" s="286"/>
      <c r="C396" s="286"/>
      <c r="D396" s="286"/>
      <c r="E396" s="286"/>
      <c r="F396" s="286"/>
      <c r="G396" s="286"/>
      <c r="H396" s="286"/>
      <c r="I396" s="286"/>
      <c r="J396" s="286"/>
      <c r="K396" s="399"/>
      <c r="L396" s="399"/>
      <c r="M396" s="286"/>
      <c r="N396" s="286"/>
      <c r="O396" s="286"/>
      <c r="P396" s="286"/>
      <c r="Q396" s="286"/>
      <c r="R396" s="286"/>
      <c r="S396" s="286"/>
      <c r="T396" s="286"/>
      <c r="U396" s="286"/>
      <c r="V396" s="286"/>
      <c r="W396" s="286"/>
    </row>
    <row r="397">
      <c r="A397" s="286"/>
      <c r="B397" s="286"/>
      <c r="C397" s="286"/>
      <c r="D397" s="286"/>
      <c r="E397" s="286"/>
      <c r="F397" s="286"/>
      <c r="G397" s="286"/>
      <c r="H397" s="286"/>
      <c r="I397" s="286"/>
      <c r="J397" s="286"/>
      <c r="K397" s="399"/>
      <c r="L397" s="399"/>
      <c r="M397" s="286"/>
      <c r="N397" s="286"/>
      <c r="O397" s="286"/>
      <c r="P397" s="286"/>
      <c r="Q397" s="286"/>
      <c r="R397" s="286"/>
      <c r="S397" s="286"/>
      <c r="T397" s="286"/>
      <c r="U397" s="286"/>
      <c r="V397" s="286"/>
      <c r="W397" s="286"/>
    </row>
    <row r="398">
      <c r="A398" s="286"/>
      <c r="B398" s="286"/>
      <c r="C398" s="286"/>
      <c r="D398" s="286"/>
      <c r="E398" s="286"/>
      <c r="F398" s="286"/>
      <c r="G398" s="286"/>
      <c r="H398" s="286"/>
      <c r="I398" s="286"/>
      <c r="J398" s="286"/>
      <c r="K398" s="399"/>
      <c r="L398" s="399"/>
      <c r="M398" s="286"/>
      <c r="N398" s="286"/>
      <c r="O398" s="286"/>
      <c r="P398" s="286"/>
      <c r="Q398" s="286"/>
      <c r="R398" s="286"/>
      <c r="S398" s="286"/>
      <c r="T398" s="286"/>
      <c r="U398" s="286"/>
      <c r="V398" s="286"/>
      <c r="W398" s="286"/>
    </row>
    <row r="399">
      <c r="A399" s="286"/>
      <c r="B399" s="286"/>
      <c r="C399" s="286"/>
      <c r="D399" s="286"/>
      <c r="E399" s="286"/>
      <c r="F399" s="286"/>
      <c r="G399" s="286"/>
      <c r="H399" s="286"/>
      <c r="I399" s="286"/>
      <c r="J399" s="286"/>
      <c r="K399" s="399"/>
      <c r="L399" s="399"/>
      <c r="M399" s="286"/>
      <c r="N399" s="286"/>
      <c r="O399" s="286"/>
      <c r="P399" s="286"/>
      <c r="Q399" s="286"/>
      <c r="R399" s="286"/>
      <c r="S399" s="286"/>
      <c r="T399" s="286"/>
      <c r="U399" s="286"/>
      <c r="V399" s="286"/>
      <c r="W399" s="286"/>
    </row>
    <row r="400">
      <c r="A400" s="286"/>
      <c r="B400" s="286"/>
      <c r="C400" s="286"/>
      <c r="D400" s="286"/>
      <c r="E400" s="286"/>
      <c r="F400" s="286"/>
      <c r="G400" s="286"/>
      <c r="H400" s="286"/>
      <c r="I400" s="286"/>
      <c r="J400" s="286"/>
      <c r="K400" s="399"/>
      <c r="L400" s="399"/>
      <c r="M400" s="286"/>
      <c r="N400" s="286"/>
      <c r="O400" s="286"/>
      <c r="P400" s="286"/>
      <c r="Q400" s="286"/>
      <c r="R400" s="286"/>
      <c r="S400" s="286"/>
      <c r="T400" s="286"/>
      <c r="U400" s="286"/>
      <c r="V400" s="286"/>
      <c r="W400" s="286"/>
    </row>
    <row r="401">
      <c r="A401" s="286"/>
      <c r="B401" s="286"/>
      <c r="C401" s="286"/>
      <c r="D401" s="286"/>
      <c r="E401" s="286"/>
      <c r="F401" s="286"/>
      <c r="G401" s="286"/>
      <c r="H401" s="286"/>
      <c r="I401" s="286"/>
      <c r="J401" s="286"/>
      <c r="K401" s="399"/>
      <c r="L401" s="399"/>
      <c r="M401" s="286"/>
      <c r="N401" s="286"/>
      <c r="O401" s="286"/>
      <c r="P401" s="286"/>
      <c r="Q401" s="286"/>
      <c r="R401" s="286"/>
      <c r="S401" s="286"/>
      <c r="T401" s="286"/>
      <c r="U401" s="286"/>
      <c r="V401" s="286"/>
      <c r="W401" s="286"/>
    </row>
    <row r="402">
      <c r="A402" s="286"/>
      <c r="B402" s="286"/>
      <c r="C402" s="286"/>
      <c r="D402" s="286"/>
      <c r="E402" s="286"/>
      <c r="F402" s="286"/>
      <c r="G402" s="286"/>
      <c r="H402" s="286"/>
      <c r="I402" s="286"/>
      <c r="J402" s="286"/>
      <c r="K402" s="399"/>
      <c r="L402" s="399"/>
      <c r="M402" s="286"/>
      <c r="N402" s="286"/>
      <c r="O402" s="286"/>
      <c r="P402" s="286"/>
      <c r="Q402" s="286"/>
      <c r="R402" s="286"/>
      <c r="S402" s="286"/>
      <c r="T402" s="286"/>
      <c r="U402" s="286"/>
      <c r="V402" s="286"/>
      <c r="W402" s="286"/>
    </row>
    <row r="403">
      <c r="A403" s="286"/>
      <c r="B403" s="286"/>
      <c r="C403" s="286"/>
      <c r="D403" s="286"/>
      <c r="E403" s="286"/>
      <c r="F403" s="286"/>
      <c r="G403" s="286"/>
      <c r="H403" s="286"/>
      <c r="I403" s="286"/>
      <c r="J403" s="286"/>
      <c r="K403" s="399"/>
      <c r="L403" s="399"/>
      <c r="M403" s="286"/>
      <c r="N403" s="286"/>
      <c r="O403" s="286"/>
      <c r="P403" s="286"/>
      <c r="Q403" s="286"/>
      <c r="R403" s="286"/>
      <c r="S403" s="286"/>
      <c r="T403" s="286"/>
      <c r="U403" s="286"/>
      <c r="V403" s="286"/>
      <c r="W403" s="286"/>
    </row>
    <row r="404">
      <c r="A404" s="286"/>
      <c r="B404" s="286"/>
      <c r="C404" s="286"/>
      <c r="D404" s="286"/>
      <c r="E404" s="286"/>
      <c r="F404" s="286"/>
      <c r="G404" s="286"/>
      <c r="H404" s="286"/>
      <c r="I404" s="286"/>
      <c r="J404" s="286"/>
      <c r="K404" s="399"/>
      <c r="L404" s="399"/>
      <c r="M404" s="286"/>
      <c r="N404" s="286"/>
      <c r="O404" s="286"/>
      <c r="P404" s="286"/>
      <c r="Q404" s="286"/>
      <c r="R404" s="286"/>
      <c r="S404" s="286"/>
      <c r="T404" s="286"/>
      <c r="U404" s="286"/>
      <c r="V404" s="286"/>
      <c r="W404" s="286"/>
    </row>
    <row r="405">
      <c r="A405" s="286"/>
      <c r="B405" s="286"/>
      <c r="C405" s="286"/>
      <c r="D405" s="286"/>
      <c r="E405" s="286"/>
      <c r="F405" s="286"/>
      <c r="G405" s="286"/>
      <c r="H405" s="286"/>
      <c r="I405" s="286"/>
      <c r="J405" s="286"/>
      <c r="K405" s="399"/>
      <c r="L405" s="399"/>
      <c r="M405" s="286"/>
      <c r="N405" s="286"/>
      <c r="O405" s="286"/>
      <c r="P405" s="286"/>
      <c r="Q405" s="286"/>
      <c r="R405" s="286"/>
      <c r="S405" s="286"/>
      <c r="T405" s="286"/>
      <c r="U405" s="286"/>
      <c r="V405" s="286"/>
      <c r="W405" s="286"/>
    </row>
    <row r="406">
      <c r="A406" s="286"/>
      <c r="B406" s="286"/>
      <c r="C406" s="286"/>
      <c r="D406" s="286"/>
      <c r="E406" s="286"/>
      <c r="F406" s="286"/>
      <c r="G406" s="286"/>
      <c r="H406" s="286"/>
      <c r="I406" s="286"/>
      <c r="J406" s="286"/>
      <c r="K406" s="399"/>
      <c r="L406" s="399"/>
      <c r="M406" s="286"/>
      <c r="N406" s="286"/>
      <c r="O406" s="286"/>
      <c r="P406" s="286"/>
      <c r="Q406" s="286"/>
      <c r="R406" s="286"/>
      <c r="S406" s="286"/>
      <c r="T406" s="286"/>
      <c r="U406" s="286"/>
      <c r="V406" s="286"/>
      <c r="W406" s="286"/>
    </row>
    <row r="407">
      <c r="A407" s="286"/>
      <c r="B407" s="286"/>
      <c r="C407" s="286"/>
      <c r="D407" s="286"/>
      <c r="E407" s="286"/>
      <c r="F407" s="286"/>
      <c r="G407" s="286"/>
      <c r="H407" s="286"/>
      <c r="I407" s="286"/>
      <c r="J407" s="286"/>
      <c r="K407" s="399"/>
      <c r="L407" s="399"/>
      <c r="M407" s="286"/>
      <c r="N407" s="286"/>
      <c r="O407" s="286"/>
      <c r="P407" s="286"/>
      <c r="Q407" s="286"/>
      <c r="R407" s="286"/>
      <c r="S407" s="286"/>
      <c r="T407" s="286"/>
      <c r="U407" s="286"/>
      <c r="V407" s="286"/>
      <c r="W407" s="286"/>
    </row>
    <row r="408">
      <c r="A408" s="286"/>
      <c r="B408" s="286"/>
      <c r="C408" s="286"/>
      <c r="D408" s="286"/>
      <c r="E408" s="286"/>
      <c r="F408" s="286"/>
      <c r="G408" s="286"/>
      <c r="H408" s="286"/>
      <c r="I408" s="286"/>
      <c r="J408" s="286"/>
      <c r="K408" s="399"/>
      <c r="L408" s="399"/>
      <c r="M408" s="286"/>
      <c r="N408" s="286"/>
      <c r="O408" s="286"/>
      <c r="P408" s="286"/>
      <c r="Q408" s="286"/>
      <c r="R408" s="286"/>
      <c r="S408" s="286"/>
      <c r="T408" s="286"/>
      <c r="U408" s="286"/>
      <c r="V408" s="286"/>
      <c r="W408" s="286"/>
    </row>
    <row r="409">
      <c r="A409" s="286"/>
      <c r="B409" s="286"/>
      <c r="C409" s="286"/>
      <c r="D409" s="286"/>
      <c r="E409" s="286"/>
      <c r="F409" s="286"/>
      <c r="G409" s="286"/>
      <c r="H409" s="286"/>
      <c r="I409" s="286"/>
      <c r="J409" s="286"/>
      <c r="K409" s="399"/>
      <c r="L409" s="399"/>
      <c r="M409" s="286"/>
      <c r="N409" s="286"/>
      <c r="O409" s="286"/>
      <c r="P409" s="286"/>
      <c r="Q409" s="286"/>
      <c r="R409" s="286"/>
      <c r="S409" s="286"/>
      <c r="T409" s="286"/>
      <c r="U409" s="286"/>
      <c r="V409" s="286"/>
      <c r="W409" s="286"/>
    </row>
    <row r="410">
      <c r="A410" s="286"/>
      <c r="B410" s="286"/>
      <c r="C410" s="286"/>
      <c r="D410" s="286"/>
      <c r="E410" s="286"/>
      <c r="F410" s="286"/>
      <c r="G410" s="286"/>
      <c r="H410" s="286"/>
      <c r="I410" s="286"/>
      <c r="J410" s="286"/>
      <c r="K410" s="399"/>
      <c r="L410" s="399"/>
      <c r="M410" s="286"/>
      <c r="N410" s="286"/>
      <c r="O410" s="286"/>
      <c r="P410" s="286"/>
      <c r="Q410" s="286"/>
      <c r="R410" s="286"/>
      <c r="S410" s="286"/>
      <c r="T410" s="286"/>
      <c r="U410" s="286"/>
      <c r="V410" s="286"/>
      <c r="W410" s="286"/>
    </row>
    <row r="411">
      <c r="A411" s="286"/>
      <c r="B411" s="286"/>
      <c r="C411" s="286"/>
      <c r="D411" s="286"/>
      <c r="E411" s="286"/>
      <c r="F411" s="286"/>
      <c r="G411" s="286"/>
      <c r="H411" s="286"/>
      <c r="I411" s="286"/>
      <c r="J411" s="286"/>
      <c r="K411" s="399"/>
      <c r="L411" s="399"/>
      <c r="M411" s="286"/>
      <c r="N411" s="286"/>
      <c r="O411" s="286"/>
      <c r="P411" s="286"/>
      <c r="Q411" s="286"/>
      <c r="R411" s="286"/>
      <c r="S411" s="286"/>
      <c r="T411" s="286"/>
      <c r="U411" s="286"/>
      <c r="V411" s="286"/>
      <c r="W411" s="286"/>
    </row>
    <row r="412">
      <c r="A412" s="286"/>
      <c r="B412" s="286"/>
      <c r="C412" s="286"/>
      <c r="D412" s="286"/>
      <c r="E412" s="286"/>
      <c r="F412" s="286"/>
      <c r="G412" s="286"/>
      <c r="H412" s="286"/>
      <c r="I412" s="286"/>
      <c r="J412" s="286"/>
      <c r="K412" s="399"/>
      <c r="L412" s="399"/>
      <c r="M412" s="286"/>
      <c r="N412" s="286"/>
      <c r="O412" s="286"/>
      <c r="P412" s="286"/>
      <c r="Q412" s="286"/>
      <c r="R412" s="286"/>
      <c r="S412" s="286"/>
      <c r="T412" s="286"/>
      <c r="U412" s="286"/>
      <c r="V412" s="286"/>
      <c r="W412" s="286"/>
    </row>
    <row r="413">
      <c r="A413" s="286"/>
      <c r="B413" s="286"/>
      <c r="C413" s="286"/>
      <c r="D413" s="286"/>
      <c r="E413" s="286"/>
      <c r="F413" s="286"/>
      <c r="G413" s="286"/>
      <c r="H413" s="286"/>
      <c r="I413" s="286"/>
      <c r="J413" s="286"/>
      <c r="K413" s="399"/>
      <c r="L413" s="399"/>
      <c r="M413" s="286"/>
      <c r="N413" s="286"/>
      <c r="O413" s="286"/>
      <c r="P413" s="286"/>
      <c r="Q413" s="286"/>
      <c r="R413" s="286"/>
      <c r="S413" s="286"/>
      <c r="T413" s="286"/>
      <c r="U413" s="286"/>
      <c r="V413" s="286"/>
      <c r="W413" s="286"/>
    </row>
    <row r="414">
      <c r="A414" s="286"/>
      <c r="B414" s="286"/>
      <c r="C414" s="286"/>
      <c r="D414" s="286"/>
      <c r="E414" s="286"/>
      <c r="F414" s="286"/>
      <c r="G414" s="286"/>
      <c r="H414" s="286"/>
      <c r="I414" s="286"/>
      <c r="J414" s="286"/>
      <c r="K414" s="399"/>
      <c r="L414" s="399"/>
      <c r="M414" s="286"/>
      <c r="N414" s="286"/>
      <c r="O414" s="286"/>
      <c r="P414" s="286"/>
      <c r="Q414" s="286"/>
      <c r="R414" s="286"/>
      <c r="S414" s="286"/>
      <c r="T414" s="286"/>
      <c r="U414" s="286"/>
      <c r="V414" s="286"/>
      <c r="W414" s="286"/>
    </row>
    <row r="415">
      <c r="A415" s="286"/>
      <c r="B415" s="286"/>
      <c r="C415" s="286"/>
      <c r="D415" s="286"/>
      <c r="E415" s="286"/>
      <c r="F415" s="286"/>
      <c r="G415" s="286"/>
      <c r="H415" s="286"/>
      <c r="I415" s="286"/>
      <c r="J415" s="286"/>
      <c r="K415" s="399"/>
      <c r="L415" s="399"/>
      <c r="M415" s="286"/>
      <c r="N415" s="286"/>
      <c r="O415" s="286"/>
      <c r="P415" s="286"/>
      <c r="Q415" s="286"/>
      <c r="R415" s="286"/>
      <c r="S415" s="286"/>
      <c r="T415" s="286"/>
      <c r="U415" s="286"/>
      <c r="V415" s="286"/>
      <c r="W415" s="286"/>
    </row>
    <row r="416">
      <c r="A416" s="286"/>
      <c r="B416" s="286"/>
      <c r="C416" s="286"/>
      <c r="D416" s="286"/>
      <c r="E416" s="286"/>
      <c r="F416" s="286"/>
      <c r="G416" s="286"/>
      <c r="H416" s="286"/>
      <c r="I416" s="286"/>
      <c r="J416" s="286"/>
      <c r="K416" s="399"/>
      <c r="L416" s="399"/>
      <c r="M416" s="286"/>
      <c r="N416" s="286"/>
      <c r="O416" s="286"/>
      <c r="P416" s="286"/>
      <c r="Q416" s="286"/>
      <c r="R416" s="286"/>
      <c r="S416" s="286"/>
      <c r="T416" s="286"/>
      <c r="U416" s="286"/>
      <c r="V416" s="286"/>
      <c r="W416" s="286"/>
    </row>
    <row r="417">
      <c r="A417" s="286"/>
      <c r="B417" s="286"/>
      <c r="C417" s="286"/>
      <c r="D417" s="286"/>
      <c r="E417" s="286"/>
      <c r="F417" s="286"/>
      <c r="G417" s="286"/>
      <c r="H417" s="286"/>
      <c r="I417" s="286"/>
      <c r="J417" s="286"/>
      <c r="K417" s="399"/>
      <c r="L417" s="399"/>
      <c r="M417" s="286"/>
      <c r="N417" s="286"/>
      <c r="O417" s="286"/>
      <c r="P417" s="286"/>
      <c r="Q417" s="286"/>
      <c r="R417" s="286"/>
      <c r="S417" s="286"/>
      <c r="T417" s="286"/>
      <c r="U417" s="286"/>
      <c r="V417" s="286"/>
      <c r="W417" s="286"/>
    </row>
    <row r="418">
      <c r="A418" s="286"/>
      <c r="B418" s="286"/>
      <c r="C418" s="286"/>
      <c r="D418" s="286"/>
      <c r="E418" s="286"/>
      <c r="F418" s="286"/>
      <c r="G418" s="286"/>
      <c r="H418" s="286"/>
      <c r="I418" s="286"/>
      <c r="J418" s="286"/>
      <c r="K418" s="399"/>
      <c r="L418" s="399"/>
      <c r="M418" s="286"/>
      <c r="N418" s="286"/>
      <c r="O418" s="286"/>
      <c r="P418" s="286"/>
      <c r="Q418" s="286"/>
      <c r="R418" s="286"/>
      <c r="S418" s="286"/>
      <c r="T418" s="286"/>
      <c r="U418" s="286"/>
      <c r="V418" s="286"/>
      <c r="W418" s="286"/>
    </row>
    <row r="419">
      <c r="A419" s="286"/>
      <c r="B419" s="286"/>
      <c r="C419" s="286"/>
      <c r="D419" s="286"/>
      <c r="E419" s="286"/>
      <c r="F419" s="286"/>
      <c r="G419" s="286"/>
      <c r="H419" s="286"/>
      <c r="I419" s="286"/>
      <c r="J419" s="286"/>
      <c r="K419" s="399"/>
      <c r="L419" s="399"/>
      <c r="M419" s="286"/>
      <c r="N419" s="286"/>
      <c r="O419" s="286"/>
      <c r="P419" s="286"/>
      <c r="Q419" s="286"/>
      <c r="R419" s="286"/>
      <c r="S419" s="286"/>
      <c r="T419" s="286"/>
      <c r="U419" s="286"/>
      <c r="V419" s="286"/>
      <c r="W419" s="286"/>
    </row>
    <row r="420">
      <c r="A420" s="286"/>
      <c r="B420" s="286"/>
      <c r="C420" s="286"/>
      <c r="D420" s="286"/>
      <c r="E420" s="286"/>
      <c r="F420" s="286"/>
      <c r="G420" s="286"/>
      <c r="H420" s="286"/>
      <c r="I420" s="286"/>
      <c r="J420" s="286"/>
      <c r="K420" s="399"/>
      <c r="L420" s="399"/>
      <c r="M420" s="286"/>
      <c r="N420" s="286"/>
      <c r="O420" s="286"/>
      <c r="P420" s="286"/>
      <c r="Q420" s="286"/>
      <c r="R420" s="286"/>
      <c r="S420" s="286"/>
      <c r="T420" s="286"/>
      <c r="U420" s="286"/>
      <c r="V420" s="286"/>
      <c r="W420" s="286"/>
    </row>
    <row r="421">
      <c r="A421" s="286"/>
      <c r="B421" s="286"/>
      <c r="C421" s="286"/>
      <c r="D421" s="286"/>
      <c r="E421" s="286"/>
      <c r="F421" s="286"/>
      <c r="G421" s="286"/>
      <c r="H421" s="286"/>
      <c r="I421" s="286"/>
      <c r="J421" s="286"/>
      <c r="K421" s="399"/>
      <c r="L421" s="399"/>
      <c r="M421" s="286"/>
      <c r="N421" s="286"/>
      <c r="O421" s="286"/>
      <c r="P421" s="286"/>
      <c r="Q421" s="286"/>
      <c r="R421" s="286"/>
      <c r="S421" s="286"/>
      <c r="T421" s="286"/>
      <c r="U421" s="286"/>
      <c r="V421" s="286"/>
      <c r="W421" s="286"/>
    </row>
    <row r="422">
      <c r="A422" s="286"/>
      <c r="B422" s="286"/>
      <c r="C422" s="286"/>
      <c r="D422" s="286"/>
      <c r="E422" s="286"/>
      <c r="F422" s="286"/>
      <c r="G422" s="286"/>
      <c r="H422" s="286"/>
      <c r="I422" s="286"/>
      <c r="J422" s="286"/>
      <c r="K422" s="399"/>
      <c r="L422" s="399"/>
      <c r="M422" s="286"/>
      <c r="N422" s="286"/>
      <c r="O422" s="286"/>
      <c r="P422" s="286"/>
      <c r="Q422" s="286"/>
      <c r="R422" s="286"/>
      <c r="S422" s="286"/>
      <c r="T422" s="286"/>
      <c r="U422" s="286"/>
      <c r="V422" s="286"/>
      <c r="W422" s="286"/>
    </row>
    <row r="423">
      <c r="A423" s="286"/>
      <c r="B423" s="286"/>
      <c r="C423" s="286"/>
      <c r="D423" s="286"/>
      <c r="E423" s="286"/>
      <c r="F423" s="286"/>
      <c r="G423" s="286"/>
      <c r="H423" s="286"/>
      <c r="I423" s="286"/>
      <c r="J423" s="286"/>
      <c r="K423" s="399"/>
      <c r="L423" s="399"/>
      <c r="M423" s="286"/>
      <c r="N423" s="286"/>
      <c r="O423" s="286"/>
      <c r="P423" s="286"/>
      <c r="Q423" s="286"/>
      <c r="R423" s="286"/>
      <c r="S423" s="286"/>
      <c r="T423" s="286"/>
      <c r="U423" s="286"/>
      <c r="V423" s="286"/>
      <c r="W423" s="286"/>
    </row>
    <row r="424">
      <c r="A424" s="286"/>
      <c r="B424" s="286"/>
      <c r="C424" s="286"/>
      <c r="D424" s="286"/>
      <c r="E424" s="286"/>
      <c r="F424" s="286"/>
      <c r="G424" s="286"/>
      <c r="H424" s="286"/>
      <c r="I424" s="286"/>
      <c r="J424" s="286"/>
      <c r="K424" s="399"/>
      <c r="L424" s="399"/>
      <c r="M424" s="286"/>
      <c r="N424" s="286"/>
      <c r="O424" s="286"/>
      <c r="P424" s="286"/>
      <c r="Q424" s="286"/>
      <c r="R424" s="286"/>
      <c r="S424" s="286"/>
      <c r="T424" s="286"/>
      <c r="U424" s="286"/>
      <c r="V424" s="286"/>
      <c r="W424" s="286"/>
    </row>
    <row r="425">
      <c r="A425" s="286"/>
      <c r="B425" s="286"/>
      <c r="C425" s="286"/>
      <c r="D425" s="286"/>
      <c r="E425" s="286"/>
      <c r="F425" s="286"/>
      <c r="G425" s="286"/>
      <c r="H425" s="286"/>
      <c r="I425" s="286"/>
      <c r="J425" s="286"/>
      <c r="K425" s="399"/>
      <c r="L425" s="399"/>
      <c r="M425" s="286"/>
      <c r="N425" s="286"/>
      <c r="O425" s="286"/>
      <c r="P425" s="286"/>
      <c r="Q425" s="286"/>
      <c r="R425" s="286"/>
      <c r="S425" s="286"/>
      <c r="T425" s="286"/>
      <c r="U425" s="286"/>
      <c r="V425" s="286"/>
      <c r="W425" s="286"/>
    </row>
    <row r="426">
      <c r="A426" s="286"/>
      <c r="B426" s="286"/>
      <c r="C426" s="286"/>
      <c r="D426" s="286"/>
      <c r="E426" s="286"/>
      <c r="F426" s="286"/>
      <c r="G426" s="286"/>
      <c r="H426" s="286"/>
      <c r="I426" s="286"/>
      <c r="J426" s="286"/>
      <c r="K426" s="399"/>
      <c r="L426" s="399"/>
      <c r="M426" s="286"/>
      <c r="N426" s="286"/>
      <c r="O426" s="286"/>
      <c r="P426" s="286"/>
      <c r="Q426" s="286"/>
      <c r="R426" s="286"/>
      <c r="S426" s="286"/>
      <c r="T426" s="286"/>
      <c r="U426" s="286"/>
      <c r="V426" s="286"/>
      <c r="W426" s="286"/>
    </row>
    <row r="427">
      <c r="A427" s="286"/>
      <c r="B427" s="286"/>
      <c r="C427" s="286"/>
      <c r="D427" s="286"/>
      <c r="E427" s="286"/>
      <c r="F427" s="286"/>
      <c r="G427" s="286"/>
      <c r="H427" s="286"/>
      <c r="I427" s="286"/>
      <c r="J427" s="286"/>
      <c r="K427" s="399"/>
      <c r="L427" s="399"/>
      <c r="M427" s="286"/>
      <c r="N427" s="286"/>
      <c r="O427" s="286"/>
      <c r="P427" s="286"/>
      <c r="Q427" s="286"/>
      <c r="R427" s="286"/>
      <c r="S427" s="286"/>
      <c r="T427" s="286"/>
      <c r="U427" s="286"/>
      <c r="V427" s="286"/>
      <c r="W427" s="286"/>
    </row>
    <row r="428">
      <c r="A428" s="286"/>
      <c r="B428" s="286"/>
      <c r="C428" s="286"/>
      <c r="D428" s="286"/>
      <c r="E428" s="286"/>
      <c r="F428" s="286"/>
      <c r="G428" s="286"/>
      <c r="H428" s="286"/>
      <c r="I428" s="286"/>
      <c r="J428" s="286"/>
      <c r="K428" s="399"/>
      <c r="L428" s="399"/>
      <c r="M428" s="286"/>
      <c r="N428" s="286"/>
      <c r="O428" s="286"/>
      <c r="P428" s="286"/>
      <c r="Q428" s="286"/>
      <c r="R428" s="286"/>
      <c r="S428" s="286"/>
      <c r="T428" s="286"/>
      <c r="U428" s="286"/>
      <c r="V428" s="286"/>
      <c r="W428" s="286"/>
    </row>
    <row r="429">
      <c r="A429" s="286"/>
      <c r="B429" s="286"/>
      <c r="C429" s="286"/>
      <c r="D429" s="286"/>
      <c r="E429" s="286"/>
      <c r="F429" s="286"/>
      <c r="G429" s="286"/>
      <c r="H429" s="286"/>
      <c r="I429" s="286"/>
      <c r="J429" s="286"/>
      <c r="K429" s="399"/>
      <c r="L429" s="399"/>
      <c r="M429" s="286"/>
      <c r="N429" s="286"/>
      <c r="O429" s="286"/>
      <c r="P429" s="286"/>
      <c r="Q429" s="286"/>
      <c r="R429" s="286"/>
      <c r="S429" s="286"/>
      <c r="T429" s="286"/>
      <c r="U429" s="286"/>
      <c r="V429" s="286"/>
      <c r="W429" s="286"/>
    </row>
    <row r="430">
      <c r="A430" s="286"/>
      <c r="B430" s="286"/>
      <c r="C430" s="286"/>
      <c r="D430" s="286"/>
      <c r="E430" s="286"/>
      <c r="F430" s="286"/>
      <c r="G430" s="286"/>
      <c r="H430" s="286"/>
      <c r="I430" s="286"/>
      <c r="J430" s="286"/>
      <c r="K430" s="399"/>
      <c r="L430" s="399"/>
      <c r="M430" s="286"/>
      <c r="N430" s="286"/>
      <c r="O430" s="286"/>
      <c r="P430" s="286"/>
      <c r="Q430" s="286"/>
      <c r="R430" s="286"/>
      <c r="S430" s="286"/>
      <c r="T430" s="286"/>
      <c r="U430" s="286"/>
      <c r="V430" s="286"/>
      <c r="W430" s="286"/>
    </row>
    <row r="431">
      <c r="A431" s="286"/>
      <c r="B431" s="286"/>
      <c r="C431" s="286"/>
      <c r="D431" s="286"/>
      <c r="E431" s="286"/>
      <c r="F431" s="286"/>
      <c r="G431" s="286"/>
      <c r="H431" s="286"/>
      <c r="I431" s="286"/>
      <c r="J431" s="286"/>
      <c r="K431" s="399"/>
      <c r="L431" s="399"/>
      <c r="M431" s="286"/>
      <c r="N431" s="286"/>
      <c r="O431" s="286"/>
      <c r="P431" s="286"/>
      <c r="Q431" s="286"/>
      <c r="R431" s="286"/>
      <c r="S431" s="286"/>
      <c r="T431" s="286"/>
      <c r="U431" s="286"/>
      <c r="V431" s="286"/>
      <c r="W431" s="286"/>
    </row>
    <row r="432">
      <c r="A432" s="286"/>
      <c r="B432" s="286"/>
      <c r="C432" s="286"/>
      <c r="D432" s="286"/>
      <c r="E432" s="286"/>
      <c r="F432" s="286"/>
      <c r="G432" s="286"/>
      <c r="H432" s="286"/>
      <c r="I432" s="286"/>
      <c r="J432" s="286"/>
      <c r="K432" s="399"/>
      <c r="L432" s="399"/>
      <c r="M432" s="286"/>
      <c r="N432" s="286"/>
      <c r="O432" s="286"/>
      <c r="P432" s="286"/>
      <c r="Q432" s="286"/>
      <c r="R432" s="286"/>
      <c r="S432" s="286"/>
      <c r="T432" s="286"/>
      <c r="U432" s="286"/>
      <c r="V432" s="286"/>
      <c r="W432" s="286"/>
    </row>
    <row r="433">
      <c r="A433" s="286"/>
      <c r="B433" s="286"/>
      <c r="C433" s="286"/>
      <c r="D433" s="286"/>
      <c r="E433" s="286"/>
      <c r="F433" s="286"/>
      <c r="G433" s="286"/>
      <c r="H433" s="286"/>
      <c r="I433" s="286"/>
      <c r="J433" s="286"/>
      <c r="K433" s="399"/>
      <c r="L433" s="399"/>
      <c r="M433" s="286"/>
      <c r="N433" s="286"/>
      <c r="O433" s="286"/>
      <c r="P433" s="286"/>
      <c r="Q433" s="286"/>
      <c r="R433" s="286"/>
      <c r="S433" s="286"/>
      <c r="T433" s="286"/>
      <c r="U433" s="286"/>
      <c r="V433" s="286"/>
      <c r="W433" s="286"/>
    </row>
    <row r="434">
      <c r="A434" s="286"/>
      <c r="B434" s="286"/>
      <c r="C434" s="286"/>
      <c r="D434" s="286"/>
      <c r="E434" s="286"/>
      <c r="F434" s="286"/>
      <c r="G434" s="286"/>
      <c r="H434" s="286"/>
      <c r="I434" s="286"/>
      <c r="J434" s="286"/>
      <c r="K434" s="399"/>
      <c r="L434" s="399"/>
      <c r="M434" s="286"/>
      <c r="N434" s="286"/>
      <c r="O434" s="286"/>
      <c r="P434" s="286"/>
      <c r="Q434" s="286"/>
      <c r="R434" s="286"/>
      <c r="S434" s="286"/>
      <c r="T434" s="286"/>
      <c r="U434" s="286"/>
      <c r="V434" s="286"/>
      <c r="W434" s="286"/>
    </row>
    <row r="435">
      <c r="A435" s="286"/>
      <c r="B435" s="286"/>
      <c r="C435" s="286"/>
      <c r="D435" s="286"/>
      <c r="E435" s="286"/>
      <c r="F435" s="286"/>
      <c r="G435" s="286"/>
      <c r="H435" s="286"/>
      <c r="I435" s="286"/>
      <c r="J435" s="286"/>
      <c r="K435" s="399"/>
      <c r="L435" s="399"/>
      <c r="M435" s="286"/>
      <c r="N435" s="286"/>
      <c r="O435" s="286"/>
      <c r="P435" s="286"/>
      <c r="Q435" s="286"/>
      <c r="R435" s="286"/>
      <c r="S435" s="286"/>
      <c r="T435" s="286"/>
      <c r="U435" s="286"/>
      <c r="V435" s="286"/>
      <c r="W435" s="286"/>
    </row>
    <row r="436">
      <c r="A436" s="286"/>
      <c r="B436" s="286"/>
      <c r="C436" s="286"/>
      <c r="D436" s="286"/>
      <c r="E436" s="286"/>
      <c r="F436" s="286"/>
      <c r="G436" s="286"/>
      <c r="H436" s="286"/>
      <c r="I436" s="286"/>
      <c r="J436" s="286"/>
      <c r="K436" s="399"/>
      <c r="L436" s="399"/>
      <c r="M436" s="286"/>
      <c r="N436" s="286"/>
      <c r="O436" s="286"/>
      <c r="P436" s="286"/>
      <c r="Q436" s="286"/>
      <c r="R436" s="286"/>
      <c r="S436" s="286"/>
      <c r="T436" s="286"/>
      <c r="U436" s="286"/>
      <c r="V436" s="286"/>
      <c r="W436" s="286"/>
    </row>
    <row r="437">
      <c r="A437" s="286"/>
      <c r="B437" s="286"/>
      <c r="C437" s="286"/>
      <c r="D437" s="286"/>
      <c r="E437" s="286"/>
      <c r="F437" s="286"/>
      <c r="G437" s="286"/>
      <c r="H437" s="286"/>
      <c r="I437" s="286"/>
      <c r="J437" s="286"/>
      <c r="K437" s="399"/>
      <c r="L437" s="399"/>
      <c r="M437" s="286"/>
      <c r="N437" s="286"/>
      <c r="O437" s="286"/>
      <c r="P437" s="286"/>
      <c r="Q437" s="286"/>
      <c r="R437" s="286"/>
      <c r="S437" s="286"/>
      <c r="T437" s="286"/>
      <c r="U437" s="286"/>
      <c r="V437" s="286"/>
      <c r="W437" s="286"/>
    </row>
    <row r="438">
      <c r="A438" s="286"/>
      <c r="B438" s="286"/>
      <c r="C438" s="286"/>
      <c r="D438" s="286"/>
      <c r="E438" s="286"/>
      <c r="F438" s="286"/>
      <c r="G438" s="286"/>
      <c r="H438" s="286"/>
      <c r="I438" s="286"/>
      <c r="J438" s="286"/>
      <c r="K438" s="399"/>
      <c r="L438" s="399"/>
      <c r="M438" s="286"/>
      <c r="N438" s="286"/>
      <c r="O438" s="286"/>
      <c r="P438" s="286"/>
      <c r="Q438" s="286"/>
      <c r="R438" s="286"/>
      <c r="S438" s="286"/>
      <c r="T438" s="286"/>
      <c r="U438" s="286"/>
      <c r="V438" s="286"/>
      <c r="W438" s="286"/>
    </row>
    <row r="439">
      <c r="A439" s="286"/>
      <c r="B439" s="286"/>
      <c r="C439" s="286"/>
      <c r="D439" s="286"/>
      <c r="E439" s="286"/>
      <c r="F439" s="286"/>
      <c r="G439" s="286"/>
      <c r="H439" s="286"/>
      <c r="I439" s="286"/>
      <c r="J439" s="286"/>
      <c r="K439" s="399"/>
      <c r="L439" s="399"/>
      <c r="M439" s="286"/>
      <c r="N439" s="286"/>
      <c r="O439" s="286"/>
      <c r="P439" s="286"/>
      <c r="Q439" s="286"/>
      <c r="R439" s="286"/>
      <c r="S439" s="286"/>
      <c r="T439" s="286"/>
      <c r="U439" s="286"/>
      <c r="V439" s="286"/>
      <c r="W439" s="286"/>
    </row>
    <row r="440">
      <c r="A440" s="286"/>
      <c r="B440" s="286"/>
      <c r="C440" s="286"/>
      <c r="D440" s="286"/>
      <c r="E440" s="286"/>
      <c r="F440" s="286"/>
      <c r="G440" s="286"/>
      <c r="H440" s="286"/>
      <c r="I440" s="286"/>
      <c r="J440" s="286"/>
      <c r="K440" s="399"/>
      <c r="L440" s="399"/>
      <c r="M440" s="286"/>
      <c r="N440" s="286"/>
      <c r="O440" s="286"/>
      <c r="P440" s="286"/>
      <c r="Q440" s="286"/>
      <c r="R440" s="286"/>
      <c r="S440" s="286"/>
      <c r="T440" s="286"/>
      <c r="U440" s="286"/>
      <c r="V440" s="286"/>
      <c r="W440" s="286"/>
    </row>
    <row r="441">
      <c r="A441" s="286"/>
      <c r="B441" s="286"/>
      <c r="C441" s="286"/>
      <c r="D441" s="286"/>
      <c r="E441" s="286"/>
      <c r="F441" s="286"/>
      <c r="G441" s="286"/>
      <c r="H441" s="286"/>
      <c r="I441" s="286"/>
      <c r="J441" s="286"/>
      <c r="K441" s="399"/>
      <c r="L441" s="399"/>
      <c r="M441" s="286"/>
      <c r="N441" s="286"/>
      <c r="O441" s="286"/>
      <c r="P441" s="286"/>
      <c r="Q441" s="286"/>
      <c r="R441" s="286"/>
      <c r="S441" s="286"/>
      <c r="T441" s="286"/>
      <c r="U441" s="286"/>
      <c r="V441" s="286"/>
      <c r="W441" s="286"/>
    </row>
    <row r="442">
      <c r="A442" s="286"/>
      <c r="B442" s="286"/>
      <c r="C442" s="286"/>
      <c r="D442" s="286"/>
      <c r="E442" s="286"/>
      <c r="F442" s="286"/>
      <c r="G442" s="286"/>
      <c r="H442" s="286"/>
      <c r="I442" s="286"/>
      <c r="J442" s="286"/>
      <c r="K442" s="399"/>
      <c r="L442" s="399"/>
      <c r="M442" s="286"/>
      <c r="N442" s="286"/>
      <c r="O442" s="286"/>
      <c r="P442" s="286"/>
      <c r="Q442" s="286"/>
      <c r="R442" s="286"/>
      <c r="S442" s="286"/>
      <c r="T442" s="286"/>
      <c r="U442" s="286"/>
      <c r="V442" s="286"/>
      <c r="W442" s="286"/>
    </row>
    <row r="443">
      <c r="A443" s="286"/>
      <c r="B443" s="286"/>
      <c r="C443" s="286"/>
      <c r="D443" s="286"/>
      <c r="E443" s="286"/>
      <c r="F443" s="286"/>
      <c r="G443" s="286"/>
      <c r="H443" s="286"/>
      <c r="I443" s="286"/>
      <c r="J443" s="286"/>
      <c r="K443" s="399"/>
      <c r="L443" s="399"/>
      <c r="M443" s="286"/>
      <c r="N443" s="286"/>
      <c r="O443" s="286"/>
      <c r="P443" s="286"/>
      <c r="Q443" s="286"/>
      <c r="R443" s="286"/>
      <c r="S443" s="286"/>
      <c r="T443" s="286"/>
      <c r="U443" s="286"/>
      <c r="V443" s="286"/>
      <c r="W443" s="286"/>
    </row>
    <row r="444">
      <c r="A444" s="286"/>
      <c r="B444" s="286"/>
      <c r="C444" s="286"/>
      <c r="D444" s="286"/>
      <c r="E444" s="286"/>
      <c r="F444" s="286"/>
      <c r="G444" s="286"/>
      <c r="H444" s="286"/>
      <c r="I444" s="286"/>
      <c r="J444" s="286"/>
      <c r="K444" s="399"/>
      <c r="L444" s="399"/>
      <c r="M444" s="286"/>
      <c r="N444" s="286"/>
      <c r="O444" s="286"/>
      <c r="P444" s="286"/>
      <c r="Q444" s="286"/>
      <c r="R444" s="286"/>
      <c r="S444" s="286"/>
      <c r="T444" s="286"/>
      <c r="U444" s="286"/>
      <c r="V444" s="286"/>
      <c r="W444" s="286"/>
    </row>
    <row r="445">
      <c r="A445" s="286"/>
      <c r="B445" s="286"/>
      <c r="C445" s="286"/>
      <c r="D445" s="286"/>
      <c r="E445" s="286"/>
      <c r="F445" s="286"/>
      <c r="G445" s="286"/>
      <c r="H445" s="286"/>
      <c r="I445" s="286"/>
      <c r="J445" s="286"/>
      <c r="K445" s="399"/>
      <c r="L445" s="399"/>
      <c r="M445" s="286"/>
      <c r="N445" s="286"/>
      <c r="O445" s="286"/>
      <c r="P445" s="286"/>
      <c r="Q445" s="286"/>
      <c r="R445" s="286"/>
      <c r="S445" s="286"/>
      <c r="T445" s="286"/>
      <c r="U445" s="286"/>
      <c r="V445" s="286"/>
      <c r="W445" s="286"/>
    </row>
    <row r="446">
      <c r="A446" s="286"/>
      <c r="B446" s="286"/>
      <c r="C446" s="286"/>
      <c r="D446" s="286"/>
      <c r="E446" s="286"/>
      <c r="F446" s="286"/>
      <c r="G446" s="286"/>
      <c r="H446" s="286"/>
      <c r="I446" s="286"/>
      <c r="J446" s="286"/>
      <c r="K446" s="399"/>
      <c r="L446" s="399"/>
      <c r="M446" s="286"/>
      <c r="N446" s="286"/>
      <c r="O446" s="286"/>
      <c r="P446" s="286"/>
      <c r="Q446" s="286"/>
      <c r="R446" s="286"/>
      <c r="S446" s="286"/>
      <c r="T446" s="286"/>
      <c r="U446" s="286"/>
      <c r="V446" s="286"/>
      <c r="W446" s="286"/>
    </row>
    <row r="447">
      <c r="A447" s="286"/>
      <c r="B447" s="286"/>
      <c r="C447" s="286"/>
      <c r="D447" s="286"/>
      <c r="E447" s="286"/>
      <c r="F447" s="286"/>
      <c r="G447" s="286"/>
      <c r="H447" s="286"/>
      <c r="I447" s="286"/>
      <c r="J447" s="286"/>
      <c r="K447" s="399"/>
      <c r="L447" s="399"/>
      <c r="M447" s="286"/>
      <c r="N447" s="286"/>
      <c r="O447" s="286"/>
      <c r="P447" s="286"/>
      <c r="Q447" s="286"/>
      <c r="R447" s="286"/>
      <c r="S447" s="286"/>
      <c r="T447" s="286"/>
      <c r="U447" s="286"/>
      <c r="V447" s="286"/>
      <c r="W447" s="286"/>
    </row>
    <row r="448">
      <c r="A448" s="286"/>
      <c r="B448" s="286"/>
      <c r="C448" s="286"/>
      <c r="D448" s="286"/>
      <c r="E448" s="286"/>
      <c r="F448" s="286"/>
      <c r="G448" s="286"/>
      <c r="H448" s="286"/>
      <c r="I448" s="286"/>
      <c r="J448" s="286"/>
      <c r="K448" s="399"/>
      <c r="L448" s="399"/>
      <c r="M448" s="286"/>
      <c r="N448" s="286"/>
      <c r="O448" s="286"/>
      <c r="P448" s="286"/>
      <c r="Q448" s="286"/>
      <c r="R448" s="286"/>
      <c r="S448" s="286"/>
      <c r="T448" s="286"/>
      <c r="U448" s="286"/>
      <c r="V448" s="286"/>
      <c r="W448" s="286"/>
    </row>
    <row r="449">
      <c r="A449" s="286"/>
      <c r="B449" s="286"/>
      <c r="C449" s="286"/>
      <c r="D449" s="286"/>
      <c r="E449" s="286"/>
      <c r="F449" s="286"/>
      <c r="G449" s="286"/>
      <c r="H449" s="286"/>
      <c r="I449" s="286"/>
      <c r="J449" s="286"/>
      <c r="K449" s="399"/>
      <c r="L449" s="399"/>
      <c r="M449" s="286"/>
      <c r="N449" s="286"/>
      <c r="O449" s="286"/>
      <c r="P449" s="286"/>
      <c r="Q449" s="286"/>
      <c r="R449" s="286"/>
      <c r="S449" s="286"/>
      <c r="T449" s="286"/>
      <c r="U449" s="286"/>
      <c r="V449" s="286"/>
      <c r="W449" s="286"/>
    </row>
    <row r="450">
      <c r="A450" s="286"/>
      <c r="B450" s="286"/>
      <c r="C450" s="286"/>
      <c r="D450" s="286"/>
      <c r="E450" s="286"/>
      <c r="F450" s="286"/>
      <c r="G450" s="286"/>
      <c r="H450" s="286"/>
      <c r="I450" s="286"/>
      <c r="J450" s="286"/>
      <c r="K450" s="399"/>
      <c r="L450" s="399"/>
      <c r="M450" s="286"/>
      <c r="N450" s="286"/>
      <c r="O450" s="286"/>
      <c r="P450" s="286"/>
      <c r="Q450" s="286"/>
      <c r="R450" s="286"/>
      <c r="S450" s="286"/>
      <c r="T450" s="286"/>
      <c r="U450" s="286"/>
      <c r="V450" s="286"/>
      <c r="W450" s="286"/>
    </row>
    <row r="451">
      <c r="A451" s="286"/>
      <c r="B451" s="286"/>
      <c r="C451" s="286"/>
      <c r="D451" s="286"/>
      <c r="E451" s="286"/>
      <c r="F451" s="286"/>
      <c r="G451" s="286"/>
      <c r="H451" s="286"/>
      <c r="I451" s="286"/>
      <c r="J451" s="286"/>
      <c r="K451" s="399"/>
      <c r="L451" s="399"/>
      <c r="M451" s="286"/>
      <c r="N451" s="286"/>
      <c r="O451" s="286"/>
      <c r="P451" s="286"/>
      <c r="Q451" s="286"/>
      <c r="R451" s="286"/>
      <c r="S451" s="286"/>
      <c r="T451" s="286"/>
      <c r="U451" s="286"/>
      <c r="V451" s="286"/>
      <c r="W451" s="286"/>
    </row>
    <row r="452">
      <c r="A452" s="286"/>
      <c r="B452" s="286"/>
      <c r="C452" s="286"/>
      <c r="D452" s="286"/>
      <c r="E452" s="286"/>
      <c r="F452" s="286"/>
      <c r="G452" s="286"/>
      <c r="H452" s="286"/>
      <c r="I452" s="286"/>
      <c r="J452" s="286"/>
      <c r="K452" s="399"/>
      <c r="L452" s="399"/>
      <c r="M452" s="286"/>
      <c r="N452" s="286"/>
      <c r="O452" s="286"/>
      <c r="P452" s="286"/>
      <c r="Q452" s="286"/>
      <c r="R452" s="286"/>
      <c r="S452" s="286"/>
      <c r="T452" s="286"/>
      <c r="U452" s="286"/>
      <c r="V452" s="286"/>
      <c r="W452" s="286"/>
    </row>
    <row r="453">
      <c r="A453" s="286"/>
      <c r="B453" s="286"/>
      <c r="C453" s="286"/>
      <c r="D453" s="286"/>
      <c r="E453" s="286"/>
      <c r="F453" s="286"/>
      <c r="G453" s="286"/>
      <c r="H453" s="286"/>
      <c r="I453" s="286"/>
      <c r="J453" s="286"/>
      <c r="K453" s="399"/>
      <c r="L453" s="399"/>
      <c r="M453" s="286"/>
      <c r="N453" s="286"/>
      <c r="O453" s="286"/>
      <c r="P453" s="286"/>
      <c r="Q453" s="286"/>
      <c r="R453" s="286"/>
      <c r="S453" s="286"/>
      <c r="T453" s="286"/>
      <c r="U453" s="286"/>
      <c r="V453" s="286"/>
      <c r="W453" s="286"/>
    </row>
    <row r="454">
      <c r="A454" s="286"/>
      <c r="B454" s="286"/>
      <c r="C454" s="286"/>
      <c r="D454" s="286"/>
      <c r="E454" s="286"/>
      <c r="F454" s="286"/>
      <c r="G454" s="286"/>
      <c r="H454" s="286"/>
      <c r="I454" s="286"/>
      <c r="J454" s="286"/>
      <c r="K454" s="399"/>
      <c r="L454" s="399"/>
      <c r="M454" s="286"/>
      <c r="N454" s="286"/>
      <c r="O454" s="286"/>
      <c r="P454" s="286"/>
      <c r="Q454" s="286"/>
      <c r="R454" s="286"/>
      <c r="S454" s="286"/>
      <c r="T454" s="286"/>
      <c r="U454" s="286"/>
      <c r="V454" s="286"/>
      <c r="W454" s="286"/>
    </row>
    <row r="455">
      <c r="A455" s="286"/>
      <c r="B455" s="286"/>
      <c r="C455" s="286"/>
      <c r="D455" s="286"/>
      <c r="E455" s="286"/>
      <c r="F455" s="286"/>
      <c r="G455" s="286"/>
      <c r="H455" s="286"/>
      <c r="I455" s="286"/>
      <c r="J455" s="286"/>
      <c r="K455" s="399"/>
      <c r="L455" s="399"/>
      <c r="M455" s="286"/>
      <c r="N455" s="286"/>
      <c r="O455" s="286"/>
      <c r="P455" s="286"/>
      <c r="Q455" s="286"/>
      <c r="R455" s="286"/>
      <c r="S455" s="286"/>
      <c r="T455" s="286"/>
      <c r="U455" s="286"/>
      <c r="V455" s="286"/>
      <c r="W455" s="286"/>
    </row>
    <row r="456">
      <c r="A456" s="286"/>
      <c r="B456" s="286"/>
      <c r="C456" s="286"/>
      <c r="D456" s="286"/>
      <c r="E456" s="286"/>
      <c r="F456" s="286"/>
      <c r="G456" s="286"/>
      <c r="H456" s="286"/>
      <c r="I456" s="286"/>
      <c r="J456" s="286"/>
      <c r="K456" s="399"/>
      <c r="L456" s="399"/>
      <c r="M456" s="286"/>
      <c r="N456" s="286"/>
      <c r="O456" s="286"/>
      <c r="P456" s="286"/>
      <c r="Q456" s="286"/>
      <c r="R456" s="286"/>
      <c r="S456" s="286"/>
      <c r="T456" s="286"/>
      <c r="U456" s="286"/>
      <c r="V456" s="286"/>
      <c r="W456" s="286"/>
    </row>
    <row r="457">
      <c r="A457" s="286"/>
      <c r="B457" s="286"/>
      <c r="C457" s="286"/>
      <c r="D457" s="286"/>
      <c r="E457" s="286"/>
      <c r="F457" s="286"/>
      <c r="G457" s="286"/>
      <c r="H457" s="286"/>
      <c r="I457" s="286"/>
      <c r="J457" s="286"/>
      <c r="K457" s="399"/>
      <c r="L457" s="399"/>
      <c r="M457" s="286"/>
      <c r="N457" s="286"/>
      <c r="O457" s="286"/>
      <c r="P457" s="286"/>
      <c r="Q457" s="286"/>
      <c r="R457" s="286"/>
      <c r="S457" s="286"/>
      <c r="T457" s="286"/>
      <c r="U457" s="286"/>
      <c r="V457" s="286"/>
      <c r="W457" s="286"/>
    </row>
    <row r="458">
      <c r="A458" s="286"/>
      <c r="B458" s="286"/>
      <c r="C458" s="286"/>
      <c r="D458" s="286"/>
      <c r="E458" s="286"/>
      <c r="F458" s="286"/>
      <c r="G458" s="286"/>
      <c r="H458" s="286"/>
      <c r="I458" s="286"/>
      <c r="J458" s="286"/>
      <c r="K458" s="399"/>
      <c r="L458" s="399"/>
      <c r="M458" s="286"/>
      <c r="N458" s="286"/>
      <c r="O458" s="286"/>
      <c r="P458" s="286"/>
      <c r="Q458" s="286"/>
      <c r="R458" s="286"/>
      <c r="S458" s="286"/>
      <c r="T458" s="286"/>
      <c r="U458" s="286"/>
      <c r="V458" s="286"/>
      <c r="W458" s="286"/>
    </row>
    <row r="459">
      <c r="A459" s="286"/>
      <c r="B459" s="286"/>
      <c r="C459" s="286"/>
      <c r="D459" s="286"/>
      <c r="E459" s="286"/>
      <c r="F459" s="286"/>
      <c r="G459" s="286"/>
      <c r="H459" s="286"/>
      <c r="I459" s="286"/>
      <c r="J459" s="286"/>
      <c r="K459" s="399"/>
      <c r="L459" s="399"/>
      <c r="M459" s="286"/>
      <c r="N459" s="286"/>
      <c r="O459" s="286"/>
      <c r="P459" s="286"/>
      <c r="Q459" s="286"/>
      <c r="R459" s="286"/>
      <c r="S459" s="286"/>
      <c r="T459" s="286"/>
      <c r="U459" s="286"/>
      <c r="V459" s="286"/>
      <c r="W459" s="286"/>
    </row>
    <row r="460">
      <c r="A460" s="286"/>
      <c r="B460" s="286"/>
      <c r="C460" s="286"/>
      <c r="D460" s="286"/>
      <c r="E460" s="286"/>
      <c r="F460" s="286"/>
      <c r="G460" s="286"/>
      <c r="H460" s="286"/>
      <c r="I460" s="286"/>
      <c r="J460" s="286"/>
      <c r="K460" s="399"/>
      <c r="L460" s="399"/>
      <c r="M460" s="286"/>
      <c r="N460" s="286"/>
      <c r="O460" s="286"/>
      <c r="P460" s="286"/>
      <c r="Q460" s="286"/>
      <c r="R460" s="286"/>
      <c r="S460" s="286"/>
      <c r="T460" s="286"/>
      <c r="U460" s="286"/>
      <c r="V460" s="286"/>
      <c r="W460" s="286"/>
    </row>
    <row r="461">
      <c r="A461" s="286"/>
      <c r="B461" s="286"/>
      <c r="C461" s="286"/>
      <c r="D461" s="286"/>
      <c r="E461" s="286"/>
      <c r="F461" s="286"/>
      <c r="G461" s="286"/>
      <c r="H461" s="286"/>
      <c r="I461" s="286"/>
      <c r="J461" s="286"/>
      <c r="K461" s="399"/>
      <c r="L461" s="399"/>
      <c r="M461" s="286"/>
      <c r="N461" s="286"/>
      <c r="O461" s="286"/>
      <c r="P461" s="286"/>
      <c r="Q461" s="286"/>
      <c r="R461" s="286"/>
      <c r="S461" s="286"/>
      <c r="T461" s="286"/>
      <c r="U461" s="286"/>
      <c r="V461" s="286"/>
      <c r="W461" s="286"/>
    </row>
    <row r="462">
      <c r="A462" s="286"/>
      <c r="B462" s="286"/>
      <c r="C462" s="286"/>
      <c r="D462" s="286"/>
      <c r="E462" s="286"/>
      <c r="F462" s="286"/>
      <c r="G462" s="286"/>
      <c r="H462" s="286"/>
      <c r="I462" s="286"/>
      <c r="J462" s="286"/>
      <c r="K462" s="399"/>
      <c r="L462" s="399"/>
      <c r="M462" s="286"/>
      <c r="N462" s="286"/>
      <c r="O462" s="286"/>
      <c r="P462" s="286"/>
      <c r="Q462" s="286"/>
      <c r="R462" s="286"/>
      <c r="S462" s="286"/>
      <c r="T462" s="286"/>
      <c r="U462" s="286"/>
      <c r="V462" s="286"/>
      <c r="W462" s="286"/>
    </row>
    <row r="463">
      <c r="A463" s="286"/>
      <c r="B463" s="286"/>
      <c r="C463" s="286"/>
      <c r="D463" s="286"/>
      <c r="E463" s="286"/>
      <c r="F463" s="286"/>
      <c r="G463" s="286"/>
      <c r="H463" s="286"/>
      <c r="I463" s="286"/>
      <c r="J463" s="286"/>
      <c r="K463" s="399"/>
      <c r="L463" s="399"/>
      <c r="M463" s="286"/>
      <c r="N463" s="286"/>
      <c r="O463" s="286"/>
      <c r="P463" s="286"/>
      <c r="Q463" s="286"/>
      <c r="R463" s="286"/>
      <c r="S463" s="286"/>
      <c r="T463" s="286"/>
      <c r="U463" s="286"/>
      <c r="V463" s="286"/>
      <c r="W463" s="286"/>
    </row>
    <row r="464">
      <c r="A464" s="286"/>
      <c r="B464" s="286"/>
      <c r="C464" s="286"/>
      <c r="D464" s="286"/>
      <c r="E464" s="286"/>
      <c r="F464" s="286"/>
      <c r="G464" s="286"/>
      <c r="H464" s="286"/>
      <c r="I464" s="286"/>
      <c r="J464" s="286"/>
      <c r="K464" s="399"/>
      <c r="L464" s="399"/>
      <c r="M464" s="286"/>
      <c r="N464" s="286"/>
      <c r="O464" s="286"/>
      <c r="P464" s="286"/>
      <c r="Q464" s="286"/>
      <c r="R464" s="286"/>
      <c r="S464" s="286"/>
      <c r="T464" s="286"/>
      <c r="U464" s="286"/>
      <c r="V464" s="286"/>
      <c r="W464" s="286"/>
    </row>
    <row r="465">
      <c r="A465" s="286"/>
      <c r="B465" s="286"/>
      <c r="C465" s="286"/>
      <c r="D465" s="286"/>
      <c r="E465" s="286"/>
      <c r="F465" s="286"/>
      <c r="G465" s="286"/>
      <c r="H465" s="286"/>
      <c r="I465" s="286"/>
      <c r="J465" s="286"/>
      <c r="K465" s="399"/>
      <c r="L465" s="399"/>
      <c r="M465" s="286"/>
      <c r="N465" s="286"/>
      <c r="O465" s="286"/>
      <c r="P465" s="286"/>
      <c r="Q465" s="286"/>
      <c r="R465" s="286"/>
      <c r="S465" s="286"/>
      <c r="T465" s="286"/>
      <c r="U465" s="286"/>
      <c r="V465" s="286"/>
      <c r="W465" s="286"/>
    </row>
    <row r="466">
      <c r="A466" s="286"/>
      <c r="B466" s="286"/>
      <c r="C466" s="286"/>
      <c r="D466" s="286"/>
      <c r="E466" s="286"/>
      <c r="F466" s="286"/>
      <c r="G466" s="286"/>
      <c r="H466" s="286"/>
      <c r="I466" s="286"/>
      <c r="J466" s="286"/>
      <c r="K466" s="399"/>
      <c r="L466" s="399"/>
      <c r="M466" s="286"/>
      <c r="N466" s="286"/>
      <c r="O466" s="286"/>
      <c r="P466" s="286"/>
      <c r="Q466" s="286"/>
      <c r="R466" s="286"/>
      <c r="S466" s="286"/>
      <c r="T466" s="286"/>
      <c r="U466" s="286"/>
      <c r="V466" s="286"/>
      <c r="W466" s="286"/>
    </row>
    <row r="467">
      <c r="A467" s="286"/>
      <c r="B467" s="286"/>
      <c r="C467" s="286"/>
      <c r="D467" s="286"/>
      <c r="E467" s="286"/>
      <c r="F467" s="286"/>
      <c r="G467" s="286"/>
      <c r="H467" s="286"/>
      <c r="I467" s="286"/>
      <c r="J467" s="286"/>
      <c r="K467" s="399"/>
      <c r="L467" s="399"/>
      <c r="M467" s="286"/>
      <c r="N467" s="286"/>
      <c r="O467" s="286"/>
      <c r="P467" s="286"/>
      <c r="Q467" s="286"/>
      <c r="R467" s="286"/>
      <c r="S467" s="286"/>
      <c r="T467" s="286"/>
      <c r="U467" s="286"/>
      <c r="V467" s="286"/>
      <c r="W467" s="286"/>
    </row>
    <row r="468">
      <c r="A468" s="286"/>
      <c r="B468" s="286"/>
      <c r="C468" s="286"/>
      <c r="D468" s="286"/>
      <c r="E468" s="286"/>
      <c r="F468" s="286"/>
      <c r="G468" s="286"/>
      <c r="H468" s="286"/>
      <c r="I468" s="286"/>
      <c r="J468" s="286"/>
      <c r="K468" s="399"/>
      <c r="L468" s="399"/>
      <c r="M468" s="286"/>
      <c r="N468" s="286"/>
      <c r="O468" s="286"/>
      <c r="P468" s="286"/>
      <c r="Q468" s="286"/>
      <c r="R468" s="286"/>
      <c r="S468" s="286"/>
      <c r="T468" s="286"/>
      <c r="U468" s="286"/>
      <c r="V468" s="286"/>
      <c r="W468" s="286"/>
    </row>
    <row r="469">
      <c r="A469" s="286"/>
      <c r="B469" s="286"/>
      <c r="C469" s="286"/>
      <c r="D469" s="286"/>
      <c r="E469" s="286"/>
      <c r="F469" s="286"/>
      <c r="G469" s="286"/>
      <c r="H469" s="286"/>
      <c r="I469" s="286"/>
      <c r="J469" s="286"/>
      <c r="K469" s="399"/>
      <c r="L469" s="399"/>
      <c r="M469" s="286"/>
      <c r="N469" s="286"/>
      <c r="O469" s="286"/>
      <c r="P469" s="286"/>
      <c r="Q469" s="286"/>
      <c r="R469" s="286"/>
      <c r="S469" s="286"/>
      <c r="T469" s="286"/>
      <c r="U469" s="286"/>
      <c r="V469" s="286"/>
      <c r="W469" s="286"/>
    </row>
    <row r="470">
      <c r="A470" s="286"/>
      <c r="B470" s="286"/>
      <c r="C470" s="286"/>
      <c r="D470" s="286"/>
      <c r="E470" s="286"/>
      <c r="F470" s="286"/>
      <c r="G470" s="286"/>
      <c r="H470" s="286"/>
      <c r="I470" s="286"/>
      <c r="J470" s="286"/>
      <c r="K470" s="399"/>
      <c r="L470" s="399"/>
      <c r="M470" s="286"/>
      <c r="N470" s="286"/>
      <c r="O470" s="286"/>
      <c r="P470" s="286"/>
      <c r="Q470" s="286"/>
      <c r="R470" s="286"/>
      <c r="S470" s="286"/>
      <c r="T470" s="286"/>
      <c r="U470" s="286"/>
      <c r="V470" s="286"/>
      <c r="W470" s="286"/>
    </row>
    <row r="471">
      <c r="A471" s="286"/>
      <c r="B471" s="286"/>
      <c r="C471" s="286"/>
      <c r="D471" s="286"/>
      <c r="E471" s="286"/>
      <c r="F471" s="286"/>
      <c r="G471" s="286"/>
      <c r="H471" s="286"/>
      <c r="I471" s="286"/>
      <c r="J471" s="286"/>
      <c r="K471" s="399"/>
      <c r="L471" s="399"/>
      <c r="M471" s="286"/>
      <c r="N471" s="286"/>
      <c r="O471" s="286"/>
      <c r="P471" s="286"/>
      <c r="Q471" s="286"/>
      <c r="R471" s="286"/>
      <c r="S471" s="286"/>
      <c r="T471" s="286"/>
      <c r="U471" s="286"/>
      <c r="V471" s="286"/>
      <c r="W471" s="286"/>
    </row>
    <row r="472">
      <c r="A472" s="286"/>
      <c r="B472" s="286"/>
      <c r="C472" s="286"/>
      <c r="D472" s="286"/>
      <c r="E472" s="286"/>
      <c r="F472" s="286"/>
      <c r="G472" s="286"/>
      <c r="H472" s="286"/>
      <c r="I472" s="286"/>
      <c r="J472" s="286"/>
      <c r="K472" s="399"/>
      <c r="L472" s="399"/>
      <c r="M472" s="286"/>
      <c r="N472" s="286"/>
      <c r="O472" s="286"/>
      <c r="P472" s="286"/>
      <c r="Q472" s="286"/>
      <c r="R472" s="286"/>
      <c r="S472" s="286"/>
      <c r="T472" s="286"/>
      <c r="U472" s="286"/>
      <c r="V472" s="286"/>
      <c r="W472" s="286"/>
    </row>
    <row r="473">
      <c r="A473" s="286"/>
      <c r="B473" s="286"/>
      <c r="C473" s="286"/>
      <c r="D473" s="286"/>
      <c r="E473" s="286"/>
      <c r="F473" s="286"/>
      <c r="G473" s="286"/>
      <c r="H473" s="286"/>
      <c r="I473" s="286"/>
      <c r="J473" s="286"/>
      <c r="K473" s="399"/>
      <c r="L473" s="399"/>
      <c r="M473" s="286"/>
      <c r="N473" s="286"/>
      <c r="O473" s="286"/>
      <c r="P473" s="286"/>
      <c r="Q473" s="286"/>
      <c r="R473" s="286"/>
      <c r="S473" s="286"/>
      <c r="T473" s="286"/>
      <c r="U473" s="286"/>
      <c r="V473" s="286"/>
      <c r="W473" s="286"/>
    </row>
    <row r="474">
      <c r="A474" s="286"/>
      <c r="B474" s="286"/>
      <c r="C474" s="286"/>
      <c r="D474" s="286"/>
      <c r="E474" s="286"/>
      <c r="F474" s="286"/>
      <c r="G474" s="286"/>
      <c r="H474" s="286"/>
      <c r="I474" s="286"/>
      <c r="J474" s="286"/>
      <c r="K474" s="399"/>
      <c r="L474" s="399"/>
      <c r="M474" s="286"/>
      <c r="N474" s="286"/>
      <c r="O474" s="286"/>
      <c r="P474" s="286"/>
      <c r="Q474" s="286"/>
      <c r="R474" s="286"/>
      <c r="S474" s="286"/>
      <c r="T474" s="286"/>
      <c r="U474" s="286"/>
      <c r="V474" s="286"/>
      <c r="W474" s="286"/>
    </row>
    <row r="475">
      <c r="A475" s="286"/>
      <c r="B475" s="286"/>
      <c r="C475" s="286"/>
      <c r="D475" s="286"/>
      <c r="E475" s="286"/>
      <c r="F475" s="286"/>
      <c r="G475" s="286"/>
      <c r="H475" s="286"/>
      <c r="I475" s="286"/>
      <c r="J475" s="286"/>
      <c r="K475" s="399"/>
      <c r="L475" s="399"/>
      <c r="M475" s="286"/>
      <c r="N475" s="286"/>
      <c r="O475" s="286"/>
      <c r="P475" s="286"/>
      <c r="Q475" s="286"/>
      <c r="R475" s="286"/>
      <c r="S475" s="286"/>
      <c r="T475" s="286"/>
      <c r="U475" s="286"/>
      <c r="V475" s="286"/>
      <c r="W475" s="286"/>
    </row>
    <row r="476">
      <c r="A476" s="286"/>
      <c r="B476" s="286"/>
      <c r="C476" s="286"/>
      <c r="D476" s="286"/>
      <c r="E476" s="286"/>
      <c r="F476" s="286"/>
      <c r="G476" s="286"/>
      <c r="H476" s="286"/>
      <c r="I476" s="286"/>
      <c r="J476" s="286"/>
      <c r="K476" s="399"/>
      <c r="L476" s="399"/>
      <c r="M476" s="286"/>
      <c r="N476" s="286"/>
      <c r="O476" s="286"/>
      <c r="P476" s="286"/>
      <c r="Q476" s="286"/>
      <c r="R476" s="286"/>
      <c r="S476" s="286"/>
      <c r="T476" s="286"/>
      <c r="U476" s="286"/>
      <c r="V476" s="286"/>
      <c r="W476" s="286"/>
    </row>
    <row r="477">
      <c r="A477" s="286"/>
      <c r="B477" s="286"/>
      <c r="C477" s="286"/>
      <c r="D477" s="286"/>
      <c r="E477" s="286"/>
      <c r="F477" s="286"/>
      <c r="G477" s="286"/>
      <c r="H477" s="286"/>
      <c r="I477" s="286"/>
      <c r="J477" s="286"/>
      <c r="K477" s="399"/>
      <c r="L477" s="399"/>
      <c r="M477" s="286"/>
      <c r="N477" s="286"/>
      <c r="O477" s="286"/>
      <c r="P477" s="286"/>
      <c r="Q477" s="286"/>
      <c r="R477" s="286"/>
      <c r="S477" s="286"/>
      <c r="T477" s="286"/>
      <c r="U477" s="286"/>
      <c r="V477" s="286"/>
      <c r="W477" s="286"/>
    </row>
    <row r="478">
      <c r="A478" s="286"/>
      <c r="B478" s="286"/>
      <c r="C478" s="286"/>
      <c r="D478" s="286"/>
      <c r="E478" s="286"/>
      <c r="F478" s="286"/>
      <c r="G478" s="286"/>
      <c r="H478" s="286"/>
      <c r="I478" s="286"/>
      <c r="J478" s="286"/>
      <c r="K478" s="399"/>
      <c r="L478" s="399"/>
      <c r="M478" s="286"/>
      <c r="N478" s="286"/>
      <c r="O478" s="286"/>
      <c r="P478" s="286"/>
      <c r="Q478" s="286"/>
      <c r="R478" s="286"/>
      <c r="S478" s="286"/>
      <c r="T478" s="286"/>
      <c r="U478" s="286"/>
      <c r="V478" s="286"/>
      <c r="W478" s="286"/>
    </row>
    <row r="479">
      <c r="A479" s="286"/>
      <c r="B479" s="286"/>
      <c r="C479" s="286"/>
      <c r="D479" s="286"/>
      <c r="E479" s="286"/>
      <c r="F479" s="286"/>
      <c r="G479" s="286"/>
      <c r="H479" s="286"/>
      <c r="I479" s="286"/>
      <c r="J479" s="286"/>
      <c r="K479" s="399"/>
      <c r="L479" s="399"/>
      <c r="M479" s="286"/>
      <c r="N479" s="286"/>
      <c r="O479" s="286"/>
      <c r="P479" s="286"/>
      <c r="Q479" s="286"/>
      <c r="R479" s="286"/>
      <c r="S479" s="286"/>
      <c r="T479" s="286"/>
      <c r="U479" s="286"/>
      <c r="V479" s="286"/>
      <c r="W479" s="286"/>
    </row>
    <row r="480">
      <c r="A480" s="286"/>
      <c r="B480" s="286"/>
      <c r="C480" s="286"/>
      <c r="D480" s="286"/>
      <c r="E480" s="286"/>
      <c r="F480" s="286"/>
      <c r="G480" s="286"/>
      <c r="H480" s="286"/>
      <c r="I480" s="286"/>
      <c r="J480" s="286"/>
      <c r="K480" s="399"/>
      <c r="L480" s="399"/>
      <c r="M480" s="286"/>
      <c r="N480" s="286"/>
      <c r="O480" s="286"/>
      <c r="P480" s="286"/>
      <c r="Q480" s="286"/>
      <c r="R480" s="286"/>
      <c r="S480" s="286"/>
      <c r="T480" s="286"/>
      <c r="U480" s="286"/>
      <c r="V480" s="286"/>
      <c r="W480" s="286"/>
    </row>
    <row r="481">
      <c r="A481" s="286"/>
      <c r="B481" s="286"/>
      <c r="C481" s="286"/>
      <c r="D481" s="286"/>
      <c r="E481" s="286"/>
      <c r="F481" s="286"/>
      <c r="G481" s="286"/>
      <c r="H481" s="286"/>
      <c r="I481" s="286"/>
      <c r="J481" s="286"/>
      <c r="K481" s="399"/>
      <c r="L481" s="399"/>
      <c r="M481" s="286"/>
      <c r="N481" s="286"/>
      <c r="O481" s="286"/>
      <c r="P481" s="286"/>
      <c r="Q481" s="286"/>
      <c r="R481" s="286"/>
      <c r="S481" s="286"/>
      <c r="T481" s="286"/>
      <c r="U481" s="286"/>
      <c r="V481" s="286"/>
      <c r="W481" s="286"/>
    </row>
    <row r="482">
      <c r="A482" s="286"/>
      <c r="B482" s="286"/>
      <c r="C482" s="286"/>
      <c r="D482" s="286"/>
      <c r="E482" s="286"/>
      <c r="F482" s="286"/>
      <c r="G482" s="286"/>
      <c r="H482" s="286"/>
      <c r="I482" s="286"/>
      <c r="J482" s="286"/>
      <c r="K482" s="399"/>
      <c r="L482" s="399"/>
      <c r="M482" s="286"/>
      <c r="N482" s="286"/>
      <c r="O482" s="286"/>
      <c r="P482" s="286"/>
      <c r="Q482" s="286"/>
      <c r="R482" s="286"/>
      <c r="S482" s="286"/>
      <c r="T482" s="286"/>
      <c r="U482" s="286"/>
      <c r="V482" s="286"/>
      <c r="W482" s="286"/>
    </row>
    <row r="483">
      <c r="A483" s="286"/>
      <c r="B483" s="286"/>
      <c r="C483" s="286"/>
      <c r="D483" s="286"/>
      <c r="E483" s="286"/>
      <c r="F483" s="286"/>
      <c r="G483" s="286"/>
      <c r="H483" s="286"/>
      <c r="I483" s="286"/>
      <c r="J483" s="286"/>
      <c r="K483" s="399"/>
      <c r="L483" s="399"/>
      <c r="M483" s="286"/>
      <c r="N483" s="286"/>
      <c r="O483" s="286"/>
      <c r="P483" s="286"/>
      <c r="Q483" s="286"/>
      <c r="R483" s="286"/>
      <c r="S483" s="286"/>
      <c r="T483" s="286"/>
      <c r="U483" s="286"/>
      <c r="V483" s="286"/>
      <c r="W483" s="286"/>
    </row>
    <row r="484">
      <c r="A484" s="286"/>
      <c r="B484" s="286"/>
      <c r="C484" s="286"/>
      <c r="D484" s="286"/>
      <c r="E484" s="286"/>
      <c r="F484" s="286"/>
      <c r="G484" s="286"/>
      <c r="H484" s="286"/>
      <c r="I484" s="286"/>
      <c r="J484" s="286"/>
      <c r="K484" s="399"/>
      <c r="L484" s="399"/>
      <c r="M484" s="286"/>
      <c r="N484" s="286"/>
      <c r="O484" s="286"/>
      <c r="P484" s="286"/>
      <c r="Q484" s="286"/>
      <c r="R484" s="286"/>
      <c r="S484" s="286"/>
      <c r="T484" s="286"/>
      <c r="U484" s="286"/>
      <c r="V484" s="286"/>
      <c r="W484" s="286"/>
    </row>
    <row r="485">
      <c r="A485" s="286"/>
      <c r="B485" s="286"/>
      <c r="C485" s="286"/>
      <c r="D485" s="286"/>
      <c r="E485" s="286"/>
      <c r="F485" s="286"/>
      <c r="G485" s="286"/>
      <c r="H485" s="286"/>
      <c r="I485" s="286"/>
      <c r="J485" s="286"/>
      <c r="K485" s="399"/>
      <c r="L485" s="399"/>
      <c r="M485" s="286"/>
      <c r="N485" s="286"/>
      <c r="O485" s="286"/>
      <c r="P485" s="286"/>
      <c r="Q485" s="286"/>
      <c r="R485" s="286"/>
      <c r="S485" s="286"/>
      <c r="T485" s="286"/>
      <c r="U485" s="286"/>
      <c r="V485" s="286"/>
      <c r="W485" s="286"/>
    </row>
    <row r="486">
      <c r="A486" s="286"/>
      <c r="B486" s="286"/>
      <c r="C486" s="286"/>
      <c r="D486" s="286"/>
      <c r="E486" s="286"/>
      <c r="F486" s="286"/>
      <c r="G486" s="286"/>
      <c r="H486" s="286"/>
      <c r="I486" s="286"/>
      <c r="J486" s="286"/>
      <c r="K486" s="399"/>
      <c r="L486" s="399"/>
      <c r="M486" s="286"/>
      <c r="N486" s="286"/>
      <c r="O486" s="286"/>
      <c r="P486" s="286"/>
      <c r="Q486" s="286"/>
      <c r="R486" s="286"/>
      <c r="S486" s="286"/>
      <c r="T486" s="286"/>
      <c r="U486" s="286"/>
      <c r="V486" s="286"/>
      <c r="W486" s="286"/>
    </row>
    <row r="487">
      <c r="A487" s="286"/>
      <c r="B487" s="286"/>
      <c r="C487" s="286"/>
      <c r="D487" s="286"/>
      <c r="E487" s="286"/>
      <c r="F487" s="286"/>
      <c r="G487" s="286"/>
      <c r="H487" s="286"/>
      <c r="I487" s="286"/>
      <c r="J487" s="286"/>
      <c r="K487" s="399"/>
      <c r="L487" s="399"/>
      <c r="M487" s="286"/>
      <c r="N487" s="286"/>
      <c r="O487" s="286"/>
      <c r="P487" s="286"/>
      <c r="Q487" s="286"/>
      <c r="R487" s="286"/>
      <c r="S487" s="286"/>
      <c r="T487" s="286"/>
      <c r="U487" s="286"/>
      <c r="V487" s="286"/>
      <c r="W487" s="286"/>
    </row>
    <row r="488">
      <c r="A488" s="286"/>
      <c r="B488" s="286"/>
      <c r="C488" s="286"/>
      <c r="D488" s="286"/>
      <c r="E488" s="286"/>
      <c r="F488" s="286"/>
      <c r="G488" s="286"/>
      <c r="H488" s="286"/>
      <c r="I488" s="286"/>
      <c r="J488" s="286"/>
      <c r="K488" s="399"/>
      <c r="L488" s="399"/>
      <c r="M488" s="286"/>
      <c r="N488" s="286"/>
      <c r="O488" s="286"/>
      <c r="P488" s="286"/>
      <c r="Q488" s="286"/>
      <c r="R488" s="286"/>
      <c r="S488" s="286"/>
      <c r="T488" s="286"/>
      <c r="U488" s="286"/>
      <c r="V488" s="286"/>
      <c r="W488" s="286"/>
    </row>
    <row r="489">
      <c r="A489" s="286"/>
      <c r="B489" s="286"/>
      <c r="C489" s="286"/>
      <c r="D489" s="286"/>
      <c r="E489" s="286"/>
      <c r="F489" s="286"/>
      <c r="G489" s="286"/>
      <c r="H489" s="286"/>
      <c r="I489" s="286"/>
      <c r="J489" s="286"/>
      <c r="K489" s="399"/>
      <c r="L489" s="399"/>
      <c r="M489" s="286"/>
      <c r="N489" s="286"/>
      <c r="O489" s="286"/>
      <c r="P489" s="286"/>
      <c r="Q489" s="286"/>
      <c r="R489" s="286"/>
      <c r="S489" s="286"/>
      <c r="T489" s="286"/>
      <c r="U489" s="286"/>
      <c r="V489" s="286"/>
      <c r="W489" s="286"/>
    </row>
    <row r="490">
      <c r="A490" s="286"/>
      <c r="B490" s="286"/>
      <c r="C490" s="286"/>
      <c r="D490" s="286"/>
      <c r="E490" s="286"/>
      <c r="F490" s="286"/>
      <c r="G490" s="286"/>
      <c r="H490" s="286"/>
      <c r="I490" s="286"/>
      <c r="J490" s="286"/>
      <c r="K490" s="399"/>
      <c r="L490" s="399"/>
      <c r="M490" s="286"/>
      <c r="N490" s="286"/>
      <c r="O490" s="286"/>
      <c r="P490" s="286"/>
      <c r="Q490" s="286"/>
      <c r="R490" s="286"/>
      <c r="S490" s="286"/>
      <c r="T490" s="286"/>
      <c r="U490" s="286"/>
      <c r="V490" s="286"/>
      <c r="W490" s="286"/>
    </row>
    <row r="491">
      <c r="A491" s="286"/>
      <c r="B491" s="286"/>
      <c r="C491" s="286"/>
      <c r="D491" s="286"/>
      <c r="E491" s="286"/>
      <c r="F491" s="286"/>
      <c r="G491" s="286"/>
      <c r="H491" s="286"/>
      <c r="I491" s="286"/>
      <c r="J491" s="286"/>
      <c r="K491" s="399"/>
      <c r="L491" s="399"/>
      <c r="M491" s="286"/>
      <c r="N491" s="286"/>
      <c r="O491" s="286"/>
      <c r="P491" s="286"/>
      <c r="Q491" s="286"/>
      <c r="R491" s="286"/>
      <c r="S491" s="286"/>
      <c r="T491" s="286"/>
      <c r="U491" s="286"/>
      <c r="V491" s="286"/>
      <c r="W491" s="286"/>
    </row>
    <row r="492">
      <c r="A492" s="286"/>
      <c r="B492" s="286"/>
      <c r="C492" s="286"/>
      <c r="D492" s="286"/>
      <c r="E492" s="286"/>
      <c r="F492" s="286"/>
      <c r="G492" s="286"/>
      <c r="H492" s="286"/>
      <c r="I492" s="286"/>
      <c r="J492" s="286"/>
      <c r="K492" s="399"/>
      <c r="L492" s="399"/>
      <c r="M492" s="286"/>
      <c r="N492" s="286"/>
      <c r="O492" s="286"/>
      <c r="P492" s="286"/>
      <c r="Q492" s="286"/>
      <c r="R492" s="286"/>
      <c r="S492" s="286"/>
      <c r="T492" s="286"/>
      <c r="U492" s="286"/>
      <c r="V492" s="286"/>
      <c r="W492" s="286"/>
    </row>
    <row r="493">
      <c r="A493" s="286"/>
      <c r="B493" s="286"/>
      <c r="C493" s="286"/>
      <c r="D493" s="286"/>
      <c r="E493" s="286"/>
      <c r="F493" s="286"/>
      <c r="G493" s="286"/>
      <c r="H493" s="286"/>
      <c r="I493" s="286"/>
      <c r="J493" s="286"/>
      <c r="K493" s="399"/>
      <c r="L493" s="399"/>
      <c r="M493" s="286"/>
      <c r="N493" s="286"/>
      <c r="O493" s="286"/>
      <c r="P493" s="286"/>
      <c r="Q493" s="286"/>
      <c r="R493" s="286"/>
      <c r="S493" s="286"/>
      <c r="T493" s="286"/>
      <c r="U493" s="286"/>
      <c r="V493" s="286"/>
      <c r="W493" s="286"/>
    </row>
    <row r="494">
      <c r="A494" s="286"/>
      <c r="B494" s="286"/>
      <c r="C494" s="286"/>
      <c r="D494" s="286"/>
      <c r="E494" s="286"/>
      <c r="F494" s="286"/>
      <c r="G494" s="286"/>
      <c r="H494" s="286"/>
      <c r="I494" s="286"/>
      <c r="J494" s="286"/>
      <c r="K494" s="399"/>
      <c r="L494" s="399"/>
      <c r="M494" s="286"/>
      <c r="N494" s="286"/>
      <c r="O494" s="286"/>
      <c r="P494" s="286"/>
      <c r="Q494" s="286"/>
      <c r="R494" s="286"/>
      <c r="S494" s="286"/>
      <c r="T494" s="286"/>
      <c r="U494" s="286"/>
      <c r="V494" s="286"/>
      <c r="W494" s="286"/>
    </row>
    <row r="495">
      <c r="A495" s="286"/>
      <c r="B495" s="286"/>
      <c r="C495" s="286"/>
      <c r="D495" s="286"/>
      <c r="E495" s="286"/>
      <c r="F495" s="286"/>
      <c r="G495" s="286"/>
      <c r="H495" s="286"/>
      <c r="I495" s="286"/>
      <c r="J495" s="286"/>
      <c r="K495" s="399"/>
      <c r="L495" s="399"/>
      <c r="M495" s="286"/>
      <c r="N495" s="286"/>
      <c r="O495" s="286"/>
      <c r="P495" s="286"/>
      <c r="Q495" s="286"/>
      <c r="R495" s="286"/>
      <c r="S495" s="286"/>
      <c r="T495" s="286"/>
      <c r="U495" s="286"/>
      <c r="V495" s="286"/>
      <c r="W495" s="286"/>
    </row>
    <row r="496">
      <c r="A496" s="286"/>
      <c r="B496" s="286"/>
      <c r="C496" s="286"/>
      <c r="D496" s="286"/>
      <c r="E496" s="286"/>
      <c r="F496" s="286"/>
      <c r="G496" s="286"/>
      <c r="H496" s="286"/>
      <c r="I496" s="286"/>
      <c r="J496" s="286"/>
      <c r="K496" s="399"/>
      <c r="L496" s="399"/>
      <c r="M496" s="286"/>
      <c r="N496" s="286"/>
      <c r="O496" s="286"/>
      <c r="P496" s="286"/>
      <c r="Q496" s="286"/>
      <c r="R496" s="286"/>
      <c r="S496" s="286"/>
      <c r="T496" s="286"/>
      <c r="U496" s="286"/>
      <c r="V496" s="286"/>
      <c r="W496" s="286"/>
    </row>
    <row r="497">
      <c r="A497" s="286"/>
      <c r="B497" s="286"/>
      <c r="C497" s="286"/>
      <c r="D497" s="286"/>
      <c r="E497" s="286"/>
      <c r="F497" s="286"/>
      <c r="G497" s="286"/>
      <c r="H497" s="286"/>
      <c r="I497" s="286"/>
      <c r="J497" s="286"/>
      <c r="K497" s="399"/>
      <c r="L497" s="399"/>
      <c r="M497" s="286"/>
      <c r="N497" s="286"/>
      <c r="O497" s="286"/>
      <c r="P497" s="286"/>
      <c r="Q497" s="286"/>
      <c r="R497" s="286"/>
      <c r="S497" s="286"/>
      <c r="T497" s="286"/>
      <c r="U497" s="286"/>
      <c r="V497" s="286"/>
      <c r="W497" s="286"/>
    </row>
    <row r="498">
      <c r="A498" s="286"/>
      <c r="B498" s="286"/>
      <c r="C498" s="286"/>
      <c r="D498" s="286"/>
      <c r="E498" s="286"/>
      <c r="F498" s="286"/>
      <c r="G498" s="286"/>
      <c r="H498" s="286"/>
      <c r="I498" s="286"/>
      <c r="J498" s="286"/>
      <c r="K498" s="399"/>
      <c r="L498" s="399"/>
      <c r="M498" s="286"/>
      <c r="N498" s="286"/>
      <c r="O498" s="286"/>
      <c r="P498" s="286"/>
      <c r="Q498" s="286"/>
      <c r="R498" s="286"/>
      <c r="S498" s="286"/>
      <c r="T498" s="286"/>
      <c r="U498" s="286"/>
      <c r="V498" s="286"/>
      <c r="W498" s="286"/>
    </row>
    <row r="499">
      <c r="A499" s="286"/>
      <c r="B499" s="286"/>
      <c r="C499" s="286"/>
      <c r="D499" s="286"/>
      <c r="E499" s="286"/>
      <c r="F499" s="286"/>
      <c r="G499" s="286"/>
      <c r="H499" s="286"/>
      <c r="I499" s="286"/>
      <c r="J499" s="286"/>
      <c r="K499" s="399"/>
      <c r="L499" s="399"/>
      <c r="M499" s="286"/>
      <c r="N499" s="286"/>
      <c r="O499" s="286"/>
      <c r="P499" s="286"/>
      <c r="Q499" s="286"/>
      <c r="R499" s="286"/>
      <c r="S499" s="286"/>
      <c r="T499" s="286"/>
      <c r="U499" s="286"/>
      <c r="V499" s="286"/>
      <c r="W499" s="286"/>
    </row>
    <row r="500">
      <c r="A500" s="286"/>
      <c r="B500" s="286"/>
      <c r="C500" s="286"/>
      <c r="D500" s="286"/>
      <c r="E500" s="286"/>
      <c r="F500" s="286"/>
      <c r="G500" s="286"/>
      <c r="H500" s="286"/>
      <c r="I500" s="286"/>
      <c r="J500" s="286"/>
      <c r="K500" s="399"/>
      <c r="L500" s="399"/>
      <c r="M500" s="286"/>
      <c r="N500" s="286"/>
      <c r="O500" s="286"/>
      <c r="P500" s="286"/>
      <c r="Q500" s="286"/>
      <c r="R500" s="286"/>
      <c r="S500" s="286"/>
      <c r="T500" s="286"/>
      <c r="U500" s="286"/>
      <c r="V500" s="286"/>
      <c r="W500" s="286"/>
    </row>
    <row r="501">
      <c r="A501" s="286"/>
      <c r="B501" s="286"/>
      <c r="C501" s="286"/>
      <c r="D501" s="286"/>
      <c r="E501" s="286"/>
      <c r="F501" s="286"/>
      <c r="G501" s="286"/>
      <c r="H501" s="286"/>
      <c r="I501" s="286"/>
      <c r="J501" s="286"/>
      <c r="K501" s="399"/>
      <c r="L501" s="399"/>
      <c r="M501" s="286"/>
      <c r="N501" s="286"/>
      <c r="O501" s="286"/>
      <c r="P501" s="286"/>
      <c r="Q501" s="286"/>
      <c r="R501" s="286"/>
      <c r="S501" s="286"/>
      <c r="T501" s="286"/>
      <c r="U501" s="286"/>
      <c r="V501" s="286"/>
      <c r="W501" s="286"/>
    </row>
    <row r="502">
      <c r="A502" s="286"/>
      <c r="B502" s="286"/>
      <c r="C502" s="286"/>
      <c r="D502" s="286"/>
      <c r="E502" s="286"/>
      <c r="F502" s="286"/>
      <c r="G502" s="286"/>
      <c r="H502" s="286"/>
      <c r="I502" s="286"/>
      <c r="J502" s="286"/>
      <c r="K502" s="399"/>
      <c r="L502" s="399"/>
      <c r="M502" s="286"/>
      <c r="N502" s="286"/>
      <c r="O502" s="286"/>
      <c r="P502" s="286"/>
      <c r="Q502" s="286"/>
      <c r="R502" s="286"/>
      <c r="S502" s="286"/>
      <c r="T502" s="286"/>
      <c r="U502" s="286"/>
      <c r="V502" s="286"/>
      <c r="W502" s="286"/>
    </row>
    <row r="503">
      <c r="A503" s="286"/>
      <c r="B503" s="286"/>
      <c r="C503" s="286"/>
      <c r="D503" s="286"/>
      <c r="E503" s="286"/>
      <c r="F503" s="286"/>
      <c r="G503" s="286"/>
      <c r="H503" s="286"/>
      <c r="I503" s="286"/>
      <c r="J503" s="286"/>
      <c r="K503" s="399"/>
      <c r="L503" s="399"/>
      <c r="M503" s="286"/>
      <c r="N503" s="286"/>
      <c r="O503" s="286"/>
      <c r="P503" s="286"/>
      <c r="Q503" s="286"/>
      <c r="R503" s="286"/>
      <c r="S503" s="286"/>
      <c r="T503" s="286"/>
      <c r="U503" s="286"/>
      <c r="V503" s="286"/>
      <c r="W503" s="286"/>
    </row>
    <row r="504">
      <c r="A504" s="286"/>
      <c r="B504" s="286"/>
      <c r="C504" s="286"/>
      <c r="D504" s="286"/>
      <c r="E504" s="286"/>
      <c r="F504" s="286"/>
      <c r="G504" s="286"/>
      <c r="H504" s="286"/>
      <c r="I504" s="286"/>
      <c r="J504" s="286"/>
      <c r="K504" s="399"/>
      <c r="L504" s="399"/>
      <c r="M504" s="286"/>
      <c r="N504" s="286"/>
      <c r="O504" s="286"/>
      <c r="P504" s="286"/>
      <c r="Q504" s="286"/>
      <c r="R504" s="286"/>
      <c r="S504" s="286"/>
      <c r="T504" s="286"/>
      <c r="U504" s="286"/>
      <c r="V504" s="286"/>
      <c r="W504" s="286"/>
    </row>
    <row r="505">
      <c r="A505" s="286"/>
      <c r="B505" s="286"/>
      <c r="C505" s="286"/>
      <c r="D505" s="286"/>
      <c r="E505" s="286"/>
      <c r="F505" s="286"/>
      <c r="G505" s="286"/>
      <c r="H505" s="286"/>
      <c r="I505" s="286"/>
      <c r="J505" s="286"/>
      <c r="K505" s="399"/>
      <c r="L505" s="399"/>
      <c r="M505" s="286"/>
      <c r="N505" s="286"/>
      <c r="O505" s="286"/>
      <c r="P505" s="286"/>
      <c r="Q505" s="286"/>
      <c r="R505" s="286"/>
      <c r="S505" s="286"/>
      <c r="T505" s="286"/>
      <c r="U505" s="286"/>
      <c r="V505" s="286"/>
      <c r="W505" s="286"/>
    </row>
    <row r="506">
      <c r="A506" s="286"/>
      <c r="B506" s="286"/>
      <c r="C506" s="286"/>
      <c r="D506" s="286"/>
      <c r="E506" s="286"/>
      <c r="F506" s="286"/>
      <c r="G506" s="286"/>
      <c r="H506" s="286"/>
      <c r="I506" s="286"/>
      <c r="J506" s="286"/>
      <c r="K506" s="399"/>
      <c r="L506" s="399"/>
      <c r="M506" s="286"/>
      <c r="N506" s="286"/>
      <c r="O506" s="286"/>
      <c r="P506" s="286"/>
      <c r="Q506" s="286"/>
      <c r="R506" s="286"/>
      <c r="S506" s="286"/>
      <c r="T506" s="286"/>
      <c r="U506" s="286"/>
      <c r="V506" s="286"/>
      <c r="W506" s="286"/>
    </row>
    <row r="507">
      <c r="A507" s="286"/>
      <c r="B507" s="286"/>
      <c r="C507" s="286"/>
      <c r="D507" s="286"/>
      <c r="E507" s="286"/>
      <c r="F507" s="286"/>
      <c r="G507" s="286"/>
      <c r="H507" s="286"/>
      <c r="I507" s="286"/>
      <c r="J507" s="286"/>
      <c r="K507" s="399"/>
      <c r="L507" s="399"/>
      <c r="M507" s="286"/>
      <c r="N507" s="286"/>
      <c r="O507" s="286"/>
      <c r="P507" s="286"/>
      <c r="Q507" s="286"/>
      <c r="R507" s="286"/>
      <c r="S507" s="286"/>
      <c r="T507" s="286"/>
      <c r="U507" s="286"/>
      <c r="V507" s="286"/>
      <c r="W507" s="286"/>
    </row>
    <row r="508">
      <c r="A508" s="286"/>
      <c r="B508" s="286"/>
      <c r="C508" s="286"/>
      <c r="D508" s="286"/>
      <c r="E508" s="286"/>
      <c r="F508" s="286"/>
      <c r="G508" s="286"/>
      <c r="H508" s="286"/>
      <c r="I508" s="286"/>
      <c r="J508" s="286"/>
      <c r="K508" s="399"/>
      <c r="L508" s="399"/>
      <c r="M508" s="286"/>
      <c r="N508" s="286"/>
      <c r="O508" s="286"/>
      <c r="P508" s="286"/>
      <c r="Q508" s="286"/>
      <c r="R508" s="286"/>
      <c r="S508" s="286"/>
      <c r="T508" s="286"/>
      <c r="U508" s="286"/>
      <c r="V508" s="286"/>
      <c r="W508" s="286"/>
    </row>
    <row r="509">
      <c r="A509" s="286"/>
      <c r="B509" s="286"/>
      <c r="C509" s="286"/>
      <c r="D509" s="286"/>
      <c r="E509" s="286"/>
      <c r="F509" s="286"/>
      <c r="G509" s="286"/>
      <c r="H509" s="286"/>
      <c r="I509" s="286"/>
      <c r="J509" s="286"/>
      <c r="K509" s="399"/>
      <c r="L509" s="399"/>
      <c r="M509" s="286"/>
      <c r="N509" s="286"/>
      <c r="O509" s="286"/>
      <c r="P509" s="286"/>
      <c r="Q509" s="286"/>
      <c r="R509" s="286"/>
      <c r="S509" s="286"/>
      <c r="T509" s="286"/>
      <c r="U509" s="286"/>
      <c r="V509" s="286"/>
      <c r="W509" s="286"/>
    </row>
    <row r="510">
      <c r="A510" s="286"/>
      <c r="B510" s="286"/>
      <c r="C510" s="286"/>
      <c r="D510" s="286"/>
      <c r="E510" s="286"/>
      <c r="F510" s="286"/>
      <c r="G510" s="286"/>
      <c r="H510" s="286"/>
      <c r="I510" s="286"/>
      <c r="J510" s="286"/>
      <c r="K510" s="399"/>
      <c r="L510" s="399"/>
      <c r="M510" s="286"/>
      <c r="N510" s="286"/>
      <c r="O510" s="286"/>
      <c r="P510" s="286"/>
      <c r="Q510" s="286"/>
      <c r="R510" s="286"/>
      <c r="S510" s="286"/>
      <c r="T510" s="286"/>
      <c r="U510" s="286"/>
      <c r="V510" s="286"/>
      <c r="W510" s="286"/>
    </row>
    <row r="511">
      <c r="A511" s="286"/>
      <c r="B511" s="286"/>
      <c r="C511" s="286"/>
      <c r="D511" s="286"/>
      <c r="E511" s="286"/>
      <c r="F511" s="286"/>
      <c r="G511" s="286"/>
      <c r="H511" s="286"/>
      <c r="I511" s="286"/>
      <c r="J511" s="286"/>
      <c r="K511" s="399"/>
      <c r="L511" s="399"/>
      <c r="M511" s="286"/>
      <c r="N511" s="286"/>
      <c r="O511" s="286"/>
      <c r="P511" s="286"/>
      <c r="Q511" s="286"/>
      <c r="R511" s="286"/>
      <c r="S511" s="286"/>
      <c r="T511" s="286"/>
      <c r="U511" s="286"/>
      <c r="V511" s="286"/>
      <c r="W511" s="286"/>
    </row>
    <row r="512">
      <c r="A512" s="286"/>
      <c r="B512" s="286"/>
      <c r="C512" s="286"/>
      <c r="D512" s="286"/>
      <c r="E512" s="286"/>
      <c r="F512" s="286"/>
      <c r="G512" s="286"/>
      <c r="H512" s="286"/>
      <c r="I512" s="286"/>
      <c r="J512" s="286"/>
      <c r="K512" s="399"/>
      <c r="L512" s="399"/>
      <c r="M512" s="286"/>
      <c r="N512" s="286"/>
      <c r="O512" s="286"/>
      <c r="P512" s="286"/>
      <c r="Q512" s="286"/>
      <c r="R512" s="286"/>
      <c r="S512" s="286"/>
      <c r="T512" s="286"/>
      <c r="U512" s="286"/>
      <c r="V512" s="286"/>
      <c r="W512" s="286"/>
    </row>
    <row r="513">
      <c r="A513" s="286"/>
      <c r="B513" s="286"/>
      <c r="C513" s="286"/>
      <c r="D513" s="286"/>
      <c r="E513" s="286"/>
      <c r="F513" s="286"/>
      <c r="G513" s="286"/>
      <c r="H513" s="286"/>
      <c r="I513" s="286"/>
      <c r="J513" s="286"/>
      <c r="K513" s="399"/>
      <c r="L513" s="399"/>
      <c r="M513" s="286"/>
      <c r="N513" s="286"/>
      <c r="O513" s="286"/>
      <c r="P513" s="286"/>
      <c r="Q513" s="286"/>
      <c r="R513" s="286"/>
      <c r="S513" s="286"/>
      <c r="T513" s="286"/>
      <c r="U513" s="286"/>
      <c r="V513" s="286"/>
      <c r="W513" s="286"/>
    </row>
    <row r="514">
      <c r="A514" s="286"/>
      <c r="B514" s="286"/>
      <c r="C514" s="286"/>
      <c r="D514" s="286"/>
      <c r="E514" s="286"/>
      <c r="F514" s="286"/>
      <c r="G514" s="286"/>
      <c r="H514" s="286"/>
      <c r="I514" s="286"/>
      <c r="J514" s="286"/>
      <c r="K514" s="399"/>
      <c r="L514" s="399"/>
      <c r="M514" s="286"/>
      <c r="N514" s="286"/>
      <c r="O514" s="286"/>
      <c r="P514" s="286"/>
      <c r="Q514" s="286"/>
      <c r="R514" s="286"/>
      <c r="S514" s="286"/>
      <c r="T514" s="286"/>
      <c r="U514" s="286"/>
      <c r="V514" s="286"/>
      <c r="W514" s="286"/>
    </row>
    <row r="515">
      <c r="A515" s="286"/>
      <c r="B515" s="286"/>
      <c r="C515" s="286"/>
      <c r="D515" s="286"/>
      <c r="E515" s="286"/>
      <c r="F515" s="286"/>
      <c r="G515" s="286"/>
      <c r="H515" s="286"/>
      <c r="I515" s="286"/>
      <c r="J515" s="286"/>
      <c r="K515" s="399"/>
      <c r="L515" s="399"/>
      <c r="M515" s="286"/>
      <c r="N515" s="286"/>
      <c r="O515" s="286"/>
      <c r="P515" s="286"/>
      <c r="Q515" s="286"/>
      <c r="R515" s="286"/>
      <c r="S515" s="286"/>
      <c r="T515" s="286"/>
      <c r="U515" s="286"/>
      <c r="V515" s="286"/>
      <c r="W515" s="286"/>
    </row>
    <row r="516">
      <c r="A516" s="286"/>
      <c r="B516" s="286"/>
      <c r="C516" s="286"/>
      <c r="D516" s="286"/>
      <c r="E516" s="286"/>
      <c r="F516" s="286"/>
      <c r="G516" s="286"/>
      <c r="H516" s="286"/>
      <c r="I516" s="286"/>
      <c r="J516" s="286"/>
      <c r="K516" s="399"/>
      <c r="L516" s="399"/>
      <c r="M516" s="286"/>
      <c r="N516" s="286"/>
      <c r="O516" s="286"/>
      <c r="P516" s="286"/>
      <c r="Q516" s="286"/>
      <c r="R516" s="286"/>
      <c r="S516" s="286"/>
      <c r="T516" s="286"/>
      <c r="U516" s="286"/>
      <c r="V516" s="286"/>
      <c r="W516" s="286"/>
    </row>
    <row r="517">
      <c r="A517" s="286"/>
      <c r="B517" s="286"/>
      <c r="C517" s="286"/>
      <c r="D517" s="286"/>
      <c r="E517" s="286"/>
      <c r="F517" s="286"/>
      <c r="G517" s="286"/>
      <c r="H517" s="286"/>
      <c r="I517" s="286"/>
      <c r="J517" s="286"/>
      <c r="K517" s="399"/>
      <c r="L517" s="399"/>
      <c r="M517" s="286"/>
      <c r="N517" s="286"/>
      <c r="O517" s="286"/>
      <c r="P517" s="286"/>
      <c r="Q517" s="286"/>
      <c r="R517" s="286"/>
      <c r="S517" s="286"/>
      <c r="T517" s="286"/>
      <c r="U517" s="286"/>
      <c r="V517" s="286"/>
      <c r="W517" s="286"/>
    </row>
    <row r="518">
      <c r="A518" s="286"/>
      <c r="B518" s="286"/>
      <c r="C518" s="286"/>
      <c r="D518" s="286"/>
      <c r="E518" s="286"/>
      <c r="F518" s="286"/>
      <c r="G518" s="286"/>
      <c r="H518" s="286"/>
      <c r="I518" s="286"/>
      <c r="J518" s="286"/>
      <c r="K518" s="399"/>
      <c r="L518" s="399"/>
      <c r="M518" s="286"/>
      <c r="N518" s="286"/>
      <c r="O518" s="286"/>
      <c r="P518" s="286"/>
      <c r="Q518" s="286"/>
      <c r="R518" s="286"/>
      <c r="S518" s="286"/>
      <c r="T518" s="286"/>
      <c r="U518" s="286"/>
      <c r="V518" s="286"/>
      <c r="W518" s="286"/>
    </row>
    <row r="519">
      <c r="A519" s="286"/>
      <c r="B519" s="286"/>
      <c r="C519" s="286"/>
      <c r="D519" s="286"/>
      <c r="E519" s="286"/>
      <c r="F519" s="286"/>
      <c r="G519" s="286"/>
      <c r="H519" s="286"/>
      <c r="I519" s="286"/>
      <c r="J519" s="286"/>
      <c r="K519" s="399"/>
      <c r="L519" s="399"/>
      <c r="M519" s="286"/>
      <c r="N519" s="286"/>
      <c r="O519" s="286"/>
      <c r="P519" s="286"/>
      <c r="Q519" s="286"/>
      <c r="R519" s="286"/>
      <c r="S519" s="286"/>
      <c r="T519" s="286"/>
      <c r="U519" s="286"/>
      <c r="V519" s="286"/>
      <c r="W519" s="286"/>
    </row>
    <row r="520">
      <c r="A520" s="286"/>
      <c r="B520" s="286"/>
      <c r="C520" s="286"/>
      <c r="D520" s="286"/>
      <c r="E520" s="286"/>
      <c r="F520" s="286"/>
      <c r="G520" s="286"/>
      <c r="H520" s="286"/>
      <c r="I520" s="286"/>
      <c r="J520" s="286"/>
      <c r="K520" s="399"/>
      <c r="L520" s="399"/>
      <c r="M520" s="286"/>
      <c r="N520" s="286"/>
      <c r="O520" s="286"/>
      <c r="P520" s="286"/>
      <c r="Q520" s="286"/>
      <c r="R520" s="286"/>
      <c r="S520" s="286"/>
      <c r="T520" s="286"/>
      <c r="U520" s="286"/>
      <c r="V520" s="286"/>
      <c r="W520" s="286"/>
    </row>
    <row r="521">
      <c r="A521" s="286"/>
      <c r="B521" s="286"/>
      <c r="C521" s="286"/>
      <c r="D521" s="286"/>
      <c r="E521" s="286"/>
      <c r="F521" s="286"/>
      <c r="G521" s="286"/>
      <c r="H521" s="286"/>
      <c r="I521" s="286"/>
      <c r="J521" s="286"/>
      <c r="K521" s="399"/>
      <c r="L521" s="399"/>
      <c r="M521" s="286"/>
      <c r="N521" s="286"/>
      <c r="O521" s="286"/>
      <c r="P521" s="286"/>
      <c r="Q521" s="286"/>
      <c r="R521" s="286"/>
      <c r="S521" s="286"/>
      <c r="T521" s="286"/>
      <c r="U521" s="286"/>
      <c r="V521" s="286"/>
      <c r="W521" s="286"/>
    </row>
    <row r="522">
      <c r="A522" s="286"/>
      <c r="B522" s="286"/>
      <c r="C522" s="286"/>
      <c r="D522" s="286"/>
      <c r="E522" s="286"/>
      <c r="F522" s="286"/>
      <c r="G522" s="286"/>
      <c r="H522" s="286"/>
      <c r="I522" s="286"/>
      <c r="J522" s="286"/>
      <c r="K522" s="399"/>
      <c r="L522" s="399"/>
      <c r="M522" s="286"/>
      <c r="N522" s="286"/>
      <c r="O522" s="286"/>
      <c r="P522" s="286"/>
      <c r="Q522" s="286"/>
      <c r="R522" s="286"/>
      <c r="S522" s="286"/>
      <c r="T522" s="286"/>
      <c r="U522" s="286"/>
      <c r="V522" s="286"/>
      <c r="W522" s="286"/>
    </row>
    <row r="523">
      <c r="A523" s="286"/>
      <c r="B523" s="286"/>
      <c r="C523" s="286"/>
      <c r="D523" s="286"/>
      <c r="E523" s="286"/>
      <c r="F523" s="286"/>
      <c r="G523" s="286"/>
      <c r="H523" s="286"/>
      <c r="I523" s="286"/>
      <c r="J523" s="286"/>
      <c r="K523" s="399"/>
      <c r="L523" s="399"/>
      <c r="M523" s="286"/>
      <c r="N523" s="286"/>
      <c r="O523" s="286"/>
      <c r="P523" s="286"/>
      <c r="Q523" s="286"/>
      <c r="R523" s="286"/>
      <c r="S523" s="286"/>
      <c r="T523" s="286"/>
      <c r="U523" s="286"/>
      <c r="V523" s="286"/>
      <c r="W523" s="286"/>
    </row>
    <row r="524">
      <c r="A524" s="286"/>
      <c r="B524" s="286"/>
      <c r="C524" s="286"/>
      <c r="D524" s="286"/>
      <c r="E524" s="286"/>
      <c r="F524" s="286"/>
      <c r="G524" s="286"/>
      <c r="H524" s="286"/>
      <c r="I524" s="286"/>
      <c r="J524" s="286"/>
      <c r="K524" s="399"/>
      <c r="L524" s="399"/>
      <c r="M524" s="286"/>
      <c r="N524" s="286"/>
      <c r="O524" s="286"/>
      <c r="P524" s="286"/>
      <c r="Q524" s="286"/>
      <c r="R524" s="286"/>
      <c r="S524" s="286"/>
      <c r="T524" s="286"/>
      <c r="U524" s="286"/>
      <c r="V524" s="286"/>
      <c r="W524" s="286"/>
    </row>
    <row r="525">
      <c r="A525" s="286"/>
      <c r="B525" s="286"/>
      <c r="C525" s="286"/>
      <c r="D525" s="286"/>
      <c r="E525" s="286"/>
      <c r="F525" s="286"/>
      <c r="G525" s="286"/>
      <c r="H525" s="286"/>
      <c r="I525" s="286"/>
      <c r="J525" s="286"/>
      <c r="K525" s="399"/>
      <c r="L525" s="399"/>
      <c r="M525" s="286"/>
      <c r="N525" s="286"/>
      <c r="O525" s="286"/>
      <c r="P525" s="286"/>
      <c r="Q525" s="286"/>
      <c r="R525" s="286"/>
      <c r="S525" s="286"/>
      <c r="T525" s="286"/>
      <c r="U525" s="286"/>
      <c r="V525" s="286"/>
      <c r="W525" s="286"/>
    </row>
    <row r="526">
      <c r="A526" s="286"/>
      <c r="B526" s="286"/>
      <c r="C526" s="286"/>
      <c r="D526" s="286"/>
      <c r="E526" s="286"/>
      <c r="F526" s="286"/>
      <c r="G526" s="286"/>
      <c r="H526" s="286"/>
      <c r="I526" s="286"/>
      <c r="J526" s="286"/>
      <c r="K526" s="399"/>
      <c r="L526" s="399"/>
      <c r="M526" s="286"/>
      <c r="N526" s="286"/>
      <c r="O526" s="286"/>
      <c r="P526" s="286"/>
      <c r="Q526" s="286"/>
      <c r="R526" s="286"/>
      <c r="S526" s="286"/>
      <c r="T526" s="286"/>
      <c r="U526" s="286"/>
      <c r="V526" s="286"/>
      <c r="W526" s="286"/>
    </row>
    <row r="527">
      <c r="A527" s="286"/>
      <c r="B527" s="286"/>
      <c r="C527" s="286"/>
      <c r="D527" s="286"/>
      <c r="E527" s="286"/>
      <c r="F527" s="286"/>
      <c r="G527" s="286"/>
      <c r="H527" s="286"/>
      <c r="I527" s="286"/>
      <c r="J527" s="286"/>
      <c r="K527" s="399"/>
      <c r="L527" s="399"/>
      <c r="M527" s="286"/>
      <c r="N527" s="286"/>
      <c r="O527" s="286"/>
      <c r="P527" s="286"/>
      <c r="Q527" s="286"/>
      <c r="R527" s="286"/>
      <c r="S527" s="286"/>
      <c r="T527" s="286"/>
      <c r="U527" s="286"/>
      <c r="V527" s="286"/>
      <c r="W527" s="286"/>
    </row>
    <row r="528">
      <c r="A528" s="286"/>
      <c r="B528" s="286"/>
      <c r="C528" s="286"/>
      <c r="D528" s="286"/>
      <c r="E528" s="286"/>
      <c r="F528" s="286"/>
      <c r="G528" s="286"/>
      <c r="H528" s="286"/>
      <c r="I528" s="286"/>
      <c r="J528" s="286"/>
      <c r="K528" s="399"/>
      <c r="L528" s="399"/>
      <c r="M528" s="286"/>
      <c r="N528" s="286"/>
      <c r="O528" s="286"/>
      <c r="P528" s="286"/>
      <c r="Q528" s="286"/>
      <c r="R528" s="286"/>
      <c r="S528" s="286"/>
      <c r="T528" s="286"/>
      <c r="U528" s="286"/>
      <c r="V528" s="286"/>
      <c r="W528" s="286"/>
    </row>
    <row r="529">
      <c r="A529" s="286"/>
      <c r="B529" s="286"/>
      <c r="C529" s="286"/>
      <c r="D529" s="286"/>
      <c r="E529" s="286"/>
      <c r="F529" s="286"/>
      <c r="G529" s="286"/>
      <c r="H529" s="286"/>
      <c r="I529" s="286"/>
      <c r="J529" s="286"/>
      <c r="K529" s="399"/>
      <c r="L529" s="399"/>
      <c r="M529" s="286"/>
      <c r="N529" s="286"/>
      <c r="O529" s="286"/>
      <c r="P529" s="286"/>
      <c r="Q529" s="286"/>
      <c r="R529" s="286"/>
      <c r="S529" s="286"/>
      <c r="T529" s="286"/>
      <c r="U529" s="286"/>
      <c r="V529" s="286"/>
      <c r="W529" s="286"/>
    </row>
    <row r="530">
      <c r="A530" s="286"/>
      <c r="B530" s="286"/>
      <c r="C530" s="286"/>
      <c r="D530" s="286"/>
      <c r="E530" s="286"/>
      <c r="F530" s="286"/>
      <c r="G530" s="286"/>
      <c r="H530" s="286"/>
      <c r="I530" s="286"/>
      <c r="J530" s="286"/>
      <c r="K530" s="399"/>
      <c r="L530" s="399"/>
      <c r="M530" s="286"/>
      <c r="N530" s="286"/>
      <c r="O530" s="286"/>
      <c r="P530" s="286"/>
      <c r="Q530" s="286"/>
      <c r="R530" s="286"/>
      <c r="S530" s="286"/>
      <c r="T530" s="286"/>
      <c r="U530" s="286"/>
      <c r="V530" s="286"/>
      <c r="W530" s="286"/>
    </row>
    <row r="531">
      <c r="A531" s="286"/>
      <c r="B531" s="286"/>
      <c r="C531" s="286"/>
      <c r="D531" s="286"/>
      <c r="E531" s="286"/>
      <c r="F531" s="286"/>
      <c r="G531" s="286"/>
      <c r="H531" s="286"/>
      <c r="I531" s="286"/>
      <c r="J531" s="286"/>
      <c r="K531" s="399"/>
      <c r="L531" s="399"/>
      <c r="M531" s="286"/>
      <c r="N531" s="286"/>
      <c r="O531" s="286"/>
      <c r="P531" s="286"/>
      <c r="Q531" s="286"/>
      <c r="R531" s="286"/>
      <c r="S531" s="286"/>
      <c r="T531" s="286"/>
      <c r="U531" s="286"/>
      <c r="V531" s="286"/>
      <c r="W531" s="286"/>
    </row>
    <row r="532">
      <c r="A532" s="286"/>
      <c r="B532" s="286"/>
      <c r="C532" s="286"/>
      <c r="D532" s="286"/>
      <c r="E532" s="286"/>
      <c r="F532" s="286"/>
      <c r="G532" s="286"/>
      <c r="H532" s="286"/>
      <c r="I532" s="286"/>
      <c r="J532" s="286"/>
      <c r="K532" s="399"/>
      <c r="L532" s="399"/>
      <c r="M532" s="286"/>
      <c r="N532" s="286"/>
      <c r="O532" s="286"/>
      <c r="P532" s="286"/>
      <c r="Q532" s="286"/>
      <c r="R532" s="286"/>
      <c r="S532" s="286"/>
      <c r="T532" s="286"/>
      <c r="U532" s="286"/>
      <c r="V532" s="286"/>
      <c r="W532" s="286"/>
    </row>
    <row r="533">
      <c r="A533" s="286"/>
      <c r="B533" s="286"/>
      <c r="C533" s="286"/>
      <c r="D533" s="286"/>
      <c r="E533" s="286"/>
      <c r="F533" s="286"/>
      <c r="G533" s="286"/>
      <c r="H533" s="286"/>
      <c r="I533" s="286"/>
      <c r="J533" s="286"/>
      <c r="K533" s="399"/>
      <c r="L533" s="399"/>
      <c r="M533" s="286"/>
      <c r="N533" s="286"/>
      <c r="O533" s="286"/>
      <c r="P533" s="286"/>
      <c r="Q533" s="286"/>
      <c r="R533" s="286"/>
      <c r="S533" s="286"/>
      <c r="T533" s="286"/>
      <c r="U533" s="286"/>
      <c r="V533" s="286"/>
      <c r="W533" s="286"/>
    </row>
    <row r="534">
      <c r="A534" s="286"/>
      <c r="B534" s="286"/>
      <c r="C534" s="286"/>
      <c r="D534" s="286"/>
      <c r="E534" s="286"/>
      <c r="F534" s="286"/>
      <c r="G534" s="286"/>
      <c r="H534" s="286"/>
      <c r="I534" s="286"/>
      <c r="J534" s="286"/>
      <c r="K534" s="399"/>
      <c r="L534" s="399"/>
      <c r="M534" s="286"/>
      <c r="N534" s="286"/>
      <c r="O534" s="286"/>
      <c r="P534" s="286"/>
      <c r="Q534" s="286"/>
      <c r="R534" s="286"/>
      <c r="S534" s="286"/>
      <c r="T534" s="286"/>
      <c r="U534" s="286"/>
      <c r="V534" s="286"/>
      <c r="W534" s="286"/>
    </row>
    <row r="535">
      <c r="A535" s="286"/>
      <c r="B535" s="286"/>
      <c r="C535" s="286"/>
      <c r="D535" s="286"/>
      <c r="E535" s="286"/>
      <c r="F535" s="286"/>
      <c r="G535" s="286"/>
      <c r="H535" s="286"/>
      <c r="I535" s="286"/>
      <c r="J535" s="286"/>
      <c r="K535" s="399"/>
      <c r="L535" s="399"/>
      <c r="M535" s="286"/>
      <c r="N535" s="286"/>
      <c r="O535" s="286"/>
      <c r="P535" s="286"/>
      <c r="Q535" s="286"/>
      <c r="R535" s="286"/>
      <c r="S535" s="286"/>
      <c r="T535" s="286"/>
      <c r="U535" s="286"/>
      <c r="V535" s="286"/>
      <c r="W535" s="286"/>
    </row>
    <row r="536">
      <c r="A536" s="286"/>
      <c r="B536" s="286"/>
      <c r="C536" s="286"/>
      <c r="D536" s="286"/>
      <c r="E536" s="286"/>
      <c r="F536" s="286"/>
      <c r="G536" s="286"/>
      <c r="H536" s="286"/>
      <c r="I536" s="286"/>
      <c r="J536" s="286"/>
      <c r="K536" s="399"/>
      <c r="L536" s="399"/>
      <c r="M536" s="286"/>
      <c r="N536" s="286"/>
      <c r="O536" s="286"/>
      <c r="P536" s="286"/>
      <c r="Q536" s="286"/>
      <c r="R536" s="286"/>
      <c r="S536" s="286"/>
      <c r="T536" s="286"/>
      <c r="U536" s="286"/>
      <c r="V536" s="286"/>
      <c r="W536" s="286"/>
    </row>
    <row r="537">
      <c r="A537" s="286"/>
      <c r="B537" s="286"/>
      <c r="C537" s="286"/>
      <c r="D537" s="286"/>
      <c r="E537" s="286"/>
      <c r="F537" s="286"/>
      <c r="G537" s="286"/>
      <c r="H537" s="286"/>
      <c r="I537" s="286"/>
      <c r="J537" s="286"/>
      <c r="K537" s="399"/>
      <c r="L537" s="399"/>
      <c r="M537" s="286"/>
      <c r="N537" s="286"/>
      <c r="O537" s="286"/>
      <c r="P537" s="286"/>
      <c r="Q537" s="286"/>
      <c r="R537" s="286"/>
      <c r="S537" s="286"/>
      <c r="T537" s="286"/>
      <c r="U537" s="286"/>
      <c r="V537" s="286"/>
      <c r="W537" s="286"/>
    </row>
    <row r="538">
      <c r="A538" s="286"/>
      <c r="B538" s="286"/>
      <c r="C538" s="286"/>
      <c r="D538" s="286"/>
      <c r="E538" s="286"/>
      <c r="F538" s="286"/>
      <c r="G538" s="286"/>
      <c r="H538" s="286"/>
      <c r="I538" s="286"/>
      <c r="J538" s="286"/>
      <c r="K538" s="399"/>
      <c r="L538" s="399"/>
      <c r="M538" s="286"/>
      <c r="N538" s="286"/>
      <c r="O538" s="286"/>
      <c r="P538" s="286"/>
      <c r="Q538" s="286"/>
      <c r="R538" s="286"/>
      <c r="S538" s="286"/>
      <c r="T538" s="286"/>
      <c r="U538" s="286"/>
      <c r="V538" s="286"/>
      <c r="W538" s="286"/>
    </row>
    <row r="539">
      <c r="A539" s="286"/>
      <c r="B539" s="286"/>
      <c r="C539" s="286"/>
      <c r="D539" s="286"/>
      <c r="E539" s="286"/>
      <c r="F539" s="286"/>
      <c r="G539" s="286"/>
      <c r="H539" s="286"/>
      <c r="I539" s="286"/>
      <c r="J539" s="286"/>
      <c r="K539" s="399"/>
      <c r="L539" s="399"/>
      <c r="M539" s="286"/>
      <c r="N539" s="286"/>
      <c r="O539" s="286"/>
      <c r="P539" s="286"/>
      <c r="Q539" s="286"/>
      <c r="R539" s="286"/>
      <c r="S539" s="286"/>
      <c r="T539" s="286"/>
      <c r="U539" s="286"/>
      <c r="V539" s="286"/>
      <c r="W539" s="286"/>
    </row>
    <row r="540">
      <c r="A540" s="286"/>
      <c r="B540" s="286"/>
      <c r="C540" s="286"/>
      <c r="D540" s="286"/>
      <c r="E540" s="286"/>
      <c r="F540" s="286"/>
      <c r="G540" s="286"/>
      <c r="H540" s="286"/>
      <c r="I540" s="286"/>
      <c r="J540" s="286"/>
      <c r="K540" s="399"/>
      <c r="L540" s="399"/>
      <c r="M540" s="286"/>
      <c r="N540" s="286"/>
      <c r="O540" s="286"/>
      <c r="P540" s="286"/>
      <c r="Q540" s="286"/>
      <c r="R540" s="286"/>
      <c r="S540" s="286"/>
      <c r="T540" s="286"/>
      <c r="U540" s="286"/>
      <c r="V540" s="286"/>
      <c r="W540" s="286"/>
    </row>
    <row r="541">
      <c r="A541" s="286"/>
      <c r="B541" s="286"/>
      <c r="C541" s="286"/>
      <c r="D541" s="286"/>
      <c r="E541" s="286"/>
      <c r="F541" s="286"/>
      <c r="G541" s="286"/>
      <c r="H541" s="286"/>
      <c r="I541" s="286"/>
      <c r="J541" s="286"/>
      <c r="K541" s="399"/>
      <c r="L541" s="399"/>
      <c r="M541" s="286"/>
      <c r="N541" s="286"/>
      <c r="O541" s="286"/>
      <c r="P541" s="286"/>
      <c r="Q541" s="286"/>
      <c r="R541" s="286"/>
      <c r="S541" s="286"/>
      <c r="T541" s="286"/>
      <c r="U541" s="286"/>
      <c r="V541" s="286"/>
      <c r="W541" s="286"/>
    </row>
    <row r="542">
      <c r="A542" s="286"/>
      <c r="B542" s="286"/>
      <c r="C542" s="286"/>
      <c r="D542" s="286"/>
      <c r="E542" s="286"/>
      <c r="F542" s="286"/>
      <c r="G542" s="286"/>
      <c r="H542" s="286"/>
      <c r="I542" s="286"/>
      <c r="J542" s="286"/>
      <c r="K542" s="399"/>
      <c r="L542" s="399"/>
      <c r="M542" s="286"/>
      <c r="N542" s="286"/>
      <c r="O542" s="286"/>
      <c r="P542" s="286"/>
      <c r="Q542" s="286"/>
      <c r="R542" s="286"/>
      <c r="S542" s="286"/>
      <c r="T542" s="286"/>
      <c r="U542" s="286"/>
      <c r="V542" s="286"/>
      <c r="W542" s="286"/>
    </row>
    <row r="543">
      <c r="A543" s="286"/>
      <c r="B543" s="286"/>
      <c r="C543" s="286"/>
      <c r="D543" s="286"/>
      <c r="E543" s="286"/>
      <c r="F543" s="286"/>
      <c r="G543" s="286"/>
      <c r="H543" s="286"/>
      <c r="I543" s="286"/>
      <c r="J543" s="286"/>
      <c r="K543" s="399"/>
      <c r="L543" s="399"/>
      <c r="M543" s="286"/>
      <c r="N543" s="286"/>
      <c r="O543" s="286"/>
      <c r="P543" s="286"/>
      <c r="Q543" s="286"/>
      <c r="R543" s="286"/>
      <c r="S543" s="286"/>
      <c r="T543" s="286"/>
      <c r="U543" s="286"/>
      <c r="V543" s="286"/>
      <c r="W543" s="286"/>
    </row>
    <row r="544">
      <c r="A544" s="286"/>
      <c r="B544" s="286"/>
      <c r="C544" s="286"/>
      <c r="D544" s="286"/>
      <c r="E544" s="286"/>
      <c r="F544" s="286"/>
      <c r="G544" s="286"/>
      <c r="H544" s="286"/>
      <c r="I544" s="286"/>
      <c r="J544" s="286"/>
      <c r="K544" s="399"/>
      <c r="L544" s="399"/>
      <c r="M544" s="286"/>
      <c r="N544" s="286"/>
      <c r="O544" s="286"/>
      <c r="P544" s="286"/>
      <c r="Q544" s="286"/>
      <c r="R544" s="286"/>
      <c r="S544" s="286"/>
      <c r="T544" s="286"/>
      <c r="U544" s="286"/>
      <c r="V544" s="286"/>
      <c r="W544" s="286"/>
    </row>
    <row r="545">
      <c r="A545" s="286"/>
      <c r="B545" s="286"/>
      <c r="C545" s="286"/>
      <c r="D545" s="286"/>
      <c r="E545" s="286"/>
      <c r="F545" s="286"/>
      <c r="G545" s="286"/>
      <c r="H545" s="286"/>
      <c r="I545" s="286"/>
      <c r="J545" s="286"/>
      <c r="K545" s="399"/>
      <c r="L545" s="399"/>
      <c r="M545" s="286"/>
      <c r="N545" s="286"/>
      <c r="O545" s="286"/>
      <c r="P545" s="286"/>
      <c r="Q545" s="286"/>
      <c r="R545" s="286"/>
      <c r="S545" s="286"/>
      <c r="T545" s="286"/>
      <c r="U545" s="286"/>
      <c r="V545" s="286"/>
      <c r="W545" s="286"/>
    </row>
    <row r="546">
      <c r="A546" s="286"/>
      <c r="B546" s="286"/>
      <c r="C546" s="286"/>
      <c r="D546" s="286"/>
      <c r="E546" s="286"/>
      <c r="F546" s="286"/>
      <c r="G546" s="286"/>
      <c r="H546" s="286"/>
      <c r="I546" s="286"/>
      <c r="J546" s="286"/>
      <c r="K546" s="399"/>
      <c r="L546" s="399"/>
      <c r="M546" s="286"/>
      <c r="N546" s="286"/>
      <c r="O546" s="286"/>
      <c r="P546" s="286"/>
      <c r="Q546" s="286"/>
      <c r="R546" s="286"/>
      <c r="S546" s="286"/>
      <c r="T546" s="286"/>
      <c r="U546" s="286"/>
      <c r="V546" s="286"/>
      <c r="W546" s="286"/>
    </row>
    <row r="547">
      <c r="A547" s="286"/>
      <c r="B547" s="286"/>
      <c r="C547" s="286"/>
      <c r="D547" s="286"/>
      <c r="E547" s="286"/>
      <c r="F547" s="286"/>
      <c r="G547" s="286"/>
      <c r="H547" s="286"/>
      <c r="I547" s="286"/>
      <c r="J547" s="286"/>
      <c r="K547" s="399"/>
      <c r="L547" s="399"/>
      <c r="M547" s="286"/>
      <c r="N547" s="286"/>
      <c r="O547" s="286"/>
      <c r="P547" s="286"/>
      <c r="Q547" s="286"/>
      <c r="R547" s="286"/>
      <c r="S547" s="286"/>
      <c r="T547" s="286"/>
      <c r="U547" s="286"/>
      <c r="V547" s="286"/>
      <c r="W547" s="286"/>
    </row>
    <row r="548">
      <c r="A548" s="286"/>
      <c r="B548" s="286"/>
      <c r="C548" s="286"/>
      <c r="D548" s="286"/>
      <c r="E548" s="286"/>
      <c r="F548" s="286"/>
      <c r="G548" s="286"/>
      <c r="H548" s="286"/>
      <c r="I548" s="286"/>
      <c r="J548" s="286"/>
      <c r="K548" s="399"/>
      <c r="L548" s="399"/>
      <c r="M548" s="286"/>
      <c r="N548" s="286"/>
      <c r="O548" s="286"/>
      <c r="P548" s="286"/>
      <c r="Q548" s="286"/>
      <c r="R548" s="286"/>
      <c r="S548" s="286"/>
      <c r="T548" s="286"/>
      <c r="U548" s="286"/>
      <c r="V548" s="286"/>
      <c r="W548" s="286"/>
    </row>
    <row r="549">
      <c r="A549" s="286"/>
      <c r="B549" s="286"/>
      <c r="C549" s="286"/>
      <c r="D549" s="286"/>
      <c r="E549" s="286"/>
      <c r="F549" s="286"/>
      <c r="G549" s="286"/>
      <c r="H549" s="286"/>
      <c r="I549" s="286"/>
      <c r="J549" s="286"/>
      <c r="K549" s="399"/>
      <c r="L549" s="399"/>
      <c r="M549" s="286"/>
      <c r="N549" s="286"/>
      <c r="O549" s="286"/>
      <c r="P549" s="286"/>
      <c r="Q549" s="286"/>
      <c r="R549" s="286"/>
      <c r="S549" s="286"/>
      <c r="T549" s="286"/>
      <c r="U549" s="286"/>
      <c r="V549" s="286"/>
      <c r="W549" s="286"/>
    </row>
    <row r="550">
      <c r="A550" s="286"/>
      <c r="B550" s="286"/>
      <c r="C550" s="286"/>
      <c r="D550" s="286"/>
      <c r="E550" s="286"/>
      <c r="F550" s="286"/>
      <c r="G550" s="286"/>
      <c r="H550" s="286"/>
      <c r="I550" s="286"/>
      <c r="J550" s="286"/>
      <c r="K550" s="399"/>
      <c r="L550" s="399"/>
      <c r="M550" s="286"/>
      <c r="N550" s="286"/>
      <c r="O550" s="286"/>
      <c r="P550" s="286"/>
      <c r="Q550" s="286"/>
      <c r="R550" s="286"/>
      <c r="S550" s="286"/>
      <c r="T550" s="286"/>
      <c r="U550" s="286"/>
      <c r="V550" s="286"/>
      <c r="W550" s="286"/>
    </row>
    <row r="551">
      <c r="A551" s="286"/>
      <c r="B551" s="286"/>
      <c r="C551" s="286"/>
      <c r="D551" s="286"/>
      <c r="E551" s="286"/>
      <c r="F551" s="286"/>
      <c r="G551" s="286"/>
      <c r="H551" s="286"/>
      <c r="I551" s="286"/>
      <c r="J551" s="286"/>
      <c r="K551" s="399"/>
      <c r="L551" s="399"/>
      <c r="M551" s="286"/>
      <c r="N551" s="286"/>
      <c r="O551" s="286"/>
      <c r="P551" s="286"/>
      <c r="Q551" s="286"/>
      <c r="R551" s="286"/>
      <c r="S551" s="286"/>
      <c r="T551" s="286"/>
      <c r="U551" s="286"/>
      <c r="V551" s="286"/>
      <c r="W551" s="286"/>
    </row>
    <row r="552">
      <c r="A552" s="286"/>
      <c r="B552" s="286"/>
      <c r="C552" s="286"/>
      <c r="D552" s="286"/>
      <c r="E552" s="286"/>
      <c r="F552" s="286"/>
      <c r="G552" s="286"/>
      <c r="H552" s="286"/>
      <c r="I552" s="286"/>
      <c r="J552" s="286"/>
      <c r="K552" s="399"/>
      <c r="L552" s="399"/>
      <c r="M552" s="286"/>
      <c r="N552" s="286"/>
      <c r="O552" s="286"/>
      <c r="P552" s="286"/>
      <c r="Q552" s="286"/>
      <c r="R552" s="286"/>
      <c r="S552" s="286"/>
      <c r="T552" s="286"/>
      <c r="U552" s="286"/>
      <c r="V552" s="286"/>
      <c r="W552" s="286"/>
    </row>
    <row r="553">
      <c r="A553" s="286"/>
      <c r="B553" s="286"/>
      <c r="C553" s="286"/>
      <c r="D553" s="286"/>
      <c r="E553" s="286"/>
      <c r="F553" s="286"/>
      <c r="G553" s="286"/>
      <c r="H553" s="286"/>
      <c r="I553" s="286"/>
      <c r="J553" s="286"/>
      <c r="K553" s="399"/>
      <c r="L553" s="399"/>
      <c r="M553" s="286"/>
      <c r="N553" s="286"/>
      <c r="O553" s="286"/>
      <c r="P553" s="286"/>
      <c r="Q553" s="286"/>
      <c r="R553" s="286"/>
      <c r="S553" s="286"/>
      <c r="T553" s="286"/>
      <c r="U553" s="286"/>
      <c r="V553" s="286"/>
      <c r="W553" s="286"/>
    </row>
    <row r="554">
      <c r="A554" s="286"/>
      <c r="B554" s="286"/>
      <c r="C554" s="286"/>
      <c r="D554" s="286"/>
      <c r="E554" s="286"/>
      <c r="F554" s="286"/>
      <c r="G554" s="286"/>
      <c r="H554" s="286"/>
      <c r="I554" s="286"/>
      <c r="J554" s="286"/>
      <c r="K554" s="399"/>
      <c r="L554" s="399"/>
      <c r="M554" s="286"/>
      <c r="N554" s="286"/>
      <c r="O554" s="286"/>
      <c r="P554" s="286"/>
      <c r="Q554" s="286"/>
      <c r="R554" s="286"/>
      <c r="S554" s="286"/>
      <c r="T554" s="286"/>
      <c r="U554" s="286"/>
      <c r="V554" s="286"/>
      <c r="W554" s="286"/>
    </row>
    <row r="555">
      <c r="A555" s="286"/>
      <c r="B555" s="286"/>
      <c r="C555" s="286"/>
      <c r="D555" s="286"/>
      <c r="E555" s="286"/>
      <c r="F555" s="286"/>
      <c r="G555" s="286"/>
      <c r="H555" s="286"/>
      <c r="I555" s="286"/>
      <c r="J555" s="286"/>
      <c r="K555" s="399"/>
      <c r="L555" s="399"/>
      <c r="M555" s="286"/>
      <c r="N555" s="286"/>
      <c r="O555" s="286"/>
      <c r="P555" s="286"/>
      <c r="Q555" s="286"/>
      <c r="R555" s="286"/>
      <c r="S555" s="286"/>
      <c r="T555" s="286"/>
      <c r="U555" s="286"/>
      <c r="V555" s="286"/>
      <c r="W555" s="286"/>
    </row>
    <row r="556">
      <c r="A556" s="286"/>
      <c r="B556" s="286"/>
      <c r="C556" s="286"/>
      <c r="D556" s="286"/>
      <c r="E556" s="286"/>
      <c r="F556" s="286"/>
      <c r="G556" s="286"/>
      <c r="H556" s="286"/>
      <c r="I556" s="286"/>
      <c r="J556" s="286"/>
      <c r="K556" s="399"/>
      <c r="L556" s="399"/>
      <c r="M556" s="286"/>
      <c r="N556" s="286"/>
      <c r="O556" s="286"/>
      <c r="P556" s="286"/>
      <c r="Q556" s="286"/>
      <c r="R556" s="286"/>
      <c r="S556" s="286"/>
      <c r="T556" s="286"/>
      <c r="U556" s="286"/>
      <c r="V556" s="286"/>
      <c r="W556" s="286"/>
    </row>
    <row r="557">
      <c r="A557" s="286"/>
      <c r="B557" s="286"/>
      <c r="C557" s="286"/>
      <c r="D557" s="286"/>
      <c r="E557" s="286"/>
      <c r="F557" s="286"/>
      <c r="G557" s="286"/>
      <c r="H557" s="286"/>
      <c r="I557" s="286"/>
      <c r="J557" s="286"/>
      <c r="K557" s="399"/>
      <c r="L557" s="399"/>
      <c r="M557" s="286"/>
      <c r="N557" s="286"/>
      <c r="O557" s="286"/>
      <c r="P557" s="286"/>
      <c r="Q557" s="286"/>
      <c r="R557" s="286"/>
      <c r="S557" s="286"/>
      <c r="T557" s="286"/>
      <c r="U557" s="286"/>
      <c r="V557" s="286"/>
      <c r="W557" s="286"/>
    </row>
    <row r="558">
      <c r="A558" s="286"/>
      <c r="B558" s="286"/>
      <c r="C558" s="286"/>
      <c r="D558" s="286"/>
      <c r="E558" s="286"/>
      <c r="F558" s="286"/>
      <c r="G558" s="286"/>
      <c r="H558" s="286"/>
      <c r="I558" s="286"/>
      <c r="J558" s="286"/>
      <c r="K558" s="399"/>
      <c r="L558" s="399"/>
      <c r="M558" s="286"/>
      <c r="N558" s="286"/>
      <c r="O558" s="286"/>
      <c r="P558" s="286"/>
      <c r="Q558" s="286"/>
      <c r="R558" s="286"/>
      <c r="S558" s="286"/>
      <c r="T558" s="286"/>
      <c r="U558" s="286"/>
      <c r="V558" s="286"/>
      <c r="W558" s="286"/>
    </row>
    <row r="559">
      <c r="A559" s="286"/>
      <c r="B559" s="286"/>
      <c r="C559" s="286"/>
      <c r="D559" s="286"/>
      <c r="E559" s="286"/>
      <c r="F559" s="286"/>
      <c r="G559" s="286"/>
      <c r="H559" s="286"/>
      <c r="I559" s="286"/>
      <c r="J559" s="286"/>
      <c r="K559" s="399"/>
      <c r="L559" s="399"/>
      <c r="M559" s="286"/>
      <c r="N559" s="286"/>
      <c r="O559" s="286"/>
      <c r="P559" s="286"/>
      <c r="Q559" s="286"/>
      <c r="R559" s="286"/>
      <c r="S559" s="286"/>
      <c r="T559" s="286"/>
      <c r="U559" s="286"/>
      <c r="V559" s="286"/>
      <c r="W559" s="286"/>
    </row>
    <row r="560">
      <c r="A560" s="286"/>
      <c r="B560" s="286"/>
      <c r="C560" s="286"/>
      <c r="D560" s="286"/>
      <c r="E560" s="286"/>
      <c r="F560" s="286"/>
      <c r="G560" s="286"/>
      <c r="H560" s="286"/>
      <c r="I560" s="286"/>
      <c r="J560" s="286"/>
      <c r="K560" s="399"/>
      <c r="L560" s="399"/>
      <c r="M560" s="286"/>
      <c r="N560" s="286"/>
      <c r="O560" s="286"/>
      <c r="P560" s="286"/>
      <c r="Q560" s="286"/>
      <c r="R560" s="286"/>
      <c r="S560" s="286"/>
      <c r="T560" s="286"/>
      <c r="U560" s="286"/>
      <c r="V560" s="286"/>
      <c r="W560" s="286"/>
    </row>
    <row r="561">
      <c r="A561" s="286"/>
      <c r="B561" s="286"/>
      <c r="C561" s="286"/>
      <c r="D561" s="286"/>
      <c r="E561" s="286"/>
      <c r="F561" s="286"/>
      <c r="G561" s="286"/>
      <c r="H561" s="286"/>
      <c r="I561" s="286"/>
      <c r="J561" s="286"/>
      <c r="K561" s="399"/>
      <c r="L561" s="399"/>
      <c r="M561" s="286"/>
      <c r="N561" s="286"/>
      <c r="O561" s="286"/>
      <c r="P561" s="286"/>
      <c r="Q561" s="286"/>
      <c r="R561" s="286"/>
      <c r="S561" s="286"/>
      <c r="T561" s="286"/>
      <c r="U561" s="286"/>
      <c r="V561" s="286"/>
      <c r="W561" s="286"/>
    </row>
    <row r="562">
      <c r="A562" s="286"/>
      <c r="B562" s="286"/>
      <c r="C562" s="286"/>
      <c r="D562" s="286"/>
      <c r="E562" s="286"/>
      <c r="F562" s="286"/>
      <c r="G562" s="286"/>
      <c r="H562" s="286"/>
      <c r="I562" s="286"/>
      <c r="J562" s="286"/>
      <c r="K562" s="399"/>
      <c r="L562" s="399"/>
      <c r="M562" s="286"/>
      <c r="N562" s="286"/>
      <c r="O562" s="286"/>
      <c r="P562" s="286"/>
      <c r="Q562" s="286"/>
      <c r="R562" s="286"/>
      <c r="S562" s="286"/>
      <c r="T562" s="286"/>
      <c r="U562" s="286"/>
      <c r="V562" s="286"/>
      <c r="W562" s="286"/>
    </row>
    <row r="563">
      <c r="A563" s="286"/>
      <c r="B563" s="286"/>
      <c r="C563" s="286"/>
      <c r="D563" s="286"/>
      <c r="E563" s="286"/>
      <c r="F563" s="286"/>
      <c r="G563" s="286"/>
      <c r="H563" s="286"/>
      <c r="I563" s="286"/>
      <c r="J563" s="286"/>
      <c r="K563" s="399"/>
      <c r="L563" s="399"/>
      <c r="M563" s="286"/>
      <c r="N563" s="286"/>
      <c r="O563" s="286"/>
      <c r="P563" s="286"/>
      <c r="Q563" s="286"/>
      <c r="R563" s="286"/>
      <c r="S563" s="286"/>
      <c r="T563" s="286"/>
      <c r="U563" s="286"/>
      <c r="V563" s="286"/>
      <c r="W563" s="286"/>
    </row>
    <row r="564">
      <c r="A564" s="286"/>
      <c r="B564" s="286"/>
      <c r="C564" s="286"/>
      <c r="D564" s="286"/>
      <c r="E564" s="286"/>
      <c r="F564" s="286"/>
      <c r="G564" s="286"/>
      <c r="H564" s="286"/>
      <c r="I564" s="286"/>
      <c r="J564" s="286"/>
      <c r="K564" s="399"/>
      <c r="L564" s="399"/>
      <c r="M564" s="286"/>
      <c r="N564" s="286"/>
      <c r="O564" s="286"/>
      <c r="P564" s="286"/>
      <c r="Q564" s="286"/>
      <c r="R564" s="286"/>
      <c r="S564" s="286"/>
      <c r="T564" s="286"/>
      <c r="U564" s="286"/>
      <c r="V564" s="286"/>
      <c r="W564" s="286"/>
    </row>
    <row r="565">
      <c r="A565" s="286"/>
      <c r="B565" s="286"/>
      <c r="C565" s="286"/>
      <c r="D565" s="286"/>
      <c r="E565" s="286"/>
      <c r="F565" s="286"/>
      <c r="G565" s="286"/>
      <c r="H565" s="286"/>
      <c r="I565" s="286"/>
      <c r="J565" s="286"/>
      <c r="K565" s="399"/>
      <c r="L565" s="399"/>
      <c r="M565" s="286"/>
      <c r="N565" s="286"/>
      <c r="O565" s="286"/>
      <c r="P565" s="286"/>
      <c r="Q565" s="286"/>
      <c r="R565" s="286"/>
      <c r="S565" s="286"/>
      <c r="T565" s="286"/>
      <c r="U565" s="286"/>
      <c r="V565" s="286"/>
      <c r="W565" s="286"/>
    </row>
    <row r="566">
      <c r="A566" s="286"/>
      <c r="B566" s="286"/>
      <c r="C566" s="286"/>
      <c r="D566" s="286"/>
      <c r="E566" s="286"/>
      <c r="F566" s="286"/>
      <c r="G566" s="286"/>
      <c r="H566" s="286"/>
      <c r="I566" s="286"/>
      <c r="J566" s="286"/>
      <c r="K566" s="399"/>
      <c r="L566" s="399"/>
      <c r="M566" s="286"/>
      <c r="N566" s="286"/>
      <c r="O566" s="286"/>
      <c r="P566" s="286"/>
      <c r="Q566" s="286"/>
      <c r="R566" s="286"/>
      <c r="S566" s="286"/>
      <c r="T566" s="286"/>
      <c r="U566" s="286"/>
      <c r="V566" s="286"/>
      <c r="W566" s="286"/>
    </row>
    <row r="567">
      <c r="A567" s="286"/>
      <c r="B567" s="286"/>
      <c r="C567" s="286"/>
      <c r="D567" s="286"/>
      <c r="E567" s="286"/>
      <c r="F567" s="286"/>
      <c r="G567" s="286"/>
      <c r="H567" s="286"/>
      <c r="I567" s="286"/>
      <c r="J567" s="286"/>
      <c r="K567" s="399"/>
      <c r="L567" s="399"/>
      <c r="M567" s="286"/>
      <c r="N567" s="286"/>
      <c r="O567" s="286"/>
      <c r="P567" s="286"/>
      <c r="Q567" s="286"/>
      <c r="R567" s="286"/>
      <c r="S567" s="286"/>
      <c r="T567" s="286"/>
      <c r="U567" s="286"/>
      <c r="V567" s="286"/>
      <c r="W567" s="286"/>
    </row>
    <row r="568">
      <c r="A568" s="286"/>
      <c r="B568" s="286"/>
      <c r="C568" s="286"/>
      <c r="D568" s="286"/>
      <c r="E568" s="286"/>
      <c r="F568" s="286"/>
      <c r="G568" s="286"/>
      <c r="H568" s="286"/>
      <c r="I568" s="286"/>
      <c r="J568" s="286"/>
      <c r="K568" s="399"/>
      <c r="L568" s="399"/>
      <c r="M568" s="286"/>
      <c r="N568" s="286"/>
      <c r="O568" s="286"/>
      <c r="P568" s="286"/>
      <c r="Q568" s="286"/>
      <c r="R568" s="286"/>
      <c r="S568" s="286"/>
      <c r="T568" s="286"/>
      <c r="U568" s="286"/>
      <c r="V568" s="286"/>
      <c r="W568" s="286"/>
    </row>
    <row r="569">
      <c r="A569" s="286"/>
      <c r="B569" s="286"/>
      <c r="C569" s="286"/>
      <c r="D569" s="286"/>
      <c r="E569" s="286"/>
      <c r="F569" s="286"/>
      <c r="G569" s="286"/>
      <c r="H569" s="286"/>
      <c r="I569" s="286"/>
      <c r="J569" s="286"/>
      <c r="K569" s="399"/>
      <c r="L569" s="399"/>
      <c r="M569" s="286"/>
      <c r="N569" s="286"/>
      <c r="O569" s="286"/>
      <c r="P569" s="286"/>
      <c r="Q569" s="286"/>
      <c r="R569" s="286"/>
      <c r="S569" s="286"/>
      <c r="T569" s="286"/>
      <c r="U569" s="286"/>
      <c r="V569" s="286"/>
      <c r="W569" s="286"/>
    </row>
    <row r="570">
      <c r="A570" s="286"/>
      <c r="B570" s="286"/>
      <c r="C570" s="286"/>
      <c r="D570" s="286"/>
      <c r="E570" s="286"/>
      <c r="F570" s="286"/>
      <c r="G570" s="286"/>
      <c r="H570" s="286"/>
      <c r="I570" s="286"/>
      <c r="J570" s="286"/>
      <c r="K570" s="399"/>
      <c r="L570" s="399"/>
      <c r="M570" s="286"/>
      <c r="N570" s="286"/>
      <c r="O570" s="286"/>
      <c r="P570" s="286"/>
      <c r="Q570" s="286"/>
      <c r="R570" s="286"/>
      <c r="S570" s="286"/>
      <c r="T570" s="286"/>
      <c r="U570" s="286"/>
      <c r="V570" s="286"/>
      <c r="W570" s="286"/>
    </row>
    <row r="571">
      <c r="A571" s="286"/>
      <c r="B571" s="286"/>
      <c r="C571" s="286"/>
      <c r="D571" s="286"/>
      <c r="E571" s="286"/>
      <c r="F571" s="286"/>
      <c r="G571" s="286"/>
      <c r="H571" s="286"/>
      <c r="I571" s="286"/>
      <c r="J571" s="286"/>
      <c r="K571" s="399"/>
      <c r="L571" s="399"/>
      <c r="M571" s="286"/>
      <c r="N571" s="286"/>
      <c r="O571" s="286"/>
      <c r="P571" s="286"/>
      <c r="Q571" s="286"/>
      <c r="R571" s="286"/>
      <c r="S571" s="286"/>
      <c r="T571" s="286"/>
      <c r="U571" s="286"/>
      <c r="V571" s="286"/>
      <c r="W571" s="286"/>
    </row>
    <row r="572">
      <c r="A572" s="286"/>
      <c r="B572" s="286"/>
      <c r="C572" s="286"/>
      <c r="D572" s="286"/>
      <c r="E572" s="286"/>
      <c r="F572" s="286"/>
      <c r="G572" s="286"/>
      <c r="H572" s="286"/>
      <c r="I572" s="286"/>
      <c r="J572" s="286"/>
      <c r="K572" s="399"/>
      <c r="L572" s="399"/>
      <c r="M572" s="286"/>
      <c r="N572" s="286"/>
      <c r="O572" s="286"/>
      <c r="P572" s="286"/>
      <c r="Q572" s="286"/>
      <c r="R572" s="286"/>
      <c r="S572" s="286"/>
      <c r="T572" s="286"/>
      <c r="U572" s="286"/>
      <c r="V572" s="286"/>
      <c r="W572" s="286"/>
    </row>
    <row r="573">
      <c r="A573" s="286"/>
      <c r="B573" s="286"/>
      <c r="C573" s="286"/>
      <c r="D573" s="286"/>
      <c r="E573" s="286"/>
      <c r="F573" s="286"/>
      <c r="G573" s="286"/>
      <c r="H573" s="286"/>
      <c r="I573" s="286"/>
      <c r="J573" s="286"/>
      <c r="K573" s="399"/>
      <c r="L573" s="399"/>
      <c r="M573" s="286"/>
      <c r="N573" s="286"/>
      <c r="O573" s="286"/>
      <c r="P573" s="286"/>
      <c r="Q573" s="286"/>
      <c r="R573" s="286"/>
      <c r="S573" s="286"/>
      <c r="T573" s="286"/>
      <c r="U573" s="286"/>
      <c r="V573" s="286"/>
      <c r="W573" s="286"/>
    </row>
    <row r="574">
      <c r="A574" s="286"/>
      <c r="B574" s="286"/>
      <c r="C574" s="286"/>
      <c r="D574" s="286"/>
      <c r="E574" s="286"/>
      <c r="F574" s="286"/>
      <c r="G574" s="286"/>
      <c r="H574" s="286"/>
      <c r="I574" s="286"/>
      <c r="J574" s="286"/>
      <c r="K574" s="399"/>
      <c r="L574" s="399"/>
      <c r="M574" s="286"/>
      <c r="N574" s="286"/>
      <c r="O574" s="286"/>
      <c r="P574" s="286"/>
      <c r="Q574" s="286"/>
      <c r="R574" s="286"/>
      <c r="S574" s="286"/>
      <c r="T574" s="286"/>
      <c r="U574" s="286"/>
      <c r="V574" s="286"/>
      <c r="W574" s="286"/>
    </row>
    <row r="575">
      <c r="A575" s="286"/>
      <c r="B575" s="286"/>
      <c r="C575" s="286"/>
      <c r="D575" s="286"/>
      <c r="E575" s="286"/>
      <c r="F575" s="286"/>
      <c r="G575" s="286"/>
      <c r="H575" s="286"/>
      <c r="I575" s="286"/>
      <c r="J575" s="286"/>
      <c r="K575" s="399"/>
      <c r="L575" s="399"/>
      <c r="M575" s="286"/>
      <c r="N575" s="286"/>
      <c r="O575" s="286"/>
      <c r="P575" s="286"/>
      <c r="Q575" s="286"/>
      <c r="R575" s="286"/>
      <c r="S575" s="286"/>
      <c r="T575" s="286"/>
      <c r="U575" s="286"/>
      <c r="V575" s="286"/>
      <c r="W575" s="286"/>
    </row>
    <row r="576">
      <c r="A576" s="286"/>
      <c r="B576" s="286"/>
      <c r="C576" s="286"/>
      <c r="D576" s="286"/>
      <c r="E576" s="286"/>
      <c r="F576" s="286"/>
      <c r="G576" s="286"/>
      <c r="H576" s="286"/>
      <c r="I576" s="286"/>
      <c r="J576" s="286"/>
      <c r="K576" s="399"/>
      <c r="L576" s="399"/>
      <c r="M576" s="286"/>
      <c r="N576" s="286"/>
      <c r="O576" s="286"/>
      <c r="P576" s="286"/>
      <c r="Q576" s="286"/>
      <c r="R576" s="286"/>
      <c r="S576" s="286"/>
      <c r="T576" s="286"/>
      <c r="U576" s="286"/>
      <c r="V576" s="286"/>
      <c r="W576" s="286"/>
    </row>
    <row r="577">
      <c r="A577" s="286"/>
      <c r="B577" s="286"/>
      <c r="C577" s="286"/>
      <c r="D577" s="286"/>
      <c r="E577" s="286"/>
      <c r="F577" s="286"/>
      <c r="G577" s="286"/>
      <c r="H577" s="286"/>
      <c r="I577" s="286"/>
      <c r="J577" s="286"/>
      <c r="K577" s="399"/>
      <c r="L577" s="399"/>
      <c r="M577" s="286"/>
      <c r="N577" s="286"/>
      <c r="O577" s="286"/>
      <c r="P577" s="286"/>
      <c r="Q577" s="286"/>
      <c r="R577" s="286"/>
      <c r="S577" s="286"/>
      <c r="T577" s="286"/>
      <c r="U577" s="286"/>
      <c r="V577" s="286"/>
      <c r="W577" s="286"/>
    </row>
    <row r="578">
      <c r="A578" s="286"/>
      <c r="B578" s="286"/>
      <c r="C578" s="286"/>
      <c r="D578" s="286"/>
      <c r="E578" s="286"/>
      <c r="F578" s="286"/>
      <c r="G578" s="286"/>
      <c r="H578" s="286"/>
      <c r="I578" s="286"/>
      <c r="J578" s="286"/>
      <c r="K578" s="399"/>
      <c r="L578" s="399"/>
      <c r="M578" s="286"/>
      <c r="N578" s="286"/>
      <c r="O578" s="286"/>
      <c r="P578" s="286"/>
      <c r="Q578" s="286"/>
      <c r="R578" s="286"/>
      <c r="S578" s="286"/>
      <c r="T578" s="286"/>
      <c r="U578" s="286"/>
      <c r="V578" s="286"/>
      <c r="W578" s="286"/>
    </row>
    <row r="579">
      <c r="A579" s="286"/>
      <c r="B579" s="286"/>
      <c r="C579" s="286"/>
      <c r="D579" s="286"/>
      <c r="E579" s="286"/>
      <c r="F579" s="286"/>
      <c r="G579" s="286"/>
      <c r="H579" s="286"/>
      <c r="I579" s="286"/>
      <c r="J579" s="286"/>
      <c r="K579" s="399"/>
      <c r="L579" s="399"/>
      <c r="M579" s="286"/>
      <c r="N579" s="286"/>
      <c r="O579" s="286"/>
      <c r="P579" s="286"/>
      <c r="Q579" s="286"/>
      <c r="R579" s="286"/>
      <c r="S579" s="286"/>
      <c r="T579" s="286"/>
      <c r="U579" s="286"/>
      <c r="V579" s="286"/>
      <c r="W579" s="286"/>
    </row>
    <row r="580">
      <c r="A580" s="286"/>
      <c r="B580" s="286"/>
      <c r="C580" s="286"/>
      <c r="D580" s="286"/>
      <c r="E580" s="286"/>
      <c r="F580" s="286"/>
      <c r="G580" s="286"/>
      <c r="H580" s="286"/>
      <c r="I580" s="286"/>
      <c r="J580" s="286"/>
      <c r="K580" s="399"/>
      <c r="L580" s="399"/>
      <c r="M580" s="286"/>
      <c r="N580" s="286"/>
      <c r="O580" s="286"/>
      <c r="P580" s="286"/>
      <c r="Q580" s="286"/>
      <c r="R580" s="286"/>
      <c r="S580" s="286"/>
      <c r="T580" s="286"/>
      <c r="U580" s="286"/>
      <c r="V580" s="286"/>
      <c r="W580" s="286"/>
    </row>
    <row r="581">
      <c r="A581" s="286"/>
      <c r="B581" s="286"/>
      <c r="C581" s="286"/>
      <c r="D581" s="286"/>
      <c r="E581" s="286"/>
      <c r="F581" s="286"/>
      <c r="G581" s="286"/>
      <c r="H581" s="286"/>
      <c r="I581" s="286"/>
      <c r="J581" s="286"/>
      <c r="K581" s="399"/>
      <c r="L581" s="399"/>
      <c r="M581" s="286"/>
      <c r="N581" s="286"/>
      <c r="O581" s="286"/>
      <c r="P581" s="286"/>
      <c r="Q581" s="286"/>
      <c r="R581" s="286"/>
      <c r="S581" s="286"/>
      <c r="T581" s="286"/>
      <c r="U581" s="286"/>
      <c r="V581" s="286"/>
      <c r="W581" s="286"/>
    </row>
    <row r="582">
      <c r="A582" s="286"/>
      <c r="B582" s="286"/>
      <c r="C582" s="286"/>
      <c r="D582" s="286"/>
      <c r="E582" s="286"/>
      <c r="F582" s="286"/>
      <c r="G582" s="286"/>
      <c r="H582" s="286"/>
      <c r="I582" s="286"/>
      <c r="J582" s="286"/>
      <c r="K582" s="399"/>
      <c r="L582" s="399"/>
      <c r="M582" s="286"/>
      <c r="N582" s="286"/>
      <c r="O582" s="286"/>
      <c r="P582" s="286"/>
      <c r="Q582" s="286"/>
      <c r="R582" s="286"/>
      <c r="S582" s="286"/>
      <c r="T582" s="286"/>
      <c r="U582" s="286"/>
      <c r="V582" s="286"/>
      <c r="W582" s="286"/>
    </row>
    <row r="583">
      <c r="A583" s="286"/>
      <c r="B583" s="286"/>
      <c r="C583" s="286"/>
      <c r="D583" s="286"/>
      <c r="E583" s="286"/>
      <c r="F583" s="286"/>
      <c r="G583" s="286"/>
      <c r="H583" s="286"/>
      <c r="I583" s="286"/>
      <c r="J583" s="286"/>
      <c r="K583" s="399"/>
      <c r="L583" s="399"/>
      <c r="M583" s="286"/>
      <c r="N583" s="286"/>
      <c r="O583" s="286"/>
      <c r="P583" s="286"/>
      <c r="Q583" s="286"/>
      <c r="R583" s="286"/>
      <c r="S583" s="286"/>
      <c r="T583" s="286"/>
      <c r="U583" s="286"/>
      <c r="V583" s="286"/>
      <c r="W583" s="286"/>
    </row>
    <row r="584">
      <c r="A584" s="286"/>
      <c r="B584" s="286"/>
      <c r="C584" s="286"/>
      <c r="D584" s="286"/>
      <c r="E584" s="286"/>
      <c r="F584" s="286"/>
      <c r="G584" s="286"/>
      <c r="H584" s="286"/>
      <c r="I584" s="286"/>
      <c r="J584" s="286"/>
      <c r="K584" s="399"/>
      <c r="L584" s="399"/>
      <c r="M584" s="286"/>
      <c r="N584" s="286"/>
      <c r="O584" s="286"/>
      <c r="P584" s="286"/>
      <c r="Q584" s="286"/>
      <c r="R584" s="286"/>
      <c r="S584" s="286"/>
      <c r="T584" s="286"/>
      <c r="U584" s="286"/>
      <c r="V584" s="286"/>
      <c r="W584" s="286"/>
    </row>
    <row r="585">
      <c r="A585" s="286"/>
      <c r="B585" s="286"/>
      <c r="C585" s="286"/>
      <c r="D585" s="286"/>
      <c r="E585" s="286"/>
      <c r="F585" s="286"/>
      <c r="G585" s="286"/>
      <c r="H585" s="286"/>
      <c r="I585" s="286"/>
      <c r="J585" s="286"/>
      <c r="K585" s="399"/>
      <c r="L585" s="399"/>
      <c r="M585" s="286"/>
      <c r="N585" s="286"/>
      <c r="O585" s="286"/>
      <c r="P585" s="286"/>
      <c r="Q585" s="286"/>
      <c r="R585" s="286"/>
      <c r="S585" s="286"/>
      <c r="T585" s="286"/>
      <c r="U585" s="286"/>
      <c r="V585" s="286"/>
      <c r="W585" s="286"/>
    </row>
    <row r="586">
      <c r="A586" s="286"/>
      <c r="B586" s="286"/>
      <c r="C586" s="286"/>
      <c r="D586" s="286"/>
      <c r="E586" s="286"/>
      <c r="F586" s="286"/>
      <c r="G586" s="286"/>
      <c r="H586" s="286"/>
      <c r="I586" s="286"/>
      <c r="J586" s="286"/>
      <c r="K586" s="399"/>
      <c r="L586" s="399"/>
      <c r="M586" s="286"/>
      <c r="N586" s="286"/>
      <c r="O586" s="286"/>
      <c r="P586" s="286"/>
      <c r="Q586" s="286"/>
      <c r="R586" s="286"/>
      <c r="S586" s="286"/>
      <c r="T586" s="286"/>
      <c r="U586" s="286"/>
      <c r="V586" s="286"/>
      <c r="W586" s="286"/>
    </row>
    <row r="587">
      <c r="A587" s="286"/>
      <c r="B587" s="286"/>
      <c r="C587" s="286"/>
      <c r="D587" s="286"/>
      <c r="E587" s="286"/>
      <c r="F587" s="286"/>
      <c r="G587" s="286"/>
      <c r="H587" s="286"/>
      <c r="I587" s="286"/>
      <c r="J587" s="286"/>
      <c r="K587" s="399"/>
      <c r="L587" s="399"/>
      <c r="M587" s="286"/>
      <c r="N587" s="286"/>
      <c r="O587" s="286"/>
      <c r="P587" s="286"/>
      <c r="Q587" s="286"/>
      <c r="R587" s="286"/>
      <c r="S587" s="286"/>
      <c r="T587" s="286"/>
      <c r="U587" s="286"/>
      <c r="V587" s="286"/>
      <c r="W587" s="286"/>
    </row>
    <row r="588">
      <c r="A588" s="286"/>
      <c r="B588" s="286"/>
      <c r="C588" s="286"/>
      <c r="D588" s="286"/>
      <c r="E588" s="286"/>
      <c r="F588" s="286"/>
      <c r="G588" s="286"/>
      <c r="H588" s="286"/>
      <c r="I588" s="286"/>
      <c r="J588" s="286"/>
      <c r="K588" s="399"/>
      <c r="L588" s="399"/>
      <c r="M588" s="286"/>
      <c r="N588" s="286"/>
      <c r="O588" s="286"/>
      <c r="P588" s="286"/>
      <c r="Q588" s="286"/>
      <c r="R588" s="286"/>
      <c r="S588" s="286"/>
      <c r="T588" s="286"/>
      <c r="U588" s="286"/>
      <c r="V588" s="286"/>
      <c r="W588" s="286"/>
    </row>
    <row r="589">
      <c r="A589" s="286"/>
      <c r="B589" s="286"/>
      <c r="C589" s="286"/>
      <c r="D589" s="286"/>
      <c r="E589" s="286"/>
      <c r="F589" s="286"/>
      <c r="G589" s="286"/>
      <c r="H589" s="286"/>
      <c r="I589" s="286"/>
      <c r="J589" s="286"/>
      <c r="K589" s="399"/>
      <c r="L589" s="399"/>
      <c r="M589" s="286"/>
      <c r="N589" s="286"/>
      <c r="O589" s="286"/>
      <c r="P589" s="286"/>
      <c r="Q589" s="286"/>
      <c r="R589" s="286"/>
      <c r="S589" s="286"/>
      <c r="T589" s="286"/>
      <c r="U589" s="286"/>
      <c r="V589" s="286"/>
      <c r="W589" s="286"/>
    </row>
    <row r="590">
      <c r="A590" s="286"/>
      <c r="B590" s="286"/>
      <c r="C590" s="286"/>
      <c r="D590" s="286"/>
      <c r="E590" s="286"/>
      <c r="F590" s="286"/>
      <c r="G590" s="286"/>
      <c r="H590" s="286"/>
      <c r="I590" s="286"/>
      <c r="J590" s="286"/>
      <c r="K590" s="399"/>
      <c r="L590" s="399"/>
      <c r="M590" s="286"/>
      <c r="N590" s="286"/>
      <c r="O590" s="286"/>
      <c r="P590" s="286"/>
      <c r="Q590" s="286"/>
      <c r="R590" s="286"/>
      <c r="S590" s="286"/>
      <c r="T590" s="286"/>
      <c r="U590" s="286"/>
      <c r="V590" s="286"/>
      <c r="W590" s="286"/>
    </row>
    <row r="591">
      <c r="A591" s="286"/>
      <c r="B591" s="286"/>
      <c r="C591" s="286"/>
      <c r="D591" s="286"/>
      <c r="E591" s="286"/>
      <c r="F591" s="286"/>
      <c r="G591" s="286"/>
      <c r="H591" s="286"/>
      <c r="I591" s="286"/>
      <c r="J591" s="286"/>
      <c r="K591" s="399"/>
      <c r="L591" s="399"/>
      <c r="M591" s="286"/>
      <c r="N591" s="286"/>
      <c r="O591" s="286"/>
      <c r="P591" s="286"/>
      <c r="Q591" s="286"/>
      <c r="R591" s="286"/>
      <c r="S591" s="286"/>
      <c r="T591" s="286"/>
      <c r="U591" s="286"/>
      <c r="V591" s="286"/>
      <c r="W591" s="286"/>
    </row>
    <row r="592">
      <c r="A592" s="286"/>
      <c r="B592" s="286"/>
      <c r="C592" s="286"/>
      <c r="D592" s="286"/>
      <c r="E592" s="286"/>
      <c r="F592" s="286"/>
      <c r="G592" s="286"/>
      <c r="H592" s="286"/>
      <c r="I592" s="286"/>
      <c r="J592" s="286"/>
      <c r="K592" s="399"/>
      <c r="L592" s="399"/>
      <c r="M592" s="286"/>
      <c r="N592" s="286"/>
      <c r="O592" s="286"/>
      <c r="P592" s="286"/>
      <c r="Q592" s="286"/>
      <c r="R592" s="286"/>
      <c r="S592" s="286"/>
      <c r="T592" s="286"/>
      <c r="U592" s="286"/>
      <c r="V592" s="286"/>
      <c r="W592" s="286"/>
    </row>
    <row r="593">
      <c r="A593" s="286"/>
      <c r="B593" s="286"/>
      <c r="C593" s="286"/>
      <c r="D593" s="286"/>
      <c r="E593" s="286"/>
      <c r="F593" s="286"/>
      <c r="G593" s="286"/>
      <c r="H593" s="286"/>
      <c r="I593" s="286"/>
      <c r="J593" s="286"/>
      <c r="K593" s="399"/>
      <c r="L593" s="399"/>
      <c r="M593" s="286"/>
      <c r="N593" s="286"/>
      <c r="O593" s="286"/>
      <c r="P593" s="286"/>
      <c r="Q593" s="286"/>
      <c r="R593" s="286"/>
      <c r="S593" s="286"/>
      <c r="T593" s="286"/>
      <c r="U593" s="286"/>
      <c r="V593" s="286"/>
      <c r="W593" s="286"/>
    </row>
    <row r="594">
      <c r="A594" s="286"/>
      <c r="B594" s="286"/>
      <c r="C594" s="286"/>
      <c r="D594" s="286"/>
      <c r="E594" s="286"/>
      <c r="F594" s="286"/>
      <c r="G594" s="286"/>
      <c r="H594" s="286"/>
      <c r="I594" s="286"/>
      <c r="J594" s="286"/>
      <c r="K594" s="399"/>
      <c r="L594" s="399"/>
      <c r="M594" s="286"/>
      <c r="N594" s="286"/>
      <c r="O594" s="286"/>
      <c r="P594" s="286"/>
      <c r="Q594" s="286"/>
      <c r="R594" s="286"/>
      <c r="S594" s="286"/>
      <c r="T594" s="286"/>
      <c r="U594" s="286"/>
      <c r="V594" s="286"/>
      <c r="W594" s="286"/>
    </row>
    <row r="595">
      <c r="A595" s="286"/>
      <c r="B595" s="286"/>
      <c r="C595" s="286"/>
      <c r="D595" s="286"/>
      <c r="E595" s="286"/>
      <c r="F595" s="286"/>
      <c r="G595" s="286"/>
      <c r="H595" s="286"/>
      <c r="I595" s="286"/>
      <c r="J595" s="286"/>
      <c r="K595" s="399"/>
      <c r="L595" s="399"/>
      <c r="M595" s="286"/>
      <c r="N595" s="286"/>
      <c r="O595" s="286"/>
      <c r="P595" s="286"/>
      <c r="Q595" s="286"/>
      <c r="R595" s="286"/>
      <c r="S595" s="286"/>
      <c r="T595" s="286"/>
      <c r="U595" s="286"/>
      <c r="V595" s="286"/>
      <c r="W595" s="286"/>
    </row>
    <row r="596">
      <c r="A596" s="286"/>
      <c r="B596" s="286"/>
      <c r="C596" s="286"/>
      <c r="D596" s="286"/>
      <c r="E596" s="286"/>
      <c r="F596" s="286"/>
      <c r="G596" s="286"/>
      <c r="H596" s="286"/>
      <c r="I596" s="286"/>
      <c r="J596" s="286"/>
      <c r="K596" s="399"/>
      <c r="L596" s="399"/>
      <c r="M596" s="286"/>
      <c r="N596" s="286"/>
      <c r="O596" s="286"/>
      <c r="P596" s="286"/>
      <c r="Q596" s="286"/>
      <c r="R596" s="286"/>
      <c r="S596" s="286"/>
      <c r="T596" s="286"/>
      <c r="U596" s="286"/>
      <c r="V596" s="286"/>
      <c r="W596" s="286"/>
    </row>
    <row r="597">
      <c r="A597" s="286"/>
      <c r="B597" s="286"/>
      <c r="C597" s="286"/>
      <c r="D597" s="286"/>
      <c r="E597" s="286"/>
      <c r="F597" s="286"/>
      <c r="G597" s="286"/>
      <c r="H597" s="286"/>
      <c r="I597" s="286"/>
      <c r="J597" s="286"/>
      <c r="K597" s="399"/>
      <c r="L597" s="399"/>
      <c r="M597" s="286"/>
      <c r="N597" s="286"/>
      <c r="O597" s="286"/>
      <c r="P597" s="286"/>
      <c r="Q597" s="286"/>
      <c r="R597" s="286"/>
      <c r="S597" s="286"/>
      <c r="T597" s="286"/>
      <c r="U597" s="286"/>
      <c r="V597" s="286"/>
      <c r="W597" s="286"/>
    </row>
    <row r="598">
      <c r="A598" s="286"/>
      <c r="B598" s="286"/>
      <c r="C598" s="286"/>
      <c r="D598" s="286"/>
      <c r="E598" s="286"/>
      <c r="F598" s="286"/>
      <c r="G598" s="286"/>
      <c r="H598" s="286"/>
      <c r="I598" s="286"/>
      <c r="J598" s="286"/>
      <c r="K598" s="399"/>
      <c r="L598" s="399"/>
      <c r="M598" s="286"/>
      <c r="N598" s="286"/>
      <c r="O598" s="286"/>
      <c r="P598" s="286"/>
      <c r="Q598" s="286"/>
      <c r="R598" s="286"/>
      <c r="S598" s="286"/>
      <c r="T598" s="286"/>
      <c r="U598" s="286"/>
      <c r="V598" s="286"/>
      <c r="W598" s="286"/>
    </row>
    <row r="599">
      <c r="A599" s="286"/>
      <c r="B599" s="286"/>
      <c r="C599" s="286"/>
      <c r="D599" s="286"/>
      <c r="E599" s="286"/>
      <c r="F599" s="286"/>
      <c r="G599" s="286"/>
      <c r="H599" s="286"/>
      <c r="I599" s="286"/>
      <c r="J599" s="286"/>
      <c r="K599" s="399"/>
      <c r="L599" s="399"/>
      <c r="M599" s="286"/>
      <c r="N599" s="286"/>
      <c r="O599" s="286"/>
      <c r="P599" s="286"/>
      <c r="Q599" s="286"/>
      <c r="R599" s="286"/>
      <c r="S599" s="286"/>
      <c r="T599" s="286"/>
      <c r="U599" s="286"/>
      <c r="V599" s="286"/>
      <c r="W599" s="286"/>
    </row>
    <row r="600">
      <c r="A600" s="286"/>
      <c r="B600" s="286"/>
      <c r="C600" s="286"/>
      <c r="D600" s="286"/>
      <c r="E600" s="286"/>
      <c r="F600" s="286"/>
      <c r="G600" s="286"/>
      <c r="H600" s="286"/>
      <c r="I600" s="286"/>
      <c r="J600" s="286"/>
      <c r="K600" s="399"/>
      <c r="L600" s="399"/>
      <c r="M600" s="286"/>
      <c r="N600" s="286"/>
      <c r="O600" s="286"/>
      <c r="P600" s="286"/>
      <c r="Q600" s="286"/>
      <c r="R600" s="286"/>
      <c r="S600" s="286"/>
      <c r="T600" s="286"/>
      <c r="U600" s="286"/>
      <c r="V600" s="286"/>
      <c r="W600" s="286"/>
    </row>
    <row r="601">
      <c r="A601" s="286"/>
      <c r="B601" s="286"/>
      <c r="C601" s="286"/>
      <c r="D601" s="286"/>
      <c r="E601" s="286"/>
      <c r="F601" s="286"/>
      <c r="G601" s="286"/>
      <c r="H601" s="286"/>
      <c r="I601" s="286"/>
      <c r="J601" s="286"/>
      <c r="K601" s="399"/>
      <c r="L601" s="399"/>
      <c r="M601" s="286"/>
      <c r="N601" s="286"/>
      <c r="O601" s="286"/>
      <c r="P601" s="286"/>
      <c r="Q601" s="286"/>
      <c r="R601" s="286"/>
      <c r="S601" s="286"/>
      <c r="T601" s="286"/>
      <c r="U601" s="286"/>
      <c r="V601" s="286"/>
      <c r="W601" s="286"/>
    </row>
    <row r="602">
      <c r="A602" s="286"/>
      <c r="B602" s="286"/>
      <c r="C602" s="286"/>
      <c r="D602" s="286"/>
      <c r="E602" s="286"/>
      <c r="F602" s="286"/>
      <c r="G602" s="286"/>
      <c r="H602" s="286"/>
      <c r="I602" s="286"/>
      <c r="J602" s="286"/>
      <c r="K602" s="399"/>
      <c r="L602" s="399"/>
      <c r="M602" s="286"/>
      <c r="N602" s="286"/>
      <c r="O602" s="286"/>
      <c r="P602" s="286"/>
      <c r="Q602" s="286"/>
      <c r="R602" s="286"/>
      <c r="S602" s="286"/>
      <c r="T602" s="286"/>
      <c r="U602" s="286"/>
      <c r="V602" s="286"/>
      <c r="W602" s="286"/>
    </row>
    <row r="603">
      <c r="A603" s="286"/>
      <c r="B603" s="286"/>
      <c r="C603" s="286"/>
      <c r="D603" s="286"/>
      <c r="E603" s="286"/>
      <c r="F603" s="286"/>
      <c r="G603" s="286"/>
      <c r="H603" s="286"/>
      <c r="I603" s="286"/>
      <c r="J603" s="286"/>
      <c r="K603" s="399"/>
      <c r="L603" s="399"/>
      <c r="M603" s="286"/>
      <c r="N603" s="286"/>
      <c r="O603" s="286"/>
      <c r="P603" s="286"/>
      <c r="Q603" s="286"/>
      <c r="R603" s="286"/>
      <c r="S603" s="286"/>
      <c r="T603" s="286"/>
      <c r="U603" s="286"/>
      <c r="V603" s="286"/>
      <c r="W603" s="286"/>
    </row>
    <row r="604">
      <c r="A604" s="286"/>
      <c r="B604" s="286"/>
      <c r="C604" s="286"/>
      <c r="D604" s="286"/>
      <c r="E604" s="286"/>
      <c r="F604" s="286"/>
      <c r="G604" s="286"/>
      <c r="H604" s="286"/>
      <c r="I604" s="286"/>
      <c r="J604" s="286"/>
      <c r="K604" s="399"/>
      <c r="L604" s="399"/>
      <c r="M604" s="286"/>
      <c r="N604" s="286"/>
      <c r="O604" s="286"/>
      <c r="P604" s="286"/>
      <c r="Q604" s="286"/>
      <c r="R604" s="286"/>
      <c r="S604" s="286"/>
      <c r="T604" s="286"/>
      <c r="U604" s="286"/>
      <c r="V604" s="286"/>
      <c r="W604" s="286"/>
    </row>
    <row r="605">
      <c r="A605" s="286"/>
      <c r="B605" s="286"/>
      <c r="C605" s="286"/>
      <c r="D605" s="286"/>
      <c r="E605" s="286"/>
      <c r="F605" s="286"/>
      <c r="G605" s="286"/>
      <c r="H605" s="286"/>
      <c r="I605" s="286"/>
      <c r="J605" s="286"/>
      <c r="K605" s="399"/>
      <c r="L605" s="399"/>
      <c r="M605" s="286"/>
      <c r="N605" s="286"/>
      <c r="O605" s="286"/>
      <c r="P605" s="286"/>
      <c r="Q605" s="286"/>
      <c r="R605" s="286"/>
      <c r="S605" s="286"/>
      <c r="T605" s="286"/>
      <c r="U605" s="286"/>
      <c r="V605" s="286"/>
      <c r="W605" s="286"/>
    </row>
    <row r="606">
      <c r="A606" s="286"/>
      <c r="B606" s="286"/>
      <c r="C606" s="286"/>
      <c r="D606" s="286"/>
      <c r="E606" s="286"/>
      <c r="F606" s="286"/>
      <c r="G606" s="286"/>
      <c r="H606" s="286"/>
      <c r="I606" s="286"/>
      <c r="J606" s="286"/>
      <c r="K606" s="399"/>
      <c r="L606" s="399"/>
      <c r="M606" s="286"/>
      <c r="N606" s="286"/>
      <c r="O606" s="286"/>
      <c r="P606" s="286"/>
      <c r="Q606" s="286"/>
      <c r="R606" s="286"/>
      <c r="S606" s="286"/>
      <c r="T606" s="286"/>
      <c r="U606" s="286"/>
      <c r="V606" s="286"/>
      <c r="W606" s="286"/>
    </row>
    <row r="607">
      <c r="A607" s="286"/>
      <c r="B607" s="286"/>
      <c r="C607" s="286"/>
      <c r="D607" s="286"/>
      <c r="E607" s="286"/>
      <c r="F607" s="286"/>
      <c r="G607" s="286"/>
      <c r="H607" s="286"/>
      <c r="I607" s="286"/>
      <c r="J607" s="286"/>
      <c r="K607" s="399"/>
      <c r="L607" s="399"/>
      <c r="M607" s="286"/>
      <c r="N607" s="286"/>
      <c r="O607" s="286"/>
      <c r="P607" s="286"/>
      <c r="Q607" s="286"/>
      <c r="R607" s="286"/>
      <c r="S607" s="286"/>
      <c r="T607" s="286"/>
      <c r="U607" s="286"/>
      <c r="V607" s="286"/>
      <c r="W607" s="286"/>
    </row>
    <row r="608">
      <c r="A608" s="286"/>
      <c r="B608" s="286"/>
      <c r="C608" s="286"/>
      <c r="D608" s="286"/>
      <c r="E608" s="286"/>
      <c r="F608" s="286"/>
      <c r="G608" s="286"/>
      <c r="H608" s="286"/>
      <c r="I608" s="286"/>
      <c r="J608" s="286"/>
      <c r="K608" s="399"/>
      <c r="L608" s="399"/>
      <c r="M608" s="286"/>
      <c r="N608" s="286"/>
      <c r="O608" s="286"/>
      <c r="P608" s="286"/>
      <c r="Q608" s="286"/>
      <c r="R608" s="286"/>
      <c r="S608" s="286"/>
      <c r="T608" s="286"/>
      <c r="U608" s="286"/>
      <c r="V608" s="286"/>
      <c r="W608" s="286"/>
    </row>
    <row r="609">
      <c r="A609" s="286"/>
      <c r="B609" s="286"/>
      <c r="C609" s="286"/>
      <c r="D609" s="286"/>
      <c r="E609" s="286"/>
      <c r="F609" s="286"/>
      <c r="G609" s="286"/>
      <c r="H609" s="286"/>
      <c r="I609" s="286"/>
      <c r="J609" s="286"/>
      <c r="K609" s="399"/>
      <c r="L609" s="399"/>
      <c r="M609" s="286"/>
      <c r="N609" s="286"/>
      <c r="O609" s="286"/>
      <c r="P609" s="286"/>
      <c r="Q609" s="286"/>
      <c r="R609" s="286"/>
      <c r="S609" s="286"/>
      <c r="T609" s="286"/>
      <c r="U609" s="286"/>
      <c r="V609" s="286"/>
      <c r="W609" s="286"/>
    </row>
    <row r="610">
      <c r="A610" s="286"/>
      <c r="B610" s="286"/>
      <c r="C610" s="286"/>
      <c r="D610" s="286"/>
      <c r="E610" s="286"/>
      <c r="F610" s="286"/>
      <c r="G610" s="286"/>
      <c r="H610" s="286"/>
      <c r="I610" s="286"/>
      <c r="J610" s="286"/>
      <c r="K610" s="399"/>
      <c r="L610" s="399"/>
      <c r="M610" s="286"/>
      <c r="N610" s="286"/>
      <c r="O610" s="286"/>
      <c r="P610" s="286"/>
      <c r="Q610" s="286"/>
      <c r="R610" s="286"/>
      <c r="S610" s="286"/>
      <c r="T610" s="286"/>
      <c r="U610" s="286"/>
      <c r="V610" s="286"/>
      <c r="W610" s="286"/>
    </row>
    <row r="611">
      <c r="A611" s="286"/>
      <c r="B611" s="286"/>
      <c r="C611" s="286"/>
      <c r="D611" s="286"/>
      <c r="E611" s="286"/>
      <c r="F611" s="286"/>
      <c r="G611" s="286"/>
      <c r="H611" s="286"/>
      <c r="I611" s="286"/>
      <c r="J611" s="286"/>
      <c r="K611" s="399"/>
      <c r="L611" s="399"/>
      <c r="M611" s="286"/>
      <c r="N611" s="286"/>
      <c r="O611" s="286"/>
      <c r="P611" s="286"/>
      <c r="Q611" s="286"/>
      <c r="R611" s="286"/>
      <c r="S611" s="286"/>
      <c r="T611" s="286"/>
      <c r="U611" s="286"/>
      <c r="V611" s="286"/>
      <c r="W611" s="286"/>
    </row>
    <row r="612">
      <c r="A612" s="286"/>
      <c r="B612" s="286"/>
      <c r="C612" s="286"/>
      <c r="D612" s="286"/>
      <c r="E612" s="286"/>
      <c r="F612" s="286"/>
      <c r="G612" s="286"/>
      <c r="H612" s="286"/>
      <c r="I612" s="286"/>
      <c r="J612" s="286"/>
      <c r="K612" s="399"/>
      <c r="L612" s="399"/>
      <c r="M612" s="286"/>
      <c r="N612" s="286"/>
      <c r="O612" s="286"/>
      <c r="P612" s="286"/>
      <c r="Q612" s="286"/>
      <c r="R612" s="286"/>
      <c r="S612" s="286"/>
      <c r="T612" s="286"/>
      <c r="U612" s="286"/>
      <c r="V612" s="286"/>
      <c r="W612" s="286"/>
    </row>
    <row r="613">
      <c r="A613" s="286"/>
      <c r="B613" s="286"/>
      <c r="C613" s="286"/>
      <c r="D613" s="286"/>
      <c r="E613" s="286"/>
      <c r="F613" s="286"/>
      <c r="G613" s="286"/>
      <c r="H613" s="286"/>
      <c r="I613" s="286"/>
      <c r="J613" s="286"/>
      <c r="K613" s="399"/>
      <c r="L613" s="399"/>
      <c r="M613" s="286"/>
      <c r="N613" s="286"/>
      <c r="O613" s="286"/>
      <c r="P613" s="286"/>
      <c r="Q613" s="286"/>
      <c r="R613" s="286"/>
      <c r="S613" s="286"/>
      <c r="T613" s="286"/>
      <c r="U613" s="286"/>
      <c r="V613" s="286"/>
      <c r="W613" s="286"/>
    </row>
    <row r="614">
      <c r="A614" s="286"/>
      <c r="B614" s="286"/>
      <c r="C614" s="286"/>
      <c r="D614" s="286"/>
      <c r="E614" s="286"/>
      <c r="F614" s="286"/>
      <c r="G614" s="286"/>
      <c r="H614" s="286"/>
      <c r="I614" s="286"/>
      <c r="J614" s="286"/>
      <c r="K614" s="399"/>
      <c r="L614" s="399"/>
      <c r="M614" s="286"/>
      <c r="N614" s="286"/>
      <c r="O614" s="286"/>
      <c r="P614" s="286"/>
      <c r="Q614" s="286"/>
      <c r="R614" s="286"/>
      <c r="S614" s="286"/>
      <c r="T614" s="286"/>
      <c r="U614" s="286"/>
      <c r="V614" s="286"/>
      <c r="W614" s="286"/>
    </row>
    <row r="615">
      <c r="A615" s="286"/>
      <c r="B615" s="286"/>
      <c r="C615" s="286"/>
      <c r="D615" s="286"/>
      <c r="E615" s="286"/>
      <c r="F615" s="286"/>
      <c r="G615" s="286"/>
      <c r="H615" s="286"/>
      <c r="I615" s="286"/>
      <c r="J615" s="286"/>
      <c r="K615" s="399"/>
      <c r="L615" s="399"/>
      <c r="M615" s="286"/>
      <c r="N615" s="286"/>
      <c r="O615" s="286"/>
      <c r="P615" s="286"/>
      <c r="Q615" s="286"/>
      <c r="R615" s="286"/>
      <c r="S615" s="286"/>
      <c r="T615" s="286"/>
      <c r="U615" s="286"/>
      <c r="V615" s="286"/>
      <c r="W615" s="286"/>
    </row>
    <row r="616">
      <c r="A616" s="286"/>
      <c r="B616" s="286"/>
      <c r="C616" s="286"/>
      <c r="D616" s="286"/>
      <c r="E616" s="286"/>
      <c r="F616" s="286"/>
      <c r="G616" s="286"/>
      <c r="H616" s="286"/>
      <c r="I616" s="286"/>
      <c r="J616" s="286"/>
      <c r="K616" s="399"/>
      <c r="L616" s="399"/>
      <c r="M616" s="286"/>
      <c r="N616" s="286"/>
      <c r="O616" s="286"/>
      <c r="P616" s="286"/>
      <c r="Q616" s="286"/>
      <c r="R616" s="286"/>
      <c r="S616" s="286"/>
      <c r="T616" s="286"/>
      <c r="U616" s="286"/>
      <c r="V616" s="286"/>
      <c r="W616" s="286"/>
    </row>
    <row r="617">
      <c r="A617" s="286"/>
      <c r="B617" s="286"/>
      <c r="C617" s="286"/>
      <c r="D617" s="286"/>
      <c r="E617" s="286"/>
      <c r="F617" s="286"/>
      <c r="G617" s="286"/>
      <c r="H617" s="286"/>
      <c r="I617" s="286"/>
      <c r="J617" s="286"/>
      <c r="K617" s="399"/>
      <c r="L617" s="399"/>
      <c r="M617" s="286"/>
      <c r="N617" s="286"/>
      <c r="O617" s="286"/>
      <c r="P617" s="286"/>
      <c r="Q617" s="286"/>
      <c r="R617" s="286"/>
      <c r="S617" s="286"/>
      <c r="T617" s="286"/>
      <c r="U617" s="286"/>
      <c r="V617" s="286"/>
      <c r="W617" s="286"/>
    </row>
    <row r="618">
      <c r="A618" s="286"/>
      <c r="B618" s="286"/>
      <c r="C618" s="286"/>
      <c r="D618" s="286"/>
      <c r="E618" s="286"/>
      <c r="F618" s="286"/>
      <c r="G618" s="286"/>
      <c r="H618" s="286"/>
      <c r="I618" s="286"/>
      <c r="J618" s="286"/>
      <c r="K618" s="399"/>
      <c r="L618" s="399"/>
      <c r="M618" s="286"/>
      <c r="N618" s="286"/>
      <c r="O618" s="286"/>
      <c r="P618" s="286"/>
      <c r="Q618" s="286"/>
      <c r="R618" s="286"/>
      <c r="S618" s="286"/>
      <c r="T618" s="286"/>
      <c r="U618" s="286"/>
      <c r="V618" s="286"/>
      <c r="W618" s="286"/>
    </row>
    <row r="619">
      <c r="A619" s="286"/>
      <c r="B619" s="286"/>
      <c r="C619" s="286"/>
      <c r="D619" s="286"/>
      <c r="E619" s="286"/>
      <c r="F619" s="286"/>
      <c r="G619" s="286"/>
      <c r="H619" s="286"/>
      <c r="I619" s="286"/>
      <c r="J619" s="286"/>
      <c r="K619" s="399"/>
      <c r="L619" s="399"/>
      <c r="M619" s="286"/>
      <c r="N619" s="286"/>
      <c r="O619" s="286"/>
      <c r="P619" s="286"/>
      <c r="Q619" s="286"/>
      <c r="R619" s="286"/>
      <c r="S619" s="286"/>
      <c r="T619" s="286"/>
      <c r="U619" s="286"/>
      <c r="V619" s="286"/>
      <c r="W619" s="286"/>
    </row>
    <row r="620">
      <c r="A620" s="286"/>
      <c r="B620" s="286"/>
      <c r="C620" s="286"/>
      <c r="D620" s="286"/>
      <c r="E620" s="286"/>
      <c r="F620" s="286"/>
      <c r="G620" s="286"/>
      <c r="H620" s="286"/>
      <c r="I620" s="286"/>
      <c r="J620" s="286"/>
      <c r="K620" s="399"/>
      <c r="L620" s="399"/>
      <c r="M620" s="286"/>
      <c r="N620" s="286"/>
      <c r="O620" s="286"/>
      <c r="P620" s="286"/>
      <c r="Q620" s="286"/>
      <c r="R620" s="286"/>
      <c r="S620" s="286"/>
      <c r="T620" s="286"/>
      <c r="U620" s="286"/>
      <c r="V620" s="286"/>
      <c r="W620" s="286"/>
    </row>
    <row r="621">
      <c r="A621" s="286"/>
      <c r="B621" s="286"/>
      <c r="C621" s="286"/>
      <c r="D621" s="286"/>
      <c r="E621" s="286"/>
      <c r="F621" s="286"/>
      <c r="G621" s="286"/>
      <c r="H621" s="286"/>
      <c r="I621" s="286"/>
      <c r="J621" s="286"/>
      <c r="K621" s="399"/>
      <c r="L621" s="399"/>
      <c r="M621" s="286"/>
      <c r="N621" s="286"/>
      <c r="O621" s="286"/>
      <c r="P621" s="286"/>
      <c r="Q621" s="286"/>
      <c r="R621" s="286"/>
      <c r="S621" s="286"/>
      <c r="T621" s="286"/>
      <c r="U621" s="286"/>
      <c r="V621" s="286"/>
      <c r="W621" s="286"/>
    </row>
    <row r="622">
      <c r="A622" s="286"/>
      <c r="B622" s="286"/>
      <c r="C622" s="286"/>
      <c r="D622" s="286"/>
      <c r="E622" s="286"/>
      <c r="F622" s="286"/>
      <c r="G622" s="286"/>
      <c r="H622" s="286"/>
      <c r="I622" s="286"/>
      <c r="J622" s="286"/>
      <c r="K622" s="399"/>
      <c r="L622" s="399"/>
      <c r="M622" s="286"/>
      <c r="N622" s="286"/>
      <c r="O622" s="286"/>
      <c r="P622" s="286"/>
      <c r="Q622" s="286"/>
      <c r="R622" s="286"/>
      <c r="S622" s="286"/>
      <c r="T622" s="286"/>
      <c r="U622" s="286"/>
      <c r="V622" s="286"/>
      <c r="W622" s="286"/>
    </row>
    <row r="623">
      <c r="A623" s="286"/>
      <c r="B623" s="286"/>
      <c r="C623" s="286"/>
      <c r="D623" s="286"/>
      <c r="E623" s="286"/>
      <c r="F623" s="286"/>
      <c r="G623" s="286"/>
      <c r="H623" s="286"/>
      <c r="I623" s="286"/>
      <c r="J623" s="286"/>
      <c r="K623" s="399"/>
      <c r="L623" s="399"/>
      <c r="M623" s="286"/>
      <c r="N623" s="286"/>
      <c r="O623" s="286"/>
      <c r="P623" s="286"/>
      <c r="Q623" s="286"/>
      <c r="R623" s="286"/>
      <c r="S623" s="286"/>
      <c r="T623" s="286"/>
      <c r="U623" s="286"/>
      <c r="V623" s="286"/>
      <c r="W623" s="286"/>
    </row>
    <row r="624">
      <c r="A624" s="286"/>
      <c r="B624" s="286"/>
      <c r="C624" s="286"/>
      <c r="D624" s="286"/>
      <c r="E624" s="286"/>
      <c r="F624" s="286"/>
      <c r="G624" s="286"/>
      <c r="H624" s="286"/>
      <c r="I624" s="286"/>
      <c r="J624" s="286"/>
      <c r="K624" s="399"/>
      <c r="L624" s="399"/>
      <c r="M624" s="286"/>
      <c r="N624" s="286"/>
      <c r="O624" s="286"/>
      <c r="P624" s="286"/>
      <c r="Q624" s="286"/>
      <c r="R624" s="286"/>
      <c r="S624" s="286"/>
      <c r="T624" s="286"/>
      <c r="U624" s="286"/>
      <c r="V624" s="286"/>
      <c r="W624" s="286"/>
    </row>
    <row r="625">
      <c r="A625" s="286"/>
      <c r="B625" s="286"/>
      <c r="C625" s="286"/>
      <c r="D625" s="286"/>
      <c r="E625" s="286"/>
      <c r="F625" s="286"/>
      <c r="G625" s="286"/>
      <c r="H625" s="286"/>
      <c r="I625" s="286"/>
      <c r="J625" s="286"/>
      <c r="K625" s="399"/>
      <c r="L625" s="399"/>
      <c r="M625" s="286"/>
      <c r="N625" s="286"/>
      <c r="O625" s="286"/>
      <c r="P625" s="286"/>
      <c r="Q625" s="286"/>
      <c r="R625" s="286"/>
      <c r="S625" s="286"/>
      <c r="T625" s="286"/>
      <c r="U625" s="286"/>
      <c r="V625" s="286"/>
      <c r="W625" s="286"/>
    </row>
    <row r="626">
      <c r="A626" s="286"/>
      <c r="B626" s="286"/>
      <c r="C626" s="286"/>
      <c r="D626" s="286"/>
      <c r="E626" s="286"/>
      <c r="F626" s="286"/>
      <c r="G626" s="286"/>
      <c r="H626" s="286"/>
      <c r="I626" s="286"/>
      <c r="J626" s="286"/>
      <c r="K626" s="399"/>
      <c r="L626" s="399"/>
      <c r="M626" s="286"/>
      <c r="N626" s="286"/>
      <c r="O626" s="286"/>
      <c r="P626" s="286"/>
      <c r="Q626" s="286"/>
      <c r="R626" s="286"/>
      <c r="S626" s="286"/>
      <c r="T626" s="286"/>
      <c r="U626" s="286"/>
      <c r="V626" s="286"/>
      <c r="W626" s="286"/>
    </row>
    <row r="627">
      <c r="A627" s="286"/>
      <c r="B627" s="286"/>
      <c r="C627" s="286"/>
      <c r="D627" s="286"/>
      <c r="E627" s="286"/>
      <c r="F627" s="286"/>
      <c r="G627" s="286"/>
      <c r="H627" s="286"/>
      <c r="I627" s="286"/>
      <c r="J627" s="286"/>
      <c r="K627" s="399"/>
      <c r="L627" s="399"/>
      <c r="M627" s="286"/>
      <c r="N627" s="286"/>
      <c r="O627" s="286"/>
      <c r="P627" s="286"/>
      <c r="Q627" s="286"/>
      <c r="R627" s="286"/>
      <c r="S627" s="286"/>
      <c r="T627" s="286"/>
      <c r="U627" s="286"/>
      <c r="V627" s="286"/>
      <c r="W627" s="286"/>
    </row>
    <row r="628">
      <c r="A628" s="286"/>
      <c r="B628" s="286"/>
      <c r="C628" s="286"/>
      <c r="D628" s="286"/>
      <c r="E628" s="286"/>
      <c r="F628" s="286"/>
      <c r="G628" s="286"/>
      <c r="H628" s="286"/>
      <c r="I628" s="286"/>
      <c r="J628" s="286"/>
      <c r="K628" s="399"/>
      <c r="L628" s="399"/>
      <c r="M628" s="286"/>
      <c r="N628" s="286"/>
      <c r="O628" s="286"/>
      <c r="P628" s="286"/>
      <c r="Q628" s="286"/>
      <c r="R628" s="286"/>
      <c r="S628" s="286"/>
      <c r="T628" s="286"/>
      <c r="U628" s="286"/>
      <c r="V628" s="286"/>
      <c r="W628" s="286"/>
    </row>
    <row r="629">
      <c r="A629" s="286"/>
      <c r="B629" s="286"/>
      <c r="C629" s="286"/>
      <c r="D629" s="286"/>
      <c r="E629" s="286"/>
      <c r="F629" s="286"/>
      <c r="G629" s="286"/>
      <c r="H629" s="286"/>
      <c r="I629" s="286"/>
      <c r="J629" s="286"/>
      <c r="K629" s="399"/>
      <c r="L629" s="399"/>
      <c r="M629" s="286"/>
      <c r="N629" s="286"/>
      <c r="O629" s="286"/>
      <c r="P629" s="286"/>
      <c r="Q629" s="286"/>
      <c r="R629" s="286"/>
      <c r="S629" s="286"/>
      <c r="T629" s="286"/>
      <c r="U629" s="286"/>
      <c r="V629" s="286"/>
      <c r="W629" s="286"/>
    </row>
    <row r="630">
      <c r="A630" s="286"/>
      <c r="B630" s="286"/>
      <c r="C630" s="286"/>
      <c r="D630" s="286"/>
      <c r="E630" s="286"/>
      <c r="F630" s="286"/>
      <c r="G630" s="286"/>
      <c r="H630" s="286"/>
      <c r="I630" s="286"/>
      <c r="J630" s="286"/>
      <c r="K630" s="399"/>
      <c r="L630" s="399"/>
      <c r="M630" s="286"/>
      <c r="N630" s="286"/>
      <c r="O630" s="286"/>
      <c r="P630" s="286"/>
      <c r="Q630" s="286"/>
      <c r="R630" s="286"/>
      <c r="S630" s="286"/>
      <c r="T630" s="286"/>
      <c r="U630" s="286"/>
      <c r="V630" s="286"/>
      <c r="W630" s="286"/>
    </row>
    <row r="631">
      <c r="A631" s="286"/>
      <c r="B631" s="286"/>
      <c r="C631" s="286"/>
      <c r="D631" s="286"/>
      <c r="E631" s="286"/>
      <c r="F631" s="286"/>
      <c r="G631" s="286"/>
      <c r="H631" s="286"/>
      <c r="I631" s="286"/>
      <c r="J631" s="286"/>
      <c r="K631" s="399"/>
      <c r="L631" s="399"/>
      <c r="M631" s="286"/>
      <c r="N631" s="286"/>
      <c r="O631" s="286"/>
      <c r="P631" s="286"/>
      <c r="Q631" s="286"/>
      <c r="R631" s="286"/>
      <c r="S631" s="286"/>
      <c r="T631" s="286"/>
      <c r="U631" s="286"/>
      <c r="V631" s="286"/>
      <c r="W631" s="286"/>
    </row>
    <row r="632">
      <c r="A632" s="286"/>
      <c r="B632" s="286"/>
      <c r="C632" s="286"/>
      <c r="D632" s="286"/>
      <c r="E632" s="286"/>
      <c r="F632" s="286"/>
      <c r="G632" s="286"/>
      <c r="H632" s="286"/>
      <c r="I632" s="286"/>
      <c r="J632" s="286"/>
      <c r="K632" s="399"/>
      <c r="L632" s="399"/>
      <c r="M632" s="286"/>
      <c r="N632" s="286"/>
      <c r="O632" s="286"/>
      <c r="P632" s="286"/>
      <c r="Q632" s="286"/>
      <c r="R632" s="286"/>
      <c r="S632" s="286"/>
      <c r="T632" s="286"/>
      <c r="U632" s="286"/>
      <c r="V632" s="286"/>
      <c r="W632" s="286"/>
    </row>
    <row r="633">
      <c r="A633" s="286"/>
      <c r="B633" s="286"/>
      <c r="C633" s="286"/>
      <c r="D633" s="286"/>
      <c r="E633" s="286"/>
      <c r="F633" s="286"/>
      <c r="G633" s="286"/>
      <c r="H633" s="286"/>
      <c r="I633" s="286"/>
      <c r="J633" s="286"/>
      <c r="K633" s="399"/>
      <c r="L633" s="399"/>
      <c r="M633" s="286"/>
      <c r="N633" s="286"/>
      <c r="O633" s="286"/>
      <c r="P633" s="286"/>
      <c r="Q633" s="286"/>
      <c r="R633" s="286"/>
      <c r="S633" s="286"/>
      <c r="T633" s="286"/>
      <c r="U633" s="286"/>
      <c r="V633" s="286"/>
      <c r="W633" s="286"/>
    </row>
    <row r="634">
      <c r="A634" s="286"/>
      <c r="B634" s="286"/>
      <c r="C634" s="286"/>
      <c r="D634" s="286"/>
      <c r="E634" s="286"/>
      <c r="F634" s="286"/>
      <c r="G634" s="286"/>
      <c r="H634" s="286"/>
      <c r="I634" s="286"/>
      <c r="J634" s="286"/>
      <c r="K634" s="399"/>
      <c r="L634" s="399"/>
      <c r="M634" s="286"/>
      <c r="N634" s="286"/>
      <c r="O634" s="286"/>
      <c r="P634" s="286"/>
      <c r="Q634" s="286"/>
      <c r="R634" s="286"/>
      <c r="S634" s="286"/>
      <c r="T634" s="286"/>
      <c r="U634" s="286"/>
      <c r="V634" s="286"/>
      <c r="W634" s="286"/>
    </row>
    <row r="635">
      <c r="A635" s="286"/>
      <c r="B635" s="286"/>
      <c r="C635" s="286"/>
      <c r="D635" s="286"/>
      <c r="E635" s="286"/>
      <c r="F635" s="286"/>
      <c r="G635" s="286"/>
      <c r="H635" s="286"/>
      <c r="I635" s="286"/>
      <c r="J635" s="286"/>
      <c r="K635" s="399"/>
      <c r="L635" s="399"/>
      <c r="M635" s="286"/>
      <c r="N635" s="286"/>
      <c r="O635" s="286"/>
      <c r="P635" s="286"/>
      <c r="Q635" s="286"/>
      <c r="R635" s="286"/>
      <c r="S635" s="286"/>
      <c r="T635" s="286"/>
      <c r="U635" s="286"/>
      <c r="V635" s="286"/>
      <c r="W635" s="286"/>
    </row>
    <row r="636">
      <c r="A636" s="286"/>
      <c r="B636" s="286"/>
      <c r="C636" s="286"/>
      <c r="D636" s="286"/>
      <c r="E636" s="286"/>
      <c r="F636" s="286"/>
      <c r="G636" s="286"/>
      <c r="H636" s="286"/>
      <c r="I636" s="286"/>
      <c r="J636" s="286"/>
      <c r="K636" s="399"/>
      <c r="L636" s="399"/>
      <c r="M636" s="286"/>
      <c r="N636" s="286"/>
      <c r="O636" s="286"/>
      <c r="P636" s="286"/>
      <c r="Q636" s="286"/>
      <c r="R636" s="286"/>
      <c r="S636" s="286"/>
      <c r="T636" s="286"/>
      <c r="U636" s="286"/>
      <c r="V636" s="286"/>
      <c r="W636" s="286"/>
    </row>
    <row r="637">
      <c r="A637" s="286"/>
      <c r="B637" s="286"/>
      <c r="C637" s="286"/>
      <c r="D637" s="286"/>
      <c r="E637" s="286"/>
      <c r="F637" s="286"/>
      <c r="G637" s="286"/>
      <c r="H637" s="286"/>
      <c r="I637" s="286"/>
      <c r="J637" s="286"/>
      <c r="K637" s="399"/>
      <c r="L637" s="399"/>
      <c r="M637" s="286"/>
      <c r="N637" s="286"/>
      <c r="O637" s="286"/>
      <c r="P637" s="286"/>
      <c r="Q637" s="286"/>
      <c r="R637" s="286"/>
      <c r="S637" s="286"/>
      <c r="T637" s="286"/>
      <c r="U637" s="286"/>
      <c r="V637" s="286"/>
      <c r="W637" s="286"/>
    </row>
    <row r="638">
      <c r="A638" s="286"/>
      <c r="B638" s="286"/>
      <c r="C638" s="286"/>
      <c r="D638" s="286"/>
      <c r="E638" s="286"/>
      <c r="F638" s="286"/>
      <c r="G638" s="286"/>
      <c r="H638" s="286"/>
      <c r="I638" s="286"/>
      <c r="J638" s="286"/>
      <c r="K638" s="399"/>
      <c r="L638" s="399"/>
      <c r="M638" s="286"/>
      <c r="N638" s="286"/>
      <c r="O638" s="286"/>
      <c r="P638" s="286"/>
      <c r="Q638" s="286"/>
      <c r="R638" s="286"/>
      <c r="S638" s="286"/>
      <c r="T638" s="286"/>
      <c r="U638" s="286"/>
      <c r="V638" s="286"/>
      <c r="W638" s="286"/>
    </row>
    <row r="639">
      <c r="A639" s="286"/>
      <c r="B639" s="286"/>
      <c r="C639" s="286"/>
      <c r="D639" s="286"/>
      <c r="E639" s="286"/>
      <c r="F639" s="286"/>
      <c r="G639" s="286"/>
      <c r="H639" s="286"/>
      <c r="I639" s="286"/>
      <c r="J639" s="286"/>
      <c r="K639" s="399"/>
      <c r="L639" s="399"/>
      <c r="M639" s="286"/>
      <c r="N639" s="286"/>
      <c r="O639" s="286"/>
      <c r="P639" s="286"/>
      <c r="Q639" s="286"/>
      <c r="R639" s="286"/>
      <c r="S639" s="286"/>
      <c r="T639" s="286"/>
      <c r="U639" s="286"/>
      <c r="V639" s="286"/>
      <c r="W639" s="286"/>
    </row>
    <row r="640">
      <c r="A640" s="286"/>
      <c r="B640" s="286"/>
      <c r="C640" s="286"/>
      <c r="D640" s="286"/>
      <c r="E640" s="286"/>
      <c r="F640" s="286"/>
      <c r="G640" s="286"/>
      <c r="H640" s="286"/>
      <c r="I640" s="286"/>
      <c r="J640" s="286"/>
      <c r="K640" s="399"/>
      <c r="L640" s="399"/>
      <c r="M640" s="286"/>
      <c r="N640" s="286"/>
      <c r="O640" s="286"/>
      <c r="P640" s="286"/>
      <c r="Q640" s="286"/>
      <c r="R640" s="286"/>
      <c r="S640" s="286"/>
      <c r="T640" s="286"/>
      <c r="U640" s="286"/>
      <c r="V640" s="286"/>
      <c r="W640" s="286"/>
    </row>
    <row r="641">
      <c r="A641" s="286"/>
      <c r="B641" s="286"/>
      <c r="C641" s="286"/>
      <c r="D641" s="286"/>
      <c r="E641" s="286"/>
      <c r="F641" s="286"/>
      <c r="G641" s="286"/>
      <c r="H641" s="286"/>
      <c r="I641" s="286"/>
      <c r="J641" s="286"/>
      <c r="K641" s="399"/>
      <c r="L641" s="399"/>
      <c r="M641" s="286"/>
      <c r="N641" s="286"/>
      <c r="O641" s="286"/>
      <c r="P641" s="286"/>
      <c r="Q641" s="286"/>
      <c r="R641" s="286"/>
      <c r="S641" s="286"/>
      <c r="T641" s="286"/>
      <c r="U641" s="286"/>
      <c r="V641" s="286"/>
      <c r="W641" s="286"/>
    </row>
    <row r="642">
      <c r="A642" s="286"/>
      <c r="B642" s="286"/>
      <c r="C642" s="286"/>
      <c r="D642" s="286"/>
      <c r="E642" s="286"/>
      <c r="F642" s="286"/>
      <c r="G642" s="286"/>
      <c r="H642" s="286"/>
      <c r="I642" s="286"/>
      <c r="J642" s="286"/>
      <c r="K642" s="399"/>
      <c r="L642" s="399"/>
      <c r="M642" s="286"/>
      <c r="N642" s="286"/>
      <c r="O642" s="286"/>
      <c r="P642" s="286"/>
      <c r="Q642" s="286"/>
      <c r="R642" s="286"/>
      <c r="S642" s="286"/>
      <c r="T642" s="286"/>
      <c r="U642" s="286"/>
      <c r="V642" s="286"/>
      <c r="W642" s="286"/>
    </row>
    <row r="643">
      <c r="A643" s="286"/>
      <c r="B643" s="286"/>
      <c r="C643" s="286"/>
      <c r="D643" s="286"/>
      <c r="E643" s="286"/>
      <c r="F643" s="286"/>
      <c r="G643" s="286"/>
      <c r="H643" s="286"/>
      <c r="I643" s="286"/>
      <c r="J643" s="286"/>
      <c r="K643" s="399"/>
      <c r="L643" s="399"/>
      <c r="M643" s="286"/>
      <c r="N643" s="286"/>
      <c r="O643" s="286"/>
      <c r="P643" s="286"/>
      <c r="Q643" s="286"/>
      <c r="R643" s="286"/>
      <c r="S643" s="286"/>
      <c r="T643" s="286"/>
      <c r="U643" s="286"/>
      <c r="V643" s="286"/>
      <c r="W643" s="286"/>
    </row>
    <row r="644">
      <c r="A644" s="286"/>
      <c r="B644" s="286"/>
      <c r="C644" s="286"/>
      <c r="D644" s="286"/>
      <c r="E644" s="286"/>
      <c r="F644" s="286"/>
      <c r="G644" s="286"/>
      <c r="H644" s="286"/>
      <c r="I644" s="286"/>
      <c r="J644" s="286"/>
      <c r="K644" s="399"/>
      <c r="L644" s="399"/>
      <c r="M644" s="286"/>
      <c r="N644" s="286"/>
      <c r="O644" s="286"/>
      <c r="P644" s="286"/>
      <c r="Q644" s="286"/>
      <c r="R644" s="286"/>
      <c r="S644" s="286"/>
      <c r="T644" s="286"/>
      <c r="U644" s="286"/>
      <c r="V644" s="286"/>
      <c r="W644" s="286"/>
    </row>
    <row r="645">
      <c r="A645" s="286"/>
      <c r="B645" s="286"/>
      <c r="C645" s="286"/>
      <c r="D645" s="286"/>
      <c r="E645" s="286"/>
      <c r="F645" s="286"/>
      <c r="G645" s="286"/>
      <c r="H645" s="286"/>
      <c r="I645" s="286"/>
      <c r="J645" s="286"/>
      <c r="K645" s="399"/>
      <c r="L645" s="399"/>
      <c r="M645" s="286"/>
      <c r="N645" s="286"/>
      <c r="O645" s="286"/>
      <c r="P645" s="286"/>
      <c r="Q645" s="286"/>
      <c r="R645" s="286"/>
      <c r="S645" s="286"/>
      <c r="T645" s="286"/>
      <c r="U645" s="286"/>
      <c r="V645" s="286"/>
      <c r="W645" s="286"/>
    </row>
    <row r="646">
      <c r="A646" s="286"/>
      <c r="B646" s="286"/>
      <c r="C646" s="286"/>
      <c r="D646" s="286"/>
      <c r="E646" s="286"/>
      <c r="F646" s="286"/>
      <c r="G646" s="286"/>
      <c r="H646" s="286"/>
      <c r="I646" s="286"/>
      <c r="J646" s="286"/>
      <c r="K646" s="399"/>
      <c r="L646" s="399"/>
      <c r="M646" s="286"/>
      <c r="N646" s="286"/>
      <c r="O646" s="286"/>
      <c r="P646" s="286"/>
      <c r="Q646" s="286"/>
      <c r="R646" s="286"/>
      <c r="S646" s="286"/>
      <c r="T646" s="286"/>
      <c r="U646" s="286"/>
      <c r="V646" s="286"/>
      <c r="W646" s="286"/>
    </row>
    <row r="647">
      <c r="A647" s="286"/>
      <c r="B647" s="286"/>
      <c r="C647" s="286"/>
      <c r="D647" s="286"/>
      <c r="E647" s="286"/>
      <c r="F647" s="286"/>
      <c r="G647" s="286"/>
      <c r="H647" s="286"/>
      <c r="I647" s="286"/>
      <c r="J647" s="286"/>
      <c r="K647" s="399"/>
      <c r="L647" s="399"/>
      <c r="M647" s="286"/>
      <c r="N647" s="286"/>
      <c r="O647" s="286"/>
      <c r="P647" s="286"/>
      <c r="Q647" s="286"/>
      <c r="R647" s="286"/>
      <c r="S647" s="286"/>
      <c r="T647" s="286"/>
      <c r="U647" s="286"/>
      <c r="V647" s="286"/>
      <c r="W647" s="286"/>
    </row>
    <row r="648">
      <c r="A648" s="286"/>
      <c r="B648" s="286"/>
      <c r="C648" s="286"/>
      <c r="D648" s="286"/>
      <c r="E648" s="286"/>
      <c r="F648" s="286"/>
      <c r="G648" s="286"/>
      <c r="H648" s="286"/>
      <c r="I648" s="286"/>
      <c r="J648" s="286"/>
      <c r="K648" s="399"/>
      <c r="L648" s="399"/>
      <c r="M648" s="286"/>
      <c r="N648" s="286"/>
      <c r="O648" s="286"/>
      <c r="P648" s="286"/>
      <c r="Q648" s="286"/>
      <c r="R648" s="286"/>
      <c r="S648" s="286"/>
      <c r="T648" s="286"/>
      <c r="U648" s="286"/>
      <c r="V648" s="286"/>
      <c r="W648" s="286"/>
    </row>
    <row r="649">
      <c r="A649" s="286"/>
      <c r="B649" s="286"/>
      <c r="C649" s="286"/>
      <c r="D649" s="286"/>
      <c r="E649" s="286"/>
      <c r="F649" s="286"/>
      <c r="G649" s="286"/>
      <c r="H649" s="286"/>
      <c r="I649" s="286"/>
      <c r="J649" s="286"/>
      <c r="K649" s="399"/>
      <c r="L649" s="399"/>
      <c r="M649" s="286"/>
      <c r="N649" s="286"/>
      <c r="O649" s="286"/>
      <c r="P649" s="286"/>
      <c r="Q649" s="286"/>
      <c r="R649" s="286"/>
      <c r="S649" s="286"/>
      <c r="T649" s="286"/>
      <c r="U649" s="286"/>
      <c r="V649" s="286"/>
      <c r="W649" s="286"/>
    </row>
    <row r="650">
      <c r="A650" s="286"/>
      <c r="B650" s="286"/>
      <c r="C650" s="286"/>
      <c r="D650" s="286"/>
      <c r="E650" s="286"/>
      <c r="F650" s="286"/>
      <c r="G650" s="286"/>
      <c r="H650" s="286"/>
      <c r="I650" s="286"/>
      <c r="J650" s="286"/>
      <c r="K650" s="399"/>
      <c r="L650" s="399"/>
      <c r="M650" s="286"/>
      <c r="N650" s="286"/>
      <c r="O650" s="286"/>
      <c r="P650" s="286"/>
      <c r="Q650" s="286"/>
      <c r="R650" s="286"/>
      <c r="S650" s="286"/>
      <c r="T650" s="286"/>
      <c r="U650" s="286"/>
      <c r="V650" s="286"/>
      <c r="W650" s="286"/>
    </row>
    <row r="651">
      <c r="A651" s="286"/>
      <c r="B651" s="286"/>
      <c r="C651" s="286"/>
      <c r="D651" s="286"/>
      <c r="E651" s="286"/>
      <c r="F651" s="286"/>
      <c r="G651" s="286"/>
      <c r="H651" s="286"/>
      <c r="I651" s="286"/>
      <c r="J651" s="286"/>
      <c r="K651" s="399"/>
      <c r="L651" s="399"/>
      <c r="M651" s="286"/>
      <c r="N651" s="286"/>
      <c r="O651" s="286"/>
      <c r="P651" s="286"/>
      <c r="Q651" s="286"/>
      <c r="R651" s="286"/>
      <c r="S651" s="286"/>
      <c r="T651" s="286"/>
      <c r="U651" s="286"/>
      <c r="V651" s="286"/>
      <c r="W651" s="286"/>
    </row>
    <row r="652">
      <c r="A652" s="286"/>
      <c r="B652" s="286"/>
      <c r="C652" s="286"/>
      <c r="D652" s="286"/>
      <c r="E652" s="286"/>
      <c r="F652" s="286"/>
      <c r="G652" s="286"/>
      <c r="H652" s="286"/>
      <c r="I652" s="286"/>
      <c r="J652" s="286"/>
      <c r="K652" s="399"/>
      <c r="L652" s="399"/>
      <c r="M652" s="286"/>
      <c r="N652" s="286"/>
      <c r="O652" s="286"/>
      <c r="P652" s="286"/>
      <c r="Q652" s="286"/>
      <c r="R652" s="286"/>
      <c r="S652" s="286"/>
      <c r="T652" s="286"/>
      <c r="U652" s="286"/>
      <c r="V652" s="286"/>
      <c r="W652" s="286"/>
    </row>
    <row r="653">
      <c r="A653" s="286"/>
      <c r="B653" s="286"/>
      <c r="C653" s="286"/>
      <c r="D653" s="286"/>
      <c r="E653" s="286"/>
      <c r="F653" s="286"/>
      <c r="G653" s="286"/>
      <c r="H653" s="286"/>
      <c r="I653" s="286"/>
      <c r="J653" s="286"/>
      <c r="K653" s="399"/>
      <c r="L653" s="399"/>
      <c r="M653" s="286"/>
      <c r="N653" s="286"/>
      <c r="O653" s="286"/>
      <c r="P653" s="286"/>
      <c r="Q653" s="286"/>
      <c r="R653" s="286"/>
      <c r="S653" s="286"/>
      <c r="T653" s="286"/>
      <c r="U653" s="286"/>
      <c r="V653" s="286"/>
      <c r="W653" s="286"/>
    </row>
    <row r="654">
      <c r="A654" s="286"/>
      <c r="B654" s="286"/>
      <c r="C654" s="286"/>
      <c r="D654" s="286"/>
      <c r="E654" s="286"/>
      <c r="F654" s="286"/>
      <c r="G654" s="286"/>
      <c r="H654" s="286"/>
      <c r="I654" s="286"/>
      <c r="J654" s="286"/>
      <c r="K654" s="399"/>
      <c r="L654" s="399"/>
      <c r="M654" s="286"/>
      <c r="N654" s="286"/>
      <c r="O654" s="286"/>
      <c r="P654" s="286"/>
      <c r="Q654" s="286"/>
      <c r="R654" s="286"/>
      <c r="S654" s="286"/>
      <c r="T654" s="286"/>
      <c r="U654" s="286"/>
      <c r="V654" s="286"/>
      <c r="W654" s="286"/>
    </row>
    <row r="655">
      <c r="A655" s="286"/>
      <c r="B655" s="286"/>
      <c r="C655" s="286"/>
      <c r="D655" s="286"/>
      <c r="E655" s="286"/>
      <c r="F655" s="286"/>
      <c r="G655" s="286"/>
      <c r="H655" s="286"/>
      <c r="I655" s="286"/>
      <c r="J655" s="286"/>
      <c r="K655" s="399"/>
      <c r="L655" s="399"/>
      <c r="M655" s="286"/>
      <c r="N655" s="286"/>
      <c r="O655" s="286"/>
      <c r="P655" s="286"/>
      <c r="Q655" s="286"/>
      <c r="R655" s="286"/>
      <c r="S655" s="286"/>
      <c r="T655" s="286"/>
      <c r="U655" s="286"/>
      <c r="V655" s="286"/>
      <c r="W655" s="286"/>
    </row>
    <row r="656">
      <c r="A656" s="286"/>
      <c r="B656" s="286"/>
      <c r="C656" s="286"/>
      <c r="D656" s="286"/>
      <c r="E656" s="286"/>
      <c r="F656" s="286"/>
      <c r="G656" s="286"/>
      <c r="H656" s="286"/>
      <c r="I656" s="286"/>
      <c r="J656" s="286"/>
      <c r="K656" s="399"/>
      <c r="L656" s="399"/>
      <c r="M656" s="286"/>
      <c r="N656" s="286"/>
      <c r="O656" s="286"/>
      <c r="P656" s="286"/>
      <c r="Q656" s="286"/>
      <c r="R656" s="286"/>
      <c r="S656" s="286"/>
      <c r="T656" s="286"/>
      <c r="U656" s="286"/>
      <c r="V656" s="286"/>
      <c r="W656" s="286"/>
    </row>
    <row r="657">
      <c r="A657" s="286"/>
      <c r="B657" s="286"/>
      <c r="C657" s="286"/>
      <c r="D657" s="286"/>
      <c r="E657" s="286"/>
      <c r="F657" s="286"/>
      <c r="G657" s="286"/>
      <c r="H657" s="286"/>
      <c r="I657" s="286"/>
      <c r="J657" s="286"/>
      <c r="K657" s="399"/>
      <c r="L657" s="399"/>
      <c r="M657" s="286"/>
      <c r="N657" s="286"/>
      <c r="O657" s="286"/>
      <c r="P657" s="286"/>
      <c r="Q657" s="286"/>
      <c r="R657" s="286"/>
      <c r="S657" s="286"/>
      <c r="T657" s="286"/>
      <c r="U657" s="286"/>
      <c r="V657" s="286"/>
      <c r="W657" s="286"/>
    </row>
    <row r="658">
      <c r="A658" s="286"/>
      <c r="B658" s="286"/>
      <c r="C658" s="286"/>
      <c r="D658" s="286"/>
      <c r="E658" s="286"/>
      <c r="F658" s="286"/>
      <c r="G658" s="286"/>
      <c r="H658" s="286"/>
      <c r="I658" s="286"/>
      <c r="J658" s="286"/>
      <c r="K658" s="399"/>
      <c r="L658" s="399"/>
      <c r="M658" s="286"/>
      <c r="N658" s="286"/>
      <c r="O658" s="286"/>
      <c r="P658" s="286"/>
      <c r="Q658" s="286"/>
      <c r="R658" s="286"/>
      <c r="S658" s="286"/>
      <c r="T658" s="286"/>
      <c r="U658" s="286"/>
      <c r="V658" s="286"/>
      <c r="W658" s="286"/>
    </row>
    <row r="659">
      <c r="A659" s="286"/>
      <c r="B659" s="286"/>
      <c r="C659" s="286"/>
      <c r="D659" s="286"/>
      <c r="E659" s="286"/>
      <c r="F659" s="286"/>
      <c r="G659" s="286"/>
      <c r="H659" s="286"/>
      <c r="I659" s="286"/>
      <c r="J659" s="286"/>
      <c r="K659" s="399"/>
      <c r="L659" s="399"/>
      <c r="M659" s="286"/>
      <c r="N659" s="286"/>
      <c r="O659" s="286"/>
      <c r="P659" s="286"/>
      <c r="Q659" s="286"/>
      <c r="R659" s="286"/>
      <c r="S659" s="286"/>
      <c r="T659" s="286"/>
      <c r="U659" s="286"/>
      <c r="V659" s="286"/>
      <c r="W659" s="286"/>
    </row>
    <row r="660">
      <c r="A660" s="286"/>
      <c r="B660" s="286"/>
      <c r="C660" s="286"/>
      <c r="D660" s="286"/>
      <c r="E660" s="286"/>
      <c r="F660" s="286"/>
      <c r="G660" s="286"/>
      <c r="H660" s="286"/>
      <c r="I660" s="286"/>
      <c r="J660" s="286"/>
      <c r="K660" s="399"/>
      <c r="L660" s="399"/>
      <c r="M660" s="286"/>
      <c r="N660" s="286"/>
      <c r="O660" s="286"/>
      <c r="P660" s="286"/>
      <c r="Q660" s="286"/>
      <c r="R660" s="286"/>
      <c r="S660" s="286"/>
      <c r="T660" s="286"/>
      <c r="U660" s="286"/>
      <c r="V660" s="286"/>
      <c r="W660" s="286"/>
    </row>
    <row r="661">
      <c r="A661" s="286"/>
      <c r="B661" s="286"/>
      <c r="C661" s="286"/>
      <c r="D661" s="286"/>
      <c r="E661" s="286"/>
      <c r="F661" s="286"/>
      <c r="G661" s="286"/>
      <c r="H661" s="286"/>
      <c r="I661" s="286"/>
      <c r="J661" s="286"/>
      <c r="K661" s="399"/>
      <c r="L661" s="399"/>
      <c r="M661" s="286"/>
      <c r="N661" s="286"/>
      <c r="O661" s="286"/>
      <c r="P661" s="286"/>
      <c r="Q661" s="286"/>
      <c r="R661" s="286"/>
      <c r="S661" s="286"/>
      <c r="T661" s="286"/>
      <c r="U661" s="286"/>
      <c r="V661" s="286"/>
      <c r="W661" s="286"/>
    </row>
    <row r="662">
      <c r="A662" s="286"/>
      <c r="B662" s="286"/>
      <c r="C662" s="286"/>
      <c r="D662" s="286"/>
      <c r="E662" s="286"/>
      <c r="F662" s="286"/>
      <c r="G662" s="286"/>
      <c r="H662" s="286"/>
      <c r="I662" s="286"/>
      <c r="J662" s="286"/>
      <c r="K662" s="399"/>
      <c r="L662" s="399"/>
      <c r="M662" s="286"/>
      <c r="N662" s="286"/>
      <c r="O662" s="286"/>
      <c r="P662" s="286"/>
      <c r="Q662" s="286"/>
      <c r="R662" s="286"/>
      <c r="S662" s="286"/>
      <c r="T662" s="286"/>
      <c r="U662" s="286"/>
      <c r="V662" s="286"/>
      <c r="W662" s="286"/>
    </row>
    <row r="663">
      <c r="A663" s="286"/>
      <c r="B663" s="286"/>
      <c r="C663" s="286"/>
      <c r="D663" s="286"/>
      <c r="E663" s="286"/>
      <c r="F663" s="286"/>
      <c r="G663" s="286"/>
      <c r="H663" s="286"/>
      <c r="I663" s="286"/>
      <c r="J663" s="286"/>
      <c r="K663" s="399"/>
      <c r="L663" s="399"/>
      <c r="M663" s="286"/>
      <c r="N663" s="286"/>
      <c r="O663" s="286"/>
      <c r="P663" s="286"/>
      <c r="Q663" s="286"/>
      <c r="R663" s="286"/>
      <c r="S663" s="286"/>
      <c r="T663" s="286"/>
      <c r="U663" s="286"/>
      <c r="V663" s="286"/>
      <c r="W663" s="286"/>
    </row>
    <row r="664">
      <c r="A664" s="286"/>
      <c r="B664" s="286"/>
      <c r="C664" s="286"/>
      <c r="D664" s="286"/>
      <c r="E664" s="286"/>
      <c r="F664" s="286"/>
      <c r="G664" s="286"/>
      <c r="H664" s="286"/>
      <c r="I664" s="286"/>
      <c r="J664" s="286"/>
      <c r="K664" s="399"/>
      <c r="L664" s="399"/>
      <c r="M664" s="286"/>
      <c r="N664" s="286"/>
      <c r="O664" s="286"/>
      <c r="P664" s="286"/>
      <c r="Q664" s="286"/>
      <c r="R664" s="286"/>
      <c r="S664" s="286"/>
      <c r="T664" s="286"/>
      <c r="U664" s="286"/>
      <c r="V664" s="286"/>
      <c r="W664" s="286"/>
    </row>
    <row r="665">
      <c r="A665" s="286"/>
      <c r="B665" s="286"/>
      <c r="C665" s="286"/>
      <c r="D665" s="286"/>
      <c r="E665" s="286"/>
      <c r="F665" s="286"/>
      <c r="G665" s="286"/>
      <c r="H665" s="286"/>
      <c r="I665" s="286"/>
      <c r="J665" s="286"/>
      <c r="K665" s="399"/>
      <c r="L665" s="399"/>
      <c r="M665" s="286"/>
      <c r="N665" s="286"/>
      <c r="O665" s="286"/>
      <c r="P665" s="286"/>
      <c r="Q665" s="286"/>
      <c r="R665" s="286"/>
      <c r="S665" s="286"/>
      <c r="T665" s="286"/>
      <c r="U665" s="286"/>
      <c r="V665" s="286"/>
      <c r="W665" s="286"/>
    </row>
    <row r="666">
      <c r="A666" s="286"/>
      <c r="B666" s="286"/>
      <c r="C666" s="286"/>
      <c r="D666" s="286"/>
      <c r="E666" s="286"/>
      <c r="F666" s="286"/>
      <c r="G666" s="286"/>
      <c r="H666" s="286"/>
      <c r="I666" s="286"/>
      <c r="J666" s="286"/>
      <c r="K666" s="399"/>
      <c r="L666" s="399"/>
      <c r="M666" s="286"/>
      <c r="N666" s="286"/>
      <c r="O666" s="286"/>
      <c r="P666" s="286"/>
      <c r="Q666" s="286"/>
      <c r="R666" s="286"/>
      <c r="S666" s="286"/>
      <c r="T666" s="286"/>
      <c r="U666" s="286"/>
      <c r="V666" s="286"/>
      <c r="W666" s="286"/>
    </row>
    <row r="667">
      <c r="A667" s="286"/>
      <c r="B667" s="286"/>
      <c r="C667" s="286"/>
      <c r="D667" s="286"/>
      <c r="E667" s="286"/>
      <c r="F667" s="286"/>
      <c r="G667" s="286"/>
      <c r="H667" s="286"/>
      <c r="I667" s="286"/>
      <c r="J667" s="286"/>
      <c r="K667" s="399"/>
      <c r="L667" s="399"/>
      <c r="M667" s="286"/>
      <c r="N667" s="286"/>
      <c r="O667" s="286"/>
      <c r="P667" s="286"/>
      <c r="Q667" s="286"/>
      <c r="R667" s="286"/>
      <c r="S667" s="286"/>
      <c r="T667" s="286"/>
      <c r="U667" s="286"/>
      <c r="V667" s="286"/>
      <c r="W667" s="286"/>
    </row>
    <row r="668">
      <c r="A668" s="286"/>
      <c r="B668" s="286"/>
      <c r="C668" s="286"/>
      <c r="D668" s="286"/>
      <c r="E668" s="286"/>
      <c r="F668" s="286"/>
      <c r="G668" s="286"/>
      <c r="H668" s="286"/>
      <c r="I668" s="286"/>
      <c r="J668" s="286"/>
      <c r="K668" s="399"/>
      <c r="L668" s="399"/>
      <c r="M668" s="286"/>
      <c r="N668" s="286"/>
      <c r="O668" s="286"/>
      <c r="P668" s="286"/>
      <c r="Q668" s="286"/>
      <c r="R668" s="286"/>
      <c r="S668" s="286"/>
      <c r="T668" s="286"/>
      <c r="U668" s="286"/>
      <c r="V668" s="286"/>
      <c r="W668" s="286"/>
    </row>
    <row r="669">
      <c r="A669" s="286"/>
      <c r="B669" s="286"/>
      <c r="C669" s="286"/>
      <c r="D669" s="286"/>
      <c r="E669" s="286"/>
      <c r="F669" s="286"/>
      <c r="G669" s="286"/>
      <c r="H669" s="286"/>
      <c r="I669" s="286"/>
      <c r="J669" s="286"/>
      <c r="K669" s="399"/>
      <c r="L669" s="399"/>
      <c r="M669" s="286"/>
      <c r="N669" s="286"/>
      <c r="O669" s="286"/>
      <c r="P669" s="286"/>
      <c r="Q669" s="286"/>
      <c r="R669" s="286"/>
      <c r="S669" s="286"/>
      <c r="T669" s="286"/>
      <c r="U669" s="286"/>
      <c r="V669" s="286"/>
      <c r="W669" s="286"/>
    </row>
    <row r="670">
      <c r="A670" s="286"/>
      <c r="B670" s="286"/>
      <c r="C670" s="286"/>
      <c r="D670" s="286"/>
      <c r="E670" s="286"/>
      <c r="F670" s="286"/>
      <c r="G670" s="286"/>
      <c r="H670" s="286"/>
      <c r="I670" s="286"/>
      <c r="J670" s="286"/>
      <c r="K670" s="399"/>
      <c r="L670" s="399"/>
      <c r="M670" s="286"/>
      <c r="N670" s="286"/>
      <c r="O670" s="286"/>
      <c r="P670" s="286"/>
      <c r="Q670" s="286"/>
      <c r="R670" s="286"/>
      <c r="S670" s="286"/>
      <c r="T670" s="286"/>
      <c r="U670" s="286"/>
      <c r="V670" s="286"/>
      <c r="W670" s="286"/>
    </row>
    <row r="671">
      <c r="A671" s="286"/>
      <c r="B671" s="286"/>
      <c r="C671" s="286"/>
      <c r="D671" s="286"/>
      <c r="E671" s="286"/>
      <c r="F671" s="286"/>
      <c r="G671" s="286"/>
      <c r="H671" s="286"/>
      <c r="I671" s="286"/>
      <c r="J671" s="286"/>
      <c r="K671" s="399"/>
      <c r="L671" s="399"/>
      <c r="M671" s="286"/>
      <c r="N671" s="286"/>
      <c r="O671" s="286"/>
      <c r="P671" s="286"/>
      <c r="Q671" s="286"/>
      <c r="R671" s="286"/>
      <c r="S671" s="286"/>
      <c r="T671" s="286"/>
      <c r="U671" s="286"/>
      <c r="V671" s="286"/>
      <c r="W671" s="286"/>
    </row>
    <row r="672">
      <c r="A672" s="286"/>
      <c r="B672" s="286"/>
      <c r="C672" s="286"/>
      <c r="D672" s="286"/>
      <c r="E672" s="286"/>
      <c r="F672" s="286"/>
      <c r="G672" s="286"/>
      <c r="H672" s="286"/>
      <c r="I672" s="286"/>
      <c r="J672" s="286"/>
      <c r="K672" s="399"/>
      <c r="L672" s="399"/>
      <c r="M672" s="286"/>
      <c r="N672" s="286"/>
      <c r="O672" s="286"/>
      <c r="P672" s="286"/>
      <c r="Q672" s="286"/>
      <c r="R672" s="286"/>
      <c r="S672" s="286"/>
      <c r="T672" s="286"/>
      <c r="U672" s="286"/>
      <c r="V672" s="286"/>
      <c r="W672" s="286"/>
    </row>
    <row r="673">
      <c r="A673" s="286"/>
      <c r="B673" s="286"/>
      <c r="C673" s="286"/>
      <c r="D673" s="286"/>
      <c r="E673" s="286"/>
      <c r="F673" s="286"/>
      <c r="G673" s="286"/>
      <c r="H673" s="286"/>
      <c r="I673" s="286"/>
      <c r="J673" s="286"/>
      <c r="K673" s="399"/>
      <c r="L673" s="399"/>
      <c r="M673" s="286"/>
      <c r="N673" s="286"/>
      <c r="O673" s="286"/>
      <c r="P673" s="286"/>
      <c r="Q673" s="286"/>
      <c r="R673" s="286"/>
      <c r="S673" s="286"/>
      <c r="T673" s="286"/>
      <c r="U673" s="286"/>
      <c r="V673" s="286"/>
      <c r="W673" s="286"/>
    </row>
    <row r="674">
      <c r="A674" s="286"/>
      <c r="B674" s="286"/>
      <c r="C674" s="286"/>
      <c r="D674" s="286"/>
      <c r="E674" s="286"/>
      <c r="F674" s="286"/>
      <c r="G674" s="286"/>
      <c r="H674" s="286"/>
      <c r="I674" s="286"/>
      <c r="J674" s="286"/>
      <c r="K674" s="399"/>
      <c r="L674" s="399"/>
      <c r="M674" s="286"/>
      <c r="N674" s="286"/>
      <c r="O674" s="286"/>
      <c r="P674" s="286"/>
      <c r="Q674" s="286"/>
      <c r="R674" s="286"/>
      <c r="S674" s="286"/>
      <c r="T674" s="286"/>
      <c r="U674" s="286"/>
      <c r="V674" s="286"/>
      <c r="W674" s="286"/>
    </row>
    <row r="675">
      <c r="A675" s="286"/>
      <c r="B675" s="286"/>
      <c r="C675" s="286"/>
      <c r="D675" s="286"/>
      <c r="E675" s="286"/>
      <c r="F675" s="286"/>
      <c r="G675" s="286"/>
      <c r="H675" s="286"/>
      <c r="I675" s="286"/>
      <c r="J675" s="286"/>
      <c r="K675" s="399"/>
      <c r="L675" s="399"/>
      <c r="M675" s="286"/>
      <c r="N675" s="286"/>
      <c r="O675" s="286"/>
      <c r="P675" s="286"/>
      <c r="Q675" s="286"/>
      <c r="R675" s="286"/>
      <c r="S675" s="286"/>
      <c r="T675" s="286"/>
      <c r="U675" s="286"/>
      <c r="V675" s="286"/>
      <c r="W675" s="286"/>
    </row>
    <row r="676">
      <c r="A676" s="286"/>
      <c r="B676" s="286"/>
      <c r="C676" s="286"/>
      <c r="D676" s="286"/>
      <c r="E676" s="286"/>
      <c r="F676" s="286"/>
      <c r="G676" s="286"/>
      <c r="H676" s="286"/>
      <c r="I676" s="286"/>
      <c r="J676" s="286"/>
      <c r="K676" s="399"/>
      <c r="L676" s="399"/>
      <c r="M676" s="286"/>
      <c r="N676" s="286"/>
      <c r="O676" s="286"/>
      <c r="P676" s="286"/>
      <c r="Q676" s="286"/>
      <c r="R676" s="286"/>
      <c r="S676" s="286"/>
      <c r="T676" s="286"/>
      <c r="U676" s="286"/>
      <c r="V676" s="286"/>
      <c r="W676" s="286"/>
    </row>
    <row r="677">
      <c r="A677" s="286"/>
      <c r="B677" s="286"/>
      <c r="C677" s="286"/>
      <c r="D677" s="286"/>
      <c r="E677" s="286"/>
      <c r="F677" s="286"/>
      <c r="G677" s="286"/>
      <c r="H677" s="286"/>
      <c r="I677" s="286"/>
      <c r="J677" s="286"/>
      <c r="K677" s="399"/>
      <c r="L677" s="399"/>
      <c r="M677" s="286"/>
      <c r="N677" s="286"/>
      <c r="O677" s="286"/>
      <c r="P677" s="286"/>
      <c r="Q677" s="286"/>
      <c r="R677" s="286"/>
      <c r="S677" s="286"/>
      <c r="T677" s="286"/>
      <c r="U677" s="286"/>
      <c r="V677" s="286"/>
      <c r="W677" s="286"/>
    </row>
    <row r="678">
      <c r="A678" s="286"/>
      <c r="B678" s="286"/>
      <c r="C678" s="286"/>
      <c r="D678" s="286"/>
      <c r="E678" s="286"/>
      <c r="F678" s="286"/>
      <c r="G678" s="286"/>
      <c r="H678" s="286"/>
      <c r="I678" s="286"/>
      <c r="J678" s="286"/>
      <c r="K678" s="399"/>
      <c r="L678" s="399"/>
      <c r="M678" s="286"/>
      <c r="N678" s="286"/>
      <c r="O678" s="286"/>
      <c r="P678" s="286"/>
      <c r="Q678" s="286"/>
      <c r="R678" s="286"/>
      <c r="S678" s="286"/>
      <c r="T678" s="286"/>
      <c r="U678" s="286"/>
      <c r="V678" s="286"/>
      <c r="W678" s="286"/>
    </row>
    <row r="679">
      <c r="A679" s="286"/>
      <c r="B679" s="286"/>
      <c r="C679" s="286"/>
      <c r="D679" s="286"/>
      <c r="E679" s="286"/>
      <c r="F679" s="286"/>
      <c r="G679" s="286"/>
      <c r="H679" s="286"/>
      <c r="I679" s="286"/>
      <c r="J679" s="286"/>
      <c r="K679" s="399"/>
      <c r="L679" s="399"/>
      <c r="M679" s="286"/>
      <c r="N679" s="286"/>
      <c r="O679" s="286"/>
      <c r="P679" s="286"/>
      <c r="Q679" s="286"/>
      <c r="R679" s="286"/>
      <c r="S679" s="286"/>
      <c r="T679" s="286"/>
      <c r="U679" s="286"/>
      <c r="V679" s="286"/>
      <c r="W679" s="286"/>
    </row>
    <row r="680">
      <c r="A680" s="286"/>
      <c r="B680" s="286"/>
      <c r="C680" s="286"/>
      <c r="D680" s="286"/>
      <c r="E680" s="286"/>
      <c r="F680" s="286"/>
      <c r="G680" s="286"/>
      <c r="H680" s="286"/>
      <c r="I680" s="286"/>
      <c r="J680" s="286"/>
      <c r="K680" s="399"/>
      <c r="L680" s="399"/>
      <c r="M680" s="286"/>
      <c r="N680" s="286"/>
      <c r="O680" s="286"/>
      <c r="P680" s="286"/>
      <c r="Q680" s="286"/>
      <c r="R680" s="286"/>
      <c r="S680" s="286"/>
      <c r="T680" s="286"/>
      <c r="U680" s="286"/>
      <c r="V680" s="286"/>
      <c r="W680" s="286"/>
    </row>
    <row r="681">
      <c r="A681" s="286"/>
      <c r="B681" s="286"/>
      <c r="C681" s="286"/>
      <c r="D681" s="286"/>
      <c r="E681" s="286"/>
      <c r="F681" s="286"/>
      <c r="G681" s="286"/>
      <c r="H681" s="286"/>
      <c r="I681" s="286"/>
      <c r="J681" s="286"/>
      <c r="K681" s="399"/>
      <c r="L681" s="399"/>
      <c r="M681" s="286"/>
      <c r="N681" s="286"/>
      <c r="O681" s="286"/>
      <c r="P681" s="286"/>
      <c r="Q681" s="286"/>
      <c r="R681" s="286"/>
      <c r="S681" s="286"/>
      <c r="T681" s="286"/>
      <c r="U681" s="286"/>
      <c r="V681" s="286"/>
      <c r="W681" s="286"/>
    </row>
    <row r="682">
      <c r="A682" s="286"/>
      <c r="B682" s="286"/>
      <c r="C682" s="286"/>
      <c r="D682" s="286"/>
      <c r="E682" s="286"/>
      <c r="F682" s="286"/>
      <c r="G682" s="286"/>
      <c r="H682" s="286"/>
      <c r="I682" s="286"/>
      <c r="J682" s="286"/>
      <c r="K682" s="399"/>
      <c r="L682" s="399"/>
      <c r="M682" s="286"/>
      <c r="N682" s="286"/>
      <c r="O682" s="286"/>
      <c r="P682" s="286"/>
      <c r="Q682" s="286"/>
      <c r="R682" s="286"/>
      <c r="S682" s="286"/>
      <c r="T682" s="286"/>
      <c r="U682" s="286"/>
      <c r="V682" s="286"/>
      <c r="W682" s="286"/>
    </row>
    <row r="683">
      <c r="A683" s="286"/>
      <c r="B683" s="286"/>
      <c r="C683" s="286"/>
      <c r="D683" s="286"/>
      <c r="E683" s="286"/>
      <c r="F683" s="286"/>
      <c r="G683" s="286"/>
      <c r="H683" s="286"/>
      <c r="I683" s="286"/>
      <c r="J683" s="286"/>
      <c r="K683" s="399"/>
      <c r="L683" s="399"/>
      <c r="M683" s="286"/>
      <c r="N683" s="286"/>
      <c r="O683" s="286"/>
      <c r="P683" s="286"/>
      <c r="Q683" s="286"/>
      <c r="R683" s="286"/>
      <c r="S683" s="286"/>
      <c r="T683" s="286"/>
      <c r="U683" s="286"/>
      <c r="V683" s="286"/>
      <c r="W683" s="286"/>
    </row>
    <row r="684">
      <c r="A684" s="286"/>
      <c r="B684" s="286"/>
      <c r="C684" s="286"/>
      <c r="D684" s="286"/>
      <c r="E684" s="286"/>
      <c r="F684" s="286"/>
      <c r="G684" s="286"/>
      <c r="H684" s="286"/>
      <c r="I684" s="286"/>
      <c r="J684" s="286"/>
      <c r="K684" s="399"/>
      <c r="L684" s="399"/>
      <c r="M684" s="286"/>
      <c r="N684" s="286"/>
      <c r="O684" s="286"/>
      <c r="P684" s="286"/>
      <c r="Q684" s="286"/>
      <c r="R684" s="286"/>
      <c r="S684" s="286"/>
      <c r="T684" s="286"/>
      <c r="U684" s="286"/>
      <c r="V684" s="286"/>
      <c r="W684" s="286"/>
    </row>
    <row r="685">
      <c r="A685" s="286"/>
      <c r="B685" s="286"/>
      <c r="C685" s="286"/>
      <c r="D685" s="286"/>
      <c r="E685" s="286"/>
      <c r="F685" s="286"/>
      <c r="G685" s="286"/>
      <c r="H685" s="286"/>
      <c r="I685" s="286"/>
      <c r="J685" s="286"/>
      <c r="K685" s="399"/>
      <c r="L685" s="399"/>
      <c r="M685" s="286"/>
      <c r="N685" s="286"/>
      <c r="O685" s="286"/>
      <c r="P685" s="286"/>
      <c r="Q685" s="286"/>
      <c r="R685" s="286"/>
      <c r="S685" s="286"/>
      <c r="T685" s="286"/>
      <c r="U685" s="286"/>
      <c r="V685" s="286"/>
      <c r="W685" s="286"/>
    </row>
    <row r="686">
      <c r="A686" s="286"/>
      <c r="B686" s="286"/>
      <c r="C686" s="286"/>
      <c r="D686" s="286"/>
      <c r="E686" s="286"/>
      <c r="F686" s="286"/>
      <c r="G686" s="286"/>
      <c r="H686" s="286"/>
      <c r="I686" s="286"/>
      <c r="J686" s="286"/>
      <c r="K686" s="399"/>
      <c r="L686" s="399"/>
      <c r="M686" s="286"/>
      <c r="N686" s="286"/>
      <c r="O686" s="286"/>
      <c r="P686" s="286"/>
      <c r="Q686" s="286"/>
      <c r="R686" s="286"/>
      <c r="S686" s="286"/>
      <c r="T686" s="286"/>
      <c r="U686" s="286"/>
      <c r="V686" s="286"/>
      <c r="W686" s="286"/>
    </row>
    <row r="687">
      <c r="A687" s="286"/>
      <c r="B687" s="286"/>
      <c r="C687" s="286"/>
      <c r="D687" s="286"/>
      <c r="E687" s="286"/>
      <c r="F687" s="286"/>
      <c r="G687" s="286"/>
      <c r="H687" s="286"/>
      <c r="I687" s="286"/>
      <c r="J687" s="286"/>
      <c r="K687" s="399"/>
      <c r="L687" s="399"/>
      <c r="M687" s="286"/>
      <c r="N687" s="286"/>
      <c r="O687" s="286"/>
      <c r="P687" s="286"/>
      <c r="Q687" s="286"/>
      <c r="R687" s="286"/>
      <c r="S687" s="286"/>
      <c r="T687" s="286"/>
      <c r="U687" s="286"/>
      <c r="V687" s="286"/>
      <c r="W687" s="286"/>
    </row>
    <row r="688">
      <c r="A688" s="286"/>
      <c r="B688" s="286"/>
      <c r="C688" s="286"/>
      <c r="D688" s="286"/>
      <c r="E688" s="286"/>
      <c r="F688" s="286"/>
      <c r="G688" s="286"/>
      <c r="H688" s="286"/>
      <c r="I688" s="286"/>
      <c r="J688" s="286"/>
      <c r="K688" s="399"/>
      <c r="L688" s="399"/>
      <c r="M688" s="286"/>
      <c r="N688" s="286"/>
      <c r="O688" s="286"/>
      <c r="P688" s="286"/>
      <c r="Q688" s="286"/>
      <c r="R688" s="286"/>
      <c r="S688" s="286"/>
      <c r="T688" s="286"/>
      <c r="U688" s="286"/>
      <c r="V688" s="286"/>
      <c r="W688" s="286"/>
    </row>
    <row r="689">
      <c r="A689" s="286"/>
      <c r="B689" s="286"/>
      <c r="C689" s="286"/>
      <c r="D689" s="286"/>
      <c r="E689" s="286"/>
      <c r="F689" s="286"/>
      <c r="G689" s="286"/>
      <c r="H689" s="286"/>
      <c r="I689" s="286"/>
      <c r="J689" s="286"/>
      <c r="K689" s="399"/>
      <c r="L689" s="399"/>
      <c r="M689" s="286"/>
      <c r="N689" s="286"/>
      <c r="O689" s="286"/>
      <c r="P689" s="286"/>
      <c r="Q689" s="286"/>
      <c r="R689" s="286"/>
      <c r="S689" s="286"/>
      <c r="T689" s="286"/>
      <c r="U689" s="286"/>
      <c r="V689" s="286"/>
      <c r="W689" s="286"/>
    </row>
    <row r="690">
      <c r="A690" s="286"/>
      <c r="B690" s="286"/>
      <c r="C690" s="286"/>
      <c r="D690" s="286"/>
      <c r="E690" s="286"/>
      <c r="F690" s="286"/>
      <c r="G690" s="286"/>
      <c r="H690" s="286"/>
      <c r="I690" s="286"/>
      <c r="J690" s="286"/>
      <c r="K690" s="399"/>
      <c r="L690" s="399"/>
      <c r="M690" s="286"/>
      <c r="N690" s="286"/>
      <c r="O690" s="286"/>
      <c r="P690" s="286"/>
      <c r="Q690" s="286"/>
      <c r="R690" s="286"/>
      <c r="S690" s="286"/>
      <c r="T690" s="286"/>
      <c r="U690" s="286"/>
      <c r="V690" s="286"/>
      <c r="W690" s="286"/>
    </row>
    <row r="691">
      <c r="A691" s="286"/>
      <c r="B691" s="286"/>
      <c r="C691" s="286"/>
      <c r="D691" s="286"/>
      <c r="E691" s="286"/>
      <c r="F691" s="286"/>
      <c r="G691" s="286"/>
      <c r="H691" s="286"/>
      <c r="I691" s="286"/>
      <c r="J691" s="286"/>
      <c r="K691" s="399"/>
      <c r="L691" s="399"/>
      <c r="M691" s="286"/>
      <c r="N691" s="286"/>
      <c r="O691" s="286"/>
      <c r="P691" s="286"/>
      <c r="Q691" s="286"/>
      <c r="R691" s="286"/>
      <c r="S691" s="286"/>
      <c r="T691" s="286"/>
      <c r="U691" s="286"/>
      <c r="V691" s="286"/>
      <c r="W691" s="286"/>
    </row>
    <row r="692">
      <c r="A692" s="286"/>
      <c r="B692" s="286"/>
      <c r="C692" s="286"/>
      <c r="D692" s="286"/>
      <c r="E692" s="286"/>
      <c r="F692" s="286"/>
      <c r="G692" s="286"/>
      <c r="H692" s="286"/>
      <c r="I692" s="286"/>
      <c r="J692" s="286"/>
      <c r="K692" s="399"/>
      <c r="L692" s="399"/>
      <c r="M692" s="286"/>
      <c r="N692" s="286"/>
      <c r="O692" s="286"/>
      <c r="P692" s="286"/>
      <c r="Q692" s="286"/>
      <c r="R692" s="286"/>
      <c r="S692" s="286"/>
      <c r="T692" s="286"/>
      <c r="U692" s="286"/>
      <c r="V692" s="286"/>
      <c r="W692" s="286"/>
    </row>
    <row r="693">
      <c r="A693" s="286"/>
      <c r="B693" s="286"/>
      <c r="C693" s="286"/>
      <c r="D693" s="286"/>
      <c r="E693" s="286"/>
      <c r="F693" s="286"/>
      <c r="G693" s="286"/>
      <c r="H693" s="286"/>
      <c r="I693" s="286"/>
      <c r="J693" s="286"/>
      <c r="K693" s="399"/>
      <c r="L693" s="399"/>
      <c r="M693" s="286"/>
      <c r="N693" s="286"/>
      <c r="O693" s="286"/>
      <c r="P693" s="286"/>
      <c r="Q693" s="286"/>
      <c r="R693" s="286"/>
      <c r="S693" s="286"/>
      <c r="T693" s="286"/>
      <c r="U693" s="286"/>
      <c r="V693" s="286"/>
      <c r="W693" s="286"/>
    </row>
    <row r="694">
      <c r="A694" s="286"/>
      <c r="B694" s="286"/>
      <c r="C694" s="286"/>
      <c r="D694" s="286"/>
      <c r="E694" s="286"/>
      <c r="F694" s="286"/>
      <c r="G694" s="286"/>
      <c r="H694" s="286"/>
      <c r="I694" s="286"/>
      <c r="J694" s="286"/>
      <c r="K694" s="399"/>
      <c r="L694" s="399"/>
      <c r="M694" s="286"/>
      <c r="N694" s="286"/>
      <c r="O694" s="286"/>
      <c r="P694" s="286"/>
      <c r="Q694" s="286"/>
      <c r="R694" s="286"/>
      <c r="S694" s="286"/>
      <c r="T694" s="286"/>
      <c r="U694" s="286"/>
      <c r="V694" s="286"/>
      <c r="W694" s="286"/>
    </row>
    <row r="695">
      <c r="A695" s="286"/>
      <c r="B695" s="286"/>
      <c r="C695" s="286"/>
      <c r="D695" s="286"/>
      <c r="E695" s="286"/>
      <c r="F695" s="286"/>
      <c r="G695" s="286"/>
      <c r="H695" s="286"/>
      <c r="I695" s="286"/>
      <c r="J695" s="286"/>
      <c r="K695" s="399"/>
      <c r="L695" s="399"/>
      <c r="M695" s="286"/>
      <c r="N695" s="286"/>
      <c r="O695" s="286"/>
      <c r="P695" s="286"/>
      <c r="Q695" s="286"/>
      <c r="R695" s="286"/>
      <c r="S695" s="286"/>
      <c r="T695" s="286"/>
      <c r="U695" s="286"/>
      <c r="V695" s="286"/>
      <c r="W695" s="286"/>
    </row>
    <row r="696">
      <c r="A696" s="286"/>
      <c r="B696" s="286"/>
      <c r="C696" s="286"/>
      <c r="D696" s="286"/>
      <c r="E696" s="286"/>
      <c r="F696" s="286"/>
      <c r="G696" s="286"/>
      <c r="H696" s="286"/>
      <c r="I696" s="286"/>
      <c r="J696" s="286"/>
      <c r="K696" s="399"/>
      <c r="L696" s="399"/>
      <c r="M696" s="286"/>
      <c r="N696" s="286"/>
      <c r="O696" s="286"/>
      <c r="P696" s="286"/>
      <c r="Q696" s="286"/>
      <c r="R696" s="286"/>
      <c r="S696" s="286"/>
      <c r="T696" s="286"/>
      <c r="U696" s="286"/>
      <c r="V696" s="286"/>
      <c r="W696" s="286"/>
    </row>
    <row r="697">
      <c r="A697" s="286"/>
      <c r="B697" s="286"/>
      <c r="C697" s="286"/>
      <c r="D697" s="286"/>
      <c r="E697" s="286"/>
      <c r="F697" s="286"/>
      <c r="G697" s="286"/>
      <c r="H697" s="286"/>
      <c r="I697" s="286"/>
      <c r="J697" s="286"/>
      <c r="K697" s="399"/>
      <c r="L697" s="399"/>
      <c r="M697" s="286"/>
      <c r="N697" s="286"/>
      <c r="O697" s="286"/>
      <c r="P697" s="286"/>
      <c r="Q697" s="286"/>
      <c r="R697" s="286"/>
      <c r="S697" s="286"/>
      <c r="T697" s="286"/>
      <c r="U697" s="286"/>
      <c r="V697" s="286"/>
      <c r="W697" s="286"/>
    </row>
    <row r="698">
      <c r="A698" s="286"/>
      <c r="B698" s="286"/>
      <c r="C698" s="286"/>
      <c r="D698" s="286"/>
      <c r="E698" s="286"/>
      <c r="F698" s="286"/>
      <c r="G698" s="286"/>
      <c r="H698" s="286"/>
      <c r="I698" s="286"/>
      <c r="J698" s="286"/>
      <c r="K698" s="399"/>
      <c r="L698" s="399"/>
      <c r="M698" s="286"/>
      <c r="N698" s="286"/>
      <c r="O698" s="286"/>
      <c r="P698" s="286"/>
      <c r="Q698" s="286"/>
      <c r="R698" s="286"/>
      <c r="S698" s="286"/>
      <c r="T698" s="286"/>
      <c r="U698" s="286"/>
      <c r="V698" s="286"/>
      <c r="W698" s="286"/>
    </row>
    <row r="699">
      <c r="A699" s="286"/>
      <c r="B699" s="286"/>
      <c r="C699" s="286"/>
      <c r="D699" s="286"/>
      <c r="E699" s="286"/>
      <c r="F699" s="286"/>
      <c r="G699" s="286"/>
      <c r="H699" s="286"/>
      <c r="I699" s="286"/>
      <c r="J699" s="286"/>
      <c r="K699" s="399"/>
      <c r="L699" s="399"/>
      <c r="M699" s="286"/>
      <c r="N699" s="286"/>
      <c r="O699" s="286"/>
      <c r="P699" s="286"/>
      <c r="Q699" s="286"/>
      <c r="R699" s="286"/>
      <c r="S699" s="286"/>
      <c r="T699" s="286"/>
      <c r="U699" s="286"/>
      <c r="V699" s="286"/>
      <c r="W699" s="286"/>
    </row>
    <row r="700">
      <c r="A700" s="286"/>
      <c r="B700" s="286"/>
      <c r="C700" s="286"/>
      <c r="D700" s="286"/>
      <c r="E700" s="286"/>
      <c r="F700" s="286"/>
      <c r="G700" s="286"/>
      <c r="H700" s="286"/>
      <c r="I700" s="286"/>
      <c r="J700" s="286"/>
      <c r="K700" s="399"/>
      <c r="L700" s="399"/>
      <c r="M700" s="286"/>
      <c r="N700" s="286"/>
      <c r="O700" s="286"/>
      <c r="P700" s="286"/>
      <c r="Q700" s="286"/>
      <c r="R700" s="286"/>
      <c r="S700" s="286"/>
      <c r="T700" s="286"/>
      <c r="U700" s="286"/>
      <c r="V700" s="286"/>
      <c r="W700" s="286"/>
    </row>
    <row r="701">
      <c r="A701" s="286"/>
      <c r="B701" s="286"/>
      <c r="C701" s="286"/>
      <c r="D701" s="286"/>
      <c r="E701" s="286"/>
      <c r="F701" s="286"/>
      <c r="G701" s="286"/>
      <c r="H701" s="286"/>
      <c r="I701" s="286"/>
      <c r="J701" s="286"/>
      <c r="K701" s="399"/>
      <c r="L701" s="399"/>
      <c r="M701" s="286"/>
      <c r="N701" s="286"/>
      <c r="O701" s="286"/>
      <c r="P701" s="286"/>
      <c r="Q701" s="286"/>
      <c r="R701" s="286"/>
      <c r="S701" s="286"/>
      <c r="T701" s="286"/>
      <c r="U701" s="286"/>
      <c r="V701" s="286"/>
      <c r="W701" s="286"/>
    </row>
    <row r="702">
      <c r="A702" s="286"/>
      <c r="B702" s="286"/>
      <c r="C702" s="286"/>
      <c r="D702" s="286"/>
      <c r="E702" s="286"/>
      <c r="F702" s="286"/>
      <c r="G702" s="286"/>
      <c r="H702" s="286"/>
      <c r="I702" s="286"/>
      <c r="J702" s="286"/>
      <c r="K702" s="399"/>
      <c r="L702" s="399"/>
      <c r="M702" s="286"/>
      <c r="N702" s="286"/>
      <c r="O702" s="286"/>
      <c r="P702" s="286"/>
      <c r="Q702" s="286"/>
      <c r="R702" s="286"/>
      <c r="S702" s="286"/>
      <c r="T702" s="286"/>
      <c r="U702" s="286"/>
      <c r="V702" s="286"/>
      <c r="W702" s="286"/>
    </row>
    <row r="703">
      <c r="A703" s="286"/>
      <c r="B703" s="286"/>
      <c r="C703" s="286"/>
      <c r="D703" s="286"/>
      <c r="E703" s="286"/>
      <c r="F703" s="286"/>
      <c r="G703" s="286"/>
      <c r="H703" s="286"/>
      <c r="I703" s="286"/>
      <c r="J703" s="286"/>
      <c r="K703" s="399"/>
      <c r="L703" s="399"/>
      <c r="M703" s="286"/>
      <c r="N703" s="286"/>
      <c r="O703" s="286"/>
      <c r="P703" s="286"/>
      <c r="Q703" s="286"/>
      <c r="R703" s="286"/>
      <c r="S703" s="286"/>
      <c r="T703" s="286"/>
      <c r="U703" s="286"/>
      <c r="V703" s="286"/>
      <c r="W703" s="286"/>
    </row>
    <row r="704">
      <c r="A704" s="286"/>
      <c r="B704" s="286"/>
      <c r="C704" s="286"/>
      <c r="D704" s="286"/>
      <c r="E704" s="286"/>
      <c r="F704" s="286"/>
      <c r="G704" s="286"/>
      <c r="H704" s="286"/>
      <c r="I704" s="286"/>
      <c r="J704" s="286"/>
      <c r="K704" s="399"/>
      <c r="L704" s="399"/>
      <c r="M704" s="286"/>
      <c r="N704" s="286"/>
      <c r="O704" s="286"/>
      <c r="P704" s="286"/>
      <c r="Q704" s="286"/>
      <c r="R704" s="286"/>
      <c r="S704" s="286"/>
      <c r="T704" s="286"/>
      <c r="U704" s="286"/>
      <c r="V704" s="286"/>
      <c r="W704" s="286"/>
    </row>
    <row r="705">
      <c r="A705" s="286"/>
      <c r="B705" s="286"/>
      <c r="C705" s="286"/>
      <c r="D705" s="286"/>
      <c r="E705" s="286"/>
      <c r="F705" s="286"/>
      <c r="G705" s="286"/>
      <c r="H705" s="286"/>
      <c r="I705" s="286"/>
      <c r="J705" s="286"/>
      <c r="K705" s="399"/>
      <c r="L705" s="399"/>
      <c r="M705" s="286"/>
      <c r="N705" s="286"/>
      <c r="O705" s="286"/>
      <c r="P705" s="286"/>
      <c r="Q705" s="286"/>
      <c r="R705" s="286"/>
      <c r="S705" s="286"/>
      <c r="T705" s="286"/>
      <c r="U705" s="286"/>
      <c r="V705" s="286"/>
      <c r="W705" s="286"/>
    </row>
    <row r="706">
      <c r="A706" s="286"/>
      <c r="B706" s="286"/>
      <c r="C706" s="286"/>
      <c r="D706" s="286"/>
      <c r="E706" s="286"/>
      <c r="F706" s="286"/>
      <c r="G706" s="286"/>
      <c r="H706" s="286"/>
      <c r="I706" s="286"/>
      <c r="J706" s="286"/>
      <c r="K706" s="399"/>
      <c r="L706" s="399"/>
      <c r="M706" s="286"/>
      <c r="N706" s="286"/>
      <c r="O706" s="286"/>
      <c r="P706" s="286"/>
      <c r="Q706" s="286"/>
      <c r="R706" s="286"/>
      <c r="S706" s="286"/>
      <c r="T706" s="286"/>
      <c r="U706" s="286"/>
      <c r="V706" s="286"/>
      <c r="W706" s="286"/>
    </row>
    <row r="707">
      <c r="A707" s="286"/>
      <c r="B707" s="286"/>
      <c r="C707" s="286"/>
      <c r="D707" s="286"/>
      <c r="E707" s="286"/>
      <c r="F707" s="286"/>
      <c r="G707" s="286"/>
      <c r="H707" s="286"/>
      <c r="I707" s="286"/>
      <c r="J707" s="286"/>
      <c r="K707" s="399"/>
      <c r="L707" s="399"/>
      <c r="M707" s="286"/>
      <c r="N707" s="286"/>
      <c r="O707" s="286"/>
      <c r="P707" s="286"/>
      <c r="Q707" s="286"/>
      <c r="R707" s="286"/>
      <c r="S707" s="286"/>
      <c r="T707" s="286"/>
      <c r="U707" s="286"/>
      <c r="V707" s="286"/>
      <c r="W707" s="286"/>
    </row>
    <row r="708">
      <c r="A708" s="286"/>
      <c r="B708" s="286"/>
      <c r="C708" s="286"/>
      <c r="D708" s="286"/>
      <c r="E708" s="286"/>
      <c r="F708" s="286"/>
      <c r="G708" s="286"/>
      <c r="H708" s="286"/>
      <c r="I708" s="286"/>
      <c r="J708" s="286"/>
      <c r="K708" s="399"/>
      <c r="L708" s="399"/>
      <c r="M708" s="286"/>
      <c r="N708" s="286"/>
      <c r="O708" s="286"/>
      <c r="P708" s="286"/>
      <c r="Q708" s="286"/>
      <c r="R708" s="286"/>
      <c r="S708" s="286"/>
      <c r="T708" s="286"/>
      <c r="U708" s="286"/>
      <c r="V708" s="286"/>
      <c r="W708" s="286"/>
    </row>
    <row r="709">
      <c r="A709" s="286"/>
      <c r="B709" s="286"/>
      <c r="C709" s="286"/>
      <c r="D709" s="286"/>
      <c r="E709" s="286"/>
      <c r="F709" s="286"/>
      <c r="G709" s="286"/>
      <c r="H709" s="286"/>
      <c r="I709" s="286"/>
      <c r="J709" s="286"/>
      <c r="K709" s="399"/>
      <c r="L709" s="399"/>
      <c r="M709" s="286"/>
      <c r="N709" s="286"/>
      <c r="O709" s="286"/>
      <c r="P709" s="286"/>
      <c r="Q709" s="286"/>
      <c r="R709" s="286"/>
      <c r="S709" s="286"/>
      <c r="T709" s="286"/>
      <c r="U709" s="286"/>
      <c r="V709" s="286"/>
      <c r="W709" s="286"/>
    </row>
    <row r="710">
      <c r="A710" s="286"/>
      <c r="B710" s="286"/>
      <c r="C710" s="286"/>
      <c r="D710" s="286"/>
      <c r="E710" s="286"/>
      <c r="F710" s="286"/>
      <c r="G710" s="286"/>
      <c r="H710" s="286"/>
      <c r="I710" s="286"/>
      <c r="J710" s="286"/>
      <c r="K710" s="399"/>
      <c r="L710" s="399"/>
      <c r="M710" s="286"/>
      <c r="N710" s="286"/>
      <c r="O710" s="286"/>
      <c r="P710" s="286"/>
      <c r="Q710" s="286"/>
      <c r="R710" s="286"/>
      <c r="S710" s="286"/>
      <c r="T710" s="286"/>
      <c r="U710" s="286"/>
      <c r="V710" s="286"/>
      <c r="W710" s="286"/>
    </row>
    <row r="711">
      <c r="A711" s="286"/>
      <c r="B711" s="286"/>
      <c r="C711" s="286"/>
      <c r="D711" s="286"/>
      <c r="E711" s="286"/>
      <c r="F711" s="286"/>
      <c r="G711" s="286"/>
      <c r="H711" s="286"/>
      <c r="I711" s="286"/>
      <c r="J711" s="286"/>
      <c r="K711" s="399"/>
      <c r="L711" s="399"/>
      <c r="M711" s="286"/>
      <c r="N711" s="286"/>
      <c r="O711" s="286"/>
      <c r="P711" s="286"/>
      <c r="Q711" s="286"/>
      <c r="R711" s="286"/>
      <c r="S711" s="286"/>
      <c r="T711" s="286"/>
      <c r="U711" s="286"/>
      <c r="V711" s="286"/>
      <c r="W711" s="286"/>
    </row>
    <row r="712">
      <c r="A712" s="286"/>
      <c r="B712" s="286"/>
      <c r="C712" s="286"/>
      <c r="D712" s="286"/>
      <c r="E712" s="286"/>
      <c r="F712" s="286"/>
      <c r="G712" s="286"/>
      <c r="H712" s="286"/>
      <c r="I712" s="286"/>
      <c r="J712" s="286"/>
      <c r="K712" s="399"/>
      <c r="L712" s="399"/>
      <c r="M712" s="286"/>
      <c r="N712" s="286"/>
      <c r="O712" s="286"/>
      <c r="P712" s="286"/>
      <c r="Q712" s="286"/>
      <c r="R712" s="286"/>
      <c r="S712" s="286"/>
      <c r="T712" s="286"/>
      <c r="U712" s="286"/>
      <c r="V712" s="286"/>
      <c r="W712" s="286"/>
    </row>
    <row r="713">
      <c r="A713" s="286"/>
      <c r="B713" s="286"/>
      <c r="C713" s="286"/>
      <c r="D713" s="286"/>
      <c r="E713" s="286"/>
      <c r="F713" s="286"/>
      <c r="G713" s="286"/>
      <c r="H713" s="286"/>
      <c r="I713" s="286"/>
      <c r="J713" s="286"/>
      <c r="K713" s="399"/>
      <c r="L713" s="399"/>
      <c r="M713" s="286"/>
      <c r="N713" s="286"/>
      <c r="O713" s="286"/>
      <c r="P713" s="286"/>
      <c r="Q713" s="286"/>
      <c r="R713" s="286"/>
      <c r="S713" s="286"/>
      <c r="T713" s="286"/>
      <c r="U713" s="286"/>
      <c r="V713" s="286"/>
      <c r="W713" s="286"/>
    </row>
    <row r="714">
      <c r="A714" s="286"/>
      <c r="B714" s="286"/>
      <c r="C714" s="286"/>
      <c r="D714" s="286"/>
      <c r="E714" s="286"/>
      <c r="F714" s="286"/>
      <c r="G714" s="286"/>
      <c r="H714" s="286"/>
      <c r="I714" s="286"/>
      <c r="J714" s="286"/>
      <c r="K714" s="399"/>
      <c r="L714" s="399"/>
      <c r="M714" s="286"/>
      <c r="N714" s="286"/>
      <c r="O714" s="286"/>
      <c r="P714" s="286"/>
      <c r="Q714" s="286"/>
      <c r="R714" s="286"/>
      <c r="S714" s="286"/>
      <c r="T714" s="286"/>
      <c r="U714" s="286"/>
      <c r="V714" s="286"/>
      <c r="W714" s="286"/>
    </row>
    <row r="715">
      <c r="A715" s="286"/>
      <c r="B715" s="286"/>
      <c r="C715" s="286"/>
      <c r="D715" s="286"/>
      <c r="E715" s="286"/>
      <c r="F715" s="286"/>
      <c r="G715" s="286"/>
      <c r="H715" s="286"/>
      <c r="I715" s="286"/>
      <c r="J715" s="286"/>
      <c r="K715" s="399"/>
      <c r="L715" s="399"/>
      <c r="M715" s="286"/>
      <c r="N715" s="286"/>
      <c r="O715" s="286"/>
      <c r="P715" s="286"/>
      <c r="Q715" s="286"/>
      <c r="R715" s="286"/>
      <c r="S715" s="286"/>
      <c r="T715" s="286"/>
      <c r="U715" s="286"/>
      <c r="V715" s="286"/>
      <c r="W715" s="286"/>
    </row>
    <row r="716">
      <c r="A716" s="286"/>
      <c r="B716" s="286"/>
      <c r="C716" s="286"/>
      <c r="D716" s="286"/>
      <c r="E716" s="286"/>
      <c r="F716" s="286"/>
      <c r="G716" s="286"/>
      <c r="H716" s="286"/>
      <c r="I716" s="286"/>
      <c r="J716" s="286"/>
      <c r="K716" s="399"/>
      <c r="L716" s="399"/>
      <c r="M716" s="286"/>
      <c r="N716" s="286"/>
      <c r="O716" s="286"/>
      <c r="P716" s="286"/>
      <c r="Q716" s="286"/>
      <c r="R716" s="286"/>
      <c r="S716" s="286"/>
      <c r="T716" s="286"/>
      <c r="U716" s="286"/>
      <c r="V716" s="286"/>
      <c r="W716" s="286"/>
    </row>
    <row r="717">
      <c r="A717" s="286"/>
      <c r="B717" s="286"/>
      <c r="C717" s="286"/>
      <c r="D717" s="286"/>
      <c r="E717" s="286"/>
      <c r="F717" s="286"/>
      <c r="G717" s="286"/>
      <c r="H717" s="286"/>
      <c r="I717" s="286"/>
      <c r="J717" s="286"/>
      <c r="K717" s="399"/>
      <c r="L717" s="399"/>
      <c r="M717" s="286"/>
      <c r="N717" s="286"/>
      <c r="O717" s="286"/>
      <c r="P717" s="286"/>
      <c r="Q717" s="286"/>
      <c r="R717" s="286"/>
      <c r="S717" s="286"/>
      <c r="T717" s="286"/>
      <c r="U717" s="286"/>
      <c r="V717" s="286"/>
      <c r="W717" s="286"/>
    </row>
    <row r="718">
      <c r="A718" s="286"/>
      <c r="B718" s="286"/>
      <c r="C718" s="286"/>
      <c r="D718" s="286"/>
      <c r="E718" s="286"/>
      <c r="F718" s="286"/>
      <c r="G718" s="286"/>
      <c r="H718" s="286"/>
      <c r="I718" s="286"/>
      <c r="J718" s="286"/>
      <c r="K718" s="399"/>
      <c r="L718" s="399"/>
      <c r="M718" s="286"/>
      <c r="N718" s="286"/>
      <c r="O718" s="286"/>
      <c r="P718" s="286"/>
      <c r="Q718" s="286"/>
      <c r="R718" s="286"/>
      <c r="S718" s="286"/>
      <c r="T718" s="286"/>
      <c r="U718" s="286"/>
      <c r="V718" s="286"/>
      <c r="W718" s="286"/>
    </row>
    <row r="719">
      <c r="A719" s="286"/>
      <c r="B719" s="286"/>
      <c r="C719" s="286"/>
      <c r="D719" s="286"/>
      <c r="E719" s="286"/>
      <c r="F719" s="286"/>
      <c r="G719" s="286"/>
      <c r="H719" s="286"/>
      <c r="I719" s="286"/>
      <c r="J719" s="286"/>
      <c r="K719" s="399"/>
      <c r="L719" s="399"/>
      <c r="M719" s="286"/>
      <c r="N719" s="286"/>
      <c r="O719" s="286"/>
      <c r="P719" s="286"/>
      <c r="Q719" s="286"/>
      <c r="R719" s="286"/>
      <c r="S719" s="286"/>
      <c r="T719" s="286"/>
      <c r="U719" s="286"/>
      <c r="V719" s="286"/>
      <c r="W719" s="286"/>
    </row>
    <row r="720">
      <c r="A720" s="286"/>
      <c r="B720" s="286"/>
      <c r="C720" s="286"/>
      <c r="D720" s="286"/>
      <c r="E720" s="286"/>
      <c r="F720" s="286"/>
      <c r="G720" s="286"/>
      <c r="H720" s="286"/>
      <c r="I720" s="286"/>
      <c r="J720" s="286"/>
      <c r="K720" s="399"/>
      <c r="L720" s="399"/>
      <c r="M720" s="286"/>
      <c r="N720" s="286"/>
      <c r="O720" s="286"/>
      <c r="P720" s="286"/>
      <c r="Q720" s="286"/>
      <c r="R720" s="286"/>
      <c r="S720" s="286"/>
      <c r="T720" s="286"/>
      <c r="U720" s="286"/>
      <c r="V720" s="286"/>
      <c r="W720" s="286"/>
    </row>
    <row r="721">
      <c r="A721" s="286"/>
      <c r="B721" s="286"/>
      <c r="C721" s="286"/>
      <c r="D721" s="286"/>
      <c r="E721" s="286"/>
      <c r="F721" s="286"/>
      <c r="G721" s="286"/>
      <c r="H721" s="286"/>
      <c r="I721" s="286"/>
      <c r="J721" s="286"/>
      <c r="K721" s="399"/>
      <c r="L721" s="399"/>
      <c r="M721" s="286"/>
      <c r="N721" s="286"/>
      <c r="O721" s="286"/>
      <c r="P721" s="286"/>
      <c r="Q721" s="286"/>
      <c r="R721" s="286"/>
      <c r="S721" s="286"/>
      <c r="T721" s="286"/>
      <c r="U721" s="286"/>
      <c r="V721" s="286"/>
      <c r="W721" s="286"/>
    </row>
    <row r="722">
      <c r="A722" s="286"/>
      <c r="B722" s="286"/>
      <c r="C722" s="286"/>
      <c r="D722" s="286"/>
      <c r="E722" s="286"/>
      <c r="F722" s="286"/>
      <c r="G722" s="286"/>
      <c r="H722" s="286"/>
      <c r="I722" s="286"/>
      <c r="J722" s="286"/>
      <c r="K722" s="399"/>
      <c r="L722" s="399"/>
      <c r="M722" s="286"/>
      <c r="N722" s="286"/>
      <c r="O722" s="286"/>
      <c r="P722" s="286"/>
      <c r="Q722" s="286"/>
      <c r="R722" s="286"/>
      <c r="S722" s="286"/>
      <c r="T722" s="286"/>
      <c r="U722" s="286"/>
      <c r="V722" s="286"/>
      <c r="W722" s="286"/>
    </row>
    <row r="723">
      <c r="A723" s="286"/>
      <c r="B723" s="286"/>
      <c r="C723" s="286"/>
      <c r="D723" s="286"/>
      <c r="E723" s="286"/>
      <c r="F723" s="286"/>
      <c r="G723" s="286"/>
      <c r="H723" s="286"/>
      <c r="I723" s="286"/>
      <c r="J723" s="286"/>
      <c r="K723" s="399"/>
      <c r="L723" s="399"/>
      <c r="M723" s="286"/>
      <c r="N723" s="286"/>
      <c r="O723" s="286"/>
      <c r="P723" s="286"/>
      <c r="Q723" s="286"/>
      <c r="R723" s="286"/>
      <c r="S723" s="286"/>
      <c r="T723" s="286"/>
      <c r="U723" s="286"/>
      <c r="V723" s="286"/>
      <c r="W723" s="286"/>
    </row>
    <row r="724">
      <c r="A724" s="286"/>
      <c r="B724" s="286"/>
      <c r="C724" s="286"/>
      <c r="D724" s="286"/>
      <c r="E724" s="286"/>
      <c r="F724" s="286"/>
      <c r="G724" s="286"/>
      <c r="H724" s="286"/>
      <c r="I724" s="286"/>
      <c r="J724" s="286"/>
      <c r="K724" s="399"/>
      <c r="L724" s="399"/>
      <c r="M724" s="286"/>
      <c r="N724" s="286"/>
      <c r="O724" s="286"/>
      <c r="P724" s="286"/>
      <c r="Q724" s="286"/>
      <c r="R724" s="286"/>
      <c r="S724" s="286"/>
      <c r="T724" s="286"/>
      <c r="U724" s="286"/>
      <c r="V724" s="286"/>
      <c r="W724" s="286"/>
    </row>
    <row r="725">
      <c r="A725" s="286"/>
      <c r="B725" s="286"/>
      <c r="C725" s="286"/>
      <c r="D725" s="286"/>
      <c r="E725" s="286"/>
      <c r="F725" s="286"/>
      <c r="G725" s="286"/>
      <c r="H725" s="286"/>
      <c r="I725" s="286"/>
      <c r="J725" s="286"/>
      <c r="K725" s="399"/>
      <c r="L725" s="399"/>
      <c r="M725" s="286"/>
      <c r="N725" s="286"/>
      <c r="O725" s="286"/>
      <c r="P725" s="286"/>
      <c r="Q725" s="286"/>
      <c r="R725" s="286"/>
      <c r="S725" s="286"/>
      <c r="T725" s="286"/>
      <c r="U725" s="286"/>
      <c r="V725" s="286"/>
      <c r="W725" s="286"/>
    </row>
    <row r="726">
      <c r="A726" s="286"/>
      <c r="B726" s="286"/>
      <c r="C726" s="286"/>
      <c r="D726" s="286"/>
      <c r="E726" s="286"/>
      <c r="F726" s="286"/>
      <c r="G726" s="286"/>
      <c r="H726" s="286"/>
      <c r="I726" s="286"/>
      <c r="J726" s="286"/>
      <c r="K726" s="399"/>
      <c r="L726" s="399"/>
      <c r="M726" s="286"/>
      <c r="N726" s="286"/>
      <c r="O726" s="286"/>
      <c r="P726" s="286"/>
      <c r="Q726" s="286"/>
      <c r="R726" s="286"/>
      <c r="S726" s="286"/>
      <c r="T726" s="286"/>
      <c r="U726" s="286"/>
      <c r="V726" s="286"/>
      <c r="W726" s="286"/>
    </row>
    <row r="727">
      <c r="A727" s="286"/>
      <c r="B727" s="286"/>
      <c r="C727" s="286"/>
      <c r="D727" s="286"/>
      <c r="E727" s="286"/>
      <c r="F727" s="286"/>
      <c r="G727" s="286"/>
      <c r="H727" s="286"/>
      <c r="I727" s="286"/>
      <c r="J727" s="286"/>
      <c r="K727" s="399"/>
      <c r="L727" s="399"/>
      <c r="M727" s="286"/>
      <c r="N727" s="286"/>
      <c r="O727" s="286"/>
      <c r="P727" s="286"/>
      <c r="Q727" s="286"/>
      <c r="R727" s="286"/>
      <c r="S727" s="286"/>
      <c r="T727" s="286"/>
      <c r="U727" s="286"/>
      <c r="V727" s="286"/>
      <c r="W727" s="286"/>
    </row>
    <row r="728">
      <c r="A728" s="286"/>
      <c r="B728" s="286"/>
      <c r="C728" s="286"/>
      <c r="D728" s="286"/>
      <c r="E728" s="286"/>
      <c r="F728" s="286"/>
      <c r="G728" s="286"/>
      <c r="H728" s="286"/>
      <c r="I728" s="286"/>
      <c r="J728" s="286"/>
      <c r="K728" s="399"/>
      <c r="L728" s="399"/>
      <c r="M728" s="286"/>
      <c r="N728" s="286"/>
      <c r="O728" s="286"/>
      <c r="P728" s="286"/>
      <c r="Q728" s="286"/>
      <c r="R728" s="286"/>
      <c r="S728" s="286"/>
      <c r="T728" s="286"/>
      <c r="U728" s="286"/>
      <c r="V728" s="286"/>
      <c r="W728" s="286"/>
    </row>
    <row r="729">
      <c r="A729" s="286"/>
      <c r="B729" s="286"/>
      <c r="C729" s="286"/>
      <c r="D729" s="286"/>
      <c r="E729" s="286"/>
      <c r="F729" s="286"/>
      <c r="G729" s="286"/>
      <c r="H729" s="286"/>
      <c r="I729" s="286"/>
      <c r="J729" s="286"/>
      <c r="K729" s="399"/>
      <c r="L729" s="399"/>
      <c r="M729" s="286"/>
      <c r="N729" s="286"/>
      <c r="O729" s="286"/>
      <c r="P729" s="286"/>
      <c r="Q729" s="286"/>
      <c r="R729" s="286"/>
      <c r="S729" s="286"/>
      <c r="T729" s="286"/>
      <c r="U729" s="286"/>
      <c r="V729" s="286"/>
      <c r="W729" s="286"/>
    </row>
    <row r="730">
      <c r="A730" s="286"/>
      <c r="B730" s="286"/>
      <c r="C730" s="286"/>
      <c r="D730" s="286"/>
      <c r="E730" s="286"/>
      <c r="F730" s="286"/>
      <c r="G730" s="286"/>
      <c r="H730" s="286"/>
      <c r="I730" s="286"/>
      <c r="J730" s="286"/>
      <c r="K730" s="399"/>
      <c r="L730" s="399"/>
      <c r="M730" s="286"/>
      <c r="N730" s="286"/>
      <c r="O730" s="286"/>
      <c r="P730" s="286"/>
      <c r="Q730" s="286"/>
      <c r="R730" s="286"/>
      <c r="S730" s="286"/>
      <c r="T730" s="286"/>
      <c r="U730" s="286"/>
      <c r="V730" s="286"/>
      <c r="W730" s="286"/>
    </row>
    <row r="731">
      <c r="A731" s="286"/>
      <c r="B731" s="286"/>
      <c r="C731" s="286"/>
      <c r="D731" s="286"/>
      <c r="E731" s="286"/>
      <c r="F731" s="286"/>
      <c r="G731" s="286"/>
      <c r="H731" s="286"/>
      <c r="I731" s="286"/>
      <c r="J731" s="286"/>
      <c r="K731" s="399"/>
      <c r="L731" s="399"/>
      <c r="M731" s="286"/>
      <c r="N731" s="286"/>
      <c r="O731" s="286"/>
      <c r="P731" s="286"/>
      <c r="Q731" s="286"/>
      <c r="R731" s="286"/>
      <c r="S731" s="286"/>
      <c r="T731" s="286"/>
      <c r="U731" s="286"/>
      <c r="V731" s="286"/>
      <c r="W731" s="286"/>
    </row>
    <row r="732">
      <c r="A732" s="286"/>
      <c r="B732" s="286"/>
      <c r="C732" s="286"/>
      <c r="D732" s="286"/>
      <c r="E732" s="286"/>
      <c r="F732" s="286"/>
      <c r="G732" s="286"/>
      <c r="H732" s="286"/>
      <c r="I732" s="286"/>
      <c r="J732" s="286"/>
      <c r="K732" s="399"/>
      <c r="L732" s="399"/>
      <c r="M732" s="286"/>
      <c r="N732" s="286"/>
      <c r="O732" s="286"/>
      <c r="P732" s="286"/>
      <c r="Q732" s="286"/>
      <c r="R732" s="286"/>
      <c r="S732" s="286"/>
      <c r="T732" s="286"/>
      <c r="U732" s="286"/>
      <c r="V732" s="286"/>
      <c r="W732" s="286"/>
    </row>
    <row r="733">
      <c r="A733" s="286"/>
      <c r="B733" s="286"/>
      <c r="C733" s="286"/>
      <c r="D733" s="286"/>
      <c r="E733" s="286"/>
      <c r="F733" s="286"/>
      <c r="G733" s="286"/>
      <c r="H733" s="286"/>
      <c r="I733" s="286"/>
      <c r="J733" s="286"/>
      <c r="K733" s="399"/>
      <c r="L733" s="399"/>
      <c r="M733" s="286"/>
      <c r="N733" s="286"/>
      <c r="O733" s="286"/>
      <c r="P733" s="286"/>
      <c r="Q733" s="286"/>
      <c r="R733" s="286"/>
      <c r="S733" s="286"/>
      <c r="T733" s="286"/>
      <c r="U733" s="286"/>
      <c r="V733" s="286"/>
      <c r="W733" s="286"/>
    </row>
    <row r="734">
      <c r="A734" s="286"/>
      <c r="B734" s="286"/>
      <c r="C734" s="286"/>
      <c r="D734" s="286"/>
      <c r="E734" s="286"/>
      <c r="F734" s="286"/>
      <c r="G734" s="286"/>
      <c r="H734" s="286"/>
      <c r="I734" s="286"/>
      <c r="J734" s="286"/>
      <c r="K734" s="399"/>
      <c r="L734" s="399"/>
      <c r="M734" s="286"/>
      <c r="N734" s="286"/>
      <c r="O734" s="286"/>
      <c r="P734" s="286"/>
      <c r="Q734" s="286"/>
      <c r="R734" s="286"/>
      <c r="S734" s="286"/>
      <c r="T734" s="286"/>
      <c r="U734" s="286"/>
      <c r="V734" s="286"/>
      <c r="W734" s="286"/>
    </row>
    <row r="735">
      <c r="A735" s="286"/>
      <c r="B735" s="286"/>
      <c r="C735" s="286"/>
      <c r="D735" s="286"/>
      <c r="E735" s="286"/>
      <c r="F735" s="286"/>
      <c r="G735" s="286"/>
      <c r="H735" s="286"/>
      <c r="I735" s="286"/>
      <c r="J735" s="286"/>
      <c r="K735" s="399"/>
      <c r="L735" s="399"/>
      <c r="M735" s="286"/>
      <c r="N735" s="286"/>
      <c r="O735" s="286"/>
      <c r="P735" s="286"/>
      <c r="Q735" s="286"/>
      <c r="R735" s="286"/>
      <c r="S735" s="286"/>
      <c r="T735" s="286"/>
      <c r="U735" s="286"/>
      <c r="V735" s="286"/>
      <c r="W735" s="286"/>
    </row>
    <row r="736">
      <c r="A736" s="286"/>
      <c r="B736" s="286"/>
      <c r="C736" s="286"/>
      <c r="D736" s="286"/>
      <c r="E736" s="286"/>
      <c r="F736" s="286"/>
      <c r="G736" s="286"/>
      <c r="H736" s="286"/>
      <c r="I736" s="286"/>
      <c r="J736" s="286"/>
      <c r="K736" s="399"/>
      <c r="L736" s="399"/>
      <c r="M736" s="286"/>
      <c r="N736" s="286"/>
      <c r="O736" s="286"/>
      <c r="P736" s="286"/>
      <c r="Q736" s="286"/>
      <c r="R736" s="286"/>
      <c r="S736" s="286"/>
      <c r="T736" s="286"/>
      <c r="U736" s="286"/>
      <c r="V736" s="286"/>
      <c r="W736" s="286"/>
    </row>
    <row r="737">
      <c r="A737" s="286"/>
      <c r="B737" s="286"/>
      <c r="C737" s="286"/>
      <c r="D737" s="286"/>
      <c r="E737" s="286"/>
      <c r="F737" s="286"/>
      <c r="G737" s="286"/>
      <c r="H737" s="286"/>
      <c r="I737" s="286"/>
      <c r="J737" s="286"/>
      <c r="K737" s="399"/>
      <c r="L737" s="399"/>
      <c r="M737" s="286"/>
      <c r="N737" s="286"/>
      <c r="O737" s="286"/>
      <c r="P737" s="286"/>
      <c r="Q737" s="286"/>
      <c r="R737" s="286"/>
      <c r="S737" s="286"/>
      <c r="T737" s="286"/>
      <c r="U737" s="286"/>
      <c r="V737" s="286"/>
      <c r="W737" s="286"/>
    </row>
    <row r="738">
      <c r="A738" s="286"/>
      <c r="B738" s="286"/>
      <c r="C738" s="286"/>
      <c r="D738" s="286"/>
      <c r="E738" s="286"/>
      <c r="F738" s="286"/>
      <c r="G738" s="286"/>
      <c r="H738" s="286"/>
      <c r="I738" s="286"/>
      <c r="J738" s="286"/>
      <c r="K738" s="399"/>
      <c r="L738" s="399"/>
      <c r="M738" s="286"/>
      <c r="N738" s="286"/>
      <c r="O738" s="286"/>
      <c r="P738" s="286"/>
      <c r="Q738" s="286"/>
      <c r="R738" s="286"/>
      <c r="S738" s="286"/>
      <c r="T738" s="286"/>
      <c r="U738" s="286"/>
      <c r="V738" s="286"/>
      <c r="W738" s="286"/>
    </row>
    <row r="739">
      <c r="A739" s="286"/>
      <c r="B739" s="286"/>
      <c r="C739" s="286"/>
      <c r="D739" s="286"/>
      <c r="E739" s="286"/>
      <c r="F739" s="286"/>
      <c r="G739" s="286"/>
      <c r="H739" s="286"/>
      <c r="I739" s="286"/>
      <c r="J739" s="286"/>
      <c r="K739" s="399"/>
      <c r="L739" s="399"/>
      <c r="M739" s="286"/>
      <c r="N739" s="286"/>
      <c r="O739" s="286"/>
      <c r="P739" s="286"/>
      <c r="Q739" s="286"/>
      <c r="R739" s="286"/>
      <c r="S739" s="286"/>
      <c r="T739" s="286"/>
      <c r="U739" s="286"/>
      <c r="V739" s="286"/>
      <c r="W739" s="286"/>
    </row>
    <row r="740">
      <c r="A740" s="286"/>
      <c r="B740" s="286"/>
      <c r="C740" s="286"/>
      <c r="D740" s="286"/>
      <c r="E740" s="286"/>
      <c r="F740" s="286"/>
      <c r="G740" s="286"/>
      <c r="H740" s="286"/>
      <c r="I740" s="286"/>
      <c r="J740" s="286"/>
      <c r="K740" s="399"/>
      <c r="L740" s="399"/>
      <c r="M740" s="286"/>
      <c r="N740" s="286"/>
      <c r="O740" s="286"/>
      <c r="P740" s="286"/>
      <c r="Q740" s="286"/>
      <c r="R740" s="286"/>
      <c r="S740" s="286"/>
      <c r="T740" s="286"/>
      <c r="U740" s="286"/>
      <c r="V740" s="286"/>
      <c r="W740" s="286"/>
    </row>
    <row r="741">
      <c r="A741" s="286"/>
      <c r="B741" s="286"/>
      <c r="C741" s="286"/>
      <c r="D741" s="286"/>
      <c r="E741" s="286"/>
      <c r="F741" s="286"/>
      <c r="G741" s="286"/>
      <c r="H741" s="286"/>
      <c r="I741" s="286"/>
      <c r="J741" s="286"/>
      <c r="K741" s="399"/>
      <c r="L741" s="399"/>
      <c r="M741" s="286"/>
      <c r="N741" s="286"/>
      <c r="O741" s="286"/>
      <c r="P741" s="286"/>
      <c r="Q741" s="286"/>
      <c r="R741" s="286"/>
      <c r="S741" s="286"/>
      <c r="T741" s="286"/>
      <c r="U741" s="286"/>
      <c r="V741" s="286"/>
      <c r="W741" s="286"/>
    </row>
    <row r="742">
      <c r="A742" s="286"/>
      <c r="B742" s="286"/>
      <c r="C742" s="286"/>
      <c r="D742" s="286"/>
      <c r="E742" s="286"/>
      <c r="F742" s="286"/>
      <c r="G742" s="286"/>
      <c r="H742" s="286"/>
      <c r="I742" s="286"/>
      <c r="J742" s="286"/>
      <c r="K742" s="399"/>
      <c r="L742" s="399"/>
      <c r="M742" s="286"/>
      <c r="N742" s="286"/>
      <c r="O742" s="286"/>
      <c r="P742" s="286"/>
      <c r="Q742" s="286"/>
      <c r="R742" s="286"/>
      <c r="S742" s="286"/>
      <c r="T742" s="286"/>
      <c r="U742" s="286"/>
      <c r="V742" s="286"/>
      <c r="W742" s="286"/>
    </row>
    <row r="743">
      <c r="A743" s="286"/>
      <c r="B743" s="286"/>
      <c r="C743" s="286"/>
      <c r="D743" s="286"/>
      <c r="E743" s="286"/>
      <c r="F743" s="286"/>
      <c r="G743" s="286"/>
      <c r="H743" s="286"/>
      <c r="I743" s="286"/>
      <c r="J743" s="286"/>
      <c r="K743" s="399"/>
      <c r="L743" s="399"/>
      <c r="M743" s="286"/>
      <c r="N743" s="286"/>
      <c r="O743" s="286"/>
      <c r="P743" s="286"/>
      <c r="Q743" s="286"/>
      <c r="R743" s="286"/>
      <c r="S743" s="286"/>
      <c r="T743" s="286"/>
      <c r="U743" s="286"/>
      <c r="V743" s="286"/>
      <c r="W743" s="286"/>
    </row>
    <row r="744">
      <c r="A744" s="286"/>
      <c r="B744" s="286"/>
      <c r="C744" s="286"/>
      <c r="D744" s="286"/>
      <c r="E744" s="286"/>
      <c r="F744" s="286"/>
      <c r="G744" s="286"/>
      <c r="H744" s="286"/>
      <c r="I744" s="286"/>
      <c r="J744" s="286"/>
      <c r="K744" s="399"/>
      <c r="L744" s="399"/>
      <c r="M744" s="286"/>
      <c r="N744" s="286"/>
      <c r="O744" s="286"/>
      <c r="P744" s="286"/>
      <c r="Q744" s="286"/>
      <c r="R744" s="286"/>
      <c r="S744" s="286"/>
      <c r="T744" s="286"/>
      <c r="U744" s="286"/>
      <c r="V744" s="286"/>
      <c r="W744" s="286"/>
    </row>
    <row r="745">
      <c r="A745" s="286"/>
      <c r="B745" s="286"/>
      <c r="C745" s="286"/>
      <c r="D745" s="286"/>
      <c r="E745" s="286"/>
      <c r="F745" s="286"/>
      <c r="G745" s="286"/>
      <c r="H745" s="286"/>
      <c r="I745" s="286"/>
      <c r="J745" s="286"/>
      <c r="K745" s="399"/>
      <c r="L745" s="399"/>
      <c r="M745" s="286"/>
      <c r="N745" s="286"/>
      <c r="O745" s="286"/>
      <c r="P745" s="286"/>
      <c r="Q745" s="286"/>
      <c r="R745" s="286"/>
      <c r="S745" s="286"/>
      <c r="T745" s="286"/>
      <c r="U745" s="286"/>
      <c r="V745" s="286"/>
      <c r="W745" s="286"/>
    </row>
    <row r="746">
      <c r="A746" s="286"/>
      <c r="B746" s="286"/>
      <c r="C746" s="286"/>
      <c r="D746" s="286"/>
      <c r="E746" s="286"/>
      <c r="F746" s="286"/>
      <c r="G746" s="286"/>
      <c r="H746" s="286"/>
      <c r="I746" s="286"/>
      <c r="J746" s="286"/>
      <c r="K746" s="399"/>
      <c r="L746" s="399"/>
      <c r="M746" s="286"/>
      <c r="N746" s="286"/>
      <c r="O746" s="286"/>
      <c r="P746" s="286"/>
      <c r="Q746" s="286"/>
      <c r="R746" s="286"/>
      <c r="S746" s="286"/>
      <c r="T746" s="286"/>
      <c r="U746" s="286"/>
      <c r="V746" s="286"/>
      <c r="W746" s="286"/>
    </row>
    <row r="747">
      <c r="A747" s="286"/>
      <c r="B747" s="286"/>
      <c r="C747" s="286"/>
      <c r="D747" s="286"/>
      <c r="E747" s="286"/>
      <c r="F747" s="286"/>
      <c r="G747" s="286"/>
      <c r="H747" s="286"/>
      <c r="I747" s="286"/>
      <c r="J747" s="286"/>
      <c r="K747" s="399"/>
      <c r="L747" s="399"/>
      <c r="M747" s="286"/>
      <c r="N747" s="286"/>
      <c r="O747" s="286"/>
      <c r="P747" s="286"/>
      <c r="Q747" s="286"/>
      <c r="R747" s="286"/>
      <c r="S747" s="286"/>
      <c r="T747" s="286"/>
      <c r="U747" s="286"/>
      <c r="V747" s="286"/>
      <c r="W747" s="286"/>
    </row>
    <row r="748">
      <c r="A748" s="286"/>
      <c r="B748" s="286"/>
      <c r="C748" s="286"/>
      <c r="D748" s="286"/>
      <c r="E748" s="286"/>
      <c r="F748" s="286"/>
      <c r="G748" s="286"/>
      <c r="H748" s="286"/>
      <c r="I748" s="286"/>
      <c r="J748" s="286"/>
      <c r="K748" s="399"/>
      <c r="L748" s="399"/>
      <c r="M748" s="286"/>
      <c r="N748" s="286"/>
      <c r="O748" s="286"/>
      <c r="P748" s="286"/>
      <c r="Q748" s="286"/>
      <c r="R748" s="286"/>
      <c r="S748" s="286"/>
      <c r="T748" s="286"/>
      <c r="U748" s="286"/>
      <c r="V748" s="286"/>
      <c r="W748" s="286"/>
    </row>
    <row r="749">
      <c r="A749" s="286"/>
      <c r="B749" s="286"/>
      <c r="C749" s="286"/>
      <c r="D749" s="286"/>
      <c r="E749" s="286"/>
      <c r="F749" s="286"/>
      <c r="G749" s="286"/>
      <c r="H749" s="286"/>
      <c r="I749" s="286"/>
      <c r="J749" s="286"/>
      <c r="K749" s="399"/>
      <c r="L749" s="399"/>
      <c r="M749" s="286"/>
      <c r="N749" s="286"/>
      <c r="O749" s="286"/>
      <c r="P749" s="286"/>
      <c r="Q749" s="286"/>
      <c r="R749" s="286"/>
      <c r="S749" s="286"/>
      <c r="T749" s="286"/>
      <c r="U749" s="286"/>
      <c r="V749" s="286"/>
      <c r="W749" s="286"/>
    </row>
    <row r="750">
      <c r="A750" s="286"/>
      <c r="B750" s="286"/>
      <c r="C750" s="286"/>
      <c r="D750" s="286"/>
      <c r="E750" s="286"/>
      <c r="F750" s="286"/>
      <c r="G750" s="286"/>
      <c r="H750" s="286"/>
      <c r="I750" s="286"/>
      <c r="J750" s="286"/>
      <c r="K750" s="399"/>
      <c r="L750" s="399"/>
      <c r="M750" s="286"/>
      <c r="N750" s="286"/>
      <c r="O750" s="286"/>
      <c r="P750" s="286"/>
      <c r="Q750" s="286"/>
      <c r="R750" s="286"/>
      <c r="S750" s="286"/>
      <c r="T750" s="286"/>
      <c r="U750" s="286"/>
      <c r="V750" s="286"/>
      <c r="W750" s="286"/>
    </row>
    <row r="751">
      <c r="A751" s="286"/>
      <c r="B751" s="286"/>
      <c r="C751" s="286"/>
      <c r="D751" s="286"/>
      <c r="E751" s="286"/>
      <c r="F751" s="286"/>
      <c r="G751" s="286"/>
      <c r="H751" s="286"/>
      <c r="I751" s="286"/>
      <c r="J751" s="286"/>
      <c r="K751" s="399"/>
      <c r="L751" s="399"/>
      <c r="M751" s="286"/>
      <c r="N751" s="286"/>
      <c r="O751" s="286"/>
      <c r="P751" s="286"/>
      <c r="Q751" s="286"/>
      <c r="R751" s="286"/>
      <c r="S751" s="286"/>
      <c r="T751" s="286"/>
      <c r="U751" s="286"/>
      <c r="V751" s="286"/>
      <c r="W751" s="286"/>
    </row>
    <row r="752">
      <c r="A752" s="286"/>
      <c r="B752" s="286"/>
      <c r="C752" s="286"/>
      <c r="D752" s="286"/>
      <c r="E752" s="286"/>
      <c r="F752" s="286"/>
      <c r="G752" s="286"/>
      <c r="H752" s="286"/>
      <c r="I752" s="286"/>
      <c r="J752" s="286"/>
      <c r="K752" s="399"/>
      <c r="L752" s="399"/>
      <c r="M752" s="286"/>
      <c r="N752" s="286"/>
      <c r="O752" s="286"/>
      <c r="P752" s="286"/>
      <c r="Q752" s="286"/>
      <c r="R752" s="286"/>
      <c r="S752" s="286"/>
      <c r="T752" s="286"/>
      <c r="U752" s="286"/>
      <c r="V752" s="286"/>
      <c r="W752" s="286"/>
    </row>
    <row r="753">
      <c r="A753" s="286"/>
      <c r="B753" s="286"/>
      <c r="C753" s="286"/>
      <c r="D753" s="286"/>
      <c r="E753" s="286"/>
      <c r="F753" s="286"/>
      <c r="G753" s="286"/>
      <c r="H753" s="286"/>
      <c r="I753" s="286"/>
      <c r="J753" s="286"/>
      <c r="K753" s="399"/>
      <c r="L753" s="399"/>
      <c r="M753" s="286"/>
      <c r="N753" s="286"/>
      <c r="O753" s="286"/>
      <c r="P753" s="286"/>
      <c r="Q753" s="286"/>
      <c r="R753" s="286"/>
      <c r="S753" s="286"/>
      <c r="T753" s="286"/>
      <c r="U753" s="286"/>
      <c r="V753" s="286"/>
      <c r="W753" s="286"/>
    </row>
    <row r="754">
      <c r="A754" s="286"/>
      <c r="B754" s="286"/>
      <c r="C754" s="286"/>
      <c r="D754" s="286"/>
      <c r="E754" s="286"/>
      <c r="F754" s="286"/>
      <c r="G754" s="286"/>
      <c r="H754" s="286"/>
      <c r="I754" s="286"/>
      <c r="J754" s="286"/>
      <c r="K754" s="399"/>
      <c r="L754" s="399"/>
      <c r="M754" s="286"/>
      <c r="N754" s="286"/>
      <c r="O754" s="286"/>
      <c r="P754" s="286"/>
      <c r="Q754" s="286"/>
      <c r="R754" s="286"/>
      <c r="S754" s="286"/>
      <c r="T754" s="286"/>
      <c r="U754" s="286"/>
      <c r="V754" s="286"/>
      <c r="W754" s="286"/>
    </row>
    <row r="755">
      <c r="A755" s="286"/>
      <c r="B755" s="286"/>
      <c r="C755" s="286"/>
      <c r="D755" s="286"/>
      <c r="E755" s="286"/>
      <c r="F755" s="286"/>
      <c r="G755" s="286"/>
      <c r="H755" s="286"/>
      <c r="I755" s="286"/>
      <c r="J755" s="286"/>
      <c r="K755" s="399"/>
      <c r="L755" s="399"/>
      <c r="M755" s="286"/>
      <c r="N755" s="286"/>
      <c r="O755" s="286"/>
      <c r="P755" s="286"/>
      <c r="Q755" s="286"/>
      <c r="R755" s="286"/>
      <c r="S755" s="286"/>
      <c r="T755" s="286"/>
      <c r="U755" s="286"/>
      <c r="V755" s="286"/>
      <c r="W755" s="286"/>
    </row>
    <row r="756">
      <c r="A756" s="286"/>
      <c r="B756" s="286"/>
      <c r="C756" s="286"/>
      <c r="D756" s="286"/>
      <c r="E756" s="286"/>
      <c r="F756" s="286"/>
      <c r="G756" s="286"/>
      <c r="H756" s="286"/>
      <c r="I756" s="286"/>
      <c r="J756" s="286"/>
      <c r="K756" s="399"/>
      <c r="L756" s="399"/>
      <c r="M756" s="286"/>
      <c r="N756" s="286"/>
      <c r="O756" s="286"/>
      <c r="P756" s="286"/>
      <c r="Q756" s="286"/>
      <c r="R756" s="286"/>
      <c r="S756" s="286"/>
      <c r="T756" s="286"/>
      <c r="U756" s="286"/>
      <c r="V756" s="286"/>
      <c r="W756" s="286"/>
    </row>
    <row r="757">
      <c r="A757" s="286"/>
      <c r="B757" s="286"/>
      <c r="C757" s="286"/>
      <c r="D757" s="286"/>
      <c r="E757" s="286"/>
      <c r="F757" s="286"/>
      <c r="G757" s="286"/>
      <c r="H757" s="286"/>
      <c r="I757" s="286"/>
      <c r="J757" s="286"/>
      <c r="K757" s="399"/>
      <c r="L757" s="399"/>
      <c r="M757" s="286"/>
      <c r="N757" s="286"/>
      <c r="O757" s="286"/>
      <c r="P757" s="286"/>
      <c r="Q757" s="286"/>
      <c r="R757" s="286"/>
      <c r="S757" s="286"/>
      <c r="T757" s="286"/>
      <c r="U757" s="286"/>
      <c r="V757" s="286"/>
      <c r="W757" s="286"/>
    </row>
    <row r="758">
      <c r="A758" s="286"/>
      <c r="B758" s="286"/>
      <c r="C758" s="286"/>
      <c r="D758" s="286"/>
      <c r="E758" s="286"/>
      <c r="F758" s="286"/>
      <c r="G758" s="286"/>
      <c r="H758" s="286"/>
      <c r="I758" s="286"/>
      <c r="J758" s="286"/>
      <c r="K758" s="399"/>
      <c r="L758" s="399"/>
      <c r="M758" s="286"/>
      <c r="N758" s="286"/>
      <c r="O758" s="286"/>
      <c r="P758" s="286"/>
      <c r="Q758" s="286"/>
      <c r="R758" s="286"/>
      <c r="S758" s="286"/>
      <c r="T758" s="286"/>
      <c r="U758" s="286"/>
      <c r="V758" s="286"/>
      <c r="W758" s="286"/>
    </row>
    <row r="759">
      <c r="A759" s="286"/>
      <c r="B759" s="286"/>
      <c r="C759" s="286"/>
      <c r="D759" s="286"/>
      <c r="E759" s="286"/>
      <c r="F759" s="286"/>
      <c r="G759" s="286"/>
      <c r="H759" s="286"/>
      <c r="I759" s="286"/>
      <c r="J759" s="286"/>
      <c r="K759" s="399"/>
      <c r="L759" s="399"/>
      <c r="M759" s="286"/>
      <c r="N759" s="286"/>
      <c r="O759" s="286"/>
      <c r="P759" s="286"/>
      <c r="Q759" s="286"/>
      <c r="R759" s="286"/>
      <c r="S759" s="286"/>
      <c r="T759" s="286"/>
      <c r="U759" s="286"/>
      <c r="V759" s="286"/>
      <c r="W759" s="286"/>
    </row>
    <row r="760">
      <c r="A760" s="286"/>
      <c r="B760" s="286"/>
      <c r="C760" s="286"/>
      <c r="D760" s="286"/>
      <c r="E760" s="286"/>
      <c r="F760" s="286"/>
      <c r="G760" s="286"/>
      <c r="H760" s="286"/>
      <c r="I760" s="286"/>
      <c r="J760" s="286"/>
      <c r="K760" s="399"/>
      <c r="L760" s="399"/>
      <c r="M760" s="286"/>
      <c r="N760" s="286"/>
      <c r="O760" s="286"/>
      <c r="P760" s="286"/>
      <c r="Q760" s="286"/>
      <c r="R760" s="286"/>
      <c r="S760" s="286"/>
      <c r="T760" s="286"/>
      <c r="U760" s="286"/>
      <c r="V760" s="286"/>
      <c r="W760" s="286"/>
    </row>
    <row r="761">
      <c r="A761" s="286"/>
      <c r="B761" s="286"/>
      <c r="C761" s="286"/>
      <c r="D761" s="286"/>
      <c r="E761" s="286"/>
      <c r="F761" s="286"/>
      <c r="G761" s="286"/>
      <c r="H761" s="286"/>
      <c r="I761" s="286"/>
      <c r="J761" s="286"/>
      <c r="K761" s="399"/>
      <c r="L761" s="399"/>
      <c r="M761" s="286"/>
      <c r="N761" s="286"/>
      <c r="O761" s="286"/>
      <c r="P761" s="286"/>
      <c r="Q761" s="286"/>
      <c r="R761" s="286"/>
      <c r="S761" s="286"/>
      <c r="T761" s="286"/>
      <c r="U761" s="286"/>
      <c r="V761" s="286"/>
      <c r="W761" s="286"/>
    </row>
    <row r="762">
      <c r="A762" s="286"/>
      <c r="B762" s="286"/>
      <c r="C762" s="286"/>
      <c r="D762" s="286"/>
      <c r="E762" s="286"/>
      <c r="F762" s="286"/>
      <c r="G762" s="286"/>
      <c r="H762" s="286"/>
      <c r="I762" s="286"/>
      <c r="J762" s="286"/>
      <c r="K762" s="399"/>
      <c r="L762" s="399"/>
      <c r="M762" s="286"/>
      <c r="N762" s="286"/>
      <c r="O762" s="286"/>
      <c r="P762" s="286"/>
      <c r="Q762" s="286"/>
      <c r="R762" s="286"/>
      <c r="S762" s="286"/>
      <c r="T762" s="286"/>
      <c r="U762" s="286"/>
      <c r="V762" s="286"/>
      <c r="W762" s="286"/>
    </row>
    <row r="763">
      <c r="A763" s="286"/>
      <c r="B763" s="286"/>
      <c r="C763" s="286"/>
      <c r="D763" s="286"/>
      <c r="E763" s="286"/>
      <c r="F763" s="286"/>
      <c r="G763" s="286"/>
      <c r="H763" s="286"/>
      <c r="I763" s="286"/>
      <c r="J763" s="286"/>
      <c r="K763" s="399"/>
      <c r="L763" s="399"/>
      <c r="M763" s="286"/>
      <c r="N763" s="286"/>
      <c r="O763" s="286"/>
      <c r="P763" s="286"/>
      <c r="Q763" s="286"/>
      <c r="R763" s="286"/>
      <c r="S763" s="286"/>
      <c r="T763" s="286"/>
      <c r="U763" s="286"/>
      <c r="V763" s="286"/>
      <c r="W763" s="286"/>
    </row>
    <row r="764">
      <c r="A764" s="286"/>
      <c r="B764" s="286"/>
      <c r="C764" s="286"/>
      <c r="D764" s="286"/>
      <c r="E764" s="286"/>
      <c r="F764" s="286"/>
      <c r="G764" s="286"/>
      <c r="H764" s="286"/>
      <c r="I764" s="286"/>
      <c r="J764" s="286"/>
      <c r="K764" s="399"/>
      <c r="L764" s="399"/>
      <c r="M764" s="286"/>
      <c r="N764" s="286"/>
      <c r="O764" s="286"/>
      <c r="P764" s="286"/>
      <c r="Q764" s="286"/>
      <c r="R764" s="286"/>
      <c r="S764" s="286"/>
      <c r="T764" s="286"/>
      <c r="U764" s="286"/>
      <c r="V764" s="286"/>
      <c r="W764" s="286"/>
    </row>
    <row r="765">
      <c r="A765" s="286"/>
      <c r="B765" s="286"/>
      <c r="C765" s="286"/>
      <c r="D765" s="286"/>
      <c r="E765" s="286"/>
      <c r="F765" s="286"/>
      <c r="G765" s="286"/>
      <c r="H765" s="286"/>
      <c r="I765" s="286"/>
      <c r="J765" s="286"/>
      <c r="K765" s="399"/>
      <c r="L765" s="399"/>
      <c r="M765" s="286"/>
      <c r="N765" s="286"/>
      <c r="O765" s="286"/>
      <c r="P765" s="286"/>
      <c r="Q765" s="286"/>
      <c r="R765" s="286"/>
      <c r="S765" s="286"/>
      <c r="T765" s="286"/>
      <c r="U765" s="286"/>
      <c r="V765" s="286"/>
      <c r="W765" s="286"/>
    </row>
    <row r="766">
      <c r="A766" s="286"/>
      <c r="B766" s="286"/>
      <c r="C766" s="286"/>
      <c r="D766" s="286"/>
      <c r="E766" s="286"/>
      <c r="F766" s="286"/>
      <c r="G766" s="286"/>
      <c r="H766" s="286"/>
      <c r="I766" s="286"/>
      <c r="J766" s="286"/>
      <c r="K766" s="399"/>
      <c r="L766" s="399"/>
      <c r="M766" s="286"/>
      <c r="N766" s="286"/>
      <c r="O766" s="286"/>
      <c r="P766" s="286"/>
      <c r="Q766" s="286"/>
      <c r="R766" s="286"/>
      <c r="S766" s="286"/>
      <c r="T766" s="286"/>
      <c r="U766" s="286"/>
      <c r="V766" s="286"/>
      <c r="W766" s="286"/>
    </row>
    <row r="767">
      <c r="A767" s="286"/>
      <c r="B767" s="286"/>
      <c r="C767" s="286"/>
      <c r="D767" s="286"/>
      <c r="E767" s="286"/>
      <c r="F767" s="286"/>
      <c r="G767" s="286"/>
      <c r="H767" s="286"/>
      <c r="I767" s="286"/>
      <c r="J767" s="286"/>
      <c r="K767" s="399"/>
      <c r="L767" s="399"/>
      <c r="M767" s="286"/>
      <c r="N767" s="286"/>
      <c r="O767" s="286"/>
      <c r="P767" s="286"/>
      <c r="Q767" s="286"/>
      <c r="R767" s="286"/>
      <c r="S767" s="286"/>
      <c r="T767" s="286"/>
      <c r="U767" s="286"/>
      <c r="V767" s="286"/>
      <c r="W767" s="286"/>
    </row>
    <row r="768">
      <c r="A768" s="286"/>
      <c r="B768" s="286"/>
      <c r="C768" s="286"/>
      <c r="D768" s="286"/>
      <c r="E768" s="286"/>
      <c r="F768" s="286"/>
      <c r="G768" s="286"/>
      <c r="H768" s="286"/>
      <c r="I768" s="286"/>
      <c r="J768" s="286"/>
      <c r="K768" s="399"/>
      <c r="L768" s="399"/>
      <c r="M768" s="286"/>
      <c r="N768" s="286"/>
      <c r="O768" s="286"/>
      <c r="P768" s="286"/>
      <c r="Q768" s="286"/>
      <c r="R768" s="286"/>
      <c r="S768" s="286"/>
      <c r="T768" s="286"/>
      <c r="U768" s="286"/>
      <c r="V768" s="286"/>
      <c r="W768" s="286"/>
    </row>
    <row r="769">
      <c r="A769" s="286"/>
      <c r="B769" s="286"/>
      <c r="C769" s="286"/>
      <c r="D769" s="286"/>
      <c r="E769" s="286"/>
      <c r="F769" s="286"/>
      <c r="G769" s="286"/>
      <c r="H769" s="286"/>
      <c r="I769" s="286"/>
      <c r="J769" s="286"/>
      <c r="K769" s="399"/>
      <c r="L769" s="399"/>
      <c r="M769" s="286"/>
      <c r="N769" s="286"/>
      <c r="O769" s="286"/>
      <c r="P769" s="286"/>
      <c r="Q769" s="286"/>
      <c r="R769" s="286"/>
      <c r="S769" s="286"/>
      <c r="T769" s="286"/>
      <c r="U769" s="286"/>
      <c r="V769" s="286"/>
      <c r="W769" s="286"/>
    </row>
    <row r="770">
      <c r="A770" s="286"/>
      <c r="B770" s="286"/>
      <c r="C770" s="286"/>
      <c r="D770" s="286"/>
      <c r="E770" s="286"/>
      <c r="F770" s="286"/>
      <c r="G770" s="286"/>
      <c r="H770" s="286"/>
      <c r="I770" s="286"/>
      <c r="J770" s="286"/>
      <c r="K770" s="399"/>
      <c r="L770" s="399"/>
      <c r="M770" s="286"/>
      <c r="N770" s="286"/>
      <c r="O770" s="286"/>
      <c r="P770" s="286"/>
      <c r="Q770" s="286"/>
      <c r="R770" s="286"/>
      <c r="S770" s="286"/>
      <c r="T770" s="286"/>
      <c r="U770" s="286"/>
      <c r="V770" s="286"/>
      <c r="W770" s="286"/>
    </row>
    <row r="771">
      <c r="A771" s="286"/>
      <c r="B771" s="286"/>
      <c r="C771" s="286"/>
      <c r="D771" s="286"/>
      <c r="E771" s="286"/>
      <c r="F771" s="286"/>
      <c r="G771" s="286"/>
      <c r="H771" s="286"/>
      <c r="I771" s="286"/>
      <c r="J771" s="286"/>
      <c r="K771" s="399"/>
      <c r="L771" s="399"/>
      <c r="M771" s="286"/>
      <c r="N771" s="286"/>
      <c r="O771" s="286"/>
      <c r="P771" s="286"/>
      <c r="Q771" s="286"/>
      <c r="R771" s="286"/>
      <c r="S771" s="286"/>
      <c r="T771" s="286"/>
      <c r="U771" s="286"/>
      <c r="V771" s="286"/>
      <c r="W771" s="286"/>
    </row>
    <row r="772">
      <c r="A772" s="286"/>
      <c r="B772" s="286"/>
      <c r="C772" s="286"/>
      <c r="D772" s="286"/>
      <c r="E772" s="286"/>
      <c r="F772" s="286"/>
      <c r="G772" s="286"/>
      <c r="H772" s="286"/>
      <c r="I772" s="286"/>
      <c r="J772" s="286"/>
      <c r="K772" s="399"/>
      <c r="L772" s="399"/>
      <c r="M772" s="286"/>
      <c r="N772" s="286"/>
      <c r="O772" s="286"/>
      <c r="P772" s="286"/>
      <c r="Q772" s="286"/>
      <c r="R772" s="286"/>
      <c r="S772" s="286"/>
      <c r="T772" s="286"/>
      <c r="U772" s="286"/>
      <c r="V772" s="286"/>
      <c r="W772" s="286"/>
    </row>
    <row r="773">
      <c r="A773" s="286"/>
      <c r="B773" s="286"/>
      <c r="C773" s="286"/>
      <c r="D773" s="286"/>
      <c r="E773" s="286"/>
      <c r="F773" s="286"/>
      <c r="G773" s="286"/>
      <c r="H773" s="286"/>
      <c r="I773" s="286"/>
      <c r="J773" s="286"/>
      <c r="K773" s="399"/>
      <c r="L773" s="399"/>
      <c r="M773" s="286"/>
      <c r="N773" s="286"/>
      <c r="O773" s="286"/>
      <c r="P773" s="286"/>
      <c r="Q773" s="286"/>
      <c r="R773" s="286"/>
      <c r="S773" s="286"/>
      <c r="T773" s="286"/>
      <c r="U773" s="286"/>
      <c r="V773" s="286"/>
      <c r="W773" s="286"/>
    </row>
    <row r="774">
      <c r="A774" s="286"/>
      <c r="B774" s="286"/>
      <c r="C774" s="286"/>
      <c r="D774" s="286"/>
      <c r="E774" s="286"/>
      <c r="F774" s="286"/>
      <c r="G774" s="286"/>
      <c r="H774" s="286"/>
      <c r="I774" s="286"/>
      <c r="J774" s="286"/>
      <c r="K774" s="399"/>
      <c r="L774" s="399"/>
      <c r="M774" s="286"/>
      <c r="N774" s="286"/>
      <c r="O774" s="286"/>
      <c r="P774" s="286"/>
      <c r="Q774" s="286"/>
      <c r="R774" s="286"/>
      <c r="S774" s="286"/>
      <c r="T774" s="286"/>
      <c r="U774" s="286"/>
      <c r="V774" s="286"/>
      <c r="W774" s="286"/>
    </row>
    <row r="775">
      <c r="A775" s="286"/>
      <c r="B775" s="286"/>
      <c r="C775" s="286"/>
      <c r="D775" s="286"/>
      <c r="E775" s="286"/>
      <c r="F775" s="286"/>
      <c r="G775" s="286"/>
      <c r="H775" s="286"/>
      <c r="I775" s="286"/>
      <c r="J775" s="286"/>
      <c r="K775" s="399"/>
      <c r="L775" s="399"/>
      <c r="M775" s="286"/>
      <c r="N775" s="286"/>
      <c r="O775" s="286"/>
      <c r="P775" s="286"/>
      <c r="Q775" s="286"/>
      <c r="R775" s="286"/>
      <c r="S775" s="286"/>
      <c r="T775" s="286"/>
      <c r="U775" s="286"/>
      <c r="V775" s="286"/>
      <c r="W775" s="286"/>
    </row>
    <row r="776">
      <c r="A776" s="286"/>
      <c r="B776" s="286"/>
      <c r="C776" s="286"/>
      <c r="D776" s="286"/>
      <c r="E776" s="286"/>
      <c r="F776" s="286"/>
      <c r="G776" s="286"/>
      <c r="H776" s="286"/>
      <c r="I776" s="286"/>
      <c r="J776" s="286"/>
      <c r="K776" s="399"/>
      <c r="L776" s="399"/>
      <c r="M776" s="286"/>
      <c r="N776" s="286"/>
      <c r="O776" s="286"/>
      <c r="P776" s="286"/>
      <c r="Q776" s="286"/>
      <c r="R776" s="286"/>
      <c r="S776" s="286"/>
      <c r="T776" s="286"/>
      <c r="U776" s="286"/>
      <c r="V776" s="286"/>
      <c r="W776" s="286"/>
    </row>
    <row r="777">
      <c r="A777" s="286"/>
      <c r="B777" s="286"/>
      <c r="C777" s="286"/>
      <c r="D777" s="286"/>
      <c r="E777" s="286"/>
      <c r="F777" s="286"/>
      <c r="G777" s="286"/>
      <c r="H777" s="286"/>
      <c r="I777" s="286"/>
      <c r="J777" s="286"/>
      <c r="K777" s="399"/>
      <c r="L777" s="399"/>
      <c r="M777" s="286"/>
      <c r="N777" s="286"/>
      <c r="O777" s="286"/>
      <c r="P777" s="286"/>
      <c r="Q777" s="286"/>
      <c r="R777" s="286"/>
      <c r="S777" s="286"/>
      <c r="T777" s="286"/>
      <c r="U777" s="286"/>
      <c r="V777" s="286"/>
      <c r="W777" s="286"/>
    </row>
    <row r="778">
      <c r="A778" s="286"/>
      <c r="B778" s="286"/>
      <c r="C778" s="286"/>
      <c r="D778" s="286"/>
      <c r="E778" s="286"/>
      <c r="F778" s="286"/>
      <c r="G778" s="286"/>
      <c r="H778" s="286"/>
      <c r="I778" s="286"/>
      <c r="J778" s="286"/>
      <c r="K778" s="399"/>
      <c r="L778" s="399"/>
      <c r="M778" s="286"/>
      <c r="N778" s="286"/>
      <c r="O778" s="286"/>
      <c r="P778" s="286"/>
      <c r="Q778" s="286"/>
      <c r="R778" s="286"/>
      <c r="S778" s="286"/>
      <c r="T778" s="286"/>
      <c r="U778" s="286"/>
      <c r="V778" s="286"/>
      <c r="W778" s="286"/>
    </row>
    <row r="779">
      <c r="A779" s="286"/>
      <c r="B779" s="286"/>
      <c r="C779" s="286"/>
      <c r="D779" s="286"/>
      <c r="E779" s="286"/>
      <c r="F779" s="286"/>
      <c r="G779" s="286"/>
      <c r="H779" s="286"/>
      <c r="I779" s="286"/>
      <c r="J779" s="286"/>
      <c r="K779" s="399"/>
      <c r="L779" s="399"/>
      <c r="M779" s="286"/>
      <c r="N779" s="286"/>
      <c r="O779" s="286"/>
      <c r="P779" s="286"/>
      <c r="Q779" s="286"/>
      <c r="R779" s="286"/>
      <c r="S779" s="286"/>
      <c r="T779" s="286"/>
      <c r="U779" s="286"/>
      <c r="V779" s="286"/>
      <c r="W779" s="286"/>
    </row>
    <row r="780">
      <c r="A780" s="286"/>
      <c r="B780" s="286"/>
      <c r="C780" s="286"/>
      <c r="D780" s="286"/>
      <c r="E780" s="286"/>
      <c r="F780" s="286"/>
      <c r="G780" s="286"/>
      <c r="H780" s="286"/>
      <c r="I780" s="286"/>
      <c r="J780" s="286"/>
      <c r="K780" s="399"/>
      <c r="L780" s="399"/>
      <c r="M780" s="286"/>
      <c r="N780" s="286"/>
      <c r="O780" s="286"/>
      <c r="P780" s="286"/>
      <c r="Q780" s="286"/>
      <c r="R780" s="286"/>
      <c r="S780" s="286"/>
      <c r="T780" s="286"/>
      <c r="U780" s="286"/>
      <c r="V780" s="286"/>
      <c r="W780" s="286"/>
    </row>
    <row r="781">
      <c r="A781" s="286"/>
      <c r="B781" s="286"/>
      <c r="C781" s="286"/>
      <c r="D781" s="286"/>
      <c r="E781" s="286"/>
      <c r="F781" s="286"/>
      <c r="G781" s="286"/>
      <c r="H781" s="286"/>
      <c r="I781" s="286"/>
      <c r="J781" s="286"/>
      <c r="K781" s="399"/>
      <c r="L781" s="399"/>
      <c r="M781" s="286"/>
      <c r="N781" s="286"/>
      <c r="O781" s="286"/>
      <c r="P781" s="286"/>
      <c r="Q781" s="286"/>
      <c r="R781" s="286"/>
      <c r="S781" s="286"/>
      <c r="T781" s="286"/>
      <c r="U781" s="286"/>
      <c r="V781" s="286"/>
      <c r="W781" s="286"/>
    </row>
    <row r="782">
      <c r="A782" s="286"/>
      <c r="B782" s="286"/>
      <c r="C782" s="286"/>
      <c r="D782" s="286"/>
      <c r="E782" s="286"/>
      <c r="F782" s="286"/>
      <c r="G782" s="286"/>
      <c r="H782" s="286"/>
      <c r="I782" s="286"/>
      <c r="J782" s="286"/>
      <c r="K782" s="399"/>
      <c r="L782" s="399"/>
      <c r="M782" s="286"/>
      <c r="N782" s="286"/>
      <c r="O782" s="286"/>
      <c r="P782" s="286"/>
      <c r="Q782" s="286"/>
      <c r="R782" s="286"/>
      <c r="S782" s="286"/>
      <c r="T782" s="286"/>
      <c r="U782" s="286"/>
      <c r="V782" s="286"/>
      <c r="W782" s="286"/>
    </row>
    <row r="783">
      <c r="A783" s="286"/>
      <c r="B783" s="286"/>
      <c r="C783" s="286"/>
      <c r="D783" s="286"/>
      <c r="E783" s="286"/>
      <c r="F783" s="286"/>
      <c r="G783" s="286"/>
      <c r="H783" s="286"/>
      <c r="I783" s="286"/>
      <c r="J783" s="286"/>
      <c r="K783" s="399"/>
      <c r="L783" s="399"/>
      <c r="M783" s="286"/>
      <c r="N783" s="286"/>
      <c r="O783" s="286"/>
      <c r="P783" s="286"/>
      <c r="Q783" s="286"/>
      <c r="R783" s="286"/>
      <c r="S783" s="286"/>
      <c r="T783" s="286"/>
      <c r="U783" s="286"/>
      <c r="V783" s="286"/>
      <c r="W783" s="286"/>
    </row>
    <row r="784">
      <c r="A784" s="286"/>
      <c r="B784" s="286"/>
      <c r="C784" s="286"/>
      <c r="D784" s="286"/>
      <c r="E784" s="286"/>
      <c r="F784" s="286"/>
      <c r="G784" s="286"/>
      <c r="H784" s="286"/>
      <c r="I784" s="286"/>
      <c r="J784" s="286"/>
      <c r="K784" s="399"/>
      <c r="L784" s="399"/>
      <c r="M784" s="286"/>
      <c r="N784" s="286"/>
      <c r="O784" s="286"/>
      <c r="P784" s="286"/>
      <c r="Q784" s="286"/>
      <c r="R784" s="286"/>
      <c r="S784" s="286"/>
      <c r="T784" s="286"/>
      <c r="U784" s="286"/>
      <c r="V784" s="286"/>
      <c r="W784" s="286"/>
    </row>
    <row r="785">
      <c r="A785" s="286"/>
      <c r="B785" s="286"/>
      <c r="C785" s="286"/>
      <c r="D785" s="286"/>
      <c r="E785" s="286"/>
      <c r="F785" s="286"/>
      <c r="G785" s="286"/>
      <c r="H785" s="286"/>
      <c r="I785" s="286"/>
      <c r="J785" s="286"/>
      <c r="K785" s="399"/>
      <c r="L785" s="399"/>
      <c r="M785" s="286"/>
      <c r="N785" s="286"/>
      <c r="O785" s="286"/>
      <c r="P785" s="286"/>
      <c r="Q785" s="286"/>
      <c r="R785" s="286"/>
      <c r="S785" s="286"/>
      <c r="T785" s="286"/>
      <c r="U785" s="286"/>
      <c r="V785" s="286"/>
      <c r="W785" s="286"/>
    </row>
    <row r="786">
      <c r="A786" s="286"/>
      <c r="B786" s="286"/>
      <c r="C786" s="286"/>
      <c r="D786" s="286"/>
      <c r="E786" s="286"/>
      <c r="F786" s="286"/>
      <c r="G786" s="286"/>
      <c r="H786" s="286"/>
      <c r="I786" s="286"/>
      <c r="J786" s="286"/>
      <c r="K786" s="399"/>
      <c r="L786" s="399"/>
      <c r="M786" s="286"/>
      <c r="N786" s="286"/>
      <c r="O786" s="286"/>
      <c r="P786" s="286"/>
      <c r="Q786" s="286"/>
      <c r="R786" s="286"/>
      <c r="S786" s="286"/>
      <c r="T786" s="286"/>
      <c r="U786" s="286"/>
      <c r="V786" s="286"/>
      <c r="W786" s="286"/>
    </row>
    <row r="787">
      <c r="A787" s="286"/>
      <c r="B787" s="286"/>
      <c r="C787" s="286"/>
      <c r="D787" s="286"/>
      <c r="E787" s="286"/>
      <c r="F787" s="286"/>
      <c r="G787" s="286"/>
      <c r="H787" s="286"/>
      <c r="I787" s="286"/>
      <c r="J787" s="286"/>
      <c r="K787" s="399"/>
      <c r="L787" s="399"/>
      <c r="M787" s="286"/>
      <c r="N787" s="286"/>
      <c r="O787" s="286"/>
      <c r="P787" s="286"/>
      <c r="Q787" s="286"/>
      <c r="R787" s="286"/>
      <c r="S787" s="286"/>
      <c r="T787" s="286"/>
      <c r="U787" s="286"/>
      <c r="V787" s="286"/>
      <c r="W787" s="286"/>
    </row>
    <row r="788">
      <c r="A788" s="286"/>
      <c r="B788" s="286"/>
      <c r="C788" s="286"/>
      <c r="D788" s="286"/>
      <c r="E788" s="286"/>
      <c r="F788" s="286"/>
      <c r="G788" s="286"/>
      <c r="H788" s="286"/>
      <c r="I788" s="286"/>
      <c r="J788" s="286"/>
      <c r="K788" s="399"/>
      <c r="L788" s="399"/>
      <c r="M788" s="286"/>
      <c r="N788" s="286"/>
      <c r="O788" s="286"/>
      <c r="P788" s="286"/>
      <c r="Q788" s="286"/>
      <c r="R788" s="286"/>
      <c r="S788" s="286"/>
      <c r="T788" s="286"/>
      <c r="U788" s="286"/>
      <c r="V788" s="286"/>
      <c r="W788" s="286"/>
    </row>
    <row r="789">
      <c r="A789" s="286"/>
      <c r="B789" s="286"/>
      <c r="C789" s="286"/>
      <c r="D789" s="286"/>
      <c r="E789" s="286"/>
      <c r="F789" s="286"/>
      <c r="G789" s="286"/>
      <c r="H789" s="286"/>
      <c r="I789" s="286"/>
      <c r="J789" s="286"/>
      <c r="K789" s="399"/>
      <c r="L789" s="399"/>
      <c r="M789" s="286"/>
      <c r="N789" s="286"/>
      <c r="O789" s="286"/>
      <c r="P789" s="286"/>
      <c r="Q789" s="286"/>
      <c r="R789" s="286"/>
      <c r="S789" s="286"/>
      <c r="T789" s="286"/>
      <c r="U789" s="286"/>
      <c r="V789" s="286"/>
      <c r="W789" s="286"/>
    </row>
    <row r="790">
      <c r="A790" s="286"/>
      <c r="B790" s="286"/>
      <c r="C790" s="286"/>
      <c r="D790" s="286"/>
      <c r="E790" s="286"/>
      <c r="F790" s="286"/>
      <c r="G790" s="286"/>
      <c r="H790" s="286"/>
      <c r="I790" s="286"/>
      <c r="J790" s="286"/>
      <c r="K790" s="399"/>
      <c r="L790" s="399"/>
      <c r="M790" s="286"/>
      <c r="N790" s="286"/>
      <c r="O790" s="286"/>
      <c r="P790" s="286"/>
      <c r="Q790" s="286"/>
      <c r="R790" s="286"/>
      <c r="S790" s="286"/>
      <c r="T790" s="286"/>
      <c r="U790" s="286"/>
      <c r="V790" s="286"/>
      <c r="W790" s="286"/>
    </row>
    <row r="791">
      <c r="A791" s="286"/>
      <c r="B791" s="286"/>
      <c r="C791" s="286"/>
      <c r="D791" s="286"/>
      <c r="E791" s="286"/>
      <c r="F791" s="286"/>
      <c r="G791" s="286"/>
      <c r="H791" s="286"/>
      <c r="I791" s="286"/>
      <c r="J791" s="286"/>
      <c r="K791" s="399"/>
      <c r="L791" s="399"/>
      <c r="M791" s="286"/>
      <c r="N791" s="286"/>
      <c r="O791" s="286"/>
      <c r="P791" s="286"/>
      <c r="Q791" s="286"/>
      <c r="R791" s="286"/>
      <c r="S791" s="286"/>
      <c r="T791" s="286"/>
      <c r="U791" s="286"/>
      <c r="V791" s="286"/>
      <c r="W791" s="286"/>
    </row>
    <row r="792">
      <c r="A792" s="286"/>
      <c r="B792" s="286"/>
      <c r="C792" s="286"/>
      <c r="D792" s="286"/>
      <c r="E792" s="286"/>
      <c r="F792" s="286"/>
      <c r="G792" s="286"/>
      <c r="H792" s="286"/>
      <c r="I792" s="286"/>
      <c r="J792" s="286"/>
      <c r="K792" s="399"/>
      <c r="L792" s="399"/>
      <c r="M792" s="286"/>
      <c r="N792" s="286"/>
      <c r="O792" s="286"/>
      <c r="P792" s="286"/>
      <c r="Q792" s="286"/>
      <c r="R792" s="286"/>
      <c r="S792" s="286"/>
      <c r="T792" s="286"/>
      <c r="U792" s="286"/>
      <c r="V792" s="286"/>
      <c r="W792" s="286"/>
    </row>
    <row r="793">
      <c r="A793" s="286"/>
      <c r="B793" s="286"/>
      <c r="C793" s="286"/>
      <c r="D793" s="286"/>
      <c r="E793" s="286"/>
      <c r="F793" s="286"/>
      <c r="G793" s="286"/>
      <c r="H793" s="286"/>
      <c r="I793" s="286"/>
      <c r="J793" s="286"/>
      <c r="K793" s="399"/>
      <c r="L793" s="399"/>
      <c r="M793" s="286"/>
      <c r="N793" s="286"/>
      <c r="O793" s="286"/>
      <c r="P793" s="286"/>
      <c r="Q793" s="286"/>
      <c r="R793" s="286"/>
      <c r="S793" s="286"/>
      <c r="T793" s="286"/>
      <c r="U793" s="286"/>
      <c r="V793" s="286"/>
      <c r="W793" s="286"/>
    </row>
    <row r="794">
      <c r="A794" s="286"/>
      <c r="B794" s="286"/>
      <c r="C794" s="286"/>
      <c r="D794" s="286"/>
      <c r="E794" s="286"/>
      <c r="F794" s="286"/>
      <c r="G794" s="286"/>
      <c r="H794" s="286"/>
      <c r="I794" s="286"/>
      <c r="J794" s="286"/>
      <c r="K794" s="399"/>
      <c r="L794" s="399"/>
      <c r="M794" s="286"/>
      <c r="N794" s="286"/>
      <c r="O794" s="286"/>
      <c r="P794" s="286"/>
      <c r="Q794" s="286"/>
      <c r="R794" s="286"/>
      <c r="S794" s="286"/>
      <c r="T794" s="286"/>
      <c r="U794" s="286"/>
      <c r="V794" s="286"/>
      <c r="W794" s="286"/>
    </row>
    <row r="795">
      <c r="A795" s="286"/>
      <c r="B795" s="286"/>
      <c r="C795" s="286"/>
      <c r="D795" s="286"/>
      <c r="E795" s="286"/>
      <c r="F795" s="286"/>
      <c r="G795" s="286"/>
      <c r="H795" s="286"/>
      <c r="I795" s="286"/>
      <c r="J795" s="286"/>
      <c r="K795" s="399"/>
      <c r="L795" s="399"/>
      <c r="M795" s="286"/>
      <c r="N795" s="286"/>
      <c r="O795" s="286"/>
      <c r="P795" s="286"/>
      <c r="Q795" s="286"/>
      <c r="R795" s="286"/>
      <c r="S795" s="286"/>
      <c r="T795" s="286"/>
      <c r="U795" s="286"/>
      <c r="V795" s="286"/>
      <c r="W795" s="286"/>
    </row>
    <row r="796">
      <c r="A796" s="286"/>
      <c r="B796" s="286"/>
      <c r="C796" s="286"/>
      <c r="D796" s="286"/>
      <c r="E796" s="286"/>
      <c r="F796" s="286"/>
      <c r="G796" s="286"/>
      <c r="H796" s="286"/>
      <c r="I796" s="286"/>
      <c r="J796" s="286"/>
      <c r="K796" s="399"/>
      <c r="L796" s="399"/>
      <c r="M796" s="286"/>
      <c r="N796" s="286"/>
      <c r="O796" s="286"/>
      <c r="P796" s="286"/>
      <c r="Q796" s="286"/>
      <c r="R796" s="286"/>
      <c r="S796" s="286"/>
      <c r="T796" s="286"/>
      <c r="U796" s="286"/>
      <c r="V796" s="286"/>
      <c r="W796" s="286"/>
    </row>
    <row r="797">
      <c r="A797" s="286"/>
      <c r="B797" s="286"/>
      <c r="C797" s="286"/>
      <c r="D797" s="286"/>
      <c r="E797" s="286"/>
      <c r="F797" s="286"/>
      <c r="G797" s="286"/>
      <c r="H797" s="286"/>
      <c r="I797" s="286"/>
      <c r="J797" s="286"/>
      <c r="K797" s="399"/>
      <c r="L797" s="399"/>
      <c r="M797" s="286"/>
      <c r="N797" s="286"/>
      <c r="O797" s="286"/>
      <c r="P797" s="286"/>
      <c r="Q797" s="286"/>
      <c r="R797" s="286"/>
      <c r="S797" s="286"/>
      <c r="T797" s="286"/>
      <c r="U797" s="286"/>
      <c r="V797" s="286"/>
      <c r="W797" s="286"/>
    </row>
    <row r="798">
      <c r="A798" s="286"/>
      <c r="B798" s="286"/>
      <c r="C798" s="286"/>
      <c r="D798" s="286"/>
      <c r="E798" s="286"/>
      <c r="F798" s="286"/>
      <c r="G798" s="286"/>
      <c r="H798" s="286"/>
      <c r="I798" s="286"/>
      <c r="J798" s="286"/>
      <c r="K798" s="399"/>
      <c r="L798" s="399"/>
      <c r="M798" s="286"/>
      <c r="N798" s="286"/>
      <c r="O798" s="286"/>
      <c r="P798" s="286"/>
      <c r="Q798" s="286"/>
      <c r="R798" s="286"/>
      <c r="S798" s="286"/>
      <c r="T798" s="286"/>
      <c r="U798" s="286"/>
      <c r="V798" s="286"/>
      <c r="W798" s="286"/>
    </row>
    <row r="799">
      <c r="A799" s="286"/>
      <c r="B799" s="286"/>
      <c r="C799" s="286"/>
      <c r="D799" s="286"/>
      <c r="E799" s="286"/>
      <c r="F799" s="286"/>
      <c r="G799" s="286"/>
      <c r="H799" s="286"/>
      <c r="I799" s="286"/>
      <c r="J799" s="286"/>
      <c r="K799" s="399"/>
      <c r="L799" s="399"/>
      <c r="M799" s="286"/>
      <c r="N799" s="286"/>
      <c r="O799" s="286"/>
      <c r="P799" s="286"/>
      <c r="Q799" s="286"/>
      <c r="R799" s="286"/>
      <c r="S799" s="286"/>
      <c r="T799" s="286"/>
      <c r="U799" s="286"/>
      <c r="V799" s="286"/>
      <c r="W799" s="286"/>
    </row>
    <row r="800">
      <c r="A800" s="286"/>
      <c r="B800" s="286"/>
      <c r="C800" s="286"/>
      <c r="D800" s="286"/>
      <c r="E800" s="286"/>
      <c r="F800" s="286"/>
      <c r="G800" s="286"/>
      <c r="H800" s="286"/>
      <c r="I800" s="286"/>
      <c r="J800" s="286"/>
      <c r="K800" s="399"/>
      <c r="L800" s="399"/>
      <c r="M800" s="286"/>
      <c r="N800" s="286"/>
      <c r="O800" s="286"/>
      <c r="P800" s="286"/>
      <c r="Q800" s="286"/>
      <c r="R800" s="286"/>
      <c r="S800" s="286"/>
      <c r="T800" s="286"/>
      <c r="U800" s="286"/>
      <c r="V800" s="286"/>
      <c r="W800" s="286"/>
    </row>
    <row r="801">
      <c r="A801" s="286"/>
      <c r="B801" s="286"/>
      <c r="C801" s="286"/>
      <c r="D801" s="286"/>
      <c r="E801" s="286"/>
      <c r="F801" s="286"/>
      <c r="G801" s="286"/>
      <c r="H801" s="286"/>
      <c r="I801" s="286"/>
      <c r="J801" s="286"/>
      <c r="K801" s="399"/>
      <c r="L801" s="399"/>
      <c r="M801" s="286"/>
      <c r="N801" s="286"/>
      <c r="O801" s="286"/>
      <c r="P801" s="286"/>
      <c r="Q801" s="286"/>
      <c r="R801" s="286"/>
      <c r="S801" s="286"/>
      <c r="T801" s="286"/>
      <c r="U801" s="286"/>
      <c r="V801" s="286"/>
      <c r="W801" s="286"/>
    </row>
    <row r="802">
      <c r="A802" s="286"/>
      <c r="B802" s="286"/>
      <c r="C802" s="286"/>
      <c r="D802" s="286"/>
      <c r="E802" s="286"/>
      <c r="F802" s="286"/>
      <c r="G802" s="286"/>
      <c r="H802" s="286"/>
      <c r="I802" s="286"/>
      <c r="J802" s="286"/>
      <c r="K802" s="399"/>
      <c r="L802" s="399"/>
      <c r="M802" s="286"/>
      <c r="N802" s="286"/>
      <c r="O802" s="286"/>
      <c r="P802" s="286"/>
      <c r="Q802" s="286"/>
      <c r="R802" s="286"/>
      <c r="S802" s="286"/>
      <c r="T802" s="286"/>
      <c r="U802" s="286"/>
      <c r="V802" s="286"/>
      <c r="W802" s="286"/>
    </row>
    <row r="803">
      <c r="A803" s="286"/>
      <c r="B803" s="286"/>
      <c r="C803" s="286"/>
      <c r="D803" s="286"/>
      <c r="E803" s="286"/>
      <c r="F803" s="286"/>
      <c r="G803" s="286"/>
      <c r="H803" s="286"/>
      <c r="I803" s="286"/>
      <c r="J803" s="286"/>
      <c r="K803" s="399"/>
      <c r="L803" s="399"/>
      <c r="M803" s="286"/>
      <c r="N803" s="286"/>
      <c r="O803" s="286"/>
      <c r="P803" s="286"/>
      <c r="Q803" s="286"/>
      <c r="R803" s="286"/>
      <c r="S803" s="286"/>
      <c r="T803" s="286"/>
      <c r="U803" s="286"/>
      <c r="V803" s="286"/>
      <c r="W803" s="286"/>
    </row>
    <row r="804">
      <c r="A804" s="286"/>
      <c r="B804" s="286"/>
      <c r="C804" s="286"/>
      <c r="D804" s="286"/>
      <c r="E804" s="286"/>
      <c r="F804" s="286"/>
      <c r="G804" s="286"/>
      <c r="H804" s="286"/>
      <c r="I804" s="286"/>
      <c r="J804" s="286"/>
      <c r="K804" s="399"/>
      <c r="L804" s="399"/>
      <c r="M804" s="286"/>
      <c r="N804" s="286"/>
      <c r="O804" s="286"/>
      <c r="P804" s="286"/>
      <c r="Q804" s="286"/>
      <c r="R804" s="286"/>
      <c r="S804" s="286"/>
      <c r="T804" s="286"/>
      <c r="U804" s="286"/>
      <c r="V804" s="286"/>
      <c r="W804" s="286"/>
    </row>
    <row r="805">
      <c r="A805" s="286"/>
      <c r="B805" s="286"/>
      <c r="C805" s="286"/>
      <c r="D805" s="286"/>
      <c r="E805" s="286"/>
      <c r="F805" s="286"/>
      <c r="G805" s="286"/>
      <c r="H805" s="286"/>
      <c r="I805" s="286"/>
      <c r="J805" s="286"/>
      <c r="K805" s="399"/>
      <c r="L805" s="399"/>
      <c r="M805" s="286"/>
      <c r="N805" s="286"/>
      <c r="O805" s="286"/>
      <c r="P805" s="286"/>
      <c r="Q805" s="286"/>
      <c r="R805" s="286"/>
      <c r="S805" s="286"/>
      <c r="T805" s="286"/>
      <c r="U805" s="286"/>
      <c r="V805" s="286"/>
      <c r="W805" s="286"/>
    </row>
    <row r="806">
      <c r="A806" s="286"/>
      <c r="B806" s="286"/>
      <c r="C806" s="286"/>
      <c r="D806" s="286"/>
      <c r="E806" s="286"/>
      <c r="F806" s="286"/>
      <c r="G806" s="286"/>
      <c r="H806" s="286"/>
      <c r="I806" s="286"/>
      <c r="J806" s="286"/>
      <c r="K806" s="399"/>
      <c r="L806" s="399"/>
      <c r="M806" s="286"/>
      <c r="N806" s="286"/>
      <c r="O806" s="286"/>
      <c r="P806" s="286"/>
      <c r="Q806" s="286"/>
      <c r="R806" s="286"/>
      <c r="S806" s="286"/>
      <c r="T806" s="286"/>
      <c r="U806" s="286"/>
      <c r="V806" s="286"/>
      <c r="W806" s="286"/>
    </row>
    <row r="807">
      <c r="A807" s="286"/>
      <c r="B807" s="286"/>
      <c r="C807" s="286"/>
      <c r="D807" s="286"/>
      <c r="E807" s="286"/>
      <c r="F807" s="286"/>
      <c r="G807" s="286"/>
      <c r="H807" s="286"/>
      <c r="I807" s="286"/>
      <c r="J807" s="286"/>
      <c r="K807" s="399"/>
      <c r="L807" s="399"/>
      <c r="M807" s="286"/>
      <c r="N807" s="286"/>
      <c r="O807" s="286"/>
      <c r="P807" s="286"/>
      <c r="Q807" s="286"/>
      <c r="R807" s="286"/>
      <c r="S807" s="286"/>
      <c r="T807" s="286"/>
      <c r="U807" s="286"/>
      <c r="V807" s="286"/>
      <c r="W807" s="286"/>
    </row>
    <row r="808">
      <c r="A808" s="286"/>
      <c r="B808" s="286"/>
      <c r="C808" s="286"/>
      <c r="D808" s="286"/>
      <c r="E808" s="286"/>
      <c r="F808" s="286"/>
      <c r="G808" s="286"/>
      <c r="H808" s="286"/>
      <c r="I808" s="286"/>
      <c r="J808" s="286"/>
      <c r="K808" s="399"/>
      <c r="L808" s="399"/>
      <c r="M808" s="286"/>
      <c r="N808" s="286"/>
      <c r="O808" s="286"/>
      <c r="P808" s="286"/>
      <c r="Q808" s="286"/>
      <c r="R808" s="286"/>
      <c r="S808" s="286"/>
      <c r="T808" s="286"/>
      <c r="U808" s="286"/>
      <c r="V808" s="286"/>
      <c r="W808" s="286"/>
    </row>
    <row r="809">
      <c r="A809" s="286"/>
      <c r="B809" s="286"/>
      <c r="C809" s="286"/>
      <c r="D809" s="286"/>
      <c r="E809" s="286"/>
      <c r="F809" s="286"/>
      <c r="G809" s="286"/>
      <c r="H809" s="286"/>
      <c r="I809" s="286"/>
      <c r="J809" s="286"/>
      <c r="K809" s="399"/>
      <c r="L809" s="399"/>
      <c r="M809" s="286"/>
      <c r="N809" s="286"/>
      <c r="O809" s="286"/>
      <c r="P809" s="286"/>
      <c r="Q809" s="286"/>
      <c r="R809" s="286"/>
      <c r="S809" s="286"/>
      <c r="T809" s="286"/>
      <c r="U809" s="286"/>
      <c r="V809" s="286"/>
      <c r="W809" s="286"/>
    </row>
    <row r="810">
      <c r="A810" s="286"/>
      <c r="B810" s="286"/>
      <c r="C810" s="286"/>
      <c r="D810" s="286"/>
      <c r="E810" s="286"/>
      <c r="F810" s="286"/>
      <c r="G810" s="286"/>
      <c r="H810" s="286"/>
      <c r="I810" s="286"/>
      <c r="J810" s="286"/>
      <c r="K810" s="399"/>
      <c r="L810" s="399"/>
      <c r="M810" s="286"/>
      <c r="N810" s="286"/>
      <c r="O810" s="286"/>
      <c r="P810" s="286"/>
      <c r="Q810" s="286"/>
      <c r="R810" s="286"/>
      <c r="S810" s="286"/>
      <c r="T810" s="286"/>
      <c r="U810" s="286"/>
      <c r="V810" s="286"/>
      <c r="W810" s="286"/>
    </row>
    <row r="811">
      <c r="A811" s="286"/>
      <c r="B811" s="286"/>
      <c r="C811" s="286"/>
      <c r="D811" s="286"/>
      <c r="E811" s="286"/>
      <c r="F811" s="286"/>
      <c r="G811" s="286"/>
      <c r="H811" s="286"/>
      <c r="I811" s="286"/>
      <c r="J811" s="286"/>
      <c r="K811" s="399"/>
      <c r="L811" s="399"/>
      <c r="M811" s="286"/>
      <c r="N811" s="286"/>
      <c r="O811" s="286"/>
      <c r="P811" s="286"/>
      <c r="Q811" s="286"/>
      <c r="R811" s="286"/>
      <c r="S811" s="286"/>
      <c r="T811" s="286"/>
      <c r="U811" s="286"/>
      <c r="V811" s="286"/>
      <c r="W811" s="286"/>
    </row>
    <row r="812">
      <c r="A812" s="286"/>
      <c r="B812" s="286"/>
      <c r="C812" s="286"/>
      <c r="D812" s="286"/>
      <c r="E812" s="286"/>
      <c r="F812" s="286"/>
      <c r="G812" s="286"/>
      <c r="H812" s="286"/>
      <c r="I812" s="286"/>
      <c r="J812" s="286"/>
      <c r="K812" s="399"/>
      <c r="L812" s="399"/>
      <c r="M812" s="286"/>
      <c r="N812" s="286"/>
      <c r="O812" s="286"/>
      <c r="P812" s="286"/>
      <c r="Q812" s="286"/>
      <c r="R812" s="286"/>
      <c r="S812" s="286"/>
      <c r="T812" s="286"/>
      <c r="U812" s="286"/>
      <c r="V812" s="286"/>
      <c r="W812" s="286"/>
    </row>
    <row r="813">
      <c r="A813" s="286"/>
      <c r="B813" s="286"/>
      <c r="C813" s="286"/>
      <c r="D813" s="286"/>
      <c r="E813" s="286"/>
      <c r="F813" s="286"/>
      <c r="G813" s="286"/>
      <c r="H813" s="286"/>
      <c r="I813" s="286"/>
      <c r="J813" s="286"/>
      <c r="K813" s="399"/>
      <c r="L813" s="399"/>
      <c r="M813" s="286"/>
      <c r="N813" s="286"/>
      <c r="O813" s="286"/>
      <c r="P813" s="286"/>
      <c r="Q813" s="286"/>
      <c r="R813" s="286"/>
      <c r="S813" s="286"/>
      <c r="T813" s="286"/>
      <c r="U813" s="286"/>
      <c r="V813" s="286"/>
      <c r="W813" s="286"/>
    </row>
    <row r="814">
      <c r="A814" s="286"/>
      <c r="B814" s="286"/>
      <c r="C814" s="286"/>
      <c r="D814" s="286"/>
      <c r="E814" s="286"/>
      <c r="F814" s="286"/>
      <c r="G814" s="286"/>
      <c r="H814" s="286"/>
      <c r="I814" s="286"/>
      <c r="J814" s="286"/>
      <c r="K814" s="399"/>
      <c r="L814" s="399"/>
      <c r="M814" s="286"/>
      <c r="N814" s="286"/>
      <c r="O814" s="286"/>
      <c r="P814" s="286"/>
      <c r="Q814" s="286"/>
      <c r="R814" s="286"/>
      <c r="S814" s="286"/>
      <c r="T814" s="286"/>
      <c r="U814" s="286"/>
      <c r="V814" s="286"/>
      <c r="W814" s="286"/>
    </row>
    <row r="815">
      <c r="A815" s="286"/>
      <c r="B815" s="286"/>
      <c r="C815" s="286"/>
      <c r="D815" s="286"/>
      <c r="E815" s="286"/>
      <c r="F815" s="286"/>
      <c r="G815" s="286"/>
      <c r="H815" s="286"/>
      <c r="I815" s="286"/>
      <c r="J815" s="286"/>
      <c r="K815" s="399"/>
      <c r="L815" s="399"/>
      <c r="M815" s="286"/>
      <c r="N815" s="286"/>
      <c r="O815" s="286"/>
      <c r="P815" s="286"/>
      <c r="Q815" s="286"/>
      <c r="R815" s="286"/>
      <c r="S815" s="286"/>
      <c r="T815" s="286"/>
      <c r="U815" s="286"/>
      <c r="V815" s="286"/>
      <c r="W815" s="286"/>
    </row>
    <row r="816">
      <c r="A816" s="286"/>
      <c r="B816" s="286"/>
      <c r="C816" s="286"/>
      <c r="D816" s="286"/>
      <c r="E816" s="286"/>
      <c r="F816" s="286"/>
      <c r="G816" s="286"/>
      <c r="H816" s="286"/>
      <c r="I816" s="286"/>
      <c r="J816" s="286"/>
      <c r="K816" s="399"/>
      <c r="L816" s="399"/>
      <c r="M816" s="286"/>
      <c r="N816" s="286"/>
      <c r="O816" s="286"/>
      <c r="P816" s="286"/>
      <c r="Q816" s="286"/>
      <c r="R816" s="286"/>
      <c r="S816" s="286"/>
      <c r="T816" s="286"/>
      <c r="U816" s="286"/>
      <c r="V816" s="286"/>
      <c r="W816" s="286"/>
    </row>
    <row r="817">
      <c r="A817" s="286"/>
      <c r="B817" s="286"/>
      <c r="C817" s="286"/>
      <c r="D817" s="286"/>
      <c r="E817" s="286"/>
      <c r="F817" s="286"/>
      <c r="G817" s="286"/>
      <c r="H817" s="286"/>
      <c r="I817" s="286"/>
      <c r="J817" s="286"/>
      <c r="K817" s="399"/>
      <c r="L817" s="399"/>
      <c r="M817" s="286"/>
      <c r="N817" s="286"/>
      <c r="O817" s="286"/>
      <c r="P817" s="286"/>
      <c r="Q817" s="286"/>
      <c r="R817" s="286"/>
      <c r="S817" s="286"/>
      <c r="T817" s="286"/>
      <c r="U817" s="286"/>
      <c r="V817" s="286"/>
      <c r="W817" s="286"/>
    </row>
    <row r="818">
      <c r="A818" s="286"/>
      <c r="B818" s="286"/>
      <c r="C818" s="286"/>
      <c r="D818" s="286"/>
      <c r="E818" s="286"/>
      <c r="F818" s="286"/>
      <c r="G818" s="286"/>
      <c r="H818" s="286"/>
      <c r="I818" s="286"/>
      <c r="J818" s="286"/>
      <c r="K818" s="399"/>
      <c r="L818" s="399"/>
      <c r="M818" s="286"/>
      <c r="N818" s="286"/>
      <c r="O818" s="286"/>
      <c r="P818" s="286"/>
      <c r="Q818" s="286"/>
      <c r="R818" s="286"/>
      <c r="S818" s="286"/>
      <c r="T818" s="286"/>
      <c r="U818" s="286"/>
      <c r="V818" s="286"/>
      <c r="W818" s="286"/>
    </row>
    <row r="819">
      <c r="A819" s="286"/>
      <c r="B819" s="286"/>
      <c r="C819" s="286"/>
      <c r="D819" s="286"/>
      <c r="E819" s="286"/>
      <c r="F819" s="286"/>
      <c r="G819" s="286"/>
      <c r="H819" s="286"/>
      <c r="I819" s="286"/>
      <c r="J819" s="286"/>
      <c r="K819" s="399"/>
      <c r="L819" s="399"/>
      <c r="M819" s="286"/>
      <c r="N819" s="286"/>
      <c r="O819" s="286"/>
      <c r="P819" s="286"/>
      <c r="Q819" s="286"/>
      <c r="R819" s="286"/>
      <c r="S819" s="286"/>
      <c r="T819" s="286"/>
      <c r="U819" s="286"/>
      <c r="V819" s="286"/>
      <c r="W819" s="286"/>
    </row>
    <row r="820">
      <c r="A820" s="286"/>
      <c r="B820" s="286"/>
      <c r="C820" s="286"/>
      <c r="D820" s="286"/>
      <c r="E820" s="286"/>
      <c r="F820" s="286"/>
      <c r="G820" s="286"/>
      <c r="H820" s="286"/>
      <c r="I820" s="286"/>
      <c r="J820" s="286"/>
      <c r="K820" s="399"/>
      <c r="L820" s="399"/>
      <c r="M820" s="286"/>
      <c r="N820" s="286"/>
      <c r="O820" s="286"/>
      <c r="P820" s="286"/>
      <c r="Q820" s="286"/>
      <c r="R820" s="286"/>
      <c r="S820" s="286"/>
      <c r="T820" s="286"/>
      <c r="U820" s="286"/>
      <c r="V820" s="286"/>
      <c r="W820" s="286"/>
    </row>
    <row r="821">
      <c r="A821" s="286"/>
      <c r="B821" s="286"/>
      <c r="C821" s="286"/>
      <c r="D821" s="286"/>
      <c r="E821" s="286"/>
      <c r="F821" s="286"/>
      <c r="G821" s="286"/>
      <c r="H821" s="286"/>
      <c r="I821" s="286"/>
      <c r="J821" s="286"/>
      <c r="K821" s="399"/>
      <c r="L821" s="399"/>
      <c r="M821" s="286"/>
      <c r="N821" s="286"/>
      <c r="O821" s="286"/>
      <c r="P821" s="286"/>
      <c r="Q821" s="286"/>
      <c r="R821" s="286"/>
      <c r="S821" s="286"/>
      <c r="T821" s="286"/>
      <c r="U821" s="286"/>
      <c r="V821" s="286"/>
      <c r="W821" s="286"/>
    </row>
    <row r="822">
      <c r="A822" s="286"/>
      <c r="B822" s="286"/>
      <c r="C822" s="286"/>
      <c r="D822" s="286"/>
      <c r="E822" s="286"/>
      <c r="F822" s="286"/>
      <c r="G822" s="286"/>
      <c r="H822" s="286"/>
      <c r="I822" s="286"/>
      <c r="J822" s="286"/>
      <c r="K822" s="399"/>
      <c r="L822" s="399"/>
      <c r="M822" s="286"/>
      <c r="N822" s="286"/>
      <c r="O822" s="286"/>
      <c r="P822" s="286"/>
      <c r="Q822" s="286"/>
      <c r="R822" s="286"/>
      <c r="S822" s="286"/>
      <c r="T822" s="286"/>
      <c r="U822" s="286"/>
      <c r="V822" s="286"/>
      <c r="W822" s="286"/>
    </row>
    <row r="823">
      <c r="A823" s="286"/>
      <c r="B823" s="286"/>
      <c r="C823" s="286"/>
      <c r="D823" s="286"/>
      <c r="E823" s="286"/>
      <c r="F823" s="286"/>
      <c r="G823" s="286"/>
      <c r="H823" s="286"/>
      <c r="I823" s="286"/>
      <c r="J823" s="286"/>
      <c r="K823" s="399"/>
      <c r="L823" s="399"/>
      <c r="M823" s="286"/>
      <c r="N823" s="286"/>
      <c r="O823" s="286"/>
      <c r="P823" s="286"/>
      <c r="Q823" s="286"/>
      <c r="R823" s="286"/>
      <c r="S823" s="286"/>
      <c r="T823" s="286"/>
      <c r="U823" s="286"/>
      <c r="V823" s="286"/>
      <c r="W823" s="286"/>
    </row>
    <row r="824">
      <c r="A824" s="286"/>
      <c r="B824" s="286"/>
      <c r="C824" s="286"/>
      <c r="D824" s="286"/>
      <c r="E824" s="286"/>
      <c r="F824" s="286"/>
      <c r="G824" s="286"/>
      <c r="H824" s="286"/>
      <c r="I824" s="286"/>
      <c r="J824" s="286"/>
      <c r="K824" s="399"/>
      <c r="L824" s="399"/>
      <c r="M824" s="286"/>
      <c r="N824" s="286"/>
      <c r="O824" s="286"/>
      <c r="P824" s="286"/>
      <c r="Q824" s="286"/>
      <c r="R824" s="286"/>
      <c r="S824" s="286"/>
      <c r="T824" s="286"/>
      <c r="U824" s="286"/>
      <c r="V824" s="286"/>
      <c r="W824" s="286"/>
    </row>
    <row r="825">
      <c r="A825" s="286"/>
      <c r="B825" s="286"/>
      <c r="C825" s="286"/>
      <c r="D825" s="286"/>
      <c r="E825" s="286"/>
      <c r="F825" s="286"/>
      <c r="G825" s="286"/>
      <c r="H825" s="286"/>
      <c r="I825" s="286"/>
      <c r="J825" s="286"/>
      <c r="K825" s="399"/>
      <c r="L825" s="399"/>
      <c r="M825" s="286"/>
      <c r="N825" s="286"/>
      <c r="O825" s="286"/>
      <c r="P825" s="286"/>
      <c r="Q825" s="286"/>
      <c r="R825" s="286"/>
      <c r="S825" s="286"/>
      <c r="T825" s="286"/>
      <c r="U825" s="286"/>
      <c r="V825" s="286"/>
      <c r="W825" s="286"/>
    </row>
    <row r="826">
      <c r="A826" s="286"/>
      <c r="B826" s="286"/>
      <c r="C826" s="286"/>
      <c r="D826" s="286"/>
      <c r="E826" s="286"/>
      <c r="F826" s="286"/>
      <c r="G826" s="286"/>
      <c r="H826" s="286"/>
      <c r="I826" s="286"/>
      <c r="J826" s="286"/>
      <c r="K826" s="399"/>
      <c r="L826" s="399"/>
      <c r="M826" s="286"/>
      <c r="N826" s="286"/>
      <c r="O826" s="286"/>
      <c r="P826" s="286"/>
      <c r="Q826" s="286"/>
      <c r="R826" s="286"/>
      <c r="S826" s="286"/>
      <c r="T826" s="286"/>
      <c r="U826" s="286"/>
      <c r="V826" s="286"/>
      <c r="W826" s="286"/>
    </row>
    <row r="827">
      <c r="A827" s="286"/>
      <c r="B827" s="286"/>
      <c r="C827" s="286"/>
      <c r="D827" s="286"/>
      <c r="E827" s="286"/>
      <c r="F827" s="286"/>
      <c r="G827" s="286"/>
      <c r="H827" s="286"/>
      <c r="I827" s="286"/>
      <c r="J827" s="286"/>
      <c r="K827" s="399"/>
      <c r="L827" s="399"/>
      <c r="M827" s="286"/>
      <c r="N827" s="286"/>
      <c r="O827" s="286"/>
      <c r="P827" s="286"/>
      <c r="Q827" s="286"/>
      <c r="R827" s="286"/>
      <c r="S827" s="286"/>
      <c r="T827" s="286"/>
      <c r="U827" s="286"/>
      <c r="V827" s="286"/>
      <c r="W827" s="286"/>
    </row>
    <row r="828">
      <c r="A828" s="286"/>
      <c r="B828" s="286"/>
      <c r="C828" s="286"/>
      <c r="D828" s="286"/>
      <c r="E828" s="286"/>
      <c r="F828" s="286"/>
      <c r="G828" s="286"/>
      <c r="H828" s="286"/>
      <c r="I828" s="286"/>
      <c r="J828" s="286"/>
      <c r="K828" s="399"/>
      <c r="L828" s="399"/>
      <c r="M828" s="286"/>
      <c r="N828" s="286"/>
      <c r="O828" s="286"/>
      <c r="P828" s="286"/>
      <c r="Q828" s="286"/>
      <c r="R828" s="286"/>
      <c r="S828" s="286"/>
      <c r="T828" s="286"/>
      <c r="U828" s="286"/>
      <c r="V828" s="286"/>
      <c r="W828" s="286"/>
    </row>
    <row r="829">
      <c r="A829" s="286"/>
      <c r="B829" s="286"/>
      <c r="C829" s="286"/>
      <c r="D829" s="286"/>
      <c r="E829" s="286"/>
      <c r="F829" s="286"/>
      <c r="G829" s="286"/>
      <c r="H829" s="286"/>
      <c r="I829" s="286"/>
      <c r="J829" s="286"/>
      <c r="K829" s="399"/>
      <c r="L829" s="399"/>
      <c r="M829" s="286"/>
      <c r="N829" s="286"/>
      <c r="O829" s="286"/>
      <c r="P829" s="286"/>
      <c r="Q829" s="286"/>
      <c r="R829" s="286"/>
      <c r="S829" s="286"/>
      <c r="T829" s="286"/>
      <c r="U829" s="286"/>
      <c r="V829" s="286"/>
      <c r="W829" s="286"/>
    </row>
    <row r="830">
      <c r="A830" s="286"/>
      <c r="B830" s="286"/>
      <c r="C830" s="286"/>
      <c r="D830" s="286"/>
      <c r="E830" s="286"/>
      <c r="F830" s="286"/>
      <c r="G830" s="286"/>
      <c r="H830" s="286"/>
      <c r="I830" s="286"/>
      <c r="J830" s="286"/>
      <c r="K830" s="399"/>
      <c r="L830" s="399"/>
      <c r="M830" s="286"/>
      <c r="N830" s="286"/>
      <c r="O830" s="286"/>
      <c r="P830" s="286"/>
      <c r="Q830" s="286"/>
      <c r="R830" s="286"/>
      <c r="S830" s="286"/>
      <c r="T830" s="286"/>
      <c r="U830" s="286"/>
      <c r="V830" s="286"/>
      <c r="W830" s="286"/>
    </row>
    <row r="831">
      <c r="A831" s="286"/>
      <c r="B831" s="286"/>
      <c r="C831" s="286"/>
      <c r="D831" s="286"/>
      <c r="E831" s="286"/>
      <c r="F831" s="286"/>
      <c r="G831" s="286"/>
      <c r="H831" s="286"/>
      <c r="I831" s="286"/>
      <c r="J831" s="286"/>
      <c r="K831" s="399"/>
      <c r="L831" s="399"/>
      <c r="M831" s="286"/>
      <c r="N831" s="286"/>
      <c r="O831" s="286"/>
      <c r="P831" s="286"/>
      <c r="Q831" s="286"/>
      <c r="R831" s="286"/>
      <c r="S831" s="286"/>
      <c r="T831" s="286"/>
      <c r="U831" s="286"/>
      <c r="V831" s="286"/>
      <c r="W831" s="286"/>
    </row>
    <row r="832">
      <c r="A832" s="286"/>
      <c r="B832" s="286"/>
      <c r="C832" s="286"/>
      <c r="D832" s="286"/>
      <c r="E832" s="286"/>
      <c r="F832" s="286"/>
      <c r="G832" s="286"/>
      <c r="H832" s="286"/>
      <c r="I832" s="286"/>
      <c r="J832" s="286"/>
      <c r="K832" s="399"/>
      <c r="L832" s="399"/>
      <c r="M832" s="286"/>
      <c r="N832" s="286"/>
      <c r="O832" s="286"/>
      <c r="P832" s="286"/>
      <c r="Q832" s="286"/>
      <c r="R832" s="286"/>
      <c r="S832" s="286"/>
      <c r="T832" s="286"/>
      <c r="U832" s="286"/>
      <c r="V832" s="286"/>
      <c r="W832" s="286"/>
    </row>
    <row r="833">
      <c r="A833" s="286"/>
      <c r="B833" s="286"/>
      <c r="C833" s="286"/>
      <c r="D833" s="286"/>
      <c r="E833" s="286"/>
      <c r="F833" s="286"/>
      <c r="G833" s="286"/>
      <c r="H833" s="286"/>
      <c r="I833" s="286"/>
      <c r="J833" s="286"/>
      <c r="K833" s="399"/>
      <c r="L833" s="399"/>
      <c r="M833" s="286"/>
      <c r="N833" s="286"/>
      <c r="O833" s="286"/>
      <c r="P833" s="286"/>
      <c r="Q833" s="286"/>
      <c r="R833" s="286"/>
      <c r="S833" s="286"/>
      <c r="T833" s="286"/>
      <c r="U833" s="286"/>
      <c r="V833" s="286"/>
      <c r="W833" s="286"/>
    </row>
    <row r="834">
      <c r="A834" s="286"/>
      <c r="B834" s="286"/>
      <c r="C834" s="286"/>
      <c r="D834" s="286"/>
      <c r="E834" s="286"/>
      <c r="F834" s="286"/>
      <c r="G834" s="286"/>
      <c r="H834" s="286"/>
      <c r="I834" s="286"/>
      <c r="J834" s="286"/>
      <c r="K834" s="399"/>
      <c r="L834" s="399"/>
      <c r="M834" s="286"/>
      <c r="N834" s="286"/>
      <c r="O834" s="286"/>
      <c r="P834" s="286"/>
      <c r="Q834" s="286"/>
      <c r="R834" s="286"/>
      <c r="S834" s="286"/>
      <c r="T834" s="286"/>
      <c r="U834" s="286"/>
      <c r="V834" s="286"/>
      <c r="W834" s="286"/>
    </row>
    <row r="835">
      <c r="A835" s="286"/>
      <c r="B835" s="286"/>
      <c r="C835" s="286"/>
      <c r="D835" s="286"/>
      <c r="E835" s="286"/>
      <c r="F835" s="286"/>
      <c r="G835" s="286"/>
      <c r="H835" s="286"/>
      <c r="I835" s="286"/>
      <c r="J835" s="286"/>
      <c r="K835" s="399"/>
      <c r="L835" s="399"/>
      <c r="M835" s="286"/>
      <c r="N835" s="286"/>
      <c r="O835" s="286"/>
      <c r="P835" s="286"/>
      <c r="Q835" s="286"/>
      <c r="R835" s="286"/>
      <c r="S835" s="286"/>
      <c r="T835" s="286"/>
      <c r="U835" s="286"/>
      <c r="V835" s="286"/>
      <c r="W835" s="286"/>
    </row>
    <row r="836">
      <c r="A836" s="286"/>
      <c r="B836" s="286"/>
      <c r="C836" s="286"/>
      <c r="D836" s="286"/>
      <c r="E836" s="286"/>
      <c r="F836" s="286"/>
      <c r="G836" s="286"/>
      <c r="H836" s="286"/>
      <c r="I836" s="286"/>
      <c r="J836" s="286"/>
      <c r="K836" s="399"/>
      <c r="L836" s="399"/>
      <c r="M836" s="286"/>
      <c r="N836" s="286"/>
      <c r="O836" s="286"/>
      <c r="P836" s="286"/>
      <c r="Q836" s="286"/>
      <c r="R836" s="286"/>
      <c r="S836" s="286"/>
      <c r="T836" s="286"/>
      <c r="U836" s="286"/>
      <c r="V836" s="286"/>
      <c r="W836" s="286"/>
    </row>
    <row r="837">
      <c r="A837" s="286"/>
      <c r="B837" s="286"/>
      <c r="C837" s="286"/>
      <c r="D837" s="286"/>
      <c r="E837" s="286"/>
      <c r="F837" s="286"/>
      <c r="G837" s="286"/>
      <c r="H837" s="286"/>
      <c r="I837" s="286"/>
      <c r="J837" s="286"/>
      <c r="K837" s="399"/>
      <c r="L837" s="399"/>
      <c r="M837" s="286"/>
      <c r="N837" s="286"/>
      <c r="O837" s="286"/>
      <c r="P837" s="286"/>
      <c r="Q837" s="286"/>
      <c r="R837" s="286"/>
      <c r="S837" s="286"/>
      <c r="T837" s="286"/>
      <c r="U837" s="286"/>
      <c r="V837" s="286"/>
      <c r="W837" s="286"/>
    </row>
    <row r="838">
      <c r="A838" s="286"/>
      <c r="B838" s="286"/>
      <c r="C838" s="286"/>
      <c r="D838" s="286"/>
      <c r="E838" s="286"/>
      <c r="F838" s="286"/>
      <c r="G838" s="286"/>
      <c r="H838" s="286"/>
      <c r="I838" s="286"/>
      <c r="J838" s="286"/>
      <c r="K838" s="399"/>
      <c r="L838" s="399"/>
      <c r="M838" s="286"/>
      <c r="N838" s="286"/>
      <c r="O838" s="286"/>
      <c r="P838" s="286"/>
      <c r="Q838" s="286"/>
      <c r="R838" s="286"/>
      <c r="S838" s="286"/>
      <c r="T838" s="286"/>
      <c r="U838" s="286"/>
      <c r="V838" s="286"/>
      <c r="W838" s="286"/>
    </row>
    <row r="839">
      <c r="A839" s="286"/>
      <c r="B839" s="286"/>
      <c r="C839" s="286"/>
      <c r="D839" s="286"/>
      <c r="E839" s="286"/>
      <c r="F839" s="286"/>
      <c r="G839" s="286"/>
      <c r="H839" s="286"/>
      <c r="I839" s="286"/>
      <c r="J839" s="286"/>
      <c r="K839" s="399"/>
      <c r="L839" s="399"/>
      <c r="M839" s="286"/>
      <c r="N839" s="286"/>
      <c r="O839" s="286"/>
      <c r="P839" s="286"/>
      <c r="Q839" s="286"/>
      <c r="R839" s="286"/>
      <c r="S839" s="286"/>
      <c r="T839" s="286"/>
      <c r="U839" s="286"/>
      <c r="V839" s="286"/>
      <c r="W839" s="286"/>
    </row>
    <row r="840">
      <c r="A840" s="286"/>
      <c r="B840" s="286"/>
      <c r="C840" s="286"/>
      <c r="D840" s="286"/>
      <c r="E840" s="286"/>
      <c r="F840" s="286"/>
      <c r="G840" s="286"/>
      <c r="H840" s="286"/>
      <c r="I840" s="286"/>
      <c r="J840" s="286"/>
      <c r="K840" s="399"/>
      <c r="L840" s="399"/>
      <c r="M840" s="286"/>
      <c r="N840" s="286"/>
      <c r="O840" s="286"/>
      <c r="P840" s="286"/>
      <c r="Q840" s="286"/>
      <c r="R840" s="286"/>
      <c r="S840" s="286"/>
      <c r="T840" s="286"/>
      <c r="U840" s="286"/>
      <c r="V840" s="286"/>
      <c r="W840" s="286"/>
    </row>
    <row r="841">
      <c r="A841" s="286"/>
      <c r="B841" s="286"/>
      <c r="C841" s="286"/>
      <c r="D841" s="286"/>
      <c r="E841" s="286"/>
      <c r="F841" s="286"/>
      <c r="G841" s="286"/>
      <c r="H841" s="286"/>
      <c r="I841" s="286"/>
      <c r="J841" s="286"/>
      <c r="K841" s="399"/>
      <c r="L841" s="399"/>
      <c r="M841" s="286"/>
      <c r="N841" s="286"/>
      <c r="O841" s="286"/>
      <c r="P841" s="286"/>
      <c r="Q841" s="286"/>
      <c r="R841" s="286"/>
      <c r="S841" s="286"/>
      <c r="T841" s="286"/>
      <c r="U841" s="286"/>
      <c r="V841" s="286"/>
      <c r="W841" s="286"/>
    </row>
    <row r="842">
      <c r="A842" s="286"/>
      <c r="B842" s="286"/>
      <c r="C842" s="286"/>
      <c r="D842" s="286"/>
      <c r="E842" s="286"/>
      <c r="F842" s="286"/>
      <c r="G842" s="286"/>
      <c r="H842" s="286"/>
      <c r="I842" s="286"/>
      <c r="J842" s="286"/>
      <c r="K842" s="399"/>
      <c r="L842" s="399"/>
      <c r="M842" s="286"/>
      <c r="N842" s="286"/>
      <c r="O842" s="286"/>
      <c r="P842" s="286"/>
      <c r="Q842" s="286"/>
      <c r="R842" s="286"/>
      <c r="S842" s="286"/>
      <c r="T842" s="286"/>
      <c r="U842" s="286"/>
      <c r="V842" s="286"/>
      <c r="W842" s="286"/>
    </row>
    <row r="843">
      <c r="A843" s="286"/>
      <c r="B843" s="286"/>
      <c r="C843" s="286"/>
      <c r="D843" s="286"/>
      <c r="E843" s="286"/>
      <c r="F843" s="286"/>
      <c r="G843" s="286"/>
      <c r="H843" s="286"/>
      <c r="I843" s="286"/>
      <c r="J843" s="286"/>
      <c r="K843" s="399"/>
      <c r="L843" s="399"/>
      <c r="M843" s="286"/>
      <c r="N843" s="286"/>
      <c r="O843" s="286"/>
      <c r="P843" s="286"/>
      <c r="Q843" s="286"/>
      <c r="R843" s="286"/>
      <c r="S843" s="286"/>
      <c r="T843" s="286"/>
      <c r="U843" s="286"/>
      <c r="V843" s="286"/>
      <c r="W843" s="286"/>
    </row>
    <row r="844">
      <c r="A844" s="286"/>
      <c r="B844" s="286"/>
      <c r="C844" s="286"/>
      <c r="D844" s="286"/>
      <c r="E844" s="286"/>
      <c r="F844" s="286"/>
      <c r="G844" s="286"/>
      <c r="H844" s="286"/>
      <c r="I844" s="286"/>
      <c r="J844" s="286"/>
      <c r="K844" s="399"/>
      <c r="L844" s="399"/>
      <c r="M844" s="286"/>
      <c r="N844" s="286"/>
      <c r="O844" s="286"/>
      <c r="P844" s="286"/>
      <c r="Q844" s="286"/>
      <c r="R844" s="286"/>
      <c r="S844" s="286"/>
      <c r="T844" s="286"/>
      <c r="U844" s="286"/>
      <c r="V844" s="286"/>
      <c r="W844" s="286"/>
    </row>
    <row r="845">
      <c r="A845" s="286"/>
      <c r="B845" s="286"/>
      <c r="C845" s="286"/>
      <c r="D845" s="286"/>
      <c r="E845" s="286"/>
      <c r="F845" s="286"/>
      <c r="G845" s="286"/>
      <c r="H845" s="286"/>
      <c r="I845" s="286"/>
      <c r="J845" s="286"/>
      <c r="K845" s="399"/>
      <c r="L845" s="399"/>
      <c r="M845" s="286"/>
      <c r="N845" s="286"/>
      <c r="O845" s="286"/>
      <c r="P845" s="286"/>
      <c r="Q845" s="286"/>
      <c r="R845" s="286"/>
      <c r="S845" s="286"/>
      <c r="T845" s="286"/>
      <c r="U845" s="286"/>
      <c r="V845" s="286"/>
      <c r="W845" s="286"/>
    </row>
    <row r="846">
      <c r="A846" s="286"/>
      <c r="B846" s="286"/>
      <c r="C846" s="286"/>
      <c r="D846" s="286"/>
      <c r="E846" s="286"/>
      <c r="F846" s="286"/>
      <c r="G846" s="286"/>
      <c r="H846" s="286"/>
      <c r="I846" s="286"/>
      <c r="J846" s="286"/>
      <c r="K846" s="399"/>
      <c r="L846" s="399"/>
      <c r="M846" s="286"/>
      <c r="N846" s="286"/>
      <c r="O846" s="286"/>
      <c r="P846" s="286"/>
      <c r="Q846" s="286"/>
      <c r="R846" s="286"/>
      <c r="S846" s="286"/>
      <c r="T846" s="286"/>
      <c r="U846" s="286"/>
      <c r="V846" s="286"/>
      <c r="W846" s="286"/>
    </row>
    <row r="847">
      <c r="A847" s="286"/>
      <c r="B847" s="286"/>
      <c r="C847" s="286"/>
      <c r="D847" s="286"/>
      <c r="E847" s="286"/>
      <c r="F847" s="286"/>
      <c r="G847" s="286"/>
      <c r="H847" s="286"/>
      <c r="I847" s="286"/>
      <c r="J847" s="286"/>
      <c r="K847" s="399"/>
      <c r="L847" s="399"/>
      <c r="M847" s="286"/>
      <c r="N847" s="286"/>
      <c r="O847" s="286"/>
      <c r="P847" s="286"/>
      <c r="Q847" s="286"/>
      <c r="R847" s="286"/>
      <c r="S847" s="286"/>
      <c r="T847" s="286"/>
      <c r="U847" s="286"/>
      <c r="V847" s="286"/>
      <c r="W847" s="286"/>
    </row>
    <row r="848">
      <c r="A848" s="286"/>
      <c r="B848" s="286"/>
      <c r="C848" s="286"/>
      <c r="D848" s="286"/>
      <c r="E848" s="286"/>
      <c r="F848" s="286"/>
      <c r="G848" s="286"/>
      <c r="H848" s="286"/>
      <c r="I848" s="286"/>
      <c r="J848" s="286"/>
      <c r="K848" s="399"/>
      <c r="L848" s="399"/>
      <c r="M848" s="286"/>
      <c r="N848" s="286"/>
      <c r="O848" s="286"/>
      <c r="P848" s="286"/>
      <c r="Q848" s="286"/>
      <c r="R848" s="286"/>
      <c r="S848" s="286"/>
      <c r="T848" s="286"/>
      <c r="U848" s="286"/>
      <c r="V848" s="286"/>
      <c r="W848" s="286"/>
    </row>
    <row r="849">
      <c r="A849" s="286"/>
      <c r="B849" s="286"/>
      <c r="C849" s="286"/>
      <c r="D849" s="286"/>
      <c r="E849" s="286"/>
      <c r="F849" s="286"/>
      <c r="G849" s="286"/>
      <c r="H849" s="286"/>
      <c r="I849" s="286"/>
      <c r="J849" s="286"/>
      <c r="K849" s="399"/>
      <c r="L849" s="399"/>
      <c r="M849" s="286"/>
      <c r="N849" s="286"/>
      <c r="O849" s="286"/>
      <c r="P849" s="286"/>
      <c r="Q849" s="286"/>
      <c r="R849" s="286"/>
      <c r="S849" s="286"/>
      <c r="T849" s="286"/>
      <c r="U849" s="286"/>
      <c r="V849" s="286"/>
      <c r="W849" s="286"/>
    </row>
    <row r="850">
      <c r="A850" s="286"/>
      <c r="B850" s="286"/>
      <c r="C850" s="286"/>
      <c r="D850" s="286"/>
      <c r="E850" s="286"/>
      <c r="F850" s="286"/>
      <c r="G850" s="286"/>
      <c r="H850" s="286"/>
      <c r="I850" s="286"/>
      <c r="J850" s="286"/>
      <c r="K850" s="399"/>
      <c r="L850" s="399"/>
      <c r="M850" s="286"/>
      <c r="N850" s="286"/>
      <c r="O850" s="286"/>
      <c r="P850" s="286"/>
      <c r="Q850" s="286"/>
      <c r="R850" s="286"/>
      <c r="S850" s="286"/>
      <c r="T850" s="286"/>
      <c r="U850" s="286"/>
      <c r="V850" s="286"/>
      <c r="W850" s="286"/>
    </row>
    <row r="851">
      <c r="A851" s="286"/>
      <c r="B851" s="286"/>
      <c r="C851" s="286"/>
      <c r="D851" s="286"/>
      <c r="E851" s="286"/>
      <c r="F851" s="286"/>
      <c r="G851" s="286"/>
      <c r="H851" s="286"/>
      <c r="I851" s="286"/>
      <c r="J851" s="286"/>
      <c r="K851" s="399"/>
      <c r="L851" s="399"/>
      <c r="M851" s="286"/>
      <c r="N851" s="286"/>
      <c r="O851" s="286"/>
      <c r="P851" s="286"/>
      <c r="Q851" s="286"/>
      <c r="R851" s="286"/>
      <c r="S851" s="286"/>
      <c r="T851" s="286"/>
      <c r="U851" s="286"/>
      <c r="V851" s="286"/>
      <c r="W851" s="286"/>
    </row>
    <row r="852">
      <c r="A852" s="286"/>
      <c r="B852" s="286"/>
      <c r="C852" s="286"/>
      <c r="D852" s="286"/>
      <c r="E852" s="286"/>
      <c r="F852" s="286"/>
      <c r="G852" s="286"/>
      <c r="H852" s="286"/>
      <c r="I852" s="286"/>
      <c r="J852" s="286"/>
      <c r="K852" s="399"/>
      <c r="L852" s="399"/>
      <c r="M852" s="286"/>
      <c r="N852" s="286"/>
      <c r="O852" s="286"/>
      <c r="P852" s="286"/>
      <c r="Q852" s="286"/>
      <c r="R852" s="286"/>
      <c r="S852" s="286"/>
      <c r="T852" s="286"/>
      <c r="U852" s="286"/>
      <c r="V852" s="286"/>
      <c r="W852" s="286"/>
    </row>
    <row r="853">
      <c r="A853" s="286"/>
      <c r="B853" s="286"/>
      <c r="C853" s="286"/>
      <c r="D853" s="286"/>
      <c r="E853" s="286"/>
      <c r="F853" s="286"/>
      <c r="G853" s="286"/>
      <c r="H853" s="286"/>
      <c r="I853" s="286"/>
      <c r="J853" s="286"/>
      <c r="K853" s="399"/>
      <c r="L853" s="399"/>
      <c r="M853" s="286"/>
      <c r="N853" s="286"/>
      <c r="O853" s="286"/>
      <c r="P853" s="286"/>
      <c r="Q853" s="286"/>
      <c r="R853" s="286"/>
      <c r="S853" s="286"/>
      <c r="T853" s="286"/>
      <c r="U853" s="286"/>
      <c r="V853" s="286"/>
      <c r="W853" s="286"/>
    </row>
    <row r="854">
      <c r="A854" s="286"/>
      <c r="B854" s="286"/>
      <c r="C854" s="286"/>
      <c r="D854" s="286"/>
      <c r="E854" s="286"/>
      <c r="F854" s="286"/>
      <c r="G854" s="286"/>
      <c r="H854" s="286"/>
      <c r="I854" s="286"/>
      <c r="J854" s="286"/>
      <c r="K854" s="399"/>
      <c r="L854" s="399"/>
      <c r="M854" s="286"/>
      <c r="N854" s="286"/>
      <c r="O854" s="286"/>
      <c r="P854" s="286"/>
      <c r="Q854" s="286"/>
      <c r="R854" s="286"/>
      <c r="S854" s="286"/>
      <c r="T854" s="286"/>
      <c r="U854" s="286"/>
      <c r="V854" s="286"/>
      <c r="W854" s="286"/>
    </row>
    <row r="855">
      <c r="A855" s="286"/>
      <c r="B855" s="286"/>
      <c r="C855" s="286"/>
      <c r="D855" s="286"/>
      <c r="E855" s="286"/>
      <c r="F855" s="286"/>
      <c r="G855" s="286"/>
      <c r="H855" s="286"/>
      <c r="I855" s="286"/>
      <c r="J855" s="286"/>
      <c r="K855" s="399"/>
      <c r="L855" s="399"/>
      <c r="M855" s="286"/>
      <c r="N855" s="286"/>
      <c r="O855" s="286"/>
      <c r="P855" s="286"/>
      <c r="Q855" s="286"/>
      <c r="R855" s="286"/>
      <c r="S855" s="286"/>
      <c r="T855" s="286"/>
      <c r="U855" s="286"/>
      <c r="V855" s="286"/>
      <c r="W855" s="286"/>
    </row>
    <row r="856">
      <c r="A856" s="286"/>
      <c r="B856" s="286"/>
      <c r="C856" s="286"/>
      <c r="D856" s="286"/>
      <c r="E856" s="286"/>
      <c r="F856" s="286"/>
      <c r="G856" s="286"/>
      <c r="H856" s="286"/>
      <c r="I856" s="286"/>
      <c r="J856" s="286"/>
      <c r="K856" s="399"/>
      <c r="L856" s="399"/>
      <c r="M856" s="286"/>
      <c r="N856" s="286"/>
      <c r="O856" s="286"/>
      <c r="P856" s="286"/>
      <c r="Q856" s="286"/>
      <c r="R856" s="286"/>
      <c r="S856" s="286"/>
      <c r="T856" s="286"/>
      <c r="U856" s="286"/>
      <c r="V856" s="286"/>
      <c r="W856" s="286"/>
    </row>
    <row r="857">
      <c r="A857" s="286"/>
      <c r="B857" s="286"/>
      <c r="C857" s="286"/>
      <c r="D857" s="286"/>
      <c r="E857" s="286"/>
      <c r="F857" s="286"/>
      <c r="G857" s="286"/>
      <c r="H857" s="286"/>
      <c r="I857" s="286"/>
      <c r="J857" s="286"/>
      <c r="K857" s="399"/>
      <c r="L857" s="399"/>
      <c r="M857" s="286"/>
      <c r="N857" s="286"/>
      <c r="O857" s="286"/>
      <c r="P857" s="286"/>
      <c r="Q857" s="286"/>
      <c r="R857" s="286"/>
      <c r="S857" s="286"/>
      <c r="T857" s="286"/>
      <c r="U857" s="286"/>
      <c r="V857" s="286"/>
      <c r="W857" s="286"/>
    </row>
    <row r="858">
      <c r="A858" s="286"/>
      <c r="B858" s="286"/>
      <c r="C858" s="286"/>
      <c r="D858" s="286"/>
      <c r="E858" s="286"/>
      <c r="F858" s="286"/>
      <c r="G858" s="286"/>
      <c r="H858" s="286"/>
      <c r="I858" s="286"/>
      <c r="J858" s="286"/>
      <c r="K858" s="399"/>
      <c r="L858" s="399"/>
      <c r="M858" s="286"/>
      <c r="N858" s="286"/>
      <c r="O858" s="286"/>
      <c r="P858" s="286"/>
      <c r="Q858" s="286"/>
      <c r="R858" s="286"/>
      <c r="S858" s="286"/>
      <c r="T858" s="286"/>
      <c r="U858" s="286"/>
      <c r="V858" s="286"/>
      <c r="W858" s="286"/>
    </row>
    <row r="859">
      <c r="A859" s="286"/>
      <c r="B859" s="286"/>
      <c r="C859" s="286"/>
      <c r="D859" s="286"/>
      <c r="E859" s="286"/>
      <c r="F859" s="286"/>
      <c r="G859" s="286"/>
      <c r="H859" s="286"/>
      <c r="I859" s="286"/>
      <c r="J859" s="286"/>
      <c r="K859" s="399"/>
      <c r="L859" s="399"/>
      <c r="M859" s="286"/>
      <c r="N859" s="286"/>
      <c r="O859" s="286"/>
      <c r="P859" s="286"/>
      <c r="Q859" s="286"/>
      <c r="R859" s="286"/>
      <c r="S859" s="286"/>
      <c r="T859" s="286"/>
      <c r="U859" s="286"/>
      <c r="V859" s="286"/>
      <c r="W859" s="286"/>
    </row>
    <row r="860">
      <c r="A860" s="286"/>
      <c r="B860" s="286"/>
      <c r="C860" s="286"/>
      <c r="D860" s="286"/>
      <c r="E860" s="286"/>
      <c r="F860" s="286"/>
      <c r="G860" s="286"/>
      <c r="H860" s="286"/>
      <c r="I860" s="286"/>
      <c r="J860" s="286"/>
      <c r="K860" s="399"/>
      <c r="L860" s="399"/>
      <c r="M860" s="286"/>
      <c r="N860" s="286"/>
      <c r="O860" s="286"/>
      <c r="P860" s="286"/>
      <c r="Q860" s="286"/>
      <c r="R860" s="286"/>
      <c r="S860" s="286"/>
      <c r="T860" s="286"/>
      <c r="U860" s="286"/>
      <c r="V860" s="286"/>
      <c r="W860" s="286"/>
    </row>
    <row r="861">
      <c r="A861" s="286"/>
      <c r="B861" s="286"/>
      <c r="C861" s="286"/>
      <c r="D861" s="286"/>
      <c r="E861" s="286"/>
      <c r="F861" s="286"/>
      <c r="G861" s="286"/>
      <c r="H861" s="286"/>
      <c r="I861" s="286"/>
      <c r="J861" s="286"/>
      <c r="K861" s="399"/>
      <c r="L861" s="399"/>
      <c r="M861" s="286"/>
      <c r="N861" s="286"/>
      <c r="O861" s="286"/>
      <c r="P861" s="286"/>
      <c r="Q861" s="286"/>
      <c r="R861" s="286"/>
      <c r="S861" s="286"/>
      <c r="T861" s="286"/>
      <c r="U861" s="286"/>
      <c r="V861" s="286"/>
      <c r="W861" s="286"/>
    </row>
    <row r="862">
      <c r="A862" s="286"/>
      <c r="B862" s="286"/>
      <c r="C862" s="286"/>
      <c r="D862" s="286"/>
      <c r="E862" s="286"/>
      <c r="F862" s="286"/>
      <c r="G862" s="286"/>
      <c r="H862" s="286"/>
      <c r="I862" s="286"/>
      <c r="J862" s="286"/>
      <c r="K862" s="399"/>
      <c r="L862" s="399"/>
      <c r="M862" s="286"/>
      <c r="N862" s="286"/>
      <c r="O862" s="286"/>
      <c r="P862" s="286"/>
      <c r="Q862" s="286"/>
      <c r="R862" s="286"/>
      <c r="S862" s="286"/>
      <c r="T862" s="286"/>
      <c r="U862" s="286"/>
      <c r="V862" s="286"/>
      <c r="W862" s="286"/>
    </row>
    <row r="863">
      <c r="A863" s="286"/>
      <c r="B863" s="286"/>
      <c r="C863" s="286"/>
      <c r="D863" s="286"/>
      <c r="E863" s="286"/>
      <c r="F863" s="286"/>
      <c r="G863" s="286"/>
      <c r="H863" s="286"/>
      <c r="I863" s="286"/>
      <c r="J863" s="286"/>
      <c r="K863" s="399"/>
      <c r="L863" s="399"/>
      <c r="M863" s="286"/>
      <c r="N863" s="286"/>
      <c r="O863" s="286"/>
      <c r="P863" s="286"/>
      <c r="Q863" s="286"/>
      <c r="R863" s="286"/>
      <c r="S863" s="286"/>
      <c r="T863" s="286"/>
      <c r="U863" s="286"/>
      <c r="V863" s="286"/>
      <c r="W863" s="286"/>
    </row>
    <row r="864">
      <c r="A864" s="286"/>
      <c r="B864" s="286"/>
      <c r="C864" s="286"/>
      <c r="D864" s="286"/>
      <c r="E864" s="286"/>
      <c r="F864" s="286"/>
      <c r="G864" s="286"/>
      <c r="H864" s="286"/>
      <c r="I864" s="286"/>
      <c r="J864" s="286"/>
      <c r="K864" s="399"/>
      <c r="L864" s="399"/>
      <c r="M864" s="286"/>
      <c r="N864" s="286"/>
      <c r="O864" s="286"/>
      <c r="P864" s="286"/>
      <c r="Q864" s="286"/>
      <c r="R864" s="286"/>
      <c r="S864" s="286"/>
      <c r="T864" s="286"/>
      <c r="U864" s="286"/>
      <c r="V864" s="286"/>
      <c r="W864" s="286"/>
    </row>
    <row r="865">
      <c r="A865" s="286"/>
      <c r="B865" s="286"/>
      <c r="C865" s="286"/>
      <c r="D865" s="286"/>
      <c r="E865" s="286"/>
      <c r="F865" s="286"/>
      <c r="G865" s="286"/>
      <c r="H865" s="286"/>
      <c r="I865" s="286"/>
      <c r="J865" s="286"/>
      <c r="K865" s="399"/>
      <c r="L865" s="399"/>
      <c r="M865" s="286"/>
      <c r="N865" s="286"/>
      <c r="O865" s="286"/>
      <c r="P865" s="286"/>
      <c r="Q865" s="286"/>
      <c r="R865" s="286"/>
      <c r="S865" s="286"/>
      <c r="T865" s="286"/>
      <c r="U865" s="286"/>
      <c r="V865" s="286"/>
      <c r="W865" s="286"/>
    </row>
    <row r="866">
      <c r="A866" s="286"/>
      <c r="B866" s="286"/>
      <c r="C866" s="286"/>
      <c r="D866" s="286"/>
      <c r="E866" s="286"/>
      <c r="F866" s="286"/>
      <c r="G866" s="286"/>
      <c r="H866" s="286"/>
      <c r="I866" s="286"/>
      <c r="J866" s="286"/>
      <c r="K866" s="399"/>
      <c r="L866" s="399"/>
      <c r="M866" s="286"/>
      <c r="N866" s="286"/>
      <c r="O866" s="286"/>
      <c r="P866" s="286"/>
      <c r="Q866" s="286"/>
      <c r="R866" s="286"/>
      <c r="S866" s="286"/>
      <c r="T866" s="286"/>
      <c r="U866" s="286"/>
      <c r="V866" s="286"/>
      <c r="W866" s="286"/>
    </row>
    <row r="867">
      <c r="A867" s="286"/>
      <c r="B867" s="286"/>
      <c r="C867" s="286"/>
      <c r="D867" s="286"/>
      <c r="E867" s="286"/>
      <c r="F867" s="286"/>
      <c r="G867" s="286"/>
      <c r="H867" s="286"/>
      <c r="I867" s="286"/>
      <c r="J867" s="286"/>
      <c r="K867" s="399"/>
      <c r="L867" s="399"/>
      <c r="M867" s="286"/>
      <c r="N867" s="286"/>
      <c r="O867" s="286"/>
      <c r="P867" s="286"/>
      <c r="Q867" s="286"/>
      <c r="R867" s="286"/>
      <c r="S867" s="286"/>
      <c r="T867" s="286"/>
      <c r="U867" s="286"/>
      <c r="V867" s="286"/>
      <c r="W867" s="286"/>
    </row>
    <row r="868">
      <c r="A868" s="286"/>
      <c r="B868" s="286"/>
      <c r="C868" s="286"/>
      <c r="D868" s="286"/>
      <c r="E868" s="286"/>
      <c r="F868" s="286"/>
      <c r="G868" s="286"/>
      <c r="H868" s="286"/>
      <c r="I868" s="286"/>
      <c r="J868" s="286"/>
      <c r="K868" s="399"/>
      <c r="L868" s="399"/>
      <c r="M868" s="286"/>
      <c r="N868" s="286"/>
      <c r="O868" s="286"/>
      <c r="P868" s="286"/>
      <c r="Q868" s="286"/>
      <c r="R868" s="286"/>
      <c r="S868" s="286"/>
      <c r="T868" s="286"/>
      <c r="U868" s="286"/>
      <c r="V868" s="286"/>
      <c r="W868" s="286"/>
    </row>
    <row r="869">
      <c r="A869" s="286"/>
      <c r="B869" s="286"/>
      <c r="C869" s="286"/>
      <c r="D869" s="286"/>
      <c r="E869" s="286"/>
      <c r="F869" s="286"/>
      <c r="G869" s="286"/>
      <c r="H869" s="286"/>
      <c r="I869" s="286"/>
      <c r="J869" s="286"/>
      <c r="K869" s="399"/>
      <c r="L869" s="399"/>
      <c r="M869" s="286"/>
      <c r="N869" s="286"/>
      <c r="O869" s="286"/>
      <c r="P869" s="286"/>
      <c r="Q869" s="286"/>
      <c r="R869" s="286"/>
      <c r="S869" s="286"/>
      <c r="T869" s="286"/>
      <c r="U869" s="286"/>
      <c r="V869" s="286"/>
      <c r="W869" s="286"/>
    </row>
    <row r="870">
      <c r="A870" s="286"/>
      <c r="B870" s="286"/>
      <c r="C870" s="286"/>
      <c r="D870" s="286"/>
      <c r="E870" s="286"/>
      <c r="F870" s="286"/>
      <c r="G870" s="286"/>
      <c r="H870" s="286"/>
      <c r="I870" s="286"/>
      <c r="J870" s="286"/>
      <c r="K870" s="399"/>
      <c r="L870" s="399"/>
      <c r="M870" s="286"/>
      <c r="N870" s="286"/>
      <c r="O870" s="286"/>
      <c r="P870" s="286"/>
      <c r="Q870" s="286"/>
      <c r="R870" s="286"/>
      <c r="S870" s="286"/>
      <c r="T870" s="286"/>
      <c r="U870" s="286"/>
      <c r="V870" s="286"/>
      <c r="W870" s="286"/>
    </row>
    <row r="871">
      <c r="A871" s="286"/>
      <c r="B871" s="286"/>
      <c r="C871" s="286"/>
      <c r="D871" s="286"/>
      <c r="E871" s="286"/>
      <c r="F871" s="286"/>
      <c r="G871" s="286"/>
      <c r="H871" s="286"/>
      <c r="I871" s="286"/>
      <c r="J871" s="286"/>
      <c r="K871" s="399"/>
      <c r="L871" s="399"/>
      <c r="M871" s="286"/>
      <c r="N871" s="286"/>
      <c r="O871" s="286"/>
      <c r="P871" s="286"/>
      <c r="Q871" s="286"/>
      <c r="R871" s="286"/>
      <c r="S871" s="286"/>
      <c r="T871" s="286"/>
      <c r="U871" s="286"/>
      <c r="V871" s="286"/>
      <c r="W871" s="286"/>
    </row>
    <row r="872">
      <c r="A872" s="286"/>
      <c r="B872" s="286"/>
      <c r="C872" s="286"/>
      <c r="D872" s="286"/>
      <c r="E872" s="286"/>
      <c r="F872" s="286"/>
      <c r="G872" s="286"/>
      <c r="H872" s="286"/>
      <c r="I872" s="286"/>
      <c r="J872" s="286"/>
      <c r="K872" s="399"/>
      <c r="L872" s="399"/>
      <c r="M872" s="286"/>
      <c r="N872" s="286"/>
      <c r="O872" s="286"/>
      <c r="P872" s="286"/>
      <c r="Q872" s="286"/>
      <c r="R872" s="286"/>
      <c r="S872" s="286"/>
      <c r="T872" s="286"/>
      <c r="U872" s="286"/>
      <c r="V872" s="286"/>
      <c r="W872" s="286"/>
    </row>
    <row r="873">
      <c r="A873" s="286"/>
      <c r="B873" s="286"/>
      <c r="C873" s="286"/>
      <c r="D873" s="286"/>
      <c r="E873" s="286"/>
      <c r="F873" s="286"/>
      <c r="G873" s="286"/>
      <c r="H873" s="286"/>
      <c r="I873" s="286"/>
      <c r="J873" s="286"/>
      <c r="K873" s="399"/>
      <c r="L873" s="399"/>
      <c r="M873" s="286"/>
      <c r="N873" s="286"/>
      <c r="O873" s="286"/>
      <c r="P873" s="286"/>
      <c r="Q873" s="286"/>
      <c r="R873" s="286"/>
      <c r="S873" s="286"/>
      <c r="T873" s="286"/>
      <c r="U873" s="286"/>
      <c r="V873" s="286"/>
      <c r="W873" s="286"/>
    </row>
    <row r="874">
      <c r="A874" s="286"/>
      <c r="B874" s="286"/>
      <c r="C874" s="286"/>
      <c r="D874" s="286"/>
      <c r="E874" s="286"/>
      <c r="F874" s="286"/>
      <c r="G874" s="286"/>
      <c r="H874" s="286"/>
      <c r="I874" s="286"/>
      <c r="J874" s="286"/>
      <c r="K874" s="399"/>
      <c r="L874" s="399"/>
      <c r="M874" s="286"/>
      <c r="N874" s="286"/>
      <c r="O874" s="286"/>
      <c r="P874" s="286"/>
      <c r="Q874" s="286"/>
      <c r="R874" s="286"/>
      <c r="S874" s="286"/>
      <c r="T874" s="286"/>
      <c r="U874" s="286"/>
      <c r="V874" s="286"/>
      <c r="W874" s="286"/>
    </row>
    <row r="875">
      <c r="A875" s="286"/>
      <c r="B875" s="286"/>
      <c r="C875" s="286"/>
      <c r="D875" s="286"/>
      <c r="E875" s="286"/>
      <c r="F875" s="286"/>
      <c r="G875" s="286"/>
      <c r="H875" s="286"/>
      <c r="I875" s="286"/>
      <c r="J875" s="286"/>
      <c r="K875" s="399"/>
      <c r="L875" s="399"/>
      <c r="M875" s="286"/>
      <c r="N875" s="286"/>
      <c r="O875" s="286"/>
      <c r="P875" s="286"/>
      <c r="Q875" s="286"/>
      <c r="R875" s="286"/>
      <c r="S875" s="286"/>
      <c r="T875" s="286"/>
      <c r="U875" s="286"/>
      <c r="V875" s="286"/>
      <c r="W875" s="286"/>
    </row>
    <row r="876">
      <c r="A876" s="286"/>
      <c r="B876" s="286"/>
      <c r="C876" s="286"/>
      <c r="D876" s="286"/>
      <c r="E876" s="286"/>
      <c r="F876" s="286"/>
      <c r="G876" s="286"/>
      <c r="H876" s="286"/>
      <c r="I876" s="286"/>
      <c r="J876" s="286"/>
      <c r="K876" s="399"/>
      <c r="L876" s="399"/>
      <c r="M876" s="286"/>
      <c r="N876" s="286"/>
      <c r="O876" s="286"/>
      <c r="P876" s="286"/>
      <c r="Q876" s="286"/>
      <c r="R876" s="286"/>
      <c r="S876" s="286"/>
      <c r="T876" s="286"/>
      <c r="U876" s="286"/>
      <c r="V876" s="286"/>
      <c r="W876" s="286"/>
    </row>
    <row r="877">
      <c r="A877" s="286"/>
      <c r="B877" s="286"/>
      <c r="C877" s="286"/>
      <c r="D877" s="286"/>
      <c r="E877" s="286"/>
      <c r="F877" s="286"/>
      <c r="G877" s="286"/>
      <c r="H877" s="286"/>
      <c r="I877" s="286"/>
      <c r="J877" s="286"/>
      <c r="K877" s="399"/>
      <c r="L877" s="399"/>
      <c r="M877" s="286"/>
      <c r="N877" s="286"/>
      <c r="O877" s="286"/>
      <c r="P877" s="286"/>
      <c r="Q877" s="286"/>
      <c r="R877" s="286"/>
      <c r="S877" s="286"/>
      <c r="T877" s="286"/>
      <c r="U877" s="286"/>
      <c r="V877" s="286"/>
      <c r="W877" s="286"/>
    </row>
    <row r="878">
      <c r="A878" s="286"/>
      <c r="B878" s="286"/>
      <c r="C878" s="286"/>
      <c r="D878" s="286"/>
      <c r="E878" s="286"/>
      <c r="F878" s="286"/>
      <c r="G878" s="286"/>
      <c r="H878" s="286"/>
      <c r="I878" s="286"/>
      <c r="J878" s="286"/>
      <c r="K878" s="399"/>
      <c r="L878" s="399"/>
      <c r="M878" s="286"/>
      <c r="N878" s="286"/>
      <c r="O878" s="286"/>
      <c r="P878" s="286"/>
      <c r="Q878" s="286"/>
      <c r="R878" s="286"/>
      <c r="S878" s="286"/>
      <c r="T878" s="286"/>
      <c r="U878" s="286"/>
      <c r="V878" s="286"/>
      <c r="W878" s="286"/>
    </row>
    <row r="879">
      <c r="A879" s="286"/>
      <c r="B879" s="286"/>
      <c r="C879" s="286"/>
      <c r="D879" s="286"/>
      <c r="E879" s="286"/>
      <c r="F879" s="286"/>
      <c r="G879" s="286"/>
      <c r="H879" s="286"/>
      <c r="I879" s="286"/>
      <c r="J879" s="286"/>
      <c r="K879" s="399"/>
      <c r="L879" s="399"/>
      <c r="M879" s="286"/>
      <c r="N879" s="286"/>
      <c r="O879" s="286"/>
      <c r="P879" s="286"/>
      <c r="Q879" s="286"/>
      <c r="R879" s="286"/>
      <c r="S879" s="286"/>
      <c r="T879" s="286"/>
      <c r="U879" s="286"/>
      <c r="V879" s="286"/>
      <c r="W879" s="286"/>
    </row>
    <row r="880">
      <c r="A880" s="286"/>
      <c r="B880" s="286"/>
      <c r="C880" s="286"/>
      <c r="D880" s="286"/>
      <c r="E880" s="286"/>
      <c r="F880" s="286"/>
      <c r="G880" s="286"/>
      <c r="H880" s="286"/>
      <c r="I880" s="286"/>
      <c r="J880" s="286"/>
      <c r="K880" s="399"/>
      <c r="L880" s="399"/>
      <c r="M880" s="286"/>
      <c r="N880" s="286"/>
      <c r="O880" s="286"/>
      <c r="P880" s="286"/>
      <c r="Q880" s="286"/>
      <c r="R880" s="286"/>
      <c r="S880" s="286"/>
      <c r="T880" s="286"/>
      <c r="U880" s="286"/>
      <c r="V880" s="286"/>
      <c r="W880" s="286"/>
    </row>
    <row r="881">
      <c r="A881" s="286"/>
      <c r="B881" s="286"/>
      <c r="C881" s="286"/>
      <c r="D881" s="286"/>
      <c r="E881" s="286"/>
      <c r="F881" s="286"/>
      <c r="G881" s="286"/>
      <c r="H881" s="286"/>
      <c r="I881" s="286"/>
      <c r="J881" s="286"/>
      <c r="K881" s="399"/>
      <c r="L881" s="399"/>
      <c r="M881" s="286"/>
      <c r="N881" s="286"/>
      <c r="O881" s="286"/>
      <c r="P881" s="286"/>
      <c r="Q881" s="286"/>
      <c r="R881" s="286"/>
      <c r="S881" s="286"/>
      <c r="T881" s="286"/>
      <c r="U881" s="286"/>
      <c r="V881" s="286"/>
      <c r="W881" s="286"/>
    </row>
    <row r="882">
      <c r="A882" s="286"/>
      <c r="B882" s="286"/>
      <c r="C882" s="286"/>
      <c r="D882" s="286"/>
      <c r="E882" s="286"/>
      <c r="F882" s="286"/>
      <c r="G882" s="286"/>
      <c r="H882" s="286"/>
      <c r="I882" s="286"/>
      <c r="J882" s="286"/>
      <c r="K882" s="399"/>
      <c r="L882" s="399"/>
      <c r="M882" s="286"/>
      <c r="N882" s="286"/>
      <c r="O882" s="286"/>
      <c r="P882" s="286"/>
      <c r="Q882" s="286"/>
      <c r="R882" s="286"/>
      <c r="S882" s="286"/>
      <c r="T882" s="286"/>
      <c r="U882" s="286"/>
      <c r="V882" s="286"/>
      <c r="W882" s="286"/>
    </row>
    <row r="883">
      <c r="A883" s="286"/>
      <c r="B883" s="286"/>
      <c r="C883" s="286"/>
      <c r="D883" s="286"/>
      <c r="E883" s="286"/>
      <c r="F883" s="286"/>
      <c r="G883" s="286"/>
      <c r="H883" s="286"/>
      <c r="I883" s="286"/>
      <c r="J883" s="286"/>
      <c r="K883" s="399"/>
      <c r="L883" s="399"/>
      <c r="M883" s="286"/>
      <c r="N883" s="286"/>
      <c r="O883" s="286"/>
      <c r="P883" s="286"/>
      <c r="Q883" s="286"/>
      <c r="R883" s="286"/>
      <c r="S883" s="286"/>
      <c r="T883" s="286"/>
      <c r="U883" s="286"/>
      <c r="V883" s="286"/>
      <c r="W883" s="286"/>
    </row>
    <row r="884">
      <c r="A884" s="286"/>
      <c r="B884" s="286"/>
      <c r="C884" s="286"/>
      <c r="D884" s="286"/>
      <c r="E884" s="286"/>
      <c r="F884" s="286"/>
      <c r="G884" s="286"/>
      <c r="H884" s="286"/>
      <c r="I884" s="286"/>
      <c r="J884" s="286"/>
      <c r="K884" s="399"/>
      <c r="L884" s="399"/>
      <c r="M884" s="286"/>
      <c r="N884" s="286"/>
      <c r="O884" s="286"/>
      <c r="P884" s="286"/>
      <c r="Q884" s="286"/>
      <c r="R884" s="286"/>
      <c r="S884" s="286"/>
      <c r="T884" s="286"/>
      <c r="U884" s="286"/>
      <c r="V884" s="286"/>
      <c r="W884" s="286"/>
    </row>
    <row r="885">
      <c r="A885" s="286"/>
      <c r="B885" s="286"/>
      <c r="C885" s="286"/>
      <c r="D885" s="286"/>
      <c r="E885" s="286"/>
      <c r="F885" s="286"/>
      <c r="G885" s="286"/>
      <c r="H885" s="286"/>
      <c r="I885" s="286"/>
      <c r="J885" s="286"/>
      <c r="K885" s="399"/>
      <c r="L885" s="399"/>
      <c r="M885" s="286"/>
      <c r="N885" s="286"/>
      <c r="O885" s="286"/>
      <c r="P885" s="286"/>
      <c r="Q885" s="286"/>
      <c r="R885" s="286"/>
      <c r="S885" s="286"/>
      <c r="T885" s="286"/>
      <c r="U885" s="286"/>
      <c r="V885" s="286"/>
      <c r="W885" s="286"/>
    </row>
    <row r="886">
      <c r="A886" s="286"/>
      <c r="B886" s="286"/>
      <c r="C886" s="286"/>
      <c r="D886" s="286"/>
      <c r="E886" s="286"/>
      <c r="F886" s="286"/>
      <c r="G886" s="286"/>
      <c r="H886" s="286"/>
      <c r="I886" s="286"/>
      <c r="J886" s="286"/>
      <c r="K886" s="399"/>
      <c r="L886" s="399"/>
      <c r="M886" s="286"/>
      <c r="N886" s="286"/>
      <c r="O886" s="286"/>
      <c r="P886" s="286"/>
      <c r="Q886" s="286"/>
      <c r="R886" s="286"/>
      <c r="S886" s="286"/>
      <c r="T886" s="286"/>
      <c r="U886" s="286"/>
      <c r="V886" s="286"/>
      <c r="W886" s="286"/>
    </row>
    <row r="887">
      <c r="A887" s="286"/>
      <c r="B887" s="286"/>
      <c r="C887" s="286"/>
      <c r="D887" s="286"/>
      <c r="E887" s="286"/>
      <c r="F887" s="286"/>
      <c r="G887" s="286"/>
      <c r="H887" s="286"/>
      <c r="I887" s="286"/>
      <c r="J887" s="286"/>
      <c r="K887" s="399"/>
      <c r="L887" s="399"/>
      <c r="M887" s="286"/>
      <c r="N887" s="286"/>
      <c r="O887" s="286"/>
      <c r="P887" s="286"/>
      <c r="Q887" s="286"/>
      <c r="R887" s="286"/>
      <c r="S887" s="286"/>
      <c r="T887" s="286"/>
      <c r="U887" s="286"/>
      <c r="V887" s="286"/>
      <c r="W887" s="286"/>
    </row>
    <row r="888">
      <c r="A888" s="286"/>
      <c r="B888" s="286"/>
      <c r="C888" s="286"/>
      <c r="D888" s="286"/>
      <c r="E888" s="286"/>
      <c r="F888" s="286"/>
      <c r="G888" s="286"/>
      <c r="H888" s="286"/>
      <c r="I888" s="286"/>
      <c r="J888" s="286"/>
      <c r="K888" s="399"/>
      <c r="L888" s="399"/>
      <c r="M888" s="286"/>
      <c r="N888" s="286"/>
      <c r="O888" s="286"/>
      <c r="P888" s="286"/>
      <c r="Q888" s="286"/>
      <c r="R888" s="286"/>
      <c r="S888" s="286"/>
      <c r="T888" s="286"/>
      <c r="U888" s="286"/>
      <c r="V888" s="286"/>
      <c r="W888" s="286"/>
    </row>
    <row r="889">
      <c r="A889" s="286"/>
      <c r="B889" s="286"/>
      <c r="C889" s="286"/>
      <c r="D889" s="286"/>
      <c r="E889" s="286"/>
      <c r="F889" s="286"/>
      <c r="G889" s="286"/>
      <c r="H889" s="286"/>
      <c r="I889" s="286"/>
      <c r="J889" s="286"/>
      <c r="K889" s="399"/>
      <c r="L889" s="399"/>
      <c r="M889" s="286"/>
      <c r="N889" s="286"/>
      <c r="O889" s="286"/>
      <c r="P889" s="286"/>
      <c r="Q889" s="286"/>
      <c r="R889" s="286"/>
      <c r="S889" s="286"/>
      <c r="T889" s="286"/>
      <c r="U889" s="286"/>
      <c r="V889" s="286"/>
      <c r="W889" s="286"/>
    </row>
    <row r="890">
      <c r="A890" s="286"/>
      <c r="B890" s="286"/>
      <c r="C890" s="286"/>
      <c r="D890" s="286"/>
      <c r="E890" s="286"/>
      <c r="F890" s="286"/>
      <c r="G890" s="286"/>
      <c r="H890" s="286"/>
      <c r="I890" s="286"/>
      <c r="J890" s="286"/>
      <c r="K890" s="399"/>
      <c r="L890" s="399"/>
      <c r="M890" s="286"/>
      <c r="N890" s="286"/>
      <c r="O890" s="286"/>
      <c r="P890" s="286"/>
      <c r="Q890" s="286"/>
      <c r="R890" s="286"/>
      <c r="S890" s="286"/>
      <c r="T890" s="286"/>
      <c r="U890" s="286"/>
      <c r="V890" s="286"/>
      <c r="W890" s="286"/>
    </row>
    <row r="891">
      <c r="A891" s="286"/>
      <c r="B891" s="286"/>
      <c r="C891" s="286"/>
      <c r="D891" s="286"/>
      <c r="E891" s="286"/>
      <c r="F891" s="286"/>
      <c r="G891" s="286"/>
      <c r="H891" s="286"/>
      <c r="I891" s="286"/>
      <c r="J891" s="286"/>
      <c r="K891" s="399"/>
      <c r="L891" s="399"/>
      <c r="M891" s="286"/>
      <c r="N891" s="286"/>
      <c r="O891" s="286"/>
      <c r="P891" s="286"/>
      <c r="Q891" s="286"/>
      <c r="R891" s="286"/>
      <c r="S891" s="286"/>
      <c r="T891" s="286"/>
      <c r="U891" s="286"/>
      <c r="V891" s="286"/>
      <c r="W891" s="286"/>
    </row>
    <row r="892">
      <c r="A892" s="286"/>
      <c r="B892" s="286"/>
      <c r="C892" s="286"/>
      <c r="D892" s="286"/>
      <c r="E892" s="286"/>
      <c r="F892" s="286"/>
      <c r="G892" s="286"/>
      <c r="H892" s="286"/>
      <c r="I892" s="286"/>
      <c r="J892" s="286"/>
      <c r="K892" s="399"/>
      <c r="L892" s="399"/>
      <c r="M892" s="286"/>
      <c r="N892" s="286"/>
      <c r="O892" s="286"/>
      <c r="P892" s="286"/>
      <c r="Q892" s="286"/>
      <c r="R892" s="286"/>
      <c r="S892" s="286"/>
      <c r="T892" s="286"/>
      <c r="U892" s="286"/>
      <c r="V892" s="286"/>
      <c r="W892" s="286"/>
    </row>
    <row r="893">
      <c r="A893" s="286"/>
      <c r="B893" s="286"/>
      <c r="C893" s="286"/>
      <c r="D893" s="286"/>
      <c r="E893" s="286"/>
      <c r="F893" s="286"/>
      <c r="G893" s="286"/>
      <c r="H893" s="286"/>
      <c r="I893" s="286"/>
      <c r="J893" s="286"/>
      <c r="K893" s="399"/>
      <c r="L893" s="399"/>
      <c r="M893" s="286"/>
      <c r="N893" s="286"/>
      <c r="O893" s="286"/>
      <c r="P893" s="286"/>
      <c r="Q893" s="286"/>
      <c r="R893" s="286"/>
      <c r="S893" s="286"/>
      <c r="T893" s="286"/>
      <c r="U893" s="286"/>
      <c r="V893" s="286"/>
      <c r="W893" s="286"/>
    </row>
    <row r="894">
      <c r="A894" s="286"/>
      <c r="B894" s="286"/>
      <c r="C894" s="286"/>
      <c r="D894" s="286"/>
      <c r="E894" s="286"/>
      <c r="F894" s="286"/>
      <c r="G894" s="286"/>
      <c r="H894" s="286"/>
      <c r="I894" s="286"/>
      <c r="J894" s="286"/>
      <c r="K894" s="399"/>
      <c r="L894" s="399"/>
      <c r="M894" s="286"/>
      <c r="N894" s="286"/>
      <c r="O894" s="286"/>
      <c r="P894" s="286"/>
      <c r="Q894" s="286"/>
      <c r="R894" s="286"/>
      <c r="S894" s="286"/>
      <c r="T894" s="286"/>
      <c r="U894" s="286"/>
      <c r="V894" s="286"/>
      <c r="W894" s="286"/>
    </row>
    <row r="895">
      <c r="A895" s="286"/>
      <c r="B895" s="286"/>
      <c r="C895" s="286"/>
      <c r="D895" s="286"/>
      <c r="E895" s="286"/>
      <c r="F895" s="286"/>
      <c r="G895" s="286"/>
      <c r="H895" s="286"/>
      <c r="I895" s="286"/>
      <c r="J895" s="286"/>
      <c r="K895" s="399"/>
      <c r="L895" s="399"/>
      <c r="M895" s="286"/>
      <c r="N895" s="286"/>
      <c r="O895" s="286"/>
      <c r="P895" s="286"/>
      <c r="Q895" s="286"/>
      <c r="R895" s="286"/>
      <c r="S895" s="286"/>
      <c r="T895" s="286"/>
      <c r="U895" s="286"/>
      <c r="V895" s="286"/>
      <c r="W895" s="286"/>
    </row>
    <row r="896">
      <c r="A896" s="286"/>
      <c r="B896" s="286"/>
      <c r="C896" s="286"/>
      <c r="D896" s="286"/>
      <c r="E896" s="286"/>
      <c r="F896" s="286"/>
      <c r="G896" s="286"/>
      <c r="H896" s="286"/>
      <c r="I896" s="286"/>
      <c r="J896" s="286"/>
      <c r="K896" s="399"/>
      <c r="L896" s="399"/>
      <c r="M896" s="286"/>
      <c r="N896" s="286"/>
      <c r="O896" s="286"/>
      <c r="P896" s="286"/>
      <c r="Q896" s="286"/>
      <c r="R896" s="286"/>
      <c r="S896" s="286"/>
      <c r="T896" s="286"/>
      <c r="U896" s="286"/>
      <c r="V896" s="286"/>
      <c r="W896" s="286"/>
    </row>
    <row r="897">
      <c r="A897" s="286"/>
      <c r="B897" s="286"/>
      <c r="C897" s="286"/>
      <c r="D897" s="286"/>
      <c r="E897" s="286"/>
      <c r="F897" s="286"/>
      <c r="G897" s="286"/>
      <c r="H897" s="286"/>
      <c r="I897" s="286"/>
      <c r="J897" s="286"/>
      <c r="K897" s="399"/>
      <c r="L897" s="399"/>
      <c r="M897" s="286"/>
      <c r="N897" s="286"/>
      <c r="O897" s="286"/>
      <c r="P897" s="286"/>
      <c r="Q897" s="286"/>
      <c r="R897" s="286"/>
      <c r="S897" s="286"/>
      <c r="T897" s="286"/>
      <c r="U897" s="286"/>
      <c r="V897" s="286"/>
      <c r="W897" s="286"/>
    </row>
    <row r="898">
      <c r="A898" s="286"/>
      <c r="B898" s="286"/>
      <c r="C898" s="286"/>
      <c r="D898" s="286"/>
      <c r="E898" s="286"/>
      <c r="F898" s="286"/>
      <c r="G898" s="286"/>
      <c r="H898" s="286"/>
      <c r="I898" s="286"/>
      <c r="J898" s="286"/>
      <c r="K898" s="399"/>
      <c r="L898" s="399"/>
      <c r="M898" s="286"/>
      <c r="N898" s="286"/>
      <c r="O898" s="286"/>
      <c r="P898" s="286"/>
      <c r="Q898" s="286"/>
      <c r="R898" s="286"/>
      <c r="S898" s="286"/>
      <c r="T898" s="286"/>
      <c r="U898" s="286"/>
      <c r="V898" s="286"/>
      <c r="W898" s="286"/>
    </row>
    <row r="899">
      <c r="A899" s="286"/>
      <c r="B899" s="286"/>
      <c r="C899" s="286"/>
      <c r="D899" s="286"/>
      <c r="E899" s="286"/>
      <c r="F899" s="286"/>
      <c r="G899" s="286"/>
      <c r="H899" s="286"/>
      <c r="I899" s="286"/>
      <c r="J899" s="286"/>
      <c r="K899" s="399"/>
      <c r="L899" s="399"/>
      <c r="M899" s="286"/>
      <c r="N899" s="286"/>
      <c r="O899" s="286"/>
      <c r="P899" s="286"/>
      <c r="Q899" s="286"/>
      <c r="R899" s="286"/>
      <c r="S899" s="286"/>
      <c r="T899" s="286"/>
      <c r="U899" s="286"/>
      <c r="V899" s="286"/>
      <c r="W899" s="286"/>
    </row>
    <row r="900">
      <c r="A900" s="286"/>
      <c r="B900" s="286"/>
      <c r="C900" s="286"/>
      <c r="D900" s="286"/>
      <c r="E900" s="286"/>
      <c r="F900" s="286"/>
      <c r="G900" s="286"/>
      <c r="H900" s="286"/>
      <c r="I900" s="286"/>
      <c r="J900" s="286"/>
      <c r="K900" s="399"/>
      <c r="L900" s="399"/>
      <c r="M900" s="286"/>
      <c r="N900" s="286"/>
      <c r="O900" s="286"/>
      <c r="P900" s="286"/>
      <c r="Q900" s="286"/>
      <c r="R900" s="286"/>
      <c r="S900" s="286"/>
      <c r="T900" s="286"/>
      <c r="U900" s="286"/>
      <c r="V900" s="286"/>
      <c r="W900" s="286"/>
    </row>
    <row r="901">
      <c r="A901" s="286"/>
      <c r="B901" s="286"/>
      <c r="C901" s="286"/>
      <c r="D901" s="286"/>
      <c r="E901" s="286"/>
      <c r="F901" s="286"/>
      <c r="G901" s="286"/>
      <c r="H901" s="286"/>
      <c r="I901" s="286"/>
      <c r="J901" s="286"/>
      <c r="K901" s="399"/>
      <c r="L901" s="399"/>
      <c r="M901" s="286"/>
      <c r="N901" s="286"/>
      <c r="O901" s="286"/>
      <c r="P901" s="286"/>
      <c r="Q901" s="286"/>
      <c r="R901" s="286"/>
      <c r="S901" s="286"/>
      <c r="T901" s="286"/>
      <c r="U901" s="286"/>
      <c r="V901" s="286"/>
      <c r="W901" s="286"/>
    </row>
    <row r="902">
      <c r="A902" s="286"/>
      <c r="B902" s="286"/>
      <c r="C902" s="286"/>
      <c r="D902" s="286"/>
      <c r="E902" s="286"/>
      <c r="F902" s="286"/>
      <c r="G902" s="286"/>
      <c r="H902" s="286"/>
      <c r="I902" s="286"/>
      <c r="J902" s="286"/>
      <c r="K902" s="399"/>
      <c r="L902" s="399"/>
      <c r="M902" s="286"/>
      <c r="N902" s="286"/>
      <c r="O902" s="286"/>
      <c r="P902" s="286"/>
      <c r="Q902" s="286"/>
      <c r="R902" s="286"/>
      <c r="S902" s="286"/>
      <c r="T902" s="286"/>
      <c r="U902" s="286"/>
      <c r="V902" s="286"/>
      <c r="W902" s="286"/>
    </row>
    <row r="903">
      <c r="A903" s="286"/>
      <c r="B903" s="286"/>
      <c r="C903" s="286"/>
      <c r="D903" s="286"/>
      <c r="E903" s="286"/>
      <c r="F903" s="286"/>
      <c r="G903" s="286"/>
      <c r="H903" s="286"/>
      <c r="I903" s="286"/>
      <c r="J903" s="286"/>
      <c r="K903" s="399"/>
      <c r="L903" s="399"/>
      <c r="M903" s="286"/>
      <c r="N903" s="286"/>
      <c r="O903" s="286"/>
      <c r="P903" s="286"/>
      <c r="Q903" s="286"/>
      <c r="R903" s="286"/>
      <c r="S903" s="286"/>
      <c r="T903" s="286"/>
      <c r="U903" s="286"/>
      <c r="V903" s="286"/>
      <c r="W903" s="286"/>
    </row>
    <row r="904">
      <c r="A904" s="286"/>
      <c r="B904" s="286"/>
      <c r="C904" s="286"/>
      <c r="D904" s="286"/>
      <c r="E904" s="286"/>
      <c r="F904" s="286"/>
      <c r="G904" s="286"/>
      <c r="H904" s="286"/>
      <c r="I904" s="286"/>
      <c r="J904" s="286"/>
      <c r="K904" s="399"/>
      <c r="L904" s="399"/>
      <c r="M904" s="286"/>
      <c r="N904" s="286"/>
      <c r="O904" s="286"/>
      <c r="P904" s="286"/>
      <c r="Q904" s="286"/>
      <c r="R904" s="286"/>
      <c r="S904" s="286"/>
      <c r="T904" s="286"/>
      <c r="U904" s="286"/>
      <c r="V904" s="286"/>
      <c r="W904" s="286"/>
    </row>
    <row r="905">
      <c r="A905" s="286"/>
      <c r="B905" s="286"/>
      <c r="C905" s="286"/>
      <c r="D905" s="286"/>
      <c r="E905" s="286"/>
      <c r="F905" s="286"/>
      <c r="G905" s="286"/>
      <c r="H905" s="286"/>
      <c r="I905" s="286"/>
      <c r="J905" s="286"/>
      <c r="K905" s="399"/>
      <c r="L905" s="399"/>
      <c r="M905" s="286"/>
      <c r="N905" s="286"/>
      <c r="O905" s="286"/>
      <c r="P905" s="286"/>
      <c r="Q905" s="286"/>
      <c r="R905" s="286"/>
      <c r="S905" s="286"/>
      <c r="T905" s="286"/>
      <c r="U905" s="286"/>
      <c r="V905" s="286"/>
      <c r="W905" s="286"/>
    </row>
    <row r="906">
      <c r="A906" s="286"/>
      <c r="B906" s="286"/>
      <c r="C906" s="286"/>
      <c r="D906" s="286"/>
      <c r="E906" s="286"/>
      <c r="F906" s="286"/>
      <c r="G906" s="286"/>
      <c r="H906" s="286"/>
      <c r="I906" s="286"/>
      <c r="J906" s="286"/>
      <c r="K906" s="399"/>
      <c r="L906" s="399"/>
      <c r="M906" s="286"/>
      <c r="N906" s="286"/>
      <c r="O906" s="286"/>
      <c r="P906" s="286"/>
      <c r="Q906" s="286"/>
      <c r="R906" s="286"/>
      <c r="S906" s="286"/>
      <c r="T906" s="286"/>
      <c r="U906" s="286"/>
      <c r="V906" s="286"/>
      <c r="W906" s="286"/>
    </row>
    <row r="907">
      <c r="A907" s="286"/>
      <c r="B907" s="286"/>
      <c r="C907" s="286"/>
      <c r="D907" s="286"/>
      <c r="E907" s="286"/>
      <c r="F907" s="286"/>
      <c r="G907" s="286"/>
      <c r="H907" s="286"/>
      <c r="I907" s="286"/>
      <c r="J907" s="286"/>
      <c r="K907" s="399"/>
      <c r="L907" s="399"/>
      <c r="M907" s="286"/>
      <c r="N907" s="286"/>
      <c r="O907" s="286"/>
      <c r="P907" s="286"/>
      <c r="Q907" s="286"/>
      <c r="R907" s="286"/>
      <c r="S907" s="286"/>
      <c r="T907" s="286"/>
      <c r="U907" s="286"/>
      <c r="V907" s="286"/>
      <c r="W907" s="286"/>
    </row>
    <row r="908">
      <c r="A908" s="286"/>
      <c r="B908" s="286"/>
      <c r="C908" s="286"/>
      <c r="D908" s="286"/>
      <c r="E908" s="286"/>
      <c r="F908" s="286"/>
      <c r="G908" s="286"/>
      <c r="H908" s="286"/>
      <c r="I908" s="286"/>
      <c r="J908" s="286"/>
      <c r="K908" s="399"/>
      <c r="L908" s="399"/>
      <c r="M908" s="286"/>
      <c r="N908" s="286"/>
      <c r="O908" s="286"/>
      <c r="P908" s="286"/>
      <c r="Q908" s="286"/>
      <c r="R908" s="286"/>
      <c r="S908" s="286"/>
      <c r="T908" s="286"/>
      <c r="U908" s="286"/>
      <c r="V908" s="286"/>
      <c r="W908" s="286"/>
    </row>
    <row r="909">
      <c r="A909" s="286"/>
      <c r="B909" s="286"/>
      <c r="C909" s="286"/>
      <c r="D909" s="286"/>
      <c r="E909" s="286"/>
      <c r="F909" s="286"/>
      <c r="G909" s="286"/>
      <c r="H909" s="286"/>
      <c r="I909" s="286"/>
      <c r="J909" s="286"/>
      <c r="K909" s="399"/>
      <c r="L909" s="399"/>
      <c r="M909" s="286"/>
      <c r="N909" s="286"/>
      <c r="O909" s="286"/>
      <c r="P909" s="286"/>
      <c r="Q909" s="286"/>
      <c r="R909" s="286"/>
      <c r="S909" s="286"/>
      <c r="T909" s="286"/>
      <c r="U909" s="286"/>
      <c r="V909" s="286"/>
      <c r="W909" s="286"/>
    </row>
    <row r="910">
      <c r="A910" s="286"/>
      <c r="B910" s="286"/>
      <c r="C910" s="286"/>
      <c r="D910" s="286"/>
      <c r="E910" s="286"/>
      <c r="F910" s="286"/>
      <c r="G910" s="286"/>
      <c r="H910" s="286"/>
      <c r="I910" s="286"/>
      <c r="J910" s="286"/>
      <c r="K910" s="399"/>
      <c r="L910" s="399"/>
      <c r="M910" s="286"/>
      <c r="N910" s="286"/>
      <c r="O910" s="286"/>
      <c r="P910" s="286"/>
      <c r="Q910" s="286"/>
      <c r="R910" s="286"/>
      <c r="S910" s="286"/>
      <c r="T910" s="286"/>
      <c r="U910" s="286"/>
      <c r="V910" s="286"/>
      <c r="W910" s="286"/>
    </row>
    <row r="911">
      <c r="A911" s="286"/>
      <c r="B911" s="286"/>
      <c r="C911" s="286"/>
      <c r="D911" s="286"/>
      <c r="E911" s="286"/>
      <c r="F911" s="286"/>
      <c r="G911" s="286"/>
      <c r="H911" s="286"/>
      <c r="I911" s="286"/>
      <c r="J911" s="286"/>
      <c r="K911" s="399"/>
      <c r="L911" s="399"/>
      <c r="M911" s="286"/>
      <c r="N911" s="286"/>
      <c r="O911" s="286"/>
      <c r="P911" s="286"/>
      <c r="Q911" s="286"/>
      <c r="R911" s="286"/>
      <c r="S911" s="286"/>
      <c r="T911" s="286"/>
      <c r="U911" s="286"/>
      <c r="V911" s="286"/>
      <c r="W911" s="286"/>
    </row>
    <row r="912">
      <c r="A912" s="286"/>
      <c r="B912" s="286"/>
      <c r="C912" s="286"/>
      <c r="D912" s="286"/>
      <c r="E912" s="286"/>
      <c r="F912" s="286"/>
      <c r="G912" s="286"/>
      <c r="H912" s="286"/>
      <c r="I912" s="286"/>
      <c r="J912" s="286"/>
      <c r="K912" s="399"/>
      <c r="L912" s="399"/>
      <c r="M912" s="286"/>
      <c r="N912" s="286"/>
      <c r="O912" s="286"/>
      <c r="P912" s="286"/>
      <c r="Q912" s="286"/>
      <c r="R912" s="286"/>
      <c r="S912" s="286"/>
      <c r="T912" s="286"/>
      <c r="U912" s="286"/>
      <c r="V912" s="286"/>
      <c r="W912" s="286"/>
    </row>
    <row r="913">
      <c r="A913" s="286"/>
      <c r="B913" s="286"/>
      <c r="C913" s="286"/>
      <c r="D913" s="286"/>
      <c r="E913" s="286"/>
      <c r="F913" s="286"/>
      <c r="G913" s="286"/>
      <c r="H913" s="286"/>
      <c r="I913" s="286"/>
      <c r="J913" s="286"/>
      <c r="K913" s="399"/>
      <c r="L913" s="399"/>
      <c r="M913" s="286"/>
      <c r="N913" s="286"/>
      <c r="O913" s="286"/>
      <c r="P913" s="286"/>
      <c r="Q913" s="286"/>
      <c r="R913" s="286"/>
      <c r="S913" s="286"/>
      <c r="T913" s="286"/>
      <c r="U913" s="286"/>
      <c r="V913" s="286"/>
      <c r="W913" s="286"/>
    </row>
    <row r="914">
      <c r="A914" s="286"/>
      <c r="B914" s="286"/>
      <c r="C914" s="286"/>
      <c r="D914" s="286"/>
      <c r="E914" s="286"/>
      <c r="F914" s="286"/>
      <c r="G914" s="286"/>
      <c r="H914" s="286"/>
      <c r="I914" s="286"/>
      <c r="J914" s="286"/>
      <c r="K914" s="399"/>
      <c r="L914" s="399"/>
      <c r="M914" s="286"/>
      <c r="N914" s="286"/>
      <c r="O914" s="286"/>
      <c r="P914" s="286"/>
      <c r="Q914" s="286"/>
      <c r="R914" s="286"/>
      <c r="S914" s="286"/>
      <c r="T914" s="286"/>
      <c r="U914" s="286"/>
      <c r="V914" s="286"/>
      <c r="W914" s="286"/>
    </row>
    <row r="915">
      <c r="A915" s="286"/>
      <c r="B915" s="286"/>
      <c r="C915" s="286"/>
      <c r="D915" s="286"/>
      <c r="E915" s="286"/>
      <c r="F915" s="286"/>
      <c r="G915" s="286"/>
      <c r="H915" s="286"/>
      <c r="I915" s="286"/>
      <c r="J915" s="286"/>
      <c r="K915" s="399"/>
      <c r="L915" s="399"/>
      <c r="M915" s="286"/>
      <c r="N915" s="286"/>
      <c r="O915" s="286"/>
      <c r="P915" s="286"/>
      <c r="Q915" s="286"/>
      <c r="R915" s="286"/>
      <c r="S915" s="286"/>
      <c r="T915" s="286"/>
      <c r="U915" s="286"/>
      <c r="V915" s="286"/>
      <c r="W915" s="286"/>
    </row>
    <row r="916">
      <c r="A916" s="286"/>
      <c r="B916" s="286"/>
      <c r="C916" s="286"/>
      <c r="D916" s="286"/>
      <c r="E916" s="286"/>
      <c r="F916" s="286"/>
      <c r="G916" s="286"/>
      <c r="H916" s="286"/>
      <c r="I916" s="286"/>
      <c r="J916" s="286"/>
      <c r="K916" s="399"/>
      <c r="L916" s="399"/>
      <c r="M916" s="286"/>
      <c r="N916" s="286"/>
      <c r="O916" s="286"/>
      <c r="P916" s="286"/>
      <c r="Q916" s="286"/>
      <c r="R916" s="286"/>
      <c r="S916" s="286"/>
      <c r="T916" s="286"/>
      <c r="U916" s="286"/>
      <c r="V916" s="286"/>
      <c r="W916" s="286"/>
    </row>
    <row r="917">
      <c r="A917" s="286"/>
      <c r="B917" s="286"/>
      <c r="C917" s="286"/>
      <c r="D917" s="286"/>
      <c r="E917" s="286"/>
      <c r="F917" s="286"/>
      <c r="G917" s="286"/>
      <c r="H917" s="286"/>
      <c r="I917" s="286"/>
      <c r="J917" s="286"/>
      <c r="K917" s="399"/>
      <c r="L917" s="399"/>
      <c r="M917" s="286"/>
      <c r="N917" s="286"/>
      <c r="O917" s="286"/>
      <c r="P917" s="286"/>
      <c r="Q917" s="286"/>
      <c r="R917" s="286"/>
      <c r="S917" s="286"/>
      <c r="T917" s="286"/>
      <c r="U917" s="286"/>
      <c r="V917" s="286"/>
      <c r="W917" s="286"/>
    </row>
    <row r="918">
      <c r="A918" s="286"/>
      <c r="B918" s="286"/>
      <c r="C918" s="286"/>
      <c r="D918" s="286"/>
      <c r="E918" s="286"/>
      <c r="F918" s="286"/>
      <c r="G918" s="286"/>
      <c r="H918" s="286"/>
      <c r="I918" s="286"/>
      <c r="J918" s="286"/>
      <c r="K918" s="399"/>
      <c r="L918" s="399"/>
      <c r="M918" s="286"/>
      <c r="N918" s="286"/>
      <c r="O918" s="286"/>
      <c r="P918" s="286"/>
      <c r="Q918" s="286"/>
      <c r="R918" s="286"/>
      <c r="S918" s="286"/>
      <c r="T918" s="286"/>
      <c r="U918" s="286"/>
      <c r="V918" s="286"/>
      <c r="W918" s="286"/>
    </row>
    <row r="919">
      <c r="A919" s="286"/>
      <c r="B919" s="286"/>
      <c r="C919" s="286"/>
      <c r="D919" s="286"/>
      <c r="E919" s="286"/>
      <c r="F919" s="286"/>
      <c r="G919" s="286"/>
      <c r="H919" s="286"/>
      <c r="I919" s="286"/>
      <c r="J919" s="286"/>
      <c r="K919" s="399"/>
      <c r="L919" s="399"/>
      <c r="M919" s="286"/>
      <c r="N919" s="286"/>
      <c r="O919" s="286"/>
      <c r="P919" s="286"/>
      <c r="Q919" s="286"/>
      <c r="R919" s="286"/>
      <c r="S919" s="286"/>
      <c r="T919" s="286"/>
      <c r="U919" s="286"/>
      <c r="V919" s="286"/>
      <c r="W919" s="286"/>
    </row>
    <row r="920">
      <c r="A920" s="286"/>
      <c r="B920" s="286"/>
      <c r="C920" s="286"/>
      <c r="D920" s="286"/>
      <c r="E920" s="286"/>
      <c r="F920" s="286"/>
      <c r="G920" s="286"/>
      <c r="H920" s="286"/>
      <c r="I920" s="286"/>
      <c r="J920" s="286"/>
      <c r="K920" s="399"/>
      <c r="L920" s="399"/>
      <c r="M920" s="286"/>
      <c r="N920" s="286"/>
      <c r="O920" s="286"/>
      <c r="P920" s="286"/>
      <c r="Q920" s="286"/>
      <c r="R920" s="286"/>
      <c r="S920" s="286"/>
      <c r="T920" s="286"/>
      <c r="U920" s="286"/>
      <c r="V920" s="286"/>
      <c r="W920" s="286"/>
    </row>
    <row r="921">
      <c r="A921" s="286"/>
      <c r="B921" s="286"/>
      <c r="C921" s="286"/>
      <c r="D921" s="286"/>
      <c r="E921" s="286"/>
      <c r="F921" s="286"/>
      <c r="G921" s="286"/>
      <c r="H921" s="286"/>
      <c r="I921" s="286"/>
      <c r="J921" s="286"/>
      <c r="K921" s="399"/>
      <c r="L921" s="399"/>
      <c r="M921" s="286"/>
      <c r="N921" s="286"/>
      <c r="O921" s="286"/>
      <c r="P921" s="286"/>
      <c r="Q921" s="286"/>
      <c r="R921" s="286"/>
      <c r="S921" s="286"/>
      <c r="T921" s="286"/>
      <c r="U921" s="286"/>
      <c r="V921" s="286"/>
      <c r="W921" s="286"/>
    </row>
    <row r="922">
      <c r="A922" s="286"/>
      <c r="B922" s="286"/>
      <c r="C922" s="286"/>
      <c r="D922" s="286"/>
      <c r="E922" s="286"/>
      <c r="F922" s="286"/>
      <c r="G922" s="286"/>
      <c r="H922" s="286"/>
      <c r="I922" s="286"/>
      <c r="J922" s="286"/>
      <c r="K922" s="399"/>
      <c r="L922" s="399"/>
      <c r="M922" s="286"/>
      <c r="N922" s="286"/>
      <c r="O922" s="286"/>
      <c r="P922" s="286"/>
      <c r="Q922" s="286"/>
      <c r="R922" s="286"/>
      <c r="S922" s="286"/>
      <c r="T922" s="286"/>
      <c r="U922" s="286"/>
      <c r="V922" s="286"/>
      <c r="W922" s="286"/>
    </row>
    <row r="923">
      <c r="A923" s="286"/>
      <c r="B923" s="286"/>
      <c r="C923" s="286"/>
      <c r="D923" s="286"/>
      <c r="E923" s="286"/>
      <c r="F923" s="286"/>
      <c r="G923" s="286"/>
      <c r="H923" s="286"/>
      <c r="I923" s="286"/>
      <c r="J923" s="286"/>
      <c r="K923" s="399"/>
      <c r="L923" s="399"/>
      <c r="M923" s="286"/>
      <c r="N923" s="286"/>
      <c r="O923" s="286"/>
      <c r="P923" s="286"/>
      <c r="Q923" s="286"/>
      <c r="R923" s="286"/>
      <c r="S923" s="286"/>
      <c r="T923" s="286"/>
      <c r="U923" s="286"/>
      <c r="V923" s="286"/>
      <c r="W923" s="286"/>
    </row>
    <row r="924">
      <c r="A924" s="286"/>
      <c r="B924" s="286"/>
      <c r="C924" s="286"/>
      <c r="D924" s="286"/>
      <c r="E924" s="286"/>
      <c r="F924" s="286"/>
      <c r="G924" s="286"/>
      <c r="H924" s="286"/>
      <c r="I924" s="286"/>
      <c r="J924" s="286"/>
      <c r="K924" s="399"/>
      <c r="L924" s="399"/>
      <c r="M924" s="286"/>
      <c r="N924" s="286"/>
      <c r="O924" s="286"/>
      <c r="P924" s="286"/>
      <c r="Q924" s="286"/>
      <c r="R924" s="286"/>
      <c r="S924" s="286"/>
      <c r="T924" s="286"/>
      <c r="U924" s="286"/>
      <c r="V924" s="286"/>
      <c r="W924" s="286"/>
    </row>
    <row r="925">
      <c r="A925" s="286"/>
      <c r="B925" s="286"/>
      <c r="C925" s="286"/>
      <c r="D925" s="286"/>
      <c r="E925" s="286"/>
      <c r="F925" s="286"/>
      <c r="G925" s="286"/>
      <c r="H925" s="286"/>
      <c r="I925" s="286"/>
      <c r="J925" s="286"/>
      <c r="K925" s="399"/>
      <c r="L925" s="399"/>
      <c r="M925" s="286"/>
      <c r="N925" s="286"/>
      <c r="O925" s="286"/>
      <c r="P925" s="286"/>
      <c r="Q925" s="286"/>
      <c r="R925" s="286"/>
      <c r="S925" s="286"/>
      <c r="T925" s="286"/>
      <c r="U925" s="286"/>
      <c r="V925" s="286"/>
      <c r="W925" s="286"/>
    </row>
    <row r="926">
      <c r="A926" s="286"/>
      <c r="B926" s="286"/>
      <c r="C926" s="286"/>
      <c r="D926" s="286"/>
      <c r="E926" s="286"/>
      <c r="F926" s="286"/>
      <c r="G926" s="286"/>
      <c r="H926" s="286"/>
      <c r="I926" s="286"/>
      <c r="J926" s="286"/>
      <c r="K926" s="399"/>
      <c r="L926" s="399"/>
      <c r="M926" s="286"/>
      <c r="N926" s="286"/>
      <c r="O926" s="286"/>
      <c r="P926" s="286"/>
      <c r="Q926" s="286"/>
      <c r="R926" s="286"/>
      <c r="S926" s="286"/>
      <c r="T926" s="286"/>
      <c r="U926" s="286"/>
      <c r="V926" s="286"/>
      <c r="W926" s="286"/>
    </row>
    <row r="927">
      <c r="A927" s="286"/>
      <c r="B927" s="286"/>
      <c r="C927" s="286"/>
      <c r="D927" s="286"/>
      <c r="E927" s="286"/>
      <c r="F927" s="286"/>
      <c r="G927" s="286"/>
      <c r="H927" s="286"/>
      <c r="I927" s="286"/>
      <c r="J927" s="286"/>
      <c r="K927" s="399"/>
      <c r="L927" s="399"/>
      <c r="M927" s="286"/>
      <c r="N927" s="286"/>
      <c r="O927" s="286"/>
      <c r="P927" s="286"/>
      <c r="Q927" s="286"/>
      <c r="R927" s="286"/>
      <c r="S927" s="286"/>
      <c r="T927" s="286"/>
      <c r="U927" s="286"/>
      <c r="V927" s="286"/>
      <c r="W927" s="286"/>
    </row>
    <row r="928">
      <c r="A928" s="286"/>
      <c r="B928" s="286"/>
      <c r="C928" s="286"/>
      <c r="D928" s="286"/>
      <c r="E928" s="286"/>
      <c r="F928" s="286"/>
      <c r="G928" s="286"/>
      <c r="H928" s="286"/>
      <c r="I928" s="286"/>
      <c r="J928" s="286"/>
      <c r="K928" s="399"/>
      <c r="L928" s="399"/>
      <c r="M928" s="286"/>
      <c r="N928" s="286"/>
      <c r="O928" s="286"/>
      <c r="P928" s="286"/>
      <c r="Q928" s="286"/>
      <c r="R928" s="286"/>
      <c r="S928" s="286"/>
      <c r="T928" s="286"/>
      <c r="U928" s="286"/>
      <c r="V928" s="286"/>
      <c r="W928" s="286"/>
    </row>
    <row r="929">
      <c r="A929" s="286"/>
      <c r="B929" s="286"/>
      <c r="C929" s="286"/>
      <c r="D929" s="286"/>
      <c r="E929" s="286"/>
      <c r="F929" s="286"/>
      <c r="G929" s="286"/>
      <c r="H929" s="286"/>
      <c r="I929" s="286"/>
      <c r="J929" s="286"/>
      <c r="K929" s="399"/>
      <c r="L929" s="399"/>
      <c r="M929" s="286"/>
      <c r="N929" s="286"/>
      <c r="O929" s="286"/>
      <c r="P929" s="286"/>
      <c r="Q929" s="286"/>
      <c r="R929" s="286"/>
      <c r="S929" s="286"/>
      <c r="T929" s="286"/>
      <c r="U929" s="286"/>
      <c r="V929" s="286"/>
      <c r="W929" s="286"/>
    </row>
    <row r="930">
      <c r="A930" s="286"/>
      <c r="B930" s="286"/>
      <c r="C930" s="286"/>
      <c r="D930" s="286"/>
      <c r="E930" s="286"/>
      <c r="F930" s="286"/>
      <c r="G930" s="286"/>
      <c r="H930" s="286"/>
      <c r="I930" s="286"/>
      <c r="J930" s="286"/>
      <c r="K930" s="399"/>
      <c r="L930" s="399"/>
      <c r="M930" s="286"/>
      <c r="N930" s="286"/>
      <c r="O930" s="286"/>
      <c r="P930" s="286"/>
      <c r="Q930" s="286"/>
      <c r="R930" s="286"/>
      <c r="S930" s="286"/>
      <c r="T930" s="286"/>
      <c r="U930" s="286"/>
      <c r="V930" s="286"/>
      <c r="W930" s="286"/>
    </row>
    <row r="931">
      <c r="A931" s="286"/>
      <c r="B931" s="286"/>
      <c r="C931" s="286"/>
      <c r="D931" s="286"/>
      <c r="E931" s="286"/>
      <c r="F931" s="286"/>
      <c r="G931" s="286"/>
      <c r="H931" s="286"/>
      <c r="I931" s="286"/>
      <c r="J931" s="286"/>
      <c r="K931" s="399"/>
      <c r="L931" s="399"/>
      <c r="M931" s="286"/>
      <c r="N931" s="286"/>
      <c r="O931" s="286"/>
      <c r="P931" s="286"/>
      <c r="Q931" s="286"/>
      <c r="R931" s="286"/>
      <c r="S931" s="286"/>
      <c r="T931" s="286"/>
      <c r="U931" s="286"/>
      <c r="V931" s="286"/>
      <c r="W931" s="286"/>
    </row>
    <row r="932">
      <c r="A932" s="286"/>
      <c r="B932" s="286"/>
      <c r="C932" s="286"/>
      <c r="D932" s="286"/>
      <c r="E932" s="286"/>
      <c r="F932" s="286"/>
      <c r="G932" s="286"/>
      <c r="H932" s="286"/>
      <c r="I932" s="286"/>
      <c r="J932" s="286"/>
      <c r="K932" s="399"/>
      <c r="L932" s="399"/>
      <c r="M932" s="286"/>
      <c r="N932" s="286"/>
      <c r="O932" s="286"/>
      <c r="P932" s="286"/>
      <c r="Q932" s="286"/>
      <c r="R932" s="286"/>
      <c r="S932" s="286"/>
      <c r="T932" s="286"/>
      <c r="U932" s="286"/>
      <c r="V932" s="286"/>
      <c r="W932" s="286"/>
    </row>
    <row r="933">
      <c r="A933" s="286"/>
      <c r="B933" s="286"/>
      <c r="C933" s="286"/>
      <c r="D933" s="286"/>
      <c r="E933" s="286"/>
      <c r="F933" s="286"/>
      <c r="G933" s="286"/>
      <c r="H933" s="286"/>
      <c r="I933" s="286"/>
      <c r="J933" s="286"/>
      <c r="K933" s="399"/>
      <c r="L933" s="399"/>
      <c r="M933" s="286"/>
      <c r="N933" s="286"/>
      <c r="O933" s="286"/>
      <c r="P933" s="286"/>
      <c r="Q933" s="286"/>
      <c r="R933" s="286"/>
      <c r="S933" s="286"/>
      <c r="T933" s="286"/>
      <c r="U933" s="286"/>
      <c r="V933" s="286"/>
      <c r="W933" s="286"/>
    </row>
    <row r="934">
      <c r="A934" s="286"/>
      <c r="B934" s="286"/>
      <c r="C934" s="286"/>
      <c r="D934" s="286"/>
      <c r="E934" s="286"/>
      <c r="F934" s="286"/>
      <c r="G934" s="286"/>
      <c r="H934" s="286"/>
      <c r="I934" s="286"/>
      <c r="J934" s="286"/>
      <c r="K934" s="399"/>
      <c r="L934" s="399"/>
      <c r="M934" s="286"/>
      <c r="N934" s="286"/>
      <c r="O934" s="286"/>
      <c r="P934" s="286"/>
      <c r="Q934" s="286"/>
      <c r="R934" s="286"/>
      <c r="S934" s="286"/>
      <c r="T934" s="286"/>
      <c r="U934" s="286"/>
      <c r="V934" s="286"/>
      <c r="W934" s="286"/>
    </row>
    <row r="935">
      <c r="A935" s="286"/>
      <c r="B935" s="286"/>
      <c r="C935" s="286"/>
      <c r="D935" s="286"/>
      <c r="E935" s="286"/>
      <c r="F935" s="286"/>
      <c r="G935" s="286"/>
      <c r="H935" s="286"/>
      <c r="I935" s="286"/>
      <c r="J935" s="286"/>
      <c r="K935" s="399"/>
      <c r="L935" s="399"/>
      <c r="M935" s="286"/>
      <c r="N935" s="286"/>
      <c r="O935" s="286"/>
      <c r="P935" s="286"/>
      <c r="Q935" s="286"/>
      <c r="R935" s="286"/>
      <c r="S935" s="286"/>
      <c r="T935" s="286"/>
      <c r="U935" s="286"/>
      <c r="V935" s="286"/>
      <c r="W935" s="286"/>
    </row>
    <row r="936">
      <c r="A936" s="286"/>
      <c r="B936" s="286"/>
      <c r="C936" s="286"/>
      <c r="D936" s="286"/>
      <c r="E936" s="286"/>
      <c r="F936" s="286"/>
      <c r="G936" s="286"/>
      <c r="H936" s="286"/>
      <c r="I936" s="286"/>
      <c r="J936" s="286"/>
      <c r="K936" s="399"/>
      <c r="L936" s="399"/>
      <c r="M936" s="286"/>
      <c r="N936" s="286"/>
      <c r="O936" s="286"/>
      <c r="P936" s="286"/>
      <c r="Q936" s="286"/>
      <c r="R936" s="286"/>
      <c r="S936" s="286"/>
      <c r="T936" s="286"/>
      <c r="U936" s="286"/>
      <c r="V936" s="286"/>
      <c r="W936" s="286"/>
    </row>
    <row r="937">
      <c r="A937" s="286"/>
      <c r="B937" s="286"/>
      <c r="C937" s="286"/>
      <c r="D937" s="286"/>
      <c r="E937" s="286"/>
      <c r="F937" s="286"/>
      <c r="G937" s="286"/>
      <c r="H937" s="286"/>
      <c r="I937" s="286"/>
      <c r="J937" s="286"/>
      <c r="K937" s="399"/>
      <c r="L937" s="399"/>
      <c r="M937" s="286"/>
      <c r="N937" s="286"/>
      <c r="O937" s="286"/>
      <c r="P937" s="286"/>
      <c r="Q937" s="286"/>
      <c r="R937" s="286"/>
      <c r="S937" s="286"/>
      <c r="T937" s="286"/>
      <c r="U937" s="286"/>
      <c r="V937" s="286"/>
      <c r="W937" s="286"/>
    </row>
    <row r="938">
      <c r="A938" s="286"/>
      <c r="B938" s="286"/>
      <c r="C938" s="286"/>
      <c r="D938" s="286"/>
      <c r="E938" s="286"/>
      <c r="F938" s="286"/>
      <c r="G938" s="286"/>
      <c r="H938" s="286"/>
      <c r="I938" s="286"/>
      <c r="J938" s="286"/>
      <c r="K938" s="399"/>
      <c r="L938" s="399"/>
      <c r="M938" s="286"/>
      <c r="N938" s="286"/>
      <c r="O938" s="286"/>
      <c r="P938" s="286"/>
      <c r="Q938" s="286"/>
      <c r="R938" s="286"/>
      <c r="S938" s="286"/>
      <c r="T938" s="286"/>
      <c r="U938" s="286"/>
      <c r="V938" s="286"/>
      <c r="W938" s="286"/>
    </row>
    <row r="939">
      <c r="A939" s="286"/>
      <c r="B939" s="286"/>
      <c r="C939" s="286"/>
      <c r="D939" s="286"/>
      <c r="E939" s="286"/>
      <c r="F939" s="286"/>
      <c r="G939" s="286"/>
      <c r="H939" s="286"/>
      <c r="I939" s="286"/>
      <c r="J939" s="286"/>
      <c r="K939" s="399"/>
      <c r="L939" s="399"/>
      <c r="M939" s="286"/>
      <c r="N939" s="286"/>
      <c r="O939" s="286"/>
      <c r="P939" s="286"/>
      <c r="Q939" s="286"/>
      <c r="R939" s="286"/>
      <c r="S939" s="286"/>
      <c r="T939" s="286"/>
      <c r="U939" s="286"/>
      <c r="V939" s="286"/>
      <c r="W939" s="286"/>
    </row>
    <row r="940">
      <c r="A940" s="286"/>
      <c r="B940" s="286"/>
      <c r="C940" s="286"/>
      <c r="D940" s="286"/>
      <c r="E940" s="286"/>
      <c r="F940" s="286"/>
      <c r="G940" s="286"/>
      <c r="H940" s="286"/>
      <c r="I940" s="286"/>
      <c r="J940" s="286"/>
      <c r="K940" s="399"/>
      <c r="L940" s="399"/>
      <c r="M940" s="286"/>
      <c r="N940" s="286"/>
      <c r="O940" s="286"/>
      <c r="P940" s="286"/>
      <c r="Q940" s="286"/>
      <c r="R940" s="286"/>
      <c r="S940" s="286"/>
      <c r="T940" s="286"/>
      <c r="U940" s="286"/>
      <c r="V940" s="286"/>
      <c r="W940" s="286"/>
    </row>
    <row r="941">
      <c r="A941" s="286"/>
      <c r="B941" s="286"/>
      <c r="C941" s="286"/>
      <c r="D941" s="286"/>
      <c r="E941" s="286"/>
      <c r="F941" s="286"/>
      <c r="G941" s="286"/>
      <c r="H941" s="286"/>
      <c r="I941" s="286"/>
      <c r="J941" s="286"/>
      <c r="K941" s="399"/>
      <c r="L941" s="399"/>
      <c r="M941" s="286"/>
      <c r="N941" s="286"/>
      <c r="O941" s="286"/>
      <c r="P941" s="286"/>
      <c r="Q941" s="286"/>
      <c r="R941" s="286"/>
      <c r="S941" s="286"/>
      <c r="T941" s="286"/>
      <c r="U941" s="286"/>
      <c r="V941" s="286"/>
      <c r="W941" s="286"/>
    </row>
    <row r="942">
      <c r="A942" s="286"/>
      <c r="B942" s="286"/>
      <c r="C942" s="286"/>
      <c r="D942" s="286"/>
      <c r="E942" s="286"/>
      <c r="F942" s="286"/>
      <c r="G942" s="286"/>
      <c r="H942" s="286"/>
      <c r="I942" s="286"/>
      <c r="J942" s="286"/>
      <c r="K942" s="399"/>
      <c r="L942" s="399"/>
      <c r="M942" s="286"/>
      <c r="N942" s="286"/>
      <c r="O942" s="286"/>
      <c r="P942" s="286"/>
      <c r="Q942" s="286"/>
      <c r="R942" s="286"/>
      <c r="S942" s="286"/>
      <c r="T942" s="286"/>
      <c r="U942" s="286"/>
      <c r="V942" s="286"/>
      <c r="W942" s="286"/>
    </row>
    <row r="943">
      <c r="A943" s="286"/>
      <c r="B943" s="286"/>
      <c r="C943" s="286"/>
      <c r="D943" s="286"/>
      <c r="E943" s="286"/>
      <c r="F943" s="286"/>
      <c r="G943" s="286"/>
      <c r="H943" s="286"/>
      <c r="I943" s="286"/>
      <c r="J943" s="286"/>
      <c r="K943" s="399"/>
      <c r="L943" s="399"/>
      <c r="M943" s="286"/>
      <c r="N943" s="286"/>
      <c r="O943" s="286"/>
      <c r="P943" s="286"/>
      <c r="Q943" s="286"/>
      <c r="R943" s="286"/>
      <c r="S943" s="286"/>
      <c r="T943" s="286"/>
      <c r="U943" s="286"/>
      <c r="V943" s="286"/>
      <c r="W943" s="286"/>
    </row>
    <row r="944">
      <c r="A944" s="286"/>
      <c r="B944" s="286"/>
      <c r="C944" s="286"/>
      <c r="D944" s="286"/>
      <c r="E944" s="286"/>
      <c r="F944" s="286"/>
      <c r="G944" s="286"/>
      <c r="H944" s="286"/>
      <c r="I944" s="286"/>
      <c r="J944" s="286"/>
      <c r="K944" s="399"/>
      <c r="L944" s="399"/>
      <c r="M944" s="286"/>
      <c r="N944" s="286"/>
      <c r="O944" s="286"/>
      <c r="P944" s="286"/>
      <c r="Q944" s="286"/>
      <c r="R944" s="286"/>
      <c r="S944" s="286"/>
      <c r="T944" s="286"/>
      <c r="U944" s="286"/>
      <c r="V944" s="286"/>
      <c r="W944" s="286"/>
    </row>
    <row r="945">
      <c r="A945" s="286"/>
      <c r="B945" s="286"/>
      <c r="C945" s="286"/>
      <c r="D945" s="286"/>
      <c r="E945" s="286"/>
      <c r="F945" s="286"/>
      <c r="G945" s="286"/>
      <c r="H945" s="286"/>
      <c r="I945" s="286"/>
      <c r="J945" s="286"/>
      <c r="K945" s="399"/>
      <c r="L945" s="399"/>
      <c r="M945" s="286"/>
      <c r="N945" s="286"/>
      <c r="O945" s="286"/>
      <c r="P945" s="286"/>
      <c r="Q945" s="286"/>
      <c r="R945" s="286"/>
      <c r="S945" s="286"/>
      <c r="T945" s="286"/>
      <c r="U945" s="286"/>
      <c r="V945" s="286"/>
      <c r="W945" s="286"/>
    </row>
    <row r="946">
      <c r="A946" s="286"/>
      <c r="B946" s="286"/>
      <c r="C946" s="286"/>
      <c r="D946" s="286"/>
      <c r="E946" s="286"/>
      <c r="F946" s="286"/>
      <c r="G946" s="286"/>
      <c r="H946" s="286"/>
      <c r="I946" s="286"/>
      <c r="J946" s="286"/>
      <c r="K946" s="399"/>
      <c r="L946" s="399"/>
      <c r="M946" s="286"/>
      <c r="N946" s="286"/>
      <c r="O946" s="286"/>
      <c r="P946" s="286"/>
      <c r="Q946" s="286"/>
      <c r="R946" s="286"/>
      <c r="S946" s="286"/>
      <c r="T946" s="286"/>
      <c r="U946" s="286"/>
      <c r="V946" s="286"/>
      <c r="W946" s="286"/>
    </row>
    <row r="947">
      <c r="A947" s="286"/>
      <c r="B947" s="286"/>
      <c r="C947" s="286"/>
      <c r="D947" s="286"/>
      <c r="E947" s="286"/>
      <c r="F947" s="286"/>
      <c r="G947" s="286"/>
      <c r="H947" s="286"/>
      <c r="I947" s="286"/>
      <c r="J947" s="286"/>
      <c r="K947" s="399"/>
      <c r="L947" s="399"/>
      <c r="M947" s="286"/>
      <c r="N947" s="286"/>
      <c r="O947" s="286"/>
      <c r="P947" s="286"/>
      <c r="Q947" s="286"/>
      <c r="R947" s="286"/>
      <c r="S947" s="286"/>
      <c r="T947" s="286"/>
      <c r="U947" s="286"/>
      <c r="V947" s="286"/>
      <c r="W947" s="286"/>
    </row>
    <row r="948">
      <c r="A948" s="286"/>
      <c r="B948" s="286"/>
      <c r="C948" s="286"/>
      <c r="D948" s="286"/>
      <c r="E948" s="286"/>
      <c r="F948" s="286"/>
      <c r="G948" s="286"/>
      <c r="H948" s="286"/>
      <c r="I948" s="286"/>
      <c r="J948" s="286"/>
      <c r="K948" s="399"/>
      <c r="L948" s="399"/>
      <c r="M948" s="286"/>
      <c r="N948" s="286"/>
      <c r="O948" s="286"/>
      <c r="P948" s="286"/>
      <c r="Q948" s="286"/>
      <c r="R948" s="286"/>
      <c r="S948" s="286"/>
      <c r="T948" s="286"/>
      <c r="U948" s="286"/>
      <c r="V948" s="286"/>
      <c r="W948" s="286"/>
    </row>
    <row r="949">
      <c r="A949" s="286"/>
      <c r="B949" s="286"/>
      <c r="C949" s="286"/>
      <c r="D949" s="286"/>
      <c r="E949" s="286"/>
      <c r="F949" s="286"/>
      <c r="G949" s="286"/>
      <c r="H949" s="286"/>
      <c r="I949" s="286"/>
      <c r="J949" s="286"/>
      <c r="K949" s="399"/>
      <c r="L949" s="399"/>
      <c r="M949" s="286"/>
      <c r="N949" s="286"/>
      <c r="O949" s="286"/>
      <c r="P949" s="286"/>
      <c r="Q949" s="286"/>
      <c r="R949" s="286"/>
      <c r="S949" s="286"/>
      <c r="T949" s="286"/>
      <c r="U949" s="286"/>
      <c r="V949" s="286"/>
      <c r="W949" s="286"/>
    </row>
    <row r="950">
      <c r="A950" s="286"/>
      <c r="B950" s="286"/>
      <c r="C950" s="286"/>
      <c r="D950" s="286"/>
      <c r="E950" s="286"/>
      <c r="F950" s="286"/>
      <c r="G950" s="286"/>
      <c r="H950" s="286"/>
      <c r="I950" s="286"/>
      <c r="J950" s="286"/>
      <c r="K950" s="399"/>
      <c r="L950" s="399"/>
      <c r="M950" s="286"/>
      <c r="N950" s="286"/>
      <c r="O950" s="286"/>
      <c r="P950" s="286"/>
      <c r="Q950" s="286"/>
      <c r="R950" s="286"/>
      <c r="S950" s="286"/>
      <c r="T950" s="286"/>
      <c r="U950" s="286"/>
      <c r="V950" s="286"/>
      <c r="W950" s="286"/>
    </row>
    <row r="951">
      <c r="A951" s="286"/>
      <c r="B951" s="286"/>
      <c r="C951" s="286"/>
      <c r="D951" s="286"/>
      <c r="E951" s="286"/>
      <c r="F951" s="286"/>
      <c r="G951" s="286"/>
      <c r="H951" s="286"/>
      <c r="I951" s="286"/>
      <c r="J951" s="286"/>
      <c r="K951" s="399"/>
      <c r="L951" s="399"/>
      <c r="M951" s="286"/>
      <c r="N951" s="286"/>
      <c r="O951" s="286"/>
      <c r="P951" s="286"/>
      <c r="Q951" s="286"/>
      <c r="R951" s="286"/>
      <c r="S951" s="286"/>
      <c r="T951" s="286"/>
      <c r="U951" s="286"/>
      <c r="V951" s="286"/>
      <c r="W951" s="286"/>
    </row>
    <row r="952">
      <c r="A952" s="286"/>
      <c r="B952" s="286"/>
      <c r="C952" s="286"/>
      <c r="D952" s="286"/>
      <c r="E952" s="286"/>
      <c r="F952" s="286"/>
      <c r="G952" s="286"/>
      <c r="H952" s="286"/>
      <c r="I952" s="286"/>
      <c r="J952" s="286"/>
      <c r="K952" s="399"/>
      <c r="L952" s="399"/>
      <c r="M952" s="286"/>
      <c r="N952" s="286"/>
      <c r="O952" s="286"/>
      <c r="P952" s="286"/>
      <c r="Q952" s="286"/>
      <c r="R952" s="286"/>
      <c r="S952" s="286"/>
      <c r="T952" s="286"/>
      <c r="U952" s="286"/>
      <c r="V952" s="286"/>
      <c r="W952" s="286"/>
    </row>
    <row r="953">
      <c r="A953" s="286"/>
      <c r="B953" s="286"/>
      <c r="C953" s="286"/>
      <c r="D953" s="286"/>
      <c r="E953" s="286"/>
      <c r="F953" s="286"/>
      <c r="G953" s="286"/>
      <c r="H953" s="286"/>
      <c r="I953" s="286"/>
      <c r="J953" s="286"/>
      <c r="K953" s="399"/>
      <c r="L953" s="399"/>
      <c r="M953" s="286"/>
      <c r="N953" s="286"/>
      <c r="O953" s="286"/>
      <c r="P953" s="286"/>
      <c r="Q953" s="286"/>
      <c r="R953" s="286"/>
      <c r="S953" s="286"/>
      <c r="T953" s="286"/>
      <c r="U953" s="286"/>
      <c r="V953" s="286"/>
      <c r="W953" s="286"/>
    </row>
    <row r="954">
      <c r="A954" s="286"/>
      <c r="B954" s="286"/>
      <c r="C954" s="286"/>
      <c r="D954" s="286"/>
      <c r="E954" s="286"/>
      <c r="F954" s="286"/>
      <c r="G954" s="286"/>
      <c r="H954" s="286"/>
      <c r="I954" s="286"/>
      <c r="J954" s="286"/>
      <c r="K954" s="399"/>
      <c r="L954" s="399"/>
      <c r="M954" s="286"/>
      <c r="N954" s="286"/>
      <c r="O954" s="286"/>
      <c r="P954" s="286"/>
      <c r="Q954" s="286"/>
      <c r="R954" s="286"/>
      <c r="S954" s="286"/>
      <c r="T954" s="286"/>
      <c r="U954" s="286"/>
      <c r="V954" s="286"/>
      <c r="W954" s="286"/>
    </row>
    <row r="955">
      <c r="A955" s="286"/>
      <c r="B955" s="286"/>
      <c r="C955" s="286"/>
      <c r="D955" s="286"/>
      <c r="E955" s="286"/>
      <c r="F955" s="286"/>
      <c r="G955" s="286"/>
      <c r="H955" s="286"/>
      <c r="I955" s="286"/>
      <c r="J955" s="286"/>
      <c r="K955" s="399"/>
      <c r="L955" s="399"/>
      <c r="M955" s="286"/>
      <c r="N955" s="286"/>
      <c r="O955" s="286"/>
      <c r="P955" s="286"/>
      <c r="Q955" s="286"/>
      <c r="R955" s="286"/>
      <c r="S955" s="286"/>
      <c r="T955" s="286"/>
      <c r="U955" s="286"/>
      <c r="V955" s="286"/>
      <c r="W955" s="286"/>
    </row>
    <row r="956">
      <c r="A956" s="286"/>
      <c r="B956" s="286"/>
      <c r="C956" s="286"/>
      <c r="D956" s="286"/>
      <c r="E956" s="286"/>
      <c r="F956" s="286"/>
      <c r="G956" s="286"/>
      <c r="H956" s="286"/>
      <c r="I956" s="286"/>
      <c r="J956" s="286"/>
      <c r="K956" s="399"/>
      <c r="L956" s="399"/>
      <c r="M956" s="286"/>
      <c r="N956" s="286"/>
      <c r="O956" s="286"/>
      <c r="P956" s="286"/>
      <c r="Q956" s="286"/>
      <c r="R956" s="286"/>
      <c r="S956" s="286"/>
      <c r="T956" s="286"/>
      <c r="U956" s="286"/>
      <c r="V956" s="286"/>
      <c r="W956" s="286"/>
    </row>
    <row r="957">
      <c r="A957" s="286"/>
      <c r="B957" s="286"/>
      <c r="C957" s="286"/>
      <c r="D957" s="286"/>
      <c r="E957" s="286"/>
      <c r="F957" s="286"/>
      <c r="G957" s="286"/>
      <c r="H957" s="286"/>
      <c r="I957" s="286"/>
      <c r="J957" s="286"/>
      <c r="K957" s="399"/>
      <c r="L957" s="399"/>
      <c r="M957" s="286"/>
      <c r="N957" s="286"/>
      <c r="O957" s="286"/>
      <c r="P957" s="286"/>
      <c r="Q957" s="286"/>
      <c r="R957" s="286"/>
      <c r="S957" s="286"/>
      <c r="T957" s="286"/>
      <c r="U957" s="286"/>
      <c r="V957" s="286"/>
      <c r="W957" s="286"/>
    </row>
    <row r="958">
      <c r="A958" s="286"/>
      <c r="B958" s="286"/>
      <c r="C958" s="286"/>
      <c r="D958" s="286"/>
      <c r="E958" s="286"/>
      <c r="F958" s="286"/>
      <c r="G958" s="286"/>
      <c r="H958" s="286"/>
      <c r="I958" s="286"/>
      <c r="J958" s="286"/>
      <c r="K958" s="399"/>
      <c r="L958" s="399"/>
      <c r="M958" s="286"/>
      <c r="N958" s="286"/>
      <c r="O958" s="286"/>
      <c r="P958" s="286"/>
      <c r="Q958" s="286"/>
      <c r="R958" s="286"/>
      <c r="S958" s="286"/>
      <c r="T958" s="286"/>
      <c r="U958" s="286"/>
      <c r="V958" s="286"/>
      <c r="W958" s="286"/>
    </row>
    <row r="959">
      <c r="A959" s="286"/>
      <c r="B959" s="286"/>
      <c r="C959" s="286"/>
      <c r="D959" s="286"/>
      <c r="E959" s="286"/>
      <c r="F959" s="286"/>
      <c r="G959" s="286"/>
      <c r="H959" s="286"/>
      <c r="I959" s="286"/>
      <c r="J959" s="286"/>
      <c r="K959" s="399"/>
      <c r="L959" s="399"/>
      <c r="M959" s="286"/>
      <c r="N959" s="286"/>
      <c r="O959" s="286"/>
      <c r="P959" s="286"/>
      <c r="Q959" s="286"/>
      <c r="R959" s="286"/>
      <c r="S959" s="286"/>
      <c r="T959" s="286"/>
      <c r="U959" s="286"/>
      <c r="V959" s="286"/>
      <c r="W959" s="286"/>
    </row>
    <row r="960">
      <c r="A960" s="286"/>
      <c r="B960" s="286"/>
      <c r="C960" s="286"/>
      <c r="D960" s="286"/>
      <c r="E960" s="286"/>
      <c r="F960" s="286"/>
      <c r="G960" s="286"/>
      <c r="H960" s="286"/>
      <c r="I960" s="286"/>
      <c r="J960" s="286"/>
      <c r="K960" s="399"/>
      <c r="L960" s="399"/>
      <c r="M960" s="286"/>
      <c r="N960" s="286"/>
      <c r="O960" s="286"/>
      <c r="P960" s="286"/>
      <c r="Q960" s="286"/>
      <c r="R960" s="286"/>
      <c r="S960" s="286"/>
      <c r="T960" s="286"/>
      <c r="U960" s="286"/>
      <c r="V960" s="286"/>
      <c r="W960" s="286"/>
    </row>
    <row r="961">
      <c r="A961" s="286"/>
      <c r="B961" s="286"/>
      <c r="C961" s="286"/>
      <c r="D961" s="286"/>
      <c r="E961" s="286"/>
      <c r="F961" s="286"/>
      <c r="G961" s="286"/>
      <c r="H961" s="286"/>
      <c r="I961" s="286"/>
      <c r="J961" s="286"/>
      <c r="K961" s="399"/>
      <c r="L961" s="399"/>
      <c r="M961" s="286"/>
      <c r="N961" s="286"/>
      <c r="O961" s="286"/>
      <c r="P961" s="286"/>
      <c r="Q961" s="286"/>
      <c r="R961" s="286"/>
      <c r="S961" s="286"/>
      <c r="T961" s="286"/>
      <c r="U961" s="286"/>
      <c r="V961" s="286"/>
      <c r="W961" s="286"/>
    </row>
    <row r="962">
      <c r="A962" s="286"/>
      <c r="B962" s="286"/>
      <c r="C962" s="286"/>
      <c r="D962" s="286"/>
      <c r="E962" s="286"/>
      <c r="F962" s="286"/>
      <c r="G962" s="286"/>
      <c r="H962" s="286"/>
      <c r="I962" s="286"/>
      <c r="J962" s="286"/>
      <c r="K962" s="399"/>
      <c r="L962" s="399"/>
      <c r="M962" s="286"/>
      <c r="N962" s="286"/>
      <c r="O962" s="286"/>
      <c r="P962" s="286"/>
      <c r="Q962" s="286"/>
      <c r="R962" s="286"/>
      <c r="S962" s="286"/>
      <c r="T962" s="286"/>
      <c r="U962" s="286"/>
      <c r="V962" s="286"/>
      <c r="W962" s="286"/>
    </row>
    <row r="963">
      <c r="A963" s="286"/>
      <c r="B963" s="286"/>
      <c r="C963" s="286"/>
      <c r="D963" s="286"/>
      <c r="E963" s="286"/>
      <c r="F963" s="286"/>
      <c r="G963" s="286"/>
      <c r="H963" s="286"/>
      <c r="I963" s="286"/>
      <c r="J963" s="286"/>
      <c r="K963" s="399"/>
      <c r="L963" s="399"/>
      <c r="M963" s="286"/>
      <c r="N963" s="286"/>
      <c r="O963" s="286"/>
      <c r="P963" s="286"/>
      <c r="Q963" s="286"/>
      <c r="R963" s="286"/>
      <c r="S963" s="286"/>
      <c r="T963" s="286"/>
      <c r="U963" s="286"/>
      <c r="V963" s="286"/>
      <c r="W963" s="286"/>
    </row>
    <row r="964">
      <c r="A964" s="286"/>
      <c r="B964" s="286"/>
      <c r="C964" s="286"/>
      <c r="D964" s="286"/>
      <c r="E964" s="286"/>
      <c r="F964" s="286"/>
      <c r="G964" s="286"/>
      <c r="H964" s="286"/>
      <c r="I964" s="286"/>
      <c r="J964" s="286"/>
      <c r="K964" s="399"/>
      <c r="L964" s="399"/>
      <c r="M964" s="286"/>
      <c r="N964" s="286"/>
      <c r="O964" s="286"/>
      <c r="P964" s="286"/>
      <c r="Q964" s="286"/>
      <c r="R964" s="286"/>
      <c r="S964" s="286"/>
      <c r="T964" s="286"/>
      <c r="U964" s="286"/>
      <c r="V964" s="286"/>
      <c r="W964" s="286"/>
    </row>
    <row r="965">
      <c r="A965" s="286"/>
      <c r="B965" s="286"/>
      <c r="C965" s="286"/>
      <c r="D965" s="286"/>
      <c r="E965" s="286"/>
      <c r="F965" s="286"/>
      <c r="G965" s="286"/>
      <c r="H965" s="286"/>
      <c r="I965" s="286"/>
      <c r="J965" s="286"/>
      <c r="K965" s="399"/>
      <c r="L965" s="399"/>
      <c r="M965" s="286"/>
      <c r="N965" s="286"/>
      <c r="O965" s="286"/>
      <c r="P965" s="286"/>
      <c r="Q965" s="286"/>
      <c r="R965" s="286"/>
      <c r="S965" s="286"/>
      <c r="T965" s="286"/>
      <c r="U965" s="286"/>
      <c r="V965" s="286"/>
      <c r="W965" s="286"/>
    </row>
    <row r="966">
      <c r="A966" s="286"/>
      <c r="B966" s="286"/>
      <c r="C966" s="286"/>
      <c r="D966" s="286"/>
      <c r="E966" s="286"/>
      <c r="F966" s="286"/>
      <c r="G966" s="286"/>
      <c r="H966" s="286"/>
      <c r="I966" s="286"/>
      <c r="J966" s="286"/>
      <c r="K966" s="399"/>
      <c r="L966" s="399"/>
      <c r="M966" s="286"/>
      <c r="N966" s="286"/>
      <c r="O966" s="286"/>
      <c r="P966" s="286"/>
      <c r="Q966" s="286"/>
      <c r="R966" s="286"/>
      <c r="S966" s="286"/>
      <c r="T966" s="286"/>
      <c r="U966" s="286"/>
      <c r="V966" s="286"/>
      <c r="W966" s="286"/>
    </row>
    <row r="967">
      <c r="A967" s="286"/>
      <c r="B967" s="286"/>
      <c r="C967" s="286"/>
      <c r="D967" s="286"/>
      <c r="E967" s="286"/>
      <c r="F967" s="286"/>
      <c r="G967" s="286"/>
      <c r="H967" s="286"/>
      <c r="I967" s="286"/>
      <c r="J967" s="286"/>
      <c r="K967" s="399"/>
      <c r="L967" s="399"/>
      <c r="M967" s="286"/>
      <c r="N967" s="286"/>
      <c r="O967" s="286"/>
      <c r="P967" s="286"/>
      <c r="Q967" s="286"/>
      <c r="R967" s="286"/>
      <c r="S967" s="286"/>
      <c r="T967" s="286"/>
      <c r="U967" s="286"/>
      <c r="V967" s="286"/>
      <c r="W967" s="286"/>
    </row>
    <row r="968">
      <c r="A968" s="286"/>
      <c r="B968" s="286"/>
      <c r="C968" s="286"/>
      <c r="D968" s="286"/>
      <c r="E968" s="286"/>
      <c r="F968" s="286"/>
      <c r="G968" s="286"/>
      <c r="H968" s="286"/>
      <c r="I968" s="286"/>
      <c r="J968" s="286"/>
      <c r="K968" s="399"/>
      <c r="L968" s="399"/>
      <c r="M968" s="286"/>
      <c r="N968" s="286"/>
      <c r="O968" s="286"/>
      <c r="P968" s="286"/>
      <c r="Q968" s="286"/>
      <c r="R968" s="286"/>
      <c r="S968" s="286"/>
      <c r="T968" s="286"/>
      <c r="U968" s="286"/>
      <c r="V968" s="286"/>
      <c r="W968" s="286"/>
    </row>
    <row r="969">
      <c r="A969" s="286"/>
      <c r="B969" s="286"/>
      <c r="C969" s="286"/>
      <c r="D969" s="286"/>
      <c r="E969" s="286"/>
      <c r="F969" s="286"/>
      <c r="G969" s="286"/>
      <c r="H969" s="286"/>
      <c r="I969" s="286"/>
      <c r="J969" s="286"/>
      <c r="K969" s="399"/>
      <c r="L969" s="399"/>
      <c r="M969" s="286"/>
      <c r="N969" s="286"/>
      <c r="O969" s="286"/>
      <c r="P969" s="286"/>
      <c r="Q969" s="286"/>
      <c r="R969" s="286"/>
      <c r="S969" s="286"/>
      <c r="T969" s="286"/>
      <c r="U969" s="286"/>
      <c r="V969" s="286"/>
      <c r="W969" s="286"/>
    </row>
    <row r="970">
      <c r="A970" s="286"/>
      <c r="B970" s="286"/>
      <c r="C970" s="286"/>
      <c r="D970" s="286"/>
      <c r="E970" s="286"/>
      <c r="F970" s="286"/>
      <c r="G970" s="286"/>
      <c r="H970" s="286"/>
      <c r="I970" s="286"/>
      <c r="J970" s="286"/>
      <c r="K970" s="399"/>
      <c r="L970" s="399"/>
      <c r="M970" s="286"/>
      <c r="N970" s="286"/>
      <c r="O970" s="286"/>
      <c r="P970" s="286"/>
      <c r="Q970" s="286"/>
      <c r="R970" s="286"/>
      <c r="S970" s="286"/>
      <c r="T970" s="286"/>
      <c r="U970" s="286"/>
      <c r="V970" s="286"/>
      <c r="W970" s="286"/>
    </row>
    <row r="971">
      <c r="A971" s="286"/>
      <c r="B971" s="286"/>
      <c r="C971" s="286"/>
      <c r="D971" s="286"/>
      <c r="E971" s="286"/>
      <c r="F971" s="286"/>
      <c r="G971" s="286"/>
      <c r="H971" s="286"/>
      <c r="I971" s="286"/>
      <c r="J971" s="286"/>
      <c r="K971" s="399"/>
      <c r="L971" s="399"/>
      <c r="M971" s="286"/>
      <c r="N971" s="286"/>
      <c r="O971" s="286"/>
      <c r="P971" s="286"/>
      <c r="Q971" s="286"/>
      <c r="R971" s="286"/>
      <c r="S971" s="286"/>
      <c r="T971" s="286"/>
      <c r="U971" s="286"/>
      <c r="V971" s="286"/>
      <c r="W971" s="286"/>
    </row>
    <row r="972">
      <c r="A972" s="286"/>
      <c r="B972" s="286"/>
      <c r="C972" s="286"/>
      <c r="D972" s="286"/>
      <c r="E972" s="286"/>
      <c r="F972" s="286"/>
      <c r="G972" s="286"/>
      <c r="H972" s="286"/>
      <c r="I972" s="286"/>
      <c r="J972" s="286"/>
      <c r="K972" s="399"/>
      <c r="L972" s="399"/>
      <c r="M972" s="286"/>
      <c r="N972" s="286"/>
      <c r="O972" s="286"/>
      <c r="P972" s="286"/>
      <c r="Q972" s="286"/>
      <c r="R972" s="286"/>
      <c r="S972" s="286"/>
      <c r="T972" s="286"/>
      <c r="U972" s="286"/>
      <c r="V972" s="286"/>
      <c r="W972" s="286"/>
    </row>
    <row r="973">
      <c r="A973" s="286"/>
      <c r="B973" s="286"/>
      <c r="C973" s="286"/>
      <c r="D973" s="286"/>
      <c r="E973" s="286"/>
      <c r="F973" s="286"/>
      <c r="G973" s="286"/>
      <c r="H973" s="286"/>
      <c r="I973" s="286"/>
      <c r="J973" s="286"/>
      <c r="K973" s="399"/>
      <c r="L973" s="399"/>
      <c r="M973" s="286"/>
      <c r="N973" s="286"/>
      <c r="O973" s="286"/>
      <c r="P973" s="286"/>
      <c r="Q973" s="286"/>
      <c r="R973" s="286"/>
      <c r="S973" s="286"/>
      <c r="T973" s="286"/>
      <c r="U973" s="286"/>
      <c r="V973" s="286"/>
      <c r="W973" s="286"/>
    </row>
    <row r="974">
      <c r="A974" s="286"/>
      <c r="B974" s="286"/>
      <c r="C974" s="286"/>
      <c r="D974" s="286"/>
      <c r="E974" s="286"/>
      <c r="F974" s="286"/>
      <c r="G974" s="286"/>
      <c r="H974" s="286"/>
      <c r="I974" s="286"/>
      <c r="J974" s="286"/>
      <c r="K974" s="399"/>
      <c r="L974" s="399"/>
      <c r="M974" s="286"/>
      <c r="N974" s="286"/>
      <c r="O974" s="286"/>
      <c r="P974" s="286"/>
      <c r="Q974" s="286"/>
      <c r="R974" s="286"/>
      <c r="S974" s="286"/>
      <c r="T974" s="286"/>
      <c r="U974" s="286"/>
      <c r="V974" s="286"/>
      <c r="W974" s="286"/>
    </row>
    <row r="975">
      <c r="A975" s="286"/>
      <c r="B975" s="286"/>
      <c r="C975" s="286"/>
      <c r="D975" s="286"/>
      <c r="E975" s="286"/>
      <c r="F975" s="286"/>
      <c r="G975" s="286"/>
      <c r="H975" s="286"/>
      <c r="I975" s="286"/>
      <c r="J975" s="286"/>
      <c r="K975" s="399"/>
      <c r="L975" s="399"/>
      <c r="M975" s="286"/>
      <c r="N975" s="286"/>
      <c r="O975" s="286"/>
      <c r="P975" s="286"/>
      <c r="Q975" s="286"/>
      <c r="R975" s="286"/>
      <c r="S975" s="286"/>
      <c r="T975" s="286"/>
      <c r="U975" s="286"/>
      <c r="V975" s="286"/>
      <c r="W975" s="286"/>
    </row>
    <row r="976">
      <c r="A976" s="286"/>
      <c r="B976" s="286"/>
      <c r="C976" s="286"/>
      <c r="D976" s="286"/>
      <c r="E976" s="286"/>
      <c r="F976" s="286"/>
      <c r="G976" s="286"/>
      <c r="H976" s="286"/>
      <c r="I976" s="286"/>
      <c r="J976" s="286"/>
      <c r="K976" s="399"/>
      <c r="L976" s="399"/>
      <c r="M976" s="286"/>
      <c r="N976" s="286"/>
      <c r="O976" s="286"/>
      <c r="P976" s="286"/>
      <c r="Q976" s="286"/>
      <c r="R976" s="286"/>
      <c r="S976" s="286"/>
      <c r="T976" s="286"/>
      <c r="U976" s="286"/>
      <c r="V976" s="286"/>
      <c r="W976" s="286"/>
    </row>
    <row r="977">
      <c r="A977" s="286"/>
      <c r="B977" s="286"/>
      <c r="C977" s="286"/>
      <c r="D977" s="286"/>
      <c r="E977" s="286"/>
      <c r="F977" s="286"/>
      <c r="G977" s="286"/>
      <c r="H977" s="286"/>
      <c r="I977" s="286"/>
      <c r="J977" s="286"/>
      <c r="K977" s="399"/>
      <c r="L977" s="399"/>
      <c r="M977" s="286"/>
      <c r="N977" s="286"/>
      <c r="O977" s="286"/>
      <c r="P977" s="286"/>
      <c r="Q977" s="286"/>
      <c r="R977" s="286"/>
      <c r="S977" s="286"/>
      <c r="T977" s="286"/>
      <c r="U977" s="286"/>
      <c r="V977" s="286"/>
      <c r="W977" s="286"/>
    </row>
    <row r="978">
      <c r="A978" s="286"/>
      <c r="B978" s="286"/>
      <c r="C978" s="286"/>
      <c r="D978" s="286"/>
      <c r="E978" s="286"/>
      <c r="F978" s="286"/>
      <c r="G978" s="286"/>
      <c r="H978" s="286"/>
      <c r="I978" s="286"/>
      <c r="J978" s="286"/>
      <c r="K978" s="399"/>
      <c r="L978" s="399"/>
      <c r="M978" s="286"/>
      <c r="N978" s="286"/>
      <c r="O978" s="286"/>
      <c r="P978" s="286"/>
      <c r="Q978" s="286"/>
      <c r="R978" s="286"/>
      <c r="S978" s="286"/>
      <c r="T978" s="286"/>
      <c r="U978" s="286"/>
      <c r="V978" s="286"/>
      <c r="W978" s="286"/>
    </row>
    <row r="979">
      <c r="A979" s="286"/>
      <c r="B979" s="286"/>
      <c r="C979" s="286"/>
      <c r="D979" s="286"/>
      <c r="E979" s="286"/>
      <c r="F979" s="286"/>
      <c r="G979" s="286"/>
      <c r="H979" s="286"/>
      <c r="I979" s="286"/>
      <c r="J979" s="286"/>
      <c r="K979" s="399"/>
      <c r="L979" s="399"/>
      <c r="M979" s="286"/>
      <c r="N979" s="286"/>
      <c r="O979" s="286"/>
      <c r="P979" s="286"/>
      <c r="Q979" s="286"/>
      <c r="R979" s="286"/>
      <c r="S979" s="286"/>
      <c r="T979" s="286"/>
      <c r="U979" s="286"/>
      <c r="V979" s="286"/>
      <c r="W979" s="286"/>
    </row>
    <row r="980">
      <c r="A980" s="286"/>
      <c r="B980" s="286"/>
      <c r="C980" s="286"/>
      <c r="D980" s="286"/>
      <c r="E980" s="286"/>
      <c r="F980" s="286"/>
      <c r="G980" s="286"/>
      <c r="H980" s="286"/>
      <c r="I980" s="286"/>
      <c r="J980" s="286"/>
      <c r="K980" s="399"/>
      <c r="L980" s="399"/>
      <c r="M980" s="286"/>
      <c r="N980" s="286"/>
      <c r="O980" s="286"/>
      <c r="P980" s="286"/>
      <c r="Q980" s="286"/>
      <c r="R980" s="286"/>
      <c r="S980" s="286"/>
      <c r="T980" s="286"/>
      <c r="U980" s="286"/>
      <c r="V980" s="286"/>
      <c r="W980" s="286"/>
    </row>
    <row r="981">
      <c r="A981" s="286"/>
      <c r="B981" s="286"/>
      <c r="C981" s="286"/>
      <c r="D981" s="286"/>
      <c r="E981" s="286"/>
      <c r="F981" s="286"/>
      <c r="G981" s="286"/>
      <c r="H981" s="286"/>
      <c r="I981" s="286"/>
      <c r="J981" s="286"/>
      <c r="K981" s="399"/>
      <c r="L981" s="399"/>
      <c r="M981" s="286"/>
      <c r="N981" s="286"/>
      <c r="O981" s="286"/>
      <c r="P981" s="286"/>
      <c r="Q981" s="286"/>
      <c r="R981" s="286"/>
      <c r="S981" s="286"/>
      <c r="T981" s="286"/>
      <c r="U981" s="286"/>
      <c r="V981" s="286"/>
      <c r="W981" s="286"/>
    </row>
    <row r="982">
      <c r="A982" s="286"/>
      <c r="B982" s="286"/>
      <c r="C982" s="286"/>
      <c r="D982" s="286"/>
      <c r="E982" s="286"/>
      <c r="F982" s="286"/>
      <c r="G982" s="286"/>
      <c r="H982" s="286"/>
      <c r="I982" s="286"/>
      <c r="J982" s="286"/>
      <c r="K982" s="399"/>
      <c r="L982" s="399"/>
      <c r="M982" s="286"/>
      <c r="N982" s="286"/>
      <c r="O982" s="286"/>
      <c r="P982" s="286"/>
      <c r="Q982" s="286"/>
      <c r="R982" s="286"/>
      <c r="S982" s="286"/>
      <c r="T982" s="286"/>
      <c r="U982" s="286"/>
      <c r="V982" s="286"/>
      <c r="W982" s="286"/>
    </row>
    <row r="983">
      <c r="A983" s="286"/>
      <c r="B983" s="286"/>
      <c r="C983" s="286"/>
      <c r="D983" s="286"/>
      <c r="E983" s="286"/>
      <c r="F983" s="286"/>
      <c r="G983" s="286"/>
      <c r="H983" s="286"/>
      <c r="I983" s="286"/>
      <c r="J983" s="286"/>
      <c r="K983" s="399"/>
      <c r="L983" s="399"/>
      <c r="M983" s="286"/>
      <c r="N983" s="286"/>
      <c r="O983" s="286"/>
      <c r="P983" s="286"/>
      <c r="Q983" s="286"/>
      <c r="R983" s="286"/>
      <c r="S983" s="286"/>
      <c r="T983" s="286"/>
      <c r="U983" s="286"/>
      <c r="V983" s="286"/>
      <c r="W983" s="286"/>
    </row>
    <row r="984">
      <c r="A984" s="286"/>
      <c r="B984" s="286"/>
      <c r="C984" s="286"/>
      <c r="D984" s="286"/>
      <c r="E984" s="286"/>
      <c r="F984" s="286"/>
      <c r="G984" s="286"/>
      <c r="H984" s="286"/>
      <c r="I984" s="286"/>
      <c r="J984" s="286"/>
      <c r="K984" s="399"/>
      <c r="L984" s="399"/>
      <c r="M984" s="286"/>
      <c r="N984" s="286"/>
      <c r="O984" s="286"/>
      <c r="P984" s="286"/>
      <c r="Q984" s="286"/>
      <c r="R984" s="286"/>
      <c r="S984" s="286"/>
      <c r="T984" s="286"/>
      <c r="U984" s="286"/>
      <c r="V984" s="286"/>
      <c r="W984" s="286"/>
    </row>
    <row r="985">
      <c r="A985" s="286"/>
      <c r="B985" s="286"/>
      <c r="C985" s="286"/>
      <c r="D985" s="286"/>
      <c r="E985" s="286"/>
      <c r="F985" s="286"/>
      <c r="G985" s="286"/>
      <c r="H985" s="286"/>
      <c r="I985" s="286"/>
      <c r="J985" s="286"/>
      <c r="K985" s="399"/>
      <c r="L985" s="399"/>
      <c r="M985" s="286"/>
      <c r="N985" s="286"/>
      <c r="O985" s="286"/>
      <c r="P985" s="286"/>
      <c r="Q985" s="286"/>
      <c r="R985" s="286"/>
      <c r="S985" s="286"/>
      <c r="T985" s="286"/>
      <c r="U985" s="286"/>
      <c r="V985" s="286"/>
      <c r="W985" s="286"/>
    </row>
    <row r="986">
      <c r="A986" s="286"/>
      <c r="B986" s="286"/>
      <c r="C986" s="286"/>
      <c r="D986" s="286"/>
      <c r="E986" s="286"/>
      <c r="F986" s="286"/>
      <c r="G986" s="286"/>
      <c r="H986" s="286"/>
      <c r="I986" s="286"/>
      <c r="J986" s="286"/>
      <c r="K986" s="399"/>
      <c r="L986" s="399"/>
      <c r="M986" s="286"/>
      <c r="N986" s="286"/>
      <c r="O986" s="286"/>
      <c r="P986" s="286"/>
      <c r="Q986" s="286"/>
      <c r="R986" s="286"/>
      <c r="S986" s="286"/>
      <c r="T986" s="286"/>
      <c r="U986" s="286"/>
      <c r="V986" s="286"/>
      <c r="W986" s="286"/>
    </row>
    <row r="987">
      <c r="A987" s="286"/>
      <c r="B987" s="286"/>
      <c r="C987" s="286"/>
      <c r="D987" s="286"/>
      <c r="E987" s="286"/>
      <c r="F987" s="286"/>
      <c r="G987" s="286"/>
      <c r="H987" s="286"/>
      <c r="I987" s="286"/>
      <c r="J987" s="286"/>
      <c r="K987" s="399"/>
      <c r="L987" s="399"/>
      <c r="M987" s="286"/>
      <c r="N987" s="286"/>
      <c r="O987" s="286"/>
      <c r="P987" s="286"/>
      <c r="Q987" s="286"/>
      <c r="R987" s="286"/>
      <c r="S987" s="286"/>
      <c r="T987" s="286"/>
      <c r="U987" s="286"/>
      <c r="V987" s="286"/>
      <c r="W987" s="286"/>
    </row>
    <row r="988">
      <c r="A988" s="286"/>
      <c r="B988" s="286"/>
      <c r="C988" s="286"/>
      <c r="D988" s="286"/>
      <c r="E988" s="286"/>
      <c r="F988" s="286"/>
      <c r="G988" s="286"/>
      <c r="H988" s="286"/>
      <c r="I988" s="286"/>
      <c r="J988" s="286"/>
      <c r="K988" s="399"/>
      <c r="L988" s="399"/>
      <c r="M988" s="286"/>
      <c r="N988" s="286"/>
      <c r="O988" s="286"/>
      <c r="P988" s="286"/>
      <c r="Q988" s="286"/>
      <c r="R988" s="286"/>
      <c r="S988" s="286"/>
      <c r="T988" s="286"/>
      <c r="U988" s="286"/>
      <c r="V988" s="286"/>
      <c r="W988" s="286"/>
    </row>
    <row r="989">
      <c r="A989" s="286"/>
      <c r="B989" s="286"/>
      <c r="C989" s="286"/>
      <c r="D989" s="286"/>
      <c r="E989" s="286"/>
      <c r="F989" s="286"/>
      <c r="G989" s="286"/>
      <c r="H989" s="286"/>
      <c r="I989" s="286"/>
      <c r="J989" s="286"/>
      <c r="K989" s="399"/>
      <c r="L989" s="399"/>
      <c r="M989" s="286"/>
      <c r="N989" s="286"/>
      <c r="O989" s="286"/>
      <c r="P989" s="286"/>
      <c r="Q989" s="286"/>
      <c r="R989" s="286"/>
      <c r="S989" s="286"/>
      <c r="T989" s="286"/>
      <c r="U989" s="286"/>
      <c r="V989" s="286"/>
      <c r="W989" s="286"/>
    </row>
    <row r="990">
      <c r="A990" s="286"/>
      <c r="B990" s="286"/>
      <c r="C990" s="286"/>
      <c r="D990" s="286"/>
      <c r="E990" s="286"/>
      <c r="F990" s="286"/>
      <c r="G990" s="286"/>
      <c r="H990" s="286"/>
      <c r="I990" s="286"/>
      <c r="J990" s="286"/>
      <c r="K990" s="399"/>
      <c r="L990" s="399"/>
      <c r="M990" s="286"/>
      <c r="N990" s="286"/>
      <c r="O990" s="286"/>
      <c r="P990" s="286"/>
      <c r="Q990" s="286"/>
      <c r="R990" s="286"/>
      <c r="S990" s="286"/>
      <c r="T990" s="286"/>
      <c r="U990" s="286"/>
      <c r="V990" s="286"/>
      <c r="W990" s="286"/>
    </row>
    <row r="991">
      <c r="A991" s="286"/>
      <c r="B991" s="286"/>
      <c r="C991" s="286"/>
      <c r="D991" s="286"/>
      <c r="E991" s="286"/>
      <c r="F991" s="286"/>
      <c r="G991" s="286"/>
      <c r="H991" s="286"/>
      <c r="I991" s="286"/>
      <c r="J991" s="286"/>
      <c r="K991" s="399"/>
      <c r="L991" s="399"/>
      <c r="M991" s="286"/>
      <c r="N991" s="286"/>
      <c r="O991" s="286"/>
      <c r="P991" s="286"/>
      <c r="Q991" s="286"/>
      <c r="R991" s="286"/>
      <c r="S991" s="286"/>
      <c r="T991" s="286"/>
      <c r="U991" s="286"/>
      <c r="V991" s="286"/>
      <c r="W991" s="286"/>
    </row>
    <row r="992">
      <c r="A992" s="286"/>
      <c r="B992" s="286"/>
      <c r="C992" s="286"/>
      <c r="D992" s="286"/>
      <c r="E992" s="286"/>
      <c r="F992" s="286"/>
      <c r="G992" s="286"/>
      <c r="H992" s="286"/>
      <c r="I992" s="286"/>
      <c r="J992" s="286"/>
      <c r="K992" s="399"/>
      <c r="L992" s="399"/>
      <c r="M992" s="286"/>
      <c r="N992" s="286"/>
      <c r="O992" s="286"/>
      <c r="P992" s="286"/>
      <c r="Q992" s="286"/>
      <c r="R992" s="286"/>
      <c r="S992" s="286"/>
      <c r="T992" s="286"/>
      <c r="U992" s="286"/>
      <c r="V992" s="286"/>
      <c r="W992" s="286"/>
    </row>
    <row r="993">
      <c r="A993" s="286"/>
      <c r="B993" s="286"/>
      <c r="C993" s="286"/>
      <c r="D993" s="286"/>
      <c r="E993" s="286"/>
      <c r="F993" s="286"/>
      <c r="G993" s="286"/>
      <c r="H993" s="286"/>
      <c r="I993" s="286"/>
      <c r="J993" s="286"/>
      <c r="K993" s="399"/>
      <c r="L993" s="399"/>
      <c r="M993" s="286"/>
      <c r="N993" s="286"/>
      <c r="O993" s="286"/>
      <c r="P993" s="286"/>
      <c r="Q993" s="286"/>
      <c r="R993" s="286"/>
      <c r="S993" s="286"/>
      <c r="T993" s="286"/>
      <c r="U993" s="286"/>
      <c r="V993" s="286"/>
      <c r="W993" s="286"/>
    </row>
    <row r="994">
      <c r="A994" s="286"/>
      <c r="B994" s="286"/>
      <c r="C994" s="286"/>
      <c r="D994" s="286"/>
      <c r="E994" s="286"/>
      <c r="F994" s="286"/>
      <c r="G994" s="286"/>
      <c r="H994" s="286"/>
      <c r="I994" s="286"/>
      <c r="J994" s="286"/>
      <c r="K994" s="399"/>
      <c r="L994" s="399"/>
      <c r="M994" s="286"/>
      <c r="N994" s="286"/>
      <c r="O994" s="286"/>
      <c r="P994" s="286"/>
      <c r="Q994" s="286"/>
      <c r="R994" s="286"/>
      <c r="S994" s="286"/>
      <c r="T994" s="286"/>
      <c r="U994" s="286"/>
      <c r="V994" s="286"/>
      <c r="W994" s="286"/>
    </row>
    <row r="995">
      <c r="A995" s="286"/>
      <c r="B995" s="286"/>
      <c r="C995" s="286"/>
      <c r="D995" s="286"/>
      <c r="E995" s="286"/>
      <c r="F995" s="286"/>
      <c r="G995" s="286"/>
      <c r="H995" s="286"/>
      <c r="I995" s="286"/>
      <c r="J995" s="286"/>
      <c r="K995" s="399"/>
      <c r="L995" s="399"/>
      <c r="M995" s="286"/>
      <c r="N995" s="286"/>
      <c r="O995" s="286"/>
      <c r="P995" s="286"/>
      <c r="Q995" s="286"/>
      <c r="R995" s="286"/>
      <c r="S995" s="286"/>
      <c r="T995" s="286"/>
      <c r="U995" s="286"/>
      <c r="V995" s="286"/>
      <c r="W995" s="286"/>
    </row>
    <row r="996">
      <c r="A996" s="286"/>
      <c r="B996" s="286"/>
      <c r="C996" s="286"/>
      <c r="D996" s="286"/>
      <c r="E996" s="286"/>
      <c r="F996" s="286"/>
      <c r="G996" s="286"/>
      <c r="H996" s="286"/>
      <c r="I996" s="286"/>
      <c r="J996" s="286"/>
      <c r="K996" s="399"/>
      <c r="L996" s="399"/>
      <c r="M996" s="286"/>
      <c r="N996" s="286"/>
      <c r="O996" s="286"/>
      <c r="P996" s="286"/>
      <c r="Q996" s="286"/>
      <c r="R996" s="286"/>
      <c r="S996" s="286"/>
      <c r="T996" s="286"/>
      <c r="U996" s="286"/>
      <c r="V996" s="286"/>
      <c r="W996" s="286"/>
    </row>
    <row r="997">
      <c r="A997" s="286"/>
      <c r="B997" s="286"/>
      <c r="C997" s="286"/>
      <c r="D997" s="286"/>
      <c r="E997" s="286"/>
      <c r="F997" s="286"/>
      <c r="G997" s="286"/>
      <c r="H997" s="286"/>
      <c r="I997" s="286"/>
      <c r="J997" s="286"/>
      <c r="K997" s="399"/>
      <c r="L997" s="399"/>
      <c r="M997" s="286"/>
      <c r="N997" s="286"/>
      <c r="O997" s="286"/>
      <c r="P997" s="286"/>
      <c r="Q997" s="286"/>
      <c r="R997" s="286"/>
      <c r="S997" s="286"/>
      <c r="T997" s="286"/>
      <c r="U997" s="286"/>
      <c r="V997" s="286"/>
      <c r="W997" s="286"/>
    </row>
    <row r="998">
      <c r="A998" s="286"/>
      <c r="B998" s="286"/>
      <c r="C998" s="286"/>
      <c r="D998" s="286"/>
      <c r="E998" s="286"/>
      <c r="F998" s="286"/>
      <c r="G998" s="286"/>
      <c r="H998" s="286"/>
      <c r="I998" s="286"/>
      <c r="J998" s="286"/>
      <c r="K998" s="399"/>
      <c r="L998" s="399"/>
      <c r="M998" s="286"/>
      <c r="N998" s="286"/>
      <c r="O998" s="286"/>
      <c r="P998" s="286"/>
      <c r="Q998" s="286"/>
      <c r="R998" s="286"/>
      <c r="S998" s="286"/>
      <c r="T998" s="286"/>
      <c r="U998" s="286"/>
      <c r="V998" s="286"/>
      <c r="W998" s="286"/>
    </row>
    <row r="999">
      <c r="A999" s="286"/>
      <c r="B999" s="286"/>
      <c r="C999" s="286"/>
      <c r="D999" s="286"/>
      <c r="E999" s="286"/>
      <c r="F999" s="286"/>
      <c r="G999" s="286"/>
      <c r="H999" s="286"/>
      <c r="I999" s="286"/>
      <c r="J999" s="286"/>
      <c r="K999" s="399"/>
      <c r="L999" s="399"/>
      <c r="M999" s="286"/>
      <c r="N999" s="286"/>
      <c r="O999" s="286"/>
      <c r="P999" s="286"/>
      <c r="Q999" s="286"/>
      <c r="R999" s="286"/>
      <c r="S999" s="286"/>
      <c r="T999" s="286"/>
      <c r="U999" s="286"/>
      <c r="V999" s="286"/>
      <c r="W999" s="286"/>
    </row>
    <row r="1000">
      <c r="A1000" s="286"/>
      <c r="B1000" s="286"/>
      <c r="C1000" s="286"/>
      <c r="D1000" s="286"/>
      <c r="E1000" s="286"/>
      <c r="F1000" s="286"/>
      <c r="G1000" s="286"/>
      <c r="H1000" s="286"/>
      <c r="I1000" s="286"/>
      <c r="J1000" s="286"/>
      <c r="K1000" s="399"/>
      <c r="L1000" s="399"/>
      <c r="M1000" s="286"/>
      <c r="N1000" s="286"/>
      <c r="O1000" s="286"/>
      <c r="P1000" s="286"/>
      <c r="Q1000" s="286"/>
      <c r="R1000" s="286"/>
      <c r="S1000" s="286"/>
      <c r="T1000" s="286"/>
      <c r="U1000" s="286"/>
      <c r="V1000" s="286"/>
      <c r="W1000" s="286"/>
    </row>
    <row r="1001">
      <c r="A1001" s="286"/>
      <c r="B1001" s="286"/>
      <c r="C1001" s="286"/>
      <c r="D1001" s="286"/>
      <c r="E1001" s="286"/>
      <c r="F1001" s="286"/>
      <c r="G1001" s="286"/>
      <c r="H1001" s="286"/>
      <c r="I1001" s="286"/>
      <c r="J1001" s="286"/>
      <c r="K1001" s="286"/>
      <c r="L1001" s="286"/>
      <c r="M1001" s="286"/>
      <c r="N1001" s="286"/>
      <c r="O1001" s="286"/>
      <c r="P1001" s="286"/>
      <c r="Q1001" s="286"/>
      <c r="R1001" s="286"/>
      <c r="S1001" s="286"/>
      <c r="T1001" s="286"/>
      <c r="U1001" s="286"/>
      <c r="V1001" s="286"/>
      <c r="W1001" s="286"/>
    </row>
    <row r="1002">
      <c r="A1002" s="286"/>
      <c r="B1002" s="286"/>
      <c r="C1002" s="286"/>
      <c r="D1002" s="286"/>
      <c r="E1002" s="286"/>
      <c r="F1002" s="286"/>
      <c r="G1002" s="286"/>
      <c r="H1002" s="286"/>
      <c r="I1002" s="286"/>
      <c r="J1002" s="286"/>
      <c r="K1002" s="286"/>
      <c r="L1002" s="286"/>
      <c r="M1002" s="286"/>
      <c r="N1002" s="286"/>
      <c r="O1002" s="286"/>
      <c r="P1002" s="286"/>
      <c r="Q1002" s="286"/>
      <c r="R1002" s="286"/>
      <c r="S1002" s="286"/>
      <c r="T1002" s="286"/>
      <c r="U1002" s="286"/>
      <c r="V1002" s="286"/>
      <c r="W1002" s="286"/>
    </row>
    <row r="1003">
      <c r="A1003" s="286"/>
      <c r="B1003" s="286"/>
      <c r="C1003" s="286"/>
      <c r="D1003" s="286"/>
      <c r="E1003" s="286"/>
      <c r="F1003" s="286"/>
      <c r="G1003" s="286"/>
      <c r="H1003" s="286"/>
      <c r="I1003" s="286"/>
      <c r="J1003" s="286"/>
      <c r="K1003" s="286"/>
      <c r="L1003" s="286"/>
      <c r="M1003" s="286"/>
      <c r="N1003" s="286"/>
      <c r="O1003" s="286"/>
      <c r="P1003" s="286"/>
      <c r="Q1003" s="286"/>
      <c r="R1003" s="286"/>
      <c r="S1003" s="286"/>
      <c r="T1003" s="286"/>
      <c r="U1003" s="286"/>
      <c r="V1003" s="286"/>
      <c r="W1003" s="286"/>
    </row>
    <row r="1004">
      <c r="A1004" s="286"/>
      <c r="B1004" s="286"/>
      <c r="C1004" s="286"/>
      <c r="D1004" s="286"/>
      <c r="E1004" s="286"/>
      <c r="F1004" s="286"/>
      <c r="G1004" s="286"/>
      <c r="H1004" s="286"/>
      <c r="I1004" s="286"/>
      <c r="J1004" s="286"/>
      <c r="K1004" s="286"/>
      <c r="L1004" s="286"/>
      <c r="M1004" s="286"/>
      <c r="N1004" s="286"/>
      <c r="O1004" s="286"/>
      <c r="P1004" s="286"/>
      <c r="Q1004" s="286"/>
      <c r="R1004" s="286"/>
      <c r="S1004" s="286"/>
      <c r="T1004" s="286"/>
      <c r="U1004" s="286"/>
      <c r="V1004" s="286"/>
      <c r="W1004" s="286"/>
    </row>
    <row r="1005">
      <c r="A1005" s="286"/>
      <c r="B1005" s="286"/>
      <c r="C1005" s="286"/>
      <c r="D1005" s="286"/>
      <c r="E1005" s="286"/>
      <c r="F1005" s="286"/>
      <c r="G1005" s="286"/>
      <c r="H1005" s="286"/>
      <c r="I1005" s="286"/>
      <c r="J1005" s="286"/>
      <c r="K1005" s="286"/>
      <c r="L1005" s="286"/>
      <c r="M1005" s="286"/>
      <c r="N1005" s="286"/>
      <c r="O1005" s="286"/>
      <c r="P1005" s="286"/>
      <c r="Q1005" s="286"/>
      <c r="R1005" s="286"/>
      <c r="S1005" s="286"/>
      <c r="T1005" s="286"/>
      <c r="U1005" s="286"/>
      <c r="V1005" s="286"/>
      <c r="W1005" s="286"/>
    </row>
    <row r="1006">
      <c r="A1006" s="286"/>
      <c r="B1006" s="286"/>
      <c r="C1006" s="286"/>
      <c r="D1006" s="286"/>
      <c r="E1006" s="286"/>
      <c r="F1006" s="286"/>
      <c r="G1006" s="286"/>
      <c r="H1006" s="286"/>
      <c r="I1006" s="286"/>
      <c r="J1006" s="286"/>
      <c r="K1006" s="286"/>
      <c r="L1006" s="286"/>
      <c r="M1006" s="286"/>
      <c r="N1006" s="286"/>
      <c r="O1006" s="286"/>
      <c r="P1006" s="286"/>
      <c r="Q1006" s="286"/>
      <c r="R1006" s="286"/>
      <c r="S1006" s="286"/>
      <c r="T1006" s="286"/>
      <c r="U1006" s="286"/>
      <c r="V1006" s="286"/>
      <c r="W1006" s="286"/>
    </row>
    <row r="1007">
      <c r="A1007" s="286"/>
      <c r="B1007" s="286"/>
      <c r="C1007" s="286"/>
      <c r="D1007" s="286"/>
      <c r="E1007" s="286"/>
      <c r="F1007" s="286"/>
      <c r="G1007" s="286"/>
      <c r="H1007" s="286"/>
      <c r="I1007" s="286"/>
      <c r="J1007" s="286"/>
      <c r="K1007" s="286"/>
      <c r="L1007" s="286"/>
      <c r="M1007" s="286"/>
      <c r="N1007" s="286"/>
      <c r="O1007" s="286"/>
      <c r="P1007" s="286"/>
      <c r="Q1007" s="286"/>
      <c r="R1007" s="286"/>
      <c r="S1007" s="286"/>
      <c r="T1007" s="286"/>
      <c r="U1007" s="286"/>
      <c r="V1007" s="286"/>
      <c r="W1007" s="286"/>
    </row>
    <row r="1008">
      <c r="A1008" s="286"/>
      <c r="B1008" s="286"/>
      <c r="C1008" s="286"/>
      <c r="D1008" s="286"/>
      <c r="E1008" s="286"/>
      <c r="F1008" s="286"/>
      <c r="G1008" s="286"/>
      <c r="H1008" s="286"/>
      <c r="I1008" s="286"/>
      <c r="J1008" s="286"/>
      <c r="K1008" s="286"/>
      <c r="L1008" s="286"/>
      <c r="M1008" s="286"/>
      <c r="N1008" s="286"/>
      <c r="O1008" s="286"/>
      <c r="P1008" s="286"/>
      <c r="Q1008" s="286"/>
      <c r="R1008" s="286"/>
      <c r="S1008" s="286"/>
      <c r="T1008" s="286"/>
      <c r="U1008" s="286"/>
      <c r="V1008" s="286"/>
      <c r="W1008" s="286"/>
    </row>
    <row r="1009">
      <c r="A1009" s="286"/>
      <c r="B1009" s="286"/>
      <c r="C1009" s="286"/>
      <c r="D1009" s="286"/>
      <c r="E1009" s="286"/>
      <c r="F1009" s="286"/>
      <c r="G1009" s="286"/>
      <c r="H1009" s="286"/>
      <c r="I1009" s="286"/>
      <c r="J1009" s="286"/>
      <c r="K1009" s="286"/>
      <c r="L1009" s="286"/>
      <c r="M1009" s="286"/>
      <c r="N1009" s="286"/>
      <c r="O1009" s="286"/>
      <c r="P1009" s="286"/>
      <c r="Q1009" s="286"/>
      <c r="R1009" s="286"/>
      <c r="S1009" s="286"/>
      <c r="T1009" s="286"/>
      <c r="U1009" s="286"/>
      <c r="V1009" s="286"/>
      <c r="W1009" s="286"/>
    </row>
    <row r="1010">
      <c r="A1010" s="286"/>
      <c r="B1010" s="286"/>
      <c r="C1010" s="286"/>
      <c r="D1010" s="286"/>
      <c r="E1010" s="286"/>
      <c r="F1010" s="286"/>
      <c r="G1010" s="286"/>
      <c r="H1010" s="286"/>
      <c r="I1010" s="286"/>
      <c r="J1010" s="286"/>
      <c r="K1010" s="286"/>
      <c r="L1010" s="286"/>
      <c r="M1010" s="286"/>
      <c r="N1010" s="286"/>
      <c r="O1010" s="286"/>
      <c r="P1010" s="286"/>
      <c r="Q1010" s="286"/>
      <c r="R1010" s="286"/>
      <c r="S1010" s="286"/>
      <c r="T1010" s="286"/>
      <c r="U1010" s="286"/>
      <c r="V1010" s="286"/>
      <c r="W1010" s="286"/>
    </row>
    <row r="1011">
      <c r="A1011" s="286"/>
      <c r="B1011" s="286"/>
      <c r="C1011" s="286"/>
      <c r="D1011" s="286"/>
      <c r="E1011" s="286"/>
      <c r="F1011" s="286"/>
      <c r="G1011" s="286"/>
      <c r="H1011" s="286"/>
      <c r="I1011" s="286"/>
      <c r="J1011" s="286"/>
      <c r="K1011" s="286"/>
      <c r="L1011" s="286"/>
      <c r="M1011" s="286"/>
      <c r="N1011" s="286"/>
      <c r="O1011" s="286"/>
      <c r="P1011" s="286"/>
      <c r="Q1011" s="286"/>
      <c r="R1011" s="286"/>
      <c r="S1011" s="286"/>
      <c r="T1011" s="286"/>
      <c r="U1011" s="286"/>
      <c r="V1011" s="286"/>
      <c r="W1011" s="286"/>
    </row>
    <row r="1012">
      <c r="A1012" s="286"/>
      <c r="B1012" s="286"/>
      <c r="C1012" s="286"/>
      <c r="D1012" s="286"/>
      <c r="E1012" s="286"/>
      <c r="F1012" s="286"/>
      <c r="G1012" s="286"/>
      <c r="H1012" s="286"/>
      <c r="I1012" s="286"/>
      <c r="J1012" s="286"/>
      <c r="K1012" s="286"/>
      <c r="L1012" s="286"/>
      <c r="M1012" s="286"/>
      <c r="N1012" s="286"/>
      <c r="O1012" s="286"/>
      <c r="P1012" s="286"/>
      <c r="Q1012" s="286"/>
      <c r="R1012" s="286"/>
      <c r="S1012" s="286"/>
      <c r="T1012" s="286"/>
      <c r="U1012" s="286"/>
      <c r="V1012" s="286"/>
      <c r="W1012" s="286"/>
    </row>
    <row r="1013">
      <c r="A1013" s="286"/>
      <c r="B1013" s="286"/>
      <c r="C1013" s="286"/>
      <c r="D1013" s="286"/>
      <c r="E1013" s="286"/>
      <c r="F1013" s="286"/>
      <c r="G1013" s="286"/>
      <c r="H1013" s="286"/>
      <c r="I1013" s="286"/>
      <c r="J1013" s="286"/>
      <c r="K1013" s="286"/>
      <c r="L1013" s="286"/>
      <c r="M1013" s="286"/>
      <c r="N1013" s="286"/>
      <c r="O1013" s="286"/>
      <c r="P1013" s="286"/>
      <c r="Q1013" s="286"/>
      <c r="R1013" s="286"/>
      <c r="S1013" s="286"/>
      <c r="T1013" s="286"/>
      <c r="U1013" s="286"/>
      <c r="V1013" s="286"/>
      <c r="W1013" s="286"/>
    </row>
    <row r="1014">
      <c r="A1014" s="286"/>
      <c r="B1014" s="286"/>
      <c r="C1014" s="286"/>
      <c r="D1014" s="286"/>
      <c r="E1014" s="286"/>
      <c r="F1014" s="286"/>
      <c r="G1014" s="286"/>
      <c r="H1014" s="286"/>
      <c r="I1014" s="286"/>
      <c r="J1014" s="286"/>
      <c r="K1014" s="286"/>
      <c r="L1014" s="286"/>
      <c r="M1014" s="286"/>
      <c r="N1014" s="286"/>
      <c r="O1014" s="286"/>
      <c r="P1014" s="286"/>
      <c r="Q1014" s="286"/>
      <c r="R1014" s="286"/>
      <c r="S1014" s="286"/>
      <c r="T1014" s="286"/>
      <c r="U1014" s="286"/>
      <c r="V1014" s="286"/>
      <c r="W1014" s="286"/>
    </row>
    <row r="1015">
      <c r="A1015" s="286"/>
      <c r="B1015" s="286"/>
      <c r="C1015" s="286"/>
      <c r="D1015" s="286"/>
      <c r="E1015" s="286"/>
      <c r="F1015" s="286"/>
      <c r="G1015" s="286"/>
      <c r="H1015" s="286"/>
      <c r="I1015" s="286"/>
      <c r="J1015" s="286"/>
      <c r="K1015" s="286"/>
      <c r="L1015" s="286"/>
      <c r="M1015" s="286"/>
      <c r="N1015" s="286"/>
      <c r="O1015" s="286"/>
      <c r="P1015" s="286"/>
      <c r="Q1015" s="286"/>
      <c r="R1015" s="286"/>
      <c r="S1015" s="286"/>
      <c r="T1015" s="286"/>
      <c r="U1015" s="286"/>
      <c r="V1015" s="286"/>
      <c r="W1015" s="286"/>
    </row>
    <row r="1016">
      <c r="A1016" s="286"/>
      <c r="B1016" s="286"/>
      <c r="C1016" s="286"/>
      <c r="D1016" s="286"/>
      <c r="E1016" s="286"/>
      <c r="F1016" s="286"/>
      <c r="G1016" s="286"/>
      <c r="H1016" s="286"/>
      <c r="I1016" s="286"/>
      <c r="J1016" s="286"/>
      <c r="K1016" s="286"/>
      <c r="L1016" s="286"/>
      <c r="M1016" s="286"/>
      <c r="N1016" s="286"/>
      <c r="O1016" s="286"/>
      <c r="P1016" s="286"/>
      <c r="Q1016" s="286"/>
      <c r="R1016" s="286"/>
      <c r="S1016" s="286"/>
      <c r="T1016" s="286"/>
      <c r="U1016" s="286"/>
      <c r="V1016" s="286"/>
      <c r="W1016" s="286"/>
    </row>
    <row r="1017">
      <c r="A1017" s="286"/>
      <c r="B1017" s="286"/>
      <c r="C1017" s="286"/>
      <c r="D1017" s="286"/>
      <c r="E1017" s="286"/>
      <c r="F1017" s="286"/>
      <c r="G1017" s="286"/>
      <c r="H1017" s="286"/>
      <c r="I1017" s="286"/>
      <c r="J1017" s="286"/>
      <c r="K1017" s="286"/>
      <c r="L1017" s="286"/>
      <c r="M1017" s="286"/>
      <c r="N1017" s="286"/>
      <c r="O1017" s="286"/>
      <c r="P1017" s="286"/>
      <c r="Q1017" s="286"/>
      <c r="R1017" s="286"/>
      <c r="S1017" s="286"/>
      <c r="T1017" s="286"/>
      <c r="U1017" s="286"/>
      <c r="V1017" s="286"/>
      <c r="W1017" s="286"/>
    </row>
    <row r="1018">
      <c r="A1018" s="286"/>
      <c r="B1018" s="286"/>
      <c r="C1018" s="286"/>
      <c r="D1018" s="286"/>
      <c r="E1018" s="286"/>
      <c r="F1018" s="286"/>
      <c r="G1018" s="286"/>
      <c r="H1018" s="286"/>
      <c r="I1018" s="286"/>
      <c r="J1018" s="286"/>
      <c r="K1018" s="286"/>
      <c r="L1018" s="286"/>
      <c r="M1018" s="286"/>
      <c r="N1018" s="286"/>
      <c r="O1018" s="286"/>
      <c r="P1018" s="286"/>
      <c r="Q1018" s="286"/>
      <c r="R1018" s="286"/>
      <c r="S1018" s="286"/>
      <c r="T1018" s="286"/>
      <c r="U1018" s="286"/>
      <c r="V1018" s="286"/>
      <c r="W1018" s="286"/>
    </row>
    <row r="1019">
      <c r="A1019" s="286"/>
      <c r="B1019" s="286"/>
      <c r="C1019" s="286"/>
      <c r="D1019" s="286"/>
      <c r="E1019" s="286"/>
      <c r="F1019" s="286"/>
      <c r="G1019" s="286"/>
      <c r="H1019" s="286"/>
      <c r="I1019" s="286"/>
      <c r="J1019" s="286"/>
      <c r="K1019" s="286"/>
      <c r="L1019" s="286"/>
      <c r="M1019" s="286"/>
      <c r="N1019" s="286"/>
      <c r="O1019" s="286"/>
      <c r="P1019" s="286"/>
      <c r="Q1019" s="286"/>
      <c r="R1019" s="286"/>
      <c r="S1019" s="286"/>
      <c r="T1019" s="286"/>
      <c r="U1019" s="286"/>
      <c r="V1019" s="286"/>
      <c r="W1019" s="286"/>
    </row>
    <row r="1020">
      <c r="A1020" s="286"/>
      <c r="B1020" s="286"/>
      <c r="C1020" s="286"/>
      <c r="D1020" s="286"/>
      <c r="E1020" s="286"/>
      <c r="F1020" s="286"/>
      <c r="G1020" s="286"/>
      <c r="H1020" s="286"/>
      <c r="I1020" s="286"/>
      <c r="J1020" s="286"/>
      <c r="K1020" s="286"/>
      <c r="L1020" s="286"/>
      <c r="M1020" s="286"/>
      <c r="N1020" s="286"/>
      <c r="O1020" s="286"/>
      <c r="P1020" s="286"/>
      <c r="Q1020" s="286"/>
      <c r="R1020" s="286"/>
      <c r="S1020" s="286"/>
      <c r="T1020" s="286"/>
      <c r="U1020" s="286"/>
      <c r="V1020" s="286"/>
      <c r="W1020" s="286"/>
    </row>
    <row r="1021">
      <c r="A1021" s="286"/>
      <c r="B1021" s="286"/>
      <c r="C1021" s="286"/>
      <c r="D1021" s="286"/>
      <c r="E1021" s="286"/>
      <c r="F1021" s="286"/>
      <c r="G1021" s="286"/>
      <c r="H1021" s="286"/>
      <c r="I1021" s="286"/>
      <c r="J1021" s="286"/>
      <c r="K1021" s="286"/>
      <c r="L1021" s="286"/>
      <c r="M1021" s="286"/>
      <c r="N1021" s="286"/>
      <c r="O1021" s="286"/>
      <c r="P1021" s="286"/>
      <c r="Q1021" s="286"/>
      <c r="R1021" s="286"/>
      <c r="S1021" s="286"/>
      <c r="T1021" s="286"/>
      <c r="U1021" s="286"/>
      <c r="V1021" s="286"/>
      <c r="W1021" s="286"/>
    </row>
    <row r="1022">
      <c r="A1022" s="286"/>
      <c r="B1022" s="286"/>
      <c r="C1022" s="286"/>
      <c r="D1022" s="286"/>
      <c r="E1022" s="286"/>
      <c r="F1022" s="286"/>
      <c r="G1022" s="286"/>
      <c r="H1022" s="286"/>
      <c r="I1022" s="286"/>
      <c r="J1022" s="286"/>
      <c r="K1022" s="286"/>
      <c r="L1022" s="286"/>
      <c r="M1022" s="286"/>
      <c r="N1022" s="286"/>
      <c r="O1022" s="286"/>
      <c r="P1022" s="286"/>
      <c r="Q1022" s="286"/>
      <c r="R1022" s="286"/>
      <c r="S1022" s="286"/>
      <c r="T1022" s="286"/>
      <c r="U1022" s="286"/>
      <c r="V1022" s="286"/>
      <c r="W1022" s="286"/>
    </row>
    <row r="1023">
      <c r="A1023" s="286"/>
      <c r="B1023" s="286"/>
      <c r="C1023" s="286"/>
      <c r="D1023" s="286"/>
      <c r="E1023" s="286"/>
      <c r="F1023" s="286"/>
      <c r="G1023" s="286"/>
      <c r="H1023" s="286"/>
      <c r="I1023" s="286"/>
      <c r="J1023" s="286"/>
      <c r="K1023" s="286"/>
      <c r="L1023" s="286"/>
      <c r="M1023" s="286"/>
      <c r="N1023" s="286"/>
      <c r="O1023" s="286"/>
      <c r="P1023" s="286"/>
      <c r="Q1023" s="286"/>
      <c r="R1023" s="286"/>
      <c r="S1023" s="286"/>
      <c r="T1023" s="286"/>
      <c r="U1023" s="286"/>
      <c r="V1023" s="286"/>
      <c r="W1023" s="286"/>
    </row>
    <row r="1024">
      <c r="A1024" s="286"/>
      <c r="B1024" s="286"/>
      <c r="C1024" s="286"/>
      <c r="D1024" s="286"/>
      <c r="E1024" s="286"/>
      <c r="F1024" s="286"/>
      <c r="G1024" s="286"/>
      <c r="H1024" s="286"/>
      <c r="I1024" s="286"/>
      <c r="J1024" s="286"/>
      <c r="K1024" s="286"/>
      <c r="L1024" s="286"/>
      <c r="M1024" s="286"/>
      <c r="N1024" s="286"/>
      <c r="O1024" s="286"/>
      <c r="P1024" s="286"/>
      <c r="Q1024" s="286"/>
      <c r="R1024" s="286"/>
      <c r="S1024" s="286"/>
      <c r="T1024" s="286"/>
      <c r="U1024" s="286"/>
      <c r="V1024" s="286"/>
      <c r="W1024" s="286"/>
    </row>
    <row r="1025">
      <c r="A1025" s="286"/>
      <c r="B1025" s="286"/>
      <c r="C1025" s="286"/>
      <c r="D1025" s="286"/>
      <c r="E1025" s="286"/>
      <c r="F1025" s="286"/>
      <c r="G1025" s="286"/>
      <c r="H1025" s="286"/>
      <c r="I1025" s="286"/>
      <c r="J1025" s="286"/>
      <c r="K1025" s="286"/>
      <c r="L1025" s="286"/>
      <c r="M1025" s="286"/>
      <c r="N1025" s="286"/>
      <c r="O1025" s="286"/>
      <c r="P1025" s="286"/>
      <c r="Q1025" s="286"/>
      <c r="R1025" s="286"/>
      <c r="S1025" s="286"/>
      <c r="T1025" s="286"/>
      <c r="U1025" s="286"/>
      <c r="V1025" s="286"/>
      <c r="W1025" s="286"/>
    </row>
    <row r="1026">
      <c r="A1026" s="286"/>
      <c r="B1026" s="286"/>
      <c r="C1026" s="286"/>
      <c r="D1026" s="286"/>
      <c r="E1026" s="286"/>
      <c r="F1026" s="286"/>
      <c r="G1026" s="286"/>
      <c r="H1026" s="286"/>
      <c r="I1026" s="286"/>
      <c r="J1026" s="286"/>
      <c r="K1026" s="286"/>
      <c r="L1026" s="286"/>
      <c r="M1026" s="286"/>
      <c r="N1026" s="286"/>
      <c r="O1026" s="286"/>
      <c r="P1026" s="286"/>
      <c r="Q1026" s="286"/>
      <c r="R1026" s="286"/>
      <c r="S1026" s="286"/>
      <c r="T1026" s="286"/>
      <c r="U1026" s="286"/>
      <c r="V1026" s="286"/>
      <c r="W1026" s="286"/>
    </row>
  </sheetData>
  <hyperlinks>
    <hyperlink r:id="rId1" ref="B10"/>
    <hyperlink r:id="rId2" ref="D10"/>
    <hyperlink r:id="rId3" ref="F10"/>
    <hyperlink r:id="rId4" ref="H10"/>
    <hyperlink r:id="rId5" ref="J10"/>
    <hyperlink r:id="rId6" ref="N10"/>
    <hyperlink r:id="rId7" ref="P10"/>
  </hyperlinks>
  <drawing r:id="rId8"/>
</worksheet>
</file>